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oto dynamics\final lap sim\"/>
    </mc:Choice>
  </mc:AlternateContent>
  <xr:revisionPtr revIDLastSave="0" documentId="13_ncr:1_{F312CC46-B4E7-421C-AF22-38973FC7272D}" xr6:coauthVersionLast="36" xr6:coauthVersionMax="36" xr10:uidLastSave="{00000000-0000-0000-0000-000000000000}"/>
  <bookViews>
    <workbookView xWindow="-120" yWindow="-120" windowWidth="21840" windowHeight="13140" tabRatio="640" activeTab="6" xr2:uid="{876CF410-875C-48AA-8006-D72904B76CFA}"/>
  </bookViews>
  <sheets>
    <sheet name="Gearing Calculator" sheetId="1" r:id="rId1"/>
    <sheet name="Forces" sheetId="3" r:id="rId2"/>
    <sheet name="Reduced Mass" sheetId="4" r:id="rId3"/>
    <sheet name="Acceleration" sheetId="5" r:id="rId4"/>
    <sheet name="Braking" sheetId="6" r:id="rId5"/>
    <sheet name="Dyno Data" sheetId="2" r:id="rId6"/>
    <sheet name="Track Data" sheetId="7" r:id="rId7"/>
    <sheet name="2D data" sheetId="8" r:id="rId8"/>
    <sheet name="Graphs" sheetId="9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5" i="7" l="1"/>
  <c r="Y6" i="7"/>
  <c r="Y7" i="7"/>
  <c r="Y8" i="7"/>
  <c r="Y9" i="7"/>
  <c r="Y10" i="7"/>
  <c r="Y11" i="7"/>
  <c r="AA11" i="7" s="1"/>
  <c r="Y12" i="7"/>
  <c r="Y13" i="7"/>
  <c r="Y14" i="7"/>
  <c r="Y15" i="7"/>
  <c r="Y16" i="7"/>
  <c r="Y17" i="7"/>
  <c r="Y18" i="7"/>
  <c r="Y19" i="7"/>
  <c r="AA19" i="7" s="1"/>
  <c r="Y20" i="7"/>
  <c r="Y21" i="7"/>
  <c r="Y22" i="7"/>
  <c r="Y23" i="7"/>
  <c r="Y24" i="7"/>
  <c r="Y25" i="7"/>
  <c r="Y26" i="7"/>
  <c r="Y27" i="7"/>
  <c r="AA27" i="7" s="1"/>
  <c r="Y28" i="7"/>
  <c r="Y29" i="7"/>
  <c r="Y30" i="7"/>
  <c r="Y31" i="7"/>
  <c r="Y32" i="7"/>
  <c r="Y33" i="7"/>
  <c r="Y34" i="7"/>
  <c r="Y35" i="7"/>
  <c r="AA35" i="7" s="1"/>
  <c r="Y36" i="7"/>
  <c r="Y37" i="7"/>
  <c r="Y38" i="7"/>
  <c r="Y39" i="7"/>
  <c r="Y40" i="7"/>
  <c r="Y41" i="7"/>
  <c r="Y42" i="7"/>
  <c r="Y43" i="7"/>
  <c r="AA43" i="7" s="1"/>
  <c r="Y44" i="7"/>
  <c r="Y45" i="7"/>
  <c r="Y46" i="7"/>
  <c r="Y47" i="7"/>
  <c r="Y48" i="7"/>
  <c r="Y49" i="7"/>
  <c r="Y50" i="7"/>
  <c r="Y51" i="7"/>
  <c r="AA51" i="7" s="1"/>
  <c r="Y52" i="7"/>
  <c r="Y53" i="7"/>
  <c r="Y54" i="7"/>
  <c r="Y55" i="7"/>
  <c r="Y56" i="7"/>
  <c r="Y57" i="7"/>
  <c r="Y58" i="7"/>
  <c r="Y59" i="7"/>
  <c r="AA59" i="7" s="1"/>
  <c r="Y60" i="7"/>
  <c r="Y61" i="7"/>
  <c r="Y62" i="7"/>
  <c r="Y63" i="7"/>
  <c r="Y64" i="7"/>
  <c r="Y65" i="7"/>
  <c r="Y66" i="7"/>
  <c r="Y67" i="7"/>
  <c r="AA67" i="7" s="1"/>
  <c r="Y68" i="7"/>
  <c r="Y69" i="7"/>
  <c r="Y70" i="7"/>
  <c r="Y71" i="7"/>
  <c r="Y72" i="7"/>
  <c r="Y73" i="7"/>
  <c r="Y74" i="7"/>
  <c r="Y75" i="7"/>
  <c r="AA75" i="7" s="1"/>
  <c r="Y76" i="7"/>
  <c r="Y77" i="7"/>
  <c r="Y78" i="7"/>
  <c r="Y79" i="7"/>
  <c r="Y80" i="7"/>
  <c r="Y81" i="7"/>
  <c r="Y82" i="7"/>
  <c r="Y83" i="7"/>
  <c r="AA83" i="7" s="1"/>
  <c r="Y84" i="7"/>
  <c r="Y85" i="7"/>
  <c r="Y86" i="7"/>
  <c r="Y87" i="7"/>
  <c r="Y88" i="7"/>
  <c r="Y89" i="7"/>
  <c r="Y90" i="7"/>
  <c r="Y91" i="7"/>
  <c r="AA91" i="7" s="1"/>
  <c r="Y92" i="7"/>
  <c r="Y93" i="7"/>
  <c r="Y94" i="7"/>
  <c r="Y95" i="7"/>
  <c r="Y96" i="7"/>
  <c r="Y97" i="7"/>
  <c r="Y98" i="7"/>
  <c r="Y99" i="7"/>
  <c r="AA99" i="7" s="1"/>
  <c r="Y100" i="7"/>
  <c r="Y101" i="7"/>
  <c r="Y102" i="7"/>
  <c r="Y103" i="7"/>
  <c r="Y104" i="7"/>
  <c r="Y105" i="7"/>
  <c r="Y106" i="7"/>
  <c r="Y107" i="7"/>
  <c r="AA107" i="7" s="1"/>
  <c r="Y108" i="7"/>
  <c r="Y109" i="7"/>
  <c r="Y110" i="7"/>
  <c r="Y111" i="7"/>
  <c r="Y112" i="7"/>
  <c r="Y113" i="7"/>
  <c r="Y114" i="7"/>
  <c r="Y115" i="7"/>
  <c r="AA115" i="7" s="1"/>
  <c r="Y116" i="7"/>
  <c r="Y117" i="7"/>
  <c r="Y118" i="7"/>
  <c r="Y119" i="7"/>
  <c r="Y120" i="7"/>
  <c r="Y121" i="7"/>
  <c r="Y122" i="7"/>
  <c r="Y123" i="7"/>
  <c r="AA123" i="7" s="1"/>
  <c r="Y124" i="7"/>
  <c r="Y125" i="7"/>
  <c r="Y126" i="7"/>
  <c r="Y127" i="7"/>
  <c r="Y128" i="7"/>
  <c r="Y129" i="7"/>
  <c r="Y130" i="7"/>
  <c r="Y131" i="7"/>
  <c r="AA131" i="7" s="1"/>
  <c r="Y132" i="7"/>
  <c r="Y133" i="7"/>
  <c r="Y134" i="7"/>
  <c r="Y135" i="7"/>
  <c r="Y136" i="7"/>
  <c r="Y137" i="7"/>
  <c r="Y138" i="7"/>
  <c r="Y139" i="7"/>
  <c r="AA139" i="7" s="1"/>
  <c r="Y140" i="7"/>
  <c r="Y141" i="7"/>
  <c r="Y142" i="7"/>
  <c r="Y143" i="7"/>
  <c r="Y144" i="7"/>
  <c r="Y145" i="7"/>
  <c r="Y146" i="7"/>
  <c r="Y147" i="7"/>
  <c r="AA147" i="7" s="1"/>
  <c r="Y148" i="7"/>
  <c r="Y149" i="7"/>
  <c r="Y150" i="7"/>
  <c r="Y151" i="7"/>
  <c r="Y152" i="7"/>
  <c r="Y153" i="7"/>
  <c r="Y154" i="7"/>
  <c r="Y155" i="7"/>
  <c r="AA155" i="7" s="1"/>
  <c r="Y156" i="7"/>
  <c r="Y157" i="7"/>
  <c r="Y158" i="7"/>
  <c r="Y159" i="7"/>
  <c r="Y160" i="7"/>
  <c r="Y161" i="7"/>
  <c r="Y162" i="7"/>
  <c r="Y163" i="7"/>
  <c r="AA163" i="7" s="1"/>
  <c r="Y164" i="7"/>
  <c r="Y165" i="7"/>
  <c r="Y166" i="7"/>
  <c r="Y167" i="7"/>
  <c r="Y168" i="7"/>
  <c r="Y169" i="7"/>
  <c r="Y170" i="7"/>
  <c r="Y171" i="7"/>
  <c r="AA171" i="7" s="1"/>
  <c r="Y172" i="7"/>
  <c r="Y173" i="7"/>
  <c r="Y174" i="7"/>
  <c r="Y175" i="7"/>
  <c r="Y176" i="7"/>
  <c r="Y177" i="7"/>
  <c r="Y178" i="7"/>
  <c r="Y179" i="7"/>
  <c r="AA179" i="7" s="1"/>
  <c r="Y180" i="7"/>
  <c r="Y181" i="7"/>
  <c r="Y182" i="7"/>
  <c r="Y183" i="7"/>
  <c r="Y184" i="7"/>
  <c r="Y185" i="7"/>
  <c r="Y186" i="7"/>
  <c r="Y187" i="7"/>
  <c r="AA187" i="7" s="1"/>
  <c r="Y188" i="7"/>
  <c r="Y189" i="7"/>
  <c r="Y190" i="7"/>
  <c r="Y191" i="7"/>
  <c r="Y192" i="7"/>
  <c r="Y193" i="7"/>
  <c r="Y194" i="7"/>
  <c r="Y195" i="7"/>
  <c r="AA195" i="7" s="1"/>
  <c r="Y196" i="7"/>
  <c r="Y197" i="7"/>
  <c r="Y198" i="7"/>
  <c r="Y199" i="7"/>
  <c r="Y200" i="7"/>
  <c r="Y201" i="7"/>
  <c r="Y202" i="7"/>
  <c r="Y203" i="7"/>
  <c r="AA203" i="7" s="1"/>
  <c r="Y204" i="7"/>
  <c r="Y205" i="7"/>
  <c r="Y206" i="7"/>
  <c r="Y207" i="7"/>
  <c r="Y208" i="7"/>
  <c r="Y209" i="7"/>
  <c r="Y210" i="7"/>
  <c r="Y211" i="7"/>
  <c r="AA211" i="7" s="1"/>
  <c r="Y212" i="7"/>
  <c r="Y213" i="7"/>
  <c r="Y214" i="7"/>
  <c r="Y215" i="7"/>
  <c r="Y216" i="7"/>
  <c r="Y217" i="7"/>
  <c r="Y218" i="7"/>
  <c r="Y219" i="7"/>
  <c r="AA219" i="7" s="1"/>
  <c r="Y220" i="7"/>
  <c r="Y221" i="7"/>
  <c r="Y222" i="7"/>
  <c r="Y223" i="7"/>
  <c r="Y224" i="7"/>
  <c r="Y225" i="7"/>
  <c r="Y226" i="7"/>
  <c r="Y227" i="7"/>
  <c r="AA227" i="7" s="1"/>
  <c r="Y228" i="7"/>
  <c r="Y229" i="7"/>
  <c r="Y230" i="7"/>
  <c r="Y231" i="7"/>
  <c r="Y232" i="7"/>
  <c r="Y233" i="7"/>
  <c r="Y234" i="7"/>
  <c r="Y235" i="7"/>
  <c r="AA235" i="7" s="1"/>
  <c r="Y236" i="7"/>
  <c r="Y237" i="7"/>
  <c r="Y238" i="7"/>
  <c r="Y239" i="7"/>
  <c r="Y240" i="7"/>
  <c r="Y241" i="7"/>
  <c r="Y242" i="7"/>
  <c r="Y243" i="7"/>
  <c r="AA243" i="7" s="1"/>
  <c r="Y244" i="7"/>
  <c r="Y245" i="7"/>
  <c r="Y246" i="7"/>
  <c r="Y247" i="7"/>
  <c r="Y248" i="7"/>
  <c r="Y249" i="7"/>
  <c r="Y250" i="7"/>
  <c r="Y251" i="7"/>
  <c r="AA251" i="7" s="1"/>
  <c r="Y252" i="7"/>
  <c r="Y253" i="7"/>
  <c r="Y254" i="7"/>
  <c r="Y255" i="7"/>
  <c r="Y256" i="7"/>
  <c r="Y257" i="7"/>
  <c r="Y258" i="7"/>
  <c r="Y259" i="7"/>
  <c r="AA259" i="7" s="1"/>
  <c r="Y260" i="7"/>
  <c r="Y261" i="7"/>
  <c r="Y262" i="7"/>
  <c r="Y263" i="7"/>
  <c r="Y264" i="7"/>
  <c r="Y265" i="7"/>
  <c r="Y266" i="7"/>
  <c r="Y267" i="7"/>
  <c r="AA267" i="7" s="1"/>
  <c r="Y268" i="7"/>
  <c r="Y269" i="7"/>
  <c r="Y270" i="7"/>
  <c r="Y271" i="7"/>
  <c r="Y272" i="7"/>
  <c r="Y273" i="7"/>
  <c r="Y274" i="7"/>
  <c r="Y275" i="7"/>
  <c r="AA275" i="7" s="1"/>
  <c r="Y276" i="7"/>
  <c r="Y277" i="7"/>
  <c r="Y278" i="7"/>
  <c r="Y279" i="7"/>
  <c r="Y280" i="7"/>
  <c r="Y281" i="7"/>
  <c r="Y282" i="7"/>
  <c r="Y283" i="7"/>
  <c r="AA283" i="7" s="1"/>
  <c r="Y284" i="7"/>
  <c r="Y285" i="7"/>
  <c r="Y286" i="7"/>
  <c r="Y287" i="7"/>
  <c r="Y288" i="7"/>
  <c r="Y289" i="7"/>
  <c r="Y290" i="7"/>
  <c r="Y291" i="7"/>
  <c r="AA291" i="7" s="1"/>
  <c r="Y292" i="7"/>
  <c r="Y293" i="7"/>
  <c r="Y294" i="7"/>
  <c r="Y295" i="7"/>
  <c r="Y296" i="7"/>
  <c r="Y297" i="7"/>
  <c r="Y298" i="7"/>
  <c r="Y299" i="7"/>
  <c r="AA299" i="7" s="1"/>
  <c r="Y300" i="7"/>
  <c r="Y301" i="7"/>
  <c r="Y302" i="7"/>
  <c r="Y303" i="7"/>
  <c r="Y304" i="7"/>
  <c r="Y305" i="7"/>
  <c r="Y306" i="7"/>
  <c r="Y307" i="7"/>
  <c r="AA307" i="7" s="1"/>
  <c r="Y308" i="7"/>
  <c r="Y309" i="7"/>
  <c r="Y310" i="7"/>
  <c r="Y311" i="7"/>
  <c r="Y312" i="7"/>
  <c r="Y313" i="7"/>
  <c r="Y314" i="7"/>
  <c r="Y315" i="7"/>
  <c r="AA315" i="7" s="1"/>
  <c r="Y316" i="7"/>
  <c r="Y317" i="7"/>
  <c r="Y318" i="7"/>
  <c r="Y319" i="7"/>
  <c r="Y320" i="7"/>
  <c r="Y321" i="7"/>
  <c r="Y322" i="7"/>
  <c r="Y323" i="7"/>
  <c r="AA323" i="7" s="1"/>
  <c r="Y324" i="7"/>
  <c r="Y325" i="7"/>
  <c r="Y326" i="7"/>
  <c r="Y327" i="7"/>
  <c r="Y328" i="7"/>
  <c r="Y329" i="7"/>
  <c r="Y330" i="7"/>
  <c r="Y331" i="7"/>
  <c r="AA331" i="7" s="1"/>
  <c r="Y332" i="7"/>
  <c r="Y333" i="7"/>
  <c r="Y334" i="7"/>
  <c r="Y335" i="7"/>
  <c r="Y336" i="7"/>
  <c r="Y337" i="7"/>
  <c r="Y338" i="7"/>
  <c r="Y339" i="7"/>
  <c r="AA339" i="7" s="1"/>
  <c r="Y340" i="7"/>
  <c r="Y341" i="7"/>
  <c r="Y342" i="7"/>
  <c r="Y343" i="7"/>
  <c r="Y344" i="7"/>
  <c r="Y345" i="7"/>
  <c r="Y346" i="7"/>
  <c r="Y347" i="7"/>
  <c r="AA347" i="7" s="1"/>
  <c r="Y348" i="7"/>
  <c r="Y349" i="7"/>
  <c r="Y350" i="7"/>
  <c r="Y351" i="7"/>
  <c r="Y352" i="7"/>
  <c r="Y353" i="7"/>
  <c r="Y354" i="7"/>
  <c r="Y355" i="7"/>
  <c r="AA355" i="7" s="1"/>
  <c r="Y356" i="7"/>
  <c r="Y357" i="7"/>
  <c r="Y358" i="7"/>
  <c r="Y359" i="7"/>
  <c r="Y360" i="7"/>
  <c r="Y361" i="7"/>
  <c r="Y362" i="7"/>
  <c r="Y363" i="7"/>
  <c r="AA363" i="7" s="1"/>
  <c r="Y364" i="7"/>
  <c r="Y365" i="7"/>
  <c r="Y366" i="7"/>
  <c r="Y367" i="7"/>
  <c r="Y368" i="7"/>
  <c r="Y369" i="7"/>
  <c r="Y370" i="7"/>
  <c r="Y371" i="7"/>
  <c r="AA371" i="7" s="1"/>
  <c r="Y372" i="7"/>
  <c r="Y373" i="7"/>
  <c r="Y374" i="7"/>
  <c r="Y375" i="7"/>
  <c r="Y376" i="7"/>
  <c r="Y377" i="7"/>
  <c r="Y378" i="7"/>
  <c r="Y379" i="7"/>
  <c r="AA379" i="7" s="1"/>
  <c r="Y380" i="7"/>
  <c r="Y381" i="7"/>
  <c r="Y382" i="7"/>
  <c r="Y383" i="7"/>
  <c r="Y384" i="7"/>
  <c r="Y385" i="7"/>
  <c r="Y386" i="7"/>
  <c r="Y387" i="7"/>
  <c r="AA387" i="7" s="1"/>
  <c r="Y388" i="7"/>
  <c r="Y389" i="7"/>
  <c r="Y390" i="7"/>
  <c r="Y391" i="7"/>
  <c r="Y392" i="7"/>
  <c r="Y393" i="7"/>
  <c r="Y394" i="7"/>
  <c r="Y395" i="7"/>
  <c r="AA395" i="7" s="1"/>
  <c r="Y396" i="7"/>
  <c r="Y397" i="7"/>
  <c r="Y398" i="7"/>
  <c r="Y399" i="7"/>
  <c r="Y400" i="7"/>
  <c r="Y401" i="7"/>
  <c r="Y402" i="7"/>
  <c r="Y403" i="7"/>
  <c r="AA403" i="7" s="1"/>
  <c r="Y404" i="7"/>
  <c r="Y405" i="7"/>
  <c r="Y406" i="7"/>
  <c r="Y407" i="7"/>
  <c r="Y408" i="7"/>
  <c r="Y409" i="7"/>
  <c r="Y410" i="7"/>
  <c r="Y411" i="7"/>
  <c r="AA411" i="7" s="1"/>
  <c r="Y412" i="7"/>
  <c r="Y413" i="7"/>
  <c r="Y414" i="7"/>
  <c r="Y415" i="7"/>
  <c r="Y416" i="7"/>
  <c r="Y417" i="7"/>
  <c r="Y418" i="7"/>
  <c r="Y419" i="7"/>
  <c r="AA419" i="7" s="1"/>
  <c r="Y420" i="7"/>
  <c r="Y421" i="7"/>
  <c r="Y422" i="7"/>
  <c r="Y423" i="7"/>
  <c r="Y424" i="7"/>
  <c r="Y425" i="7"/>
  <c r="Y426" i="7"/>
  <c r="Y427" i="7"/>
  <c r="AA427" i="7" s="1"/>
  <c r="Y428" i="7"/>
  <c r="Y429" i="7"/>
  <c r="Y430" i="7"/>
  <c r="Y431" i="7"/>
  <c r="Y432" i="7"/>
  <c r="Y433" i="7"/>
  <c r="Y434" i="7"/>
  <c r="Y435" i="7"/>
  <c r="AA435" i="7" s="1"/>
  <c r="Y436" i="7"/>
  <c r="Y437" i="7"/>
  <c r="Y438" i="7"/>
  <c r="Y439" i="7"/>
  <c r="Y440" i="7"/>
  <c r="Y441" i="7"/>
  <c r="Y442" i="7"/>
  <c r="Y443" i="7"/>
  <c r="AA443" i="7" s="1"/>
  <c r="Y444" i="7"/>
  <c r="Y445" i="7"/>
  <c r="Y446" i="7"/>
  <c r="Y447" i="7"/>
  <c r="Y448" i="7"/>
  <c r="Y449" i="7"/>
  <c r="Y450" i="7"/>
  <c r="Y451" i="7"/>
  <c r="AA451" i="7" s="1"/>
  <c r="Y452" i="7"/>
  <c r="Y453" i="7"/>
  <c r="Y454" i="7"/>
  <c r="Y455" i="7"/>
  <c r="Y456" i="7"/>
  <c r="Y457" i="7"/>
  <c r="Y458" i="7"/>
  <c r="Y459" i="7"/>
  <c r="AA459" i="7" s="1"/>
  <c r="Y460" i="7"/>
  <c r="Y461" i="7"/>
  <c r="Y462" i="7"/>
  <c r="Y463" i="7"/>
  <c r="Y464" i="7"/>
  <c r="Y465" i="7"/>
  <c r="Y466" i="7"/>
  <c r="Y467" i="7"/>
  <c r="AA467" i="7" s="1"/>
  <c r="Y468" i="7"/>
  <c r="Y469" i="7"/>
  <c r="Y470" i="7"/>
  <c r="Y471" i="7"/>
  <c r="Y472" i="7"/>
  <c r="Y473" i="7"/>
  <c r="Y474" i="7"/>
  <c r="Y475" i="7"/>
  <c r="AA475" i="7" s="1"/>
  <c r="Y476" i="7"/>
  <c r="Y477" i="7"/>
  <c r="Y478" i="7"/>
  <c r="Y479" i="7"/>
  <c r="Y480" i="7"/>
  <c r="Y481" i="7"/>
  <c r="Y482" i="7"/>
  <c r="Y483" i="7"/>
  <c r="AA483" i="7" s="1"/>
  <c r="Y484" i="7"/>
  <c r="Y485" i="7"/>
  <c r="Y486" i="7"/>
  <c r="Y487" i="7"/>
  <c r="Y488" i="7"/>
  <c r="Y489" i="7"/>
  <c r="Y490" i="7"/>
  <c r="Y491" i="7"/>
  <c r="AA491" i="7" s="1"/>
  <c r="Y492" i="7"/>
  <c r="Y493" i="7"/>
  <c r="Y494" i="7"/>
  <c r="Y495" i="7"/>
  <c r="Y496" i="7"/>
  <c r="Y497" i="7"/>
  <c r="Y498" i="7"/>
  <c r="Y499" i="7"/>
  <c r="AA499" i="7" s="1"/>
  <c r="Y500" i="7"/>
  <c r="Y501" i="7"/>
  <c r="Y502" i="7"/>
  <c r="Y503" i="7"/>
  <c r="Y504" i="7"/>
  <c r="Y505" i="7"/>
  <c r="Y506" i="7"/>
  <c r="Y507" i="7"/>
  <c r="AA507" i="7" s="1"/>
  <c r="Y508" i="7"/>
  <c r="Y509" i="7"/>
  <c r="Y510" i="7"/>
  <c r="Y511" i="7"/>
  <c r="Y512" i="7"/>
  <c r="Y513" i="7"/>
  <c r="Y514" i="7"/>
  <c r="Y515" i="7"/>
  <c r="AA515" i="7" s="1"/>
  <c r="Y516" i="7"/>
  <c r="Y517" i="7"/>
  <c r="Y518" i="7"/>
  <c r="Y519" i="7"/>
  <c r="Y520" i="7"/>
  <c r="Y521" i="7"/>
  <c r="Y522" i="7"/>
  <c r="Y523" i="7"/>
  <c r="AA523" i="7" s="1"/>
  <c r="Y524" i="7"/>
  <c r="Y525" i="7"/>
  <c r="Y526" i="7"/>
  <c r="Y527" i="7"/>
  <c r="Y528" i="7"/>
  <c r="Y529" i="7"/>
  <c r="Y530" i="7"/>
  <c r="Y531" i="7"/>
  <c r="AA531" i="7" s="1"/>
  <c r="Y532" i="7"/>
  <c r="Y533" i="7"/>
  <c r="Y534" i="7"/>
  <c r="Y535" i="7"/>
  <c r="Y536" i="7"/>
  <c r="Y537" i="7"/>
  <c r="Y538" i="7"/>
  <c r="Y539" i="7"/>
  <c r="AA539" i="7" s="1"/>
  <c r="Y540" i="7"/>
  <c r="Y541" i="7"/>
  <c r="Y542" i="7"/>
  <c r="Y543" i="7"/>
  <c r="Y544" i="7"/>
  <c r="Y545" i="7"/>
  <c r="Y546" i="7"/>
  <c r="Y547" i="7"/>
  <c r="AA547" i="7" s="1"/>
  <c r="Y548" i="7"/>
  <c r="Y549" i="7"/>
  <c r="Y550" i="7"/>
  <c r="Y551" i="7"/>
  <c r="Y552" i="7"/>
  <c r="Y553" i="7"/>
  <c r="Y554" i="7"/>
  <c r="Y555" i="7"/>
  <c r="AA555" i="7" s="1"/>
  <c r="Y556" i="7"/>
  <c r="Y557" i="7"/>
  <c r="Y558" i="7"/>
  <c r="Y559" i="7"/>
  <c r="Y560" i="7"/>
  <c r="Y561" i="7"/>
  <c r="Y562" i="7"/>
  <c r="Y563" i="7"/>
  <c r="AA563" i="7" s="1"/>
  <c r="Y564" i="7"/>
  <c r="Y565" i="7"/>
  <c r="Y566" i="7"/>
  <c r="Y567" i="7"/>
  <c r="Y568" i="7"/>
  <c r="Y569" i="7"/>
  <c r="Y570" i="7"/>
  <c r="Y571" i="7"/>
  <c r="AA571" i="7" s="1"/>
  <c r="Y572" i="7"/>
  <c r="Y573" i="7"/>
  <c r="Y574" i="7"/>
  <c r="Y575" i="7"/>
  <c r="Y576" i="7"/>
  <c r="Y577" i="7"/>
  <c r="Y578" i="7"/>
  <c r="Y579" i="7"/>
  <c r="AA579" i="7" s="1"/>
  <c r="Y580" i="7"/>
  <c r="Y581" i="7"/>
  <c r="Y582" i="7"/>
  <c r="Y583" i="7"/>
  <c r="Y584" i="7"/>
  <c r="Y585" i="7"/>
  <c r="Y586" i="7"/>
  <c r="Y587" i="7"/>
  <c r="AA587" i="7" s="1"/>
  <c r="Y588" i="7"/>
  <c r="Y589" i="7"/>
  <c r="Y590" i="7"/>
  <c r="Y591" i="7"/>
  <c r="Y592" i="7"/>
  <c r="Y593" i="7"/>
  <c r="Y594" i="7"/>
  <c r="Y595" i="7"/>
  <c r="AA595" i="7" s="1"/>
  <c r="Y596" i="7"/>
  <c r="Y597" i="7"/>
  <c r="Y598" i="7"/>
  <c r="Y599" i="7"/>
  <c r="Y600" i="7"/>
  <c r="Y601" i="7"/>
  <c r="Y602" i="7"/>
  <c r="Y603" i="7"/>
  <c r="AA603" i="7" s="1"/>
  <c r="Y604" i="7"/>
  <c r="Y605" i="7"/>
  <c r="Y606" i="7"/>
  <c r="Y607" i="7"/>
  <c r="Y608" i="7"/>
  <c r="Y609" i="7"/>
  <c r="Y610" i="7"/>
  <c r="Y611" i="7"/>
  <c r="AA611" i="7" s="1"/>
  <c r="Y612" i="7"/>
  <c r="Y613" i="7"/>
  <c r="Y614" i="7"/>
  <c r="Y615" i="7"/>
  <c r="Y616" i="7"/>
  <c r="Y617" i="7"/>
  <c r="Y618" i="7"/>
  <c r="Y619" i="7"/>
  <c r="AA619" i="7" s="1"/>
  <c r="Y620" i="7"/>
  <c r="Y621" i="7"/>
  <c r="Y622" i="7"/>
  <c r="Y623" i="7"/>
  <c r="Y624" i="7"/>
  <c r="Y625" i="7"/>
  <c r="Y626" i="7"/>
  <c r="Y627" i="7"/>
  <c r="AA627" i="7" s="1"/>
  <c r="Y628" i="7"/>
  <c r="Y629" i="7"/>
  <c r="Y630" i="7"/>
  <c r="Y631" i="7"/>
  <c r="Y632" i="7"/>
  <c r="Y633" i="7"/>
  <c r="Y634" i="7"/>
  <c r="Y635" i="7"/>
  <c r="AA635" i="7" s="1"/>
  <c r="Y636" i="7"/>
  <c r="Y637" i="7"/>
  <c r="Y638" i="7"/>
  <c r="Y639" i="7"/>
  <c r="Y640" i="7"/>
  <c r="Y641" i="7"/>
  <c r="Y642" i="7"/>
  <c r="Y643" i="7"/>
  <c r="AA643" i="7" s="1"/>
  <c r="Y644" i="7"/>
  <c r="Y645" i="7"/>
  <c r="Y646" i="7"/>
  <c r="Y647" i="7"/>
  <c r="Y648" i="7"/>
  <c r="Y649" i="7"/>
  <c r="Y650" i="7"/>
  <c r="Y651" i="7"/>
  <c r="AA651" i="7" s="1"/>
  <c r="Y652" i="7"/>
  <c r="Y653" i="7"/>
  <c r="Y654" i="7"/>
  <c r="Y655" i="7"/>
  <c r="Y656" i="7"/>
  <c r="Y657" i="7"/>
  <c r="Y658" i="7"/>
  <c r="Y659" i="7"/>
  <c r="AA659" i="7" s="1"/>
  <c r="Y660" i="7"/>
  <c r="Y661" i="7"/>
  <c r="Y662" i="7"/>
  <c r="Y663" i="7"/>
  <c r="Y664" i="7"/>
  <c r="Y665" i="7"/>
  <c r="Y666" i="7"/>
  <c r="Y667" i="7"/>
  <c r="AA667" i="7" s="1"/>
  <c r="Y668" i="7"/>
  <c r="Y669" i="7"/>
  <c r="Y670" i="7"/>
  <c r="Y671" i="7"/>
  <c r="Y672" i="7"/>
  <c r="Y673" i="7"/>
  <c r="Y674" i="7"/>
  <c r="Y675" i="7"/>
  <c r="AA675" i="7" s="1"/>
  <c r="Y676" i="7"/>
  <c r="Y677" i="7"/>
  <c r="Y678" i="7"/>
  <c r="Y679" i="7"/>
  <c r="Y680" i="7"/>
  <c r="Y681" i="7"/>
  <c r="Y682" i="7"/>
  <c r="Y683" i="7"/>
  <c r="AA683" i="7" s="1"/>
  <c r="Y684" i="7"/>
  <c r="Y685" i="7"/>
  <c r="Y686" i="7"/>
  <c r="Y687" i="7"/>
  <c r="Y688" i="7"/>
  <c r="Y689" i="7"/>
  <c r="Y690" i="7"/>
  <c r="Y691" i="7"/>
  <c r="AA691" i="7" s="1"/>
  <c r="Y692" i="7"/>
  <c r="Y693" i="7"/>
  <c r="Y694" i="7"/>
  <c r="Y695" i="7"/>
  <c r="Y696" i="7"/>
  <c r="Y697" i="7"/>
  <c r="Y698" i="7"/>
  <c r="Y699" i="7"/>
  <c r="AA699" i="7" s="1"/>
  <c r="Y700" i="7"/>
  <c r="Y701" i="7"/>
  <c r="Y702" i="7"/>
  <c r="Y703" i="7"/>
  <c r="Y704" i="7"/>
  <c r="Y705" i="7"/>
  <c r="Y706" i="7"/>
  <c r="Y707" i="7"/>
  <c r="AA707" i="7" s="1"/>
  <c r="Y708" i="7"/>
  <c r="Y709" i="7"/>
  <c r="Y710" i="7"/>
  <c r="Y711" i="7"/>
  <c r="Y712" i="7"/>
  <c r="Y713" i="7"/>
  <c r="Y714" i="7"/>
  <c r="Y715" i="7"/>
  <c r="AA715" i="7" s="1"/>
  <c r="Y716" i="7"/>
  <c r="Y717" i="7"/>
  <c r="Y718" i="7"/>
  <c r="Y719" i="7"/>
  <c r="Y720" i="7"/>
  <c r="Y721" i="7"/>
  <c r="Y722" i="7"/>
  <c r="Y723" i="7"/>
  <c r="AA723" i="7" s="1"/>
  <c r="Y724" i="7"/>
  <c r="Y725" i="7"/>
  <c r="Y726" i="7"/>
  <c r="Y727" i="7"/>
  <c r="Y728" i="7"/>
  <c r="Y729" i="7"/>
  <c r="Y730" i="7"/>
  <c r="Y731" i="7"/>
  <c r="AA731" i="7" s="1"/>
  <c r="Y732" i="7"/>
  <c r="Y733" i="7"/>
  <c r="Y734" i="7"/>
  <c r="Y735" i="7"/>
  <c r="Y736" i="7"/>
  <c r="Y737" i="7"/>
  <c r="Y738" i="7"/>
  <c r="Y739" i="7"/>
  <c r="AA739" i="7" s="1"/>
  <c r="Y740" i="7"/>
  <c r="Y741" i="7"/>
  <c r="Y742" i="7"/>
  <c r="Y743" i="7"/>
  <c r="Y744" i="7"/>
  <c r="Y745" i="7"/>
  <c r="Y746" i="7"/>
  <c r="Y747" i="7"/>
  <c r="AA747" i="7" s="1"/>
  <c r="Y748" i="7"/>
  <c r="Y749" i="7"/>
  <c r="Y750" i="7"/>
  <c r="Y751" i="7"/>
  <c r="Y752" i="7"/>
  <c r="Y753" i="7"/>
  <c r="Y754" i="7"/>
  <c r="Y755" i="7"/>
  <c r="AA755" i="7" s="1"/>
  <c r="Y756" i="7"/>
  <c r="Y757" i="7"/>
  <c r="Y758" i="7"/>
  <c r="Y759" i="7"/>
  <c r="Y760" i="7"/>
  <c r="Y761" i="7"/>
  <c r="Y762" i="7"/>
  <c r="Y763" i="7"/>
  <c r="AA763" i="7" s="1"/>
  <c r="Y764" i="7"/>
  <c r="Y765" i="7"/>
  <c r="Y766" i="7"/>
  <c r="Y767" i="7"/>
  <c r="Y768" i="7"/>
  <c r="Y769" i="7"/>
  <c r="Y770" i="7"/>
  <c r="Y771" i="7"/>
  <c r="AA771" i="7" s="1"/>
  <c r="Y772" i="7"/>
  <c r="Y773" i="7"/>
  <c r="Y774" i="7"/>
  <c r="Y775" i="7"/>
  <c r="Y776" i="7"/>
  <c r="Y777" i="7"/>
  <c r="Y778" i="7"/>
  <c r="Y779" i="7"/>
  <c r="AA779" i="7" s="1"/>
  <c r="Y780" i="7"/>
  <c r="Y781" i="7"/>
  <c r="Y782" i="7"/>
  <c r="Y783" i="7"/>
  <c r="Y784" i="7"/>
  <c r="Y785" i="7"/>
  <c r="Y786" i="7"/>
  <c r="Y787" i="7"/>
  <c r="AA787" i="7" s="1"/>
  <c r="Y788" i="7"/>
  <c r="Y789" i="7"/>
  <c r="Y790" i="7"/>
  <c r="Y791" i="7"/>
  <c r="Y792" i="7"/>
  <c r="Y793" i="7"/>
  <c r="Y794" i="7"/>
  <c r="Y795" i="7"/>
  <c r="AA795" i="7" s="1"/>
  <c r="Y796" i="7"/>
  <c r="Y797" i="7"/>
  <c r="Y798" i="7"/>
  <c r="Y799" i="7"/>
  <c r="Y800" i="7"/>
  <c r="Y801" i="7"/>
  <c r="Y802" i="7"/>
  <c r="Y803" i="7"/>
  <c r="AA803" i="7" s="1"/>
  <c r="Y804" i="7"/>
  <c r="Y805" i="7"/>
  <c r="Y806" i="7"/>
  <c r="Y807" i="7"/>
  <c r="Y808" i="7"/>
  <c r="Y809" i="7"/>
  <c r="Y810" i="7"/>
  <c r="Y811" i="7"/>
  <c r="AA811" i="7" s="1"/>
  <c r="Y812" i="7"/>
  <c r="Y813" i="7"/>
  <c r="Y814" i="7"/>
  <c r="Y815" i="7"/>
  <c r="Y816" i="7"/>
  <c r="Y817" i="7"/>
  <c r="Y818" i="7"/>
  <c r="Y819" i="7"/>
  <c r="AA819" i="7" s="1"/>
  <c r="Y820" i="7"/>
  <c r="Y821" i="7"/>
  <c r="Y822" i="7"/>
  <c r="Y823" i="7"/>
  <c r="Y824" i="7"/>
  <c r="Y825" i="7"/>
  <c r="Y826" i="7"/>
  <c r="Y827" i="7"/>
  <c r="AA827" i="7" s="1"/>
  <c r="Y828" i="7"/>
  <c r="Y829" i="7"/>
  <c r="Y830" i="7"/>
  <c r="Y831" i="7"/>
  <c r="Y832" i="7"/>
  <c r="Y833" i="7"/>
  <c r="Y834" i="7"/>
  <c r="Y835" i="7"/>
  <c r="AA835" i="7" s="1"/>
  <c r="Y836" i="7"/>
  <c r="Y837" i="7"/>
  <c r="Y838" i="7"/>
  <c r="Y839" i="7"/>
  <c r="Y840" i="7"/>
  <c r="Y841" i="7"/>
  <c r="Y842" i="7"/>
  <c r="Y843" i="7"/>
  <c r="AA843" i="7" s="1"/>
  <c r="Y844" i="7"/>
  <c r="Y845" i="7"/>
  <c r="Y846" i="7"/>
  <c r="Y847" i="7"/>
  <c r="Y848" i="7"/>
  <c r="Y849" i="7"/>
  <c r="Y850" i="7"/>
  <c r="Y851" i="7"/>
  <c r="AA851" i="7" s="1"/>
  <c r="Y852" i="7"/>
  <c r="Y853" i="7"/>
  <c r="Y854" i="7"/>
  <c r="Y855" i="7"/>
  <c r="Y856" i="7"/>
  <c r="Y857" i="7"/>
  <c r="Y858" i="7"/>
  <c r="Y859" i="7"/>
  <c r="AA859" i="7" s="1"/>
  <c r="Y860" i="7"/>
  <c r="Y861" i="7"/>
  <c r="Y862" i="7"/>
  <c r="Y863" i="7"/>
  <c r="Y864" i="7"/>
  <c r="Y865" i="7"/>
  <c r="Y866" i="7"/>
  <c r="Y867" i="7"/>
  <c r="AA867" i="7" s="1"/>
  <c r="Y868" i="7"/>
  <c r="Y869" i="7"/>
  <c r="Y870" i="7"/>
  <c r="Y871" i="7"/>
  <c r="Y872" i="7"/>
  <c r="Y873" i="7"/>
  <c r="Y874" i="7"/>
  <c r="Y875" i="7"/>
  <c r="AA875" i="7" s="1"/>
  <c r="Y876" i="7"/>
  <c r="Y877" i="7"/>
  <c r="Y878" i="7"/>
  <c r="Y879" i="7"/>
  <c r="Y880" i="7"/>
  <c r="Y881" i="7"/>
  <c r="Y882" i="7"/>
  <c r="Y883" i="7"/>
  <c r="AA883" i="7" s="1"/>
  <c r="Y884" i="7"/>
  <c r="Y885" i="7"/>
  <c r="Y886" i="7"/>
  <c r="Y887" i="7"/>
  <c r="Y888" i="7"/>
  <c r="Y889" i="7"/>
  <c r="Y890" i="7"/>
  <c r="Y891" i="7"/>
  <c r="AA891" i="7" s="1"/>
  <c r="Y892" i="7"/>
  <c r="Y893" i="7"/>
  <c r="Y894" i="7"/>
  <c r="Y895" i="7"/>
  <c r="Y896" i="7"/>
  <c r="Y897" i="7"/>
  <c r="Y898" i="7"/>
  <c r="Y899" i="7"/>
  <c r="AA899" i="7" s="1"/>
  <c r="Y900" i="7"/>
  <c r="Y901" i="7"/>
  <c r="Y902" i="7"/>
  <c r="Y903" i="7"/>
  <c r="Y904" i="7"/>
  <c r="Y905" i="7"/>
  <c r="Y906" i="7"/>
  <c r="Y907" i="7"/>
  <c r="AA907" i="7" s="1"/>
  <c r="Y908" i="7"/>
  <c r="Y909" i="7"/>
  <c r="Y910" i="7"/>
  <c r="Y911" i="7"/>
  <c r="Y912" i="7"/>
  <c r="Y913" i="7"/>
  <c r="Y914" i="7"/>
  <c r="Y915" i="7"/>
  <c r="AA915" i="7" s="1"/>
  <c r="Y916" i="7"/>
  <c r="Y917" i="7"/>
  <c r="Y918" i="7"/>
  <c r="Y919" i="7"/>
  <c r="Y920" i="7"/>
  <c r="Y921" i="7"/>
  <c r="Y922" i="7"/>
  <c r="Y923" i="7"/>
  <c r="AA923" i="7" s="1"/>
  <c r="Y924" i="7"/>
  <c r="Y925" i="7"/>
  <c r="Y926" i="7"/>
  <c r="Y927" i="7"/>
  <c r="Y928" i="7"/>
  <c r="Y929" i="7"/>
  <c r="Y930" i="7"/>
  <c r="Y931" i="7"/>
  <c r="AA931" i="7" s="1"/>
  <c r="Y932" i="7"/>
  <c r="Y933" i="7"/>
  <c r="Y934" i="7"/>
  <c r="Y935" i="7"/>
  <c r="Y936" i="7"/>
  <c r="Y937" i="7"/>
  <c r="Y938" i="7"/>
  <c r="Y939" i="7"/>
  <c r="AA939" i="7" s="1"/>
  <c r="Y940" i="7"/>
  <c r="Y941" i="7"/>
  <c r="Y942" i="7"/>
  <c r="Y943" i="7"/>
  <c r="Y944" i="7"/>
  <c r="Y945" i="7"/>
  <c r="Y946" i="7"/>
  <c r="Y947" i="7"/>
  <c r="AA947" i="7" s="1"/>
  <c r="Y948" i="7"/>
  <c r="Y949" i="7"/>
  <c r="Y950" i="7"/>
  <c r="Y951" i="7"/>
  <c r="Y952" i="7"/>
  <c r="Y953" i="7"/>
  <c r="Y954" i="7"/>
  <c r="Y955" i="7"/>
  <c r="AA955" i="7" s="1"/>
  <c r="Y956" i="7"/>
  <c r="Y957" i="7"/>
  <c r="Y958" i="7"/>
  <c r="Y959" i="7"/>
  <c r="Y960" i="7"/>
  <c r="Y961" i="7"/>
  <c r="Y962" i="7"/>
  <c r="Y963" i="7"/>
  <c r="AA963" i="7" s="1"/>
  <c r="Y964" i="7"/>
  <c r="Y965" i="7"/>
  <c r="Y966" i="7"/>
  <c r="Y967" i="7"/>
  <c r="Y968" i="7"/>
  <c r="Y969" i="7"/>
  <c r="Y970" i="7"/>
  <c r="Y971" i="7"/>
  <c r="AA971" i="7" s="1"/>
  <c r="Y972" i="7"/>
  <c r="Y973" i="7"/>
  <c r="Y974" i="7"/>
  <c r="Y975" i="7"/>
  <c r="Y976" i="7"/>
  <c r="Y977" i="7"/>
  <c r="Y978" i="7"/>
  <c r="Y979" i="7"/>
  <c r="AA979" i="7" s="1"/>
  <c r="Y980" i="7"/>
  <c r="Y981" i="7"/>
  <c r="Y982" i="7"/>
  <c r="Y983" i="7"/>
  <c r="Y984" i="7"/>
  <c r="Y985" i="7"/>
  <c r="Y986" i="7"/>
  <c r="Y987" i="7"/>
  <c r="AA987" i="7" s="1"/>
  <c r="Y988" i="7"/>
  <c r="Y989" i="7"/>
  <c r="Y990" i="7"/>
  <c r="Y991" i="7"/>
  <c r="Y992" i="7"/>
  <c r="Y993" i="7"/>
  <c r="Y994" i="7"/>
  <c r="Y995" i="7"/>
  <c r="AA995" i="7" s="1"/>
  <c r="Y996" i="7"/>
  <c r="Y997" i="7"/>
  <c r="Y998" i="7"/>
  <c r="Y999" i="7"/>
  <c r="Y1000" i="7"/>
  <c r="Y1001" i="7"/>
  <c r="Y1002" i="7"/>
  <c r="Y1003" i="7"/>
  <c r="AA1003" i="7" s="1"/>
  <c r="Y1004" i="7"/>
  <c r="Y1005" i="7"/>
  <c r="Y1006" i="7"/>
  <c r="Y1007" i="7"/>
  <c r="Y1008" i="7"/>
  <c r="Y1009" i="7"/>
  <c r="Y1010" i="7"/>
  <c r="Y1011" i="7"/>
  <c r="AA1011" i="7" s="1"/>
  <c r="Y1012" i="7"/>
  <c r="Y1013" i="7"/>
  <c r="Y1014" i="7"/>
  <c r="Y1015" i="7"/>
  <c r="Y1016" i="7"/>
  <c r="Y1017" i="7"/>
  <c r="Y1018" i="7"/>
  <c r="Y1019" i="7"/>
  <c r="AA1019" i="7" s="1"/>
  <c r="Y1020" i="7"/>
  <c r="Y1021" i="7"/>
  <c r="Y1022" i="7"/>
  <c r="Y1023" i="7"/>
  <c r="Y1024" i="7"/>
  <c r="Y1025" i="7"/>
  <c r="Y1026" i="7"/>
  <c r="Y1027" i="7"/>
  <c r="AA1027" i="7" s="1"/>
  <c r="Y1028" i="7"/>
  <c r="Y1029" i="7"/>
  <c r="Y1030" i="7"/>
  <c r="Y1031" i="7"/>
  <c r="Y1032" i="7"/>
  <c r="Y1033" i="7"/>
  <c r="Y1034" i="7"/>
  <c r="Y1035" i="7"/>
  <c r="AA1035" i="7" s="1"/>
  <c r="Y1036" i="7"/>
  <c r="Y1037" i="7"/>
  <c r="Y1038" i="7"/>
  <c r="Y1039" i="7"/>
  <c r="Y1040" i="7"/>
  <c r="Y1041" i="7"/>
  <c r="Y1042" i="7"/>
  <c r="Y1043" i="7"/>
  <c r="AA1043" i="7" s="1"/>
  <c r="Y1044" i="7"/>
  <c r="Y1045" i="7"/>
  <c r="Y1046" i="7"/>
  <c r="Y1047" i="7"/>
  <c r="Y1048" i="7"/>
  <c r="Y1049" i="7"/>
  <c r="Y1050" i="7"/>
  <c r="Y1051" i="7"/>
  <c r="AA1051" i="7" s="1"/>
  <c r="Y1052" i="7"/>
  <c r="Y1053" i="7"/>
  <c r="Y1054" i="7"/>
  <c r="Y1055" i="7"/>
  <c r="Y1056" i="7"/>
  <c r="Y1057" i="7"/>
  <c r="Y1058" i="7"/>
  <c r="Y1059" i="7"/>
  <c r="AA1059" i="7" s="1"/>
  <c r="Y1060" i="7"/>
  <c r="Y1061" i="7"/>
  <c r="Y1062" i="7"/>
  <c r="Y1063" i="7"/>
  <c r="Y1064" i="7"/>
  <c r="Y1065" i="7"/>
  <c r="Y1066" i="7"/>
  <c r="Y1067" i="7"/>
  <c r="AA1067" i="7" s="1"/>
  <c r="Y1068" i="7"/>
  <c r="Y1069" i="7"/>
  <c r="Y1070" i="7"/>
  <c r="Y1071" i="7"/>
  <c r="Y1072" i="7"/>
  <c r="Y1073" i="7"/>
  <c r="Y1074" i="7"/>
  <c r="Y1075" i="7"/>
  <c r="AA1075" i="7" s="1"/>
  <c r="Y1076" i="7"/>
  <c r="Y1077" i="7"/>
  <c r="Y1078" i="7"/>
  <c r="Y1079" i="7"/>
  <c r="Y1080" i="7"/>
  <c r="Y1081" i="7"/>
  <c r="Y1082" i="7"/>
  <c r="Y1083" i="7"/>
  <c r="AA1083" i="7" s="1"/>
  <c r="Y1084" i="7"/>
  <c r="Y1085" i="7"/>
  <c r="Y1086" i="7"/>
  <c r="Y1087" i="7"/>
  <c r="Y1088" i="7"/>
  <c r="Y1089" i="7"/>
  <c r="Y1090" i="7"/>
  <c r="Y1091" i="7"/>
  <c r="AA1091" i="7" s="1"/>
  <c r="Y1092" i="7"/>
  <c r="Y1093" i="7"/>
  <c r="Y1094" i="7"/>
  <c r="Y1095" i="7"/>
  <c r="Y1096" i="7"/>
  <c r="Y1097" i="7"/>
  <c r="Y1098" i="7"/>
  <c r="Y1099" i="7"/>
  <c r="AA1099" i="7" s="1"/>
  <c r="Y1100" i="7"/>
  <c r="Y1101" i="7"/>
  <c r="Y1102" i="7"/>
  <c r="Y1103" i="7"/>
  <c r="Y1104" i="7"/>
  <c r="Y1105" i="7"/>
  <c r="Y1106" i="7"/>
  <c r="Y1107" i="7"/>
  <c r="AA1107" i="7" s="1"/>
  <c r="Y1108" i="7"/>
  <c r="Y1109" i="7"/>
  <c r="Y1110" i="7"/>
  <c r="Y1111" i="7"/>
  <c r="Y1112" i="7"/>
  <c r="Y1113" i="7"/>
  <c r="Y1114" i="7"/>
  <c r="Y1115" i="7"/>
  <c r="AA1115" i="7" s="1"/>
  <c r="Y1116" i="7"/>
  <c r="Y1117" i="7"/>
  <c r="Y1118" i="7"/>
  <c r="Y1119" i="7"/>
  <c r="Y1120" i="7"/>
  <c r="Y1121" i="7"/>
  <c r="Y1122" i="7"/>
  <c r="Y1123" i="7"/>
  <c r="AA1123" i="7" s="1"/>
  <c r="Y1124" i="7"/>
  <c r="Y1125" i="7"/>
  <c r="Y1126" i="7"/>
  <c r="Y1127" i="7"/>
  <c r="Y1128" i="7"/>
  <c r="Y1129" i="7"/>
  <c r="Y1130" i="7"/>
  <c r="Y1131" i="7"/>
  <c r="AA1131" i="7" s="1"/>
  <c r="Y1132" i="7"/>
  <c r="Y1133" i="7"/>
  <c r="Y1134" i="7"/>
  <c r="Y1135" i="7"/>
  <c r="Y1136" i="7"/>
  <c r="Y1137" i="7"/>
  <c r="Y1138" i="7"/>
  <c r="Y1139" i="7"/>
  <c r="AA1139" i="7" s="1"/>
  <c r="Y1140" i="7"/>
  <c r="Y1141" i="7"/>
  <c r="Y1142" i="7"/>
  <c r="Y1143" i="7"/>
  <c r="Y1144" i="7"/>
  <c r="Y1145" i="7"/>
  <c r="Y1146" i="7"/>
  <c r="Y1147" i="7"/>
  <c r="AA1147" i="7" s="1"/>
  <c r="Y1148" i="7"/>
  <c r="Y1149" i="7"/>
  <c r="Y1150" i="7"/>
  <c r="Y1151" i="7"/>
  <c r="Y1152" i="7"/>
  <c r="Y1153" i="7"/>
  <c r="Y1154" i="7"/>
  <c r="Y1155" i="7"/>
  <c r="AA1155" i="7" s="1"/>
  <c r="Y1156" i="7"/>
  <c r="Y1157" i="7"/>
  <c r="Y1158" i="7"/>
  <c r="Y1159" i="7"/>
  <c r="Y1160" i="7"/>
  <c r="Y1161" i="7"/>
  <c r="Y1162" i="7"/>
  <c r="Y1163" i="7"/>
  <c r="AA1163" i="7" s="1"/>
  <c r="Y1164" i="7"/>
  <c r="Y1165" i="7"/>
  <c r="Y1166" i="7"/>
  <c r="Y1167" i="7"/>
  <c r="Y1168" i="7"/>
  <c r="Y1169" i="7"/>
  <c r="Y1170" i="7"/>
  <c r="Y1171" i="7"/>
  <c r="AA1171" i="7" s="1"/>
  <c r="Y1172" i="7"/>
  <c r="Y1173" i="7"/>
  <c r="Y1174" i="7"/>
  <c r="Y1175" i="7"/>
  <c r="Y1176" i="7"/>
  <c r="Y1177" i="7"/>
  <c r="Y1178" i="7"/>
  <c r="Y1179" i="7"/>
  <c r="AA1179" i="7" s="1"/>
  <c r="Y1180" i="7"/>
  <c r="Y1181" i="7"/>
  <c r="Y1182" i="7"/>
  <c r="Y1183" i="7"/>
  <c r="Y1184" i="7"/>
  <c r="Y1185" i="7"/>
  <c r="Y1186" i="7"/>
  <c r="Y1187" i="7"/>
  <c r="AA1187" i="7" s="1"/>
  <c r="Y1188" i="7"/>
  <c r="Y1189" i="7"/>
  <c r="Y1190" i="7"/>
  <c r="Y1191" i="7"/>
  <c r="Y1192" i="7"/>
  <c r="Y1193" i="7"/>
  <c r="Y1194" i="7"/>
  <c r="Y1195" i="7"/>
  <c r="AA1195" i="7" s="1"/>
  <c r="Y1196" i="7"/>
  <c r="Y1197" i="7"/>
  <c r="Y1198" i="7"/>
  <c r="Y1199" i="7"/>
  <c r="Y1200" i="7"/>
  <c r="Y1201" i="7"/>
  <c r="Y1202" i="7"/>
  <c r="Y1203" i="7"/>
  <c r="AA1203" i="7" s="1"/>
  <c r="Y1204" i="7"/>
  <c r="Y1205" i="7"/>
  <c r="Y1206" i="7"/>
  <c r="Y1207" i="7"/>
  <c r="Y1208" i="7"/>
  <c r="Y1209" i="7"/>
  <c r="Y1210" i="7"/>
  <c r="Y1211" i="7"/>
  <c r="AA1211" i="7" s="1"/>
  <c r="Y1212" i="7"/>
  <c r="Y1213" i="7"/>
  <c r="Y1214" i="7"/>
  <c r="Y1215" i="7"/>
  <c r="Y1216" i="7"/>
  <c r="Y1217" i="7"/>
  <c r="Y1218" i="7"/>
  <c r="Y1219" i="7"/>
  <c r="AA1219" i="7" s="1"/>
  <c r="Y1220" i="7"/>
  <c r="Y1221" i="7"/>
  <c r="Y1222" i="7"/>
  <c r="Y1223" i="7"/>
  <c r="Y1224" i="7"/>
  <c r="Y1225" i="7"/>
  <c r="Y1226" i="7"/>
  <c r="Y1227" i="7"/>
  <c r="AA1227" i="7" s="1"/>
  <c r="Y1228" i="7"/>
  <c r="Y1229" i="7"/>
  <c r="Y1230" i="7"/>
  <c r="Y1231" i="7"/>
  <c r="Y1232" i="7"/>
  <c r="Y1233" i="7"/>
  <c r="Y1234" i="7"/>
  <c r="Y1235" i="7"/>
  <c r="AA1235" i="7" s="1"/>
  <c r="Y1236" i="7"/>
  <c r="Y1237" i="7"/>
  <c r="Y1238" i="7"/>
  <c r="Y1239" i="7"/>
  <c r="Y1240" i="7"/>
  <c r="Y1241" i="7"/>
  <c r="Y1242" i="7"/>
  <c r="Y1243" i="7"/>
  <c r="AA1243" i="7" s="1"/>
  <c r="Y1244" i="7"/>
  <c r="Y1245" i="7"/>
  <c r="Y1246" i="7"/>
  <c r="Y1247" i="7"/>
  <c r="Y1248" i="7"/>
  <c r="Y1249" i="7"/>
  <c r="Y1250" i="7"/>
  <c r="Y1251" i="7"/>
  <c r="AA1251" i="7" s="1"/>
  <c r="Y1252" i="7"/>
  <c r="Y1253" i="7"/>
  <c r="Y1254" i="7"/>
  <c r="Y1255" i="7"/>
  <c r="Y1256" i="7"/>
  <c r="Y1257" i="7"/>
  <c r="Y1258" i="7"/>
  <c r="Y1259" i="7"/>
  <c r="AA1259" i="7" s="1"/>
  <c r="Y1260" i="7"/>
  <c r="Y1261" i="7"/>
  <c r="Y1262" i="7"/>
  <c r="Y1263" i="7"/>
  <c r="Y1264" i="7"/>
  <c r="Y1265" i="7"/>
  <c r="Y1266" i="7"/>
  <c r="Y1267" i="7"/>
  <c r="AA1267" i="7" s="1"/>
  <c r="Y1268" i="7"/>
  <c r="Y1269" i="7"/>
  <c r="Y1270" i="7"/>
  <c r="Y1271" i="7"/>
  <c r="Y1272" i="7"/>
  <c r="Y1273" i="7"/>
  <c r="Y1274" i="7"/>
  <c r="Y1275" i="7"/>
  <c r="AA1275" i="7" s="1"/>
  <c r="Y1276" i="7"/>
  <c r="Y1277" i="7"/>
  <c r="Y1278" i="7"/>
  <c r="Y1279" i="7"/>
  <c r="Y1280" i="7"/>
  <c r="Y1281" i="7"/>
  <c r="Y1282" i="7"/>
  <c r="Y1283" i="7"/>
  <c r="AA1283" i="7" s="1"/>
  <c r="Y1284" i="7"/>
  <c r="Y1285" i="7"/>
  <c r="Y1286" i="7"/>
  <c r="Y1287" i="7"/>
  <c r="Y1288" i="7"/>
  <c r="Y1289" i="7"/>
  <c r="Y1290" i="7"/>
  <c r="Y1291" i="7"/>
  <c r="AA1291" i="7" s="1"/>
  <c r="Y1292" i="7"/>
  <c r="Y1293" i="7"/>
  <c r="Y1294" i="7"/>
  <c r="Y1295" i="7"/>
  <c r="Y1296" i="7"/>
  <c r="Y1297" i="7"/>
  <c r="Y1298" i="7"/>
  <c r="Y1299" i="7"/>
  <c r="AA1299" i="7" s="1"/>
  <c r="Y1300" i="7"/>
  <c r="Y1301" i="7"/>
  <c r="Y1302" i="7"/>
  <c r="Y1303" i="7"/>
  <c r="Y1304" i="7"/>
  <c r="Y1305" i="7"/>
  <c r="Y1306" i="7"/>
  <c r="Y1307" i="7"/>
  <c r="AA1307" i="7" s="1"/>
  <c r="Y1308" i="7"/>
  <c r="Y1309" i="7"/>
  <c r="Y1310" i="7"/>
  <c r="Y1311" i="7"/>
  <c r="Y1312" i="7"/>
  <c r="Y1313" i="7"/>
  <c r="Y1314" i="7"/>
  <c r="Y1315" i="7"/>
  <c r="AA1315" i="7" s="1"/>
  <c r="Y1316" i="7"/>
  <c r="Y1317" i="7"/>
  <c r="Y1318" i="7"/>
  <c r="Y1319" i="7"/>
  <c r="Y1320" i="7"/>
  <c r="Y1321" i="7"/>
  <c r="Y1322" i="7"/>
  <c r="Y1323" i="7"/>
  <c r="AA1323" i="7" s="1"/>
  <c r="Y1324" i="7"/>
  <c r="Y1325" i="7"/>
  <c r="Y1326" i="7"/>
  <c r="Y1327" i="7"/>
  <c r="Y1328" i="7"/>
  <c r="Y1329" i="7"/>
  <c r="Y1330" i="7"/>
  <c r="Y1331" i="7"/>
  <c r="AA1331" i="7" s="1"/>
  <c r="Y1332" i="7"/>
  <c r="Y1333" i="7"/>
  <c r="Y1334" i="7"/>
  <c r="Y1335" i="7"/>
  <c r="Y1336" i="7"/>
  <c r="Y1337" i="7"/>
  <c r="Y1338" i="7"/>
  <c r="Y1339" i="7"/>
  <c r="AA1339" i="7" s="1"/>
  <c r="Y1340" i="7"/>
  <c r="Y1341" i="7"/>
  <c r="Y1342" i="7"/>
  <c r="Y1343" i="7"/>
  <c r="Y1344" i="7"/>
  <c r="Y1345" i="7"/>
  <c r="Y1346" i="7"/>
  <c r="Y1347" i="7"/>
  <c r="AA1347" i="7" s="1"/>
  <c r="Y1348" i="7"/>
  <c r="Y1349" i="7"/>
  <c r="Y1350" i="7"/>
  <c r="Y1351" i="7"/>
  <c r="Y1352" i="7"/>
  <c r="Y1353" i="7"/>
  <c r="Y1354" i="7"/>
  <c r="Y1355" i="7"/>
  <c r="AA1355" i="7" s="1"/>
  <c r="Y1356" i="7"/>
  <c r="Y1357" i="7"/>
  <c r="Y1358" i="7"/>
  <c r="Y1359" i="7"/>
  <c r="Y1360" i="7"/>
  <c r="Y1361" i="7"/>
  <c r="Y1362" i="7"/>
  <c r="Y1363" i="7"/>
  <c r="AA1363" i="7" s="1"/>
  <c r="Y1364" i="7"/>
  <c r="Y1365" i="7"/>
  <c r="Y1366" i="7"/>
  <c r="Y1367" i="7"/>
  <c r="Y1368" i="7"/>
  <c r="Y1369" i="7"/>
  <c r="Y1370" i="7"/>
  <c r="Y1371" i="7"/>
  <c r="AA1371" i="7" s="1"/>
  <c r="Y1372" i="7"/>
  <c r="Y1373" i="7"/>
  <c r="Y1374" i="7"/>
  <c r="Y1375" i="7"/>
  <c r="Y1376" i="7"/>
  <c r="Y1377" i="7"/>
  <c r="Y1378" i="7"/>
  <c r="Y1379" i="7"/>
  <c r="AA1379" i="7" s="1"/>
  <c r="Y1380" i="7"/>
  <c r="Y1381" i="7"/>
  <c r="Y1382" i="7"/>
  <c r="Y1383" i="7"/>
  <c r="Y1384" i="7"/>
  <c r="Y1385" i="7"/>
  <c r="Y1386" i="7"/>
  <c r="Y1387" i="7"/>
  <c r="AA1387" i="7" s="1"/>
  <c r="Y1388" i="7"/>
  <c r="Y1389" i="7"/>
  <c r="Y1390" i="7"/>
  <c r="Y1391" i="7"/>
  <c r="Y1392" i="7"/>
  <c r="Y1393" i="7"/>
  <c r="Y1394" i="7"/>
  <c r="Y1395" i="7"/>
  <c r="AA1395" i="7" s="1"/>
  <c r="Y1396" i="7"/>
  <c r="Y1397" i="7"/>
  <c r="Y1398" i="7"/>
  <c r="Y1399" i="7"/>
  <c r="Y1400" i="7"/>
  <c r="Y1401" i="7"/>
  <c r="Y1402" i="7"/>
  <c r="Y1403" i="7"/>
  <c r="AA1403" i="7" s="1"/>
  <c r="Y1404" i="7"/>
  <c r="Y1405" i="7"/>
  <c r="Y1406" i="7"/>
  <c r="Y1407" i="7"/>
  <c r="Y1408" i="7"/>
  <c r="Y1409" i="7"/>
  <c r="Y1410" i="7"/>
  <c r="Y1411" i="7"/>
  <c r="AA1411" i="7" s="1"/>
  <c r="Y1412" i="7"/>
  <c r="Y1413" i="7"/>
  <c r="Y1414" i="7"/>
  <c r="Y1415" i="7"/>
  <c r="Y1416" i="7"/>
  <c r="Y1417" i="7"/>
  <c r="Y1418" i="7"/>
  <c r="Y1419" i="7"/>
  <c r="AA1419" i="7" s="1"/>
  <c r="Y1420" i="7"/>
  <c r="Y1421" i="7"/>
  <c r="Y1422" i="7"/>
  <c r="Y1423" i="7"/>
  <c r="Y1424" i="7"/>
  <c r="Y1425" i="7"/>
  <c r="Y1426" i="7"/>
  <c r="Y1427" i="7"/>
  <c r="AA1427" i="7" s="1"/>
  <c r="Y1428" i="7"/>
  <c r="Y1429" i="7"/>
  <c r="Y1430" i="7"/>
  <c r="Y1431" i="7"/>
  <c r="Y1432" i="7"/>
  <c r="Y1433" i="7"/>
  <c r="Y1434" i="7"/>
  <c r="Y1435" i="7"/>
  <c r="AA1435" i="7" s="1"/>
  <c r="Y1436" i="7"/>
  <c r="Y1437" i="7"/>
  <c r="Y1438" i="7"/>
  <c r="Y1439" i="7"/>
  <c r="Y1440" i="7"/>
  <c r="Y1441" i="7"/>
  <c r="Y1442" i="7"/>
  <c r="Y1443" i="7"/>
  <c r="AA1443" i="7" s="1"/>
  <c r="Y1444" i="7"/>
  <c r="Y1445" i="7"/>
  <c r="Y1446" i="7"/>
  <c r="Y1447" i="7"/>
  <c r="Y1448" i="7"/>
  <c r="Y1449" i="7"/>
  <c r="Y1450" i="7"/>
  <c r="Y1451" i="7"/>
  <c r="AA1451" i="7" s="1"/>
  <c r="Y1452" i="7"/>
  <c r="Y1453" i="7"/>
  <c r="Y1454" i="7"/>
  <c r="Y1455" i="7"/>
  <c r="Y1456" i="7"/>
  <c r="Y1457" i="7"/>
  <c r="Y1458" i="7"/>
  <c r="Y1459" i="7"/>
  <c r="AA1459" i="7" s="1"/>
  <c r="Y1460" i="7"/>
  <c r="Y1461" i="7"/>
  <c r="Y1462" i="7"/>
  <c r="Y1463" i="7"/>
  <c r="Y1464" i="7"/>
  <c r="Y1465" i="7"/>
  <c r="Y1466" i="7"/>
  <c r="Y1467" i="7"/>
  <c r="AA1467" i="7" s="1"/>
  <c r="Y1468" i="7"/>
  <c r="Y1469" i="7"/>
  <c r="Y1470" i="7"/>
  <c r="Y1471" i="7"/>
  <c r="Y1472" i="7"/>
  <c r="Y1473" i="7"/>
  <c r="Y1474" i="7"/>
  <c r="Y1475" i="7"/>
  <c r="AA1475" i="7" s="1"/>
  <c r="Y1476" i="7"/>
  <c r="Y1477" i="7"/>
  <c r="Y1478" i="7"/>
  <c r="Y1479" i="7"/>
  <c r="Y1480" i="7"/>
  <c r="Y1481" i="7"/>
  <c r="Y1482" i="7"/>
  <c r="Y1483" i="7"/>
  <c r="AA1483" i="7" s="1"/>
  <c r="Y1484" i="7"/>
  <c r="Y1485" i="7"/>
  <c r="Y1486" i="7"/>
  <c r="Y1487" i="7"/>
  <c r="Y1488" i="7"/>
  <c r="Y1489" i="7"/>
  <c r="Y1490" i="7"/>
  <c r="Y1491" i="7"/>
  <c r="AA1491" i="7" s="1"/>
  <c r="Y1492" i="7"/>
  <c r="Y1493" i="7"/>
  <c r="Y1494" i="7"/>
  <c r="Y1495" i="7"/>
  <c r="Y1496" i="7"/>
  <c r="Y1497" i="7"/>
  <c r="Y1498" i="7"/>
  <c r="Y1499" i="7"/>
  <c r="AA1499" i="7" s="1"/>
  <c r="Y1500" i="7"/>
  <c r="Y1501" i="7"/>
  <c r="Y1502" i="7"/>
  <c r="Y1503" i="7"/>
  <c r="Y1504" i="7"/>
  <c r="Y1505" i="7"/>
  <c r="Y1506" i="7"/>
  <c r="Y1507" i="7"/>
  <c r="AA1507" i="7" s="1"/>
  <c r="Y1508" i="7"/>
  <c r="Y1509" i="7"/>
  <c r="Y1510" i="7"/>
  <c r="Y1511" i="7"/>
  <c r="Y1512" i="7"/>
  <c r="Y1513" i="7"/>
  <c r="Y1514" i="7"/>
  <c r="Y1515" i="7"/>
  <c r="AA1515" i="7" s="1"/>
  <c r="Y1516" i="7"/>
  <c r="Y1517" i="7"/>
  <c r="Y1518" i="7"/>
  <c r="Y1519" i="7"/>
  <c r="Y1520" i="7"/>
  <c r="Y1521" i="7"/>
  <c r="Y1522" i="7"/>
  <c r="Y1523" i="7"/>
  <c r="AA1523" i="7" s="1"/>
  <c r="Y1524" i="7"/>
  <c r="Y1525" i="7"/>
  <c r="Y1526" i="7"/>
  <c r="Y1527" i="7"/>
  <c r="Y1528" i="7"/>
  <c r="Y1529" i="7"/>
  <c r="Y1530" i="7"/>
  <c r="Y1531" i="7"/>
  <c r="AA1531" i="7" s="1"/>
  <c r="Y1532" i="7"/>
  <c r="Y1533" i="7"/>
  <c r="Y1534" i="7"/>
  <c r="Y1535" i="7"/>
  <c r="Y1536" i="7"/>
  <c r="Y1537" i="7"/>
  <c r="Y1538" i="7"/>
  <c r="Y1539" i="7"/>
  <c r="AA1539" i="7" s="1"/>
  <c r="Y1540" i="7"/>
  <c r="Y1541" i="7"/>
  <c r="Y1542" i="7"/>
  <c r="Y1543" i="7"/>
  <c r="Y1544" i="7"/>
  <c r="Y1545" i="7"/>
  <c r="Y1546" i="7"/>
  <c r="Y1547" i="7"/>
  <c r="AA1547" i="7" s="1"/>
  <c r="Y1548" i="7"/>
  <c r="Y1549" i="7"/>
  <c r="Y1550" i="7"/>
  <c r="Y1551" i="7"/>
  <c r="Y1552" i="7"/>
  <c r="Y1553" i="7"/>
  <c r="Y1554" i="7"/>
  <c r="Y1555" i="7"/>
  <c r="AA1555" i="7" s="1"/>
  <c r="Y1556" i="7"/>
  <c r="Y1557" i="7"/>
  <c r="Y1558" i="7"/>
  <c r="Y1559" i="7"/>
  <c r="Y1560" i="7"/>
  <c r="Y1561" i="7"/>
  <c r="Y1562" i="7"/>
  <c r="Y1563" i="7"/>
  <c r="AA1563" i="7" s="1"/>
  <c r="Y1564" i="7"/>
  <c r="Y1565" i="7"/>
  <c r="Y1566" i="7"/>
  <c r="Y1567" i="7"/>
  <c r="Y1568" i="7"/>
  <c r="Y1569" i="7"/>
  <c r="Y1570" i="7"/>
  <c r="Y1571" i="7"/>
  <c r="AA1571" i="7" s="1"/>
  <c r="Y1572" i="7"/>
  <c r="Y1573" i="7"/>
  <c r="Y1574" i="7"/>
  <c r="Y1575" i="7"/>
  <c r="Y1576" i="7"/>
  <c r="Y1577" i="7"/>
  <c r="Y1578" i="7"/>
  <c r="Y1579" i="7"/>
  <c r="AA1579" i="7" s="1"/>
  <c r="Y1580" i="7"/>
  <c r="Y1581" i="7"/>
  <c r="Y1582" i="7"/>
  <c r="Y1583" i="7"/>
  <c r="Y1584" i="7"/>
  <c r="Y1585" i="7"/>
  <c r="Y1586" i="7"/>
  <c r="Y1587" i="7"/>
  <c r="AA1587" i="7" s="1"/>
  <c r="Y1588" i="7"/>
  <c r="Y1589" i="7"/>
  <c r="Y1590" i="7"/>
  <c r="Y1591" i="7"/>
  <c r="Y1592" i="7"/>
  <c r="Y1593" i="7"/>
  <c r="Y1594" i="7"/>
  <c r="Y1595" i="7"/>
  <c r="AA1595" i="7" s="1"/>
  <c r="Y1596" i="7"/>
  <c r="Y1597" i="7"/>
  <c r="Y1598" i="7"/>
  <c r="Y1599" i="7"/>
  <c r="Y1600" i="7"/>
  <c r="Y1601" i="7"/>
  <c r="Y1602" i="7"/>
  <c r="Y1603" i="7"/>
  <c r="AA1603" i="7" s="1"/>
  <c r="Y1604" i="7"/>
  <c r="Y1605" i="7"/>
  <c r="Y1606" i="7"/>
  <c r="Y1607" i="7"/>
  <c r="Y1608" i="7"/>
  <c r="Y1609" i="7"/>
  <c r="Y1610" i="7"/>
  <c r="Y1611" i="7"/>
  <c r="AA1611" i="7" s="1"/>
  <c r="Y1612" i="7"/>
  <c r="Y1613" i="7"/>
  <c r="Y1614" i="7"/>
  <c r="Y1615" i="7"/>
  <c r="Y1616" i="7"/>
  <c r="Y1617" i="7"/>
  <c r="Y1618" i="7"/>
  <c r="Y1619" i="7"/>
  <c r="AA1619" i="7" s="1"/>
  <c r="Y1620" i="7"/>
  <c r="Y1621" i="7"/>
  <c r="Y1622" i="7"/>
  <c r="Y1623" i="7"/>
  <c r="Y1624" i="7"/>
  <c r="Y1625" i="7"/>
  <c r="Y1626" i="7"/>
  <c r="Y1627" i="7"/>
  <c r="AA1627" i="7" s="1"/>
  <c r="Y1628" i="7"/>
  <c r="Y1629" i="7"/>
  <c r="Y1630" i="7"/>
  <c r="Y1631" i="7"/>
  <c r="Y1632" i="7"/>
  <c r="Y1633" i="7"/>
  <c r="Y1634" i="7"/>
  <c r="Y1635" i="7"/>
  <c r="AA1635" i="7" s="1"/>
  <c r="Y1636" i="7"/>
  <c r="Y1637" i="7"/>
  <c r="Y1638" i="7"/>
  <c r="Y1639" i="7"/>
  <c r="Y1640" i="7"/>
  <c r="Y1641" i="7"/>
  <c r="Y1642" i="7"/>
  <c r="Y1643" i="7"/>
  <c r="AA1643" i="7" s="1"/>
  <c r="Y1644" i="7"/>
  <c r="Y1645" i="7"/>
  <c r="Y1646" i="7"/>
  <c r="Y1647" i="7"/>
  <c r="Y1648" i="7"/>
  <c r="Y1649" i="7"/>
  <c r="Y1650" i="7"/>
  <c r="Y1651" i="7"/>
  <c r="AA1651" i="7" s="1"/>
  <c r="Y1652" i="7"/>
  <c r="Y1653" i="7"/>
  <c r="Y1654" i="7"/>
  <c r="Y1655" i="7"/>
  <c r="Y1656" i="7"/>
  <c r="Y1657" i="7"/>
  <c r="Y1658" i="7"/>
  <c r="Y1659" i="7"/>
  <c r="AA1659" i="7" s="1"/>
  <c r="Y1660" i="7"/>
  <c r="Y1661" i="7"/>
  <c r="Y1662" i="7"/>
  <c r="Y1663" i="7"/>
  <c r="Y1664" i="7"/>
  <c r="Y1665" i="7"/>
  <c r="Y1666" i="7"/>
  <c r="Y1667" i="7"/>
  <c r="AA1667" i="7" s="1"/>
  <c r="Y1668" i="7"/>
  <c r="Y1669" i="7"/>
  <c r="Y1670" i="7"/>
  <c r="Y1671" i="7"/>
  <c r="Y1672" i="7"/>
  <c r="Y1673" i="7"/>
  <c r="Y1674" i="7"/>
  <c r="Y1675" i="7"/>
  <c r="AA1675" i="7" s="1"/>
  <c r="Y1676" i="7"/>
  <c r="Y1677" i="7"/>
  <c r="Y1678" i="7"/>
  <c r="Y1679" i="7"/>
  <c r="Y1680" i="7"/>
  <c r="Y1681" i="7"/>
  <c r="Y1682" i="7"/>
  <c r="Y1683" i="7"/>
  <c r="AA1683" i="7" s="1"/>
  <c r="Y1684" i="7"/>
  <c r="Y1685" i="7"/>
  <c r="Y1686" i="7"/>
  <c r="Y1687" i="7"/>
  <c r="Y1688" i="7"/>
  <c r="Y1689" i="7"/>
  <c r="Y1690" i="7"/>
  <c r="Y1691" i="7"/>
  <c r="AA1691" i="7" s="1"/>
  <c r="Y1692" i="7"/>
  <c r="Y1693" i="7"/>
  <c r="Y1694" i="7"/>
  <c r="Y1695" i="7"/>
  <c r="Y1696" i="7"/>
  <c r="Y1697" i="7"/>
  <c r="Y1698" i="7"/>
  <c r="Y1699" i="7"/>
  <c r="AA1699" i="7" s="1"/>
  <c r="Y1700" i="7"/>
  <c r="Y1701" i="7"/>
  <c r="Y1702" i="7"/>
  <c r="Y1703" i="7"/>
  <c r="Y1704" i="7"/>
  <c r="Y1705" i="7"/>
  <c r="Y1706" i="7"/>
  <c r="Y1707" i="7"/>
  <c r="AA1707" i="7" s="1"/>
  <c r="Y1708" i="7"/>
  <c r="Y1709" i="7"/>
  <c r="Y1710" i="7"/>
  <c r="Y1711" i="7"/>
  <c r="Y1712" i="7"/>
  <c r="Y1713" i="7"/>
  <c r="Y1714" i="7"/>
  <c r="Y1715" i="7"/>
  <c r="AA1715" i="7" s="1"/>
  <c r="Y1716" i="7"/>
  <c r="Y1717" i="7"/>
  <c r="Y1718" i="7"/>
  <c r="Y1719" i="7"/>
  <c r="Y1720" i="7"/>
  <c r="Y1721" i="7"/>
  <c r="Y1722" i="7"/>
  <c r="Y1723" i="7"/>
  <c r="AA1723" i="7" s="1"/>
  <c r="Y1724" i="7"/>
  <c r="Y1725" i="7"/>
  <c r="Y1726" i="7"/>
  <c r="Y1727" i="7"/>
  <c r="Y1728" i="7"/>
  <c r="Y1729" i="7"/>
  <c r="Y1730" i="7"/>
  <c r="Y1731" i="7"/>
  <c r="AA1731" i="7" s="1"/>
  <c r="Y1732" i="7"/>
  <c r="Y1733" i="7"/>
  <c r="Y1734" i="7"/>
  <c r="Y1735" i="7"/>
  <c r="Y1736" i="7"/>
  <c r="Y1737" i="7"/>
  <c r="Y1738" i="7"/>
  <c r="Y1739" i="7"/>
  <c r="AA1739" i="7" s="1"/>
  <c r="Y1740" i="7"/>
  <c r="Y1741" i="7"/>
  <c r="Y1742" i="7"/>
  <c r="Y1743" i="7"/>
  <c r="Y1744" i="7"/>
  <c r="Y1745" i="7"/>
  <c r="Y1746" i="7"/>
  <c r="Y1747" i="7"/>
  <c r="AA1747" i="7" s="1"/>
  <c r="Y1748" i="7"/>
  <c r="Y1749" i="7"/>
  <c r="Y1750" i="7"/>
  <c r="Y1751" i="7"/>
  <c r="Y1752" i="7"/>
  <c r="Y1753" i="7"/>
  <c r="Y1754" i="7"/>
  <c r="Y1755" i="7"/>
  <c r="AA1755" i="7" s="1"/>
  <c r="Y1756" i="7"/>
  <c r="Y1757" i="7"/>
  <c r="Y1758" i="7"/>
  <c r="Y1759" i="7"/>
  <c r="Y1760" i="7"/>
  <c r="Y1761" i="7"/>
  <c r="Y1762" i="7"/>
  <c r="Y1763" i="7"/>
  <c r="AA1763" i="7" s="1"/>
  <c r="Y1764" i="7"/>
  <c r="Y1765" i="7"/>
  <c r="Y1766" i="7"/>
  <c r="Y1767" i="7"/>
  <c r="Y1768" i="7"/>
  <c r="Y1769" i="7"/>
  <c r="Y1770" i="7"/>
  <c r="Y1771" i="7"/>
  <c r="AA1771" i="7" s="1"/>
  <c r="Y1772" i="7"/>
  <c r="Y1773" i="7"/>
  <c r="Y1774" i="7"/>
  <c r="Y1775" i="7"/>
  <c r="Y1776" i="7"/>
  <c r="Y1777" i="7"/>
  <c r="Y1778" i="7"/>
  <c r="Y1779" i="7"/>
  <c r="AA1779" i="7" s="1"/>
  <c r="Y1780" i="7"/>
  <c r="Y1781" i="7"/>
  <c r="Y1782" i="7"/>
  <c r="Y1783" i="7"/>
  <c r="Y1784" i="7"/>
  <c r="Y1785" i="7"/>
  <c r="Y1786" i="7"/>
  <c r="Y1787" i="7"/>
  <c r="AA1787" i="7" s="1"/>
  <c r="Y1788" i="7"/>
  <c r="Y1789" i="7"/>
  <c r="Y1790" i="7"/>
  <c r="Y1791" i="7"/>
  <c r="Y1792" i="7"/>
  <c r="Y1793" i="7"/>
  <c r="Y1794" i="7"/>
  <c r="Y1795" i="7"/>
  <c r="AA1795" i="7" s="1"/>
  <c r="Y1796" i="7"/>
  <c r="Y1797" i="7"/>
  <c r="Y1798" i="7"/>
  <c r="Y1799" i="7"/>
  <c r="Y1800" i="7"/>
  <c r="Y1801" i="7"/>
  <c r="Y1802" i="7"/>
  <c r="Y1803" i="7"/>
  <c r="AA1803" i="7" s="1"/>
  <c r="Y1804" i="7"/>
  <c r="Y1805" i="7"/>
  <c r="Y1806" i="7"/>
  <c r="Y1807" i="7"/>
  <c r="Y1808" i="7"/>
  <c r="Y1809" i="7"/>
  <c r="Y1810" i="7"/>
  <c r="Y1811" i="7"/>
  <c r="AA1811" i="7" s="1"/>
  <c r="Y1812" i="7"/>
  <c r="Y1813" i="7"/>
  <c r="Y1814" i="7"/>
  <c r="Y1815" i="7"/>
  <c r="Y1816" i="7"/>
  <c r="Y1817" i="7"/>
  <c r="Y1818" i="7"/>
  <c r="Y1819" i="7"/>
  <c r="AA1819" i="7" s="1"/>
  <c r="Y1820" i="7"/>
  <c r="Y1821" i="7"/>
  <c r="Y1822" i="7"/>
  <c r="Y1823" i="7"/>
  <c r="Y1824" i="7"/>
  <c r="Y1825" i="7"/>
  <c r="Y1826" i="7"/>
  <c r="Y1827" i="7"/>
  <c r="AA1827" i="7" s="1"/>
  <c r="Y1828" i="7"/>
  <c r="Y1829" i="7"/>
  <c r="Y1830" i="7"/>
  <c r="Y1831" i="7"/>
  <c r="Y1832" i="7"/>
  <c r="Y1833" i="7"/>
  <c r="Y1834" i="7"/>
  <c r="Y1835" i="7"/>
  <c r="AA1835" i="7" s="1"/>
  <c r="Y1836" i="7"/>
  <c r="Y1837" i="7"/>
  <c r="Y1838" i="7"/>
  <c r="Y1839" i="7"/>
  <c r="Y1840" i="7"/>
  <c r="Y1841" i="7"/>
  <c r="Y1842" i="7"/>
  <c r="Y1843" i="7"/>
  <c r="AA1843" i="7" s="1"/>
  <c r="Y1844" i="7"/>
  <c r="Y1845" i="7"/>
  <c r="Y1846" i="7"/>
  <c r="Y1847" i="7"/>
  <c r="Y1848" i="7"/>
  <c r="Y1849" i="7"/>
  <c r="Y1850" i="7"/>
  <c r="Y1851" i="7"/>
  <c r="AA1851" i="7" s="1"/>
  <c r="Y1852" i="7"/>
  <c r="Y1853" i="7"/>
  <c r="Y1854" i="7"/>
  <c r="Y1855" i="7"/>
  <c r="Y1856" i="7"/>
  <c r="Y1857" i="7"/>
  <c r="Y1858" i="7"/>
  <c r="Y1859" i="7"/>
  <c r="AA1859" i="7" s="1"/>
  <c r="Y1860" i="7"/>
  <c r="Y1861" i="7"/>
  <c r="Y1862" i="7"/>
  <c r="Y1863" i="7"/>
  <c r="Y1864" i="7"/>
  <c r="Y1865" i="7"/>
  <c r="Y1866" i="7"/>
  <c r="Y1867" i="7"/>
  <c r="AA1867" i="7" s="1"/>
  <c r="Y1868" i="7"/>
  <c r="Y1869" i="7"/>
  <c r="Y1870" i="7"/>
  <c r="Y1871" i="7"/>
  <c r="Y1872" i="7"/>
  <c r="Y1873" i="7"/>
  <c r="Y1874" i="7"/>
  <c r="Y1875" i="7"/>
  <c r="AA1875" i="7" s="1"/>
  <c r="Y1876" i="7"/>
  <c r="Y1877" i="7"/>
  <c r="Y1878" i="7"/>
  <c r="Y1879" i="7"/>
  <c r="Y1880" i="7"/>
  <c r="Y1881" i="7"/>
  <c r="Y1882" i="7"/>
  <c r="Y1883" i="7"/>
  <c r="AA1883" i="7" s="1"/>
  <c r="Y1884" i="7"/>
  <c r="Y1885" i="7"/>
  <c r="Y1886" i="7"/>
  <c r="Y1887" i="7"/>
  <c r="Y1888" i="7"/>
  <c r="Y1889" i="7"/>
  <c r="Y1890" i="7"/>
  <c r="Y1891" i="7"/>
  <c r="AA1891" i="7" s="1"/>
  <c r="Y1892" i="7"/>
  <c r="Y1893" i="7"/>
  <c r="Y1894" i="7"/>
  <c r="Y1895" i="7"/>
  <c r="Y1896" i="7"/>
  <c r="Y1897" i="7"/>
  <c r="Y1898" i="7"/>
  <c r="Y1899" i="7"/>
  <c r="AA1899" i="7" s="1"/>
  <c r="Y1900" i="7"/>
  <c r="Y1901" i="7"/>
  <c r="Y1902" i="7"/>
  <c r="Y1903" i="7"/>
  <c r="Y1904" i="7"/>
  <c r="Y1905" i="7"/>
  <c r="Y1906" i="7"/>
  <c r="Y1907" i="7"/>
  <c r="AA1907" i="7" s="1"/>
  <c r="Y1908" i="7"/>
  <c r="Y1909" i="7"/>
  <c r="Y1910" i="7"/>
  <c r="Y1911" i="7"/>
  <c r="Y1912" i="7"/>
  <c r="Y1913" i="7"/>
  <c r="Y1914" i="7"/>
  <c r="Y1915" i="7"/>
  <c r="AA1915" i="7" s="1"/>
  <c r="Y1916" i="7"/>
  <c r="Y1917" i="7"/>
  <c r="Y1918" i="7"/>
  <c r="Y1919" i="7"/>
  <c r="Y1920" i="7"/>
  <c r="Y1921" i="7"/>
  <c r="Y1922" i="7"/>
  <c r="Y1923" i="7"/>
  <c r="AA1923" i="7" s="1"/>
  <c r="Y1924" i="7"/>
  <c r="Y1925" i="7"/>
  <c r="Y1926" i="7"/>
  <c r="Y1927" i="7"/>
  <c r="Y1928" i="7"/>
  <c r="Y1929" i="7"/>
  <c r="Y1930" i="7"/>
  <c r="Y1931" i="7"/>
  <c r="AA1931" i="7" s="1"/>
  <c r="Y1932" i="7"/>
  <c r="Y1933" i="7"/>
  <c r="Y1934" i="7"/>
  <c r="Y1935" i="7"/>
  <c r="Y1936" i="7"/>
  <c r="Y1937" i="7"/>
  <c r="Y1938" i="7"/>
  <c r="Y1939" i="7"/>
  <c r="AA1939" i="7" s="1"/>
  <c r="Y1940" i="7"/>
  <c r="Y1941" i="7"/>
  <c r="Y1942" i="7"/>
  <c r="Y1943" i="7"/>
  <c r="Y1944" i="7"/>
  <c r="Y1945" i="7"/>
  <c r="Y1946" i="7"/>
  <c r="Y1947" i="7"/>
  <c r="AA1947" i="7" s="1"/>
  <c r="Y1948" i="7"/>
  <c r="Y1949" i="7"/>
  <c r="Y1950" i="7"/>
  <c r="Y1951" i="7"/>
  <c r="Y1952" i="7"/>
  <c r="Y1953" i="7"/>
  <c r="Y1954" i="7"/>
  <c r="Y1955" i="7"/>
  <c r="AA1955" i="7" s="1"/>
  <c r="Y1956" i="7"/>
  <c r="Y1957" i="7"/>
  <c r="Y1958" i="7"/>
  <c r="Y1959" i="7"/>
  <c r="Y1960" i="7"/>
  <c r="Y1961" i="7"/>
  <c r="Y1962" i="7"/>
  <c r="Y1963" i="7"/>
  <c r="AA1963" i="7" s="1"/>
  <c r="Y1964" i="7"/>
  <c r="Y1965" i="7"/>
  <c r="Y1966" i="7"/>
  <c r="Y1967" i="7"/>
  <c r="Y1968" i="7"/>
  <c r="Y1969" i="7"/>
  <c r="Y1970" i="7"/>
  <c r="Y1971" i="7"/>
  <c r="AA1971" i="7" s="1"/>
  <c r="Y1972" i="7"/>
  <c r="Y1973" i="7"/>
  <c r="Y1974" i="7"/>
  <c r="Y1975" i="7"/>
  <c r="Y1976" i="7"/>
  <c r="Y1977" i="7"/>
  <c r="Y1978" i="7"/>
  <c r="Y1979" i="7"/>
  <c r="AA1979" i="7" s="1"/>
  <c r="Y1980" i="7"/>
  <c r="Y1981" i="7"/>
  <c r="Y1982" i="7"/>
  <c r="Y1983" i="7"/>
  <c r="Y1984" i="7"/>
  <c r="Y1985" i="7"/>
  <c r="Y1986" i="7"/>
  <c r="Y1987" i="7"/>
  <c r="AA1987" i="7" s="1"/>
  <c r="Y1988" i="7"/>
  <c r="Y1989" i="7"/>
  <c r="Y1990" i="7"/>
  <c r="Y1991" i="7"/>
  <c r="Y1992" i="7"/>
  <c r="Y1993" i="7"/>
  <c r="Y1994" i="7"/>
  <c r="Y1995" i="7"/>
  <c r="AA1995" i="7" s="1"/>
  <c r="Y1996" i="7"/>
  <c r="Y1997" i="7"/>
  <c r="Y1998" i="7"/>
  <c r="Y1999" i="7"/>
  <c r="Y2000" i="7"/>
  <c r="Y2001" i="7"/>
  <c r="Y2002" i="7"/>
  <c r="Y2003" i="7"/>
  <c r="AA2003" i="7" s="1"/>
  <c r="Y2004" i="7"/>
  <c r="Y2005" i="7"/>
  <c r="Y2006" i="7"/>
  <c r="Y2007" i="7"/>
  <c r="Y2008" i="7"/>
  <c r="Y2009" i="7"/>
  <c r="Y2010" i="7"/>
  <c r="Y2011" i="7"/>
  <c r="AA2011" i="7" s="1"/>
  <c r="Y2012" i="7"/>
  <c r="Y2013" i="7"/>
  <c r="Y2014" i="7"/>
  <c r="Y2015" i="7"/>
  <c r="Y2016" i="7"/>
  <c r="Y2017" i="7"/>
  <c r="Y2018" i="7"/>
  <c r="Y2019" i="7"/>
  <c r="AA2019" i="7" s="1"/>
  <c r="Y2020" i="7"/>
  <c r="Y2021" i="7"/>
  <c r="Y2022" i="7"/>
  <c r="Y2023" i="7"/>
  <c r="Y2024" i="7"/>
  <c r="Y2025" i="7"/>
  <c r="Y2026" i="7"/>
  <c r="Y2027" i="7"/>
  <c r="AA2027" i="7" s="1"/>
  <c r="Y2028" i="7"/>
  <c r="Y2029" i="7"/>
  <c r="Y2030" i="7"/>
  <c r="Y2031" i="7"/>
  <c r="Y2032" i="7"/>
  <c r="Y2033" i="7"/>
  <c r="Y2034" i="7"/>
  <c r="Y2035" i="7"/>
  <c r="AA2035" i="7" s="1"/>
  <c r="Y2036" i="7"/>
  <c r="Y2037" i="7"/>
  <c r="Y2038" i="7"/>
  <c r="Y2039" i="7"/>
  <c r="Y2040" i="7"/>
  <c r="Y2041" i="7"/>
  <c r="Y2042" i="7"/>
  <c r="Y2043" i="7"/>
  <c r="AA2043" i="7" s="1"/>
  <c r="Y2044" i="7"/>
  <c r="Y2045" i="7"/>
  <c r="Y2046" i="7"/>
  <c r="Y2047" i="7"/>
  <c r="Y2048" i="7"/>
  <c r="Y2049" i="7"/>
  <c r="Y2050" i="7"/>
  <c r="Y2051" i="7"/>
  <c r="Y2052" i="7"/>
  <c r="Y2053" i="7"/>
  <c r="Y2054" i="7"/>
  <c r="Y2055" i="7"/>
  <c r="Y2056" i="7"/>
  <c r="Y2057" i="7"/>
  <c r="Y2058" i="7"/>
  <c r="Y2059" i="7"/>
  <c r="Y2060" i="7"/>
  <c r="Y2061" i="7"/>
  <c r="Y2062" i="7"/>
  <c r="Y2063" i="7"/>
  <c r="Y2064" i="7"/>
  <c r="Y2065" i="7"/>
  <c r="Y2066" i="7"/>
  <c r="Y2067" i="7"/>
  <c r="Y2068" i="7"/>
  <c r="Y2069" i="7"/>
  <c r="Y2070" i="7"/>
  <c r="Y2071" i="7"/>
  <c r="Y2072" i="7"/>
  <c r="Y2073" i="7"/>
  <c r="Y2074" i="7"/>
  <c r="Y2075" i="7"/>
  <c r="Y2076" i="7"/>
  <c r="Y2077" i="7"/>
  <c r="Y2078" i="7"/>
  <c r="Y2079" i="7"/>
  <c r="Y2080" i="7"/>
  <c r="Y2081" i="7"/>
  <c r="Y2082" i="7"/>
  <c r="Y2083" i="7"/>
  <c r="Y2084" i="7"/>
  <c r="Y2085" i="7"/>
  <c r="Y2086" i="7"/>
  <c r="Y2087" i="7"/>
  <c r="Y2088" i="7"/>
  <c r="Y2089" i="7"/>
  <c r="Y2090" i="7"/>
  <c r="Y2091" i="7"/>
  <c r="Y2092" i="7"/>
  <c r="Y2093" i="7"/>
  <c r="Y2094" i="7"/>
  <c r="Y2095" i="7"/>
  <c r="Y2096" i="7"/>
  <c r="Y2097" i="7"/>
  <c r="Y2098" i="7"/>
  <c r="Y2099" i="7"/>
  <c r="Y2100" i="7"/>
  <c r="Y2101" i="7"/>
  <c r="Y2102" i="7"/>
  <c r="Y2103" i="7"/>
  <c r="Y2104" i="7"/>
  <c r="Y2105" i="7"/>
  <c r="Y2106" i="7"/>
  <c r="Y2107" i="7"/>
  <c r="Y2108" i="7"/>
  <c r="Y2109" i="7"/>
  <c r="Y2110" i="7"/>
  <c r="Y2111" i="7"/>
  <c r="Y2112" i="7"/>
  <c r="Y2113" i="7"/>
  <c r="Y2114" i="7"/>
  <c r="Y2115" i="7"/>
  <c r="Y2116" i="7"/>
  <c r="Y2117" i="7"/>
  <c r="Y2118" i="7"/>
  <c r="Y2119" i="7"/>
  <c r="Y2120" i="7"/>
  <c r="Y2121" i="7"/>
  <c r="Y2122" i="7"/>
  <c r="Y2123" i="7"/>
  <c r="Y2124" i="7"/>
  <c r="Y2125" i="7"/>
  <c r="Y2126" i="7"/>
  <c r="Y2127" i="7"/>
  <c r="Y2128" i="7"/>
  <c r="Y2129" i="7"/>
  <c r="Y2130" i="7"/>
  <c r="Y2131" i="7"/>
  <c r="Y2132" i="7"/>
  <c r="Y2133" i="7"/>
  <c r="Y2134" i="7"/>
  <c r="Y2135" i="7"/>
  <c r="Y2136" i="7"/>
  <c r="Y2137" i="7"/>
  <c r="Y2138" i="7"/>
  <c r="Y2139" i="7"/>
  <c r="Y2140" i="7"/>
  <c r="Y2141" i="7"/>
  <c r="Y2142" i="7"/>
  <c r="Y2143" i="7"/>
  <c r="Y2144" i="7"/>
  <c r="Y2145" i="7"/>
  <c r="Y2146" i="7"/>
  <c r="Y2147" i="7"/>
  <c r="Y2148" i="7"/>
  <c r="Y2149" i="7"/>
  <c r="Y2150" i="7"/>
  <c r="Y2151" i="7"/>
  <c r="Y2152" i="7"/>
  <c r="Y2153" i="7"/>
  <c r="Y2154" i="7"/>
  <c r="Y2155" i="7"/>
  <c r="Y2156" i="7"/>
  <c r="Y2157" i="7"/>
  <c r="Y2158" i="7"/>
  <c r="Y2159" i="7"/>
  <c r="Y2160" i="7"/>
  <c r="Y2161" i="7"/>
  <c r="Y2162" i="7"/>
  <c r="Y2163" i="7"/>
  <c r="Y2164" i="7"/>
  <c r="Y2165" i="7"/>
  <c r="Y2166" i="7"/>
  <c r="Y2167" i="7"/>
  <c r="Y2168" i="7"/>
  <c r="Y2169" i="7"/>
  <c r="Y2170" i="7"/>
  <c r="Y2171" i="7"/>
  <c r="Y2172" i="7"/>
  <c r="Y2173" i="7"/>
  <c r="Y2174" i="7"/>
  <c r="Y2175" i="7"/>
  <c r="Y2176" i="7"/>
  <c r="Y2177" i="7"/>
  <c r="Y2178" i="7"/>
  <c r="Y2179" i="7"/>
  <c r="Y2180" i="7"/>
  <c r="Y2181" i="7"/>
  <c r="Y2182" i="7"/>
  <c r="Y2183" i="7"/>
  <c r="Y2184" i="7"/>
  <c r="Y2185" i="7"/>
  <c r="Y2186" i="7"/>
  <c r="Y2187" i="7"/>
  <c r="Y2188" i="7"/>
  <c r="Y2189" i="7"/>
  <c r="Y2190" i="7"/>
  <c r="Y2191" i="7"/>
  <c r="Y2192" i="7"/>
  <c r="Y2193" i="7"/>
  <c r="Y2194" i="7"/>
  <c r="Y2195" i="7"/>
  <c r="Y2196" i="7"/>
  <c r="Y2197" i="7"/>
  <c r="Y2198" i="7"/>
  <c r="Y2199" i="7"/>
  <c r="Y2200" i="7"/>
  <c r="Y2201" i="7"/>
  <c r="Y2202" i="7"/>
  <c r="Y2203" i="7"/>
  <c r="Y2204" i="7"/>
  <c r="Y2205" i="7"/>
  <c r="Y2206" i="7"/>
  <c r="Y2207" i="7"/>
  <c r="Y2208" i="7"/>
  <c r="Y2209" i="7"/>
  <c r="Y2210" i="7"/>
  <c r="Y2211" i="7"/>
  <c r="Y2212" i="7"/>
  <c r="Y2213" i="7"/>
  <c r="Y2214" i="7"/>
  <c r="Y2215" i="7"/>
  <c r="Y2216" i="7"/>
  <c r="Y2217" i="7"/>
  <c r="Y2218" i="7"/>
  <c r="Y2219" i="7"/>
  <c r="Y2220" i="7"/>
  <c r="Y2221" i="7"/>
  <c r="Y2222" i="7"/>
  <c r="Y2223" i="7"/>
  <c r="Y2224" i="7"/>
  <c r="Y2225" i="7"/>
  <c r="Y2226" i="7"/>
  <c r="Y2227" i="7"/>
  <c r="Y2228" i="7"/>
  <c r="Y2229" i="7"/>
  <c r="Y2230" i="7"/>
  <c r="Y2231" i="7"/>
  <c r="Y2232" i="7"/>
  <c r="Y2233" i="7"/>
  <c r="Y2234" i="7"/>
  <c r="Y2235" i="7"/>
  <c r="Y2236" i="7"/>
  <c r="Y2237" i="7"/>
  <c r="Y2238" i="7"/>
  <c r="Y2239" i="7"/>
  <c r="Y2240" i="7"/>
  <c r="Y2241" i="7"/>
  <c r="Y2242" i="7"/>
  <c r="Y2243" i="7"/>
  <c r="Y2244" i="7"/>
  <c r="Y2245" i="7"/>
  <c r="Y2246" i="7"/>
  <c r="Y2247" i="7"/>
  <c r="Y2248" i="7"/>
  <c r="Y2249" i="7"/>
  <c r="Y2250" i="7"/>
  <c r="Y2251" i="7"/>
  <c r="Y2252" i="7"/>
  <c r="Y2253" i="7"/>
  <c r="Y2254" i="7"/>
  <c r="Y2255" i="7"/>
  <c r="Y2256" i="7"/>
  <c r="Y2257" i="7"/>
  <c r="Y2258" i="7"/>
  <c r="Y2259" i="7"/>
  <c r="Y2260" i="7"/>
  <c r="Y2261" i="7"/>
  <c r="Y2262" i="7"/>
  <c r="Y2263" i="7"/>
  <c r="Y2264" i="7"/>
  <c r="Y2265" i="7"/>
  <c r="Y2266" i="7"/>
  <c r="Y2267" i="7"/>
  <c r="Y2268" i="7"/>
  <c r="Y2269" i="7"/>
  <c r="Y2270" i="7"/>
  <c r="Y2271" i="7"/>
  <c r="Y2272" i="7"/>
  <c r="Y2273" i="7"/>
  <c r="Y2274" i="7"/>
  <c r="Y2275" i="7"/>
  <c r="Y2276" i="7"/>
  <c r="Y2277" i="7"/>
  <c r="Y2278" i="7"/>
  <c r="Y2279" i="7"/>
  <c r="Y2280" i="7"/>
  <c r="Y2281" i="7"/>
  <c r="Y2282" i="7"/>
  <c r="Y2283" i="7"/>
  <c r="Y2284" i="7"/>
  <c r="Y2285" i="7"/>
  <c r="Y2286" i="7"/>
  <c r="Y2287" i="7"/>
  <c r="Y2288" i="7"/>
  <c r="Y2289" i="7"/>
  <c r="Y2290" i="7"/>
  <c r="Y2291" i="7"/>
  <c r="Y2292" i="7"/>
  <c r="Y2293" i="7"/>
  <c r="Y2294" i="7"/>
  <c r="Y2295" i="7"/>
  <c r="Y2296" i="7"/>
  <c r="Y2297" i="7"/>
  <c r="Y2298" i="7"/>
  <c r="Y2299" i="7"/>
  <c r="Y2300" i="7"/>
  <c r="Y2301" i="7"/>
  <c r="Y2302" i="7"/>
  <c r="Y2303" i="7"/>
  <c r="Y2304" i="7"/>
  <c r="Y2305" i="7"/>
  <c r="Y2306" i="7"/>
  <c r="Y2307" i="7"/>
  <c r="Y2308" i="7"/>
  <c r="Y2309" i="7"/>
  <c r="Y2310" i="7"/>
  <c r="Y2311" i="7"/>
  <c r="Y2312" i="7"/>
  <c r="Y2313" i="7"/>
  <c r="Y2314" i="7"/>
  <c r="Y2315" i="7"/>
  <c r="Y2316" i="7"/>
  <c r="Y2317" i="7"/>
  <c r="Y2318" i="7"/>
  <c r="Y2319" i="7"/>
  <c r="Y2320" i="7"/>
  <c r="Y2321" i="7"/>
  <c r="Y2322" i="7"/>
  <c r="Y2323" i="7"/>
  <c r="Y2324" i="7"/>
  <c r="Y2325" i="7"/>
  <c r="Y2326" i="7"/>
  <c r="Y2327" i="7"/>
  <c r="Y2328" i="7"/>
  <c r="Y2329" i="7"/>
  <c r="Y2330" i="7"/>
  <c r="Y2331" i="7"/>
  <c r="Y2332" i="7"/>
  <c r="Y2333" i="7"/>
  <c r="Y2334" i="7"/>
  <c r="Y2335" i="7"/>
  <c r="Y2336" i="7"/>
  <c r="Y2337" i="7"/>
  <c r="Y2338" i="7"/>
  <c r="Y2339" i="7"/>
  <c r="Y2340" i="7"/>
  <c r="Y2341" i="7"/>
  <c r="Y2342" i="7"/>
  <c r="Y2343" i="7"/>
  <c r="Y2344" i="7"/>
  <c r="Y2345" i="7"/>
  <c r="Y2346" i="7"/>
  <c r="Y2347" i="7"/>
  <c r="Y2348" i="7"/>
  <c r="Y2349" i="7"/>
  <c r="Y2350" i="7"/>
  <c r="Y2351" i="7"/>
  <c r="Y2352" i="7"/>
  <c r="Y2353" i="7"/>
  <c r="Y2354" i="7"/>
  <c r="Y2355" i="7"/>
  <c r="Y2356" i="7"/>
  <c r="Y2357" i="7"/>
  <c r="Y2358" i="7"/>
  <c r="Y2359" i="7"/>
  <c r="Y2360" i="7"/>
  <c r="Y2361" i="7"/>
  <c r="Y2362" i="7"/>
  <c r="Y2363" i="7"/>
  <c r="Y2364" i="7"/>
  <c r="Y2365" i="7"/>
  <c r="Y2366" i="7"/>
  <c r="Y2367" i="7"/>
  <c r="Y2368" i="7"/>
  <c r="Y2369" i="7"/>
  <c r="Y2370" i="7"/>
  <c r="Y2371" i="7"/>
  <c r="Y2372" i="7"/>
  <c r="Y2373" i="7"/>
  <c r="Y2374" i="7"/>
  <c r="Y2375" i="7"/>
  <c r="Y2376" i="7"/>
  <c r="Y2377" i="7"/>
  <c r="Y2378" i="7"/>
  <c r="Y2379" i="7"/>
  <c r="Y2380" i="7"/>
  <c r="Y2381" i="7"/>
  <c r="Y2382" i="7"/>
  <c r="Y2383" i="7"/>
  <c r="Y2384" i="7"/>
  <c r="Y2385" i="7"/>
  <c r="Y2386" i="7"/>
  <c r="Y2387" i="7"/>
  <c r="Y2388" i="7"/>
  <c r="Y2389" i="7"/>
  <c r="Y2390" i="7"/>
  <c r="Y2391" i="7"/>
  <c r="Y2392" i="7"/>
  <c r="Y2393" i="7"/>
  <c r="Y2394" i="7"/>
  <c r="Y2395" i="7"/>
  <c r="Y2396" i="7"/>
  <c r="Y2397" i="7"/>
  <c r="Y2398" i="7"/>
  <c r="Y2399" i="7"/>
  <c r="Y2400" i="7"/>
  <c r="Y2401" i="7"/>
  <c r="Y2402" i="7"/>
  <c r="Y2403" i="7"/>
  <c r="AA5" i="7"/>
  <c r="AA6" i="7"/>
  <c r="AA7" i="7"/>
  <c r="AA8" i="7"/>
  <c r="AA9" i="7"/>
  <c r="AA10" i="7"/>
  <c r="AA12" i="7"/>
  <c r="AA13" i="7"/>
  <c r="AA14" i="7"/>
  <c r="AA15" i="7"/>
  <c r="AA16" i="7"/>
  <c r="AA17" i="7"/>
  <c r="AA18" i="7"/>
  <c r="AA20" i="7"/>
  <c r="AA21" i="7"/>
  <c r="AA22" i="7"/>
  <c r="AA23" i="7"/>
  <c r="AA24" i="7"/>
  <c r="AA25" i="7"/>
  <c r="AA26" i="7"/>
  <c r="AA28" i="7"/>
  <c r="AA29" i="7"/>
  <c r="AA30" i="7"/>
  <c r="AA31" i="7"/>
  <c r="AA32" i="7"/>
  <c r="AA33" i="7"/>
  <c r="AA34" i="7"/>
  <c r="AA36" i="7"/>
  <c r="AA37" i="7"/>
  <c r="AA38" i="7"/>
  <c r="AA39" i="7"/>
  <c r="AA40" i="7"/>
  <c r="AA41" i="7"/>
  <c r="AA42" i="7"/>
  <c r="AA44" i="7"/>
  <c r="AA45" i="7"/>
  <c r="AA46" i="7"/>
  <c r="AA47" i="7"/>
  <c r="AA48" i="7"/>
  <c r="AA49" i="7"/>
  <c r="AA50" i="7"/>
  <c r="AA52" i="7"/>
  <c r="AA53" i="7"/>
  <c r="AA54" i="7"/>
  <c r="AA55" i="7"/>
  <c r="AA56" i="7"/>
  <c r="AA57" i="7"/>
  <c r="AA58" i="7"/>
  <c r="AA60" i="7"/>
  <c r="AA61" i="7"/>
  <c r="AA62" i="7"/>
  <c r="AA63" i="7"/>
  <c r="AA64" i="7"/>
  <c r="AA65" i="7"/>
  <c r="AA66" i="7"/>
  <c r="AA68" i="7"/>
  <c r="AA69" i="7"/>
  <c r="AA70" i="7"/>
  <c r="AA71" i="7"/>
  <c r="AA72" i="7"/>
  <c r="AA73" i="7"/>
  <c r="AA74" i="7"/>
  <c r="AA76" i="7"/>
  <c r="AA77" i="7"/>
  <c r="AA78" i="7"/>
  <c r="AA79" i="7"/>
  <c r="AA80" i="7"/>
  <c r="AA81" i="7"/>
  <c r="AA82" i="7"/>
  <c r="AA84" i="7"/>
  <c r="AA85" i="7"/>
  <c r="AA86" i="7"/>
  <c r="AA87" i="7"/>
  <c r="AA88" i="7"/>
  <c r="AA89" i="7"/>
  <c r="AA90" i="7"/>
  <c r="AA92" i="7"/>
  <c r="AA93" i="7"/>
  <c r="AA94" i="7"/>
  <c r="AA95" i="7"/>
  <c r="AA96" i="7"/>
  <c r="AA97" i="7"/>
  <c r="AA98" i="7"/>
  <c r="AA100" i="7"/>
  <c r="AA101" i="7"/>
  <c r="AA102" i="7"/>
  <c r="AA103" i="7"/>
  <c r="AA104" i="7"/>
  <c r="AA105" i="7"/>
  <c r="AA106" i="7"/>
  <c r="AA108" i="7"/>
  <c r="AA109" i="7"/>
  <c r="AA110" i="7"/>
  <c r="AA111" i="7"/>
  <c r="AA112" i="7"/>
  <c r="AA113" i="7"/>
  <c r="AA114" i="7"/>
  <c r="AA116" i="7"/>
  <c r="AA117" i="7"/>
  <c r="AA118" i="7"/>
  <c r="AA119" i="7"/>
  <c r="AA120" i="7"/>
  <c r="AA121" i="7"/>
  <c r="AA122" i="7"/>
  <c r="AA124" i="7"/>
  <c r="AA125" i="7"/>
  <c r="AA126" i="7"/>
  <c r="AA127" i="7"/>
  <c r="AA128" i="7"/>
  <c r="AA129" i="7"/>
  <c r="AA130" i="7"/>
  <c r="AA132" i="7"/>
  <c r="AA133" i="7"/>
  <c r="AA134" i="7"/>
  <c r="AA135" i="7"/>
  <c r="AA136" i="7"/>
  <c r="AA137" i="7"/>
  <c r="AA138" i="7"/>
  <c r="AA140" i="7"/>
  <c r="AA141" i="7"/>
  <c r="AA142" i="7"/>
  <c r="AA143" i="7"/>
  <c r="AA144" i="7"/>
  <c r="AA145" i="7"/>
  <c r="AA146" i="7"/>
  <c r="AA148" i="7"/>
  <c r="AA149" i="7"/>
  <c r="AA150" i="7"/>
  <c r="AA151" i="7"/>
  <c r="AA152" i="7"/>
  <c r="AA153" i="7"/>
  <c r="AA154" i="7"/>
  <c r="AA156" i="7"/>
  <c r="AA157" i="7"/>
  <c r="AA158" i="7"/>
  <c r="AA159" i="7"/>
  <c r="AA160" i="7"/>
  <c r="AA161" i="7"/>
  <c r="AA162" i="7"/>
  <c r="AA164" i="7"/>
  <c r="AA165" i="7"/>
  <c r="AA166" i="7"/>
  <c r="AA167" i="7"/>
  <c r="AA168" i="7"/>
  <c r="AA169" i="7"/>
  <c r="AA170" i="7"/>
  <c r="AA172" i="7"/>
  <c r="AA173" i="7"/>
  <c r="AA174" i="7"/>
  <c r="AA175" i="7"/>
  <c r="AA176" i="7"/>
  <c r="AA177" i="7"/>
  <c r="AA178" i="7"/>
  <c r="AA180" i="7"/>
  <c r="AA181" i="7"/>
  <c r="AA182" i="7"/>
  <c r="AA183" i="7"/>
  <c r="AA184" i="7"/>
  <c r="AA185" i="7"/>
  <c r="AA186" i="7"/>
  <c r="AA188" i="7"/>
  <c r="AA189" i="7"/>
  <c r="AA190" i="7"/>
  <c r="AA191" i="7"/>
  <c r="AA192" i="7"/>
  <c r="AA193" i="7"/>
  <c r="AA194" i="7"/>
  <c r="AA196" i="7"/>
  <c r="AA197" i="7"/>
  <c r="AA198" i="7"/>
  <c r="AA199" i="7"/>
  <c r="AA200" i="7"/>
  <c r="AA201" i="7"/>
  <c r="AA202" i="7"/>
  <c r="AA204" i="7"/>
  <c r="AA205" i="7"/>
  <c r="AA206" i="7"/>
  <c r="AA207" i="7"/>
  <c r="AA208" i="7"/>
  <c r="AA209" i="7"/>
  <c r="AA210" i="7"/>
  <c r="AA212" i="7"/>
  <c r="AA213" i="7"/>
  <c r="AA214" i="7"/>
  <c r="AA215" i="7"/>
  <c r="AA216" i="7"/>
  <c r="AA217" i="7"/>
  <c r="AA218" i="7"/>
  <c r="AA220" i="7"/>
  <c r="AA221" i="7"/>
  <c r="AA222" i="7"/>
  <c r="AA223" i="7"/>
  <c r="AA224" i="7"/>
  <c r="AA225" i="7"/>
  <c r="AA226" i="7"/>
  <c r="AA228" i="7"/>
  <c r="AA229" i="7"/>
  <c r="AA230" i="7"/>
  <c r="AA231" i="7"/>
  <c r="AA232" i="7"/>
  <c r="AA233" i="7"/>
  <c r="AA234" i="7"/>
  <c r="AA236" i="7"/>
  <c r="AA237" i="7"/>
  <c r="AA238" i="7"/>
  <c r="AA239" i="7"/>
  <c r="AA240" i="7"/>
  <c r="AA241" i="7"/>
  <c r="AA242" i="7"/>
  <c r="AA244" i="7"/>
  <c r="AA245" i="7"/>
  <c r="AA246" i="7"/>
  <c r="AA247" i="7"/>
  <c r="AA248" i="7"/>
  <c r="AA249" i="7"/>
  <c r="AA250" i="7"/>
  <c r="AA252" i="7"/>
  <c r="AA253" i="7"/>
  <c r="AA254" i="7"/>
  <c r="AA255" i="7"/>
  <c r="AA256" i="7"/>
  <c r="AA257" i="7"/>
  <c r="AA258" i="7"/>
  <c r="AA260" i="7"/>
  <c r="AA261" i="7"/>
  <c r="AA262" i="7"/>
  <c r="AA263" i="7"/>
  <c r="AA264" i="7"/>
  <c r="AA265" i="7"/>
  <c r="AA266" i="7"/>
  <c r="AA268" i="7"/>
  <c r="AA269" i="7"/>
  <c r="AA270" i="7"/>
  <c r="AA271" i="7"/>
  <c r="AA272" i="7"/>
  <c r="AA273" i="7"/>
  <c r="AA274" i="7"/>
  <c r="AA276" i="7"/>
  <c r="AA277" i="7"/>
  <c r="AA278" i="7"/>
  <c r="AA279" i="7"/>
  <c r="AA280" i="7"/>
  <c r="AA281" i="7"/>
  <c r="AA282" i="7"/>
  <c r="AA284" i="7"/>
  <c r="AA285" i="7"/>
  <c r="AA286" i="7"/>
  <c r="AA287" i="7"/>
  <c r="AA288" i="7"/>
  <c r="AA289" i="7"/>
  <c r="AA290" i="7"/>
  <c r="AA292" i="7"/>
  <c r="AA293" i="7"/>
  <c r="AA294" i="7"/>
  <c r="AA295" i="7"/>
  <c r="AA296" i="7"/>
  <c r="AA297" i="7"/>
  <c r="AA298" i="7"/>
  <c r="AA300" i="7"/>
  <c r="AA301" i="7"/>
  <c r="AA302" i="7"/>
  <c r="AA303" i="7"/>
  <c r="AA304" i="7"/>
  <c r="AA305" i="7"/>
  <c r="AA306" i="7"/>
  <c r="AA308" i="7"/>
  <c r="AA309" i="7"/>
  <c r="AA310" i="7"/>
  <c r="AA311" i="7"/>
  <c r="AA312" i="7"/>
  <c r="AA313" i="7"/>
  <c r="AA314" i="7"/>
  <c r="AA316" i="7"/>
  <c r="AA317" i="7"/>
  <c r="AA318" i="7"/>
  <c r="AA319" i="7"/>
  <c r="AA320" i="7"/>
  <c r="AA321" i="7"/>
  <c r="AA322" i="7"/>
  <c r="AA324" i="7"/>
  <c r="AA325" i="7"/>
  <c r="AA326" i="7"/>
  <c r="AA327" i="7"/>
  <c r="AA328" i="7"/>
  <c r="AA329" i="7"/>
  <c r="AA330" i="7"/>
  <c r="AA332" i="7"/>
  <c r="AA333" i="7"/>
  <c r="AA334" i="7"/>
  <c r="AA335" i="7"/>
  <c r="AA336" i="7"/>
  <c r="AA337" i="7"/>
  <c r="AA338" i="7"/>
  <c r="AA340" i="7"/>
  <c r="AA341" i="7"/>
  <c r="AA342" i="7"/>
  <c r="AA343" i="7"/>
  <c r="AA344" i="7"/>
  <c r="AA345" i="7"/>
  <c r="AA346" i="7"/>
  <c r="AA348" i="7"/>
  <c r="AA349" i="7"/>
  <c r="AA350" i="7"/>
  <c r="AA351" i="7"/>
  <c r="AA352" i="7"/>
  <c r="AA353" i="7"/>
  <c r="AA354" i="7"/>
  <c r="AA356" i="7"/>
  <c r="AA357" i="7"/>
  <c r="AA358" i="7"/>
  <c r="AA359" i="7"/>
  <c r="AA360" i="7"/>
  <c r="AA361" i="7"/>
  <c r="AA362" i="7"/>
  <c r="AA364" i="7"/>
  <c r="AA365" i="7"/>
  <c r="AA366" i="7"/>
  <c r="AA367" i="7"/>
  <c r="AA368" i="7"/>
  <c r="AA369" i="7"/>
  <c r="AA370" i="7"/>
  <c r="AA372" i="7"/>
  <c r="AA373" i="7"/>
  <c r="AA374" i="7"/>
  <c r="AA375" i="7"/>
  <c r="AA376" i="7"/>
  <c r="AA377" i="7"/>
  <c r="AA378" i="7"/>
  <c r="AA380" i="7"/>
  <c r="AA381" i="7"/>
  <c r="AA382" i="7"/>
  <c r="AA383" i="7"/>
  <c r="AA384" i="7"/>
  <c r="AA385" i="7"/>
  <c r="AA386" i="7"/>
  <c r="AA388" i="7"/>
  <c r="AA389" i="7"/>
  <c r="AA390" i="7"/>
  <c r="AA391" i="7"/>
  <c r="AA392" i="7"/>
  <c r="AA393" i="7"/>
  <c r="AA394" i="7"/>
  <c r="AA396" i="7"/>
  <c r="AA397" i="7"/>
  <c r="AA398" i="7"/>
  <c r="AA399" i="7"/>
  <c r="AA400" i="7"/>
  <c r="AA401" i="7"/>
  <c r="AA402" i="7"/>
  <c r="AA404" i="7"/>
  <c r="AA405" i="7"/>
  <c r="AA406" i="7"/>
  <c r="AA407" i="7"/>
  <c r="AA408" i="7"/>
  <c r="AA409" i="7"/>
  <c r="AA410" i="7"/>
  <c r="AA412" i="7"/>
  <c r="AA413" i="7"/>
  <c r="AA414" i="7"/>
  <c r="AA415" i="7"/>
  <c r="AA416" i="7"/>
  <c r="AA417" i="7"/>
  <c r="AA418" i="7"/>
  <c r="AA420" i="7"/>
  <c r="AA421" i="7"/>
  <c r="AA422" i="7"/>
  <c r="AA423" i="7"/>
  <c r="AA424" i="7"/>
  <c r="AA425" i="7"/>
  <c r="AA426" i="7"/>
  <c r="AA428" i="7"/>
  <c r="AA429" i="7"/>
  <c r="AA430" i="7"/>
  <c r="AA431" i="7"/>
  <c r="AA432" i="7"/>
  <c r="AA433" i="7"/>
  <c r="AA434" i="7"/>
  <c r="AA436" i="7"/>
  <c r="AA437" i="7"/>
  <c r="AA438" i="7"/>
  <c r="AA439" i="7"/>
  <c r="AA440" i="7"/>
  <c r="AA441" i="7"/>
  <c r="AA442" i="7"/>
  <c r="AA444" i="7"/>
  <c r="AA445" i="7"/>
  <c r="AA446" i="7"/>
  <c r="AA447" i="7"/>
  <c r="AA448" i="7"/>
  <c r="AA449" i="7"/>
  <c r="AA450" i="7"/>
  <c r="AA452" i="7"/>
  <c r="AA453" i="7"/>
  <c r="AA454" i="7"/>
  <c r="AA455" i="7"/>
  <c r="AA456" i="7"/>
  <c r="AA457" i="7"/>
  <c r="AA458" i="7"/>
  <c r="AA460" i="7"/>
  <c r="AA461" i="7"/>
  <c r="AA462" i="7"/>
  <c r="AA463" i="7"/>
  <c r="AA464" i="7"/>
  <c r="AA465" i="7"/>
  <c r="AA466" i="7"/>
  <c r="AA468" i="7"/>
  <c r="AA469" i="7"/>
  <c r="AA470" i="7"/>
  <c r="AA471" i="7"/>
  <c r="AA472" i="7"/>
  <c r="AA473" i="7"/>
  <c r="AA474" i="7"/>
  <c r="AA476" i="7"/>
  <c r="AA477" i="7"/>
  <c r="AA478" i="7"/>
  <c r="AA479" i="7"/>
  <c r="AA480" i="7"/>
  <c r="AA481" i="7"/>
  <c r="AA482" i="7"/>
  <c r="AA484" i="7"/>
  <c r="AA485" i="7"/>
  <c r="AA486" i="7"/>
  <c r="AA487" i="7"/>
  <c r="AA488" i="7"/>
  <c r="AA489" i="7"/>
  <c r="AA490" i="7"/>
  <c r="AA492" i="7"/>
  <c r="AA493" i="7"/>
  <c r="AA494" i="7"/>
  <c r="AA495" i="7"/>
  <c r="AA496" i="7"/>
  <c r="AA497" i="7"/>
  <c r="AA498" i="7"/>
  <c r="AA500" i="7"/>
  <c r="AA501" i="7"/>
  <c r="AA502" i="7"/>
  <c r="AA503" i="7"/>
  <c r="AA504" i="7"/>
  <c r="AA505" i="7"/>
  <c r="AA506" i="7"/>
  <c r="AA508" i="7"/>
  <c r="AA509" i="7"/>
  <c r="AA510" i="7"/>
  <c r="AA511" i="7"/>
  <c r="AA512" i="7"/>
  <c r="AA513" i="7"/>
  <c r="AA514" i="7"/>
  <c r="AA516" i="7"/>
  <c r="AA517" i="7"/>
  <c r="AA518" i="7"/>
  <c r="AA519" i="7"/>
  <c r="AA520" i="7"/>
  <c r="AA521" i="7"/>
  <c r="AA522" i="7"/>
  <c r="AA524" i="7"/>
  <c r="AA525" i="7"/>
  <c r="AA526" i="7"/>
  <c r="AA527" i="7"/>
  <c r="AA528" i="7"/>
  <c r="AA529" i="7"/>
  <c r="AA530" i="7"/>
  <c r="AA532" i="7"/>
  <c r="AA533" i="7"/>
  <c r="AA534" i="7"/>
  <c r="AA535" i="7"/>
  <c r="AA536" i="7"/>
  <c r="AA537" i="7"/>
  <c r="AA538" i="7"/>
  <c r="AA540" i="7"/>
  <c r="AA541" i="7"/>
  <c r="AA542" i="7"/>
  <c r="AA543" i="7"/>
  <c r="AA544" i="7"/>
  <c r="AA545" i="7"/>
  <c r="AA546" i="7"/>
  <c r="AA548" i="7"/>
  <c r="AA549" i="7"/>
  <c r="AA550" i="7"/>
  <c r="AA551" i="7"/>
  <c r="AA552" i="7"/>
  <c r="AA553" i="7"/>
  <c r="AA554" i="7"/>
  <c r="AA556" i="7"/>
  <c r="AA557" i="7"/>
  <c r="AA558" i="7"/>
  <c r="AA559" i="7"/>
  <c r="AA560" i="7"/>
  <c r="AA561" i="7"/>
  <c r="AA562" i="7"/>
  <c r="AA564" i="7"/>
  <c r="AA565" i="7"/>
  <c r="AA566" i="7"/>
  <c r="AA567" i="7"/>
  <c r="AA568" i="7"/>
  <c r="AA569" i="7"/>
  <c r="AA570" i="7"/>
  <c r="AA572" i="7"/>
  <c r="AA573" i="7"/>
  <c r="AA574" i="7"/>
  <c r="AA575" i="7"/>
  <c r="AA576" i="7"/>
  <c r="AA577" i="7"/>
  <c r="AA578" i="7"/>
  <c r="AA580" i="7"/>
  <c r="AA581" i="7"/>
  <c r="AA582" i="7"/>
  <c r="AA583" i="7"/>
  <c r="AA584" i="7"/>
  <c r="AA585" i="7"/>
  <c r="AA586" i="7"/>
  <c r="AA588" i="7"/>
  <c r="AA589" i="7"/>
  <c r="AA590" i="7"/>
  <c r="AA591" i="7"/>
  <c r="AA592" i="7"/>
  <c r="AA593" i="7"/>
  <c r="AA594" i="7"/>
  <c r="AA596" i="7"/>
  <c r="AA597" i="7"/>
  <c r="AA598" i="7"/>
  <c r="AA599" i="7"/>
  <c r="AA600" i="7"/>
  <c r="AA601" i="7"/>
  <c r="AA602" i="7"/>
  <c r="AA604" i="7"/>
  <c r="AA605" i="7"/>
  <c r="AA606" i="7"/>
  <c r="AA607" i="7"/>
  <c r="AA608" i="7"/>
  <c r="AA609" i="7"/>
  <c r="AA610" i="7"/>
  <c r="AA612" i="7"/>
  <c r="AA613" i="7"/>
  <c r="AA614" i="7"/>
  <c r="AA615" i="7"/>
  <c r="AA616" i="7"/>
  <c r="AA617" i="7"/>
  <c r="AA618" i="7"/>
  <c r="AA620" i="7"/>
  <c r="AA621" i="7"/>
  <c r="AA622" i="7"/>
  <c r="AA623" i="7"/>
  <c r="AA624" i="7"/>
  <c r="AA625" i="7"/>
  <c r="AA626" i="7"/>
  <c r="AA628" i="7"/>
  <c r="AA629" i="7"/>
  <c r="AA630" i="7"/>
  <c r="AA631" i="7"/>
  <c r="AA632" i="7"/>
  <c r="AA633" i="7"/>
  <c r="AA634" i="7"/>
  <c r="AA636" i="7"/>
  <c r="AA637" i="7"/>
  <c r="AA638" i="7"/>
  <c r="AA639" i="7"/>
  <c r="AA640" i="7"/>
  <c r="AA641" i="7"/>
  <c r="AA642" i="7"/>
  <c r="AA644" i="7"/>
  <c r="AA645" i="7"/>
  <c r="AA646" i="7"/>
  <c r="AA647" i="7"/>
  <c r="AA648" i="7"/>
  <c r="AA649" i="7"/>
  <c r="AA650" i="7"/>
  <c r="AA652" i="7"/>
  <c r="AA653" i="7"/>
  <c r="AA654" i="7"/>
  <c r="AA655" i="7"/>
  <c r="AA656" i="7"/>
  <c r="AA657" i="7"/>
  <c r="AA658" i="7"/>
  <c r="AA660" i="7"/>
  <c r="AA661" i="7"/>
  <c r="AA662" i="7"/>
  <c r="AA663" i="7"/>
  <c r="AA664" i="7"/>
  <c r="AA665" i="7"/>
  <c r="AA666" i="7"/>
  <c r="AA668" i="7"/>
  <c r="AA669" i="7"/>
  <c r="AA670" i="7"/>
  <c r="AA671" i="7"/>
  <c r="AA672" i="7"/>
  <c r="AA673" i="7"/>
  <c r="AA674" i="7"/>
  <c r="AA676" i="7"/>
  <c r="AA677" i="7"/>
  <c r="AA678" i="7"/>
  <c r="AA679" i="7"/>
  <c r="AA680" i="7"/>
  <c r="AA681" i="7"/>
  <c r="AA682" i="7"/>
  <c r="AA684" i="7"/>
  <c r="AA685" i="7"/>
  <c r="AA686" i="7"/>
  <c r="AA687" i="7"/>
  <c r="AA688" i="7"/>
  <c r="AA689" i="7"/>
  <c r="AA690" i="7"/>
  <c r="AA692" i="7"/>
  <c r="AA693" i="7"/>
  <c r="AA694" i="7"/>
  <c r="AA695" i="7"/>
  <c r="AA696" i="7"/>
  <c r="AA697" i="7"/>
  <c r="AA698" i="7"/>
  <c r="AA700" i="7"/>
  <c r="AA701" i="7"/>
  <c r="AA702" i="7"/>
  <c r="AA703" i="7"/>
  <c r="AA704" i="7"/>
  <c r="AA705" i="7"/>
  <c r="AA706" i="7"/>
  <c r="AA708" i="7"/>
  <c r="AA709" i="7"/>
  <c r="AA710" i="7"/>
  <c r="AA711" i="7"/>
  <c r="AA712" i="7"/>
  <c r="AA713" i="7"/>
  <c r="AA714" i="7"/>
  <c r="AA716" i="7"/>
  <c r="AA717" i="7"/>
  <c r="AA718" i="7"/>
  <c r="AA719" i="7"/>
  <c r="AA720" i="7"/>
  <c r="AA721" i="7"/>
  <c r="AA722" i="7"/>
  <c r="AA724" i="7"/>
  <c r="AA725" i="7"/>
  <c r="AA726" i="7"/>
  <c r="AA727" i="7"/>
  <c r="AA728" i="7"/>
  <c r="AA729" i="7"/>
  <c r="AA730" i="7"/>
  <c r="AA732" i="7"/>
  <c r="AA733" i="7"/>
  <c r="AA734" i="7"/>
  <c r="AA735" i="7"/>
  <c r="AA736" i="7"/>
  <c r="AA737" i="7"/>
  <c r="AA738" i="7"/>
  <c r="AA740" i="7"/>
  <c r="AA741" i="7"/>
  <c r="AA742" i="7"/>
  <c r="AA743" i="7"/>
  <c r="AA744" i="7"/>
  <c r="AA745" i="7"/>
  <c r="AA746" i="7"/>
  <c r="AA748" i="7"/>
  <c r="AA749" i="7"/>
  <c r="AA750" i="7"/>
  <c r="AA751" i="7"/>
  <c r="AA752" i="7"/>
  <c r="AA753" i="7"/>
  <c r="AA754" i="7"/>
  <c r="AA756" i="7"/>
  <c r="AA757" i="7"/>
  <c r="AA758" i="7"/>
  <c r="AA759" i="7"/>
  <c r="AA760" i="7"/>
  <c r="AA761" i="7"/>
  <c r="AA762" i="7"/>
  <c r="AA764" i="7"/>
  <c r="AA765" i="7"/>
  <c r="AA766" i="7"/>
  <c r="AA767" i="7"/>
  <c r="AA768" i="7"/>
  <c r="AA769" i="7"/>
  <c r="AA770" i="7"/>
  <c r="AA772" i="7"/>
  <c r="AA773" i="7"/>
  <c r="AA774" i="7"/>
  <c r="AA775" i="7"/>
  <c r="AA776" i="7"/>
  <c r="AA777" i="7"/>
  <c r="AA778" i="7"/>
  <c r="AA780" i="7"/>
  <c r="AA781" i="7"/>
  <c r="AA782" i="7"/>
  <c r="AA783" i="7"/>
  <c r="AA784" i="7"/>
  <c r="AA785" i="7"/>
  <c r="AA786" i="7"/>
  <c r="AA788" i="7"/>
  <c r="AA789" i="7"/>
  <c r="AA790" i="7"/>
  <c r="AA791" i="7"/>
  <c r="AA792" i="7"/>
  <c r="AA793" i="7"/>
  <c r="AA794" i="7"/>
  <c r="AA796" i="7"/>
  <c r="AA797" i="7"/>
  <c r="AA798" i="7"/>
  <c r="AA799" i="7"/>
  <c r="AA800" i="7"/>
  <c r="AA801" i="7"/>
  <c r="AA802" i="7"/>
  <c r="AA804" i="7"/>
  <c r="AA805" i="7"/>
  <c r="AA806" i="7"/>
  <c r="AA807" i="7"/>
  <c r="AA808" i="7"/>
  <c r="AA809" i="7"/>
  <c r="AA810" i="7"/>
  <c r="AA812" i="7"/>
  <c r="AA813" i="7"/>
  <c r="AA814" i="7"/>
  <c r="AA815" i="7"/>
  <c r="AA816" i="7"/>
  <c r="AA817" i="7"/>
  <c r="AA818" i="7"/>
  <c r="AA820" i="7"/>
  <c r="AA821" i="7"/>
  <c r="AA822" i="7"/>
  <c r="AA823" i="7"/>
  <c r="AA824" i="7"/>
  <c r="AA825" i="7"/>
  <c r="AA826" i="7"/>
  <c r="AA828" i="7"/>
  <c r="AA829" i="7"/>
  <c r="AA830" i="7"/>
  <c r="AA831" i="7"/>
  <c r="AA832" i="7"/>
  <c r="AA833" i="7"/>
  <c r="AA834" i="7"/>
  <c r="AA836" i="7"/>
  <c r="AA837" i="7"/>
  <c r="AA838" i="7"/>
  <c r="AA839" i="7"/>
  <c r="AA840" i="7"/>
  <c r="AA841" i="7"/>
  <c r="AA842" i="7"/>
  <c r="AA844" i="7"/>
  <c r="AA845" i="7"/>
  <c r="AA846" i="7"/>
  <c r="AA847" i="7"/>
  <c r="AA848" i="7"/>
  <c r="AA849" i="7"/>
  <c r="AA850" i="7"/>
  <c r="AA852" i="7"/>
  <c r="AA853" i="7"/>
  <c r="AA854" i="7"/>
  <c r="AA855" i="7"/>
  <c r="AA856" i="7"/>
  <c r="AA857" i="7"/>
  <c r="AA858" i="7"/>
  <c r="AA860" i="7"/>
  <c r="AA861" i="7"/>
  <c r="AA862" i="7"/>
  <c r="AA863" i="7"/>
  <c r="AA864" i="7"/>
  <c r="AA865" i="7"/>
  <c r="AA866" i="7"/>
  <c r="AA868" i="7"/>
  <c r="AA869" i="7"/>
  <c r="AA870" i="7"/>
  <c r="AA871" i="7"/>
  <c r="AA872" i="7"/>
  <c r="AA873" i="7"/>
  <c r="AA874" i="7"/>
  <c r="AA876" i="7"/>
  <c r="AA877" i="7"/>
  <c r="AA878" i="7"/>
  <c r="AA879" i="7"/>
  <c r="AA880" i="7"/>
  <c r="AA881" i="7"/>
  <c r="AA882" i="7"/>
  <c r="AA884" i="7"/>
  <c r="AA885" i="7"/>
  <c r="AA886" i="7"/>
  <c r="AA887" i="7"/>
  <c r="AA888" i="7"/>
  <c r="AA889" i="7"/>
  <c r="AA890" i="7"/>
  <c r="AA892" i="7"/>
  <c r="AA893" i="7"/>
  <c r="AA894" i="7"/>
  <c r="AA895" i="7"/>
  <c r="AA896" i="7"/>
  <c r="AA897" i="7"/>
  <c r="AA898" i="7"/>
  <c r="AA900" i="7"/>
  <c r="AA901" i="7"/>
  <c r="AA902" i="7"/>
  <c r="AA903" i="7"/>
  <c r="AA904" i="7"/>
  <c r="AA905" i="7"/>
  <c r="AA906" i="7"/>
  <c r="AA908" i="7"/>
  <c r="AA909" i="7"/>
  <c r="AA910" i="7"/>
  <c r="AA911" i="7"/>
  <c r="AA912" i="7"/>
  <c r="AA913" i="7"/>
  <c r="AA914" i="7"/>
  <c r="AA916" i="7"/>
  <c r="AA917" i="7"/>
  <c r="AA918" i="7"/>
  <c r="AA919" i="7"/>
  <c r="AA920" i="7"/>
  <c r="AA921" i="7"/>
  <c r="AA922" i="7"/>
  <c r="AA924" i="7"/>
  <c r="AA925" i="7"/>
  <c r="AA926" i="7"/>
  <c r="AA927" i="7"/>
  <c r="AA928" i="7"/>
  <c r="AA929" i="7"/>
  <c r="AA930" i="7"/>
  <c r="AA932" i="7"/>
  <c r="AA933" i="7"/>
  <c r="AA934" i="7"/>
  <c r="AA935" i="7"/>
  <c r="AA936" i="7"/>
  <c r="AA937" i="7"/>
  <c r="AA938" i="7"/>
  <c r="AA940" i="7"/>
  <c r="AA941" i="7"/>
  <c r="AA942" i="7"/>
  <c r="AA943" i="7"/>
  <c r="AA944" i="7"/>
  <c r="AA945" i="7"/>
  <c r="AA946" i="7"/>
  <c r="AA948" i="7"/>
  <c r="AA949" i="7"/>
  <c r="AA950" i="7"/>
  <c r="AA951" i="7"/>
  <c r="AA952" i="7"/>
  <c r="AA953" i="7"/>
  <c r="AA954" i="7"/>
  <c r="AA956" i="7"/>
  <c r="AA957" i="7"/>
  <c r="AA958" i="7"/>
  <c r="AA959" i="7"/>
  <c r="AA960" i="7"/>
  <c r="AA961" i="7"/>
  <c r="AA962" i="7"/>
  <c r="AA964" i="7"/>
  <c r="AA965" i="7"/>
  <c r="AA966" i="7"/>
  <c r="AA967" i="7"/>
  <c r="AA968" i="7"/>
  <c r="AA969" i="7"/>
  <c r="AA970" i="7"/>
  <c r="AA972" i="7"/>
  <c r="AA973" i="7"/>
  <c r="AA974" i="7"/>
  <c r="AA975" i="7"/>
  <c r="AA976" i="7"/>
  <c r="AA977" i="7"/>
  <c r="AA978" i="7"/>
  <c r="AA980" i="7"/>
  <c r="AA981" i="7"/>
  <c r="AA982" i="7"/>
  <c r="AA983" i="7"/>
  <c r="AA984" i="7"/>
  <c r="AA985" i="7"/>
  <c r="AA986" i="7"/>
  <c r="AA988" i="7"/>
  <c r="AA989" i="7"/>
  <c r="AA990" i="7"/>
  <c r="AA991" i="7"/>
  <c r="AA992" i="7"/>
  <c r="AA993" i="7"/>
  <c r="AA994" i="7"/>
  <c r="AA996" i="7"/>
  <c r="AA997" i="7"/>
  <c r="AA998" i="7"/>
  <c r="AA999" i="7"/>
  <c r="AA1000" i="7"/>
  <c r="AA1001" i="7"/>
  <c r="AA1002" i="7"/>
  <c r="AA1004" i="7"/>
  <c r="AA1005" i="7"/>
  <c r="AA1006" i="7"/>
  <c r="AA1007" i="7"/>
  <c r="AA1008" i="7"/>
  <c r="AA1009" i="7"/>
  <c r="AA1010" i="7"/>
  <c r="AA1012" i="7"/>
  <c r="AA1013" i="7"/>
  <c r="AA1014" i="7"/>
  <c r="AA1015" i="7"/>
  <c r="AA1016" i="7"/>
  <c r="AA1017" i="7"/>
  <c r="AA1018" i="7"/>
  <c r="AA1020" i="7"/>
  <c r="AA1021" i="7"/>
  <c r="AA1022" i="7"/>
  <c r="AA1023" i="7"/>
  <c r="AA1024" i="7"/>
  <c r="AA1025" i="7"/>
  <c r="AA1026" i="7"/>
  <c r="AA1028" i="7"/>
  <c r="AA1029" i="7"/>
  <c r="AA1030" i="7"/>
  <c r="AA1031" i="7"/>
  <c r="AA1032" i="7"/>
  <c r="AA1033" i="7"/>
  <c r="AA1034" i="7"/>
  <c r="AA1036" i="7"/>
  <c r="AA1037" i="7"/>
  <c r="AA1038" i="7"/>
  <c r="AA1039" i="7"/>
  <c r="AA1040" i="7"/>
  <c r="AA1041" i="7"/>
  <c r="AA1042" i="7"/>
  <c r="AA1044" i="7"/>
  <c r="AA1045" i="7"/>
  <c r="AA1046" i="7"/>
  <c r="AA1047" i="7"/>
  <c r="AA1048" i="7"/>
  <c r="AA1049" i="7"/>
  <c r="AA1050" i="7"/>
  <c r="AA1052" i="7"/>
  <c r="AA1053" i="7"/>
  <c r="AA1054" i="7"/>
  <c r="AA1055" i="7"/>
  <c r="AA1056" i="7"/>
  <c r="AA1057" i="7"/>
  <c r="AA1058" i="7"/>
  <c r="AA1060" i="7"/>
  <c r="AA1061" i="7"/>
  <c r="AA1062" i="7"/>
  <c r="AA1063" i="7"/>
  <c r="AA1064" i="7"/>
  <c r="AA1065" i="7"/>
  <c r="AA1066" i="7"/>
  <c r="AA1068" i="7"/>
  <c r="AA1069" i="7"/>
  <c r="AA1070" i="7"/>
  <c r="AA1071" i="7"/>
  <c r="AA1072" i="7"/>
  <c r="AA1073" i="7"/>
  <c r="AA1074" i="7"/>
  <c r="AA1076" i="7"/>
  <c r="AA1077" i="7"/>
  <c r="AA1078" i="7"/>
  <c r="AA1079" i="7"/>
  <c r="AA1080" i="7"/>
  <c r="AA1081" i="7"/>
  <c r="AA1082" i="7"/>
  <c r="AA1084" i="7"/>
  <c r="AA1085" i="7"/>
  <c r="AA1086" i="7"/>
  <c r="AA1087" i="7"/>
  <c r="AA1088" i="7"/>
  <c r="AA1089" i="7"/>
  <c r="AA1090" i="7"/>
  <c r="AA1092" i="7"/>
  <c r="AA1093" i="7"/>
  <c r="AA1094" i="7"/>
  <c r="AA1095" i="7"/>
  <c r="AA1096" i="7"/>
  <c r="AA1097" i="7"/>
  <c r="AA1098" i="7"/>
  <c r="AA1100" i="7"/>
  <c r="AA1101" i="7"/>
  <c r="AA1102" i="7"/>
  <c r="AA1103" i="7"/>
  <c r="AA1104" i="7"/>
  <c r="AA1105" i="7"/>
  <c r="AA1106" i="7"/>
  <c r="AA1108" i="7"/>
  <c r="AA1109" i="7"/>
  <c r="AA1110" i="7"/>
  <c r="AA1111" i="7"/>
  <c r="AA1112" i="7"/>
  <c r="AA1113" i="7"/>
  <c r="AA1114" i="7"/>
  <c r="AA1116" i="7"/>
  <c r="AA1117" i="7"/>
  <c r="AA1118" i="7"/>
  <c r="AA1119" i="7"/>
  <c r="AA1120" i="7"/>
  <c r="AA1121" i="7"/>
  <c r="AA1122" i="7"/>
  <c r="AA1124" i="7"/>
  <c r="AA1125" i="7"/>
  <c r="AA1126" i="7"/>
  <c r="AA1127" i="7"/>
  <c r="AA1128" i="7"/>
  <c r="AA1129" i="7"/>
  <c r="AA1130" i="7"/>
  <c r="AA1132" i="7"/>
  <c r="AA1133" i="7"/>
  <c r="AA1134" i="7"/>
  <c r="AA1135" i="7"/>
  <c r="AA1136" i="7"/>
  <c r="AA1137" i="7"/>
  <c r="AA1138" i="7"/>
  <c r="AA1140" i="7"/>
  <c r="AA1141" i="7"/>
  <c r="AA1142" i="7"/>
  <c r="AA1143" i="7"/>
  <c r="AA1144" i="7"/>
  <c r="AA1145" i="7"/>
  <c r="AA1146" i="7"/>
  <c r="AA1148" i="7"/>
  <c r="AA1149" i="7"/>
  <c r="AA1150" i="7"/>
  <c r="AA1151" i="7"/>
  <c r="AA1152" i="7"/>
  <c r="AA1153" i="7"/>
  <c r="AA1154" i="7"/>
  <c r="AA1156" i="7"/>
  <c r="AA1157" i="7"/>
  <c r="AA1158" i="7"/>
  <c r="AA1159" i="7"/>
  <c r="AA1160" i="7"/>
  <c r="AA1161" i="7"/>
  <c r="AA1162" i="7"/>
  <c r="AA1164" i="7"/>
  <c r="AA1165" i="7"/>
  <c r="AA1166" i="7"/>
  <c r="AA1167" i="7"/>
  <c r="AA1168" i="7"/>
  <c r="AA1169" i="7"/>
  <c r="AA1170" i="7"/>
  <c r="AA1172" i="7"/>
  <c r="AA1173" i="7"/>
  <c r="AA1174" i="7"/>
  <c r="AA1175" i="7"/>
  <c r="AA1176" i="7"/>
  <c r="AA1177" i="7"/>
  <c r="AA1178" i="7"/>
  <c r="AA1180" i="7"/>
  <c r="AA1181" i="7"/>
  <c r="AA1182" i="7"/>
  <c r="AA1183" i="7"/>
  <c r="AA1184" i="7"/>
  <c r="AA1185" i="7"/>
  <c r="AA1186" i="7"/>
  <c r="AA1188" i="7"/>
  <c r="AA1189" i="7"/>
  <c r="AA1190" i="7"/>
  <c r="AA1191" i="7"/>
  <c r="AA1192" i="7"/>
  <c r="AA1193" i="7"/>
  <c r="AA1194" i="7"/>
  <c r="AA1196" i="7"/>
  <c r="AA1197" i="7"/>
  <c r="AA1198" i="7"/>
  <c r="AA1199" i="7"/>
  <c r="AA1200" i="7"/>
  <c r="AA1201" i="7"/>
  <c r="AA1202" i="7"/>
  <c r="AA1204" i="7"/>
  <c r="AA1205" i="7"/>
  <c r="AA1206" i="7"/>
  <c r="AA1207" i="7"/>
  <c r="AA1208" i="7"/>
  <c r="AA1209" i="7"/>
  <c r="AA1210" i="7"/>
  <c r="AA1212" i="7"/>
  <c r="AA1213" i="7"/>
  <c r="AA1214" i="7"/>
  <c r="AA1215" i="7"/>
  <c r="AA1216" i="7"/>
  <c r="AA1217" i="7"/>
  <c r="AA1218" i="7"/>
  <c r="AA1220" i="7"/>
  <c r="AA1221" i="7"/>
  <c r="AA1222" i="7"/>
  <c r="AA1223" i="7"/>
  <c r="AA1224" i="7"/>
  <c r="AA1225" i="7"/>
  <c r="AA1226" i="7"/>
  <c r="AA1228" i="7"/>
  <c r="AA1229" i="7"/>
  <c r="AA1230" i="7"/>
  <c r="AA1231" i="7"/>
  <c r="AA1232" i="7"/>
  <c r="AA1233" i="7"/>
  <c r="AA1234" i="7"/>
  <c r="AA1236" i="7"/>
  <c r="AA1237" i="7"/>
  <c r="AA1238" i="7"/>
  <c r="AA1239" i="7"/>
  <c r="AA1240" i="7"/>
  <c r="AA1241" i="7"/>
  <c r="AA1242" i="7"/>
  <c r="AA1244" i="7"/>
  <c r="AA1245" i="7"/>
  <c r="AA1246" i="7"/>
  <c r="AA1247" i="7"/>
  <c r="AA1248" i="7"/>
  <c r="AA1249" i="7"/>
  <c r="AA1250" i="7"/>
  <c r="AA1252" i="7"/>
  <c r="AA1253" i="7"/>
  <c r="AA1254" i="7"/>
  <c r="AA1255" i="7"/>
  <c r="AA1256" i="7"/>
  <c r="AA1257" i="7"/>
  <c r="AA1258" i="7"/>
  <c r="AA1260" i="7"/>
  <c r="AA1261" i="7"/>
  <c r="AA1262" i="7"/>
  <c r="AA1263" i="7"/>
  <c r="AA1264" i="7"/>
  <c r="AA1265" i="7"/>
  <c r="AA1266" i="7"/>
  <c r="AA1268" i="7"/>
  <c r="AA1269" i="7"/>
  <c r="AA1270" i="7"/>
  <c r="AA1271" i="7"/>
  <c r="AA1272" i="7"/>
  <c r="AA1273" i="7"/>
  <c r="AA1274" i="7"/>
  <c r="AA1276" i="7"/>
  <c r="AA1277" i="7"/>
  <c r="AA1278" i="7"/>
  <c r="AA1279" i="7"/>
  <c r="AA1280" i="7"/>
  <c r="AA1281" i="7"/>
  <c r="AA1282" i="7"/>
  <c r="AA1284" i="7"/>
  <c r="AA1285" i="7"/>
  <c r="AA1286" i="7"/>
  <c r="AA1287" i="7"/>
  <c r="AA1288" i="7"/>
  <c r="AA1289" i="7"/>
  <c r="AA1290" i="7"/>
  <c r="AA1292" i="7"/>
  <c r="AA1293" i="7"/>
  <c r="AA1294" i="7"/>
  <c r="AA1295" i="7"/>
  <c r="AA1296" i="7"/>
  <c r="AA1297" i="7"/>
  <c r="AA1298" i="7"/>
  <c r="AA1300" i="7"/>
  <c r="AA1301" i="7"/>
  <c r="AA1302" i="7"/>
  <c r="AA1303" i="7"/>
  <c r="AA1304" i="7"/>
  <c r="AA1305" i="7"/>
  <c r="AA1306" i="7"/>
  <c r="AA1308" i="7"/>
  <c r="AA1309" i="7"/>
  <c r="AA1310" i="7"/>
  <c r="AA1311" i="7"/>
  <c r="AA1312" i="7"/>
  <c r="AA1313" i="7"/>
  <c r="AA1314" i="7"/>
  <c r="AA1316" i="7"/>
  <c r="AA1317" i="7"/>
  <c r="AA1318" i="7"/>
  <c r="AA1319" i="7"/>
  <c r="AA1320" i="7"/>
  <c r="AA1321" i="7"/>
  <c r="AA1322" i="7"/>
  <c r="AA1324" i="7"/>
  <c r="AA1325" i="7"/>
  <c r="AA1326" i="7"/>
  <c r="AA1327" i="7"/>
  <c r="AA1328" i="7"/>
  <c r="AA1329" i="7"/>
  <c r="AA1330" i="7"/>
  <c r="AA1332" i="7"/>
  <c r="AA1333" i="7"/>
  <c r="AA1334" i="7"/>
  <c r="AA1335" i="7"/>
  <c r="AA1336" i="7"/>
  <c r="AA1337" i="7"/>
  <c r="AA1338" i="7"/>
  <c r="AA1340" i="7"/>
  <c r="AA1341" i="7"/>
  <c r="AA1342" i="7"/>
  <c r="AA1343" i="7"/>
  <c r="AA1344" i="7"/>
  <c r="AA1345" i="7"/>
  <c r="AA1346" i="7"/>
  <c r="AA1348" i="7"/>
  <c r="AA1349" i="7"/>
  <c r="AA1350" i="7"/>
  <c r="AA1351" i="7"/>
  <c r="AA1352" i="7"/>
  <c r="AA1353" i="7"/>
  <c r="AA1354" i="7"/>
  <c r="AA1356" i="7"/>
  <c r="AA1357" i="7"/>
  <c r="AA1358" i="7"/>
  <c r="AA1359" i="7"/>
  <c r="AA1360" i="7"/>
  <c r="AA1361" i="7"/>
  <c r="AA1362" i="7"/>
  <c r="AA1364" i="7"/>
  <c r="AA1365" i="7"/>
  <c r="AA1366" i="7"/>
  <c r="AA1367" i="7"/>
  <c r="AA1368" i="7"/>
  <c r="AA1369" i="7"/>
  <c r="AA1370" i="7"/>
  <c r="AA1372" i="7"/>
  <c r="AA1373" i="7"/>
  <c r="AA1374" i="7"/>
  <c r="AA1375" i="7"/>
  <c r="AA1376" i="7"/>
  <c r="AA1377" i="7"/>
  <c r="AA1378" i="7"/>
  <c r="AA1380" i="7"/>
  <c r="AA1381" i="7"/>
  <c r="AA1382" i="7"/>
  <c r="AA1383" i="7"/>
  <c r="AA1384" i="7"/>
  <c r="AA1385" i="7"/>
  <c r="AA1386" i="7"/>
  <c r="AA1388" i="7"/>
  <c r="AA1389" i="7"/>
  <c r="AA1390" i="7"/>
  <c r="AA1391" i="7"/>
  <c r="AA1392" i="7"/>
  <c r="AA1393" i="7"/>
  <c r="AA1394" i="7"/>
  <c r="AA1396" i="7"/>
  <c r="AA1397" i="7"/>
  <c r="AA1398" i="7"/>
  <c r="AA1399" i="7"/>
  <c r="AA1400" i="7"/>
  <c r="AA1401" i="7"/>
  <c r="AA1402" i="7"/>
  <c r="AA1404" i="7"/>
  <c r="AA1405" i="7"/>
  <c r="AA1406" i="7"/>
  <c r="AA1407" i="7"/>
  <c r="AA1408" i="7"/>
  <c r="AA1409" i="7"/>
  <c r="AA1410" i="7"/>
  <c r="AA1412" i="7"/>
  <c r="AA1413" i="7"/>
  <c r="AA1414" i="7"/>
  <c r="AA1415" i="7"/>
  <c r="AA1416" i="7"/>
  <c r="AA1417" i="7"/>
  <c r="AA1418" i="7"/>
  <c r="AA1420" i="7"/>
  <c r="AA1421" i="7"/>
  <c r="AA1422" i="7"/>
  <c r="AA1423" i="7"/>
  <c r="AA1424" i="7"/>
  <c r="AA1425" i="7"/>
  <c r="AA1426" i="7"/>
  <c r="AA1428" i="7"/>
  <c r="AA1429" i="7"/>
  <c r="AA1430" i="7"/>
  <c r="AA1431" i="7"/>
  <c r="AA1432" i="7"/>
  <c r="AA1433" i="7"/>
  <c r="AA1434" i="7"/>
  <c r="AA1436" i="7"/>
  <c r="AA1437" i="7"/>
  <c r="AA1438" i="7"/>
  <c r="AA1439" i="7"/>
  <c r="AA1440" i="7"/>
  <c r="AA1441" i="7"/>
  <c r="AA1442" i="7"/>
  <c r="AA1444" i="7"/>
  <c r="AA1445" i="7"/>
  <c r="AA1446" i="7"/>
  <c r="AA1447" i="7"/>
  <c r="AA1448" i="7"/>
  <c r="AA1449" i="7"/>
  <c r="AA1450" i="7"/>
  <c r="AA1452" i="7"/>
  <c r="AA1453" i="7"/>
  <c r="AA1454" i="7"/>
  <c r="AA1455" i="7"/>
  <c r="AA1456" i="7"/>
  <c r="AA1457" i="7"/>
  <c r="AA1458" i="7"/>
  <c r="AA1460" i="7"/>
  <c r="AA1461" i="7"/>
  <c r="AA1462" i="7"/>
  <c r="AA1463" i="7"/>
  <c r="AA1464" i="7"/>
  <c r="AA1465" i="7"/>
  <c r="AA1466" i="7"/>
  <c r="AA1468" i="7"/>
  <c r="AA1469" i="7"/>
  <c r="AA1470" i="7"/>
  <c r="AA1471" i="7"/>
  <c r="AA1472" i="7"/>
  <c r="AA1473" i="7"/>
  <c r="AA1474" i="7"/>
  <c r="AA1476" i="7"/>
  <c r="AA1477" i="7"/>
  <c r="AA1478" i="7"/>
  <c r="AA1479" i="7"/>
  <c r="AA1480" i="7"/>
  <c r="AA1481" i="7"/>
  <c r="AA1482" i="7"/>
  <c r="AA1484" i="7"/>
  <c r="AA1485" i="7"/>
  <c r="AA1486" i="7"/>
  <c r="AA1487" i="7"/>
  <c r="AA1488" i="7"/>
  <c r="AA1489" i="7"/>
  <c r="AA1490" i="7"/>
  <c r="AA1492" i="7"/>
  <c r="AA1493" i="7"/>
  <c r="AA1494" i="7"/>
  <c r="AA1495" i="7"/>
  <c r="AA1496" i="7"/>
  <c r="AA1497" i="7"/>
  <c r="AA1498" i="7"/>
  <c r="AA1500" i="7"/>
  <c r="AA1501" i="7"/>
  <c r="AA1502" i="7"/>
  <c r="AA1503" i="7"/>
  <c r="AA1504" i="7"/>
  <c r="AA1505" i="7"/>
  <c r="AA1506" i="7"/>
  <c r="AA1508" i="7"/>
  <c r="AA1509" i="7"/>
  <c r="AA1510" i="7"/>
  <c r="AA1511" i="7"/>
  <c r="AA1512" i="7"/>
  <c r="AA1513" i="7"/>
  <c r="AA1514" i="7"/>
  <c r="AA1516" i="7"/>
  <c r="AA1517" i="7"/>
  <c r="AA1518" i="7"/>
  <c r="AA1519" i="7"/>
  <c r="AA1520" i="7"/>
  <c r="AA1521" i="7"/>
  <c r="AA1522" i="7"/>
  <c r="AA1524" i="7"/>
  <c r="AA1525" i="7"/>
  <c r="AA1526" i="7"/>
  <c r="AA1527" i="7"/>
  <c r="AA1528" i="7"/>
  <c r="AA1529" i="7"/>
  <c r="AA1530" i="7"/>
  <c r="AA1532" i="7"/>
  <c r="AA1533" i="7"/>
  <c r="AA1534" i="7"/>
  <c r="AA1535" i="7"/>
  <c r="AA1536" i="7"/>
  <c r="AA1537" i="7"/>
  <c r="AA1538" i="7"/>
  <c r="AA1540" i="7"/>
  <c r="AA1541" i="7"/>
  <c r="AA1542" i="7"/>
  <c r="AA1543" i="7"/>
  <c r="AA1544" i="7"/>
  <c r="AA1545" i="7"/>
  <c r="AA1546" i="7"/>
  <c r="AA1548" i="7"/>
  <c r="AA1549" i="7"/>
  <c r="AA1550" i="7"/>
  <c r="AA1551" i="7"/>
  <c r="AA1552" i="7"/>
  <c r="AA1553" i="7"/>
  <c r="AA1554" i="7"/>
  <c r="AA1556" i="7"/>
  <c r="AA1557" i="7"/>
  <c r="AA1558" i="7"/>
  <c r="AA1559" i="7"/>
  <c r="AA1560" i="7"/>
  <c r="AA1561" i="7"/>
  <c r="AA1562" i="7"/>
  <c r="AA1564" i="7"/>
  <c r="AA1565" i="7"/>
  <c r="AA1566" i="7"/>
  <c r="AA1567" i="7"/>
  <c r="AA1568" i="7"/>
  <c r="AA1569" i="7"/>
  <c r="AA1570" i="7"/>
  <c r="AA1572" i="7"/>
  <c r="AA1573" i="7"/>
  <c r="AA1574" i="7"/>
  <c r="AA1575" i="7"/>
  <c r="AA1576" i="7"/>
  <c r="AA1577" i="7"/>
  <c r="AA1578" i="7"/>
  <c r="AA1580" i="7"/>
  <c r="AA1581" i="7"/>
  <c r="AA1582" i="7"/>
  <c r="AA1583" i="7"/>
  <c r="AA1584" i="7"/>
  <c r="AA1585" i="7"/>
  <c r="AA1586" i="7"/>
  <c r="AA1588" i="7"/>
  <c r="AA1589" i="7"/>
  <c r="AA1590" i="7"/>
  <c r="AA1591" i="7"/>
  <c r="AA1592" i="7"/>
  <c r="AA1593" i="7"/>
  <c r="AA1594" i="7"/>
  <c r="AA1596" i="7"/>
  <c r="AA1597" i="7"/>
  <c r="AA1598" i="7"/>
  <c r="AA1599" i="7"/>
  <c r="AA1600" i="7"/>
  <c r="AA1601" i="7"/>
  <c r="AA1602" i="7"/>
  <c r="AA1604" i="7"/>
  <c r="AA1605" i="7"/>
  <c r="AA1606" i="7"/>
  <c r="AA1607" i="7"/>
  <c r="AA1608" i="7"/>
  <c r="AA1609" i="7"/>
  <c r="AA1610" i="7"/>
  <c r="AA1612" i="7"/>
  <c r="AA1613" i="7"/>
  <c r="AA1614" i="7"/>
  <c r="AA1615" i="7"/>
  <c r="AA1616" i="7"/>
  <c r="AA1617" i="7"/>
  <c r="AA1618" i="7"/>
  <c r="AA1620" i="7"/>
  <c r="AA1621" i="7"/>
  <c r="AA1622" i="7"/>
  <c r="AA1623" i="7"/>
  <c r="AA1624" i="7"/>
  <c r="AA1625" i="7"/>
  <c r="AA1626" i="7"/>
  <c r="AA1628" i="7"/>
  <c r="AA1629" i="7"/>
  <c r="AA1630" i="7"/>
  <c r="AA1631" i="7"/>
  <c r="AA1632" i="7"/>
  <c r="AA1633" i="7"/>
  <c r="AA1634" i="7"/>
  <c r="AA1636" i="7"/>
  <c r="AA1637" i="7"/>
  <c r="AA1638" i="7"/>
  <c r="AA1639" i="7"/>
  <c r="AA1640" i="7"/>
  <c r="AA1641" i="7"/>
  <c r="AA1642" i="7"/>
  <c r="AA1644" i="7"/>
  <c r="AA1645" i="7"/>
  <c r="AA1646" i="7"/>
  <c r="AA1647" i="7"/>
  <c r="AA1648" i="7"/>
  <c r="AA1649" i="7"/>
  <c r="AA1650" i="7"/>
  <c r="AA1652" i="7"/>
  <c r="AA1653" i="7"/>
  <c r="AA1654" i="7"/>
  <c r="AA1655" i="7"/>
  <c r="AA1656" i="7"/>
  <c r="AA1657" i="7"/>
  <c r="AA1658" i="7"/>
  <c r="AA1660" i="7"/>
  <c r="AA1661" i="7"/>
  <c r="AA1662" i="7"/>
  <c r="AA1663" i="7"/>
  <c r="AA1664" i="7"/>
  <c r="AA1665" i="7"/>
  <c r="AA1666" i="7"/>
  <c r="AA1668" i="7"/>
  <c r="AA1669" i="7"/>
  <c r="AA1670" i="7"/>
  <c r="AA1671" i="7"/>
  <c r="AA1672" i="7"/>
  <c r="AA1673" i="7"/>
  <c r="AA1674" i="7"/>
  <c r="AA1676" i="7"/>
  <c r="AA1677" i="7"/>
  <c r="AA1678" i="7"/>
  <c r="AA1679" i="7"/>
  <c r="AA1680" i="7"/>
  <c r="AA1681" i="7"/>
  <c r="AA1682" i="7"/>
  <c r="AA1684" i="7"/>
  <c r="AA1685" i="7"/>
  <c r="AA1686" i="7"/>
  <c r="AA1687" i="7"/>
  <c r="AA1688" i="7"/>
  <c r="AA1689" i="7"/>
  <c r="AA1690" i="7"/>
  <c r="AA1692" i="7"/>
  <c r="AA1693" i="7"/>
  <c r="AA1694" i="7"/>
  <c r="AA1695" i="7"/>
  <c r="AA1696" i="7"/>
  <c r="AA1697" i="7"/>
  <c r="AA1698" i="7"/>
  <c r="AA1700" i="7"/>
  <c r="AA1701" i="7"/>
  <c r="AA1702" i="7"/>
  <c r="AA1703" i="7"/>
  <c r="AA1704" i="7"/>
  <c r="AA1705" i="7"/>
  <c r="AA1706" i="7"/>
  <c r="AA1708" i="7"/>
  <c r="AA1709" i="7"/>
  <c r="AA1710" i="7"/>
  <c r="AA1711" i="7"/>
  <c r="AA1712" i="7"/>
  <c r="AA1713" i="7"/>
  <c r="AA1714" i="7"/>
  <c r="AA1716" i="7"/>
  <c r="AA1717" i="7"/>
  <c r="AA1718" i="7"/>
  <c r="AA1719" i="7"/>
  <c r="AA1720" i="7"/>
  <c r="AA1721" i="7"/>
  <c r="AA1722" i="7"/>
  <c r="AA1724" i="7"/>
  <c r="AA1725" i="7"/>
  <c r="AA1726" i="7"/>
  <c r="AA1727" i="7"/>
  <c r="AA1728" i="7"/>
  <c r="AA1729" i="7"/>
  <c r="AA1730" i="7"/>
  <c r="AA1732" i="7"/>
  <c r="AA1733" i="7"/>
  <c r="AA1734" i="7"/>
  <c r="AA1735" i="7"/>
  <c r="AA1736" i="7"/>
  <c r="AA1737" i="7"/>
  <c r="AA1738" i="7"/>
  <c r="AA1740" i="7"/>
  <c r="AA1741" i="7"/>
  <c r="AA1742" i="7"/>
  <c r="AA1743" i="7"/>
  <c r="AA1744" i="7"/>
  <c r="AA1745" i="7"/>
  <c r="AA1746" i="7"/>
  <c r="AA1748" i="7"/>
  <c r="AA1749" i="7"/>
  <c r="AA1750" i="7"/>
  <c r="AA1751" i="7"/>
  <c r="AA1752" i="7"/>
  <c r="AA1753" i="7"/>
  <c r="AA1754" i="7"/>
  <c r="AA1756" i="7"/>
  <c r="AA1757" i="7"/>
  <c r="AA1758" i="7"/>
  <c r="AA1759" i="7"/>
  <c r="AA1760" i="7"/>
  <c r="AA1761" i="7"/>
  <c r="AA1762" i="7"/>
  <c r="AA1764" i="7"/>
  <c r="AA1765" i="7"/>
  <c r="AA1766" i="7"/>
  <c r="AA1767" i="7"/>
  <c r="AA1768" i="7"/>
  <c r="AA1769" i="7"/>
  <c r="AA1770" i="7"/>
  <c r="AA1772" i="7"/>
  <c r="AA1773" i="7"/>
  <c r="AA1774" i="7"/>
  <c r="AA1775" i="7"/>
  <c r="AA1776" i="7"/>
  <c r="AA1777" i="7"/>
  <c r="AA1778" i="7"/>
  <c r="AA1780" i="7"/>
  <c r="AA1781" i="7"/>
  <c r="AA1782" i="7"/>
  <c r="AA1783" i="7"/>
  <c r="AA1784" i="7"/>
  <c r="AA1785" i="7"/>
  <c r="AA1786" i="7"/>
  <c r="AA1788" i="7"/>
  <c r="AA1789" i="7"/>
  <c r="AA1790" i="7"/>
  <c r="AA1791" i="7"/>
  <c r="AA1792" i="7"/>
  <c r="AA1793" i="7"/>
  <c r="AA1794" i="7"/>
  <c r="AA1796" i="7"/>
  <c r="AA1797" i="7"/>
  <c r="AA1798" i="7"/>
  <c r="AA1799" i="7"/>
  <c r="AA1800" i="7"/>
  <c r="AA1801" i="7"/>
  <c r="AA1802" i="7"/>
  <c r="AA1804" i="7"/>
  <c r="AA1805" i="7"/>
  <c r="AA1806" i="7"/>
  <c r="AA1807" i="7"/>
  <c r="AA1808" i="7"/>
  <c r="AA1809" i="7"/>
  <c r="AA1810" i="7"/>
  <c r="AA1812" i="7"/>
  <c r="AA1813" i="7"/>
  <c r="AA1814" i="7"/>
  <c r="AA1815" i="7"/>
  <c r="AA1816" i="7"/>
  <c r="AA1817" i="7"/>
  <c r="AA1818" i="7"/>
  <c r="AA1820" i="7"/>
  <c r="AA1821" i="7"/>
  <c r="AA1822" i="7"/>
  <c r="AA1823" i="7"/>
  <c r="AA1824" i="7"/>
  <c r="AA1825" i="7"/>
  <c r="AA1826" i="7"/>
  <c r="AA1828" i="7"/>
  <c r="AA1829" i="7"/>
  <c r="AA1830" i="7"/>
  <c r="AA1831" i="7"/>
  <c r="AA1832" i="7"/>
  <c r="AA1833" i="7"/>
  <c r="AA1834" i="7"/>
  <c r="AA1836" i="7"/>
  <c r="AA1837" i="7"/>
  <c r="AA1838" i="7"/>
  <c r="AA1839" i="7"/>
  <c r="AA1840" i="7"/>
  <c r="AA1841" i="7"/>
  <c r="AA1842" i="7"/>
  <c r="AA1844" i="7"/>
  <c r="AA1845" i="7"/>
  <c r="AA1846" i="7"/>
  <c r="AA1847" i="7"/>
  <c r="AA1848" i="7"/>
  <c r="AA1849" i="7"/>
  <c r="AA1850" i="7"/>
  <c r="AA1852" i="7"/>
  <c r="AA1853" i="7"/>
  <c r="AA1854" i="7"/>
  <c r="AA1855" i="7"/>
  <c r="AA1856" i="7"/>
  <c r="AA1857" i="7"/>
  <c r="AA1858" i="7"/>
  <c r="AA1860" i="7"/>
  <c r="AA1861" i="7"/>
  <c r="AA1862" i="7"/>
  <c r="AA1863" i="7"/>
  <c r="AA1864" i="7"/>
  <c r="AA1865" i="7"/>
  <c r="AA1866" i="7"/>
  <c r="AA1868" i="7"/>
  <c r="AA1869" i="7"/>
  <c r="AA1870" i="7"/>
  <c r="AA1871" i="7"/>
  <c r="AA1872" i="7"/>
  <c r="AA1873" i="7"/>
  <c r="AA1874" i="7"/>
  <c r="AA1876" i="7"/>
  <c r="AA1877" i="7"/>
  <c r="AA1878" i="7"/>
  <c r="AA1879" i="7"/>
  <c r="AA1880" i="7"/>
  <c r="AA1881" i="7"/>
  <c r="AA1882" i="7"/>
  <c r="AA1884" i="7"/>
  <c r="AA1885" i="7"/>
  <c r="AA1886" i="7"/>
  <c r="AA1887" i="7"/>
  <c r="AA1888" i="7"/>
  <c r="AA1889" i="7"/>
  <c r="AA1890" i="7"/>
  <c r="AA1892" i="7"/>
  <c r="AA1893" i="7"/>
  <c r="AA1894" i="7"/>
  <c r="AA1895" i="7"/>
  <c r="AA1896" i="7"/>
  <c r="AA1897" i="7"/>
  <c r="AA1898" i="7"/>
  <c r="AA1900" i="7"/>
  <c r="AA1901" i="7"/>
  <c r="AA1902" i="7"/>
  <c r="AA1903" i="7"/>
  <c r="AA1904" i="7"/>
  <c r="AA1905" i="7"/>
  <c r="AA1906" i="7"/>
  <c r="AA1908" i="7"/>
  <c r="AA1909" i="7"/>
  <c r="AA1910" i="7"/>
  <c r="AA1911" i="7"/>
  <c r="AA1912" i="7"/>
  <c r="AA1913" i="7"/>
  <c r="AA1914" i="7"/>
  <c r="AA1916" i="7"/>
  <c r="AA1917" i="7"/>
  <c r="AA1918" i="7"/>
  <c r="AA1919" i="7"/>
  <c r="AA1920" i="7"/>
  <c r="AA1921" i="7"/>
  <c r="AA1922" i="7"/>
  <c r="AA1924" i="7"/>
  <c r="AA1925" i="7"/>
  <c r="AA1926" i="7"/>
  <c r="AA1927" i="7"/>
  <c r="AA1928" i="7"/>
  <c r="AA1929" i="7"/>
  <c r="AA1930" i="7"/>
  <c r="AA1932" i="7"/>
  <c r="AA1933" i="7"/>
  <c r="AA1934" i="7"/>
  <c r="AA1935" i="7"/>
  <c r="AA1936" i="7"/>
  <c r="AA1937" i="7"/>
  <c r="AA1938" i="7"/>
  <c r="AA1940" i="7"/>
  <c r="AA1941" i="7"/>
  <c r="AA1942" i="7"/>
  <c r="AA1943" i="7"/>
  <c r="AA1944" i="7"/>
  <c r="AA1945" i="7"/>
  <c r="AA1946" i="7"/>
  <c r="AA1948" i="7"/>
  <c r="AA1949" i="7"/>
  <c r="AA1950" i="7"/>
  <c r="AA1951" i="7"/>
  <c r="AA1952" i="7"/>
  <c r="AA1953" i="7"/>
  <c r="AA1954" i="7"/>
  <c r="AA1956" i="7"/>
  <c r="AA1957" i="7"/>
  <c r="AA1958" i="7"/>
  <c r="AA1959" i="7"/>
  <c r="AA1960" i="7"/>
  <c r="AA1961" i="7"/>
  <c r="AA1962" i="7"/>
  <c r="AA1964" i="7"/>
  <c r="AA1965" i="7"/>
  <c r="AA1966" i="7"/>
  <c r="AA1967" i="7"/>
  <c r="AA1968" i="7"/>
  <c r="AA1969" i="7"/>
  <c r="AA1970" i="7"/>
  <c r="AA1972" i="7"/>
  <c r="AA1973" i="7"/>
  <c r="AA1974" i="7"/>
  <c r="AA1975" i="7"/>
  <c r="AA1976" i="7"/>
  <c r="AA1977" i="7"/>
  <c r="AA1978" i="7"/>
  <c r="AA1980" i="7"/>
  <c r="AA1981" i="7"/>
  <c r="AA1982" i="7"/>
  <c r="AA1983" i="7"/>
  <c r="AA1984" i="7"/>
  <c r="AA1985" i="7"/>
  <c r="AA1986" i="7"/>
  <c r="AA1988" i="7"/>
  <c r="AA1989" i="7"/>
  <c r="AA1990" i="7"/>
  <c r="AA1991" i="7"/>
  <c r="AA1992" i="7"/>
  <c r="AA1993" i="7"/>
  <c r="AA1994" i="7"/>
  <c r="AA1996" i="7"/>
  <c r="AA1997" i="7"/>
  <c r="AA1998" i="7"/>
  <c r="AA1999" i="7"/>
  <c r="AA2000" i="7"/>
  <c r="AA2001" i="7"/>
  <c r="AA2002" i="7"/>
  <c r="AA2004" i="7"/>
  <c r="AA2005" i="7"/>
  <c r="AA2006" i="7"/>
  <c r="AA2007" i="7"/>
  <c r="AA2008" i="7"/>
  <c r="AA2009" i="7"/>
  <c r="AA2010" i="7"/>
  <c r="AA2012" i="7"/>
  <c r="AA2013" i="7"/>
  <c r="AA2014" i="7"/>
  <c r="AA2015" i="7"/>
  <c r="AA2016" i="7"/>
  <c r="AA2017" i="7"/>
  <c r="AA2018" i="7"/>
  <c r="AA2020" i="7"/>
  <c r="AA2021" i="7"/>
  <c r="AA2022" i="7"/>
  <c r="AA2023" i="7"/>
  <c r="AA2024" i="7"/>
  <c r="AA2025" i="7"/>
  <c r="AA2026" i="7"/>
  <c r="AA2028" i="7"/>
  <c r="AA2029" i="7"/>
  <c r="AA2030" i="7"/>
  <c r="AA2031" i="7"/>
  <c r="AA2032" i="7"/>
  <c r="AA2033" i="7"/>
  <c r="AA2034" i="7"/>
  <c r="AA2036" i="7"/>
  <c r="AA2037" i="7"/>
  <c r="AA2038" i="7"/>
  <c r="AA2039" i="7"/>
  <c r="AA2040" i="7"/>
  <c r="AA2041" i="7"/>
  <c r="AA2042" i="7"/>
  <c r="AA2044" i="7"/>
  <c r="AA2045" i="7"/>
  <c r="AA2046" i="7"/>
  <c r="AA2047" i="7"/>
  <c r="AA2048" i="7"/>
  <c r="AA2049" i="7"/>
  <c r="AA2050" i="7"/>
  <c r="AA2051" i="7"/>
  <c r="AA2052" i="7"/>
  <c r="AA2053" i="7"/>
  <c r="AA2054" i="7"/>
  <c r="AA2055" i="7"/>
  <c r="AA2056" i="7"/>
  <c r="AA2057" i="7"/>
  <c r="AA2058" i="7"/>
  <c r="AA2059" i="7"/>
  <c r="AA2060" i="7"/>
  <c r="AA2061" i="7"/>
  <c r="AA2062" i="7"/>
  <c r="AA2063" i="7"/>
  <c r="AA2064" i="7"/>
  <c r="AA2065" i="7"/>
  <c r="AA2066" i="7"/>
  <c r="AA2067" i="7"/>
  <c r="AA2068" i="7"/>
  <c r="AA2069" i="7"/>
  <c r="AA2070" i="7"/>
  <c r="AA2071" i="7"/>
  <c r="AA2072" i="7"/>
  <c r="AA2073" i="7"/>
  <c r="AA2074" i="7"/>
  <c r="AA2075" i="7"/>
  <c r="AA2076" i="7"/>
  <c r="AA2077" i="7"/>
  <c r="AA2078" i="7"/>
  <c r="AA2079" i="7"/>
  <c r="AA2080" i="7"/>
  <c r="AA2081" i="7"/>
  <c r="AA2082" i="7"/>
  <c r="AA2083" i="7"/>
  <c r="AA2084" i="7"/>
  <c r="AA2085" i="7"/>
  <c r="AA2086" i="7"/>
  <c r="AA2087" i="7"/>
  <c r="AA2088" i="7"/>
  <c r="AA2089" i="7"/>
  <c r="AA2090" i="7"/>
  <c r="AA2091" i="7"/>
  <c r="AA2092" i="7"/>
  <c r="AA2093" i="7"/>
  <c r="AA2094" i="7"/>
  <c r="AA2095" i="7"/>
  <c r="AA2096" i="7"/>
  <c r="AA2097" i="7"/>
  <c r="AA2098" i="7"/>
  <c r="AA2099" i="7"/>
  <c r="AA2100" i="7"/>
  <c r="AA2101" i="7"/>
  <c r="AA2102" i="7"/>
  <c r="AA2103" i="7"/>
  <c r="AA2104" i="7"/>
  <c r="AA2105" i="7"/>
  <c r="AA2106" i="7"/>
  <c r="AA2107" i="7"/>
  <c r="AA2108" i="7"/>
  <c r="AA2109" i="7"/>
  <c r="AA2110" i="7"/>
  <c r="AA2111" i="7"/>
  <c r="AA2112" i="7"/>
  <c r="AA2113" i="7"/>
  <c r="AA2114" i="7"/>
  <c r="AA2115" i="7"/>
  <c r="AA2116" i="7"/>
  <c r="AA2117" i="7"/>
  <c r="AA2118" i="7"/>
  <c r="AA2119" i="7"/>
  <c r="AA2120" i="7"/>
  <c r="AA2121" i="7"/>
  <c r="AA2122" i="7"/>
  <c r="AA2123" i="7"/>
  <c r="AA2124" i="7"/>
  <c r="AA2125" i="7"/>
  <c r="AA2126" i="7"/>
  <c r="AA2127" i="7"/>
  <c r="AA2128" i="7"/>
  <c r="AA2129" i="7"/>
  <c r="AA2130" i="7"/>
  <c r="AA2131" i="7"/>
  <c r="AA2132" i="7"/>
  <c r="AA2133" i="7"/>
  <c r="AA2134" i="7"/>
  <c r="AA2135" i="7"/>
  <c r="AA2136" i="7"/>
  <c r="AA2137" i="7"/>
  <c r="AA2138" i="7"/>
  <c r="AA2139" i="7"/>
  <c r="AA2140" i="7"/>
  <c r="AA2141" i="7"/>
  <c r="AA2142" i="7"/>
  <c r="AA2143" i="7"/>
  <c r="AA2144" i="7"/>
  <c r="AA2145" i="7"/>
  <c r="AA2146" i="7"/>
  <c r="AA2147" i="7"/>
  <c r="AA2148" i="7"/>
  <c r="AA2149" i="7"/>
  <c r="AA2150" i="7"/>
  <c r="AA2151" i="7"/>
  <c r="AA2152" i="7"/>
  <c r="AA2153" i="7"/>
  <c r="AA2154" i="7"/>
  <c r="AA2155" i="7"/>
  <c r="AA2156" i="7"/>
  <c r="AA2157" i="7"/>
  <c r="AA2158" i="7"/>
  <c r="AA2159" i="7"/>
  <c r="AA2160" i="7"/>
  <c r="AA2161" i="7"/>
  <c r="AA2162" i="7"/>
  <c r="AA2163" i="7"/>
  <c r="AA2164" i="7"/>
  <c r="AA2165" i="7"/>
  <c r="AA2166" i="7"/>
  <c r="AA2167" i="7"/>
  <c r="AA2168" i="7"/>
  <c r="AA2169" i="7"/>
  <c r="AA2170" i="7"/>
  <c r="AA2171" i="7"/>
  <c r="AA2172" i="7"/>
  <c r="AA2173" i="7"/>
  <c r="AA2174" i="7"/>
  <c r="AA2175" i="7"/>
  <c r="AA2176" i="7"/>
  <c r="AA2177" i="7"/>
  <c r="AA2178" i="7"/>
  <c r="AA2179" i="7"/>
  <c r="AA2180" i="7"/>
  <c r="AA2181" i="7"/>
  <c r="AA2182" i="7"/>
  <c r="AA2183" i="7"/>
  <c r="AA2184" i="7"/>
  <c r="AA2185" i="7"/>
  <c r="AA2186" i="7"/>
  <c r="AA2187" i="7"/>
  <c r="AA2188" i="7"/>
  <c r="AA2189" i="7"/>
  <c r="AA2190" i="7"/>
  <c r="AA2191" i="7"/>
  <c r="AA2192" i="7"/>
  <c r="AA2193" i="7"/>
  <c r="AA2194" i="7"/>
  <c r="AA2195" i="7"/>
  <c r="AA2196" i="7"/>
  <c r="AA2197" i="7"/>
  <c r="AA2198" i="7"/>
  <c r="AA2199" i="7"/>
  <c r="AA2200" i="7"/>
  <c r="AA2201" i="7"/>
  <c r="AA2202" i="7"/>
  <c r="AA2203" i="7"/>
  <c r="AA2204" i="7"/>
  <c r="AA2205" i="7"/>
  <c r="AA2206" i="7"/>
  <c r="AA2207" i="7"/>
  <c r="AA2208" i="7"/>
  <c r="AA2209" i="7"/>
  <c r="AA2210" i="7"/>
  <c r="AA2211" i="7"/>
  <c r="AA2212" i="7"/>
  <c r="AA2213" i="7"/>
  <c r="AA2214" i="7"/>
  <c r="AA2215" i="7"/>
  <c r="AA2216" i="7"/>
  <c r="AA2217" i="7"/>
  <c r="AA2218" i="7"/>
  <c r="AA2219" i="7"/>
  <c r="AA2220" i="7"/>
  <c r="AA2221" i="7"/>
  <c r="AA2222" i="7"/>
  <c r="AA2223" i="7"/>
  <c r="AA2224" i="7"/>
  <c r="AA2225" i="7"/>
  <c r="AA2226" i="7"/>
  <c r="AA2227" i="7"/>
  <c r="AA2228" i="7"/>
  <c r="AA2229" i="7"/>
  <c r="AA2230" i="7"/>
  <c r="AA2231" i="7"/>
  <c r="AA2232" i="7"/>
  <c r="AA2233" i="7"/>
  <c r="AA2234" i="7"/>
  <c r="AA2235" i="7"/>
  <c r="AA2236" i="7"/>
  <c r="AA2237" i="7"/>
  <c r="AA2238" i="7"/>
  <c r="AA2239" i="7"/>
  <c r="AA2240" i="7"/>
  <c r="AA2241" i="7"/>
  <c r="AA2242" i="7"/>
  <c r="AA2243" i="7"/>
  <c r="AA2244" i="7"/>
  <c r="AA2245" i="7"/>
  <c r="AA2246" i="7"/>
  <c r="AA2247" i="7"/>
  <c r="AA2248" i="7"/>
  <c r="AA2249" i="7"/>
  <c r="AA2250" i="7"/>
  <c r="AA2251" i="7"/>
  <c r="AA2252" i="7"/>
  <c r="AA2253" i="7"/>
  <c r="AA2254" i="7"/>
  <c r="AA2255" i="7"/>
  <c r="AA2256" i="7"/>
  <c r="AA2257" i="7"/>
  <c r="AA2258" i="7"/>
  <c r="AA2259" i="7"/>
  <c r="AA2260" i="7"/>
  <c r="AA2261" i="7"/>
  <c r="AA2262" i="7"/>
  <c r="AA2263" i="7"/>
  <c r="AA2264" i="7"/>
  <c r="AA2265" i="7"/>
  <c r="AA2266" i="7"/>
  <c r="AA2267" i="7"/>
  <c r="AA2268" i="7"/>
  <c r="AA2269" i="7"/>
  <c r="AA2270" i="7"/>
  <c r="AA2271" i="7"/>
  <c r="AA2272" i="7"/>
  <c r="AA2273" i="7"/>
  <c r="AA2274" i="7"/>
  <c r="AA2275" i="7"/>
  <c r="AA2276" i="7"/>
  <c r="AA2277" i="7"/>
  <c r="AA2278" i="7"/>
  <c r="AA2279" i="7"/>
  <c r="AA2280" i="7"/>
  <c r="AA2281" i="7"/>
  <c r="AA2282" i="7"/>
  <c r="AA2283" i="7"/>
  <c r="AA2284" i="7"/>
  <c r="AA2285" i="7"/>
  <c r="AA2286" i="7"/>
  <c r="AA2287" i="7"/>
  <c r="AA2288" i="7"/>
  <c r="AA2289" i="7"/>
  <c r="AA2290" i="7"/>
  <c r="AA2291" i="7"/>
  <c r="AA2292" i="7"/>
  <c r="AA2293" i="7"/>
  <c r="AA2294" i="7"/>
  <c r="AA2295" i="7"/>
  <c r="AA2296" i="7"/>
  <c r="AA2297" i="7"/>
  <c r="AA2298" i="7"/>
  <c r="AA2299" i="7"/>
  <c r="AA2300" i="7"/>
  <c r="AA2301" i="7"/>
  <c r="AA2302" i="7"/>
  <c r="AA2303" i="7"/>
  <c r="AA2304" i="7"/>
  <c r="AA2305" i="7"/>
  <c r="AA2306" i="7"/>
  <c r="AA2307" i="7"/>
  <c r="AA2308" i="7"/>
  <c r="AA2309" i="7"/>
  <c r="AA2310" i="7"/>
  <c r="AA2311" i="7"/>
  <c r="AA2312" i="7"/>
  <c r="AA2313" i="7"/>
  <c r="AA2314" i="7"/>
  <c r="AA2315" i="7"/>
  <c r="AA2316" i="7"/>
  <c r="AA2317" i="7"/>
  <c r="AA2318" i="7"/>
  <c r="AA2319" i="7"/>
  <c r="AA2320" i="7"/>
  <c r="AA2321" i="7"/>
  <c r="AA2322" i="7"/>
  <c r="AA2323" i="7"/>
  <c r="AA2324" i="7"/>
  <c r="AA2325" i="7"/>
  <c r="AA2326" i="7"/>
  <c r="AA2327" i="7"/>
  <c r="AA2328" i="7"/>
  <c r="AA2329" i="7"/>
  <c r="AA2330" i="7"/>
  <c r="AA2331" i="7"/>
  <c r="AA2332" i="7"/>
  <c r="AA2333" i="7"/>
  <c r="AA2334" i="7"/>
  <c r="AA2335" i="7"/>
  <c r="AA2336" i="7"/>
  <c r="AA2337" i="7"/>
  <c r="AA2338" i="7"/>
  <c r="AA2339" i="7"/>
  <c r="AA2340" i="7"/>
  <c r="AA2341" i="7"/>
  <c r="AA2342" i="7"/>
  <c r="AA2343" i="7"/>
  <c r="AA2344" i="7"/>
  <c r="AA2345" i="7"/>
  <c r="AA2346" i="7"/>
  <c r="AA2347" i="7"/>
  <c r="AA2348" i="7"/>
  <c r="AA2349" i="7"/>
  <c r="AA2350" i="7"/>
  <c r="AA2351" i="7"/>
  <c r="AA2352" i="7"/>
  <c r="AA2353" i="7"/>
  <c r="AA2354" i="7"/>
  <c r="AA2355" i="7"/>
  <c r="AA2356" i="7"/>
  <c r="AA2357" i="7"/>
  <c r="AA2358" i="7"/>
  <c r="AA2359" i="7"/>
  <c r="AA2360" i="7"/>
  <c r="AA2361" i="7"/>
  <c r="AA2362" i="7"/>
  <c r="AA2363" i="7"/>
  <c r="AA2364" i="7"/>
  <c r="AA2365" i="7"/>
  <c r="AA2366" i="7"/>
  <c r="AA2367" i="7"/>
  <c r="AA2368" i="7"/>
  <c r="AA2369" i="7"/>
  <c r="AA2370" i="7"/>
  <c r="AA2371" i="7"/>
  <c r="AA2372" i="7"/>
  <c r="AA2373" i="7"/>
  <c r="AA2374" i="7"/>
  <c r="AA2375" i="7"/>
  <c r="AA2376" i="7"/>
  <c r="AA2377" i="7"/>
  <c r="AA2378" i="7"/>
  <c r="AA2379" i="7"/>
  <c r="AA2380" i="7"/>
  <c r="AA2381" i="7"/>
  <c r="AA2382" i="7"/>
  <c r="AA2383" i="7"/>
  <c r="AA2384" i="7"/>
  <c r="AA2385" i="7"/>
  <c r="AA2386" i="7"/>
  <c r="AA2387" i="7"/>
  <c r="AA2388" i="7"/>
  <c r="AA2389" i="7"/>
  <c r="AA2390" i="7"/>
  <c r="AA2391" i="7"/>
  <c r="AA2392" i="7"/>
  <c r="AA2393" i="7"/>
  <c r="AA2394" i="7"/>
  <c r="AA2395" i="7"/>
  <c r="AA2396" i="7"/>
  <c r="AA2397" i="7"/>
  <c r="AA2398" i="7"/>
  <c r="AA2399" i="7"/>
  <c r="AA2400" i="7"/>
  <c r="AA2401" i="7"/>
  <c r="AA2402" i="7"/>
  <c r="AA2403" i="7"/>
  <c r="Y4" i="7"/>
  <c r="X5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X47" i="7"/>
  <c r="X48" i="7"/>
  <c r="X49" i="7"/>
  <c r="X50" i="7"/>
  <c r="X51" i="7"/>
  <c r="X52" i="7"/>
  <c r="X53" i="7"/>
  <c r="X54" i="7"/>
  <c r="X55" i="7"/>
  <c r="X56" i="7"/>
  <c r="X57" i="7"/>
  <c r="X58" i="7"/>
  <c r="X59" i="7"/>
  <c r="X60" i="7"/>
  <c r="X61" i="7"/>
  <c r="X62" i="7"/>
  <c r="X63" i="7"/>
  <c r="X64" i="7"/>
  <c r="X65" i="7"/>
  <c r="X66" i="7"/>
  <c r="X67" i="7"/>
  <c r="X68" i="7"/>
  <c r="X69" i="7"/>
  <c r="X70" i="7"/>
  <c r="X71" i="7"/>
  <c r="X72" i="7"/>
  <c r="X73" i="7"/>
  <c r="X74" i="7"/>
  <c r="X75" i="7"/>
  <c r="X76" i="7"/>
  <c r="X77" i="7"/>
  <c r="X78" i="7"/>
  <c r="X79" i="7"/>
  <c r="X80" i="7"/>
  <c r="X81" i="7"/>
  <c r="X82" i="7"/>
  <c r="X83" i="7"/>
  <c r="X84" i="7"/>
  <c r="X85" i="7"/>
  <c r="X86" i="7"/>
  <c r="X87" i="7"/>
  <c r="X88" i="7"/>
  <c r="X89" i="7"/>
  <c r="X90" i="7"/>
  <c r="X91" i="7"/>
  <c r="X92" i="7"/>
  <c r="X93" i="7"/>
  <c r="X94" i="7"/>
  <c r="X95" i="7"/>
  <c r="X96" i="7"/>
  <c r="X97" i="7"/>
  <c r="X98" i="7"/>
  <c r="X99" i="7"/>
  <c r="X100" i="7"/>
  <c r="X101" i="7"/>
  <c r="X102" i="7"/>
  <c r="X103" i="7"/>
  <c r="X104" i="7"/>
  <c r="X105" i="7"/>
  <c r="X106" i="7"/>
  <c r="X107" i="7"/>
  <c r="X108" i="7"/>
  <c r="X109" i="7"/>
  <c r="X110" i="7"/>
  <c r="X111" i="7"/>
  <c r="X112" i="7"/>
  <c r="X113" i="7"/>
  <c r="X114" i="7"/>
  <c r="X115" i="7"/>
  <c r="X116" i="7"/>
  <c r="X117" i="7"/>
  <c r="X118" i="7"/>
  <c r="X119" i="7"/>
  <c r="X120" i="7"/>
  <c r="X121" i="7"/>
  <c r="X122" i="7"/>
  <c r="X123" i="7"/>
  <c r="X124" i="7"/>
  <c r="X125" i="7"/>
  <c r="X126" i="7"/>
  <c r="X127" i="7"/>
  <c r="X128" i="7"/>
  <c r="X129" i="7"/>
  <c r="X130" i="7"/>
  <c r="X131" i="7"/>
  <c r="X132" i="7"/>
  <c r="X133" i="7"/>
  <c r="X134" i="7"/>
  <c r="X135" i="7"/>
  <c r="X136" i="7"/>
  <c r="X137" i="7"/>
  <c r="X138" i="7"/>
  <c r="X139" i="7"/>
  <c r="X140" i="7"/>
  <c r="X141" i="7"/>
  <c r="X142" i="7"/>
  <c r="X143" i="7"/>
  <c r="X144" i="7"/>
  <c r="X145" i="7"/>
  <c r="X146" i="7"/>
  <c r="X147" i="7"/>
  <c r="X148" i="7"/>
  <c r="X149" i="7"/>
  <c r="X150" i="7"/>
  <c r="X151" i="7"/>
  <c r="X152" i="7"/>
  <c r="X153" i="7"/>
  <c r="X154" i="7"/>
  <c r="X155" i="7"/>
  <c r="X156" i="7"/>
  <c r="X157" i="7"/>
  <c r="X158" i="7"/>
  <c r="X159" i="7"/>
  <c r="X160" i="7"/>
  <c r="X161" i="7"/>
  <c r="X162" i="7"/>
  <c r="X163" i="7"/>
  <c r="X164" i="7"/>
  <c r="X165" i="7"/>
  <c r="X166" i="7"/>
  <c r="X167" i="7"/>
  <c r="X168" i="7"/>
  <c r="X169" i="7"/>
  <c r="X170" i="7"/>
  <c r="X171" i="7"/>
  <c r="X172" i="7"/>
  <c r="X173" i="7"/>
  <c r="X174" i="7"/>
  <c r="X175" i="7"/>
  <c r="X176" i="7"/>
  <c r="X177" i="7"/>
  <c r="X178" i="7"/>
  <c r="X179" i="7"/>
  <c r="X180" i="7"/>
  <c r="X181" i="7"/>
  <c r="X182" i="7"/>
  <c r="X183" i="7"/>
  <c r="X184" i="7"/>
  <c r="X185" i="7"/>
  <c r="X186" i="7"/>
  <c r="X187" i="7"/>
  <c r="X188" i="7"/>
  <c r="X189" i="7"/>
  <c r="X190" i="7"/>
  <c r="X191" i="7"/>
  <c r="X192" i="7"/>
  <c r="X193" i="7"/>
  <c r="X194" i="7"/>
  <c r="X195" i="7"/>
  <c r="X196" i="7"/>
  <c r="X197" i="7"/>
  <c r="X198" i="7"/>
  <c r="X199" i="7"/>
  <c r="X200" i="7"/>
  <c r="X201" i="7"/>
  <c r="X202" i="7"/>
  <c r="X203" i="7"/>
  <c r="X204" i="7"/>
  <c r="X205" i="7"/>
  <c r="X206" i="7"/>
  <c r="X207" i="7"/>
  <c r="X208" i="7"/>
  <c r="X209" i="7"/>
  <c r="X210" i="7"/>
  <c r="X211" i="7"/>
  <c r="X212" i="7"/>
  <c r="X213" i="7"/>
  <c r="X214" i="7"/>
  <c r="X215" i="7"/>
  <c r="X216" i="7"/>
  <c r="X217" i="7"/>
  <c r="X218" i="7"/>
  <c r="X219" i="7"/>
  <c r="X220" i="7"/>
  <c r="X221" i="7"/>
  <c r="X222" i="7"/>
  <c r="X223" i="7"/>
  <c r="X224" i="7"/>
  <c r="X225" i="7"/>
  <c r="X226" i="7"/>
  <c r="X227" i="7"/>
  <c r="X228" i="7"/>
  <c r="X229" i="7"/>
  <c r="X230" i="7"/>
  <c r="X231" i="7"/>
  <c r="X232" i="7"/>
  <c r="X233" i="7"/>
  <c r="X234" i="7"/>
  <c r="X235" i="7"/>
  <c r="X236" i="7"/>
  <c r="X237" i="7"/>
  <c r="X238" i="7"/>
  <c r="X239" i="7"/>
  <c r="X240" i="7"/>
  <c r="X241" i="7"/>
  <c r="X242" i="7"/>
  <c r="X243" i="7"/>
  <c r="X244" i="7"/>
  <c r="X245" i="7"/>
  <c r="X246" i="7"/>
  <c r="X247" i="7"/>
  <c r="X248" i="7"/>
  <c r="X249" i="7"/>
  <c r="X250" i="7"/>
  <c r="X251" i="7"/>
  <c r="X252" i="7"/>
  <c r="X253" i="7"/>
  <c r="X254" i="7"/>
  <c r="X255" i="7"/>
  <c r="X256" i="7"/>
  <c r="X257" i="7"/>
  <c r="X258" i="7"/>
  <c r="X259" i="7"/>
  <c r="X260" i="7"/>
  <c r="X261" i="7"/>
  <c r="X262" i="7"/>
  <c r="X263" i="7"/>
  <c r="X264" i="7"/>
  <c r="X265" i="7"/>
  <c r="X266" i="7"/>
  <c r="X267" i="7"/>
  <c r="X268" i="7"/>
  <c r="X269" i="7"/>
  <c r="X270" i="7"/>
  <c r="X271" i="7"/>
  <c r="X272" i="7"/>
  <c r="X273" i="7"/>
  <c r="X274" i="7"/>
  <c r="X275" i="7"/>
  <c r="X276" i="7"/>
  <c r="X277" i="7"/>
  <c r="X278" i="7"/>
  <c r="X279" i="7"/>
  <c r="X280" i="7"/>
  <c r="X281" i="7"/>
  <c r="X282" i="7"/>
  <c r="X283" i="7"/>
  <c r="X284" i="7"/>
  <c r="X285" i="7"/>
  <c r="X286" i="7"/>
  <c r="X287" i="7"/>
  <c r="X288" i="7"/>
  <c r="X289" i="7"/>
  <c r="X290" i="7"/>
  <c r="X291" i="7"/>
  <c r="X292" i="7"/>
  <c r="X293" i="7"/>
  <c r="X294" i="7"/>
  <c r="X295" i="7"/>
  <c r="X296" i="7"/>
  <c r="X297" i="7"/>
  <c r="X298" i="7"/>
  <c r="X299" i="7"/>
  <c r="X300" i="7"/>
  <c r="X301" i="7"/>
  <c r="X302" i="7"/>
  <c r="X303" i="7"/>
  <c r="X304" i="7"/>
  <c r="X305" i="7"/>
  <c r="X306" i="7"/>
  <c r="X307" i="7"/>
  <c r="X308" i="7"/>
  <c r="X309" i="7"/>
  <c r="X310" i="7"/>
  <c r="X311" i="7"/>
  <c r="X312" i="7"/>
  <c r="X313" i="7"/>
  <c r="X314" i="7"/>
  <c r="X315" i="7"/>
  <c r="X316" i="7"/>
  <c r="X317" i="7"/>
  <c r="X318" i="7"/>
  <c r="X319" i="7"/>
  <c r="X320" i="7"/>
  <c r="X321" i="7"/>
  <c r="X322" i="7"/>
  <c r="X323" i="7"/>
  <c r="X324" i="7"/>
  <c r="X325" i="7"/>
  <c r="X326" i="7"/>
  <c r="X327" i="7"/>
  <c r="X328" i="7"/>
  <c r="X329" i="7"/>
  <c r="X330" i="7"/>
  <c r="X331" i="7"/>
  <c r="X332" i="7"/>
  <c r="X333" i="7"/>
  <c r="X334" i="7"/>
  <c r="X335" i="7"/>
  <c r="X336" i="7"/>
  <c r="X337" i="7"/>
  <c r="X338" i="7"/>
  <c r="X339" i="7"/>
  <c r="X340" i="7"/>
  <c r="X341" i="7"/>
  <c r="X342" i="7"/>
  <c r="X343" i="7"/>
  <c r="X344" i="7"/>
  <c r="X345" i="7"/>
  <c r="X346" i="7"/>
  <c r="X347" i="7"/>
  <c r="X348" i="7"/>
  <c r="X349" i="7"/>
  <c r="X350" i="7"/>
  <c r="X351" i="7"/>
  <c r="X352" i="7"/>
  <c r="X353" i="7"/>
  <c r="X354" i="7"/>
  <c r="X355" i="7"/>
  <c r="X356" i="7"/>
  <c r="X357" i="7"/>
  <c r="X358" i="7"/>
  <c r="X359" i="7"/>
  <c r="X360" i="7"/>
  <c r="X361" i="7"/>
  <c r="X362" i="7"/>
  <c r="X363" i="7"/>
  <c r="X364" i="7"/>
  <c r="X365" i="7"/>
  <c r="X366" i="7"/>
  <c r="X367" i="7"/>
  <c r="X368" i="7"/>
  <c r="X369" i="7"/>
  <c r="X370" i="7"/>
  <c r="X371" i="7"/>
  <c r="X372" i="7"/>
  <c r="X373" i="7"/>
  <c r="X374" i="7"/>
  <c r="X375" i="7"/>
  <c r="X376" i="7"/>
  <c r="X377" i="7"/>
  <c r="X378" i="7"/>
  <c r="X379" i="7"/>
  <c r="X380" i="7"/>
  <c r="X381" i="7"/>
  <c r="X382" i="7"/>
  <c r="X383" i="7"/>
  <c r="X384" i="7"/>
  <c r="X385" i="7"/>
  <c r="X386" i="7"/>
  <c r="X387" i="7"/>
  <c r="X388" i="7"/>
  <c r="X389" i="7"/>
  <c r="X390" i="7"/>
  <c r="X391" i="7"/>
  <c r="X392" i="7"/>
  <c r="X393" i="7"/>
  <c r="X394" i="7"/>
  <c r="X395" i="7"/>
  <c r="X396" i="7"/>
  <c r="X397" i="7"/>
  <c r="X398" i="7"/>
  <c r="X399" i="7"/>
  <c r="X400" i="7"/>
  <c r="X401" i="7"/>
  <c r="X402" i="7"/>
  <c r="X403" i="7"/>
  <c r="X404" i="7"/>
  <c r="X405" i="7"/>
  <c r="X406" i="7"/>
  <c r="X407" i="7"/>
  <c r="X408" i="7"/>
  <c r="X409" i="7"/>
  <c r="X410" i="7"/>
  <c r="X411" i="7"/>
  <c r="X412" i="7"/>
  <c r="X413" i="7"/>
  <c r="X414" i="7"/>
  <c r="X415" i="7"/>
  <c r="X416" i="7"/>
  <c r="X417" i="7"/>
  <c r="X418" i="7"/>
  <c r="X419" i="7"/>
  <c r="X420" i="7"/>
  <c r="X421" i="7"/>
  <c r="X422" i="7"/>
  <c r="X423" i="7"/>
  <c r="X424" i="7"/>
  <c r="X425" i="7"/>
  <c r="X426" i="7"/>
  <c r="X427" i="7"/>
  <c r="X428" i="7"/>
  <c r="X429" i="7"/>
  <c r="X430" i="7"/>
  <c r="X431" i="7"/>
  <c r="X432" i="7"/>
  <c r="X433" i="7"/>
  <c r="X434" i="7"/>
  <c r="X435" i="7"/>
  <c r="X436" i="7"/>
  <c r="X437" i="7"/>
  <c r="X438" i="7"/>
  <c r="X439" i="7"/>
  <c r="X440" i="7"/>
  <c r="X441" i="7"/>
  <c r="X442" i="7"/>
  <c r="X443" i="7"/>
  <c r="X444" i="7"/>
  <c r="X445" i="7"/>
  <c r="X446" i="7"/>
  <c r="X447" i="7"/>
  <c r="X448" i="7"/>
  <c r="X449" i="7"/>
  <c r="X450" i="7"/>
  <c r="X451" i="7"/>
  <c r="X452" i="7"/>
  <c r="X453" i="7"/>
  <c r="X454" i="7"/>
  <c r="X455" i="7"/>
  <c r="X456" i="7"/>
  <c r="X457" i="7"/>
  <c r="X458" i="7"/>
  <c r="X459" i="7"/>
  <c r="X460" i="7"/>
  <c r="X461" i="7"/>
  <c r="X462" i="7"/>
  <c r="X463" i="7"/>
  <c r="X464" i="7"/>
  <c r="X465" i="7"/>
  <c r="X466" i="7"/>
  <c r="X467" i="7"/>
  <c r="X468" i="7"/>
  <c r="X469" i="7"/>
  <c r="X470" i="7"/>
  <c r="X471" i="7"/>
  <c r="X472" i="7"/>
  <c r="X473" i="7"/>
  <c r="X474" i="7"/>
  <c r="X475" i="7"/>
  <c r="X476" i="7"/>
  <c r="X477" i="7"/>
  <c r="X478" i="7"/>
  <c r="X479" i="7"/>
  <c r="X480" i="7"/>
  <c r="X481" i="7"/>
  <c r="X482" i="7"/>
  <c r="X483" i="7"/>
  <c r="X484" i="7"/>
  <c r="X485" i="7"/>
  <c r="X486" i="7"/>
  <c r="X487" i="7"/>
  <c r="X488" i="7"/>
  <c r="X489" i="7"/>
  <c r="X490" i="7"/>
  <c r="X491" i="7"/>
  <c r="X492" i="7"/>
  <c r="X493" i="7"/>
  <c r="X494" i="7"/>
  <c r="X495" i="7"/>
  <c r="X496" i="7"/>
  <c r="X497" i="7"/>
  <c r="X498" i="7"/>
  <c r="X499" i="7"/>
  <c r="X500" i="7"/>
  <c r="X501" i="7"/>
  <c r="X502" i="7"/>
  <c r="X503" i="7"/>
  <c r="X504" i="7"/>
  <c r="X505" i="7"/>
  <c r="X506" i="7"/>
  <c r="X507" i="7"/>
  <c r="X508" i="7"/>
  <c r="X509" i="7"/>
  <c r="X510" i="7"/>
  <c r="X511" i="7"/>
  <c r="X512" i="7"/>
  <c r="X513" i="7"/>
  <c r="X514" i="7"/>
  <c r="X515" i="7"/>
  <c r="X516" i="7"/>
  <c r="X517" i="7"/>
  <c r="X518" i="7"/>
  <c r="X519" i="7"/>
  <c r="X520" i="7"/>
  <c r="X521" i="7"/>
  <c r="X522" i="7"/>
  <c r="X523" i="7"/>
  <c r="X524" i="7"/>
  <c r="X525" i="7"/>
  <c r="X526" i="7"/>
  <c r="X527" i="7"/>
  <c r="X528" i="7"/>
  <c r="X529" i="7"/>
  <c r="X530" i="7"/>
  <c r="X531" i="7"/>
  <c r="X532" i="7"/>
  <c r="X533" i="7"/>
  <c r="X534" i="7"/>
  <c r="X535" i="7"/>
  <c r="X536" i="7"/>
  <c r="X537" i="7"/>
  <c r="X538" i="7"/>
  <c r="X539" i="7"/>
  <c r="X540" i="7"/>
  <c r="X541" i="7"/>
  <c r="X542" i="7"/>
  <c r="X543" i="7"/>
  <c r="X544" i="7"/>
  <c r="X545" i="7"/>
  <c r="X546" i="7"/>
  <c r="X547" i="7"/>
  <c r="X548" i="7"/>
  <c r="X549" i="7"/>
  <c r="X550" i="7"/>
  <c r="X551" i="7"/>
  <c r="X552" i="7"/>
  <c r="X553" i="7"/>
  <c r="X554" i="7"/>
  <c r="X555" i="7"/>
  <c r="X556" i="7"/>
  <c r="X557" i="7"/>
  <c r="X558" i="7"/>
  <c r="X559" i="7"/>
  <c r="X560" i="7"/>
  <c r="X561" i="7"/>
  <c r="X562" i="7"/>
  <c r="X563" i="7"/>
  <c r="X564" i="7"/>
  <c r="X565" i="7"/>
  <c r="X566" i="7"/>
  <c r="X567" i="7"/>
  <c r="X568" i="7"/>
  <c r="X569" i="7"/>
  <c r="X570" i="7"/>
  <c r="X571" i="7"/>
  <c r="X572" i="7"/>
  <c r="X573" i="7"/>
  <c r="X574" i="7"/>
  <c r="X575" i="7"/>
  <c r="X576" i="7"/>
  <c r="X577" i="7"/>
  <c r="X578" i="7"/>
  <c r="X579" i="7"/>
  <c r="X580" i="7"/>
  <c r="X581" i="7"/>
  <c r="X582" i="7"/>
  <c r="X583" i="7"/>
  <c r="X584" i="7"/>
  <c r="X585" i="7"/>
  <c r="X586" i="7"/>
  <c r="X587" i="7"/>
  <c r="X588" i="7"/>
  <c r="X589" i="7"/>
  <c r="X590" i="7"/>
  <c r="X591" i="7"/>
  <c r="X592" i="7"/>
  <c r="X593" i="7"/>
  <c r="X594" i="7"/>
  <c r="X595" i="7"/>
  <c r="X596" i="7"/>
  <c r="X597" i="7"/>
  <c r="X598" i="7"/>
  <c r="X599" i="7"/>
  <c r="X600" i="7"/>
  <c r="X601" i="7"/>
  <c r="X602" i="7"/>
  <c r="X603" i="7"/>
  <c r="X604" i="7"/>
  <c r="X605" i="7"/>
  <c r="X606" i="7"/>
  <c r="X607" i="7"/>
  <c r="X608" i="7"/>
  <c r="X609" i="7"/>
  <c r="X610" i="7"/>
  <c r="X611" i="7"/>
  <c r="X612" i="7"/>
  <c r="X613" i="7"/>
  <c r="X614" i="7"/>
  <c r="X615" i="7"/>
  <c r="X616" i="7"/>
  <c r="X617" i="7"/>
  <c r="X618" i="7"/>
  <c r="X619" i="7"/>
  <c r="X620" i="7"/>
  <c r="X621" i="7"/>
  <c r="X622" i="7"/>
  <c r="X623" i="7"/>
  <c r="X624" i="7"/>
  <c r="X625" i="7"/>
  <c r="X626" i="7"/>
  <c r="X627" i="7"/>
  <c r="X628" i="7"/>
  <c r="X629" i="7"/>
  <c r="X630" i="7"/>
  <c r="X631" i="7"/>
  <c r="X632" i="7"/>
  <c r="X633" i="7"/>
  <c r="X634" i="7"/>
  <c r="X635" i="7"/>
  <c r="X636" i="7"/>
  <c r="X637" i="7"/>
  <c r="X638" i="7"/>
  <c r="X639" i="7"/>
  <c r="X640" i="7"/>
  <c r="X641" i="7"/>
  <c r="X642" i="7"/>
  <c r="X643" i="7"/>
  <c r="X644" i="7"/>
  <c r="X645" i="7"/>
  <c r="X646" i="7"/>
  <c r="X647" i="7"/>
  <c r="X648" i="7"/>
  <c r="X649" i="7"/>
  <c r="X650" i="7"/>
  <c r="X651" i="7"/>
  <c r="X652" i="7"/>
  <c r="X653" i="7"/>
  <c r="X654" i="7"/>
  <c r="X655" i="7"/>
  <c r="X656" i="7"/>
  <c r="X657" i="7"/>
  <c r="X658" i="7"/>
  <c r="X659" i="7"/>
  <c r="X660" i="7"/>
  <c r="X661" i="7"/>
  <c r="X662" i="7"/>
  <c r="X663" i="7"/>
  <c r="X664" i="7"/>
  <c r="X665" i="7"/>
  <c r="X666" i="7"/>
  <c r="X667" i="7"/>
  <c r="X668" i="7"/>
  <c r="X669" i="7"/>
  <c r="X670" i="7"/>
  <c r="X671" i="7"/>
  <c r="X672" i="7"/>
  <c r="X673" i="7"/>
  <c r="X674" i="7"/>
  <c r="X675" i="7"/>
  <c r="X676" i="7"/>
  <c r="X677" i="7"/>
  <c r="X678" i="7"/>
  <c r="X679" i="7"/>
  <c r="X680" i="7"/>
  <c r="X681" i="7"/>
  <c r="X682" i="7"/>
  <c r="X683" i="7"/>
  <c r="X684" i="7"/>
  <c r="X685" i="7"/>
  <c r="X686" i="7"/>
  <c r="X687" i="7"/>
  <c r="X688" i="7"/>
  <c r="X689" i="7"/>
  <c r="X690" i="7"/>
  <c r="X691" i="7"/>
  <c r="X692" i="7"/>
  <c r="X693" i="7"/>
  <c r="X694" i="7"/>
  <c r="X695" i="7"/>
  <c r="X696" i="7"/>
  <c r="X697" i="7"/>
  <c r="X698" i="7"/>
  <c r="X699" i="7"/>
  <c r="X700" i="7"/>
  <c r="X701" i="7"/>
  <c r="X702" i="7"/>
  <c r="X703" i="7"/>
  <c r="X704" i="7"/>
  <c r="X705" i="7"/>
  <c r="X706" i="7"/>
  <c r="X707" i="7"/>
  <c r="X708" i="7"/>
  <c r="X709" i="7"/>
  <c r="X710" i="7"/>
  <c r="X711" i="7"/>
  <c r="X712" i="7"/>
  <c r="X713" i="7"/>
  <c r="X714" i="7"/>
  <c r="X715" i="7"/>
  <c r="X716" i="7"/>
  <c r="X717" i="7"/>
  <c r="X718" i="7"/>
  <c r="X719" i="7"/>
  <c r="X720" i="7"/>
  <c r="X721" i="7"/>
  <c r="X722" i="7"/>
  <c r="X723" i="7"/>
  <c r="X724" i="7"/>
  <c r="X725" i="7"/>
  <c r="X726" i="7"/>
  <c r="X727" i="7"/>
  <c r="X728" i="7"/>
  <c r="X729" i="7"/>
  <c r="X730" i="7"/>
  <c r="X731" i="7"/>
  <c r="X732" i="7"/>
  <c r="X733" i="7"/>
  <c r="X734" i="7"/>
  <c r="X735" i="7"/>
  <c r="X736" i="7"/>
  <c r="X737" i="7"/>
  <c r="X738" i="7"/>
  <c r="X739" i="7"/>
  <c r="X740" i="7"/>
  <c r="X741" i="7"/>
  <c r="X742" i="7"/>
  <c r="X743" i="7"/>
  <c r="X744" i="7"/>
  <c r="X745" i="7"/>
  <c r="X746" i="7"/>
  <c r="X747" i="7"/>
  <c r="X748" i="7"/>
  <c r="X749" i="7"/>
  <c r="X750" i="7"/>
  <c r="X751" i="7"/>
  <c r="X752" i="7"/>
  <c r="X753" i="7"/>
  <c r="X754" i="7"/>
  <c r="X755" i="7"/>
  <c r="X756" i="7"/>
  <c r="X757" i="7"/>
  <c r="X758" i="7"/>
  <c r="X759" i="7"/>
  <c r="X760" i="7"/>
  <c r="X761" i="7"/>
  <c r="X762" i="7"/>
  <c r="X763" i="7"/>
  <c r="X764" i="7"/>
  <c r="X765" i="7"/>
  <c r="X766" i="7"/>
  <c r="X767" i="7"/>
  <c r="X768" i="7"/>
  <c r="X769" i="7"/>
  <c r="X770" i="7"/>
  <c r="X771" i="7"/>
  <c r="X772" i="7"/>
  <c r="X773" i="7"/>
  <c r="X774" i="7"/>
  <c r="X775" i="7"/>
  <c r="X776" i="7"/>
  <c r="X777" i="7"/>
  <c r="X778" i="7"/>
  <c r="X779" i="7"/>
  <c r="X780" i="7"/>
  <c r="X781" i="7"/>
  <c r="X782" i="7"/>
  <c r="X783" i="7"/>
  <c r="X784" i="7"/>
  <c r="X785" i="7"/>
  <c r="X786" i="7"/>
  <c r="X787" i="7"/>
  <c r="X788" i="7"/>
  <c r="X789" i="7"/>
  <c r="X790" i="7"/>
  <c r="X791" i="7"/>
  <c r="X792" i="7"/>
  <c r="X793" i="7"/>
  <c r="X794" i="7"/>
  <c r="X795" i="7"/>
  <c r="X796" i="7"/>
  <c r="X797" i="7"/>
  <c r="X798" i="7"/>
  <c r="X799" i="7"/>
  <c r="X800" i="7"/>
  <c r="X801" i="7"/>
  <c r="X802" i="7"/>
  <c r="X803" i="7"/>
  <c r="X804" i="7"/>
  <c r="X805" i="7"/>
  <c r="X806" i="7"/>
  <c r="X807" i="7"/>
  <c r="X808" i="7"/>
  <c r="X809" i="7"/>
  <c r="X810" i="7"/>
  <c r="X811" i="7"/>
  <c r="X812" i="7"/>
  <c r="X813" i="7"/>
  <c r="X814" i="7"/>
  <c r="X815" i="7"/>
  <c r="X816" i="7"/>
  <c r="X817" i="7"/>
  <c r="X818" i="7"/>
  <c r="X819" i="7"/>
  <c r="X820" i="7"/>
  <c r="X821" i="7"/>
  <c r="X822" i="7"/>
  <c r="X823" i="7"/>
  <c r="X824" i="7"/>
  <c r="X825" i="7"/>
  <c r="X826" i="7"/>
  <c r="X827" i="7"/>
  <c r="X828" i="7"/>
  <c r="X829" i="7"/>
  <c r="X830" i="7"/>
  <c r="X831" i="7"/>
  <c r="X832" i="7"/>
  <c r="X833" i="7"/>
  <c r="X834" i="7"/>
  <c r="X835" i="7"/>
  <c r="X836" i="7"/>
  <c r="X837" i="7"/>
  <c r="X838" i="7"/>
  <c r="X839" i="7"/>
  <c r="X840" i="7"/>
  <c r="X841" i="7"/>
  <c r="X842" i="7"/>
  <c r="X843" i="7"/>
  <c r="X844" i="7"/>
  <c r="X845" i="7"/>
  <c r="X846" i="7"/>
  <c r="X847" i="7"/>
  <c r="X848" i="7"/>
  <c r="X849" i="7"/>
  <c r="X850" i="7"/>
  <c r="X851" i="7"/>
  <c r="X852" i="7"/>
  <c r="X853" i="7"/>
  <c r="X854" i="7"/>
  <c r="X855" i="7"/>
  <c r="X856" i="7"/>
  <c r="X857" i="7"/>
  <c r="X858" i="7"/>
  <c r="X859" i="7"/>
  <c r="X860" i="7"/>
  <c r="X861" i="7"/>
  <c r="X862" i="7"/>
  <c r="X863" i="7"/>
  <c r="X864" i="7"/>
  <c r="X865" i="7"/>
  <c r="X866" i="7"/>
  <c r="X867" i="7"/>
  <c r="X868" i="7"/>
  <c r="X869" i="7"/>
  <c r="X870" i="7"/>
  <c r="X871" i="7"/>
  <c r="X872" i="7"/>
  <c r="X873" i="7"/>
  <c r="X874" i="7"/>
  <c r="X875" i="7"/>
  <c r="X876" i="7"/>
  <c r="X877" i="7"/>
  <c r="X878" i="7"/>
  <c r="X879" i="7"/>
  <c r="X880" i="7"/>
  <c r="X881" i="7"/>
  <c r="X882" i="7"/>
  <c r="X883" i="7"/>
  <c r="X884" i="7"/>
  <c r="X885" i="7"/>
  <c r="X886" i="7"/>
  <c r="X887" i="7"/>
  <c r="X888" i="7"/>
  <c r="X889" i="7"/>
  <c r="X890" i="7"/>
  <c r="X891" i="7"/>
  <c r="X892" i="7"/>
  <c r="X893" i="7"/>
  <c r="X894" i="7"/>
  <c r="X895" i="7"/>
  <c r="X896" i="7"/>
  <c r="X897" i="7"/>
  <c r="X898" i="7"/>
  <c r="X899" i="7"/>
  <c r="X900" i="7"/>
  <c r="X901" i="7"/>
  <c r="X902" i="7"/>
  <c r="X903" i="7"/>
  <c r="X904" i="7"/>
  <c r="X905" i="7"/>
  <c r="X906" i="7"/>
  <c r="X907" i="7"/>
  <c r="X908" i="7"/>
  <c r="X909" i="7"/>
  <c r="X910" i="7"/>
  <c r="X911" i="7"/>
  <c r="X912" i="7"/>
  <c r="X913" i="7"/>
  <c r="X914" i="7"/>
  <c r="X915" i="7"/>
  <c r="X916" i="7"/>
  <c r="X917" i="7"/>
  <c r="X918" i="7"/>
  <c r="X919" i="7"/>
  <c r="X920" i="7"/>
  <c r="X921" i="7"/>
  <c r="X922" i="7"/>
  <c r="X923" i="7"/>
  <c r="X924" i="7"/>
  <c r="X925" i="7"/>
  <c r="X926" i="7"/>
  <c r="X927" i="7"/>
  <c r="X928" i="7"/>
  <c r="X929" i="7"/>
  <c r="X930" i="7"/>
  <c r="X931" i="7"/>
  <c r="X932" i="7"/>
  <c r="X933" i="7"/>
  <c r="X934" i="7"/>
  <c r="X935" i="7"/>
  <c r="X936" i="7"/>
  <c r="X937" i="7"/>
  <c r="X938" i="7"/>
  <c r="X939" i="7"/>
  <c r="X940" i="7"/>
  <c r="X941" i="7"/>
  <c r="X942" i="7"/>
  <c r="X943" i="7"/>
  <c r="X944" i="7"/>
  <c r="X945" i="7"/>
  <c r="X946" i="7"/>
  <c r="X947" i="7"/>
  <c r="X948" i="7"/>
  <c r="X949" i="7"/>
  <c r="X950" i="7"/>
  <c r="X951" i="7"/>
  <c r="X952" i="7"/>
  <c r="X953" i="7"/>
  <c r="X954" i="7"/>
  <c r="X955" i="7"/>
  <c r="X956" i="7"/>
  <c r="X957" i="7"/>
  <c r="X958" i="7"/>
  <c r="X959" i="7"/>
  <c r="X960" i="7"/>
  <c r="X961" i="7"/>
  <c r="X962" i="7"/>
  <c r="X963" i="7"/>
  <c r="X964" i="7"/>
  <c r="X965" i="7"/>
  <c r="X966" i="7"/>
  <c r="X967" i="7"/>
  <c r="X968" i="7"/>
  <c r="X969" i="7"/>
  <c r="X970" i="7"/>
  <c r="X971" i="7"/>
  <c r="X972" i="7"/>
  <c r="X973" i="7"/>
  <c r="X974" i="7"/>
  <c r="X975" i="7"/>
  <c r="X976" i="7"/>
  <c r="X977" i="7"/>
  <c r="X978" i="7"/>
  <c r="X979" i="7"/>
  <c r="X980" i="7"/>
  <c r="X981" i="7"/>
  <c r="X982" i="7"/>
  <c r="X983" i="7"/>
  <c r="X984" i="7"/>
  <c r="X985" i="7"/>
  <c r="X986" i="7"/>
  <c r="X987" i="7"/>
  <c r="X988" i="7"/>
  <c r="X989" i="7"/>
  <c r="X990" i="7"/>
  <c r="X991" i="7"/>
  <c r="X992" i="7"/>
  <c r="X993" i="7"/>
  <c r="X994" i="7"/>
  <c r="X995" i="7"/>
  <c r="X996" i="7"/>
  <c r="X997" i="7"/>
  <c r="X998" i="7"/>
  <c r="X999" i="7"/>
  <c r="X1000" i="7"/>
  <c r="X1001" i="7"/>
  <c r="X1002" i="7"/>
  <c r="X1003" i="7"/>
  <c r="X1004" i="7"/>
  <c r="X1005" i="7"/>
  <c r="X1006" i="7"/>
  <c r="X1007" i="7"/>
  <c r="X1008" i="7"/>
  <c r="X1009" i="7"/>
  <c r="X1010" i="7"/>
  <c r="X1011" i="7"/>
  <c r="X1012" i="7"/>
  <c r="X1013" i="7"/>
  <c r="X1014" i="7"/>
  <c r="X1015" i="7"/>
  <c r="X1016" i="7"/>
  <c r="X1017" i="7"/>
  <c r="X1018" i="7"/>
  <c r="X1019" i="7"/>
  <c r="X1020" i="7"/>
  <c r="X1021" i="7"/>
  <c r="X1022" i="7"/>
  <c r="X1023" i="7"/>
  <c r="X1024" i="7"/>
  <c r="X1025" i="7"/>
  <c r="X1026" i="7"/>
  <c r="X1027" i="7"/>
  <c r="X1028" i="7"/>
  <c r="X1029" i="7"/>
  <c r="X1030" i="7"/>
  <c r="X1031" i="7"/>
  <c r="X1032" i="7"/>
  <c r="X1033" i="7"/>
  <c r="X1034" i="7"/>
  <c r="X1035" i="7"/>
  <c r="X1036" i="7"/>
  <c r="X1037" i="7"/>
  <c r="X1038" i="7"/>
  <c r="X1039" i="7"/>
  <c r="X1040" i="7"/>
  <c r="X1041" i="7"/>
  <c r="X1042" i="7"/>
  <c r="X1043" i="7"/>
  <c r="X1044" i="7"/>
  <c r="X1045" i="7"/>
  <c r="X1046" i="7"/>
  <c r="X1047" i="7"/>
  <c r="X1048" i="7"/>
  <c r="X1049" i="7"/>
  <c r="X1050" i="7"/>
  <c r="X1051" i="7"/>
  <c r="X1052" i="7"/>
  <c r="X1053" i="7"/>
  <c r="X1054" i="7"/>
  <c r="X1055" i="7"/>
  <c r="X1056" i="7"/>
  <c r="X1057" i="7"/>
  <c r="X1058" i="7"/>
  <c r="X1059" i="7"/>
  <c r="X1060" i="7"/>
  <c r="X1061" i="7"/>
  <c r="X1062" i="7"/>
  <c r="X1063" i="7"/>
  <c r="X1064" i="7"/>
  <c r="X1065" i="7"/>
  <c r="X1066" i="7"/>
  <c r="X1067" i="7"/>
  <c r="X1068" i="7"/>
  <c r="X1069" i="7"/>
  <c r="X1070" i="7"/>
  <c r="X1071" i="7"/>
  <c r="X1072" i="7"/>
  <c r="X1073" i="7"/>
  <c r="X1074" i="7"/>
  <c r="X1075" i="7"/>
  <c r="X1076" i="7"/>
  <c r="X1077" i="7"/>
  <c r="X1078" i="7"/>
  <c r="X1079" i="7"/>
  <c r="X1080" i="7"/>
  <c r="X1081" i="7"/>
  <c r="X1082" i="7"/>
  <c r="X1083" i="7"/>
  <c r="X1084" i="7"/>
  <c r="X1085" i="7"/>
  <c r="X1086" i="7"/>
  <c r="X1087" i="7"/>
  <c r="X1088" i="7"/>
  <c r="X1089" i="7"/>
  <c r="X1090" i="7"/>
  <c r="X1091" i="7"/>
  <c r="X1092" i="7"/>
  <c r="X1093" i="7"/>
  <c r="X1094" i="7"/>
  <c r="X1095" i="7"/>
  <c r="X1096" i="7"/>
  <c r="X1097" i="7"/>
  <c r="X1098" i="7"/>
  <c r="X1099" i="7"/>
  <c r="X1100" i="7"/>
  <c r="X1101" i="7"/>
  <c r="X1102" i="7"/>
  <c r="X1103" i="7"/>
  <c r="X1104" i="7"/>
  <c r="X1105" i="7"/>
  <c r="X1106" i="7"/>
  <c r="X1107" i="7"/>
  <c r="X1108" i="7"/>
  <c r="X1109" i="7"/>
  <c r="X1110" i="7"/>
  <c r="X1111" i="7"/>
  <c r="X1112" i="7"/>
  <c r="X1113" i="7"/>
  <c r="X1114" i="7"/>
  <c r="X1115" i="7"/>
  <c r="X1116" i="7"/>
  <c r="X1117" i="7"/>
  <c r="X1118" i="7"/>
  <c r="X1119" i="7"/>
  <c r="X1120" i="7"/>
  <c r="X1121" i="7"/>
  <c r="X1122" i="7"/>
  <c r="X1123" i="7"/>
  <c r="X1124" i="7"/>
  <c r="X1125" i="7"/>
  <c r="X1126" i="7"/>
  <c r="X1127" i="7"/>
  <c r="X1128" i="7"/>
  <c r="X1129" i="7"/>
  <c r="X1130" i="7"/>
  <c r="X1131" i="7"/>
  <c r="X1132" i="7"/>
  <c r="X1133" i="7"/>
  <c r="X1134" i="7"/>
  <c r="X1135" i="7"/>
  <c r="X1136" i="7"/>
  <c r="X1137" i="7"/>
  <c r="X1138" i="7"/>
  <c r="X1139" i="7"/>
  <c r="X1140" i="7"/>
  <c r="X1141" i="7"/>
  <c r="X1142" i="7"/>
  <c r="X1143" i="7"/>
  <c r="X1144" i="7"/>
  <c r="X1145" i="7"/>
  <c r="X1146" i="7"/>
  <c r="X1147" i="7"/>
  <c r="X1148" i="7"/>
  <c r="X1149" i="7"/>
  <c r="X1150" i="7"/>
  <c r="X1151" i="7"/>
  <c r="X1152" i="7"/>
  <c r="X1153" i="7"/>
  <c r="X1154" i="7"/>
  <c r="X1155" i="7"/>
  <c r="X1156" i="7"/>
  <c r="X1157" i="7"/>
  <c r="X1158" i="7"/>
  <c r="X1159" i="7"/>
  <c r="X1160" i="7"/>
  <c r="X1161" i="7"/>
  <c r="X1162" i="7"/>
  <c r="X1163" i="7"/>
  <c r="X1164" i="7"/>
  <c r="X1165" i="7"/>
  <c r="X1166" i="7"/>
  <c r="X1167" i="7"/>
  <c r="X1168" i="7"/>
  <c r="X1169" i="7"/>
  <c r="X1170" i="7"/>
  <c r="X1171" i="7"/>
  <c r="X1172" i="7"/>
  <c r="X1173" i="7"/>
  <c r="X1174" i="7"/>
  <c r="X1175" i="7"/>
  <c r="X1176" i="7"/>
  <c r="X1177" i="7"/>
  <c r="X1178" i="7"/>
  <c r="X1179" i="7"/>
  <c r="X1180" i="7"/>
  <c r="X1181" i="7"/>
  <c r="X1182" i="7"/>
  <c r="X1183" i="7"/>
  <c r="X1184" i="7"/>
  <c r="X1185" i="7"/>
  <c r="X1186" i="7"/>
  <c r="X1187" i="7"/>
  <c r="X1188" i="7"/>
  <c r="X1189" i="7"/>
  <c r="X1190" i="7"/>
  <c r="X1191" i="7"/>
  <c r="X1192" i="7"/>
  <c r="X1193" i="7"/>
  <c r="X1194" i="7"/>
  <c r="X1195" i="7"/>
  <c r="X1196" i="7"/>
  <c r="X1197" i="7"/>
  <c r="X1198" i="7"/>
  <c r="X1199" i="7"/>
  <c r="X1200" i="7"/>
  <c r="X1201" i="7"/>
  <c r="X1202" i="7"/>
  <c r="X1203" i="7"/>
  <c r="X1204" i="7"/>
  <c r="X1205" i="7"/>
  <c r="X1206" i="7"/>
  <c r="X1207" i="7"/>
  <c r="X1208" i="7"/>
  <c r="X1209" i="7"/>
  <c r="X1210" i="7"/>
  <c r="X1211" i="7"/>
  <c r="X1212" i="7"/>
  <c r="X1213" i="7"/>
  <c r="X1214" i="7"/>
  <c r="X1215" i="7"/>
  <c r="X1216" i="7"/>
  <c r="X1217" i="7"/>
  <c r="X1218" i="7"/>
  <c r="X1219" i="7"/>
  <c r="X1220" i="7"/>
  <c r="X1221" i="7"/>
  <c r="X1222" i="7"/>
  <c r="X1223" i="7"/>
  <c r="X1224" i="7"/>
  <c r="X1225" i="7"/>
  <c r="X1226" i="7"/>
  <c r="X1227" i="7"/>
  <c r="X1228" i="7"/>
  <c r="X1229" i="7"/>
  <c r="X1230" i="7"/>
  <c r="X1231" i="7"/>
  <c r="X1232" i="7"/>
  <c r="X1233" i="7"/>
  <c r="X1234" i="7"/>
  <c r="X1235" i="7"/>
  <c r="X1236" i="7"/>
  <c r="X1237" i="7"/>
  <c r="X1238" i="7"/>
  <c r="X1239" i="7"/>
  <c r="X1240" i="7"/>
  <c r="X1241" i="7"/>
  <c r="X1242" i="7"/>
  <c r="X1243" i="7"/>
  <c r="X1244" i="7"/>
  <c r="X1245" i="7"/>
  <c r="X1246" i="7"/>
  <c r="X1247" i="7"/>
  <c r="X1248" i="7"/>
  <c r="X1249" i="7"/>
  <c r="X1250" i="7"/>
  <c r="X1251" i="7"/>
  <c r="X1252" i="7"/>
  <c r="X1253" i="7"/>
  <c r="X1254" i="7"/>
  <c r="X1255" i="7"/>
  <c r="X1256" i="7"/>
  <c r="X1257" i="7"/>
  <c r="X1258" i="7"/>
  <c r="X1259" i="7"/>
  <c r="X1260" i="7"/>
  <c r="X1261" i="7"/>
  <c r="X1262" i="7"/>
  <c r="X1263" i="7"/>
  <c r="X1264" i="7"/>
  <c r="X1265" i="7"/>
  <c r="X1266" i="7"/>
  <c r="X1267" i="7"/>
  <c r="X1268" i="7"/>
  <c r="X1269" i="7"/>
  <c r="X1270" i="7"/>
  <c r="X1271" i="7"/>
  <c r="X1272" i="7"/>
  <c r="X1273" i="7"/>
  <c r="X1274" i="7"/>
  <c r="X1275" i="7"/>
  <c r="X1276" i="7"/>
  <c r="X1277" i="7"/>
  <c r="X1278" i="7"/>
  <c r="X1279" i="7"/>
  <c r="X1280" i="7"/>
  <c r="X1281" i="7"/>
  <c r="X1282" i="7"/>
  <c r="X1283" i="7"/>
  <c r="X1284" i="7"/>
  <c r="X1285" i="7"/>
  <c r="X1286" i="7"/>
  <c r="X1287" i="7"/>
  <c r="X1288" i="7"/>
  <c r="X1289" i="7"/>
  <c r="X1290" i="7"/>
  <c r="X1291" i="7"/>
  <c r="X1292" i="7"/>
  <c r="X1293" i="7"/>
  <c r="X1294" i="7"/>
  <c r="X1295" i="7"/>
  <c r="X1296" i="7"/>
  <c r="X1297" i="7"/>
  <c r="X1298" i="7"/>
  <c r="X1299" i="7"/>
  <c r="X1300" i="7"/>
  <c r="X1301" i="7"/>
  <c r="X1302" i="7"/>
  <c r="X1303" i="7"/>
  <c r="X1304" i="7"/>
  <c r="X1305" i="7"/>
  <c r="X1306" i="7"/>
  <c r="X1307" i="7"/>
  <c r="X1308" i="7"/>
  <c r="X1309" i="7"/>
  <c r="X1310" i="7"/>
  <c r="X1311" i="7"/>
  <c r="X1312" i="7"/>
  <c r="X1313" i="7"/>
  <c r="X1314" i="7"/>
  <c r="X1315" i="7"/>
  <c r="X1316" i="7"/>
  <c r="X1317" i="7"/>
  <c r="X1318" i="7"/>
  <c r="X1319" i="7"/>
  <c r="X1320" i="7"/>
  <c r="X1321" i="7"/>
  <c r="X1322" i="7"/>
  <c r="X1323" i="7"/>
  <c r="X1324" i="7"/>
  <c r="X1325" i="7"/>
  <c r="X1326" i="7"/>
  <c r="X1327" i="7"/>
  <c r="X1328" i="7"/>
  <c r="X1329" i="7"/>
  <c r="X1330" i="7"/>
  <c r="X1331" i="7"/>
  <c r="X1332" i="7"/>
  <c r="X1333" i="7"/>
  <c r="X1334" i="7"/>
  <c r="X1335" i="7"/>
  <c r="X1336" i="7"/>
  <c r="X1337" i="7"/>
  <c r="X1338" i="7"/>
  <c r="X1339" i="7"/>
  <c r="X1340" i="7"/>
  <c r="X1341" i="7"/>
  <c r="X1342" i="7"/>
  <c r="X1343" i="7"/>
  <c r="X1344" i="7"/>
  <c r="X1345" i="7"/>
  <c r="X1346" i="7"/>
  <c r="X1347" i="7"/>
  <c r="X1348" i="7"/>
  <c r="X1349" i="7"/>
  <c r="X1350" i="7"/>
  <c r="X1351" i="7"/>
  <c r="X1352" i="7"/>
  <c r="X1353" i="7"/>
  <c r="X1354" i="7"/>
  <c r="X1355" i="7"/>
  <c r="X1356" i="7"/>
  <c r="X1357" i="7"/>
  <c r="X1358" i="7"/>
  <c r="X1359" i="7"/>
  <c r="X1360" i="7"/>
  <c r="X1361" i="7"/>
  <c r="X1362" i="7"/>
  <c r="X1363" i="7"/>
  <c r="X1364" i="7"/>
  <c r="X1365" i="7"/>
  <c r="X1366" i="7"/>
  <c r="X1367" i="7"/>
  <c r="X1368" i="7"/>
  <c r="X1369" i="7"/>
  <c r="X1370" i="7"/>
  <c r="X1371" i="7"/>
  <c r="X1372" i="7"/>
  <c r="X1373" i="7"/>
  <c r="X1374" i="7"/>
  <c r="X1375" i="7"/>
  <c r="X1376" i="7"/>
  <c r="X1377" i="7"/>
  <c r="X1378" i="7"/>
  <c r="X1379" i="7"/>
  <c r="X1380" i="7"/>
  <c r="X1381" i="7"/>
  <c r="X1382" i="7"/>
  <c r="X1383" i="7"/>
  <c r="X1384" i="7"/>
  <c r="X1385" i="7"/>
  <c r="X1386" i="7"/>
  <c r="X1387" i="7"/>
  <c r="X1388" i="7"/>
  <c r="X1389" i="7"/>
  <c r="X1390" i="7"/>
  <c r="X1391" i="7"/>
  <c r="X1392" i="7"/>
  <c r="X1393" i="7"/>
  <c r="X1394" i="7"/>
  <c r="X1395" i="7"/>
  <c r="X1396" i="7"/>
  <c r="X1397" i="7"/>
  <c r="X1398" i="7"/>
  <c r="X1399" i="7"/>
  <c r="X1400" i="7"/>
  <c r="X1401" i="7"/>
  <c r="X1402" i="7"/>
  <c r="X1403" i="7"/>
  <c r="X1404" i="7"/>
  <c r="X1405" i="7"/>
  <c r="X1406" i="7"/>
  <c r="X1407" i="7"/>
  <c r="X1408" i="7"/>
  <c r="X1409" i="7"/>
  <c r="X1410" i="7"/>
  <c r="X1411" i="7"/>
  <c r="X1412" i="7"/>
  <c r="X1413" i="7"/>
  <c r="X1414" i="7"/>
  <c r="X1415" i="7"/>
  <c r="X1416" i="7"/>
  <c r="X1417" i="7"/>
  <c r="X1418" i="7"/>
  <c r="X1419" i="7"/>
  <c r="X1420" i="7"/>
  <c r="X1421" i="7"/>
  <c r="X1422" i="7"/>
  <c r="X1423" i="7"/>
  <c r="X1424" i="7"/>
  <c r="X1425" i="7"/>
  <c r="X1426" i="7"/>
  <c r="X1427" i="7"/>
  <c r="X1428" i="7"/>
  <c r="X1429" i="7"/>
  <c r="X1430" i="7"/>
  <c r="X1431" i="7"/>
  <c r="X1432" i="7"/>
  <c r="X1433" i="7"/>
  <c r="X1434" i="7"/>
  <c r="X1435" i="7"/>
  <c r="X1436" i="7"/>
  <c r="X1437" i="7"/>
  <c r="X1438" i="7"/>
  <c r="X1439" i="7"/>
  <c r="X1440" i="7"/>
  <c r="X1441" i="7"/>
  <c r="X1442" i="7"/>
  <c r="X1443" i="7"/>
  <c r="X1444" i="7"/>
  <c r="X1445" i="7"/>
  <c r="X1446" i="7"/>
  <c r="X1447" i="7"/>
  <c r="X1448" i="7"/>
  <c r="X1449" i="7"/>
  <c r="X1450" i="7"/>
  <c r="X1451" i="7"/>
  <c r="X1452" i="7"/>
  <c r="X1453" i="7"/>
  <c r="X1454" i="7"/>
  <c r="X1455" i="7"/>
  <c r="X1456" i="7"/>
  <c r="X1457" i="7"/>
  <c r="X1458" i="7"/>
  <c r="X1459" i="7"/>
  <c r="X1460" i="7"/>
  <c r="X1461" i="7"/>
  <c r="X1462" i="7"/>
  <c r="X1463" i="7"/>
  <c r="X1464" i="7"/>
  <c r="X1465" i="7"/>
  <c r="X1466" i="7"/>
  <c r="X1467" i="7"/>
  <c r="X1468" i="7"/>
  <c r="X1469" i="7"/>
  <c r="X1470" i="7"/>
  <c r="X1471" i="7"/>
  <c r="X1472" i="7"/>
  <c r="X1473" i="7"/>
  <c r="X1474" i="7"/>
  <c r="X1475" i="7"/>
  <c r="X1476" i="7"/>
  <c r="X1477" i="7"/>
  <c r="X1478" i="7"/>
  <c r="X1479" i="7"/>
  <c r="X1480" i="7"/>
  <c r="X1481" i="7"/>
  <c r="X1482" i="7"/>
  <c r="X1483" i="7"/>
  <c r="X1484" i="7"/>
  <c r="X1485" i="7"/>
  <c r="X1486" i="7"/>
  <c r="X1487" i="7"/>
  <c r="X1488" i="7"/>
  <c r="X1489" i="7"/>
  <c r="X1490" i="7"/>
  <c r="X1491" i="7"/>
  <c r="X1492" i="7"/>
  <c r="X1493" i="7"/>
  <c r="X1494" i="7"/>
  <c r="X1495" i="7"/>
  <c r="X1496" i="7"/>
  <c r="X1497" i="7"/>
  <c r="X1498" i="7"/>
  <c r="X1499" i="7"/>
  <c r="X1500" i="7"/>
  <c r="X1501" i="7"/>
  <c r="X1502" i="7"/>
  <c r="X1503" i="7"/>
  <c r="X1504" i="7"/>
  <c r="X1505" i="7"/>
  <c r="X1506" i="7"/>
  <c r="X1507" i="7"/>
  <c r="X1508" i="7"/>
  <c r="X1509" i="7"/>
  <c r="X1510" i="7"/>
  <c r="X1511" i="7"/>
  <c r="X1512" i="7"/>
  <c r="X1513" i="7"/>
  <c r="X1514" i="7"/>
  <c r="X1515" i="7"/>
  <c r="X1516" i="7"/>
  <c r="X1517" i="7"/>
  <c r="X1518" i="7"/>
  <c r="X1519" i="7"/>
  <c r="X1520" i="7"/>
  <c r="X1521" i="7"/>
  <c r="X1522" i="7"/>
  <c r="X1523" i="7"/>
  <c r="X1524" i="7"/>
  <c r="X1525" i="7"/>
  <c r="X1526" i="7"/>
  <c r="X1527" i="7"/>
  <c r="X1528" i="7"/>
  <c r="X1529" i="7"/>
  <c r="X1530" i="7"/>
  <c r="X1531" i="7"/>
  <c r="X1532" i="7"/>
  <c r="X1533" i="7"/>
  <c r="X1534" i="7"/>
  <c r="X1535" i="7"/>
  <c r="X1536" i="7"/>
  <c r="X1537" i="7"/>
  <c r="X1538" i="7"/>
  <c r="X1539" i="7"/>
  <c r="X1540" i="7"/>
  <c r="X1541" i="7"/>
  <c r="X1542" i="7"/>
  <c r="X1543" i="7"/>
  <c r="X1544" i="7"/>
  <c r="X1545" i="7"/>
  <c r="X1546" i="7"/>
  <c r="X1547" i="7"/>
  <c r="X1548" i="7"/>
  <c r="X1549" i="7"/>
  <c r="X1550" i="7"/>
  <c r="X1551" i="7"/>
  <c r="X1552" i="7"/>
  <c r="X1553" i="7"/>
  <c r="X1554" i="7"/>
  <c r="X1555" i="7"/>
  <c r="X1556" i="7"/>
  <c r="X1557" i="7"/>
  <c r="X1558" i="7"/>
  <c r="X1559" i="7"/>
  <c r="X1560" i="7"/>
  <c r="X1561" i="7"/>
  <c r="X1562" i="7"/>
  <c r="X1563" i="7"/>
  <c r="X1564" i="7"/>
  <c r="X1565" i="7"/>
  <c r="X1566" i="7"/>
  <c r="X1567" i="7"/>
  <c r="X1568" i="7"/>
  <c r="X1569" i="7"/>
  <c r="X1570" i="7"/>
  <c r="X1571" i="7"/>
  <c r="X1572" i="7"/>
  <c r="X1573" i="7"/>
  <c r="X1574" i="7"/>
  <c r="X1575" i="7"/>
  <c r="X1576" i="7"/>
  <c r="X1577" i="7"/>
  <c r="X1578" i="7"/>
  <c r="X1579" i="7"/>
  <c r="X1580" i="7"/>
  <c r="X1581" i="7"/>
  <c r="X1582" i="7"/>
  <c r="X1583" i="7"/>
  <c r="X1584" i="7"/>
  <c r="X1585" i="7"/>
  <c r="X1586" i="7"/>
  <c r="X1587" i="7"/>
  <c r="X1588" i="7"/>
  <c r="X1589" i="7"/>
  <c r="X1590" i="7"/>
  <c r="X1591" i="7"/>
  <c r="X1592" i="7"/>
  <c r="X1593" i="7"/>
  <c r="X1594" i="7"/>
  <c r="X1595" i="7"/>
  <c r="X1596" i="7"/>
  <c r="X1597" i="7"/>
  <c r="X1598" i="7"/>
  <c r="X1599" i="7"/>
  <c r="X1600" i="7"/>
  <c r="X1601" i="7"/>
  <c r="X1602" i="7"/>
  <c r="X1603" i="7"/>
  <c r="X1604" i="7"/>
  <c r="X1605" i="7"/>
  <c r="X1606" i="7"/>
  <c r="X1607" i="7"/>
  <c r="X1608" i="7"/>
  <c r="X1609" i="7"/>
  <c r="X1610" i="7"/>
  <c r="X1611" i="7"/>
  <c r="X1612" i="7"/>
  <c r="X1613" i="7"/>
  <c r="X1614" i="7"/>
  <c r="X1615" i="7"/>
  <c r="X1616" i="7"/>
  <c r="X1617" i="7"/>
  <c r="X1618" i="7"/>
  <c r="X1619" i="7"/>
  <c r="X1620" i="7"/>
  <c r="X1621" i="7"/>
  <c r="X1622" i="7"/>
  <c r="X1623" i="7"/>
  <c r="X1624" i="7"/>
  <c r="X1625" i="7"/>
  <c r="X1626" i="7"/>
  <c r="X1627" i="7"/>
  <c r="X1628" i="7"/>
  <c r="X1629" i="7"/>
  <c r="X1630" i="7"/>
  <c r="X1631" i="7"/>
  <c r="X1632" i="7"/>
  <c r="X1633" i="7"/>
  <c r="X1634" i="7"/>
  <c r="X1635" i="7"/>
  <c r="X1636" i="7"/>
  <c r="X1637" i="7"/>
  <c r="X1638" i="7"/>
  <c r="X1639" i="7"/>
  <c r="X1640" i="7"/>
  <c r="X1641" i="7"/>
  <c r="X1642" i="7"/>
  <c r="X1643" i="7"/>
  <c r="X1644" i="7"/>
  <c r="X1645" i="7"/>
  <c r="X1646" i="7"/>
  <c r="X1647" i="7"/>
  <c r="X1648" i="7"/>
  <c r="X1649" i="7"/>
  <c r="X1650" i="7"/>
  <c r="X1651" i="7"/>
  <c r="X1652" i="7"/>
  <c r="X1653" i="7"/>
  <c r="X1654" i="7"/>
  <c r="X1655" i="7"/>
  <c r="X1656" i="7"/>
  <c r="X1657" i="7"/>
  <c r="X1658" i="7"/>
  <c r="X1659" i="7"/>
  <c r="X1660" i="7"/>
  <c r="X1661" i="7"/>
  <c r="X1662" i="7"/>
  <c r="X1663" i="7"/>
  <c r="X1664" i="7"/>
  <c r="X1665" i="7"/>
  <c r="X1666" i="7"/>
  <c r="X1667" i="7"/>
  <c r="X1668" i="7"/>
  <c r="X1669" i="7"/>
  <c r="X1670" i="7"/>
  <c r="X1671" i="7"/>
  <c r="X1672" i="7"/>
  <c r="X1673" i="7"/>
  <c r="X1674" i="7"/>
  <c r="X1675" i="7"/>
  <c r="X1676" i="7"/>
  <c r="X1677" i="7"/>
  <c r="X1678" i="7"/>
  <c r="X1679" i="7"/>
  <c r="X1680" i="7"/>
  <c r="X1681" i="7"/>
  <c r="X1682" i="7"/>
  <c r="X1683" i="7"/>
  <c r="X1684" i="7"/>
  <c r="X1685" i="7"/>
  <c r="X1686" i="7"/>
  <c r="X1687" i="7"/>
  <c r="X1688" i="7"/>
  <c r="X1689" i="7"/>
  <c r="X1690" i="7"/>
  <c r="X1691" i="7"/>
  <c r="X1692" i="7"/>
  <c r="X1693" i="7"/>
  <c r="X1694" i="7"/>
  <c r="X1695" i="7"/>
  <c r="X1696" i="7"/>
  <c r="X1697" i="7"/>
  <c r="X1698" i="7"/>
  <c r="X1699" i="7"/>
  <c r="X1700" i="7"/>
  <c r="X1701" i="7"/>
  <c r="X1702" i="7"/>
  <c r="X1703" i="7"/>
  <c r="X1704" i="7"/>
  <c r="X1705" i="7"/>
  <c r="X1706" i="7"/>
  <c r="X1707" i="7"/>
  <c r="X1708" i="7"/>
  <c r="X1709" i="7"/>
  <c r="X1710" i="7"/>
  <c r="X1711" i="7"/>
  <c r="X1712" i="7"/>
  <c r="X1713" i="7"/>
  <c r="X1714" i="7"/>
  <c r="X1715" i="7"/>
  <c r="X1716" i="7"/>
  <c r="X1717" i="7"/>
  <c r="X1718" i="7"/>
  <c r="X1719" i="7"/>
  <c r="X1720" i="7"/>
  <c r="X1721" i="7"/>
  <c r="X1722" i="7"/>
  <c r="X1723" i="7"/>
  <c r="X1724" i="7"/>
  <c r="X1725" i="7"/>
  <c r="X1726" i="7"/>
  <c r="X1727" i="7"/>
  <c r="X1728" i="7"/>
  <c r="X1729" i="7"/>
  <c r="X1730" i="7"/>
  <c r="X1731" i="7"/>
  <c r="X1732" i="7"/>
  <c r="X1733" i="7"/>
  <c r="X1734" i="7"/>
  <c r="X1735" i="7"/>
  <c r="X1736" i="7"/>
  <c r="X1737" i="7"/>
  <c r="X1738" i="7"/>
  <c r="X1739" i="7"/>
  <c r="X1740" i="7"/>
  <c r="X1741" i="7"/>
  <c r="X1742" i="7"/>
  <c r="X1743" i="7"/>
  <c r="X1744" i="7"/>
  <c r="X1745" i="7"/>
  <c r="X1746" i="7"/>
  <c r="X1747" i="7"/>
  <c r="X1748" i="7"/>
  <c r="X1749" i="7"/>
  <c r="X1750" i="7"/>
  <c r="X1751" i="7"/>
  <c r="X1752" i="7"/>
  <c r="X1753" i="7"/>
  <c r="X1754" i="7"/>
  <c r="X1755" i="7"/>
  <c r="X1756" i="7"/>
  <c r="X1757" i="7"/>
  <c r="X1758" i="7"/>
  <c r="X1759" i="7"/>
  <c r="X1760" i="7"/>
  <c r="X1761" i="7"/>
  <c r="X1762" i="7"/>
  <c r="X1763" i="7"/>
  <c r="X1764" i="7"/>
  <c r="X1765" i="7"/>
  <c r="X1766" i="7"/>
  <c r="X1767" i="7"/>
  <c r="X1768" i="7"/>
  <c r="X1769" i="7"/>
  <c r="X1770" i="7"/>
  <c r="X1771" i="7"/>
  <c r="X1772" i="7"/>
  <c r="X1773" i="7"/>
  <c r="X1774" i="7"/>
  <c r="X1775" i="7"/>
  <c r="X1776" i="7"/>
  <c r="X1777" i="7"/>
  <c r="X1778" i="7"/>
  <c r="X1779" i="7"/>
  <c r="X1780" i="7"/>
  <c r="X1781" i="7"/>
  <c r="X1782" i="7"/>
  <c r="X1783" i="7"/>
  <c r="X1784" i="7"/>
  <c r="X1785" i="7"/>
  <c r="X1786" i="7"/>
  <c r="X1787" i="7"/>
  <c r="X1788" i="7"/>
  <c r="X1789" i="7"/>
  <c r="X1790" i="7"/>
  <c r="X1791" i="7"/>
  <c r="X1792" i="7"/>
  <c r="X1793" i="7"/>
  <c r="X1794" i="7"/>
  <c r="X1795" i="7"/>
  <c r="X1796" i="7"/>
  <c r="X1797" i="7"/>
  <c r="X1798" i="7"/>
  <c r="X1799" i="7"/>
  <c r="X1800" i="7"/>
  <c r="X1801" i="7"/>
  <c r="X1802" i="7"/>
  <c r="X1803" i="7"/>
  <c r="X1804" i="7"/>
  <c r="X1805" i="7"/>
  <c r="X1806" i="7"/>
  <c r="X1807" i="7"/>
  <c r="X1808" i="7"/>
  <c r="X1809" i="7"/>
  <c r="X1810" i="7"/>
  <c r="X1811" i="7"/>
  <c r="X1812" i="7"/>
  <c r="X1813" i="7"/>
  <c r="X1814" i="7"/>
  <c r="X1815" i="7"/>
  <c r="X1816" i="7"/>
  <c r="X1817" i="7"/>
  <c r="X1818" i="7"/>
  <c r="X1819" i="7"/>
  <c r="X1820" i="7"/>
  <c r="X1821" i="7"/>
  <c r="X1822" i="7"/>
  <c r="X1823" i="7"/>
  <c r="X1824" i="7"/>
  <c r="X1825" i="7"/>
  <c r="X1826" i="7"/>
  <c r="X1827" i="7"/>
  <c r="X1828" i="7"/>
  <c r="X1829" i="7"/>
  <c r="X1830" i="7"/>
  <c r="X1831" i="7"/>
  <c r="X1832" i="7"/>
  <c r="X1833" i="7"/>
  <c r="X1834" i="7"/>
  <c r="X1835" i="7"/>
  <c r="X1836" i="7"/>
  <c r="X1837" i="7"/>
  <c r="X1838" i="7"/>
  <c r="X1839" i="7"/>
  <c r="X1840" i="7"/>
  <c r="X1841" i="7"/>
  <c r="X1842" i="7"/>
  <c r="X1843" i="7"/>
  <c r="X1844" i="7"/>
  <c r="X1845" i="7"/>
  <c r="X1846" i="7"/>
  <c r="X1847" i="7"/>
  <c r="X1848" i="7"/>
  <c r="X1849" i="7"/>
  <c r="X1850" i="7"/>
  <c r="X1851" i="7"/>
  <c r="X1852" i="7"/>
  <c r="X1853" i="7"/>
  <c r="X1854" i="7"/>
  <c r="X1855" i="7"/>
  <c r="X1856" i="7"/>
  <c r="X1857" i="7"/>
  <c r="X1858" i="7"/>
  <c r="X1859" i="7"/>
  <c r="X1860" i="7"/>
  <c r="X1861" i="7"/>
  <c r="X1862" i="7"/>
  <c r="X1863" i="7"/>
  <c r="X1864" i="7"/>
  <c r="X1865" i="7"/>
  <c r="X1866" i="7"/>
  <c r="X1867" i="7"/>
  <c r="X1868" i="7"/>
  <c r="X1869" i="7"/>
  <c r="X1870" i="7"/>
  <c r="X1871" i="7"/>
  <c r="X1872" i="7"/>
  <c r="X1873" i="7"/>
  <c r="X1874" i="7"/>
  <c r="X1875" i="7"/>
  <c r="X1876" i="7"/>
  <c r="X1877" i="7"/>
  <c r="X1878" i="7"/>
  <c r="X1879" i="7"/>
  <c r="X1880" i="7"/>
  <c r="X1881" i="7"/>
  <c r="X1882" i="7"/>
  <c r="X1883" i="7"/>
  <c r="X1884" i="7"/>
  <c r="X1885" i="7"/>
  <c r="X1886" i="7"/>
  <c r="X1887" i="7"/>
  <c r="X1888" i="7"/>
  <c r="X1889" i="7"/>
  <c r="X1890" i="7"/>
  <c r="X1891" i="7"/>
  <c r="X1892" i="7"/>
  <c r="X1893" i="7"/>
  <c r="X1894" i="7"/>
  <c r="X1895" i="7"/>
  <c r="X1896" i="7"/>
  <c r="X1897" i="7"/>
  <c r="X1898" i="7"/>
  <c r="X1899" i="7"/>
  <c r="X1900" i="7"/>
  <c r="X1901" i="7"/>
  <c r="X1902" i="7"/>
  <c r="X1903" i="7"/>
  <c r="X1904" i="7"/>
  <c r="X1905" i="7"/>
  <c r="X1906" i="7"/>
  <c r="X1907" i="7"/>
  <c r="X1908" i="7"/>
  <c r="X1909" i="7"/>
  <c r="X1910" i="7"/>
  <c r="X1911" i="7"/>
  <c r="X1912" i="7"/>
  <c r="X1913" i="7"/>
  <c r="X1914" i="7"/>
  <c r="X1915" i="7"/>
  <c r="X1916" i="7"/>
  <c r="X1917" i="7"/>
  <c r="X1918" i="7"/>
  <c r="X1919" i="7"/>
  <c r="X1920" i="7"/>
  <c r="X1921" i="7"/>
  <c r="X1922" i="7"/>
  <c r="X1923" i="7"/>
  <c r="X1924" i="7"/>
  <c r="X1925" i="7"/>
  <c r="X1926" i="7"/>
  <c r="X1927" i="7"/>
  <c r="X1928" i="7"/>
  <c r="X1929" i="7"/>
  <c r="X1930" i="7"/>
  <c r="X1931" i="7"/>
  <c r="X1932" i="7"/>
  <c r="X1933" i="7"/>
  <c r="X1934" i="7"/>
  <c r="X1935" i="7"/>
  <c r="X1936" i="7"/>
  <c r="X1937" i="7"/>
  <c r="X1938" i="7"/>
  <c r="X1939" i="7"/>
  <c r="X1940" i="7"/>
  <c r="X1941" i="7"/>
  <c r="X1942" i="7"/>
  <c r="X1943" i="7"/>
  <c r="X1944" i="7"/>
  <c r="X1945" i="7"/>
  <c r="X1946" i="7"/>
  <c r="X1947" i="7"/>
  <c r="X1948" i="7"/>
  <c r="X1949" i="7"/>
  <c r="X1950" i="7"/>
  <c r="X1951" i="7"/>
  <c r="X1952" i="7"/>
  <c r="X1953" i="7"/>
  <c r="X1954" i="7"/>
  <c r="X1955" i="7"/>
  <c r="X1956" i="7"/>
  <c r="X1957" i="7"/>
  <c r="X1958" i="7"/>
  <c r="X1959" i="7"/>
  <c r="X1960" i="7"/>
  <c r="X1961" i="7"/>
  <c r="X1962" i="7"/>
  <c r="X1963" i="7"/>
  <c r="X1964" i="7"/>
  <c r="X1965" i="7"/>
  <c r="X1966" i="7"/>
  <c r="X1967" i="7"/>
  <c r="X1968" i="7"/>
  <c r="X1969" i="7"/>
  <c r="X1970" i="7"/>
  <c r="X1971" i="7"/>
  <c r="X1972" i="7"/>
  <c r="X1973" i="7"/>
  <c r="X1974" i="7"/>
  <c r="X1975" i="7"/>
  <c r="X1976" i="7"/>
  <c r="X1977" i="7"/>
  <c r="X1978" i="7"/>
  <c r="X1979" i="7"/>
  <c r="X1980" i="7"/>
  <c r="X1981" i="7"/>
  <c r="X1982" i="7"/>
  <c r="X1983" i="7"/>
  <c r="X1984" i="7"/>
  <c r="X1985" i="7"/>
  <c r="X1986" i="7"/>
  <c r="X1987" i="7"/>
  <c r="X1988" i="7"/>
  <c r="X1989" i="7"/>
  <c r="X1990" i="7"/>
  <c r="X1991" i="7"/>
  <c r="X1992" i="7"/>
  <c r="X1993" i="7"/>
  <c r="X1994" i="7"/>
  <c r="X1995" i="7"/>
  <c r="X1996" i="7"/>
  <c r="X1997" i="7"/>
  <c r="X1998" i="7"/>
  <c r="X1999" i="7"/>
  <c r="X2000" i="7"/>
  <c r="X2001" i="7"/>
  <c r="X2002" i="7"/>
  <c r="X2003" i="7"/>
  <c r="X2004" i="7"/>
  <c r="X2005" i="7"/>
  <c r="X2006" i="7"/>
  <c r="X2007" i="7"/>
  <c r="X2008" i="7"/>
  <c r="X2009" i="7"/>
  <c r="X2010" i="7"/>
  <c r="X2011" i="7"/>
  <c r="X2012" i="7"/>
  <c r="X2013" i="7"/>
  <c r="X2014" i="7"/>
  <c r="X2015" i="7"/>
  <c r="X2016" i="7"/>
  <c r="X2017" i="7"/>
  <c r="X2018" i="7"/>
  <c r="X2019" i="7"/>
  <c r="X2020" i="7"/>
  <c r="X2021" i="7"/>
  <c r="X2022" i="7"/>
  <c r="X2023" i="7"/>
  <c r="X2024" i="7"/>
  <c r="X2025" i="7"/>
  <c r="X2026" i="7"/>
  <c r="X2027" i="7"/>
  <c r="X2028" i="7"/>
  <c r="X2029" i="7"/>
  <c r="X2030" i="7"/>
  <c r="X2031" i="7"/>
  <c r="X2032" i="7"/>
  <c r="X2033" i="7"/>
  <c r="X2034" i="7"/>
  <c r="X2035" i="7"/>
  <c r="X2036" i="7"/>
  <c r="X2037" i="7"/>
  <c r="X2038" i="7"/>
  <c r="X2039" i="7"/>
  <c r="X2040" i="7"/>
  <c r="X2041" i="7"/>
  <c r="X2042" i="7"/>
  <c r="X2043" i="7"/>
  <c r="X2044" i="7"/>
  <c r="X2045" i="7"/>
  <c r="X2046" i="7"/>
  <c r="X2047" i="7"/>
  <c r="X2048" i="7"/>
  <c r="X2049" i="7"/>
  <c r="X2050" i="7"/>
  <c r="X2051" i="7"/>
  <c r="X2052" i="7"/>
  <c r="X2053" i="7"/>
  <c r="X2054" i="7"/>
  <c r="X2055" i="7"/>
  <c r="X2056" i="7"/>
  <c r="X2057" i="7"/>
  <c r="X2058" i="7"/>
  <c r="X2059" i="7"/>
  <c r="X2060" i="7"/>
  <c r="X2061" i="7"/>
  <c r="X2062" i="7"/>
  <c r="X2063" i="7"/>
  <c r="X2064" i="7"/>
  <c r="X2065" i="7"/>
  <c r="X2066" i="7"/>
  <c r="X2067" i="7"/>
  <c r="X2068" i="7"/>
  <c r="X2069" i="7"/>
  <c r="X2070" i="7"/>
  <c r="X2071" i="7"/>
  <c r="X2072" i="7"/>
  <c r="X2073" i="7"/>
  <c r="X2074" i="7"/>
  <c r="X2075" i="7"/>
  <c r="X2076" i="7"/>
  <c r="X2077" i="7"/>
  <c r="X2078" i="7"/>
  <c r="X2079" i="7"/>
  <c r="X2080" i="7"/>
  <c r="X2081" i="7"/>
  <c r="X2082" i="7"/>
  <c r="X2083" i="7"/>
  <c r="X2084" i="7"/>
  <c r="X2085" i="7"/>
  <c r="X2086" i="7"/>
  <c r="X2087" i="7"/>
  <c r="X2088" i="7"/>
  <c r="X2089" i="7"/>
  <c r="X2090" i="7"/>
  <c r="X2091" i="7"/>
  <c r="X2092" i="7"/>
  <c r="X2093" i="7"/>
  <c r="X2094" i="7"/>
  <c r="X2095" i="7"/>
  <c r="X2096" i="7"/>
  <c r="X2097" i="7"/>
  <c r="X2098" i="7"/>
  <c r="X2099" i="7"/>
  <c r="X2100" i="7"/>
  <c r="X2101" i="7"/>
  <c r="X2102" i="7"/>
  <c r="X2103" i="7"/>
  <c r="X2104" i="7"/>
  <c r="X2105" i="7"/>
  <c r="X2106" i="7"/>
  <c r="X2107" i="7"/>
  <c r="X2108" i="7"/>
  <c r="X2109" i="7"/>
  <c r="X2110" i="7"/>
  <c r="X2111" i="7"/>
  <c r="X2112" i="7"/>
  <c r="X2113" i="7"/>
  <c r="X2114" i="7"/>
  <c r="X2115" i="7"/>
  <c r="X2116" i="7"/>
  <c r="X2117" i="7"/>
  <c r="X2118" i="7"/>
  <c r="X2119" i="7"/>
  <c r="X2120" i="7"/>
  <c r="X2121" i="7"/>
  <c r="X2122" i="7"/>
  <c r="X2123" i="7"/>
  <c r="X2124" i="7"/>
  <c r="X2125" i="7"/>
  <c r="X2126" i="7"/>
  <c r="X2127" i="7"/>
  <c r="X2128" i="7"/>
  <c r="X2129" i="7"/>
  <c r="X2130" i="7"/>
  <c r="X2131" i="7"/>
  <c r="X2132" i="7"/>
  <c r="X2133" i="7"/>
  <c r="X2134" i="7"/>
  <c r="X2135" i="7"/>
  <c r="X2136" i="7"/>
  <c r="X2137" i="7"/>
  <c r="X2138" i="7"/>
  <c r="X2139" i="7"/>
  <c r="X2140" i="7"/>
  <c r="X2141" i="7"/>
  <c r="X2142" i="7"/>
  <c r="X2143" i="7"/>
  <c r="X2144" i="7"/>
  <c r="X2145" i="7"/>
  <c r="X2146" i="7"/>
  <c r="X2147" i="7"/>
  <c r="X2148" i="7"/>
  <c r="X2149" i="7"/>
  <c r="X2150" i="7"/>
  <c r="X2151" i="7"/>
  <c r="X2152" i="7"/>
  <c r="X2153" i="7"/>
  <c r="X2154" i="7"/>
  <c r="X2155" i="7"/>
  <c r="X2156" i="7"/>
  <c r="X2157" i="7"/>
  <c r="X2158" i="7"/>
  <c r="X2159" i="7"/>
  <c r="X2160" i="7"/>
  <c r="X2161" i="7"/>
  <c r="X2162" i="7"/>
  <c r="X2163" i="7"/>
  <c r="X2164" i="7"/>
  <c r="X2165" i="7"/>
  <c r="X2166" i="7"/>
  <c r="X2167" i="7"/>
  <c r="X2168" i="7"/>
  <c r="X2169" i="7"/>
  <c r="X2170" i="7"/>
  <c r="X2171" i="7"/>
  <c r="X2172" i="7"/>
  <c r="X2173" i="7"/>
  <c r="X2174" i="7"/>
  <c r="X2175" i="7"/>
  <c r="X2176" i="7"/>
  <c r="X2177" i="7"/>
  <c r="X2178" i="7"/>
  <c r="X2179" i="7"/>
  <c r="X2180" i="7"/>
  <c r="X2181" i="7"/>
  <c r="X2182" i="7"/>
  <c r="X2183" i="7"/>
  <c r="X2184" i="7"/>
  <c r="X2185" i="7"/>
  <c r="X2186" i="7"/>
  <c r="X2187" i="7"/>
  <c r="X2188" i="7"/>
  <c r="X2189" i="7"/>
  <c r="X2190" i="7"/>
  <c r="X2191" i="7"/>
  <c r="X2192" i="7"/>
  <c r="X2193" i="7"/>
  <c r="X2194" i="7"/>
  <c r="X2195" i="7"/>
  <c r="X2196" i="7"/>
  <c r="X2197" i="7"/>
  <c r="X2198" i="7"/>
  <c r="X2199" i="7"/>
  <c r="X2200" i="7"/>
  <c r="X2201" i="7"/>
  <c r="X2202" i="7"/>
  <c r="X2203" i="7"/>
  <c r="X2204" i="7"/>
  <c r="X2205" i="7"/>
  <c r="X2206" i="7"/>
  <c r="X2207" i="7"/>
  <c r="X2208" i="7"/>
  <c r="X2209" i="7"/>
  <c r="X2210" i="7"/>
  <c r="X2211" i="7"/>
  <c r="X2212" i="7"/>
  <c r="X2213" i="7"/>
  <c r="X2214" i="7"/>
  <c r="X2215" i="7"/>
  <c r="X2216" i="7"/>
  <c r="X2217" i="7"/>
  <c r="X2218" i="7"/>
  <c r="X2219" i="7"/>
  <c r="X2220" i="7"/>
  <c r="X2221" i="7"/>
  <c r="X2222" i="7"/>
  <c r="X2223" i="7"/>
  <c r="X2224" i="7"/>
  <c r="X2225" i="7"/>
  <c r="X2226" i="7"/>
  <c r="X2227" i="7"/>
  <c r="X2228" i="7"/>
  <c r="X2229" i="7"/>
  <c r="X2230" i="7"/>
  <c r="X2231" i="7"/>
  <c r="X2232" i="7"/>
  <c r="X2233" i="7"/>
  <c r="X2234" i="7"/>
  <c r="X2235" i="7"/>
  <c r="X2236" i="7"/>
  <c r="X2237" i="7"/>
  <c r="X2238" i="7"/>
  <c r="X2239" i="7"/>
  <c r="X2240" i="7"/>
  <c r="X2241" i="7"/>
  <c r="X2242" i="7"/>
  <c r="X2243" i="7"/>
  <c r="X2244" i="7"/>
  <c r="X2245" i="7"/>
  <c r="X2246" i="7"/>
  <c r="X2247" i="7"/>
  <c r="X2248" i="7"/>
  <c r="X2249" i="7"/>
  <c r="X2250" i="7"/>
  <c r="X2251" i="7"/>
  <c r="X2252" i="7"/>
  <c r="X2253" i="7"/>
  <c r="X2254" i="7"/>
  <c r="X2255" i="7"/>
  <c r="X2256" i="7"/>
  <c r="X2257" i="7"/>
  <c r="X2258" i="7"/>
  <c r="X2259" i="7"/>
  <c r="X2260" i="7"/>
  <c r="X2261" i="7"/>
  <c r="X2262" i="7"/>
  <c r="X2263" i="7"/>
  <c r="X2264" i="7"/>
  <c r="X2265" i="7"/>
  <c r="X2266" i="7"/>
  <c r="X2267" i="7"/>
  <c r="X2268" i="7"/>
  <c r="X2269" i="7"/>
  <c r="X2270" i="7"/>
  <c r="X2271" i="7"/>
  <c r="X2272" i="7"/>
  <c r="X2273" i="7"/>
  <c r="X2274" i="7"/>
  <c r="X2275" i="7"/>
  <c r="X2276" i="7"/>
  <c r="X2277" i="7"/>
  <c r="X2278" i="7"/>
  <c r="X2279" i="7"/>
  <c r="X2280" i="7"/>
  <c r="X2281" i="7"/>
  <c r="X2282" i="7"/>
  <c r="X2283" i="7"/>
  <c r="X2284" i="7"/>
  <c r="X2285" i="7"/>
  <c r="X2286" i="7"/>
  <c r="X2287" i="7"/>
  <c r="X2288" i="7"/>
  <c r="X2289" i="7"/>
  <c r="X2290" i="7"/>
  <c r="X2291" i="7"/>
  <c r="X2292" i="7"/>
  <c r="X2293" i="7"/>
  <c r="X2294" i="7"/>
  <c r="X2295" i="7"/>
  <c r="X2296" i="7"/>
  <c r="X2297" i="7"/>
  <c r="X2298" i="7"/>
  <c r="X2299" i="7"/>
  <c r="X2300" i="7"/>
  <c r="X2301" i="7"/>
  <c r="X2302" i="7"/>
  <c r="X2303" i="7"/>
  <c r="X2304" i="7"/>
  <c r="X2305" i="7"/>
  <c r="X2306" i="7"/>
  <c r="X2307" i="7"/>
  <c r="X2308" i="7"/>
  <c r="X2309" i="7"/>
  <c r="X2310" i="7"/>
  <c r="X2311" i="7"/>
  <c r="X2312" i="7"/>
  <c r="X2313" i="7"/>
  <c r="X2314" i="7"/>
  <c r="X2315" i="7"/>
  <c r="X2316" i="7"/>
  <c r="X2317" i="7"/>
  <c r="X2318" i="7"/>
  <c r="X2319" i="7"/>
  <c r="X2320" i="7"/>
  <c r="X2321" i="7"/>
  <c r="X2322" i="7"/>
  <c r="X2323" i="7"/>
  <c r="X2324" i="7"/>
  <c r="X2325" i="7"/>
  <c r="X2326" i="7"/>
  <c r="X2327" i="7"/>
  <c r="X2328" i="7"/>
  <c r="X2329" i="7"/>
  <c r="X2330" i="7"/>
  <c r="X2331" i="7"/>
  <c r="X2332" i="7"/>
  <c r="X2333" i="7"/>
  <c r="X2334" i="7"/>
  <c r="X2335" i="7"/>
  <c r="X2336" i="7"/>
  <c r="X2337" i="7"/>
  <c r="X2338" i="7"/>
  <c r="X2339" i="7"/>
  <c r="X2340" i="7"/>
  <c r="X2341" i="7"/>
  <c r="X2342" i="7"/>
  <c r="X2343" i="7"/>
  <c r="X2344" i="7"/>
  <c r="X2345" i="7"/>
  <c r="X2346" i="7"/>
  <c r="X2347" i="7"/>
  <c r="X2348" i="7"/>
  <c r="X2349" i="7"/>
  <c r="X2350" i="7"/>
  <c r="X2351" i="7"/>
  <c r="X2352" i="7"/>
  <c r="X2353" i="7"/>
  <c r="X2354" i="7"/>
  <c r="X2355" i="7"/>
  <c r="X2356" i="7"/>
  <c r="X2357" i="7"/>
  <c r="X2358" i="7"/>
  <c r="X2359" i="7"/>
  <c r="X2360" i="7"/>
  <c r="X2361" i="7"/>
  <c r="X2362" i="7"/>
  <c r="X2363" i="7"/>
  <c r="X2364" i="7"/>
  <c r="X2365" i="7"/>
  <c r="X2366" i="7"/>
  <c r="X2367" i="7"/>
  <c r="X2368" i="7"/>
  <c r="X2369" i="7"/>
  <c r="X2370" i="7"/>
  <c r="X2371" i="7"/>
  <c r="X2372" i="7"/>
  <c r="X2373" i="7"/>
  <c r="X2374" i="7"/>
  <c r="X2375" i="7"/>
  <c r="X2376" i="7"/>
  <c r="X2377" i="7"/>
  <c r="X2378" i="7"/>
  <c r="X2379" i="7"/>
  <c r="X2380" i="7"/>
  <c r="X2381" i="7"/>
  <c r="X2382" i="7"/>
  <c r="X2383" i="7"/>
  <c r="X2384" i="7"/>
  <c r="X2385" i="7"/>
  <c r="X2386" i="7"/>
  <c r="X2387" i="7"/>
  <c r="X2388" i="7"/>
  <c r="X2389" i="7"/>
  <c r="X2390" i="7"/>
  <c r="X2391" i="7"/>
  <c r="X2392" i="7"/>
  <c r="X2393" i="7"/>
  <c r="X2394" i="7"/>
  <c r="X2395" i="7"/>
  <c r="X2396" i="7"/>
  <c r="X2397" i="7"/>
  <c r="X2398" i="7"/>
  <c r="X2399" i="7"/>
  <c r="X2400" i="7"/>
  <c r="X2401" i="7"/>
  <c r="X2402" i="7"/>
  <c r="X2403" i="7"/>
  <c r="X4" i="7"/>
  <c r="T4" i="7" l="1"/>
  <c r="Q4" i="7"/>
  <c r="N4" i="7"/>
  <c r="S4" i="7"/>
  <c r="AQ39" i="7" l="1"/>
  <c r="AJ4" i="3" l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6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J112" i="1"/>
  <c r="AJ111" i="1"/>
  <c r="AJ110" i="1"/>
  <c r="AJ109" i="1"/>
  <c r="AJ108" i="1"/>
  <c r="AJ107" i="1"/>
  <c r="AJ106" i="1"/>
  <c r="AJ105" i="1"/>
  <c r="AJ104" i="1"/>
  <c r="AJ103" i="1"/>
  <c r="AJ102" i="1"/>
  <c r="AJ101" i="1"/>
  <c r="AJ100" i="1"/>
  <c r="AJ99" i="1"/>
  <c r="AJ98" i="1"/>
  <c r="AJ97" i="1"/>
  <c r="AJ96" i="1"/>
  <c r="AJ95" i="1"/>
  <c r="AJ94" i="1"/>
  <c r="AJ93" i="1"/>
  <c r="AJ92" i="1"/>
  <c r="AJ91" i="1"/>
  <c r="AJ90" i="1"/>
  <c r="AJ89" i="1"/>
  <c r="AJ88" i="1"/>
  <c r="AJ87" i="1"/>
  <c r="AJ86" i="1"/>
  <c r="AJ85" i="1"/>
  <c r="AJ84" i="1"/>
  <c r="AJ83" i="1"/>
  <c r="AJ82" i="1"/>
  <c r="AJ81" i="1"/>
  <c r="AJ80" i="1"/>
  <c r="AJ79" i="1"/>
  <c r="AJ78" i="1"/>
  <c r="AJ77" i="1"/>
  <c r="AJ76" i="1"/>
  <c r="AJ75" i="1"/>
  <c r="AJ74" i="1"/>
  <c r="AJ73" i="1"/>
  <c r="AJ72" i="1"/>
  <c r="AJ71" i="1"/>
  <c r="AJ70" i="1"/>
  <c r="AJ69" i="1"/>
  <c r="AJ68" i="1"/>
  <c r="AJ67" i="1"/>
  <c r="AJ66" i="1"/>
  <c r="AJ65" i="1"/>
  <c r="AJ64" i="1"/>
  <c r="AJ63" i="1"/>
  <c r="AJ62" i="1"/>
  <c r="AJ61" i="1"/>
  <c r="AJ60" i="1"/>
  <c r="AJ59" i="1"/>
  <c r="AJ58" i="1"/>
  <c r="AJ57" i="1"/>
  <c r="AJ56" i="1"/>
  <c r="AJ55" i="1"/>
  <c r="AJ54" i="1"/>
  <c r="AJ53" i="1"/>
  <c r="AJ52" i="1"/>
  <c r="AJ51" i="1"/>
  <c r="AJ50" i="1"/>
  <c r="AJ49" i="1"/>
  <c r="AJ48" i="1"/>
  <c r="AJ47" i="1"/>
  <c r="AJ46" i="1"/>
  <c r="AJ45" i="1"/>
  <c r="AJ44" i="1"/>
  <c r="AJ43" i="1"/>
  <c r="AJ42" i="1"/>
  <c r="AJ41" i="1"/>
  <c r="AJ40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I112" i="1"/>
  <c r="AI111" i="1"/>
  <c r="AI110" i="1"/>
  <c r="AI109" i="1"/>
  <c r="AI108" i="1"/>
  <c r="AI107" i="1"/>
  <c r="AI106" i="1"/>
  <c r="AI105" i="1"/>
  <c r="AI104" i="1"/>
  <c r="AI103" i="1"/>
  <c r="AI102" i="1"/>
  <c r="AI101" i="1"/>
  <c r="AI100" i="1"/>
  <c r="AI99" i="1"/>
  <c r="AI98" i="1"/>
  <c r="AI97" i="1"/>
  <c r="AI96" i="1"/>
  <c r="AI95" i="1"/>
  <c r="AI94" i="1"/>
  <c r="AI93" i="1"/>
  <c r="AI92" i="1"/>
  <c r="AI91" i="1"/>
  <c r="AI90" i="1"/>
  <c r="AI89" i="1"/>
  <c r="AI88" i="1"/>
  <c r="AI87" i="1"/>
  <c r="AI86" i="1"/>
  <c r="AI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71" i="1"/>
  <c r="AI70" i="1"/>
  <c r="AI69" i="1"/>
  <c r="AI68" i="1"/>
  <c r="AI67" i="1"/>
  <c r="AI66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H112" i="1"/>
  <c r="AH111" i="1"/>
  <c r="AH110" i="1"/>
  <c r="AH109" i="1"/>
  <c r="AH108" i="1"/>
  <c r="AH107" i="1"/>
  <c r="AH106" i="1"/>
  <c r="AH105" i="1"/>
  <c r="AH104" i="1"/>
  <c r="AH103" i="1"/>
  <c r="AH102" i="1"/>
  <c r="AH101" i="1"/>
  <c r="AH100" i="1"/>
  <c r="AH99" i="1"/>
  <c r="AH98" i="1"/>
  <c r="AH97" i="1"/>
  <c r="AH96" i="1"/>
  <c r="AH95" i="1"/>
  <c r="AH94" i="1"/>
  <c r="AH93" i="1"/>
  <c r="AH92" i="1"/>
  <c r="AH91" i="1"/>
  <c r="AH90" i="1"/>
  <c r="AH89" i="1"/>
  <c r="AH88" i="1"/>
  <c r="AH87" i="1"/>
  <c r="AH86" i="1"/>
  <c r="AH85" i="1"/>
  <c r="AH84" i="1"/>
  <c r="AH83" i="1"/>
  <c r="AH82" i="1"/>
  <c r="AH81" i="1"/>
  <c r="AH80" i="1"/>
  <c r="AH79" i="1"/>
  <c r="AH78" i="1"/>
  <c r="AH77" i="1"/>
  <c r="AH76" i="1"/>
  <c r="AH75" i="1"/>
  <c r="AH74" i="1"/>
  <c r="AH73" i="1"/>
  <c r="AH72" i="1"/>
  <c r="AH71" i="1"/>
  <c r="AH70" i="1"/>
  <c r="AH69" i="1"/>
  <c r="AH68" i="1"/>
  <c r="AH67" i="1"/>
  <c r="AH66" i="1"/>
  <c r="AH65" i="1"/>
  <c r="AH64" i="1"/>
  <c r="AH63" i="1"/>
  <c r="AH62" i="1"/>
  <c r="AH61" i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G112" i="1"/>
  <c r="AG111" i="1"/>
  <c r="AG110" i="1"/>
  <c r="AG109" i="1"/>
  <c r="AG108" i="1"/>
  <c r="AG107" i="1"/>
  <c r="AG106" i="1"/>
  <c r="AG105" i="1"/>
  <c r="AG104" i="1"/>
  <c r="AG103" i="1"/>
  <c r="AG102" i="1"/>
  <c r="AG101" i="1"/>
  <c r="AG100" i="1"/>
  <c r="AG99" i="1"/>
  <c r="AG98" i="1"/>
  <c r="AG97" i="1"/>
  <c r="AG96" i="1"/>
  <c r="AG95" i="1"/>
  <c r="AG94" i="1"/>
  <c r="AG93" i="1"/>
  <c r="AG92" i="1"/>
  <c r="AG91" i="1"/>
  <c r="AG90" i="1"/>
  <c r="AG89" i="1"/>
  <c r="AG88" i="1"/>
  <c r="AG87" i="1"/>
  <c r="AG86" i="1"/>
  <c r="AG85" i="1"/>
  <c r="AG84" i="1"/>
  <c r="AG83" i="1"/>
  <c r="AG82" i="1"/>
  <c r="AG81" i="1"/>
  <c r="AG80" i="1"/>
  <c r="AG79" i="1"/>
  <c r="AG78" i="1"/>
  <c r="AG77" i="1"/>
  <c r="AG76" i="1"/>
  <c r="AG75" i="1"/>
  <c r="AG74" i="1"/>
  <c r="AG73" i="1"/>
  <c r="AG72" i="1"/>
  <c r="AG71" i="1"/>
  <c r="AG70" i="1"/>
  <c r="AG69" i="1"/>
  <c r="AG68" i="1"/>
  <c r="AG67" i="1"/>
  <c r="AG66" i="1"/>
  <c r="AG65" i="1"/>
  <c r="AG64" i="1"/>
  <c r="AG63" i="1"/>
  <c r="AG62" i="1"/>
  <c r="AG61" i="1"/>
  <c r="AG60" i="1"/>
  <c r="AG59" i="1"/>
  <c r="AG58" i="1"/>
  <c r="AG57" i="1"/>
  <c r="AG56" i="1"/>
  <c r="AG55" i="1"/>
  <c r="AG54" i="1"/>
  <c r="AG53" i="1"/>
  <c r="AG52" i="1"/>
  <c r="AG51" i="1"/>
  <c r="AG50" i="1"/>
  <c r="AG49" i="1"/>
  <c r="AG48" i="1"/>
  <c r="AG47" i="1"/>
  <c r="AG46" i="1"/>
  <c r="AG45" i="1"/>
  <c r="AG44" i="1"/>
  <c r="AG43" i="1"/>
  <c r="AG42" i="1"/>
  <c r="AG41" i="1"/>
  <c r="AG40" i="1"/>
  <c r="AG39" i="1"/>
  <c r="AG38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R2406" i="7" l="1"/>
  <c r="R2405" i="7"/>
  <c r="H2406" i="7"/>
  <c r="H2405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291" i="7"/>
  <c r="H292" i="7"/>
  <c r="H293" i="7"/>
  <c r="H294" i="7"/>
  <c r="H295" i="7"/>
  <c r="H296" i="7"/>
  <c r="H297" i="7"/>
  <c r="H298" i="7"/>
  <c r="H299" i="7"/>
  <c r="H300" i="7"/>
  <c r="H301" i="7"/>
  <c r="H302" i="7"/>
  <c r="H303" i="7"/>
  <c r="H304" i="7"/>
  <c r="H305" i="7"/>
  <c r="H306" i="7"/>
  <c r="H307" i="7"/>
  <c r="H308" i="7"/>
  <c r="H309" i="7"/>
  <c r="H310" i="7"/>
  <c r="H311" i="7"/>
  <c r="H312" i="7"/>
  <c r="H313" i="7"/>
  <c r="H314" i="7"/>
  <c r="H315" i="7"/>
  <c r="H316" i="7"/>
  <c r="H317" i="7"/>
  <c r="H318" i="7"/>
  <c r="H319" i="7"/>
  <c r="H320" i="7"/>
  <c r="H321" i="7"/>
  <c r="H322" i="7"/>
  <c r="H323" i="7"/>
  <c r="H324" i="7"/>
  <c r="H325" i="7"/>
  <c r="H326" i="7"/>
  <c r="H327" i="7"/>
  <c r="H328" i="7"/>
  <c r="H329" i="7"/>
  <c r="H330" i="7"/>
  <c r="H331" i="7"/>
  <c r="H332" i="7"/>
  <c r="H333" i="7"/>
  <c r="H334" i="7"/>
  <c r="H335" i="7"/>
  <c r="H336" i="7"/>
  <c r="H337" i="7"/>
  <c r="H338" i="7"/>
  <c r="H339" i="7"/>
  <c r="H340" i="7"/>
  <c r="H341" i="7"/>
  <c r="H342" i="7"/>
  <c r="H343" i="7"/>
  <c r="H344" i="7"/>
  <c r="H345" i="7"/>
  <c r="H346" i="7"/>
  <c r="H347" i="7"/>
  <c r="H348" i="7"/>
  <c r="H349" i="7"/>
  <c r="H350" i="7"/>
  <c r="H351" i="7"/>
  <c r="H352" i="7"/>
  <c r="H353" i="7"/>
  <c r="H354" i="7"/>
  <c r="H355" i="7"/>
  <c r="H356" i="7"/>
  <c r="H357" i="7"/>
  <c r="H358" i="7"/>
  <c r="H359" i="7"/>
  <c r="H360" i="7"/>
  <c r="H361" i="7"/>
  <c r="H362" i="7"/>
  <c r="H363" i="7"/>
  <c r="H364" i="7"/>
  <c r="H365" i="7"/>
  <c r="H366" i="7"/>
  <c r="H367" i="7"/>
  <c r="H368" i="7"/>
  <c r="H369" i="7"/>
  <c r="H370" i="7"/>
  <c r="H371" i="7"/>
  <c r="H372" i="7"/>
  <c r="H373" i="7"/>
  <c r="H374" i="7"/>
  <c r="H375" i="7"/>
  <c r="H376" i="7"/>
  <c r="H377" i="7"/>
  <c r="H378" i="7"/>
  <c r="H379" i="7"/>
  <c r="H380" i="7"/>
  <c r="H381" i="7"/>
  <c r="H382" i="7"/>
  <c r="H383" i="7"/>
  <c r="H384" i="7"/>
  <c r="H385" i="7"/>
  <c r="H386" i="7"/>
  <c r="H387" i="7"/>
  <c r="H388" i="7"/>
  <c r="H389" i="7"/>
  <c r="H390" i="7"/>
  <c r="H391" i="7"/>
  <c r="H392" i="7"/>
  <c r="H393" i="7"/>
  <c r="H394" i="7"/>
  <c r="H395" i="7"/>
  <c r="H396" i="7"/>
  <c r="H397" i="7"/>
  <c r="H398" i="7"/>
  <c r="H399" i="7"/>
  <c r="H400" i="7"/>
  <c r="H401" i="7"/>
  <c r="H402" i="7"/>
  <c r="H403" i="7"/>
  <c r="H404" i="7"/>
  <c r="H405" i="7"/>
  <c r="H406" i="7"/>
  <c r="H407" i="7"/>
  <c r="H408" i="7"/>
  <c r="H409" i="7"/>
  <c r="H410" i="7"/>
  <c r="H411" i="7"/>
  <c r="H412" i="7"/>
  <c r="H413" i="7"/>
  <c r="H414" i="7"/>
  <c r="H415" i="7"/>
  <c r="H416" i="7"/>
  <c r="H417" i="7"/>
  <c r="H418" i="7"/>
  <c r="H419" i="7"/>
  <c r="H420" i="7"/>
  <c r="H421" i="7"/>
  <c r="H422" i="7"/>
  <c r="H423" i="7"/>
  <c r="H424" i="7"/>
  <c r="H425" i="7"/>
  <c r="H426" i="7"/>
  <c r="H427" i="7"/>
  <c r="H428" i="7"/>
  <c r="H429" i="7"/>
  <c r="H430" i="7"/>
  <c r="H431" i="7"/>
  <c r="H432" i="7"/>
  <c r="H433" i="7"/>
  <c r="H434" i="7"/>
  <c r="H435" i="7"/>
  <c r="H436" i="7"/>
  <c r="H437" i="7"/>
  <c r="H438" i="7"/>
  <c r="H439" i="7"/>
  <c r="H440" i="7"/>
  <c r="H441" i="7"/>
  <c r="H442" i="7"/>
  <c r="H443" i="7"/>
  <c r="H444" i="7"/>
  <c r="H445" i="7"/>
  <c r="H446" i="7"/>
  <c r="H447" i="7"/>
  <c r="H448" i="7"/>
  <c r="H449" i="7"/>
  <c r="H450" i="7"/>
  <c r="H451" i="7"/>
  <c r="H452" i="7"/>
  <c r="H453" i="7"/>
  <c r="H454" i="7"/>
  <c r="H455" i="7"/>
  <c r="H456" i="7"/>
  <c r="H457" i="7"/>
  <c r="H458" i="7"/>
  <c r="H459" i="7"/>
  <c r="H460" i="7"/>
  <c r="H461" i="7"/>
  <c r="H462" i="7"/>
  <c r="H463" i="7"/>
  <c r="H464" i="7"/>
  <c r="H465" i="7"/>
  <c r="H466" i="7"/>
  <c r="H467" i="7"/>
  <c r="H468" i="7"/>
  <c r="H469" i="7"/>
  <c r="H470" i="7"/>
  <c r="H471" i="7"/>
  <c r="H472" i="7"/>
  <c r="H473" i="7"/>
  <c r="H474" i="7"/>
  <c r="H475" i="7"/>
  <c r="H476" i="7"/>
  <c r="H477" i="7"/>
  <c r="H478" i="7"/>
  <c r="H479" i="7"/>
  <c r="H480" i="7"/>
  <c r="H481" i="7"/>
  <c r="H482" i="7"/>
  <c r="H483" i="7"/>
  <c r="H484" i="7"/>
  <c r="H485" i="7"/>
  <c r="H486" i="7"/>
  <c r="H487" i="7"/>
  <c r="H488" i="7"/>
  <c r="H489" i="7"/>
  <c r="H490" i="7"/>
  <c r="H491" i="7"/>
  <c r="H492" i="7"/>
  <c r="H493" i="7"/>
  <c r="H494" i="7"/>
  <c r="H495" i="7"/>
  <c r="H496" i="7"/>
  <c r="H497" i="7"/>
  <c r="H498" i="7"/>
  <c r="H499" i="7"/>
  <c r="H500" i="7"/>
  <c r="H501" i="7"/>
  <c r="H502" i="7"/>
  <c r="H503" i="7"/>
  <c r="H504" i="7"/>
  <c r="H505" i="7"/>
  <c r="H506" i="7"/>
  <c r="H507" i="7"/>
  <c r="H508" i="7"/>
  <c r="H509" i="7"/>
  <c r="H510" i="7"/>
  <c r="H511" i="7"/>
  <c r="H512" i="7"/>
  <c r="H513" i="7"/>
  <c r="H514" i="7"/>
  <c r="H515" i="7"/>
  <c r="H516" i="7"/>
  <c r="H517" i="7"/>
  <c r="H518" i="7"/>
  <c r="H519" i="7"/>
  <c r="H520" i="7"/>
  <c r="H521" i="7"/>
  <c r="H522" i="7"/>
  <c r="H523" i="7"/>
  <c r="H524" i="7"/>
  <c r="H525" i="7"/>
  <c r="H526" i="7"/>
  <c r="H527" i="7"/>
  <c r="H528" i="7"/>
  <c r="H529" i="7"/>
  <c r="H530" i="7"/>
  <c r="H531" i="7"/>
  <c r="H532" i="7"/>
  <c r="H533" i="7"/>
  <c r="H534" i="7"/>
  <c r="H535" i="7"/>
  <c r="H536" i="7"/>
  <c r="H537" i="7"/>
  <c r="H538" i="7"/>
  <c r="H539" i="7"/>
  <c r="H540" i="7"/>
  <c r="H541" i="7"/>
  <c r="H542" i="7"/>
  <c r="H543" i="7"/>
  <c r="H544" i="7"/>
  <c r="H545" i="7"/>
  <c r="H546" i="7"/>
  <c r="H547" i="7"/>
  <c r="H548" i="7"/>
  <c r="H549" i="7"/>
  <c r="H550" i="7"/>
  <c r="H551" i="7"/>
  <c r="H552" i="7"/>
  <c r="H553" i="7"/>
  <c r="H554" i="7"/>
  <c r="H555" i="7"/>
  <c r="H556" i="7"/>
  <c r="H557" i="7"/>
  <c r="H558" i="7"/>
  <c r="H559" i="7"/>
  <c r="H560" i="7"/>
  <c r="H561" i="7"/>
  <c r="H562" i="7"/>
  <c r="H563" i="7"/>
  <c r="H564" i="7"/>
  <c r="H565" i="7"/>
  <c r="H566" i="7"/>
  <c r="H567" i="7"/>
  <c r="H568" i="7"/>
  <c r="H569" i="7"/>
  <c r="H570" i="7"/>
  <c r="H571" i="7"/>
  <c r="H572" i="7"/>
  <c r="H573" i="7"/>
  <c r="H574" i="7"/>
  <c r="H575" i="7"/>
  <c r="H576" i="7"/>
  <c r="H577" i="7"/>
  <c r="H578" i="7"/>
  <c r="H579" i="7"/>
  <c r="H580" i="7"/>
  <c r="H581" i="7"/>
  <c r="H582" i="7"/>
  <c r="H583" i="7"/>
  <c r="H584" i="7"/>
  <c r="H585" i="7"/>
  <c r="H586" i="7"/>
  <c r="H587" i="7"/>
  <c r="H588" i="7"/>
  <c r="H589" i="7"/>
  <c r="H590" i="7"/>
  <c r="H591" i="7"/>
  <c r="H592" i="7"/>
  <c r="H593" i="7"/>
  <c r="H594" i="7"/>
  <c r="H595" i="7"/>
  <c r="H596" i="7"/>
  <c r="H597" i="7"/>
  <c r="H598" i="7"/>
  <c r="H599" i="7"/>
  <c r="H600" i="7"/>
  <c r="H601" i="7"/>
  <c r="H602" i="7"/>
  <c r="H603" i="7"/>
  <c r="H604" i="7"/>
  <c r="H605" i="7"/>
  <c r="H606" i="7"/>
  <c r="H607" i="7"/>
  <c r="H608" i="7"/>
  <c r="H609" i="7"/>
  <c r="H610" i="7"/>
  <c r="H611" i="7"/>
  <c r="H612" i="7"/>
  <c r="H613" i="7"/>
  <c r="H614" i="7"/>
  <c r="H615" i="7"/>
  <c r="H616" i="7"/>
  <c r="H617" i="7"/>
  <c r="H618" i="7"/>
  <c r="H619" i="7"/>
  <c r="H620" i="7"/>
  <c r="H621" i="7"/>
  <c r="H622" i="7"/>
  <c r="H623" i="7"/>
  <c r="H624" i="7"/>
  <c r="H625" i="7"/>
  <c r="H626" i="7"/>
  <c r="H627" i="7"/>
  <c r="H628" i="7"/>
  <c r="H629" i="7"/>
  <c r="H630" i="7"/>
  <c r="H631" i="7"/>
  <c r="H632" i="7"/>
  <c r="H633" i="7"/>
  <c r="H634" i="7"/>
  <c r="H635" i="7"/>
  <c r="H636" i="7"/>
  <c r="H637" i="7"/>
  <c r="H638" i="7"/>
  <c r="H639" i="7"/>
  <c r="H640" i="7"/>
  <c r="H641" i="7"/>
  <c r="H642" i="7"/>
  <c r="H643" i="7"/>
  <c r="H644" i="7"/>
  <c r="H645" i="7"/>
  <c r="H646" i="7"/>
  <c r="H647" i="7"/>
  <c r="H648" i="7"/>
  <c r="H649" i="7"/>
  <c r="H650" i="7"/>
  <c r="H651" i="7"/>
  <c r="H652" i="7"/>
  <c r="H653" i="7"/>
  <c r="H654" i="7"/>
  <c r="H655" i="7"/>
  <c r="H656" i="7"/>
  <c r="H657" i="7"/>
  <c r="H658" i="7"/>
  <c r="H659" i="7"/>
  <c r="H660" i="7"/>
  <c r="H661" i="7"/>
  <c r="H662" i="7"/>
  <c r="H663" i="7"/>
  <c r="H664" i="7"/>
  <c r="H665" i="7"/>
  <c r="H666" i="7"/>
  <c r="H667" i="7"/>
  <c r="H668" i="7"/>
  <c r="H669" i="7"/>
  <c r="H670" i="7"/>
  <c r="H671" i="7"/>
  <c r="H672" i="7"/>
  <c r="H673" i="7"/>
  <c r="H674" i="7"/>
  <c r="H675" i="7"/>
  <c r="H676" i="7"/>
  <c r="H677" i="7"/>
  <c r="H678" i="7"/>
  <c r="H679" i="7"/>
  <c r="H680" i="7"/>
  <c r="H681" i="7"/>
  <c r="H682" i="7"/>
  <c r="H683" i="7"/>
  <c r="H684" i="7"/>
  <c r="H685" i="7"/>
  <c r="H686" i="7"/>
  <c r="H687" i="7"/>
  <c r="H688" i="7"/>
  <c r="H689" i="7"/>
  <c r="H690" i="7"/>
  <c r="H691" i="7"/>
  <c r="H692" i="7"/>
  <c r="H693" i="7"/>
  <c r="H694" i="7"/>
  <c r="H695" i="7"/>
  <c r="H696" i="7"/>
  <c r="H697" i="7"/>
  <c r="H698" i="7"/>
  <c r="H699" i="7"/>
  <c r="H700" i="7"/>
  <c r="H701" i="7"/>
  <c r="H702" i="7"/>
  <c r="H703" i="7"/>
  <c r="H704" i="7"/>
  <c r="H705" i="7"/>
  <c r="H706" i="7"/>
  <c r="H707" i="7"/>
  <c r="H708" i="7"/>
  <c r="H709" i="7"/>
  <c r="H710" i="7"/>
  <c r="H711" i="7"/>
  <c r="H712" i="7"/>
  <c r="H713" i="7"/>
  <c r="H714" i="7"/>
  <c r="H715" i="7"/>
  <c r="H716" i="7"/>
  <c r="H717" i="7"/>
  <c r="H718" i="7"/>
  <c r="H719" i="7"/>
  <c r="H720" i="7"/>
  <c r="H721" i="7"/>
  <c r="H722" i="7"/>
  <c r="H723" i="7"/>
  <c r="H724" i="7"/>
  <c r="H725" i="7"/>
  <c r="H726" i="7"/>
  <c r="H727" i="7"/>
  <c r="H728" i="7"/>
  <c r="H729" i="7"/>
  <c r="H730" i="7"/>
  <c r="H731" i="7"/>
  <c r="H732" i="7"/>
  <c r="H733" i="7"/>
  <c r="H734" i="7"/>
  <c r="H735" i="7"/>
  <c r="H736" i="7"/>
  <c r="H737" i="7"/>
  <c r="H738" i="7"/>
  <c r="H739" i="7"/>
  <c r="H740" i="7"/>
  <c r="H741" i="7"/>
  <c r="H742" i="7"/>
  <c r="H743" i="7"/>
  <c r="H744" i="7"/>
  <c r="H745" i="7"/>
  <c r="H746" i="7"/>
  <c r="H747" i="7"/>
  <c r="H748" i="7"/>
  <c r="H749" i="7"/>
  <c r="H750" i="7"/>
  <c r="H751" i="7"/>
  <c r="H752" i="7"/>
  <c r="H753" i="7"/>
  <c r="H754" i="7"/>
  <c r="H755" i="7"/>
  <c r="H756" i="7"/>
  <c r="H757" i="7"/>
  <c r="H758" i="7"/>
  <c r="H759" i="7"/>
  <c r="H760" i="7"/>
  <c r="H761" i="7"/>
  <c r="H762" i="7"/>
  <c r="H763" i="7"/>
  <c r="H764" i="7"/>
  <c r="H765" i="7"/>
  <c r="H766" i="7"/>
  <c r="H767" i="7"/>
  <c r="H768" i="7"/>
  <c r="H769" i="7"/>
  <c r="H770" i="7"/>
  <c r="H771" i="7"/>
  <c r="H772" i="7"/>
  <c r="H773" i="7"/>
  <c r="H774" i="7"/>
  <c r="H775" i="7"/>
  <c r="H776" i="7"/>
  <c r="H777" i="7"/>
  <c r="H778" i="7"/>
  <c r="H779" i="7"/>
  <c r="H780" i="7"/>
  <c r="H781" i="7"/>
  <c r="H782" i="7"/>
  <c r="H783" i="7"/>
  <c r="H784" i="7"/>
  <c r="H785" i="7"/>
  <c r="H786" i="7"/>
  <c r="H787" i="7"/>
  <c r="H788" i="7"/>
  <c r="H789" i="7"/>
  <c r="H790" i="7"/>
  <c r="H791" i="7"/>
  <c r="H792" i="7"/>
  <c r="H793" i="7"/>
  <c r="H794" i="7"/>
  <c r="H795" i="7"/>
  <c r="H796" i="7"/>
  <c r="H797" i="7"/>
  <c r="H798" i="7"/>
  <c r="H799" i="7"/>
  <c r="H800" i="7"/>
  <c r="H801" i="7"/>
  <c r="H802" i="7"/>
  <c r="H803" i="7"/>
  <c r="H804" i="7"/>
  <c r="H805" i="7"/>
  <c r="H806" i="7"/>
  <c r="H807" i="7"/>
  <c r="H808" i="7"/>
  <c r="H809" i="7"/>
  <c r="H810" i="7"/>
  <c r="H811" i="7"/>
  <c r="H812" i="7"/>
  <c r="H813" i="7"/>
  <c r="H814" i="7"/>
  <c r="H815" i="7"/>
  <c r="H816" i="7"/>
  <c r="H817" i="7"/>
  <c r="H818" i="7"/>
  <c r="H819" i="7"/>
  <c r="H820" i="7"/>
  <c r="H821" i="7"/>
  <c r="H822" i="7"/>
  <c r="H823" i="7"/>
  <c r="H824" i="7"/>
  <c r="H825" i="7"/>
  <c r="H826" i="7"/>
  <c r="H827" i="7"/>
  <c r="H828" i="7"/>
  <c r="H829" i="7"/>
  <c r="H830" i="7"/>
  <c r="H831" i="7"/>
  <c r="H832" i="7"/>
  <c r="H833" i="7"/>
  <c r="H834" i="7"/>
  <c r="H835" i="7"/>
  <c r="H836" i="7"/>
  <c r="H837" i="7"/>
  <c r="H838" i="7"/>
  <c r="H839" i="7"/>
  <c r="H840" i="7"/>
  <c r="H841" i="7"/>
  <c r="H842" i="7"/>
  <c r="H843" i="7"/>
  <c r="H844" i="7"/>
  <c r="H845" i="7"/>
  <c r="H846" i="7"/>
  <c r="H847" i="7"/>
  <c r="H848" i="7"/>
  <c r="H849" i="7"/>
  <c r="H850" i="7"/>
  <c r="H851" i="7"/>
  <c r="H852" i="7"/>
  <c r="H853" i="7"/>
  <c r="H854" i="7"/>
  <c r="H855" i="7"/>
  <c r="H856" i="7"/>
  <c r="H857" i="7"/>
  <c r="H858" i="7"/>
  <c r="H859" i="7"/>
  <c r="H860" i="7"/>
  <c r="H861" i="7"/>
  <c r="H862" i="7"/>
  <c r="H863" i="7"/>
  <c r="H864" i="7"/>
  <c r="H865" i="7"/>
  <c r="H866" i="7"/>
  <c r="H867" i="7"/>
  <c r="H868" i="7"/>
  <c r="H869" i="7"/>
  <c r="H870" i="7"/>
  <c r="H871" i="7"/>
  <c r="H872" i="7"/>
  <c r="H873" i="7"/>
  <c r="H874" i="7"/>
  <c r="H875" i="7"/>
  <c r="H876" i="7"/>
  <c r="H877" i="7"/>
  <c r="H878" i="7"/>
  <c r="H879" i="7"/>
  <c r="H880" i="7"/>
  <c r="H881" i="7"/>
  <c r="H882" i="7"/>
  <c r="H883" i="7"/>
  <c r="H884" i="7"/>
  <c r="H885" i="7"/>
  <c r="H886" i="7"/>
  <c r="H887" i="7"/>
  <c r="H888" i="7"/>
  <c r="H889" i="7"/>
  <c r="H890" i="7"/>
  <c r="H891" i="7"/>
  <c r="H892" i="7"/>
  <c r="H893" i="7"/>
  <c r="H894" i="7"/>
  <c r="H895" i="7"/>
  <c r="H896" i="7"/>
  <c r="H897" i="7"/>
  <c r="H898" i="7"/>
  <c r="H899" i="7"/>
  <c r="H900" i="7"/>
  <c r="H901" i="7"/>
  <c r="H902" i="7"/>
  <c r="H903" i="7"/>
  <c r="H904" i="7"/>
  <c r="H905" i="7"/>
  <c r="H906" i="7"/>
  <c r="H907" i="7"/>
  <c r="H908" i="7"/>
  <c r="H909" i="7"/>
  <c r="H910" i="7"/>
  <c r="H911" i="7"/>
  <c r="H912" i="7"/>
  <c r="H913" i="7"/>
  <c r="H914" i="7"/>
  <c r="H915" i="7"/>
  <c r="H916" i="7"/>
  <c r="H917" i="7"/>
  <c r="H918" i="7"/>
  <c r="H919" i="7"/>
  <c r="H920" i="7"/>
  <c r="H921" i="7"/>
  <c r="H922" i="7"/>
  <c r="H923" i="7"/>
  <c r="H924" i="7"/>
  <c r="H925" i="7"/>
  <c r="H926" i="7"/>
  <c r="H927" i="7"/>
  <c r="H928" i="7"/>
  <c r="H929" i="7"/>
  <c r="H930" i="7"/>
  <c r="H931" i="7"/>
  <c r="H932" i="7"/>
  <c r="H933" i="7"/>
  <c r="H934" i="7"/>
  <c r="H935" i="7"/>
  <c r="H936" i="7"/>
  <c r="H937" i="7"/>
  <c r="H938" i="7"/>
  <c r="H939" i="7"/>
  <c r="H940" i="7"/>
  <c r="H941" i="7"/>
  <c r="H942" i="7"/>
  <c r="H943" i="7"/>
  <c r="H944" i="7"/>
  <c r="H945" i="7"/>
  <c r="H946" i="7"/>
  <c r="H947" i="7"/>
  <c r="H948" i="7"/>
  <c r="H949" i="7"/>
  <c r="H950" i="7"/>
  <c r="H951" i="7"/>
  <c r="H952" i="7"/>
  <c r="H953" i="7"/>
  <c r="H954" i="7"/>
  <c r="H955" i="7"/>
  <c r="H956" i="7"/>
  <c r="H957" i="7"/>
  <c r="H958" i="7"/>
  <c r="H959" i="7"/>
  <c r="H960" i="7"/>
  <c r="H961" i="7"/>
  <c r="H962" i="7"/>
  <c r="H963" i="7"/>
  <c r="H964" i="7"/>
  <c r="H965" i="7"/>
  <c r="H966" i="7"/>
  <c r="H967" i="7"/>
  <c r="H968" i="7"/>
  <c r="H969" i="7"/>
  <c r="H970" i="7"/>
  <c r="H971" i="7"/>
  <c r="H972" i="7"/>
  <c r="H973" i="7"/>
  <c r="H974" i="7"/>
  <c r="H975" i="7"/>
  <c r="H976" i="7"/>
  <c r="H977" i="7"/>
  <c r="H978" i="7"/>
  <c r="H979" i="7"/>
  <c r="H980" i="7"/>
  <c r="H981" i="7"/>
  <c r="H982" i="7"/>
  <c r="H983" i="7"/>
  <c r="H984" i="7"/>
  <c r="H985" i="7"/>
  <c r="H986" i="7"/>
  <c r="H987" i="7"/>
  <c r="H988" i="7"/>
  <c r="H989" i="7"/>
  <c r="H990" i="7"/>
  <c r="H991" i="7"/>
  <c r="H992" i="7"/>
  <c r="H993" i="7"/>
  <c r="H994" i="7"/>
  <c r="H995" i="7"/>
  <c r="H996" i="7"/>
  <c r="H997" i="7"/>
  <c r="H998" i="7"/>
  <c r="H999" i="7"/>
  <c r="H1000" i="7"/>
  <c r="H1001" i="7"/>
  <c r="H1002" i="7"/>
  <c r="H1003" i="7"/>
  <c r="H1004" i="7"/>
  <c r="H1005" i="7"/>
  <c r="H1006" i="7"/>
  <c r="H1007" i="7"/>
  <c r="H1008" i="7"/>
  <c r="H1009" i="7"/>
  <c r="H1010" i="7"/>
  <c r="H1011" i="7"/>
  <c r="H1012" i="7"/>
  <c r="H1013" i="7"/>
  <c r="H1014" i="7"/>
  <c r="H1015" i="7"/>
  <c r="H1016" i="7"/>
  <c r="H1017" i="7"/>
  <c r="H1018" i="7"/>
  <c r="H1019" i="7"/>
  <c r="H1020" i="7"/>
  <c r="H1021" i="7"/>
  <c r="H1022" i="7"/>
  <c r="H1023" i="7"/>
  <c r="H1024" i="7"/>
  <c r="H1025" i="7"/>
  <c r="H1026" i="7"/>
  <c r="H1027" i="7"/>
  <c r="H1028" i="7"/>
  <c r="H1029" i="7"/>
  <c r="H1030" i="7"/>
  <c r="H1031" i="7"/>
  <c r="H1032" i="7"/>
  <c r="H1033" i="7"/>
  <c r="H1034" i="7"/>
  <c r="H1035" i="7"/>
  <c r="H1036" i="7"/>
  <c r="H1037" i="7"/>
  <c r="H1038" i="7"/>
  <c r="H1039" i="7"/>
  <c r="H1040" i="7"/>
  <c r="H1041" i="7"/>
  <c r="H1042" i="7"/>
  <c r="H1043" i="7"/>
  <c r="H1044" i="7"/>
  <c r="H1045" i="7"/>
  <c r="H1046" i="7"/>
  <c r="H1047" i="7"/>
  <c r="H1048" i="7"/>
  <c r="H1049" i="7"/>
  <c r="H1050" i="7"/>
  <c r="H1051" i="7"/>
  <c r="H1052" i="7"/>
  <c r="H1053" i="7"/>
  <c r="H1054" i="7"/>
  <c r="H1055" i="7"/>
  <c r="H1056" i="7"/>
  <c r="H1057" i="7"/>
  <c r="H1058" i="7"/>
  <c r="H1059" i="7"/>
  <c r="H1060" i="7"/>
  <c r="H1061" i="7"/>
  <c r="H1062" i="7"/>
  <c r="H1063" i="7"/>
  <c r="H1064" i="7"/>
  <c r="H1065" i="7"/>
  <c r="H1066" i="7"/>
  <c r="H1067" i="7"/>
  <c r="H1068" i="7"/>
  <c r="H1069" i="7"/>
  <c r="H1070" i="7"/>
  <c r="H1071" i="7"/>
  <c r="H1072" i="7"/>
  <c r="H1073" i="7"/>
  <c r="H1074" i="7"/>
  <c r="H1075" i="7"/>
  <c r="H1076" i="7"/>
  <c r="H1077" i="7"/>
  <c r="H1078" i="7"/>
  <c r="H1079" i="7"/>
  <c r="H1080" i="7"/>
  <c r="H1081" i="7"/>
  <c r="H1082" i="7"/>
  <c r="H1083" i="7"/>
  <c r="H1084" i="7"/>
  <c r="H1085" i="7"/>
  <c r="H1086" i="7"/>
  <c r="H1087" i="7"/>
  <c r="H1088" i="7"/>
  <c r="H1089" i="7"/>
  <c r="H1090" i="7"/>
  <c r="H1091" i="7"/>
  <c r="H1092" i="7"/>
  <c r="H1093" i="7"/>
  <c r="H1094" i="7"/>
  <c r="H1095" i="7"/>
  <c r="H1096" i="7"/>
  <c r="H1097" i="7"/>
  <c r="H1098" i="7"/>
  <c r="H1099" i="7"/>
  <c r="H1100" i="7"/>
  <c r="H1101" i="7"/>
  <c r="H1102" i="7"/>
  <c r="H1103" i="7"/>
  <c r="H1104" i="7"/>
  <c r="H1105" i="7"/>
  <c r="H1106" i="7"/>
  <c r="H1107" i="7"/>
  <c r="H1108" i="7"/>
  <c r="H1109" i="7"/>
  <c r="H1110" i="7"/>
  <c r="H1111" i="7"/>
  <c r="H1112" i="7"/>
  <c r="H1113" i="7"/>
  <c r="H1114" i="7"/>
  <c r="H1115" i="7"/>
  <c r="H1116" i="7"/>
  <c r="H1117" i="7"/>
  <c r="H1118" i="7"/>
  <c r="H1119" i="7"/>
  <c r="H1120" i="7"/>
  <c r="H1121" i="7"/>
  <c r="H1122" i="7"/>
  <c r="H1123" i="7"/>
  <c r="H1124" i="7"/>
  <c r="H1125" i="7"/>
  <c r="H1126" i="7"/>
  <c r="H1127" i="7"/>
  <c r="H1128" i="7"/>
  <c r="H1129" i="7"/>
  <c r="H1130" i="7"/>
  <c r="H1131" i="7"/>
  <c r="H1132" i="7"/>
  <c r="H1133" i="7"/>
  <c r="H1134" i="7"/>
  <c r="H1135" i="7"/>
  <c r="H1136" i="7"/>
  <c r="H1137" i="7"/>
  <c r="H1138" i="7"/>
  <c r="H1139" i="7"/>
  <c r="H1140" i="7"/>
  <c r="H1141" i="7"/>
  <c r="H1142" i="7"/>
  <c r="H1143" i="7"/>
  <c r="H1144" i="7"/>
  <c r="H1145" i="7"/>
  <c r="H1146" i="7"/>
  <c r="H1147" i="7"/>
  <c r="H1148" i="7"/>
  <c r="H1149" i="7"/>
  <c r="H1150" i="7"/>
  <c r="H1151" i="7"/>
  <c r="H1152" i="7"/>
  <c r="H1153" i="7"/>
  <c r="H1154" i="7"/>
  <c r="H1155" i="7"/>
  <c r="H1156" i="7"/>
  <c r="H1157" i="7"/>
  <c r="H1158" i="7"/>
  <c r="H1159" i="7"/>
  <c r="H1160" i="7"/>
  <c r="H1161" i="7"/>
  <c r="H1162" i="7"/>
  <c r="H1163" i="7"/>
  <c r="H1164" i="7"/>
  <c r="H1165" i="7"/>
  <c r="H1166" i="7"/>
  <c r="H1167" i="7"/>
  <c r="H1168" i="7"/>
  <c r="H1169" i="7"/>
  <c r="H1170" i="7"/>
  <c r="H1171" i="7"/>
  <c r="H1172" i="7"/>
  <c r="H1173" i="7"/>
  <c r="H1174" i="7"/>
  <c r="H1175" i="7"/>
  <c r="H1176" i="7"/>
  <c r="H1177" i="7"/>
  <c r="H1178" i="7"/>
  <c r="H1179" i="7"/>
  <c r="H1180" i="7"/>
  <c r="H1181" i="7"/>
  <c r="H1182" i="7"/>
  <c r="H1183" i="7"/>
  <c r="H1184" i="7"/>
  <c r="H1185" i="7"/>
  <c r="H1186" i="7"/>
  <c r="H1187" i="7"/>
  <c r="H1188" i="7"/>
  <c r="H1189" i="7"/>
  <c r="H1190" i="7"/>
  <c r="H1191" i="7"/>
  <c r="H1192" i="7"/>
  <c r="H1193" i="7"/>
  <c r="H1194" i="7"/>
  <c r="H1195" i="7"/>
  <c r="H1196" i="7"/>
  <c r="H1197" i="7"/>
  <c r="H1198" i="7"/>
  <c r="H1199" i="7"/>
  <c r="H1200" i="7"/>
  <c r="H1201" i="7"/>
  <c r="H1202" i="7"/>
  <c r="H1203" i="7"/>
  <c r="H1204" i="7"/>
  <c r="H1205" i="7"/>
  <c r="H1206" i="7"/>
  <c r="H1207" i="7"/>
  <c r="H1208" i="7"/>
  <c r="H1209" i="7"/>
  <c r="H1210" i="7"/>
  <c r="H1211" i="7"/>
  <c r="H1212" i="7"/>
  <c r="H1213" i="7"/>
  <c r="H1214" i="7"/>
  <c r="H1215" i="7"/>
  <c r="H1216" i="7"/>
  <c r="H1217" i="7"/>
  <c r="H1218" i="7"/>
  <c r="H1219" i="7"/>
  <c r="H1220" i="7"/>
  <c r="H1221" i="7"/>
  <c r="H1222" i="7"/>
  <c r="H1223" i="7"/>
  <c r="H1224" i="7"/>
  <c r="H1225" i="7"/>
  <c r="H1226" i="7"/>
  <c r="H1227" i="7"/>
  <c r="H1228" i="7"/>
  <c r="H1229" i="7"/>
  <c r="H1230" i="7"/>
  <c r="H1231" i="7"/>
  <c r="H1232" i="7"/>
  <c r="H1233" i="7"/>
  <c r="H1234" i="7"/>
  <c r="H1235" i="7"/>
  <c r="H1236" i="7"/>
  <c r="H1237" i="7"/>
  <c r="H1238" i="7"/>
  <c r="H1239" i="7"/>
  <c r="H1240" i="7"/>
  <c r="H1241" i="7"/>
  <c r="H1242" i="7"/>
  <c r="H1243" i="7"/>
  <c r="H1244" i="7"/>
  <c r="H1245" i="7"/>
  <c r="H1246" i="7"/>
  <c r="H1247" i="7"/>
  <c r="H1248" i="7"/>
  <c r="H1249" i="7"/>
  <c r="H1250" i="7"/>
  <c r="H1251" i="7"/>
  <c r="H1252" i="7"/>
  <c r="H1253" i="7"/>
  <c r="H1254" i="7"/>
  <c r="H1255" i="7"/>
  <c r="H1256" i="7"/>
  <c r="H1257" i="7"/>
  <c r="H1258" i="7"/>
  <c r="H1259" i="7"/>
  <c r="H1260" i="7"/>
  <c r="H1261" i="7"/>
  <c r="H1262" i="7"/>
  <c r="H1263" i="7"/>
  <c r="H1264" i="7"/>
  <c r="H1265" i="7"/>
  <c r="H1266" i="7"/>
  <c r="H1267" i="7"/>
  <c r="H1268" i="7"/>
  <c r="H1269" i="7"/>
  <c r="H1270" i="7"/>
  <c r="H1271" i="7"/>
  <c r="H1272" i="7"/>
  <c r="H1273" i="7"/>
  <c r="H1274" i="7"/>
  <c r="H1275" i="7"/>
  <c r="H1276" i="7"/>
  <c r="H1277" i="7"/>
  <c r="H1278" i="7"/>
  <c r="H1279" i="7"/>
  <c r="H1280" i="7"/>
  <c r="H1281" i="7"/>
  <c r="H1282" i="7"/>
  <c r="H1283" i="7"/>
  <c r="H1284" i="7"/>
  <c r="H1285" i="7"/>
  <c r="H1286" i="7"/>
  <c r="H1287" i="7"/>
  <c r="H1288" i="7"/>
  <c r="H1289" i="7"/>
  <c r="H1290" i="7"/>
  <c r="H1291" i="7"/>
  <c r="H1292" i="7"/>
  <c r="H1293" i="7"/>
  <c r="H1294" i="7"/>
  <c r="H1295" i="7"/>
  <c r="H1296" i="7"/>
  <c r="H1297" i="7"/>
  <c r="H1298" i="7"/>
  <c r="H1299" i="7"/>
  <c r="H1300" i="7"/>
  <c r="H1301" i="7"/>
  <c r="H1302" i="7"/>
  <c r="H1303" i="7"/>
  <c r="H1304" i="7"/>
  <c r="H1305" i="7"/>
  <c r="H1306" i="7"/>
  <c r="H1307" i="7"/>
  <c r="H1308" i="7"/>
  <c r="H1309" i="7"/>
  <c r="H1310" i="7"/>
  <c r="H1311" i="7"/>
  <c r="H1312" i="7"/>
  <c r="H1313" i="7"/>
  <c r="H1314" i="7"/>
  <c r="H1315" i="7"/>
  <c r="H1316" i="7"/>
  <c r="H1317" i="7"/>
  <c r="H1318" i="7"/>
  <c r="H1319" i="7"/>
  <c r="H1320" i="7"/>
  <c r="H1321" i="7"/>
  <c r="H1322" i="7"/>
  <c r="H1323" i="7"/>
  <c r="H1324" i="7"/>
  <c r="H1325" i="7"/>
  <c r="H1326" i="7"/>
  <c r="H1327" i="7"/>
  <c r="H1328" i="7"/>
  <c r="H1329" i="7"/>
  <c r="H1330" i="7"/>
  <c r="H1331" i="7"/>
  <c r="H1332" i="7"/>
  <c r="H1333" i="7"/>
  <c r="H1334" i="7"/>
  <c r="H1335" i="7"/>
  <c r="H1336" i="7"/>
  <c r="H1337" i="7"/>
  <c r="H1338" i="7"/>
  <c r="H1339" i="7"/>
  <c r="H1340" i="7"/>
  <c r="H1341" i="7"/>
  <c r="H1342" i="7"/>
  <c r="H1343" i="7"/>
  <c r="H1344" i="7"/>
  <c r="H1345" i="7"/>
  <c r="H1346" i="7"/>
  <c r="H1347" i="7"/>
  <c r="H1348" i="7"/>
  <c r="H1349" i="7"/>
  <c r="H1350" i="7"/>
  <c r="H1351" i="7"/>
  <c r="H1352" i="7"/>
  <c r="H1353" i="7"/>
  <c r="H1354" i="7"/>
  <c r="H1355" i="7"/>
  <c r="H1356" i="7"/>
  <c r="H1357" i="7"/>
  <c r="H1358" i="7"/>
  <c r="H1359" i="7"/>
  <c r="H1360" i="7"/>
  <c r="H1361" i="7"/>
  <c r="H1362" i="7"/>
  <c r="H1363" i="7"/>
  <c r="H1364" i="7"/>
  <c r="H1365" i="7"/>
  <c r="H1366" i="7"/>
  <c r="H1367" i="7"/>
  <c r="H1368" i="7"/>
  <c r="H1369" i="7"/>
  <c r="H1370" i="7"/>
  <c r="H1371" i="7"/>
  <c r="H1372" i="7"/>
  <c r="H1373" i="7"/>
  <c r="H1374" i="7"/>
  <c r="H1375" i="7"/>
  <c r="H1376" i="7"/>
  <c r="H1377" i="7"/>
  <c r="H1378" i="7"/>
  <c r="H1379" i="7"/>
  <c r="H1380" i="7"/>
  <c r="H1381" i="7"/>
  <c r="H1382" i="7"/>
  <c r="H1383" i="7"/>
  <c r="H1384" i="7"/>
  <c r="H1385" i="7"/>
  <c r="H1386" i="7"/>
  <c r="H1387" i="7"/>
  <c r="H1388" i="7"/>
  <c r="H1389" i="7"/>
  <c r="H1390" i="7"/>
  <c r="H1391" i="7"/>
  <c r="H1392" i="7"/>
  <c r="H1393" i="7"/>
  <c r="H1394" i="7"/>
  <c r="H1395" i="7"/>
  <c r="H1396" i="7"/>
  <c r="H1397" i="7"/>
  <c r="H1398" i="7"/>
  <c r="H1399" i="7"/>
  <c r="H1400" i="7"/>
  <c r="H1401" i="7"/>
  <c r="H1402" i="7"/>
  <c r="H1403" i="7"/>
  <c r="H1404" i="7"/>
  <c r="H1405" i="7"/>
  <c r="H1406" i="7"/>
  <c r="H1407" i="7"/>
  <c r="H1408" i="7"/>
  <c r="H1409" i="7"/>
  <c r="H1410" i="7"/>
  <c r="H1411" i="7"/>
  <c r="H1412" i="7"/>
  <c r="H1413" i="7"/>
  <c r="H1414" i="7"/>
  <c r="H1415" i="7"/>
  <c r="H1416" i="7"/>
  <c r="H1417" i="7"/>
  <c r="H1418" i="7"/>
  <c r="H1419" i="7"/>
  <c r="H1420" i="7"/>
  <c r="H1421" i="7"/>
  <c r="H1422" i="7"/>
  <c r="H1423" i="7"/>
  <c r="H1424" i="7"/>
  <c r="H1425" i="7"/>
  <c r="H1426" i="7"/>
  <c r="H1427" i="7"/>
  <c r="H1428" i="7"/>
  <c r="H1429" i="7"/>
  <c r="H1430" i="7"/>
  <c r="H1431" i="7"/>
  <c r="H1432" i="7"/>
  <c r="H1433" i="7"/>
  <c r="H1434" i="7"/>
  <c r="H1435" i="7"/>
  <c r="H1436" i="7"/>
  <c r="H1437" i="7"/>
  <c r="H1438" i="7"/>
  <c r="H1439" i="7"/>
  <c r="H1440" i="7"/>
  <c r="H1441" i="7"/>
  <c r="H1442" i="7"/>
  <c r="H1443" i="7"/>
  <c r="H1444" i="7"/>
  <c r="H1445" i="7"/>
  <c r="H1446" i="7"/>
  <c r="H1447" i="7"/>
  <c r="H1448" i="7"/>
  <c r="H1449" i="7"/>
  <c r="H1450" i="7"/>
  <c r="H1451" i="7"/>
  <c r="H1452" i="7"/>
  <c r="H1453" i="7"/>
  <c r="H1454" i="7"/>
  <c r="H1455" i="7"/>
  <c r="H1456" i="7"/>
  <c r="H1457" i="7"/>
  <c r="H1458" i="7"/>
  <c r="H1459" i="7"/>
  <c r="H1460" i="7"/>
  <c r="H1461" i="7"/>
  <c r="H1462" i="7"/>
  <c r="H1463" i="7"/>
  <c r="H1464" i="7"/>
  <c r="H1465" i="7"/>
  <c r="H1466" i="7"/>
  <c r="H1467" i="7"/>
  <c r="H1468" i="7"/>
  <c r="H1469" i="7"/>
  <c r="H1470" i="7"/>
  <c r="H1471" i="7"/>
  <c r="H1472" i="7"/>
  <c r="H1473" i="7"/>
  <c r="H1474" i="7"/>
  <c r="H1475" i="7"/>
  <c r="H1476" i="7"/>
  <c r="H1477" i="7"/>
  <c r="H1478" i="7"/>
  <c r="H1479" i="7"/>
  <c r="H1480" i="7"/>
  <c r="H1481" i="7"/>
  <c r="H1482" i="7"/>
  <c r="H1483" i="7"/>
  <c r="H1484" i="7"/>
  <c r="H1485" i="7"/>
  <c r="H1486" i="7"/>
  <c r="H1487" i="7"/>
  <c r="H1488" i="7"/>
  <c r="H1489" i="7"/>
  <c r="H1490" i="7"/>
  <c r="H1491" i="7"/>
  <c r="H1492" i="7"/>
  <c r="H1493" i="7"/>
  <c r="H1494" i="7"/>
  <c r="H1495" i="7"/>
  <c r="H1496" i="7"/>
  <c r="H1497" i="7"/>
  <c r="H1498" i="7"/>
  <c r="H1499" i="7"/>
  <c r="H1500" i="7"/>
  <c r="H1501" i="7"/>
  <c r="H1502" i="7"/>
  <c r="H1503" i="7"/>
  <c r="H1504" i="7"/>
  <c r="H1505" i="7"/>
  <c r="H1506" i="7"/>
  <c r="H1507" i="7"/>
  <c r="H1508" i="7"/>
  <c r="H1509" i="7"/>
  <c r="H1510" i="7"/>
  <c r="H1511" i="7"/>
  <c r="H1512" i="7"/>
  <c r="H1513" i="7"/>
  <c r="H1514" i="7"/>
  <c r="H1515" i="7"/>
  <c r="H1516" i="7"/>
  <c r="H1517" i="7"/>
  <c r="H1518" i="7"/>
  <c r="H1519" i="7"/>
  <c r="H1520" i="7"/>
  <c r="H1521" i="7"/>
  <c r="H1522" i="7"/>
  <c r="H1523" i="7"/>
  <c r="H1524" i="7"/>
  <c r="H1525" i="7"/>
  <c r="H1526" i="7"/>
  <c r="H1527" i="7"/>
  <c r="H1528" i="7"/>
  <c r="H1529" i="7"/>
  <c r="H1530" i="7"/>
  <c r="H1531" i="7"/>
  <c r="H1532" i="7"/>
  <c r="H1533" i="7"/>
  <c r="H1534" i="7"/>
  <c r="H1535" i="7"/>
  <c r="H1536" i="7"/>
  <c r="H1537" i="7"/>
  <c r="H1538" i="7"/>
  <c r="H1539" i="7"/>
  <c r="H1540" i="7"/>
  <c r="H1541" i="7"/>
  <c r="H1542" i="7"/>
  <c r="H1543" i="7"/>
  <c r="H1544" i="7"/>
  <c r="H1545" i="7"/>
  <c r="H1546" i="7"/>
  <c r="H1547" i="7"/>
  <c r="H1548" i="7"/>
  <c r="H1549" i="7"/>
  <c r="H1550" i="7"/>
  <c r="H1551" i="7"/>
  <c r="H1552" i="7"/>
  <c r="H1553" i="7"/>
  <c r="H1554" i="7"/>
  <c r="H1555" i="7"/>
  <c r="H1556" i="7"/>
  <c r="H1557" i="7"/>
  <c r="H1558" i="7"/>
  <c r="H1559" i="7"/>
  <c r="H1560" i="7"/>
  <c r="H1561" i="7"/>
  <c r="H1562" i="7"/>
  <c r="H1563" i="7"/>
  <c r="H1564" i="7"/>
  <c r="H1565" i="7"/>
  <c r="H1566" i="7"/>
  <c r="H1567" i="7"/>
  <c r="H1568" i="7"/>
  <c r="H1569" i="7"/>
  <c r="H1570" i="7"/>
  <c r="H1571" i="7"/>
  <c r="H1572" i="7"/>
  <c r="H1573" i="7"/>
  <c r="H1574" i="7"/>
  <c r="H1575" i="7"/>
  <c r="H1576" i="7"/>
  <c r="H1577" i="7"/>
  <c r="H1578" i="7"/>
  <c r="H1579" i="7"/>
  <c r="H1580" i="7"/>
  <c r="H1581" i="7"/>
  <c r="H1582" i="7"/>
  <c r="H1583" i="7"/>
  <c r="H1584" i="7"/>
  <c r="H1585" i="7"/>
  <c r="H1586" i="7"/>
  <c r="H1587" i="7"/>
  <c r="H1588" i="7"/>
  <c r="H1589" i="7"/>
  <c r="H1590" i="7"/>
  <c r="H1591" i="7"/>
  <c r="H1592" i="7"/>
  <c r="H1593" i="7"/>
  <c r="H1594" i="7"/>
  <c r="H1595" i="7"/>
  <c r="H1596" i="7"/>
  <c r="H1597" i="7"/>
  <c r="H1598" i="7"/>
  <c r="H1599" i="7"/>
  <c r="H1600" i="7"/>
  <c r="H1601" i="7"/>
  <c r="H1602" i="7"/>
  <c r="H1603" i="7"/>
  <c r="H1604" i="7"/>
  <c r="H1605" i="7"/>
  <c r="H1606" i="7"/>
  <c r="H1607" i="7"/>
  <c r="H1608" i="7"/>
  <c r="H1609" i="7"/>
  <c r="H1610" i="7"/>
  <c r="H1611" i="7"/>
  <c r="H1612" i="7"/>
  <c r="H1613" i="7"/>
  <c r="H1614" i="7"/>
  <c r="H1615" i="7"/>
  <c r="H1616" i="7"/>
  <c r="H1617" i="7"/>
  <c r="H1618" i="7"/>
  <c r="H1619" i="7"/>
  <c r="H1620" i="7"/>
  <c r="H1621" i="7"/>
  <c r="H1622" i="7"/>
  <c r="H1623" i="7"/>
  <c r="H1624" i="7"/>
  <c r="H1625" i="7"/>
  <c r="H1626" i="7"/>
  <c r="H1627" i="7"/>
  <c r="H1628" i="7"/>
  <c r="H1629" i="7"/>
  <c r="H1630" i="7"/>
  <c r="H1631" i="7"/>
  <c r="H1632" i="7"/>
  <c r="H1633" i="7"/>
  <c r="H1634" i="7"/>
  <c r="H1635" i="7"/>
  <c r="H1636" i="7"/>
  <c r="H1637" i="7"/>
  <c r="H1638" i="7"/>
  <c r="H1639" i="7"/>
  <c r="H1640" i="7"/>
  <c r="H1641" i="7"/>
  <c r="H1642" i="7"/>
  <c r="H1643" i="7"/>
  <c r="H1644" i="7"/>
  <c r="H1645" i="7"/>
  <c r="H1646" i="7"/>
  <c r="H1647" i="7"/>
  <c r="H1648" i="7"/>
  <c r="H1649" i="7"/>
  <c r="H1650" i="7"/>
  <c r="H1651" i="7"/>
  <c r="H1652" i="7"/>
  <c r="H1653" i="7"/>
  <c r="H1654" i="7"/>
  <c r="H1655" i="7"/>
  <c r="H1656" i="7"/>
  <c r="H1657" i="7"/>
  <c r="H1658" i="7"/>
  <c r="H1659" i="7"/>
  <c r="H1660" i="7"/>
  <c r="H1661" i="7"/>
  <c r="H1662" i="7"/>
  <c r="H1663" i="7"/>
  <c r="H1664" i="7"/>
  <c r="H1665" i="7"/>
  <c r="H1666" i="7"/>
  <c r="H1667" i="7"/>
  <c r="H1668" i="7"/>
  <c r="H1669" i="7"/>
  <c r="H1670" i="7"/>
  <c r="H1671" i="7"/>
  <c r="H1672" i="7"/>
  <c r="H1673" i="7"/>
  <c r="H1674" i="7"/>
  <c r="H1675" i="7"/>
  <c r="H1676" i="7"/>
  <c r="H1677" i="7"/>
  <c r="H1678" i="7"/>
  <c r="H1679" i="7"/>
  <c r="H1680" i="7"/>
  <c r="H1681" i="7"/>
  <c r="H1682" i="7"/>
  <c r="H1683" i="7"/>
  <c r="H1684" i="7"/>
  <c r="H1685" i="7"/>
  <c r="H1686" i="7"/>
  <c r="H1687" i="7"/>
  <c r="H1688" i="7"/>
  <c r="H1689" i="7"/>
  <c r="H1690" i="7"/>
  <c r="H1691" i="7"/>
  <c r="H1692" i="7"/>
  <c r="H1693" i="7"/>
  <c r="H1694" i="7"/>
  <c r="H1695" i="7"/>
  <c r="H1696" i="7"/>
  <c r="H1697" i="7"/>
  <c r="H1698" i="7"/>
  <c r="H1699" i="7"/>
  <c r="H1700" i="7"/>
  <c r="H1701" i="7"/>
  <c r="H1702" i="7"/>
  <c r="H1703" i="7"/>
  <c r="H1704" i="7"/>
  <c r="H1705" i="7"/>
  <c r="H1706" i="7"/>
  <c r="H1707" i="7"/>
  <c r="H1708" i="7"/>
  <c r="H1709" i="7"/>
  <c r="H1710" i="7"/>
  <c r="H1711" i="7"/>
  <c r="H1712" i="7"/>
  <c r="H1713" i="7"/>
  <c r="H1714" i="7"/>
  <c r="H1715" i="7"/>
  <c r="H1716" i="7"/>
  <c r="H1717" i="7"/>
  <c r="H1718" i="7"/>
  <c r="H1719" i="7"/>
  <c r="H1720" i="7"/>
  <c r="H1721" i="7"/>
  <c r="H1722" i="7"/>
  <c r="H1723" i="7"/>
  <c r="H1724" i="7"/>
  <c r="H1725" i="7"/>
  <c r="H1726" i="7"/>
  <c r="H1727" i="7"/>
  <c r="H1728" i="7"/>
  <c r="H1729" i="7"/>
  <c r="H1730" i="7"/>
  <c r="H1731" i="7"/>
  <c r="H1732" i="7"/>
  <c r="H1733" i="7"/>
  <c r="H1734" i="7"/>
  <c r="H1735" i="7"/>
  <c r="H1736" i="7"/>
  <c r="H1737" i="7"/>
  <c r="H1738" i="7"/>
  <c r="H1739" i="7"/>
  <c r="H1740" i="7"/>
  <c r="H1741" i="7"/>
  <c r="H1742" i="7"/>
  <c r="H1743" i="7"/>
  <c r="H1744" i="7"/>
  <c r="H1745" i="7"/>
  <c r="H1746" i="7"/>
  <c r="H1747" i="7"/>
  <c r="H1748" i="7"/>
  <c r="H1749" i="7"/>
  <c r="H1750" i="7"/>
  <c r="H1751" i="7"/>
  <c r="H1752" i="7"/>
  <c r="H1753" i="7"/>
  <c r="H1754" i="7"/>
  <c r="H1755" i="7"/>
  <c r="H1756" i="7"/>
  <c r="H1757" i="7"/>
  <c r="H1758" i="7"/>
  <c r="H1759" i="7"/>
  <c r="H1760" i="7"/>
  <c r="H1761" i="7"/>
  <c r="H1762" i="7"/>
  <c r="H1763" i="7"/>
  <c r="H1764" i="7"/>
  <c r="H1765" i="7"/>
  <c r="H1766" i="7"/>
  <c r="H1767" i="7"/>
  <c r="H1768" i="7"/>
  <c r="H1769" i="7"/>
  <c r="H1770" i="7"/>
  <c r="H1771" i="7"/>
  <c r="H1772" i="7"/>
  <c r="H1773" i="7"/>
  <c r="H1774" i="7"/>
  <c r="H1775" i="7"/>
  <c r="H1776" i="7"/>
  <c r="H1777" i="7"/>
  <c r="H1778" i="7"/>
  <c r="H1779" i="7"/>
  <c r="H1780" i="7"/>
  <c r="H1781" i="7"/>
  <c r="H1782" i="7"/>
  <c r="H1783" i="7"/>
  <c r="H1784" i="7"/>
  <c r="H1785" i="7"/>
  <c r="H1786" i="7"/>
  <c r="H1787" i="7"/>
  <c r="H1788" i="7"/>
  <c r="H1789" i="7"/>
  <c r="H1790" i="7"/>
  <c r="H1791" i="7"/>
  <c r="H1792" i="7"/>
  <c r="H1793" i="7"/>
  <c r="H1794" i="7"/>
  <c r="H1795" i="7"/>
  <c r="H1796" i="7"/>
  <c r="H1797" i="7"/>
  <c r="H1798" i="7"/>
  <c r="H1799" i="7"/>
  <c r="H1800" i="7"/>
  <c r="H1801" i="7"/>
  <c r="H1802" i="7"/>
  <c r="H1803" i="7"/>
  <c r="H1804" i="7"/>
  <c r="H1805" i="7"/>
  <c r="H1806" i="7"/>
  <c r="H1807" i="7"/>
  <c r="H1808" i="7"/>
  <c r="H1809" i="7"/>
  <c r="H1810" i="7"/>
  <c r="H1811" i="7"/>
  <c r="H1812" i="7"/>
  <c r="H1813" i="7"/>
  <c r="H1814" i="7"/>
  <c r="H1815" i="7"/>
  <c r="H1816" i="7"/>
  <c r="H1817" i="7"/>
  <c r="H1818" i="7"/>
  <c r="H1819" i="7"/>
  <c r="H1820" i="7"/>
  <c r="H1821" i="7"/>
  <c r="H1822" i="7"/>
  <c r="H1823" i="7"/>
  <c r="H1824" i="7"/>
  <c r="H1825" i="7"/>
  <c r="H1826" i="7"/>
  <c r="H1827" i="7"/>
  <c r="H1828" i="7"/>
  <c r="H1829" i="7"/>
  <c r="H1830" i="7"/>
  <c r="H1831" i="7"/>
  <c r="H1832" i="7"/>
  <c r="H1833" i="7"/>
  <c r="H1834" i="7"/>
  <c r="H1835" i="7"/>
  <c r="H1836" i="7"/>
  <c r="H1837" i="7"/>
  <c r="H1838" i="7"/>
  <c r="H1839" i="7"/>
  <c r="H1840" i="7"/>
  <c r="H1841" i="7"/>
  <c r="H1842" i="7"/>
  <c r="H1843" i="7"/>
  <c r="H1844" i="7"/>
  <c r="H1845" i="7"/>
  <c r="H1846" i="7"/>
  <c r="H1847" i="7"/>
  <c r="H1848" i="7"/>
  <c r="H1849" i="7"/>
  <c r="H1850" i="7"/>
  <c r="H1851" i="7"/>
  <c r="H1852" i="7"/>
  <c r="H1853" i="7"/>
  <c r="H1854" i="7"/>
  <c r="H1855" i="7"/>
  <c r="H1856" i="7"/>
  <c r="H1857" i="7"/>
  <c r="H1858" i="7"/>
  <c r="H1859" i="7"/>
  <c r="H1860" i="7"/>
  <c r="H1861" i="7"/>
  <c r="H1862" i="7"/>
  <c r="H1863" i="7"/>
  <c r="H1864" i="7"/>
  <c r="H1865" i="7"/>
  <c r="H1866" i="7"/>
  <c r="H1867" i="7"/>
  <c r="H1868" i="7"/>
  <c r="H1869" i="7"/>
  <c r="H1870" i="7"/>
  <c r="H1871" i="7"/>
  <c r="H1872" i="7"/>
  <c r="H1873" i="7"/>
  <c r="H1874" i="7"/>
  <c r="H1875" i="7"/>
  <c r="H1876" i="7"/>
  <c r="H1877" i="7"/>
  <c r="H1878" i="7"/>
  <c r="H1879" i="7"/>
  <c r="H1880" i="7"/>
  <c r="H1881" i="7"/>
  <c r="H1882" i="7"/>
  <c r="H1883" i="7"/>
  <c r="H1884" i="7"/>
  <c r="H1885" i="7"/>
  <c r="H1886" i="7"/>
  <c r="H1887" i="7"/>
  <c r="H1888" i="7"/>
  <c r="H1889" i="7"/>
  <c r="H1890" i="7"/>
  <c r="H1891" i="7"/>
  <c r="H1892" i="7"/>
  <c r="H1893" i="7"/>
  <c r="H1894" i="7"/>
  <c r="H1895" i="7"/>
  <c r="H1896" i="7"/>
  <c r="H1897" i="7"/>
  <c r="H1898" i="7"/>
  <c r="H1899" i="7"/>
  <c r="H1900" i="7"/>
  <c r="H1901" i="7"/>
  <c r="H1902" i="7"/>
  <c r="H1903" i="7"/>
  <c r="H1904" i="7"/>
  <c r="H1905" i="7"/>
  <c r="H1906" i="7"/>
  <c r="H1907" i="7"/>
  <c r="H1908" i="7"/>
  <c r="H1909" i="7"/>
  <c r="H1910" i="7"/>
  <c r="H1911" i="7"/>
  <c r="H1912" i="7"/>
  <c r="H1913" i="7"/>
  <c r="H1914" i="7"/>
  <c r="H1915" i="7"/>
  <c r="H1916" i="7"/>
  <c r="H1917" i="7"/>
  <c r="H1918" i="7"/>
  <c r="H1919" i="7"/>
  <c r="H1920" i="7"/>
  <c r="H1921" i="7"/>
  <c r="H1922" i="7"/>
  <c r="H1923" i="7"/>
  <c r="H1924" i="7"/>
  <c r="H1925" i="7"/>
  <c r="H1926" i="7"/>
  <c r="H1927" i="7"/>
  <c r="H1928" i="7"/>
  <c r="H1929" i="7"/>
  <c r="H1930" i="7"/>
  <c r="H1931" i="7"/>
  <c r="H1932" i="7"/>
  <c r="H1933" i="7"/>
  <c r="H1934" i="7"/>
  <c r="H1935" i="7"/>
  <c r="H1936" i="7"/>
  <c r="H1937" i="7"/>
  <c r="H1938" i="7"/>
  <c r="H1939" i="7"/>
  <c r="H1940" i="7"/>
  <c r="H1941" i="7"/>
  <c r="H1942" i="7"/>
  <c r="H1943" i="7"/>
  <c r="H1944" i="7"/>
  <c r="H1945" i="7"/>
  <c r="H1946" i="7"/>
  <c r="H1947" i="7"/>
  <c r="H1948" i="7"/>
  <c r="H1949" i="7"/>
  <c r="H1950" i="7"/>
  <c r="H1951" i="7"/>
  <c r="H1952" i="7"/>
  <c r="H1953" i="7"/>
  <c r="H1954" i="7"/>
  <c r="H1955" i="7"/>
  <c r="H1956" i="7"/>
  <c r="H1957" i="7"/>
  <c r="H1958" i="7"/>
  <c r="H1959" i="7"/>
  <c r="H1960" i="7"/>
  <c r="H1961" i="7"/>
  <c r="H1962" i="7"/>
  <c r="H1963" i="7"/>
  <c r="H1964" i="7"/>
  <c r="H1965" i="7"/>
  <c r="H1966" i="7"/>
  <c r="H1967" i="7"/>
  <c r="H1968" i="7"/>
  <c r="H1969" i="7"/>
  <c r="H1970" i="7"/>
  <c r="H1971" i="7"/>
  <c r="H1972" i="7"/>
  <c r="H1973" i="7"/>
  <c r="H1974" i="7"/>
  <c r="H1975" i="7"/>
  <c r="H1976" i="7"/>
  <c r="H1977" i="7"/>
  <c r="H1978" i="7"/>
  <c r="H1979" i="7"/>
  <c r="H1980" i="7"/>
  <c r="H1981" i="7"/>
  <c r="H1982" i="7"/>
  <c r="H1983" i="7"/>
  <c r="H1984" i="7"/>
  <c r="H1985" i="7"/>
  <c r="H1986" i="7"/>
  <c r="H1987" i="7"/>
  <c r="H1988" i="7"/>
  <c r="H1989" i="7"/>
  <c r="H1990" i="7"/>
  <c r="H1991" i="7"/>
  <c r="H1992" i="7"/>
  <c r="H1993" i="7"/>
  <c r="H1994" i="7"/>
  <c r="H1995" i="7"/>
  <c r="H1996" i="7"/>
  <c r="H1997" i="7"/>
  <c r="H1998" i="7"/>
  <c r="H1999" i="7"/>
  <c r="H2000" i="7"/>
  <c r="H2001" i="7"/>
  <c r="H2002" i="7"/>
  <c r="H2003" i="7"/>
  <c r="H2004" i="7"/>
  <c r="H2005" i="7"/>
  <c r="H2006" i="7"/>
  <c r="H2007" i="7"/>
  <c r="H2008" i="7"/>
  <c r="H2009" i="7"/>
  <c r="H2010" i="7"/>
  <c r="H2011" i="7"/>
  <c r="H2012" i="7"/>
  <c r="H2013" i="7"/>
  <c r="H2014" i="7"/>
  <c r="H2015" i="7"/>
  <c r="H2016" i="7"/>
  <c r="H2017" i="7"/>
  <c r="H2018" i="7"/>
  <c r="H2019" i="7"/>
  <c r="H2020" i="7"/>
  <c r="H2021" i="7"/>
  <c r="H2022" i="7"/>
  <c r="H2023" i="7"/>
  <c r="H2024" i="7"/>
  <c r="H2025" i="7"/>
  <c r="H2026" i="7"/>
  <c r="H2027" i="7"/>
  <c r="H2028" i="7"/>
  <c r="H2029" i="7"/>
  <c r="H2030" i="7"/>
  <c r="H2031" i="7"/>
  <c r="H2032" i="7"/>
  <c r="H2033" i="7"/>
  <c r="H2034" i="7"/>
  <c r="H2035" i="7"/>
  <c r="H2036" i="7"/>
  <c r="H2037" i="7"/>
  <c r="H2038" i="7"/>
  <c r="H2039" i="7"/>
  <c r="H2040" i="7"/>
  <c r="H2041" i="7"/>
  <c r="H2042" i="7"/>
  <c r="H2043" i="7"/>
  <c r="H2044" i="7"/>
  <c r="H2045" i="7"/>
  <c r="H2046" i="7"/>
  <c r="H2047" i="7"/>
  <c r="H2048" i="7"/>
  <c r="H2049" i="7"/>
  <c r="H2050" i="7"/>
  <c r="H2051" i="7"/>
  <c r="H2052" i="7"/>
  <c r="H2053" i="7"/>
  <c r="H2054" i="7"/>
  <c r="H2055" i="7"/>
  <c r="H2056" i="7"/>
  <c r="H2057" i="7"/>
  <c r="H2058" i="7"/>
  <c r="H2059" i="7"/>
  <c r="H2060" i="7"/>
  <c r="H2061" i="7"/>
  <c r="H2062" i="7"/>
  <c r="H2063" i="7"/>
  <c r="H2064" i="7"/>
  <c r="H2065" i="7"/>
  <c r="H2066" i="7"/>
  <c r="H2067" i="7"/>
  <c r="H2068" i="7"/>
  <c r="H2069" i="7"/>
  <c r="H2070" i="7"/>
  <c r="H2071" i="7"/>
  <c r="H2072" i="7"/>
  <c r="H2073" i="7"/>
  <c r="H2074" i="7"/>
  <c r="H2075" i="7"/>
  <c r="H2076" i="7"/>
  <c r="H2077" i="7"/>
  <c r="H2078" i="7"/>
  <c r="H2079" i="7"/>
  <c r="H2080" i="7"/>
  <c r="H2081" i="7"/>
  <c r="H2082" i="7"/>
  <c r="H2083" i="7"/>
  <c r="H2084" i="7"/>
  <c r="H2085" i="7"/>
  <c r="H2086" i="7"/>
  <c r="H2087" i="7"/>
  <c r="H2088" i="7"/>
  <c r="H2089" i="7"/>
  <c r="H2090" i="7"/>
  <c r="H2091" i="7"/>
  <c r="H2092" i="7"/>
  <c r="H2093" i="7"/>
  <c r="H2094" i="7"/>
  <c r="H2095" i="7"/>
  <c r="H2096" i="7"/>
  <c r="H2097" i="7"/>
  <c r="H2098" i="7"/>
  <c r="H2099" i="7"/>
  <c r="H2100" i="7"/>
  <c r="H2101" i="7"/>
  <c r="H2102" i="7"/>
  <c r="H2103" i="7"/>
  <c r="H2104" i="7"/>
  <c r="H2105" i="7"/>
  <c r="H2106" i="7"/>
  <c r="H2107" i="7"/>
  <c r="H2108" i="7"/>
  <c r="H2109" i="7"/>
  <c r="H2110" i="7"/>
  <c r="H2111" i="7"/>
  <c r="H2112" i="7"/>
  <c r="H2113" i="7"/>
  <c r="H2114" i="7"/>
  <c r="H2115" i="7"/>
  <c r="H2116" i="7"/>
  <c r="H2117" i="7"/>
  <c r="H2118" i="7"/>
  <c r="H2119" i="7"/>
  <c r="H2120" i="7"/>
  <c r="H2121" i="7"/>
  <c r="H2122" i="7"/>
  <c r="H2123" i="7"/>
  <c r="H2124" i="7"/>
  <c r="H2125" i="7"/>
  <c r="H2126" i="7"/>
  <c r="H2127" i="7"/>
  <c r="H2128" i="7"/>
  <c r="H2129" i="7"/>
  <c r="H2130" i="7"/>
  <c r="H2131" i="7"/>
  <c r="H2132" i="7"/>
  <c r="H2133" i="7"/>
  <c r="H2134" i="7"/>
  <c r="H2135" i="7"/>
  <c r="H2136" i="7"/>
  <c r="H2137" i="7"/>
  <c r="H2138" i="7"/>
  <c r="H2139" i="7"/>
  <c r="H2140" i="7"/>
  <c r="H2141" i="7"/>
  <c r="H2142" i="7"/>
  <c r="H2143" i="7"/>
  <c r="H2144" i="7"/>
  <c r="H2145" i="7"/>
  <c r="H2146" i="7"/>
  <c r="H2147" i="7"/>
  <c r="H2148" i="7"/>
  <c r="H2149" i="7"/>
  <c r="H2150" i="7"/>
  <c r="H2151" i="7"/>
  <c r="H2152" i="7"/>
  <c r="H2153" i="7"/>
  <c r="H2154" i="7"/>
  <c r="H2155" i="7"/>
  <c r="H2156" i="7"/>
  <c r="H2157" i="7"/>
  <c r="H2158" i="7"/>
  <c r="H2159" i="7"/>
  <c r="H2160" i="7"/>
  <c r="H2161" i="7"/>
  <c r="H2162" i="7"/>
  <c r="H2163" i="7"/>
  <c r="H2164" i="7"/>
  <c r="H2165" i="7"/>
  <c r="H2166" i="7"/>
  <c r="H2167" i="7"/>
  <c r="H2168" i="7"/>
  <c r="H2169" i="7"/>
  <c r="H2170" i="7"/>
  <c r="H2171" i="7"/>
  <c r="H2172" i="7"/>
  <c r="H2173" i="7"/>
  <c r="H2174" i="7"/>
  <c r="H2175" i="7"/>
  <c r="H2176" i="7"/>
  <c r="H2177" i="7"/>
  <c r="H2178" i="7"/>
  <c r="H2179" i="7"/>
  <c r="H2180" i="7"/>
  <c r="H2181" i="7"/>
  <c r="H2182" i="7"/>
  <c r="H2183" i="7"/>
  <c r="H2184" i="7"/>
  <c r="H2185" i="7"/>
  <c r="H2186" i="7"/>
  <c r="H2187" i="7"/>
  <c r="H2188" i="7"/>
  <c r="H2189" i="7"/>
  <c r="H2190" i="7"/>
  <c r="H2191" i="7"/>
  <c r="H2192" i="7"/>
  <c r="H2193" i="7"/>
  <c r="H2194" i="7"/>
  <c r="H2195" i="7"/>
  <c r="H2196" i="7"/>
  <c r="H2197" i="7"/>
  <c r="H2198" i="7"/>
  <c r="H2199" i="7"/>
  <c r="H2200" i="7"/>
  <c r="H2201" i="7"/>
  <c r="H2202" i="7"/>
  <c r="H2203" i="7"/>
  <c r="H2204" i="7"/>
  <c r="H2205" i="7"/>
  <c r="H2206" i="7"/>
  <c r="H2207" i="7"/>
  <c r="H2208" i="7"/>
  <c r="H2209" i="7"/>
  <c r="H2210" i="7"/>
  <c r="H2211" i="7"/>
  <c r="H2212" i="7"/>
  <c r="H2213" i="7"/>
  <c r="H2214" i="7"/>
  <c r="H2215" i="7"/>
  <c r="H2216" i="7"/>
  <c r="H2217" i="7"/>
  <c r="H2218" i="7"/>
  <c r="H2219" i="7"/>
  <c r="H2220" i="7"/>
  <c r="H2221" i="7"/>
  <c r="H2222" i="7"/>
  <c r="H2223" i="7"/>
  <c r="H2224" i="7"/>
  <c r="H2225" i="7"/>
  <c r="H2226" i="7"/>
  <c r="H2227" i="7"/>
  <c r="H2228" i="7"/>
  <c r="H2229" i="7"/>
  <c r="H2230" i="7"/>
  <c r="H2231" i="7"/>
  <c r="H2232" i="7"/>
  <c r="H2233" i="7"/>
  <c r="H2234" i="7"/>
  <c r="H2235" i="7"/>
  <c r="H2236" i="7"/>
  <c r="H2237" i="7"/>
  <c r="H2238" i="7"/>
  <c r="H2239" i="7"/>
  <c r="H2240" i="7"/>
  <c r="H2241" i="7"/>
  <c r="H2242" i="7"/>
  <c r="H2243" i="7"/>
  <c r="H2244" i="7"/>
  <c r="H2245" i="7"/>
  <c r="H2246" i="7"/>
  <c r="H2247" i="7"/>
  <c r="H2248" i="7"/>
  <c r="H2249" i="7"/>
  <c r="H2250" i="7"/>
  <c r="H2251" i="7"/>
  <c r="H2252" i="7"/>
  <c r="H2253" i="7"/>
  <c r="H2254" i="7"/>
  <c r="H2255" i="7"/>
  <c r="H2256" i="7"/>
  <c r="H2257" i="7"/>
  <c r="H2258" i="7"/>
  <c r="H2259" i="7"/>
  <c r="H2260" i="7"/>
  <c r="H2261" i="7"/>
  <c r="H2262" i="7"/>
  <c r="H2263" i="7"/>
  <c r="H2264" i="7"/>
  <c r="H2265" i="7"/>
  <c r="H2266" i="7"/>
  <c r="H2267" i="7"/>
  <c r="H2268" i="7"/>
  <c r="H2269" i="7"/>
  <c r="H2270" i="7"/>
  <c r="H2271" i="7"/>
  <c r="H2272" i="7"/>
  <c r="H2273" i="7"/>
  <c r="H2274" i="7"/>
  <c r="H2275" i="7"/>
  <c r="H2276" i="7"/>
  <c r="H2277" i="7"/>
  <c r="H2278" i="7"/>
  <c r="H2279" i="7"/>
  <c r="H2280" i="7"/>
  <c r="H2281" i="7"/>
  <c r="H2282" i="7"/>
  <c r="H2283" i="7"/>
  <c r="H2284" i="7"/>
  <c r="H2285" i="7"/>
  <c r="H2286" i="7"/>
  <c r="H2287" i="7"/>
  <c r="H2288" i="7"/>
  <c r="H2289" i="7"/>
  <c r="H2290" i="7"/>
  <c r="H2291" i="7"/>
  <c r="H2292" i="7"/>
  <c r="H2293" i="7"/>
  <c r="H2294" i="7"/>
  <c r="H2295" i="7"/>
  <c r="H2296" i="7"/>
  <c r="H2297" i="7"/>
  <c r="H2298" i="7"/>
  <c r="H2299" i="7"/>
  <c r="H2300" i="7"/>
  <c r="H2301" i="7"/>
  <c r="H2302" i="7"/>
  <c r="H2303" i="7"/>
  <c r="H2304" i="7"/>
  <c r="H2305" i="7"/>
  <c r="H2306" i="7"/>
  <c r="H2307" i="7"/>
  <c r="H2308" i="7"/>
  <c r="H2309" i="7"/>
  <c r="H2310" i="7"/>
  <c r="H2311" i="7"/>
  <c r="H2312" i="7"/>
  <c r="H2313" i="7"/>
  <c r="H2314" i="7"/>
  <c r="H2315" i="7"/>
  <c r="H2316" i="7"/>
  <c r="H2317" i="7"/>
  <c r="H2318" i="7"/>
  <c r="H2319" i="7"/>
  <c r="H2320" i="7"/>
  <c r="H2321" i="7"/>
  <c r="H2322" i="7"/>
  <c r="H2323" i="7"/>
  <c r="H2324" i="7"/>
  <c r="H2325" i="7"/>
  <c r="H2326" i="7"/>
  <c r="H2327" i="7"/>
  <c r="H2328" i="7"/>
  <c r="H2329" i="7"/>
  <c r="H2330" i="7"/>
  <c r="H2331" i="7"/>
  <c r="H2332" i="7"/>
  <c r="H2333" i="7"/>
  <c r="H2334" i="7"/>
  <c r="H2335" i="7"/>
  <c r="H2336" i="7"/>
  <c r="H2337" i="7"/>
  <c r="H2338" i="7"/>
  <c r="H2339" i="7"/>
  <c r="H2340" i="7"/>
  <c r="H2341" i="7"/>
  <c r="H2342" i="7"/>
  <c r="H2343" i="7"/>
  <c r="H2344" i="7"/>
  <c r="H2345" i="7"/>
  <c r="H2346" i="7"/>
  <c r="H2347" i="7"/>
  <c r="H2348" i="7"/>
  <c r="H2349" i="7"/>
  <c r="H2350" i="7"/>
  <c r="H2351" i="7"/>
  <c r="H2352" i="7"/>
  <c r="H2353" i="7"/>
  <c r="H2354" i="7"/>
  <c r="H2355" i="7"/>
  <c r="H2356" i="7"/>
  <c r="H2357" i="7"/>
  <c r="H2358" i="7"/>
  <c r="H2359" i="7"/>
  <c r="H2360" i="7"/>
  <c r="H2361" i="7"/>
  <c r="H2362" i="7"/>
  <c r="H2363" i="7"/>
  <c r="H2364" i="7"/>
  <c r="H2365" i="7"/>
  <c r="H2366" i="7"/>
  <c r="H2367" i="7"/>
  <c r="H2368" i="7"/>
  <c r="H2369" i="7"/>
  <c r="H2370" i="7"/>
  <c r="H2371" i="7"/>
  <c r="H2372" i="7"/>
  <c r="H2373" i="7"/>
  <c r="H2374" i="7"/>
  <c r="H2375" i="7"/>
  <c r="H2376" i="7"/>
  <c r="H2377" i="7"/>
  <c r="H2378" i="7"/>
  <c r="H2379" i="7"/>
  <c r="H2380" i="7"/>
  <c r="H2381" i="7"/>
  <c r="H2382" i="7"/>
  <c r="H2383" i="7"/>
  <c r="H2384" i="7"/>
  <c r="H2385" i="7"/>
  <c r="H2386" i="7"/>
  <c r="H2387" i="7"/>
  <c r="H2388" i="7"/>
  <c r="H2389" i="7"/>
  <c r="H2390" i="7"/>
  <c r="H2391" i="7"/>
  <c r="H2392" i="7"/>
  <c r="H2393" i="7"/>
  <c r="H2394" i="7"/>
  <c r="H2395" i="7"/>
  <c r="H2396" i="7"/>
  <c r="H2397" i="7"/>
  <c r="H2398" i="7"/>
  <c r="H2399" i="7"/>
  <c r="H2400" i="7"/>
  <c r="H2401" i="7"/>
  <c r="H2402" i="7"/>
  <c r="H2403" i="7"/>
  <c r="H4" i="7"/>
  <c r="U5" i="7" l="1"/>
  <c r="U6" i="7"/>
  <c r="U7" i="7"/>
  <c r="U8" i="7"/>
  <c r="U9" i="7"/>
  <c r="U10" i="7"/>
  <c r="U11" i="7"/>
  <c r="U12" i="7"/>
  <c r="U13" i="7"/>
  <c r="U14" i="7"/>
  <c r="U15" i="7"/>
  <c r="U16" i="7"/>
  <c r="U17" i="7"/>
  <c r="U18" i="7"/>
  <c r="U19" i="7"/>
  <c r="U20" i="7"/>
  <c r="U21" i="7"/>
  <c r="U22" i="7"/>
  <c r="U23" i="7"/>
  <c r="U24" i="7"/>
  <c r="U25" i="7"/>
  <c r="U26" i="7"/>
  <c r="U27" i="7"/>
  <c r="U28" i="7"/>
  <c r="U29" i="7"/>
  <c r="U30" i="7"/>
  <c r="U31" i="7"/>
  <c r="U32" i="7"/>
  <c r="U33" i="7"/>
  <c r="U34" i="7"/>
  <c r="U35" i="7"/>
  <c r="U36" i="7"/>
  <c r="U37" i="7"/>
  <c r="U38" i="7"/>
  <c r="U39" i="7"/>
  <c r="U40" i="7"/>
  <c r="U41" i="7"/>
  <c r="U42" i="7"/>
  <c r="U43" i="7"/>
  <c r="U44" i="7"/>
  <c r="U45" i="7"/>
  <c r="U46" i="7"/>
  <c r="U47" i="7"/>
  <c r="U48" i="7"/>
  <c r="U49" i="7"/>
  <c r="U50" i="7"/>
  <c r="U51" i="7"/>
  <c r="U52" i="7"/>
  <c r="U53" i="7"/>
  <c r="U54" i="7"/>
  <c r="U55" i="7"/>
  <c r="U56" i="7"/>
  <c r="U57" i="7"/>
  <c r="U58" i="7"/>
  <c r="U59" i="7"/>
  <c r="U60" i="7"/>
  <c r="U61" i="7"/>
  <c r="U62" i="7"/>
  <c r="U63" i="7"/>
  <c r="U64" i="7"/>
  <c r="U65" i="7"/>
  <c r="U66" i="7"/>
  <c r="U67" i="7"/>
  <c r="U68" i="7"/>
  <c r="U69" i="7"/>
  <c r="U70" i="7"/>
  <c r="U71" i="7"/>
  <c r="U72" i="7"/>
  <c r="U73" i="7"/>
  <c r="U74" i="7"/>
  <c r="U75" i="7"/>
  <c r="U76" i="7"/>
  <c r="U77" i="7"/>
  <c r="U78" i="7"/>
  <c r="U79" i="7"/>
  <c r="U80" i="7"/>
  <c r="U81" i="7"/>
  <c r="U82" i="7"/>
  <c r="U83" i="7"/>
  <c r="U84" i="7"/>
  <c r="U85" i="7"/>
  <c r="U86" i="7"/>
  <c r="U87" i="7"/>
  <c r="U88" i="7"/>
  <c r="U89" i="7"/>
  <c r="U90" i="7"/>
  <c r="U91" i="7"/>
  <c r="U92" i="7"/>
  <c r="U93" i="7"/>
  <c r="U94" i="7"/>
  <c r="U95" i="7"/>
  <c r="U96" i="7"/>
  <c r="U97" i="7"/>
  <c r="U98" i="7"/>
  <c r="U99" i="7"/>
  <c r="U100" i="7"/>
  <c r="U101" i="7"/>
  <c r="U102" i="7"/>
  <c r="U103" i="7"/>
  <c r="U104" i="7"/>
  <c r="U105" i="7"/>
  <c r="U106" i="7"/>
  <c r="U107" i="7"/>
  <c r="U108" i="7"/>
  <c r="U109" i="7"/>
  <c r="U110" i="7"/>
  <c r="U111" i="7"/>
  <c r="U112" i="7"/>
  <c r="U113" i="7"/>
  <c r="U114" i="7"/>
  <c r="U115" i="7"/>
  <c r="U116" i="7"/>
  <c r="U117" i="7"/>
  <c r="U118" i="7"/>
  <c r="U119" i="7"/>
  <c r="U120" i="7"/>
  <c r="U121" i="7"/>
  <c r="U122" i="7"/>
  <c r="U123" i="7"/>
  <c r="U124" i="7"/>
  <c r="U125" i="7"/>
  <c r="U126" i="7"/>
  <c r="U127" i="7"/>
  <c r="U128" i="7"/>
  <c r="U129" i="7"/>
  <c r="U130" i="7"/>
  <c r="U131" i="7"/>
  <c r="U132" i="7"/>
  <c r="U133" i="7"/>
  <c r="U134" i="7"/>
  <c r="U135" i="7"/>
  <c r="U136" i="7"/>
  <c r="U137" i="7"/>
  <c r="U138" i="7"/>
  <c r="U139" i="7"/>
  <c r="U140" i="7"/>
  <c r="U141" i="7"/>
  <c r="U142" i="7"/>
  <c r="U143" i="7"/>
  <c r="U144" i="7"/>
  <c r="U145" i="7"/>
  <c r="U146" i="7"/>
  <c r="U147" i="7"/>
  <c r="U148" i="7"/>
  <c r="U149" i="7"/>
  <c r="U150" i="7"/>
  <c r="U151" i="7"/>
  <c r="U152" i="7"/>
  <c r="U153" i="7"/>
  <c r="U154" i="7"/>
  <c r="U155" i="7"/>
  <c r="U156" i="7"/>
  <c r="U157" i="7"/>
  <c r="U158" i="7"/>
  <c r="U159" i="7"/>
  <c r="U160" i="7"/>
  <c r="U161" i="7"/>
  <c r="U162" i="7"/>
  <c r="U163" i="7"/>
  <c r="U164" i="7"/>
  <c r="U165" i="7"/>
  <c r="U166" i="7"/>
  <c r="U167" i="7"/>
  <c r="U168" i="7"/>
  <c r="U169" i="7"/>
  <c r="U170" i="7"/>
  <c r="U171" i="7"/>
  <c r="U172" i="7"/>
  <c r="U173" i="7"/>
  <c r="U174" i="7"/>
  <c r="U175" i="7"/>
  <c r="U176" i="7"/>
  <c r="U177" i="7"/>
  <c r="U178" i="7"/>
  <c r="U179" i="7"/>
  <c r="U180" i="7"/>
  <c r="U181" i="7"/>
  <c r="U182" i="7"/>
  <c r="U183" i="7"/>
  <c r="U184" i="7"/>
  <c r="U185" i="7"/>
  <c r="U186" i="7"/>
  <c r="U187" i="7"/>
  <c r="U188" i="7"/>
  <c r="U189" i="7"/>
  <c r="U190" i="7"/>
  <c r="U191" i="7"/>
  <c r="U192" i="7"/>
  <c r="U193" i="7"/>
  <c r="U194" i="7"/>
  <c r="U195" i="7"/>
  <c r="U196" i="7"/>
  <c r="U197" i="7"/>
  <c r="U198" i="7"/>
  <c r="U199" i="7"/>
  <c r="U200" i="7"/>
  <c r="U201" i="7"/>
  <c r="U202" i="7"/>
  <c r="U203" i="7"/>
  <c r="U204" i="7"/>
  <c r="U205" i="7"/>
  <c r="U206" i="7"/>
  <c r="U207" i="7"/>
  <c r="U208" i="7"/>
  <c r="U209" i="7"/>
  <c r="U210" i="7"/>
  <c r="U211" i="7"/>
  <c r="U212" i="7"/>
  <c r="U213" i="7"/>
  <c r="U214" i="7"/>
  <c r="U215" i="7"/>
  <c r="U216" i="7"/>
  <c r="U217" i="7"/>
  <c r="U218" i="7"/>
  <c r="U219" i="7"/>
  <c r="U220" i="7"/>
  <c r="U221" i="7"/>
  <c r="U222" i="7"/>
  <c r="U223" i="7"/>
  <c r="U224" i="7"/>
  <c r="U225" i="7"/>
  <c r="U226" i="7"/>
  <c r="U227" i="7"/>
  <c r="U228" i="7"/>
  <c r="U229" i="7"/>
  <c r="U230" i="7"/>
  <c r="U231" i="7"/>
  <c r="U232" i="7"/>
  <c r="U233" i="7"/>
  <c r="U234" i="7"/>
  <c r="U235" i="7"/>
  <c r="U236" i="7"/>
  <c r="U237" i="7"/>
  <c r="U238" i="7"/>
  <c r="U239" i="7"/>
  <c r="U240" i="7"/>
  <c r="U241" i="7"/>
  <c r="U242" i="7"/>
  <c r="U243" i="7"/>
  <c r="U244" i="7"/>
  <c r="U245" i="7"/>
  <c r="U246" i="7"/>
  <c r="U247" i="7"/>
  <c r="U248" i="7"/>
  <c r="U249" i="7"/>
  <c r="U250" i="7"/>
  <c r="U251" i="7"/>
  <c r="U252" i="7"/>
  <c r="U253" i="7"/>
  <c r="U254" i="7"/>
  <c r="U255" i="7"/>
  <c r="U256" i="7"/>
  <c r="U257" i="7"/>
  <c r="U258" i="7"/>
  <c r="U259" i="7"/>
  <c r="U260" i="7"/>
  <c r="U261" i="7"/>
  <c r="U262" i="7"/>
  <c r="U263" i="7"/>
  <c r="U264" i="7"/>
  <c r="U265" i="7"/>
  <c r="U266" i="7"/>
  <c r="U267" i="7"/>
  <c r="U268" i="7"/>
  <c r="U269" i="7"/>
  <c r="U270" i="7"/>
  <c r="U271" i="7"/>
  <c r="U272" i="7"/>
  <c r="U273" i="7"/>
  <c r="U274" i="7"/>
  <c r="U275" i="7"/>
  <c r="U276" i="7"/>
  <c r="U277" i="7"/>
  <c r="U278" i="7"/>
  <c r="U279" i="7"/>
  <c r="U280" i="7"/>
  <c r="U281" i="7"/>
  <c r="U282" i="7"/>
  <c r="U283" i="7"/>
  <c r="U284" i="7"/>
  <c r="U285" i="7"/>
  <c r="U286" i="7"/>
  <c r="U287" i="7"/>
  <c r="U288" i="7"/>
  <c r="U289" i="7"/>
  <c r="U290" i="7"/>
  <c r="U291" i="7"/>
  <c r="U292" i="7"/>
  <c r="U293" i="7"/>
  <c r="U294" i="7"/>
  <c r="U295" i="7"/>
  <c r="U296" i="7"/>
  <c r="U297" i="7"/>
  <c r="U298" i="7"/>
  <c r="U299" i="7"/>
  <c r="U300" i="7"/>
  <c r="U301" i="7"/>
  <c r="U302" i="7"/>
  <c r="U303" i="7"/>
  <c r="U304" i="7"/>
  <c r="U305" i="7"/>
  <c r="U306" i="7"/>
  <c r="U307" i="7"/>
  <c r="U308" i="7"/>
  <c r="U309" i="7"/>
  <c r="U310" i="7"/>
  <c r="U311" i="7"/>
  <c r="U312" i="7"/>
  <c r="U313" i="7"/>
  <c r="U314" i="7"/>
  <c r="U315" i="7"/>
  <c r="U316" i="7"/>
  <c r="U317" i="7"/>
  <c r="U318" i="7"/>
  <c r="U319" i="7"/>
  <c r="U320" i="7"/>
  <c r="U321" i="7"/>
  <c r="U322" i="7"/>
  <c r="U323" i="7"/>
  <c r="U324" i="7"/>
  <c r="U325" i="7"/>
  <c r="U326" i="7"/>
  <c r="U327" i="7"/>
  <c r="U328" i="7"/>
  <c r="U329" i="7"/>
  <c r="U330" i="7"/>
  <c r="U331" i="7"/>
  <c r="U332" i="7"/>
  <c r="U333" i="7"/>
  <c r="U334" i="7"/>
  <c r="U335" i="7"/>
  <c r="U336" i="7"/>
  <c r="U337" i="7"/>
  <c r="U338" i="7"/>
  <c r="U339" i="7"/>
  <c r="U340" i="7"/>
  <c r="U341" i="7"/>
  <c r="U342" i="7"/>
  <c r="U343" i="7"/>
  <c r="U344" i="7"/>
  <c r="U345" i="7"/>
  <c r="U346" i="7"/>
  <c r="U347" i="7"/>
  <c r="U348" i="7"/>
  <c r="U349" i="7"/>
  <c r="U350" i="7"/>
  <c r="U351" i="7"/>
  <c r="U352" i="7"/>
  <c r="U353" i="7"/>
  <c r="U354" i="7"/>
  <c r="U355" i="7"/>
  <c r="U356" i="7"/>
  <c r="U357" i="7"/>
  <c r="U358" i="7"/>
  <c r="U359" i="7"/>
  <c r="U360" i="7"/>
  <c r="U361" i="7"/>
  <c r="U362" i="7"/>
  <c r="U363" i="7"/>
  <c r="U364" i="7"/>
  <c r="U365" i="7"/>
  <c r="U366" i="7"/>
  <c r="U367" i="7"/>
  <c r="U368" i="7"/>
  <c r="U369" i="7"/>
  <c r="U370" i="7"/>
  <c r="U371" i="7"/>
  <c r="U372" i="7"/>
  <c r="U373" i="7"/>
  <c r="U374" i="7"/>
  <c r="U375" i="7"/>
  <c r="U376" i="7"/>
  <c r="U377" i="7"/>
  <c r="U378" i="7"/>
  <c r="U379" i="7"/>
  <c r="U380" i="7"/>
  <c r="U381" i="7"/>
  <c r="U382" i="7"/>
  <c r="U383" i="7"/>
  <c r="U384" i="7"/>
  <c r="U385" i="7"/>
  <c r="U386" i="7"/>
  <c r="U387" i="7"/>
  <c r="U388" i="7"/>
  <c r="U389" i="7"/>
  <c r="U390" i="7"/>
  <c r="U391" i="7"/>
  <c r="U392" i="7"/>
  <c r="U393" i="7"/>
  <c r="U394" i="7"/>
  <c r="U395" i="7"/>
  <c r="U396" i="7"/>
  <c r="U397" i="7"/>
  <c r="U398" i="7"/>
  <c r="U399" i="7"/>
  <c r="U400" i="7"/>
  <c r="U401" i="7"/>
  <c r="U402" i="7"/>
  <c r="U403" i="7"/>
  <c r="U404" i="7"/>
  <c r="U405" i="7"/>
  <c r="U406" i="7"/>
  <c r="U407" i="7"/>
  <c r="U408" i="7"/>
  <c r="U409" i="7"/>
  <c r="U410" i="7"/>
  <c r="U411" i="7"/>
  <c r="U412" i="7"/>
  <c r="U413" i="7"/>
  <c r="U414" i="7"/>
  <c r="U415" i="7"/>
  <c r="U416" i="7"/>
  <c r="U417" i="7"/>
  <c r="U418" i="7"/>
  <c r="U419" i="7"/>
  <c r="U420" i="7"/>
  <c r="U421" i="7"/>
  <c r="U422" i="7"/>
  <c r="U423" i="7"/>
  <c r="U424" i="7"/>
  <c r="U425" i="7"/>
  <c r="U426" i="7"/>
  <c r="U427" i="7"/>
  <c r="U428" i="7"/>
  <c r="U429" i="7"/>
  <c r="U430" i="7"/>
  <c r="U431" i="7"/>
  <c r="U432" i="7"/>
  <c r="U433" i="7"/>
  <c r="U434" i="7"/>
  <c r="U435" i="7"/>
  <c r="U436" i="7"/>
  <c r="U437" i="7"/>
  <c r="U438" i="7"/>
  <c r="U439" i="7"/>
  <c r="U440" i="7"/>
  <c r="U441" i="7"/>
  <c r="U442" i="7"/>
  <c r="U443" i="7"/>
  <c r="U444" i="7"/>
  <c r="U445" i="7"/>
  <c r="U446" i="7"/>
  <c r="U447" i="7"/>
  <c r="U448" i="7"/>
  <c r="U449" i="7"/>
  <c r="U450" i="7"/>
  <c r="U451" i="7"/>
  <c r="U452" i="7"/>
  <c r="U453" i="7"/>
  <c r="U454" i="7"/>
  <c r="U455" i="7"/>
  <c r="U456" i="7"/>
  <c r="U457" i="7"/>
  <c r="U458" i="7"/>
  <c r="U459" i="7"/>
  <c r="U460" i="7"/>
  <c r="U461" i="7"/>
  <c r="U462" i="7"/>
  <c r="U463" i="7"/>
  <c r="U464" i="7"/>
  <c r="U465" i="7"/>
  <c r="U466" i="7"/>
  <c r="U467" i="7"/>
  <c r="U468" i="7"/>
  <c r="U469" i="7"/>
  <c r="U470" i="7"/>
  <c r="U471" i="7"/>
  <c r="U472" i="7"/>
  <c r="U473" i="7"/>
  <c r="U474" i="7"/>
  <c r="U475" i="7"/>
  <c r="U476" i="7"/>
  <c r="U477" i="7"/>
  <c r="U478" i="7"/>
  <c r="U479" i="7"/>
  <c r="U480" i="7"/>
  <c r="U481" i="7"/>
  <c r="U482" i="7"/>
  <c r="U483" i="7"/>
  <c r="U484" i="7"/>
  <c r="U485" i="7"/>
  <c r="U486" i="7"/>
  <c r="U487" i="7"/>
  <c r="U488" i="7"/>
  <c r="U489" i="7"/>
  <c r="U490" i="7"/>
  <c r="U491" i="7"/>
  <c r="U492" i="7"/>
  <c r="U493" i="7"/>
  <c r="U494" i="7"/>
  <c r="U495" i="7"/>
  <c r="U496" i="7"/>
  <c r="U497" i="7"/>
  <c r="U498" i="7"/>
  <c r="U499" i="7"/>
  <c r="U500" i="7"/>
  <c r="U501" i="7"/>
  <c r="U502" i="7"/>
  <c r="U503" i="7"/>
  <c r="U504" i="7"/>
  <c r="U505" i="7"/>
  <c r="U506" i="7"/>
  <c r="U507" i="7"/>
  <c r="U508" i="7"/>
  <c r="U509" i="7"/>
  <c r="U510" i="7"/>
  <c r="U511" i="7"/>
  <c r="U512" i="7"/>
  <c r="U513" i="7"/>
  <c r="U514" i="7"/>
  <c r="U515" i="7"/>
  <c r="U516" i="7"/>
  <c r="U517" i="7"/>
  <c r="U518" i="7"/>
  <c r="U519" i="7"/>
  <c r="U520" i="7"/>
  <c r="U521" i="7"/>
  <c r="U522" i="7"/>
  <c r="U523" i="7"/>
  <c r="U524" i="7"/>
  <c r="U525" i="7"/>
  <c r="U526" i="7"/>
  <c r="U527" i="7"/>
  <c r="U528" i="7"/>
  <c r="U529" i="7"/>
  <c r="U530" i="7"/>
  <c r="U531" i="7"/>
  <c r="U532" i="7"/>
  <c r="U533" i="7"/>
  <c r="U534" i="7"/>
  <c r="U535" i="7"/>
  <c r="U536" i="7"/>
  <c r="U537" i="7"/>
  <c r="U538" i="7"/>
  <c r="U539" i="7"/>
  <c r="U540" i="7"/>
  <c r="U541" i="7"/>
  <c r="U542" i="7"/>
  <c r="U543" i="7"/>
  <c r="U544" i="7"/>
  <c r="U545" i="7"/>
  <c r="U546" i="7"/>
  <c r="U547" i="7"/>
  <c r="U548" i="7"/>
  <c r="U549" i="7"/>
  <c r="U550" i="7"/>
  <c r="U551" i="7"/>
  <c r="U552" i="7"/>
  <c r="U553" i="7"/>
  <c r="U554" i="7"/>
  <c r="U555" i="7"/>
  <c r="U556" i="7"/>
  <c r="U557" i="7"/>
  <c r="U558" i="7"/>
  <c r="U559" i="7"/>
  <c r="U560" i="7"/>
  <c r="U561" i="7"/>
  <c r="U562" i="7"/>
  <c r="U563" i="7"/>
  <c r="U564" i="7"/>
  <c r="U565" i="7"/>
  <c r="U566" i="7"/>
  <c r="U567" i="7"/>
  <c r="U568" i="7"/>
  <c r="U569" i="7"/>
  <c r="U570" i="7"/>
  <c r="U571" i="7"/>
  <c r="U572" i="7"/>
  <c r="U573" i="7"/>
  <c r="U574" i="7"/>
  <c r="U575" i="7"/>
  <c r="U576" i="7"/>
  <c r="U577" i="7"/>
  <c r="U578" i="7"/>
  <c r="U579" i="7"/>
  <c r="U580" i="7"/>
  <c r="U581" i="7"/>
  <c r="U582" i="7"/>
  <c r="U583" i="7"/>
  <c r="U584" i="7"/>
  <c r="U585" i="7"/>
  <c r="U586" i="7"/>
  <c r="U587" i="7"/>
  <c r="U588" i="7"/>
  <c r="U589" i="7"/>
  <c r="U590" i="7"/>
  <c r="U591" i="7"/>
  <c r="U592" i="7"/>
  <c r="U593" i="7"/>
  <c r="U594" i="7"/>
  <c r="U595" i="7"/>
  <c r="U596" i="7"/>
  <c r="U597" i="7"/>
  <c r="U598" i="7"/>
  <c r="U599" i="7"/>
  <c r="U600" i="7"/>
  <c r="U601" i="7"/>
  <c r="U602" i="7"/>
  <c r="U603" i="7"/>
  <c r="U604" i="7"/>
  <c r="U605" i="7"/>
  <c r="U606" i="7"/>
  <c r="U607" i="7"/>
  <c r="U608" i="7"/>
  <c r="U609" i="7"/>
  <c r="U610" i="7"/>
  <c r="U611" i="7"/>
  <c r="U612" i="7"/>
  <c r="U613" i="7"/>
  <c r="U614" i="7"/>
  <c r="U615" i="7"/>
  <c r="U616" i="7"/>
  <c r="U617" i="7"/>
  <c r="U618" i="7"/>
  <c r="U619" i="7"/>
  <c r="U620" i="7"/>
  <c r="U621" i="7"/>
  <c r="U622" i="7"/>
  <c r="U623" i="7"/>
  <c r="U624" i="7"/>
  <c r="U625" i="7"/>
  <c r="U626" i="7"/>
  <c r="U627" i="7"/>
  <c r="U628" i="7"/>
  <c r="U629" i="7"/>
  <c r="U630" i="7"/>
  <c r="U631" i="7"/>
  <c r="U632" i="7"/>
  <c r="U633" i="7"/>
  <c r="U634" i="7"/>
  <c r="U635" i="7"/>
  <c r="U636" i="7"/>
  <c r="U637" i="7"/>
  <c r="U638" i="7"/>
  <c r="U639" i="7"/>
  <c r="U640" i="7"/>
  <c r="U641" i="7"/>
  <c r="U642" i="7"/>
  <c r="U643" i="7"/>
  <c r="U644" i="7"/>
  <c r="U645" i="7"/>
  <c r="U646" i="7"/>
  <c r="U647" i="7"/>
  <c r="U648" i="7"/>
  <c r="U649" i="7"/>
  <c r="U650" i="7"/>
  <c r="U651" i="7"/>
  <c r="U652" i="7"/>
  <c r="U653" i="7"/>
  <c r="U654" i="7"/>
  <c r="U655" i="7"/>
  <c r="U656" i="7"/>
  <c r="U657" i="7"/>
  <c r="U658" i="7"/>
  <c r="U659" i="7"/>
  <c r="U660" i="7"/>
  <c r="U661" i="7"/>
  <c r="U662" i="7"/>
  <c r="U663" i="7"/>
  <c r="U664" i="7"/>
  <c r="U665" i="7"/>
  <c r="U666" i="7"/>
  <c r="U667" i="7"/>
  <c r="U668" i="7"/>
  <c r="U669" i="7"/>
  <c r="U670" i="7"/>
  <c r="U671" i="7"/>
  <c r="U672" i="7"/>
  <c r="U673" i="7"/>
  <c r="U674" i="7"/>
  <c r="U675" i="7"/>
  <c r="U676" i="7"/>
  <c r="U677" i="7"/>
  <c r="U678" i="7"/>
  <c r="U679" i="7"/>
  <c r="U680" i="7"/>
  <c r="U681" i="7"/>
  <c r="U682" i="7"/>
  <c r="U683" i="7"/>
  <c r="U684" i="7"/>
  <c r="U685" i="7"/>
  <c r="U686" i="7"/>
  <c r="U687" i="7"/>
  <c r="U688" i="7"/>
  <c r="U689" i="7"/>
  <c r="U690" i="7"/>
  <c r="U691" i="7"/>
  <c r="U692" i="7"/>
  <c r="U693" i="7"/>
  <c r="U694" i="7"/>
  <c r="U695" i="7"/>
  <c r="U696" i="7"/>
  <c r="U697" i="7"/>
  <c r="U698" i="7"/>
  <c r="U699" i="7"/>
  <c r="U700" i="7"/>
  <c r="U701" i="7"/>
  <c r="U702" i="7"/>
  <c r="U703" i="7"/>
  <c r="U704" i="7"/>
  <c r="U705" i="7"/>
  <c r="U706" i="7"/>
  <c r="U707" i="7"/>
  <c r="U708" i="7"/>
  <c r="U709" i="7"/>
  <c r="U710" i="7"/>
  <c r="U711" i="7"/>
  <c r="U712" i="7"/>
  <c r="U713" i="7"/>
  <c r="U714" i="7"/>
  <c r="U715" i="7"/>
  <c r="U716" i="7"/>
  <c r="U717" i="7"/>
  <c r="U718" i="7"/>
  <c r="U719" i="7"/>
  <c r="U720" i="7"/>
  <c r="U721" i="7"/>
  <c r="U722" i="7"/>
  <c r="U723" i="7"/>
  <c r="U724" i="7"/>
  <c r="U725" i="7"/>
  <c r="U726" i="7"/>
  <c r="U727" i="7"/>
  <c r="U728" i="7"/>
  <c r="U729" i="7"/>
  <c r="U730" i="7"/>
  <c r="U731" i="7"/>
  <c r="U732" i="7"/>
  <c r="U733" i="7"/>
  <c r="U734" i="7"/>
  <c r="U735" i="7"/>
  <c r="U736" i="7"/>
  <c r="U737" i="7"/>
  <c r="U738" i="7"/>
  <c r="U739" i="7"/>
  <c r="U740" i="7"/>
  <c r="U741" i="7"/>
  <c r="U742" i="7"/>
  <c r="U743" i="7"/>
  <c r="U744" i="7"/>
  <c r="U745" i="7"/>
  <c r="U746" i="7"/>
  <c r="U747" i="7"/>
  <c r="U748" i="7"/>
  <c r="U749" i="7"/>
  <c r="U750" i="7"/>
  <c r="U751" i="7"/>
  <c r="U752" i="7"/>
  <c r="U753" i="7"/>
  <c r="U754" i="7"/>
  <c r="U755" i="7"/>
  <c r="U756" i="7"/>
  <c r="U757" i="7"/>
  <c r="U758" i="7"/>
  <c r="U759" i="7"/>
  <c r="U760" i="7"/>
  <c r="U761" i="7"/>
  <c r="U762" i="7"/>
  <c r="U763" i="7"/>
  <c r="U764" i="7"/>
  <c r="U765" i="7"/>
  <c r="U766" i="7"/>
  <c r="U767" i="7"/>
  <c r="U768" i="7"/>
  <c r="U769" i="7"/>
  <c r="U770" i="7"/>
  <c r="U771" i="7"/>
  <c r="U772" i="7"/>
  <c r="U773" i="7"/>
  <c r="U774" i="7"/>
  <c r="U775" i="7"/>
  <c r="U776" i="7"/>
  <c r="U777" i="7"/>
  <c r="U778" i="7"/>
  <c r="U779" i="7"/>
  <c r="U780" i="7"/>
  <c r="U781" i="7"/>
  <c r="U782" i="7"/>
  <c r="U783" i="7"/>
  <c r="U784" i="7"/>
  <c r="U785" i="7"/>
  <c r="U786" i="7"/>
  <c r="U787" i="7"/>
  <c r="U788" i="7"/>
  <c r="U789" i="7"/>
  <c r="U790" i="7"/>
  <c r="U791" i="7"/>
  <c r="U792" i="7"/>
  <c r="U793" i="7"/>
  <c r="U794" i="7"/>
  <c r="U795" i="7"/>
  <c r="U796" i="7"/>
  <c r="U797" i="7"/>
  <c r="U798" i="7"/>
  <c r="U799" i="7"/>
  <c r="U800" i="7"/>
  <c r="U801" i="7"/>
  <c r="U802" i="7"/>
  <c r="U803" i="7"/>
  <c r="U804" i="7"/>
  <c r="U805" i="7"/>
  <c r="U806" i="7"/>
  <c r="U807" i="7"/>
  <c r="U808" i="7"/>
  <c r="U809" i="7"/>
  <c r="U810" i="7"/>
  <c r="U811" i="7"/>
  <c r="U812" i="7"/>
  <c r="U813" i="7"/>
  <c r="U814" i="7"/>
  <c r="U815" i="7"/>
  <c r="U816" i="7"/>
  <c r="U817" i="7"/>
  <c r="U818" i="7"/>
  <c r="U819" i="7"/>
  <c r="U820" i="7"/>
  <c r="U821" i="7"/>
  <c r="U822" i="7"/>
  <c r="U823" i="7"/>
  <c r="U824" i="7"/>
  <c r="U825" i="7"/>
  <c r="U826" i="7"/>
  <c r="U827" i="7"/>
  <c r="U828" i="7"/>
  <c r="U829" i="7"/>
  <c r="U830" i="7"/>
  <c r="U831" i="7"/>
  <c r="U832" i="7"/>
  <c r="U833" i="7"/>
  <c r="U834" i="7"/>
  <c r="U835" i="7"/>
  <c r="U836" i="7"/>
  <c r="U837" i="7"/>
  <c r="U838" i="7"/>
  <c r="U839" i="7"/>
  <c r="U840" i="7"/>
  <c r="U841" i="7"/>
  <c r="U842" i="7"/>
  <c r="U843" i="7"/>
  <c r="U844" i="7"/>
  <c r="U845" i="7"/>
  <c r="U846" i="7"/>
  <c r="U847" i="7"/>
  <c r="U848" i="7"/>
  <c r="U849" i="7"/>
  <c r="U850" i="7"/>
  <c r="U851" i="7"/>
  <c r="U852" i="7"/>
  <c r="U853" i="7"/>
  <c r="U854" i="7"/>
  <c r="U855" i="7"/>
  <c r="U856" i="7"/>
  <c r="U857" i="7"/>
  <c r="U858" i="7"/>
  <c r="U859" i="7"/>
  <c r="U860" i="7"/>
  <c r="U861" i="7"/>
  <c r="U862" i="7"/>
  <c r="U863" i="7"/>
  <c r="U864" i="7"/>
  <c r="U865" i="7"/>
  <c r="U866" i="7"/>
  <c r="U867" i="7"/>
  <c r="U868" i="7"/>
  <c r="U869" i="7"/>
  <c r="U870" i="7"/>
  <c r="U871" i="7"/>
  <c r="U872" i="7"/>
  <c r="U873" i="7"/>
  <c r="U874" i="7"/>
  <c r="U875" i="7"/>
  <c r="U876" i="7"/>
  <c r="U877" i="7"/>
  <c r="U878" i="7"/>
  <c r="U879" i="7"/>
  <c r="U880" i="7"/>
  <c r="U881" i="7"/>
  <c r="U882" i="7"/>
  <c r="U883" i="7"/>
  <c r="U884" i="7"/>
  <c r="U885" i="7"/>
  <c r="U886" i="7"/>
  <c r="U887" i="7"/>
  <c r="U888" i="7"/>
  <c r="U889" i="7"/>
  <c r="U890" i="7"/>
  <c r="U891" i="7"/>
  <c r="U892" i="7"/>
  <c r="U893" i="7"/>
  <c r="U894" i="7"/>
  <c r="U895" i="7"/>
  <c r="U896" i="7"/>
  <c r="U897" i="7"/>
  <c r="U898" i="7"/>
  <c r="U899" i="7"/>
  <c r="U900" i="7"/>
  <c r="U901" i="7"/>
  <c r="U902" i="7"/>
  <c r="U903" i="7"/>
  <c r="U904" i="7"/>
  <c r="U905" i="7"/>
  <c r="U906" i="7"/>
  <c r="U907" i="7"/>
  <c r="U908" i="7"/>
  <c r="U909" i="7"/>
  <c r="U910" i="7"/>
  <c r="U911" i="7"/>
  <c r="U912" i="7"/>
  <c r="U913" i="7"/>
  <c r="U914" i="7"/>
  <c r="U915" i="7"/>
  <c r="U916" i="7"/>
  <c r="U917" i="7"/>
  <c r="U918" i="7"/>
  <c r="U919" i="7"/>
  <c r="U920" i="7"/>
  <c r="U921" i="7"/>
  <c r="U922" i="7"/>
  <c r="U923" i="7"/>
  <c r="U924" i="7"/>
  <c r="U925" i="7"/>
  <c r="U926" i="7"/>
  <c r="U927" i="7"/>
  <c r="U928" i="7"/>
  <c r="U929" i="7"/>
  <c r="U930" i="7"/>
  <c r="U931" i="7"/>
  <c r="U932" i="7"/>
  <c r="U933" i="7"/>
  <c r="U934" i="7"/>
  <c r="U935" i="7"/>
  <c r="U936" i="7"/>
  <c r="U937" i="7"/>
  <c r="U938" i="7"/>
  <c r="U939" i="7"/>
  <c r="U940" i="7"/>
  <c r="U941" i="7"/>
  <c r="U942" i="7"/>
  <c r="U943" i="7"/>
  <c r="U944" i="7"/>
  <c r="U945" i="7"/>
  <c r="U946" i="7"/>
  <c r="U947" i="7"/>
  <c r="U948" i="7"/>
  <c r="U949" i="7"/>
  <c r="U950" i="7"/>
  <c r="U951" i="7"/>
  <c r="U952" i="7"/>
  <c r="U953" i="7"/>
  <c r="U954" i="7"/>
  <c r="U955" i="7"/>
  <c r="U956" i="7"/>
  <c r="U957" i="7"/>
  <c r="U958" i="7"/>
  <c r="U959" i="7"/>
  <c r="U960" i="7"/>
  <c r="U961" i="7"/>
  <c r="U962" i="7"/>
  <c r="U963" i="7"/>
  <c r="U964" i="7"/>
  <c r="U965" i="7"/>
  <c r="U966" i="7"/>
  <c r="U967" i="7"/>
  <c r="U968" i="7"/>
  <c r="U969" i="7"/>
  <c r="U970" i="7"/>
  <c r="U971" i="7"/>
  <c r="U972" i="7"/>
  <c r="U973" i="7"/>
  <c r="U974" i="7"/>
  <c r="U975" i="7"/>
  <c r="U976" i="7"/>
  <c r="U977" i="7"/>
  <c r="U978" i="7"/>
  <c r="U979" i="7"/>
  <c r="U980" i="7"/>
  <c r="U981" i="7"/>
  <c r="U982" i="7"/>
  <c r="U983" i="7"/>
  <c r="U984" i="7"/>
  <c r="U985" i="7"/>
  <c r="U986" i="7"/>
  <c r="U987" i="7"/>
  <c r="U988" i="7"/>
  <c r="U989" i="7"/>
  <c r="U990" i="7"/>
  <c r="U991" i="7"/>
  <c r="U992" i="7"/>
  <c r="U993" i="7"/>
  <c r="U994" i="7"/>
  <c r="U995" i="7"/>
  <c r="U996" i="7"/>
  <c r="U997" i="7"/>
  <c r="U998" i="7"/>
  <c r="U999" i="7"/>
  <c r="U1000" i="7"/>
  <c r="U1001" i="7"/>
  <c r="U1002" i="7"/>
  <c r="U1003" i="7"/>
  <c r="U1004" i="7"/>
  <c r="U1005" i="7"/>
  <c r="U1006" i="7"/>
  <c r="U1007" i="7"/>
  <c r="U1008" i="7"/>
  <c r="U1009" i="7"/>
  <c r="U1010" i="7"/>
  <c r="U1011" i="7"/>
  <c r="U1012" i="7"/>
  <c r="U1013" i="7"/>
  <c r="U1014" i="7"/>
  <c r="U1015" i="7"/>
  <c r="U1016" i="7"/>
  <c r="U1017" i="7"/>
  <c r="U1018" i="7"/>
  <c r="U1019" i="7"/>
  <c r="U1020" i="7"/>
  <c r="U1021" i="7"/>
  <c r="U1022" i="7"/>
  <c r="U1023" i="7"/>
  <c r="U1024" i="7"/>
  <c r="U1025" i="7"/>
  <c r="U1026" i="7"/>
  <c r="U1027" i="7"/>
  <c r="U1028" i="7"/>
  <c r="U1029" i="7"/>
  <c r="U1030" i="7"/>
  <c r="U1031" i="7"/>
  <c r="U1032" i="7"/>
  <c r="U1033" i="7"/>
  <c r="U1034" i="7"/>
  <c r="U1035" i="7"/>
  <c r="U1036" i="7"/>
  <c r="U1037" i="7"/>
  <c r="U1038" i="7"/>
  <c r="U1039" i="7"/>
  <c r="U1040" i="7"/>
  <c r="U1041" i="7"/>
  <c r="U1042" i="7"/>
  <c r="U1043" i="7"/>
  <c r="U1044" i="7"/>
  <c r="U1045" i="7"/>
  <c r="U1046" i="7"/>
  <c r="U1047" i="7"/>
  <c r="U1048" i="7"/>
  <c r="U1049" i="7"/>
  <c r="U1050" i="7"/>
  <c r="U1051" i="7"/>
  <c r="U1052" i="7"/>
  <c r="U1053" i="7"/>
  <c r="U1054" i="7"/>
  <c r="U1055" i="7"/>
  <c r="U1056" i="7"/>
  <c r="U1057" i="7"/>
  <c r="U1058" i="7"/>
  <c r="U1059" i="7"/>
  <c r="U1060" i="7"/>
  <c r="U1061" i="7"/>
  <c r="U1062" i="7"/>
  <c r="U1063" i="7"/>
  <c r="U1064" i="7"/>
  <c r="U1065" i="7"/>
  <c r="U1066" i="7"/>
  <c r="U1067" i="7"/>
  <c r="U1068" i="7"/>
  <c r="U1069" i="7"/>
  <c r="U1070" i="7"/>
  <c r="U1071" i="7"/>
  <c r="U1072" i="7"/>
  <c r="U1073" i="7"/>
  <c r="U1074" i="7"/>
  <c r="U1075" i="7"/>
  <c r="U1076" i="7"/>
  <c r="U1077" i="7"/>
  <c r="U1078" i="7"/>
  <c r="U1079" i="7"/>
  <c r="U1080" i="7"/>
  <c r="U1081" i="7"/>
  <c r="U1082" i="7"/>
  <c r="U1083" i="7"/>
  <c r="U1084" i="7"/>
  <c r="U1085" i="7"/>
  <c r="U1086" i="7"/>
  <c r="U1087" i="7"/>
  <c r="U1088" i="7"/>
  <c r="U1089" i="7"/>
  <c r="U1090" i="7"/>
  <c r="U1091" i="7"/>
  <c r="U1092" i="7"/>
  <c r="U1093" i="7"/>
  <c r="U1094" i="7"/>
  <c r="U1095" i="7"/>
  <c r="U1096" i="7"/>
  <c r="U1097" i="7"/>
  <c r="U1098" i="7"/>
  <c r="U1099" i="7"/>
  <c r="U1100" i="7"/>
  <c r="U1101" i="7"/>
  <c r="U1102" i="7"/>
  <c r="U1103" i="7"/>
  <c r="U1104" i="7"/>
  <c r="U1105" i="7"/>
  <c r="U1106" i="7"/>
  <c r="U1107" i="7"/>
  <c r="U1108" i="7"/>
  <c r="U1109" i="7"/>
  <c r="U1110" i="7"/>
  <c r="U1111" i="7"/>
  <c r="U1112" i="7"/>
  <c r="U1113" i="7"/>
  <c r="U1114" i="7"/>
  <c r="U1115" i="7"/>
  <c r="U1116" i="7"/>
  <c r="U1117" i="7"/>
  <c r="U1118" i="7"/>
  <c r="U1119" i="7"/>
  <c r="U1120" i="7"/>
  <c r="U1121" i="7"/>
  <c r="U1122" i="7"/>
  <c r="U1123" i="7"/>
  <c r="U1124" i="7"/>
  <c r="U1125" i="7"/>
  <c r="U1126" i="7"/>
  <c r="U1127" i="7"/>
  <c r="U1128" i="7"/>
  <c r="U1129" i="7"/>
  <c r="U1130" i="7"/>
  <c r="U1131" i="7"/>
  <c r="U1132" i="7"/>
  <c r="U1133" i="7"/>
  <c r="U1134" i="7"/>
  <c r="U1135" i="7"/>
  <c r="U1136" i="7"/>
  <c r="U1137" i="7"/>
  <c r="U1138" i="7"/>
  <c r="U1139" i="7"/>
  <c r="U1140" i="7"/>
  <c r="U1141" i="7"/>
  <c r="U1142" i="7"/>
  <c r="U1143" i="7"/>
  <c r="U1144" i="7"/>
  <c r="U1145" i="7"/>
  <c r="U1146" i="7"/>
  <c r="U1147" i="7"/>
  <c r="U1148" i="7"/>
  <c r="U1149" i="7"/>
  <c r="U1150" i="7"/>
  <c r="U1151" i="7"/>
  <c r="U1152" i="7"/>
  <c r="U1153" i="7"/>
  <c r="U1154" i="7"/>
  <c r="U1155" i="7"/>
  <c r="U1156" i="7"/>
  <c r="U1157" i="7"/>
  <c r="U1158" i="7"/>
  <c r="U1159" i="7"/>
  <c r="U1160" i="7"/>
  <c r="U1161" i="7"/>
  <c r="U1162" i="7"/>
  <c r="U1163" i="7"/>
  <c r="U1164" i="7"/>
  <c r="U1165" i="7"/>
  <c r="U1166" i="7"/>
  <c r="U1167" i="7"/>
  <c r="U1168" i="7"/>
  <c r="U1169" i="7"/>
  <c r="U1170" i="7"/>
  <c r="U1171" i="7"/>
  <c r="U1172" i="7"/>
  <c r="U1173" i="7"/>
  <c r="U1174" i="7"/>
  <c r="U1175" i="7"/>
  <c r="U1176" i="7"/>
  <c r="U1177" i="7"/>
  <c r="U1178" i="7"/>
  <c r="U1179" i="7"/>
  <c r="U1180" i="7"/>
  <c r="U1181" i="7"/>
  <c r="U1182" i="7"/>
  <c r="U1183" i="7"/>
  <c r="U1184" i="7"/>
  <c r="U1185" i="7"/>
  <c r="U1186" i="7"/>
  <c r="U1187" i="7"/>
  <c r="U1188" i="7"/>
  <c r="U1189" i="7"/>
  <c r="U1190" i="7"/>
  <c r="U1191" i="7"/>
  <c r="U1192" i="7"/>
  <c r="U1193" i="7"/>
  <c r="U1194" i="7"/>
  <c r="U1195" i="7"/>
  <c r="U1196" i="7"/>
  <c r="U1197" i="7"/>
  <c r="U1198" i="7"/>
  <c r="U1199" i="7"/>
  <c r="U1200" i="7"/>
  <c r="U1201" i="7"/>
  <c r="U1202" i="7"/>
  <c r="U1203" i="7"/>
  <c r="U1204" i="7"/>
  <c r="U1205" i="7"/>
  <c r="U1206" i="7"/>
  <c r="U1207" i="7"/>
  <c r="U1208" i="7"/>
  <c r="U1209" i="7"/>
  <c r="U1210" i="7"/>
  <c r="U1211" i="7"/>
  <c r="U1212" i="7"/>
  <c r="U1213" i="7"/>
  <c r="U1214" i="7"/>
  <c r="U1215" i="7"/>
  <c r="U1216" i="7"/>
  <c r="U1217" i="7"/>
  <c r="U1218" i="7"/>
  <c r="U1219" i="7"/>
  <c r="U1220" i="7"/>
  <c r="U1221" i="7"/>
  <c r="U1222" i="7"/>
  <c r="U1223" i="7"/>
  <c r="U1224" i="7"/>
  <c r="U1225" i="7"/>
  <c r="U1226" i="7"/>
  <c r="U1227" i="7"/>
  <c r="U1228" i="7"/>
  <c r="U1229" i="7"/>
  <c r="U1230" i="7"/>
  <c r="U1231" i="7"/>
  <c r="U1232" i="7"/>
  <c r="U1233" i="7"/>
  <c r="U1234" i="7"/>
  <c r="U1235" i="7"/>
  <c r="U1236" i="7"/>
  <c r="U1237" i="7"/>
  <c r="U1238" i="7"/>
  <c r="U1239" i="7"/>
  <c r="U1240" i="7"/>
  <c r="U1241" i="7"/>
  <c r="U1242" i="7"/>
  <c r="U1243" i="7"/>
  <c r="U1244" i="7"/>
  <c r="U1245" i="7"/>
  <c r="U1246" i="7"/>
  <c r="U1247" i="7"/>
  <c r="U1248" i="7"/>
  <c r="U1249" i="7"/>
  <c r="U1250" i="7"/>
  <c r="U1251" i="7"/>
  <c r="U1252" i="7"/>
  <c r="U1253" i="7"/>
  <c r="U1254" i="7"/>
  <c r="U1255" i="7"/>
  <c r="U1256" i="7"/>
  <c r="U1257" i="7"/>
  <c r="U1258" i="7"/>
  <c r="U1259" i="7"/>
  <c r="U1260" i="7"/>
  <c r="U1261" i="7"/>
  <c r="U1262" i="7"/>
  <c r="U1263" i="7"/>
  <c r="U1264" i="7"/>
  <c r="U1265" i="7"/>
  <c r="U1266" i="7"/>
  <c r="U1267" i="7"/>
  <c r="U1268" i="7"/>
  <c r="U1269" i="7"/>
  <c r="U1270" i="7"/>
  <c r="U1271" i="7"/>
  <c r="U1272" i="7"/>
  <c r="U1273" i="7"/>
  <c r="U1274" i="7"/>
  <c r="U1275" i="7"/>
  <c r="U1276" i="7"/>
  <c r="U1277" i="7"/>
  <c r="U1278" i="7"/>
  <c r="U1279" i="7"/>
  <c r="U1280" i="7"/>
  <c r="U1281" i="7"/>
  <c r="U1282" i="7"/>
  <c r="U1283" i="7"/>
  <c r="U1284" i="7"/>
  <c r="U1285" i="7"/>
  <c r="U1286" i="7"/>
  <c r="U1287" i="7"/>
  <c r="U1288" i="7"/>
  <c r="U1289" i="7"/>
  <c r="U1290" i="7"/>
  <c r="U1291" i="7"/>
  <c r="U1292" i="7"/>
  <c r="U1293" i="7"/>
  <c r="U1294" i="7"/>
  <c r="U1295" i="7"/>
  <c r="U1296" i="7"/>
  <c r="U1297" i="7"/>
  <c r="U1298" i="7"/>
  <c r="U1299" i="7"/>
  <c r="U1300" i="7"/>
  <c r="U1301" i="7"/>
  <c r="U1302" i="7"/>
  <c r="U1303" i="7"/>
  <c r="U1304" i="7"/>
  <c r="U1305" i="7"/>
  <c r="U1306" i="7"/>
  <c r="U1307" i="7"/>
  <c r="U1308" i="7"/>
  <c r="U1309" i="7"/>
  <c r="U1310" i="7"/>
  <c r="U1311" i="7"/>
  <c r="U1312" i="7"/>
  <c r="U1313" i="7"/>
  <c r="U1314" i="7"/>
  <c r="U1315" i="7"/>
  <c r="U1316" i="7"/>
  <c r="U1317" i="7"/>
  <c r="U1318" i="7"/>
  <c r="U1319" i="7"/>
  <c r="U1320" i="7"/>
  <c r="U1321" i="7"/>
  <c r="U1322" i="7"/>
  <c r="U1323" i="7"/>
  <c r="U1324" i="7"/>
  <c r="U1325" i="7"/>
  <c r="U1326" i="7"/>
  <c r="U1327" i="7"/>
  <c r="U1328" i="7"/>
  <c r="U1329" i="7"/>
  <c r="U1330" i="7"/>
  <c r="U1331" i="7"/>
  <c r="U1332" i="7"/>
  <c r="U1333" i="7"/>
  <c r="U1334" i="7"/>
  <c r="U1335" i="7"/>
  <c r="U1336" i="7"/>
  <c r="U1337" i="7"/>
  <c r="U1338" i="7"/>
  <c r="U1339" i="7"/>
  <c r="U1340" i="7"/>
  <c r="U1341" i="7"/>
  <c r="U1342" i="7"/>
  <c r="U1343" i="7"/>
  <c r="U1344" i="7"/>
  <c r="U1345" i="7"/>
  <c r="U1346" i="7"/>
  <c r="U1347" i="7"/>
  <c r="U1348" i="7"/>
  <c r="U1349" i="7"/>
  <c r="U1350" i="7"/>
  <c r="U1351" i="7"/>
  <c r="U1352" i="7"/>
  <c r="U1353" i="7"/>
  <c r="U1354" i="7"/>
  <c r="U1355" i="7"/>
  <c r="U1356" i="7"/>
  <c r="U1357" i="7"/>
  <c r="U1358" i="7"/>
  <c r="U1359" i="7"/>
  <c r="U1360" i="7"/>
  <c r="U1361" i="7"/>
  <c r="U1362" i="7"/>
  <c r="U1363" i="7"/>
  <c r="U1364" i="7"/>
  <c r="U1365" i="7"/>
  <c r="U1366" i="7"/>
  <c r="U1367" i="7"/>
  <c r="U1368" i="7"/>
  <c r="U1369" i="7"/>
  <c r="U1370" i="7"/>
  <c r="U1371" i="7"/>
  <c r="U1372" i="7"/>
  <c r="U1373" i="7"/>
  <c r="U1374" i="7"/>
  <c r="U1375" i="7"/>
  <c r="U1376" i="7"/>
  <c r="U1377" i="7"/>
  <c r="U1378" i="7"/>
  <c r="U1379" i="7"/>
  <c r="U1380" i="7"/>
  <c r="U1381" i="7"/>
  <c r="U1382" i="7"/>
  <c r="U1383" i="7"/>
  <c r="U1384" i="7"/>
  <c r="U1385" i="7"/>
  <c r="U1386" i="7"/>
  <c r="U1387" i="7"/>
  <c r="U1388" i="7"/>
  <c r="U1389" i="7"/>
  <c r="U1390" i="7"/>
  <c r="U1391" i="7"/>
  <c r="U1392" i="7"/>
  <c r="U1393" i="7"/>
  <c r="U1394" i="7"/>
  <c r="U1395" i="7"/>
  <c r="U1396" i="7"/>
  <c r="U1397" i="7"/>
  <c r="U1398" i="7"/>
  <c r="U1399" i="7"/>
  <c r="U1400" i="7"/>
  <c r="U1401" i="7"/>
  <c r="U1402" i="7"/>
  <c r="U1403" i="7"/>
  <c r="U1404" i="7"/>
  <c r="U1405" i="7"/>
  <c r="U1406" i="7"/>
  <c r="U1407" i="7"/>
  <c r="U1408" i="7"/>
  <c r="U1409" i="7"/>
  <c r="U1410" i="7"/>
  <c r="U1411" i="7"/>
  <c r="U1412" i="7"/>
  <c r="U1413" i="7"/>
  <c r="U1414" i="7"/>
  <c r="U1415" i="7"/>
  <c r="U1416" i="7"/>
  <c r="U1417" i="7"/>
  <c r="U1418" i="7"/>
  <c r="U1419" i="7"/>
  <c r="U1420" i="7"/>
  <c r="U1421" i="7"/>
  <c r="U1422" i="7"/>
  <c r="U1423" i="7"/>
  <c r="U1424" i="7"/>
  <c r="U1425" i="7"/>
  <c r="U1426" i="7"/>
  <c r="U1427" i="7"/>
  <c r="U1428" i="7"/>
  <c r="U1429" i="7"/>
  <c r="U1430" i="7"/>
  <c r="U1431" i="7"/>
  <c r="U1432" i="7"/>
  <c r="U1433" i="7"/>
  <c r="U1434" i="7"/>
  <c r="U1435" i="7"/>
  <c r="U1436" i="7"/>
  <c r="U1437" i="7"/>
  <c r="U1438" i="7"/>
  <c r="U1439" i="7"/>
  <c r="U1440" i="7"/>
  <c r="U1441" i="7"/>
  <c r="U1442" i="7"/>
  <c r="U1443" i="7"/>
  <c r="U1444" i="7"/>
  <c r="U1445" i="7"/>
  <c r="U1446" i="7"/>
  <c r="U1447" i="7"/>
  <c r="U1448" i="7"/>
  <c r="U1449" i="7"/>
  <c r="U1450" i="7"/>
  <c r="U1451" i="7"/>
  <c r="U1452" i="7"/>
  <c r="U1453" i="7"/>
  <c r="U1454" i="7"/>
  <c r="U1455" i="7"/>
  <c r="U1456" i="7"/>
  <c r="U1457" i="7"/>
  <c r="U1458" i="7"/>
  <c r="U1459" i="7"/>
  <c r="U1460" i="7"/>
  <c r="U1461" i="7"/>
  <c r="U1462" i="7"/>
  <c r="U1463" i="7"/>
  <c r="U1464" i="7"/>
  <c r="U1465" i="7"/>
  <c r="U1466" i="7"/>
  <c r="U1467" i="7"/>
  <c r="U1468" i="7"/>
  <c r="U1469" i="7"/>
  <c r="U1470" i="7"/>
  <c r="U1471" i="7"/>
  <c r="U1472" i="7"/>
  <c r="U1473" i="7"/>
  <c r="U1474" i="7"/>
  <c r="U1475" i="7"/>
  <c r="U1476" i="7"/>
  <c r="U1477" i="7"/>
  <c r="U1478" i="7"/>
  <c r="U1479" i="7"/>
  <c r="U1480" i="7"/>
  <c r="U1481" i="7"/>
  <c r="U1482" i="7"/>
  <c r="U1483" i="7"/>
  <c r="U1484" i="7"/>
  <c r="U1485" i="7"/>
  <c r="U1486" i="7"/>
  <c r="U1487" i="7"/>
  <c r="U1488" i="7"/>
  <c r="U1489" i="7"/>
  <c r="U1490" i="7"/>
  <c r="U1491" i="7"/>
  <c r="U1492" i="7"/>
  <c r="U1493" i="7"/>
  <c r="U1494" i="7"/>
  <c r="U1495" i="7"/>
  <c r="U1496" i="7"/>
  <c r="U1497" i="7"/>
  <c r="U1498" i="7"/>
  <c r="U1499" i="7"/>
  <c r="U1500" i="7"/>
  <c r="U1501" i="7"/>
  <c r="U1502" i="7"/>
  <c r="U1503" i="7"/>
  <c r="U1504" i="7"/>
  <c r="U1505" i="7"/>
  <c r="U1506" i="7"/>
  <c r="U1507" i="7"/>
  <c r="U1508" i="7"/>
  <c r="U1509" i="7"/>
  <c r="U1510" i="7"/>
  <c r="U1511" i="7"/>
  <c r="U1512" i="7"/>
  <c r="U1513" i="7"/>
  <c r="U1514" i="7"/>
  <c r="U1515" i="7"/>
  <c r="U1516" i="7"/>
  <c r="U1517" i="7"/>
  <c r="U1518" i="7"/>
  <c r="U1519" i="7"/>
  <c r="U1520" i="7"/>
  <c r="U1521" i="7"/>
  <c r="U1522" i="7"/>
  <c r="U1523" i="7"/>
  <c r="U1524" i="7"/>
  <c r="U1525" i="7"/>
  <c r="U1526" i="7"/>
  <c r="U1527" i="7"/>
  <c r="U1528" i="7"/>
  <c r="U1529" i="7"/>
  <c r="U1530" i="7"/>
  <c r="U1531" i="7"/>
  <c r="U1532" i="7"/>
  <c r="U1533" i="7"/>
  <c r="U1534" i="7"/>
  <c r="U1535" i="7"/>
  <c r="U1536" i="7"/>
  <c r="U1537" i="7"/>
  <c r="U1538" i="7"/>
  <c r="U1539" i="7"/>
  <c r="U1540" i="7"/>
  <c r="U1541" i="7"/>
  <c r="U1542" i="7"/>
  <c r="U1543" i="7"/>
  <c r="U1544" i="7"/>
  <c r="U1545" i="7"/>
  <c r="U1546" i="7"/>
  <c r="U1547" i="7"/>
  <c r="U1548" i="7"/>
  <c r="U1549" i="7"/>
  <c r="U1550" i="7"/>
  <c r="U1551" i="7"/>
  <c r="U1552" i="7"/>
  <c r="U1553" i="7"/>
  <c r="U1554" i="7"/>
  <c r="U1555" i="7"/>
  <c r="U1556" i="7"/>
  <c r="U1557" i="7"/>
  <c r="U1558" i="7"/>
  <c r="U1559" i="7"/>
  <c r="U1560" i="7"/>
  <c r="U1561" i="7"/>
  <c r="U1562" i="7"/>
  <c r="U1563" i="7"/>
  <c r="U1564" i="7"/>
  <c r="U1565" i="7"/>
  <c r="U1566" i="7"/>
  <c r="U1567" i="7"/>
  <c r="U1568" i="7"/>
  <c r="U1569" i="7"/>
  <c r="U1570" i="7"/>
  <c r="U1571" i="7"/>
  <c r="U1572" i="7"/>
  <c r="U1573" i="7"/>
  <c r="U1574" i="7"/>
  <c r="U1575" i="7"/>
  <c r="U1576" i="7"/>
  <c r="U1577" i="7"/>
  <c r="U1578" i="7"/>
  <c r="U1579" i="7"/>
  <c r="U1580" i="7"/>
  <c r="U1581" i="7"/>
  <c r="U1582" i="7"/>
  <c r="U1583" i="7"/>
  <c r="U1584" i="7"/>
  <c r="U1585" i="7"/>
  <c r="U1586" i="7"/>
  <c r="U1587" i="7"/>
  <c r="U1588" i="7"/>
  <c r="U1589" i="7"/>
  <c r="U1590" i="7"/>
  <c r="U1591" i="7"/>
  <c r="U1592" i="7"/>
  <c r="U1593" i="7"/>
  <c r="U1594" i="7"/>
  <c r="U1595" i="7"/>
  <c r="U1596" i="7"/>
  <c r="U1597" i="7"/>
  <c r="U1598" i="7"/>
  <c r="U1599" i="7"/>
  <c r="U1600" i="7"/>
  <c r="U1601" i="7"/>
  <c r="U1602" i="7"/>
  <c r="U1603" i="7"/>
  <c r="U1604" i="7"/>
  <c r="U1605" i="7"/>
  <c r="U1606" i="7"/>
  <c r="U1607" i="7"/>
  <c r="U1608" i="7"/>
  <c r="U1609" i="7"/>
  <c r="U1610" i="7"/>
  <c r="U1611" i="7"/>
  <c r="U1612" i="7"/>
  <c r="U1613" i="7"/>
  <c r="U1614" i="7"/>
  <c r="U1615" i="7"/>
  <c r="U1616" i="7"/>
  <c r="U1617" i="7"/>
  <c r="U1618" i="7"/>
  <c r="U1619" i="7"/>
  <c r="U1620" i="7"/>
  <c r="U1621" i="7"/>
  <c r="U1622" i="7"/>
  <c r="U1623" i="7"/>
  <c r="U1624" i="7"/>
  <c r="U1625" i="7"/>
  <c r="U1626" i="7"/>
  <c r="U1627" i="7"/>
  <c r="U1628" i="7"/>
  <c r="U1629" i="7"/>
  <c r="U1630" i="7"/>
  <c r="U1631" i="7"/>
  <c r="U1632" i="7"/>
  <c r="U1633" i="7"/>
  <c r="U1634" i="7"/>
  <c r="U1635" i="7"/>
  <c r="U1636" i="7"/>
  <c r="U1637" i="7"/>
  <c r="U1638" i="7"/>
  <c r="U1639" i="7"/>
  <c r="U1640" i="7"/>
  <c r="U1641" i="7"/>
  <c r="U1642" i="7"/>
  <c r="U1643" i="7"/>
  <c r="U1644" i="7"/>
  <c r="U1645" i="7"/>
  <c r="U1646" i="7"/>
  <c r="U1647" i="7"/>
  <c r="U1648" i="7"/>
  <c r="U1649" i="7"/>
  <c r="U1650" i="7"/>
  <c r="U1651" i="7"/>
  <c r="U1652" i="7"/>
  <c r="U1653" i="7"/>
  <c r="U1654" i="7"/>
  <c r="U1655" i="7"/>
  <c r="U1656" i="7"/>
  <c r="U1657" i="7"/>
  <c r="U1658" i="7"/>
  <c r="U1659" i="7"/>
  <c r="U1660" i="7"/>
  <c r="U1661" i="7"/>
  <c r="U1662" i="7"/>
  <c r="U1663" i="7"/>
  <c r="U1664" i="7"/>
  <c r="U1665" i="7"/>
  <c r="U1666" i="7"/>
  <c r="U1667" i="7"/>
  <c r="U1668" i="7"/>
  <c r="U1669" i="7"/>
  <c r="U1670" i="7"/>
  <c r="U1671" i="7"/>
  <c r="U1672" i="7"/>
  <c r="U1673" i="7"/>
  <c r="U1674" i="7"/>
  <c r="U1675" i="7"/>
  <c r="U1676" i="7"/>
  <c r="U1677" i="7"/>
  <c r="U1678" i="7"/>
  <c r="U1679" i="7"/>
  <c r="U1680" i="7"/>
  <c r="U1681" i="7"/>
  <c r="U1682" i="7"/>
  <c r="U1683" i="7"/>
  <c r="U1684" i="7"/>
  <c r="U1685" i="7"/>
  <c r="U1686" i="7"/>
  <c r="U1687" i="7"/>
  <c r="U1688" i="7"/>
  <c r="U1689" i="7"/>
  <c r="U1690" i="7"/>
  <c r="U1691" i="7"/>
  <c r="U1692" i="7"/>
  <c r="U1693" i="7"/>
  <c r="U1694" i="7"/>
  <c r="U1695" i="7"/>
  <c r="U1696" i="7"/>
  <c r="U1697" i="7"/>
  <c r="U1698" i="7"/>
  <c r="U1699" i="7"/>
  <c r="U1700" i="7"/>
  <c r="U1701" i="7"/>
  <c r="U1702" i="7"/>
  <c r="U1703" i="7"/>
  <c r="U1704" i="7"/>
  <c r="U1705" i="7"/>
  <c r="U1706" i="7"/>
  <c r="U1707" i="7"/>
  <c r="U1708" i="7"/>
  <c r="U1709" i="7"/>
  <c r="U1710" i="7"/>
  <c r="U1711" i="7"/>
  <c r="U1712" i="7"/>
  <c r="U1713" i="7"/>
  <c r="U1714" i="7"/>
  <c r="U1715" i="7"/>
  <c r="U1716" i="7"/>
  <c r="U1717" i="7"/>
  <c r="U1718" i="7"/>
  <c r="U1719" i="7"/>
  <c r="U1720" i="7"/>
  <c r="U1721" i="7"/>
  <c r="U1722" i="7"/>
  <c r="U1723" i="7"/>
  <c r="U1724" i="7"/>
  <c r="U1725" i="7"/>
  <c r="U1726" i="7"/>
  <c r="U1727" i="7"/>
  <c r="U1728" i="7"/>
  <c r="U1729" i="7"/>
  <c r="U1730" i="7"/>
  <c r="U1731" i="7"/>
  <c r="U1732" i="7"/>
  <c r="U1733" i="7"/>
  <c r="U1734" i="7"/>
  <c r="U1735" i="7"/>
  <c r="U1736" i="7"/>
  <c r="U1737" i="7"/>
  <c r="U1738" i="7"/>
  <c r="U1739" i="7"/>
  <c r="U1740" i="7"/>
  <c r="U1741" i="7"/>
  <c r="U1742" i="7"/>
  <c r="U1743" i="7"/>
  <c r="U1744" i="7"/>
  <c r="U1745" i="7"/>
  <c r="U1746" i="7"/>
  <c r="U1747" i="7"/>
  <c r="U1748" i="7"/>
  <c r="U1749" i="7"/>
  <c r="U1750" i="7"/>
  <c r="U1751" i="7"/>
  <c r="U1752" i="7"/>
  <c r="U1753" i="7"/>
  <c r="U1754" i="7"/>
  <c r="U1755" i="7"/>
  <c r="U1756" i="7"/>
  <c r="U1757" i="7"/>
  <c r="U1758" i="7"/>
  <c r="U1759" i="7"/>
  <c r="U1760" i="7"/>
  <c r="U1761" i="7"/>
  <c r="U1762" i="7"/>
  <c r="U1763" i="7"/>
  <c r="U1764" i="7"/>
  <c r="U1765" i="7"/>
  <c r="U1766" i="7"/>
  <c r="U1767" i="7"/>
  <c r="U1768" i="7"/>
  <c r="U1769" i="7"/>
  <c r="U1770" i="7"/>
  <c r="U1771" i="7"/>
  <c r="U1772" i="7"/>
  <c r="U1773" i="7"/>
  <c r="U1774" i="7"/>
  <c r="U1775" i="7"/>
  <c r="U1776" i="7"/>
  <c r="U1777" i="7"/>
  <c r="U1778" i="7"/>
  <c r="U1779" i="7"/>
  <c r="U1780" i="7"/>
  <c r="U1781" i="7"/>
  <c r="U1782" i="7"/>
  <c r="U1783" i="7"/>
  <c r="U1784" i="7"/>
  <c r="U1785" i="7"/>
  <c r="U1786" i="7"/>
  <c r="U1787" i="7"/>
  <c r="U1788" i="7"/>
  <c r="U1789" i="7"/>
  <c r="U1790" i="7"/>
  <c r="U1791" i="7"/>
  <c r="U1792" i="7"/>
  <c r="U1793" i="7"/>
  <c r="U1794" i="7"/>
  <c r="U1795" i="7"/>
  <c r="U1796" i="7"/>
  <c r="U1797" i="7"/>
  <c r="U1798" i="7"/>
  <c r="U1799" i="7"/>
  <c r="U1800" i="7"/>
  <c r="U1801" i="7"/>
  <c r="U1802" i="7"/>
  <c r="U1803" i="7"/>
  <c r="U1804" i="7"/>
  <c r="U1805" i="7"/>
  <c r="U1806" i="7"/>
  <c r="U1807" i="7"/>
  <c r="U1808" i="7"/>
  <c r="U1809" i="7"/>
  <c r="U1810" i="7"/>
  <c r="U1811" i="7"/>
  <c r="U1812" i="7"/>
  <c r="U1813" i="7"/>
  <c r="U1814" i="7"/>
  <c r="U1815" i="7"/>
  <c r="U1816" i="7"/>
  <c r="U1817" i="7"/>
  <c r="U1818" i="7"/>
  <c r="U1819" i="7"/>
  <c r="U1820" i="7"/>
  <c r="U1821" i="7"/>
  <c r="U1822" i="7"/>
  <c r="U1823" i="7"/>
  <c r="U1824" i="7"/>
  <c r="U1825" i="7"/>
  <c r="U1826" i="7"/>
  <c r="U1827" i="7"/>
  <c r="U1828" i="7"/>
  <c r="U1829" i="7"/>
  <c r="U1830" i="7"/>
  <c r="U1831" i="7"/>
  <c r="U1832" i="7"/>
  <c r="U1833" i="7"/>
  <c r="U1834" i="7"/>
  <c r="U1835" i="7"/>
  <c r="U1836" i="7"/>
  <c r="U1837" i="7"/>
  <c r="U1838" i="7"/>
  <c r="U1839" i="7"/>
  <c r="U1840" i="7"/>
  <c r="U1841" i="7"/>
  <c r="U1842" i="7"/>
  <c r="U1843" i="7"/>
  <c r="U1844" i="7"/>
  <c r="U1845" i="7"/>
  <c r="U1846" i="7"/>
  <c r="U1847" i="7"/>
  <c r="U1848" i="7"/>
  <c r="U1849" i="7"/>
  <c r="U1850" i="7"/>
  <c r="U1851" i="7"/>
  <c r="U1852" i="7"/>
  <c r="U1853" i="7"/>
  <c r="U1854" i="7"/>
  <c r="U1855" i="7"/>
  <c r="U1856" i="7"/>
  <c r="U1857" i="7"/>
  <c r="U1858" i="7"/>
  <c r="U1859" i="7"/>
  <c r="U1860" i="7"/>
  <c r="U1861" i="7"/>
  <c r="U1862" i="7"/>
  <c r="U1863" i="7"/>
  <c r="U1864" i="7"/>
  <c r="U1865" i="7"/>
  <c r="U1866" i="7"/>
  <c r="U1867" i="7"/>
  <c r="U1868" i="7"/>
  <c r="U1869" i="7"/>
  <c r="U1870" i="7"/>
  <c r="U1871" i="7"/>
  <c r="U1872" i="7"/>
  <c r="U1873" i="7"/>
  <c r="U1874" i="7"/>
  <c r="U1875" i="7"/>
  <c r="U1876" i="7"/>
  <c r="U1877" i="7"/>
  <c r="U1878" i="7"/>
  <c r="U1879" i="7"/>
  <c r="U1880" i="7"/>
  <c r="U1881" i="7"/>
  <c r="U1882" i="7"/>
  <c r="U1883" i="7"/>
  <c r="U1884" i="7"/>
  <c r="U1885" i="7"/>
  <c r="U1886" i="7"/>
  <c r="U1887" i="7"/>
  <c r="U1888" i="7"/>
  <c r="U1889" i="7"/>
  <c r="U1890" i="7"/>
  <c r="U1891" i="7"/>
  <c r="U1892" i="7"/>
  <c r="U1893" i="7"/>
  <c r="U1894" i="7"/>
  <c r="U1895" i="7"/>
  <c r="U1896" i="7"/>
  <c r="U1897" i="7"/>
  <c r="U1898" i="7"/>
  <c r="U1899" i="7"/>
  <c r="U1900" i="7"/>
  <c r="U1901" i="7"/>
  <c r="U1902" i="7"/>
  <c r="U1903" i="7"/>
  <c r="U1904" i="7"/>
  <c r="U1905" i="7"/>
  <c r="U1906" i="7"/>
  <c r="U1907" i="7"/>
  <c r="U1908" i="7"/>
  <c r="U1909" i="7"/>
  <c r="U1910" i="7"/>
  <c r="U1911" i="7"/>
  <c r="U1912" i="7"/>
  <c r="U1913" i="7"/>
  <c r="U1914" i="7"/>
  <c r="U1915" i="7"/>
  <c r="U1916" i="7"/>
  <c r="U1917" i="7"/>
  <c r="U1918" i="7"/>
  <c r="U1919" i="7"/>
  <c r="U1920" i="7"/>
  <c r="U1921" i="7"/>
  <c r="U1922" i="7"/>
  <c r="U1923" i="7"/>
  <c r="U1924" i="7"/>
  <c r="U1925" i="7"/>
  <c r="U1926" i="7"/>
  <c r="U1927" i="7"/>
  <c r="U1928" i="7"/>
  <c r="U1929" i="7"/>
  <c r="U1930" i="7"/>
  <c r="U1931" i="7"/>
  <c r="U1932" i="7"/>
  <c r="U1933" i="7"/>
  <c r="U1934" i="7"/>
  <c r="U1935" i="7"/>
  <c r="U1936" i="7"/>
  <c r="U1937" i="7"/>
  <c r="U1938" i="7"/>
  <c r="U1939" i="7"/>
  <c r="U1940" i="7"/>
  <c r="U1941" i="7"/>
  <c r="U1942" i="7"/>
  <c r="U1943" i="7"/>
  <c r="U1944" i="7"/>
  <c r="U1945" i="7"/>
  <c r="U1946" i="7"/>
  <c r="U1947" i="7"/>
  <c r="U1948" i="7"/>
  <c r="U1949" i="7"/>
  <c r="U1950" i="7"/>
  <c r="U1951" i="7"/>
  <c r="U1952" i="7"/>
  <c r="U1953" i="7"/>
  <c r="U1954" i="7"/>
  <c r="U1955" i="7"/>
  <c r="U1956" i="7"/>
  <c r="U1957" i="7"/>
  <c r="U1958" i="7"/>
  <c r="U1959" i="7"/>
  <c r="U1960" i="7"/>
  <c r="U1961" i="7"/>
  <c r="U1962" i="7"/>
  <c r="U1963" i="7"/>
  <c r="U1964" i="7"/>
  <c r="U1965" i="7"/>
  <c r="U1966" i="7"/>
  <c r="U1967" i="7"/>
  <c r="U1968" i="7"/>
  <c r="U1969" i="7"/>
  <c r="U1970" i="7"/>
  <c r="U1971" i="7"/>
  <c r="U1972" i="7"/>
  <c r="U1973" i="7"/>
  <c r="U1974" i="7"/>
  <c r="U1975" i="7"/>
  <c r="U1976" i="7"/>
  <c r="U1977" i="7"/>
  <c r="U1978" i="7"/>
  <c r="U1979" i="7"/>
  <c r="U1980" i="7"/>
  <c r="U1981" i="7"/>
  <c r="U1982" i="7"/>
  <c r="U1983" i="7"/>
  <c r="U1984" i="7"/>
  <c r="U1985" i="7"/>
  <c r="U1986" i="7"/>
  <c r="U1987" i="7"/>
  <c r="U1988" i="7"/>
  <c r="U1989" i="7"/>
  <c r="U1990" i="7"/>
  <c r="U1991" i="7"/>
  <c r="U1992" i="7"/>
  <c r="U1993" i="7"/>
  <c r="U1994" i="7"/>
  <c r="U1995" i="7"/>
  <c r="U1996" i="7"/>
  <c r="U1997" i="7"/>
  <c r="U1998" i="7"/>
  <c r="U1999" i="7"/>
  <c r="U2000" i="7"/>
  <c r="U2001" i="7"/>
  <c r="U2002" i="7"/>
  <c r="U2003" i="7"/>
  <c r="U2004" i="7"/>
  <c r="U2005" i="7"/>
  <c r="U2006" i="7"/>
  <c r="U2007" i="7"/>
  <c r="U2008" i="7"/>
  <c r="U2009" i="7"/>
  <c r="U2010" i="7"/>
  <c r="U2011" i="7"/>
  <c r="U2012" i="7"/>
  <c r="U2013" i="7"/>
  <c r="U2014" i="7"/>
  <c r="U2015" i="7"/>
  <c r="U2016" i="7"/>
  <c r="U2017" i="7"/>
  <c r="U2018" i="7"/>
  <c r="U2019" i="7"/>
  <c r="U2020" i="7"/>
  <c r="U2021" i="7"/>
  <c r="U2022" i="7"/>
  <c r="U2023" i="7"/>
  <c r="U2024" i="7"/>
  <c r="U2025" i="7"/>
  <c r="U2026" i="7"/>
  <c r="U2027" i="7"/>
  <c r="U2028" i="7"/>
  <c r="U2029" i="7"/>
  <c r="U2030" i="7"/>
  <c r="U2031" i="7"/>
  <c r="U2032" i="7"/>
  <c r="U2033" i="7"/>
  <c r="U2034" i="7"/>
  <c r="U2035" i="7"/>
  <c r="U2036" i="7"/>
  <c r="U2037" i="7"/>
  <c r="U2038" i="7"/>
  <c r="U2039" i="7"/>
  <c r="U2040" i="7"/>
  <c r="U2041" i="7"/>
  <c r="U2042" i="7"/>
  <c r="U2043" i="7"/>
  <c r="U2044" i="7"/>
  <c r="U2045" i="7"/>
  <c r="U2046" i="7"/>
  <c r="U2047" i="7"/>
  <c r="U2048" i="7"/>
  <c r="U2049" i="7"/>
  <c r="U2050" i="7"/>
  <c r="U2051" i="7"/>
  <c r="U2052" i="7"/>
  <c r="U2053" i="7"/>
  <c r="U2054" i="7"/>
  <c r="U2055" i="7"/>
  <c r="U2056" i="7"/>
  <c r="U2057" i="7"/>
  <c r="U2058" i="7"/>
  <c r="U2059" i="7"/>
  <c r="U2060" i="7"/>
  <c r="U2061" i="7"/>
  <c r="U2062" i="7"/>
  <c r="U2063" i="7"/>
  <c r="U2064" i="7"/>
  <c r="U2065" i="7"/>
  <c r="U2066" i="7"/>
  <c r="U2067" i="7"/>
  <c r="U2068" i="7"/>
  <c r="U2069" i="7"/>
  <c r="U2070" i="7"/>
  <c r="U2071" i="7"/>
  <c r="U2072" i="7"/>
  <c r="U2073" i="7"/>
  <c r="U2074" i="7"/>
  <c r="U2075" i="7"/>
  <c r="U2076" i="7"/>
  <c r="U2077" i="7"/>
  <c r="U2078" i="7"/>
  <c r="U2079" i="7"/>
  <c r="U2080" i="7"/>
  <c r="U2081" i="7"/>
  <c r="U2082" i="7"/>
  <c r="U2083" i="7"/>
  <c r="U2084" i="7"/>
  <c r="U2085" i="7"/>
  <c r="U2086" i="7"/>
  <c r="U2087" i="7"/>
  <c r="U2088" i="7"/>
  <c r="U2089" i="7"/>
  <c r="U2090" i="7"/>
  <c r="U2091" i="7"/>
  <c r="U2092" i="7"/>
  <c r="U2093" i="7"/>
  <c r="U2094" i="7"/>
  <c r="U2095" i="7"/>
  <c r="U2096" i="7"/>
  <c r="U2097" i="7"/>
  <c r="U2098" i="7"/>
  <c r="U2099" i="7"/>
  <c r="U2100" i="7"/>
  <c r="U2101" i="7"/>
  <c r="U2102" i="7"/>
  <c r="U2103" i="7"/>
  <c r="U2104" i="7"/>
  <c r="U2105" i="7"/>
  <c r="U2106" i="7"/>
  <c r="U2107" i="7"/>
  <c r="U2108" i="7"/>
  <c r="U2109" i="7"/>
  <c r="U2110" i="7"/>
  <c r="U2111" i="7"/>
  <c r="U2112" i="7"/>
  <c r="U2113" i="7"/>
  <c r="U2114" i="7"/>
  <c r="U2115" i="7"/>
  <c r="U2116" i="7"/>
  <c r="U2117" i="7"/>
  <c r="U2118" i="7"/>
  <c r="U2119" i="7"/>
  <c r="U2120" i="7"/>
  <c r="U2121" i="7"/>
  <c r="U2122" i="7"/>
  <c r="U2123" i="7"/>
  <c r="U2124" i="7"/>
  <c r="U2125" i="7"/>
  <c r="U2126" i="7"/>
  <c r="U2127" i="7"/>
  <c r="U2128" i="7"/>
  <c r="U2129" i="7"/>
  <c r="U2130" i="7"/>
  <c r="U2131" i="7"/>
  <c r="U2132" i="7"/>
  <c r="U2133" i="7"/>
  <c r="U2134" i="7"/>
  <c r="U2135" i="7"/>
  <c r="U2136" i="7"/>
  <c r="U2137" i="7"/>
  <c r="U2138" i="7"/>
  <c r="U2139" i="7"/>
  <c r="U2140" i="7"/>
  <c r="U2141" i="7"/>
  <c r="U2142" i="7"/>
  <c r="U2143" i="7"/>
  <c r="U2144" i="7"/>
  <c r="U2145" i="7"/>
  <c r="U2146" i="7"/>
  <c r="U2147" i="7"/>
  <c r="U2148" i="7"/>
  <c r="U2149" i="7"/>
  <c r="U2150" i="7"/>
  <c r="U2151" i="7"/>
  <c r="U2152" i="7"/>
  <c r="U2153" i="7"/>
  <c r="U2154" i="7"/>
  <c r="U2155" i="7"/>
  <c r="U2156" i="7"/>
  <c r="U2157" i="7"/>
  <c r="U2158" i="7"/>
  <c r="U2159" i="7"/>
  <c r="U2160" i="7"/>
  <c r="U2161" i="7"/>
  <c r="U2162" i="7"/>
  <c r="U2163" i="7"/>
  <c r="U2164" i="7"/>
  <c r="U2165" i="7"/>
  <c r="U2166" i="7"/>
  <c r="U2167" i="7"/>
  <c r="U2168" i="7"/>
  <c r="U2169" i="7"/>
  <c r="U2170" i="7"/>
  <c r="U2171" i="7"/>
  <c r="U2172" i="7"/>
  <c r="U2173" i="7"/>
  <c r="U2174" i="7"/>
  <c r="U2175" i="7"/>
  <c r="U2176" i="7"/>
  <c r="U2177" i="7"/>
  <c r="U2178" i="7"/>
  <c r="U2179" i="7"/>
  <c r="U2180" i="7"/>
  <c r="U2181" i="7"/>
  <c r="U2182" i="7"/>
  <c r="U2183" i="7"/>
  <c r="U2184" i="7"/>
  <c r="U2185" i="7"/>
  <c r="U2186" i="7"/>
  <c r="U2187" i="7"/>
  <c r="U2188" i="7"/>
  <c r="U2189" i="7"/>
  <c r="U2190" i="7"/>
  <c r="U2191" i="7"/>
  <c r="U2192" i="7"/>
  <c r="U2193" i="7"/>
  <c r="U2194" i="7"/>
  <c r="U2195" i="7"/>
  <c r="U2196" i="7"/>
  <c r="U2197" i="7"/>
  <c r="U2198" i="7"/>
  <c r="U2199" i="7"/>
  <c r="U2200" i="7"/>
  <c r="U2201" i="7"/>
  <c r="U2202" i="7"/>
  <c r="U2203" i="7"/>
  <c r="U2204" i="7"/>
  <c r="U2205" i="7"/>
  <c r="U2206" i="7"/>
  <c r="U2207" i="7"/>
  <c r="U2208" i="7"/>
  <c r="U2209" i="7"/>
  <c r="U2210" i="7"/>
  <c r="U2211" i="7"/>
  <c r="U2212" i="7"/>
  <c r="U2213" i="7"/>
  <c r="U2214" i="7"/>
  <c r="U2215" i="7"/>
  <c r="U2216" i="7"/>
  <c r="U2217" i="7"/>
  <c r="U2218" i="7"/>
  <c r="U2219" i="7"/>
  <c r="U2220" i="7"/>
  <c r="U2221" i="7"/>
  <c r="U2222" i="7"/>
  <c r="U2223" i="7"/>
  <c r="U2224" i="7"/>
  <c r="U2225" i="7"/>
  <c r="U2226" i="7"/>
  <c r="U2227" i="7"/>
  <c r="U2228" i="7"/>
  <c r="U2229" i="7"/>
  <c r="U2230" i="7"/>
  <c r="U2231" i="7"/>
  <c r="U2232" i="7"/>
  <c r="U2233" i="7"/>
  <c r="U2234" i="7"/>
  <c r="U2235" i="7"/>
  <c r="U2236" i="7"/>
  <c r="U2237" i="7"/>
  <c r="U2238" i="7"/>
  <c r="U2239" i="7"/>
  <c r="U2240" i="7"/>
  <c r="U2241" i="7"/>
  <c r="U2242" i="7"/>
  <c r="U2243" i="7"/>
  <c r="U2244" i="7"/>
  <c r="U2245" i="7"/>
  <c r="U2246" i="7"/>
  <c r="U2247" i="7"/>
  <c r="U2248" i="7"/>
  <c r="U2249" i="7"/>
  <c r="U2250" i="7"/>
  <c r="U2251" i="7"/>
  <c r="U2252" i="7"/>
  <c r="U2253" i="7"/>
  <c r="U2254" i="7"/>
  <c r="U2255" i="7"/>
  <c r="U2256" i="7"/>
  <c r="U2257" i="7"/>
  <c r="U2258" i="7"/>
  <c r="U2259" i="7"/>
  <c r="U2260" i="7"/>
  <c r="U2261" i="7"/>
  <c r="U2262" i="7"/>
  <c r="U2263" i="7"/>
  <c r="U2264" i="7"/>
  <c r="U2265" i="7"/>
  <c r="U2266" i="7"/>
  <c r="U2267" i="7"/>
  <c r="U2268" i="7"/>
  <c r="U2269" i="7"/>
  <c r="U2270" i="7"/>
  <c r="U2271" i="7"/>
  <c r="U2272" i="7"/>
  <c r="U2273" i="7"/>
  <c r="U2274" i="7"/>
  <c r="U2275" i="7"/>
  <c r="U2276" i="7"/>
  <c r="U2277" i="7"/>
  <c r="U2278" i="7"/>
  <c r="U2279" i="7"/>
  <c r="U2280" i="7"/>
  <c r="U2281" i="7"/>
  <c r="U2282" i="7"/>
  <c r="U2283" i="7"/>
  <c r="U2284" i="7"/>
  <c r="U2285" i="7"/>
  <c r="U2286" i="7"/>
  <c r="U2287" i="7"/>
  <c r="U2288" i="7"/>
  <c r="U2289" i="7"/>
  <c r="U2290" i="7"/>
  <c r="U2291" i="7"/>
  <c r="U2292" i="7"/>
  <c r="U2293" i="7"/>
  <c r="U2294" i="7"/>
  <c r="U2295" i="7"/>
  <c r="U2296" i="7"/>
  <c r="U2297" i="7"/>
  <c r="U2298" i="7"/>
  <c r="U2299" i="7"/>
  <c r="U2300" i="7"/>
  <c r="U2301" i="7"/>
  <c r="U2302" i="7"/>
  <c r="U2303" i="7"/>
  <c r="U2304" i="7"/>
  <c r="U2305" i="7"/>
  <c r="U2306" i="7"/>
  <c r="U2307" i="7"/>
  <c r="U2308" i="7"/>
  <c r="U2309" i="7"/>
  <c r="U2310" i="7"/>
  <c r="U2311" i="7"/>
  <c r="U2312" i="7"/>
  <c r="U2313" i="7"/>
  <c r="U2314" i="7"/>
  <c r="U2315" i="7"/>
  <c r="U2316" i="7"/>
  <c r="U2317" i="7"/>
  <c r="U2318" i="7"/>
  <c r="U2319" i="7"/>
  <c r="U2320" i="7"/>
  <c r="U2321" i="7"/>
  <c r="U2322" i="7"/>
  <c r="U2323" i="7"/>
  <c r="U2324" i="7"/>
  <c r="U2325" i="7"/>
  <c r="U2326" i="7"/>
  <c r="U2327" i="7"/>
  <c r="U2328" i="7"/>
  <c r="U2329" i="7"/>
  <c r="U2330" i="7"/>
  <c r="U2331" i="7"/>
  <c r="U2332" i="7"/>
  <c r="U2333" i="7"/>
  <c r="U2334" i="7"/>
  <c r="U2335" i="7"/>
  <c r="U2336" i="7"/>
  <c r="U2337" i="7"/>
  <c r="U2338" i="7"/>
  <c r="U2339" i="7"/>
  <c r="U2340" i="7"/>
  <c r="U2341" i="7"/>
  <c r="U2342" i="7"/>
  <c r="U2343" i="7"/>
  <c r="U2344" i="7"/>
  <c r="U2345" i="7"/>
  <c r="U2346" i="7"/>
  <c r="U2347" i="7"/>
  <c r="U2348" i="7"/>
  <c r="U2349" i="7"/>
  <c r="U2350" i="7"/>
  <c r="U2351" i="7"/>
  <c r="U2352" i="7"/>
  <c r="U2353" i="7"/>
  <c r="U2354" i="7"/>
  <c r="U2355" i="7"/>
  <c r="U2356" i="7"/>
  <c r="U2357" i="7"/>
  <c r="U2358" i="7"/>
  <c r="U2359" i="7"/>
  <c r="U2360" i="7"/>
  <c r="U2361" i="7"/>
  <c r="U2362" i="7"/>
  <c r="U2363" i="7"/>
  <c r="U2364" i="7"/>
  <c r="U2365" i="7"/>
  <c r="U2366" i="7"/>
  <c r="U2367" i="7"/>
  <c r="U2368" i="7"/>
  <c r="U2369" i="7"/>
  <c r="U2370" i="7"/>
  <c r="U2371" i="7"/>
  <c r="U2372" i="7"/>
  <c r="U2373" i="7"/>
  <c r="U2374" i="7"/>
  <c r="U2375" i="7"/>
  <c r="U2376" i="7"/>
  <c r="U2377" i="7"/>
  <c r="U2378" i="7"/>
  <c r="U2379" i="7"/>
  <c r="U2380" i="7"/>
  <c r="U2381" i="7"/>
  <c r="U2382" i="7"/>
  <c r="U2383" i="7"/>
  <c r="U2384" i="7"/>
  <c r="U2385" i="7"/>
  <c r="U2386" i="7"/>
  <c r="U2387" i="7"/>
  <c r="U2388" i="7"/>
  <c r="U2389" i="7"/>
  <c r="U2390" i="7"/>
  <c r="U2391" i="7"/>
  <c r="U2392" i="7"/>
  <c r="U2393" i="7"/>
  <c r="U2394" i="7"/>
  <c r="U2395" i="7"/>
  <c r="U2396" i="7"/>
  <c r="U2397" i="7"/>
  <c r="U2398" i="7"/>
  <c r="U2399" i="7"/>
  <c r="U2400" i="7"/>
  <c r="U2401" i="7"/>
  <c r="U2402" i="7"/>
  <c r="U2403" i="7"/>
  <c r="U4" i="7"/>
  <c r="AF184" i="7" l="1"/>
  <c r="AF198" i="7"/>
  <c r="AF199" i="7"/>
  <c r="AF200" i="7"/>
  <c r="AF201" i="7"/>
  <c r="AF202" i="7"/>
  <c r="AF203" i="7"/>
  <c r="AF204" i="7"/>
  <c r="AF205" i="7"/>
  <c r="AF206" i="7"/>
  <c r="AF207" i="7"/>
  <c r="AF208" i="7"/>
  <c r="AF209" i="7"/>
  <c r="AF210" i="7"/>
  <c r="AF211" i="7"/>
  <c r="AF212" i="7"/>
  <c r="AF213" i="7"/>
  <c r="AF214" i="7"/>
  <c r="AF215" i="7"/>
  <c r="AF216" i="7"/>
  <c r="AF217" i="7"/>
  <c r="AF218" i="7"/>
  <c r="AF219" i="7"/>
  <c r="AF220" i="7"/>
  <c r="AF221" i="7"/>
  <c r="AF222" i="7"/>
  <c r="AF223" i="7"/>
  <c r="AF224" i="7"/>
  <c r="AF225" i="7"/>
  <c r="AF226" i="7"/>
  <c r="AF227" i="7"/>
  <c r="AF228" i="7"/>
  <c r="AF229" i="7"/>
  <c r="AF230" i="7"/>
  <c r="AF231" i="7"/>
  <c r="AF232" i="7"/>
  <c r="AF233" i="7"/>
  <c r="AF234" i="7"/>
  <c r="AF235" i="7"/>
  <c r="AF236" i="7"/>
  <c r="AF237" i="7"/>
  <c r="AF238" i="7"/>
  <c r="AF239" i="7"/>
  <c r="AF240" i="7"/>
  <c r="AF241" i="7"/>
  <c r="AF242" i="7"/>
  <c r="AF243" i="7"/>
  <c r="AF244" i="7"/>
  <c r="AF245" i="7"/>
  <c r="AF246" i="7"/>
  <c r="AF247" i="7"/>
  <c r="AF248" i="7"/>
  <c r="AF249" i="7"/>
  <c r="AF250" i="7"/>
  <c r="AF251" i="7"/>
  <c r="AF252" i="7"/>
  <c r="AF253" i="7"/>
  <c r="AF254" i="7"/>
  <c r="AF255" i="7"/>
  <c r="AF256" i="7"/>
  <c r="AF257" i="7"/>
  <c r="AF258" i="7"/>
  <c r="AF259" i="7"/>
  <c r="AF260" i="7"/>
  <c r="AF261" i="7"/>
  <c r="AF262" i="7"/>
  <c r="AF263" i="7"/>
  <c r="AF264" i="7"/>
  <c r="AF265" i="7"/>
  <c r="AF266" i="7"/>
  <c r="AF267" i="7"/>
  <c r="AF268" i="7"/>
  <c r="AF269" i="7"/>
  <c r="AF270" i="7"/>
  <c r="AF271" i="7"/>
  <c r="AF272" i="7"/>
  <c r="AF273" i="7"/>
  <c r="AF274" i="7"/>
  <c r="AF275" i="7"/>
  <c r="AF276" i="7"/>
  <c r="AF277" i="7"/>
  <c r="AF278" i="7"/>
  <c r="AF279" i="7"/>
  <c r="AF280" i="7"/>
  <c r="AF281" i="7"/>
  <c r="AF282" i="7"/>
  <c r="AF283" i="7"/>
  <c r="AF284" i="7"/>
  <c r="AF285" i="7"/>
  <c r="AF286" i="7"/>
  <c r="AF287" i="7"/>
  <c r="AF288" i="7"/>
  <c r="AF289" i="7"/>
  <c r="AF290" i="7"/>
  <c r="AF291" i="7"/>
  <c r="AF292" i="7"/>
  <c r="AF293" i="7"/>
  <c r="AF294" i="7"/>
  <c r="AF295" i="7"/>
  <c r="AF296" i="7"/>
  <c r="AF297" i="7"/>
  <c r="AF298" i="7"/>
  <c r="AF299" i="7"/>
  <c r="AF300" i="7"/>
  <c r="AF301" i="7"/>
  <c r="AF302" i="7"/>
  <c r="AF303" i="7"/>
  <c r="AF304" i="7"/>
  <c r="AF305" i="7"/>
  <c r="AF306" i="7"/>
  <c r="AF307" i="7"/>
  <c r="AF308" i="7"/>
  <c r="AF309" i="7"/>
  <c r="AF310" i="7"/>
  <c r="AG310" i="7" s="1"/>
  <c r="AF311" i="7"/>
  <c r="AG311" i="7" s="1"/>
  <c r="AF312" i="7"/>
  <c r="AF313" i="7"/>
  <c r="AF314" i="7"/>
  <c r="AG314" i="7" s="1"/>
  <c r="AF315" i="7"/>
  <c r="AG315" i="7" s="1"/>
  <c r="AF316" i="7"/>
  <c r="AG316" i="7" s="1"/>
  <c r="AF317" i="7"/>
  <c r="AG317" i="7" s="1"/>
  <c r="AF318" i="7"/>
  <c r="AG318" i="7" s="1"/>
  <c r="AF319" i="7"/>
  <c r="AG319" i="7" s="1"/>
  <c r="AF320" i="7"/>
  <c r="AF321" i="7"/>
  <c r="AF322" i="7"/>
  <c r="AG322" i="7" s="1"/>
  <c r="AF323" i="7"/>
  <c r="AG323" i="7" s="1"/>
  <c r="AF324" i="7"/>
  <c r="AG324" i="7" s="1"/>
  <c r="AF325" i="7"/>
  <c r="AG325" i="7" s="1"/>
  <c r="AF326" i="7"/>
  <c r="AG326" i="7" s="1"/>
  <c r="AF327" i="7"/>
  <c r="AG327" i="7" s="1"/>
  <c r="AF328" i="7"/>
  <c r="AF329" i="7"/>
  <c r="AF330" i="7"/>
  <c r="AG330" i="7" s="1"/>
  <c r="AF331" i="7"/>
  <c r="AG331" i="7" s="1"/>
  <c r="AF332" i="7"/>
  <c r="AG332" i="7" s="1"/>
  <c r="AF333" i="7"/>
  <c r="AG333" i="7" s="1"/>
  <c r="AF334" i="7"/>
  <c r="AG334" i="7" s="1"/>
  <c r="AF335" i="7"/>
  <c r="AG335" i="7" s="1"/>
  <c r="AF336" i="7"/>
  <c r="AF337" i="7"/>
  <c r="AF338" i="7"/>
  <c r="AG338" i="7" s="1"/>
  <c r="AF339" i="7"/>
  <c r="AG339" i="7" s="1"/>
  <c r="AF340" i="7"/>
  <c r="AG340" i="7" s="1"/>
  <c r="AF341" i="7"/>
  <c r="AG341" i="7" s="1"/>
  <c r="AF342" i="7"/>
  <c r="AG342" i="7" s="1"/>
  <c r="AF343" i="7"/>
  <c r="AG343" i="7" s="1"/>
  <c r="AF344" i="7"/>
  <c r="AF345" i="7"/>
  <c r="AF346" i="7"/>
  <c r="AG346" i="7" s="1"/>
  <c r="AF347" i="7"/>
  <c r="AG347" i="7" s="1"/>
  <c r="AF348" i="7"/>
  <c r="AG348" i="7" s="1"/>
  <c r="AF349" i="7"/>
  <c r="AG349" i="7" s="1"/>
  <c r="AF350" i="7"/>
  <c r="AG350" i="7" s="1"/>
  <c r="AF351" i="7"/>
  <c r="AG351" i="7" s="1"/>
  <c r="AF352" i="7"/>
  <c r="AF353" i="7"/>
  <c r="AF354" i="7"/>
  <c r="AG354" i="7" s="1"/>
  <c r="AF355" i="7"/>
  <c r="AG355" i="7" s="1"/>
  <c r="AF356" i="7"/>
  <c r="AG356" i="7" s="1"/>
  <c r="AF357" i="7"/>
  <c r="AG357" i="7" s="1"/>
  <c r="AF358" i="7"/>
  <c r="AG358" i="7" s="1"/>
  <c r="AF359" i="7"/>
  <c r="AG359" i="7" s="1"/>
  <c r="AF360" i="7"/>
  <c r="AF361" i="7"/>
  <c r="AF362" i="7"/>
  <c r="AG362" i="7" s="1"/>
  <c r="AF363" i="7"/>
  <c r="AG363" i="7" s="1"/>
  <c r="AF364" i="7"/>
  <c r="AG364" i="7" s="1"/>
  <c r="AF365" i="7"/>
  <c r="AG365" i="7" s="1"/>
  <c r="AF366" i="7"/>
  <c r="AG366" i="7" s="1"/>
  <c r="AF367" i="7"/>
  <c r="AG367" i="7" s="1"/>
  <c r="AF368" i="7"/>
  <c r="AF369" i="7"/>
  <c r="AF370" i="7"/>
  <c r="AG370" i="7" s="1"/>
  <c r="AF371" i="7"/>
  <c r="AG371" i="7" s="1"/>
  <c r="AF372" i="7"/>
  <c r="AG372" i="7" s="1"/>
  <c r="AF373" i="7"/>
  <c r="AG373" i="7" s="1"/>
  <c r="AF374" i="7"/>
  <c r="AG374" i="7" s="1"/>
  <c r="AF375" i="7"/>
  <c r="AF376" i="7"/>
  <c r="AF377" i="7"/>
  <c r="AF378" i="7"/>
  <c r="AF379" i="7"/>
  <c r="AF380" i="7"/>
  <c r="AF381" i="7"/>
  <c r="AF382" i="7"/>
  <c r="AF383" i="7"/>
  <c r="AF384" i="7"/>
  <c r="AF385" i="7"/>
  <c r="AF386" i="7"/>
  <c r="AF387" i="7"/>
  <c r="AF388" i="7"/>
  <c r="AF389" i="7"/>
  <c r="AF390" i="7"/>
  <c r="AF391" i="7"/>
  <c r="AF392" i="7"/>
  <c r="AF393" i="7"/>
  <c r="AF394" i="7"/>
  <c r="AF395" i="7"/>
  <c r="AF396" i="7"/>
  <c r="AF397" i="7"/>
  <c r="AF398" i="7"/>
  <c r="AF399" i="7"/>
  <c r="AF400" i="7"/>
  <c r="AF401" i="7"/>
  <c r="AF402" i="7"/>
  <c r="AF403" i="7"/>
  <c r="AG403" i="7" s="1"/>
  <c r="AF404" i="7"/>
  <c r="AG404" i="7" s="1"/>
  <c r="AF405" i="7"/>
  <c r="AF406" i="7"/>
  <c r="AG406" i="7" s="1"/>
  <c r="AF407" i="7"/>
  <c r="AG407" i="7" s="1"/>
  <c r="AF408" i="7"/>
  <c r="AF409" i="7"/>
  <c r="AF410" i="7"/>
  <c r="AG410" i="7" s="1"/>
  <c r="AF411" i="7"/>
  <c r="AG411" i="7" s="1"/>
  <c r="AF412" i="7"/>
  <c r="AG412" i="7" s="1"/>
  <c r="AF413" i="7"/>
  <c r="AG413" i="7" s="1"/>
  <c r="AF414" i="7"/>
  <c r="AG414" i="7" s="1"/>
  <c r="AF415" i="7"/>
  <c r="AF416" i="7"/>
  <c r="AF417" i="7"/>
  <c r="AF418" i="7"/>
  <c r="AG418" i="7" s="1"/>
  <c r="AF419" i="7"/>
  <c r="AG419" i="7" s="1"/>
  <c r="AF420" i="7"/>
  <c r="AG420" i="7" s="1"/>
  <c r="AF421" i="7"/>
  <c r="AG421" i="7" s="1"/>
  <c r="AF422" i="7"/>
  <c r="AG422" i="7" s="1"/>
  <c r="AF423" i="7"/>
  <c r="AG423" i="7" s="1"/>
  <c r="AF424" i="7"/>
  <c r="AF425" i="7"/>
  <c r="AF426" i="7"/>
  <c r="AF427" i="7"/>
  <c r="AF428" i="7"/>
  <c r="AF429" i="7"/>
  <c r="AF430" i="7"/>
  <c r="AF431" i="7"/>
  <c r="AF432" i="7"/>
  <c r="AF433" i="7"/>
  <c r="AF434" i="7"/>
  <c r="AF435" i="7"/>
  <c r="AF436" i="7"/>
  <c r="AF437" i="7"/>
  <c r="AF438" i="7"/>
  <c r="AF439" i="7"/>
  <c r="AF440" i="7"/>
  <c r="AF441" i="7"/>
  <c r="AF442" i="7"/>
  <c r="AF443" i="7"/>
  <c r="AF444" i="7"/>
  <c r="AF445" i="7"/>
  <c r="AF446" i="7"/>
  <c r="AF447" i="7"/>
  <c r="AF448" i="7"/>
  <c r="AF449" i="7"/>
  <c r="AF450" i="7"/>
  <c r="AF451" i="7"/>
  <c r="AF452" i="7"/>
  <c r="AF453" i="7"/>
  <c r="AF454" i="7"/>
  <c r="AF455" i="7"/>
  <c r="AF456" i="7"/>
  <c r="AF457" i="7"/>
  <c r="AF458" i="7"/>
  <c r="AF459" i="7"/>
  <c r="AF460" i="7"/>
  <c r="AF461" i="7"/>
  <c r="AF462" i="7"/>
  <c r="AF463" i="7"/>
  <c r="AF464" i="7"/>
  <c r="AF465" i="7"/>
  <c r="AF466" i="7"/>
  <c r="AF467" i="7"/>
  <c r="AF468" i="7"/>
  <c r="AF469" i="7"/>
  <c r="AF470" i="7"/>
  <c r="AF471" i="7"/>
  <c r="AF472" i="7"/>
  <c r="AF473" i="7"/>
  <c r="AF474" i="7"/>
  <c r="AF475" i="7"/>
  <c r="AF476" i="7"/>
  <c r="AF477" i="7"/>
  <c r="AF478" i="7"/>
  <c r="AF479" i="7"/>
  <c r="AF480" i="7"/>
  <c r="AF481" i="7"/>
  <c r="AF482" i="7"/>
  <c r="AF483" i="7"/>
  <c r="AF484" i="7"/>
  <c r="AF485" i="7"/>
  <c r="AF486" i="7"/>
  <c r="AF487" i="7"/>
  <c r="AF488" i="7"/>
  <c r="AF489" i="7"/>
  <c r="AF490" i="7"/>
  <c r="AF491" i="7"/>
  <c r="AF492" i="7"/>
  <c r="AF493" i="7"/>
  <c r="AF494" i="7"/>
  <c r="AF495" i="7"/>
  <c r="AF496" i="7"/>
  <c r="AF497" i="7"/>
  <c r="AF498" i="7"/>
  <c r="AF499" i="7"/>
  <c r="AF500" i="7"/>
  <c r="AF501" i="7"/>
  <c r="AF502" i="7"/>
  <c r="AF503" i="7"/>
  <c r="AF504" i="7"/>
  <c r="AF505" i="7"/>
  <c r="AF506" i="7"/>
  <c r="AF507" i="7"/>
  <c r="AF508" i="7"/>
  <c r="AF509" i="7"/>
  <c r="AF510" i="7"/>
  <c r="AF511" i="7"/>
  <c r="AF512" i="7"/>
  <c r="AF513" i="7"/>
  <c r="AF514" i="7"/>
  <c r="AF515" i="7"/>
  <c r="AF516" i="7"/>
  <c r="AF517" i="7"/>
  <c r="AF518" i="7"/>
  <c r="AF519" i="7"/>
  <c r="AF520" i="7"/>
  <c r="AF521" i="7"/>
  <c r="AF522" i="7"/>
  <c r="AF523" i="7"/>
  <c r="AF524" i="7"/>
  <c r="AF525" i="7"/>
  <c r="AF526" i="7"/>
  <c r="AF527" i="7"/>
  <c r="AF528" i="7"/>
  <c r="AF529" i="7"/>
  <c r="AF530" i="7"/>
  <c r="AF531" i="7"/>
  <c r="AF532" i="7"/>
  <c r="AF533" i="7"/>
  <c r="AF534" i="7"/>
  <c r="AF535" i="7"/>
  <c r="AF536" i="7"/>
  <c r="AF537" i="7"/>
  <c r="AF538" i="7"/>
  <c r="AF539" i="7"/>
  <c r="AF540" i="7"/>
  <c r="AF541" i="7"/>
  <c r="AF542" i="7"/>
  <c r="AF543" i="7"/>
  <c r="AF544" i="7"/>
  <c r="AF545" i="7"/>
  <c r="AF546" i="7"/>
  <c r="AG546" i="7" s="1"/>
  <c r="AF547" i="7"/>
  <c r="AG547" i="7" s="1"/>
  <c r="AF548" i="7"/>
  <c r="AG548" i="7" s="1"/>
  <c r="AF549" i="7"/>
  <c r="AF550" i="7"/>
  <c r="AF551" i="7"/>
  <c r="AF552" i="7"/>
  <c r="AF553" i="7"/>
  <c r="AF554" i="7"/>
  <c r="AF555" i="7"/>
  <c r="AF556" i="7"/>
  <c r="AF557" i="7"/>
  <c r="AF558" i="7"/>
  <c r="AF559" i="7"/>
  <c r="AF560" i="7"/>
  <c r="AF561" i="7"/>
  <c r="AF562" i="7"/>
  <c r="AF563" i="7"/>
  <c r="AF564" i="7"/>
  <c r="AF565" i="7"/>
  <c r="AF566" i="7"/>
  <c r="AF567" i="7"/>
  <c r="AF568" i="7"/>
  <c r="AF569" i="7"/>
  <c r="AF570" i="7"/>
  <c r="AF571" i="7"/>
  <c r="AF572" i="7"/>
  <c r="AF573" i="7"/>
  <c r="AF574" i="7"/>
  <c r="AF575" i="7"/>
  <c r="AF576" i="7"/>
  <c r="AF577" i="7"/>
  <c r="AF578" i="7"/>
  <c r="AF579" i="7"/>
  <c r="AF580" i="7"/>
  <c r="AF581" i="7"/>
  <c r="AF582" i="7"/>
  <c r="AF583" i="7"/>
  <c r="AF584" i="7"/>
  <c r="AF585" i="7"/>
  <c r="AF586" i="7"/>
  <c r="AF587" i="7"/>
  <c r="AF588" i="7"/>
  <c r="AF589" i="7"/>
  <c r="AF590" i="7"/>
  <c r="AF591" i="7"/>
  <c r="AF592" i="7"/>
  <c r="AF593" i="7"/>
  <c r="AF594" i="7"/>
  <c r="AF595" i="7"/>
  <c r="AF596" i="7"/>
  <c r="AF597" i="7"/>
  <c r="AF598" i="7"/>
  <c r="AF599" i="7"/>
  <c r="AF600" i="7"/>
  <c r="AF601" i="7"/>
  <c r="AF602" i="7"/>
  <c r="AF603" i="7"/>
  <c r="AF604" i="7"/>
  <c r="AF605" i="7"/>
  <c r="AF606" i="7"/>
  <c r="AF607" i="7"/>
  <c r="AF608" i="7"/>
  <c r="AF609" i="7"/>
  <c r="AF610" i="7"/>
  <c r="AF611" i="7"/>
  <c r="AF612" i="7"/>
  <c r="AF613" i="7"/>
  <c r="AF614" i="7"/>
  <c r="AF615" i="7"/>
  <c r="AF616" i="7"/>
  <c r="AF617" i="7"/>
  <c r="AF618" i="7"/>
  <c r="AF619" i="7"/>
  <c r="AF620" i="7"/>
  <c r="AF621" i="7"/>
  <c r="AF622" i="7"/>
  <c r="AF623" i="7"/>
  <c r="AF624" i="7"/>
  <c r="AF625" i="7"/>
  <c r="AF626" i="7"/>
  <c r="AF627" i="7"/>
  <c r="AF628" i="7"/>
  <c r="AF629" i="7"/>
  <c r="AF630" i="7"/>
  <c r="AF631" i="7"/>
  <c r="AF632" i="7"/>
  <c r="AF633" i="7"/>
  <c r="AF634" i="7"/>
  <c r="AF635" i="7"/>
  <c r="AF636" i="7"/>
  <c r="AF637" i="7"/>
  <c r="AF638" i="7"/>
  <c r="AF639" i="7"/>
  <c r="AF640" i="7"/>
  <c r="AF641" i="7"/>
  <c r="AF642" i="7"/>
  <c r="AF643" i="7"/>
  <c r="AF644" i="7"/>
  <c r="AF645" i="7"/>
  <c r="AF646" i="7"/>
  <c r="AF647" i="7"/>
  <c r="AF648" i="7"/>
  <c r="AF649" i="7"/>
  <c r="AF650" i="7"/>
  <c r="AF651" i="7"/>
  <c r="AF652" i="7"/>
  <c r="AF653" i="7"/>
  <c r="AF654" i="7"/>
  <c r="AF655" i="7"/>
  <c r="AF656" i="7"/>
  <c r="AF657" i="7"/>
  <c r="AF658" i="7"/>
  <c r="AF659" i="7"/>
  <c r="AF660" i="7"/>
  <c r="AF661" i="7"/>
  <c r="AF662" i="7"/>
  <c r="AF663" i="7"/>
  <c r="AF664" i="7"/>
  <c r="AF665" i="7"/>
  <c r="AF666" i="7"/>
  <c r="AF667" i="7"/>
  <c r="AF668" i="7"/>
  <c r="AF669" i="7"/>
  <c r="AF670" i="7"/>
  <c r="AF671" i="7"/>
  <c r="AF672" i="7"/>
  <c r="AF673" i="7"/>
  <c r="AF674" i="7"/>
  <c r="AF675" i="7"/>
  <c r="AF676" i="7"/>
  <c r="AF677" i="7"/>
  <c r="AF678" i="7"/>
  <c r="AF679" i="7"/>
  <c r="AF680" i="7"/>
  <c r="AF681" i="7"/>
  <c r="AF682" i="7"/>
  <c r="AF683" i="7"/>
  <c r="AF684" i="7"/>
  <c r="AF685" i="7"/>
  <c r="AF686" i="7"/>
  <c r="AF687" i="7"/>
  <c r="AF688" i="7"/>
  <c r="AF689" i="7"/>
  <c r="AF690" i="7"/>
  <c r="AF691" i="7"/>
  <c r="AF692" i="7"/>
  <c r="AF693" i="7"/>
  <c r="AF694" i="7"/>
  <c r="AF695" i="7"/>
  <c r="AF696" i="7"/>
  <c r="AF698" i="7"/>
  <c r="AF699" i="7"/>
  <c r="AF700" i="7"/>
  <c r="AF701" i="7"/>
  <c r="AF702" i="7"/>
  <c r="AF703" i="7"/>
  <c r="AF704" i="7"/>
  <c r="AF705" i="7"/>
  <c r="AF706" i="7"/>
  <c r="AF707" i="7"/>
  <c r="AF708" i="7"/>
  <c r="AF709" i="7"/>
  <c r="AF710" i="7"/>
  <c r="AF711" i="7"/>
  <c r="AF712" i="7"/>
  <c r="AF713" i="7"/>
  <c r="AF714" i="7"/>
  <c r="AF715" i="7"/>
  <c r="AF716" i="7"/>
  <c r="AF717" i="7"/>
  <c r="AF718" i="7"/>
  <c r="AF719" i="7"/>
  <c r="AF720" i="7"/>
  <c r="AF721" i="7"/>
  <c r="AF722" i="7"/>
  <c r="AF723" i="7"/>
  <c r="AF724" i="7"/>
  <c r="AF725" i="7"/>
  <c r="AF726" i="7"/>
  <c r="AF727" i="7"/>
  <c r="AF728" i="7"/>
  <c r="AF729" i="7"/>
  <c r="AF730" i="7"/>
  <c r="AF731" i="7"/>
  <c r="AF732" i="7"/>
  <c r="AF733" i="7"/>
  <c r="AF734" i="7"/>
  <c r="AF735" i="7"/>
  <c r="AF736" i="7"/>
  <c r="AF737" i="7"/>
  <c r="AF738" i="7"/>
  <c r="AF739" i="7"/>
  <c r="AF740" i="7"/>
  <c r="AF741" i="7"/>
  <c r="AF742" i="7"/>
  <c r="AF743" i="7"/>
  <c r="AF744" i="7"/>
  <c r="AF745" i="7"/>
  <c r="AF746" i="7"/>
  <c r="AF747" i="7"/>
  <c r="AF748" i="7"/>
  <c r="AF749" i="7"/>
  <c r="AF750" i="7"/>
  <c r="AF751" i="7"/>
  <c r="AF752" i="7"/>
  <c r="AF753" i="7"/>
  <c r="AF754" i="7"/>
  <c r="AF755" i="7"/>
  <c r="AF756" i="7"/>
  <c r="AF757" i="7"/>
  <c r="AF758" i="7"/>
  <c r="AF759" i="7"/>
  <c r="AF760" i="7"/>
  <c r="AF761" i="7"/>
  <c r="AF762" i="7"/>
  <c r="AF763" i="7"/>
  <c r="AF764" i="7"/>
  <c r="AF765" i="7"/>
  <c r="AF766" i="7"/>
  <c r="AF767" i="7"/>
  <c r="AF768" i="7"/>
  <c r="AF769" i="7"/>
  <c r="AF770" i="7"/>
  <c r="AF771" i="7"/>
  <c r="AF772" i="7"/>
  <c r="AF773" i="7"/>
  <c r="AF774" i="7"/>
  <c r="AF775" i="7"/>
  <c r="AF776" i="7"/>
  <c r="AF777" i="7"/>
  <c r="AF778" i="7"/>
  <c r="AF779" i="7"/>
  <c r="AF780" i="7"/>
  <c r="AF781" i="7"/>
  <c r="AF782" i="7"/>
  <c r="AF783" i="7"/>
  <c r="AF784" i="7"/>
  <c r="AF785" i="7"/>
  <c r="AF786" i="7"/>
  <c r="AF787" i="7"/>
  <c r="AF788" i="7"/>
  <c r="AF789" i="7"/>
  <c r="AF790" i="7"/>
  <c r="AF791" i="7"/>
  <c r="AF792" i="7"/>
  <c r="AF793" i="7"/>
  <c r="AF794" i="7"/>
  <c r="AF795" i="7"/>
  <c r="AF796" i="7"/>
  <c r="AF797" i="7"/>
  <c r="AF798" i="7"/>
  <c r="AF799" i="7"/>
  <c r="AF800" i="7"/>
  <c r="AF801" i="7"/>
  <c r="AF802" i="7"/>
  <c r="AF803" i="7"/>
  <c r="AF804" i="7"/>
  <c r="AF805" i="7"/>
  <c r="AF830" i="7"/>
  <c r="AF831" i="7"/>
  <c r="AF832" i="7"/>
  <c r="AF833" i="7"/>
  <c r="AF834" i="7"/>
  <c r="AF835" i="7"/>
  <c r="AF836" i="7"/>
  <c r="AF837" i="7"/>
  <c r="AF838" i="7"/>
  <c r="AF839" i="7"/>
  <c r="AF840" i="7"/>
  <c r="AF841" i="7"/>
  <c r="AF842" i="7"/>
  <c r="AF843" i="7"/>
  <c r="AF844" i="7"/>
  <c r="AF845" i="7"/>
  <c r="AF846" i="7"/>
  <c r="AF847" i="7"/>
  <c r="AF848" i="7"/>
  <c r="AF849" i="7"/>
  <c r="AF850" i="7"/>
  <c r="AF851" i="7"/>
  <c r="AF852" i="7"/>
  <c r="AF853" i="7"/>
  <c r="AF854" i="7"/>
  <c r="AF855" i="7"/>
  <c r="AF856" i="7"/>
  <c r="AF857" i="7"/>
  <c r="AF858" i="7"/>
  <c r="AF859" i="7"/>
  <c r="AF860" i="7"/>
  <c r="AF861" i="7"/>
  <c r="AF862" i="7"/>
  <c r="AF863" i="7"/>
  <c r="AF864" i="7"/>
  <c r="AF865" i="7"/>
  <c r="AF866" i="7"/>
  <c r="AF867" i="7"/>
  <c r="AF868" i="7"/>
  <c r="AF869" i="7"/>
  <c r="AF870" i="7"/>
  <c r="AF871" i="7"/>
  <c r="AF872" i="7"/>
  <c r="AF873" i="7"/>
  <c r="AF874" i="7"/>
  <c r="AF875" i="7"/>
  <c r="AF876" i="7"/>
  <c r="AF877" i="7"/>
  <c r="AF878" i="7"/>
  <c r="AF879" i="7"/>
  <c r="AF880" i="7"/>
  <c r="AF881" i="7"/>
  <c r="AF882" i="7"/>
  <c r="AF883" i="7"/>
  <c r="AF884" i="7"/>
  <c r="AF885" i="7"/>
  <c r="AF886" i="7"/>
  <c r="AF887" i="7"/>
  <c r="AF888" i="7"/>
  <c r="AF889" i="7"/>
  <c r="AF890" i="7"/>
  <c r="AF891" i="7"/>
  <c r="AF892" i="7"/>
  <c r="AF893" i="7"/>
  <c r="AF894" i="7"/>
  <c r="AF895" i="7"/>
  <c r="AF896" i="7"/>
  <c r="AF897" i="7"/>
  <c r="AF898" i="7"/>
  <c r="AF899" i="7"/>
  <c r="AF900" i="7"/>
  <c r="AF901" i="7"/>
  <c r="AF902" i="7"/>
  <c r="AF903" i="7"/>
  <c r="AF904" i="7"/>
  <c r="AF905" i="7"/>
  <c r="AF906" i="7"/>
  <c r="AF907" i="7"/>
  <c r="AF908" i="7"/>
  <c r="AF909" i="7"/>
  <c r="AF910" i="7"/>
  <c r="AF911" i="7"/>
  <c r="AF912" i="7"/>
  <c r="AF913" i="7"/>
  <c r="AF914" i="7"/>
  <c r="AF915" i="7"/>
  <c r="AF916" i="7"/>
  <c r="AF917" i="7"/>
  <c r="AF918" i="7"/>
  <c r="AF919" i="7"/>
  <c r="AF920" i="7"/>
  <c r="AF921" i="7"/>
  <c r="AF922" i="7"/>
  <c r="AF923" i="7"/>
  <c r="AF924" i="7"/>
  <c r="AF925" i="7"/>
  <c r="AF926" i="7"/>
  <c r="AF927" i="7"/>
  <c r="AF928" i="7"/>
  <c r="AF929" i="7"/>
  <c r="AF930" i="7"/>
  <c r="AF931" i="7"/>
  <c r="AF932" i="7"/>
  <c r="AF933" i="7"/>
  <c r="AF934" i="7"/>
  <c r="AF935" i="7"/>
  <c r="AF936" i="7"/>
  <c r="AF937" i="7"/>
  <c r="AF938" i="7"/>
  <c r="AF939" i="7"/>
  <c r="AF940" i="7"/>
  <c r="AF941" i="7"/>
  <c r="AF942" i="7"/>
  <c r="AF943" i="7"/>
  <c r="AF944" i="7"/>
  <c r="AF945" i="7"/>
  <c r="AF946" i="7"/>
  <c r="AF947" i="7"/>
  <c r="AF948" i="7"/>
  <c r="AF949" i="7"/>
  <c r="AF950" i="7"/>
  <c r="AF951" i="7"/>
  <c r="AF952" i="7"/>
  <c r="AF953" i="7"/>
  <c r="AF954" i="7"/>
  <c r="AF955" i="7"/>
  <c r="AF956" i="7"/>
  <c r="AF957" i="7"/>
  <c r="AF958" i="7"/>
  <c r="AF959" i="7"/>
  <c r="AF960" i="7"/>
  <c r="AF961" i="7"/>
  <c r="AF962" i="7"/>
  <c r="AF963" i="7"/>
  <c r="AF964" i="7"/>
  <c r="AF965" i="7"/>
  <c r="AF966" i="7"/>
  <c r="AF967" i="7"/>
  <c r="AF968" i="7"/>
  <c r="AF969" i="7"/>
  <c r="AF970" i="7"/>
  <c r="AF971" i="7"/>
  <c r="AF972" i="7"/>
  <c r="AF973" i="7"/>
  <c r="AF974" i="7"/>
  <c r="AF975" i="7"/>
  <c r="AF976" i="7"/>
  <c r="AF977" i="7"/>
  <c r="AF978" i="7"/>
  <c r="AF979" i="7"/>
  <c r="AF980" i="7"/>
  <c r="AF981" i="7"/>
  <c r="AF982" i="7"/>
  <c r="AF983" i="7"/>
  <c r="AF984" i="7"/>
  <c r="AF985" i="7"/>
  <c r="AF986" i="7"/>
  <c r="AF987" i="7"/>
  <c r="AF988" i="7"/>
  <c r="AF989" i="7"/>
  <c r="AF990" i="7"/>
  <c r="AF991" i="7"/>
  <c r="AF992" i="7"/>
  <c r="AF993" i="7"/>
  <c r="AF994" i="7"/>
  <c r="AF995" i="7"/>
  <c r="AF996" i="7"/>
  <c r="AF997" i="7"/>
  <c r="AF998" i="7"/>
  <c r="AF999" i="7"/>
  <c r="AF1000" i="7"/>
  <c r="AF1001" i="7"/>
  <c r="AF1002" i="7"/>
  <c r="AF1003" i="7"/>
  <c r="AF1004" i="7"/>
  <c r="AF1005" i="7"/>
  <c r="AF1006" i="7"/>
  <c r="AF1007" i="7"/>
  <c r="AF1008" i="7"/>
  <c r="AF1009" i="7"/>
  <c r="AF1010" i="7"/>
  <c r="AF1011" i="7"/>
  <c r="AF1012" i="7"/>
  <c r="AF1013" i="7"/>
  <c r="AF1014" i="7"/>
  <c r="AF1015" i="7"/>
  <c r="AF1016" i="7"/>
  <c r="AF1017" i="7"/>
  <c r="AF1018" i="7"/>
  <c r="AF1019" i="7"/>
  <c r="AF1020" i="7"/>
  <c r="AF1021" i="7"/>
  <c r="AF1022" i="7"/>
  <c r="AF1023" i="7"/>
  <c r="AF1024" i="7"/>
  <c r="AF1025" i="7"/>
  <c r="AF1026" i="7"/>
  <c r="AF1027" i="7"/>
  <c r="AF1028" i="7"/>
  <c r="AF1029" i="7"/>
  <c r="AF1030" i="7"/>
  <c r="AF1031" i="7"/>
  <c r="AF1032" i="7"/>
  <c r="AF1033" i="7"/>
  <c r="AF1034" i="7"/>
  <c r="AF1035" i="7"/>
  <c r="AF1036" i="7"/>
  <c r="AF1037" i="7"/>
  <c r="AF1038" i="7"/>
  <c r="AF1039" i="7"/>
  <c r="AF1040" i="7"/>
  <c r="AF1041" i="7"/>
  <c r="AF1042" i="7"/>
  <c r="AF1043" i="7"/>
  <c r="AF1044" i="7"/>
  <c r="AF1045" i="7"/>
  <c r="AF1046" i="7"/>
  <c r="AF1047" i="7"/>
  <c r="AF1048" i="7"/>
  <c r="AF1049" i="7"/>
  <c r="AF1050" i="7"/>
  <c r="AF1051" i="7"/>
  <c r="AF1052" i="7"/>
  <c r="AF1053" i="7"/>
  <c r="AF1054" i="7"/>
  <c r="AF1055" i="7"/>
  <c r="AF1056" i="7"/>
  <c r="AF1057" i="7"/>
  <c r="AF1058" i="7"/>
  <c r="AF1059" i="7"/>
  <c r="AF1060" i="7"/>
  <c r="AF1061" i="7"/>
  <c r="AF1062" i="7"/>
  <c r="AF1063" i="7"/>
  <c r="AF1064" i="7"/>
  <c r="AF1065" i="7"/>
  <c r="AF1066" i="7"/>
  <c r="AF1067" i="7"/>
  <c r="AF1068" i="7"/>
  <c r="AF1069" i="7"/>
  <c r="AF1070" i="7"/>
  <c r="AF1071" i="7"/>
  <c r="AF1072" i="7"/>
  <c r="AF1073" i="7"/>
  <c r="AF1074" i="7"/>
  <c r="AF1075" i="7"/>
  <c r="AF1076" i="7"/>
  <c r="AF1077" i="7"/>
  <c r="AF1078" i="7"/>
  <c r="AF1079" i="7"/>
  <c r="AF1080" i="7"/>
  <c r="AF1081" i="7"/>
  <c r="AF1082" i="7"/>
  <c r="AF1083" i="7"/>
  <c r="AF1084" i="7"/>
  <c r="AF1085" i="7"/>
  <c r="AF1086" i="7"/>
  <c r="AF1087" i="7"/>
  <c r="AF1088" i="7"/>
  <c r="AF1089" i="7"/>
  <c r="AF1090" i="7"/>
  <c r="AF1091" i="7"/>
  <c r="AF1092" i="7"/>
  <c r="AF1093" i="7"/>
  <c r="AF1094" i="7"/>
  <c r="AF1095" i="7"/>
  <c r="AF1096" i="7"/>
  <c r="AF1097" i="7"/>
  <c r="AF1098" i="7"/>
  <c r="AF1099" i="7"/>
  <c r="AF1100" i="7"/>
  <c r="AF1101" i="7"/>
  <c r="AF1102" i="7"/>
  <c r="AF1103" i="7"/>
  <c r="AF1104" i="7"/>
  <c r="AF1105" i="7"/>
  <c r="AF1106" i="7"/>
  <c r="AF1107" i="7"/>
  <c r="AF1108" i="7"/>
  <c r="AF1109" i="7"/>
  <c r="AF1110" i="7"/>
  <c r="AF1111" i="7"/>
  <c r="AF1112" i="7"/>
  <c r="AF1113" i="7"/>
  <c r="AF1114" i="7"/>
  <c r="AF1115" i="7"/>
  <c r="AF1116" i="7"/>
  <c r="AF1117" i="7"/>
  <c r="AF1118" i="7"/>
  <c r="AF1119" i="7"/>
  <c r="AF1120" i="7"/>
  <c r="AF1121" i="7"/>
  <c r="AF1122" i="7"/>
  <c r="AF1123" i="7"/>
  <c r="AF1124" i="7"/>
  <c r="AF1125" i="7"/>
  <c r="AF1126" i="7"/>
  <c r="AF1127" i="7"/>
  <c r="AF1128" i="7"/>
  <c r="AF1129" i="7"/>
  <c r="AF1130" i="7"/>
  <c r="AF1131" i="7"/>
  <c r="AF1132" i="7"/>
  <c r="AF1133" i="7"/>
  <c r="AF1134" i="7"/>
  <c r="AF1135" i="7"/>
  <c r="AF1136" i="7"/>
  <c r="AF1137" i="7"/>
  <c r="AF1138" i="7"/>
  <c r="AF1139" i="7"/>
  <c r="AF1140" i="7"/>
  <c r="AF1141" i="7"/>
  <c r="AF1142" i="7"/>
  <c r="AF1143" i="7"/>
  <c r="AF1144" i="7"/>
  <c r="AF1145" i="7"/>
  <c r="AF1146" i="7"/>
  <c r="AF1147" i="7"/>
  <c r="AF1148" i="7"/>
  <c r="AF1149" i="7"/>
  <c r="AF1150" i="7"/>
  <c r="AF1151" i="7"/>
  <c r="AF1152" i="7"/>
  <c r="AF1153" i="7"/>
  <c r="AF1154" i="7"/>
  <c r="AF1155" i="7"/>
  <c r="AF1156" i="7"/>
  <c r="AF1157" i="7"/>
  <c r="AF1158" i="7"/>
  <c r="AF1159" i="7"/>
  <c r="AF1160" i="7"/>
  <c r="AF1161" i="7"/>
  <c r="AF1162" i="7"/>
  <c r="AF1163" i="7"/>
  <c r="AF1164" i="7"/>
  <c r="AF1165" i="7"/>
  <c r="AF1166" i="7"/>
  <c r="AF1167" i="7"/>
  <c r="AF1168" i="7"/>
  <c r="AF1169" i="7"/>
  <c r="AF1170" i="7"/>
  <c r="AF1171" i="7"/>
  <c r="AF1172" i="7"/>
  <c r="AF1173" i="7"/>
  <c r="AF1174" i="7"/>
  <c r="AF1175" i="7"/>
  <c r="AF1176" i="7"/>
  <c r="AF1177" i="7"/>
  <c r="AF1178" i="7"/>
  <c r="AF1179" i="7"/>
  <c r="AF1180" i="7"/>
  <c r="AF1181" i="7"/>
  <c r="AF1182" i="7"/>
  <c r="AF1183" i="7"/>
  <c r="AF1184" i="7"/>
  <c r="AF1185" i="7"/>
  <c r="AF1186" i="7"/>
  <c r="AF1187" i="7"/>
  <c r="AF1188" i="7"/>
  <c r="AF1189" i="7"/>
  <c r="AF1190" i="7"/>
  <c r="AF1191" i="7"/>
  <c r="AF1192" i="7"/>
  <c r="AF1193" i="7"/>
  <c r="AF1194" i="7"/>
  <c r="AF1195" i="7"/>
  <c r="AF1196" i="7"/>
  <c r="AF1197" i="7"/>
  <c r="AF1198" i="7"/>
  <c r="AF1199" i="7"/>
  <c r="AF1200" i="7"/>
  <c r="AF1201" i="7"/>
  <c r="AF1202" i="7"/>
  <c r="AF1203" i="7"/>
  <c r="AF1204" i="7"/>
  <c r="AF1205" i="7"/>
  <c r="AF1206" i="7"/>
  <c r="AF1207" i="7"/>
  <c r="AF1208" i="7"/>
  <c r="AF1209" i="7"/>
  <c r="AF1210" i="7"/>
  <c r="AF1211" i="7"/>
  <c r="AF1212" i="7"/>
  <c r="AF1213" i="7"/>
  <c r="AF1214" i="7"/>
  <c r="AF1215" i="7"/>
  <c r="AF1216" i="7"/>
  <c r="AF1217" i="7"/>
  <c r="AF1218" i="7"/>
  <c r="AF1219" i="7"/>
  <c r="AF1220" i="7"/>
  <c r="AF1221" i="7"/>
  <c r="AF1222" i="7"/>
  <c r="AF1223" i="7"/>
  <c r="AF1224" i="7"/>
  <c r="AF1225" i="7"/>
  <c r="AF1226" i="7"/>
  <c r="AF1227" i="7"/>
  <c r="AF1228" i="7"/>
  <c r="AF1229" i="7"/>
  <c r="AF1230" i="7"/>
  <c r="AF1231" i="7"/>
  <c r="AF1232" i="7"/>
  <c r="AF1233" i="7"/>
  <c r="AF1234" i="7"/>
  <c r="AF1235" i="7"/>
  <c r="AF1236" i="7"/>
  <c r="AF1237" i="7"/>
  <c r="AF1238" i="7"/>
  <c r="AF1239" i="7"/>
  <c r="AF1240" i="7"/>
  <c r="AF1241" i="7"/>
  <c r="AF1242" i="7"/>
  <c r="AF1243" i="7"/>
  <c r="AF1244" i="7"/>
  <c r="AF1245" i="7"/>
  <c r="AF1246" i="7"/>
  <c r="AF1247" i="7"/>
  <c r="AF1248" i="7"/>
  <c r="AF1249" i="7"/>
  <c r="AF1250" i="7"/>
  <c r="AF1251" i="7"/>
  <c r="AF1252" i="7"/>
  <c r="AF1253" i="7"/>
  <c r="AF1254" i="7"/>
  <c r="AF1255" i="7"/>
  <c r="AF1256" i="7"/>
  <c r="AF1257" i="7"/>
  <c r="AF1258" i="7"/>
  <c r="AF1259" i="7"/>
  <c r="AF1260" i="7"/>
  <c r="AF1261" i="7"/>
  <c r="AF1262" i="7"/>
  <c r="AF1263" i="7"/>
  <c r="AF1264" i="7"/>
  <c r="AF1265" i="7"/>
  <c r="AF1266" i="7"/>
  <c r="AF1267" i="7"/>
  <c r="AF1268" i="7"/>
  <c r="AF1269" i="7"/>
  <c r="AF1270" i="7"/>
  <c r="AF1271" i="7"/>
  <c r="AF1272" i="7"/>
  <c r="AF1273" i="7"/>
  <c r="AF1274" i="7"/>
  <c r="AF1275" i="7"/>
  <c r="AF1276" i="7"/>
  <c r="AF1277" i="7"/>
  <c r="AF1278" i="7"/>
  <c r="AF1279" i="7"/>
  <c r="AF1280" i="7"/>
  <c r="AF1281" i="7"/>
  <c r="AF1282" i="7"/>
  <c r="AF1283" i="7"/>
  <c r="AF1284" i="7"/>
  <c r="AF1285" i="7"/>
  <c r="AF1286" i="7"/>
  <c r="AF1287" i="7"/>
  <c r="AF1288" i="7"/>
  <c r="AF1289" i="7"/>
  <c r="AF1290" i="7"/>
  <c r="AF1291" i="7"/>
  <c r="AF1312" i="7"/>
  <c r="AF1313" i="7"/>
  <c r="AF1314" i="7"/>
  <c r="AF1315" i="7"/>
  <c r="AF1316" i="7"/>
  <c r="AF1317" i="7"/>
  <c r="AF1318" i="7"/>
  <c r="AF1319" i="7"/>
  <c r="AF1320" i="7"/>
  <c r="AF1321" i="7"/>
  <c r="AF1322" i="7"/>
  <c r="AF1323" i="7"/>
  <c r="AF1324" i="7"/>
  <c r="AF1325" i="7"/>
  <c r="AF1326" i="7"/>
  <c r="AF1327" i="7"/>
  <c r="AF1328" i="7"/>
  <c r="AF1329" i="7"/>
  <c r="AF1330" i="7"/>
  <c r="AF1331" i="7"/>
  <c r="AF1332" i="7"/>
  <c r="AF1333" i="7"/>
  <c r="AF1334" i="7"/>
  <c r="AF1335" i="7"/>
  <c r="AF1336" i="7"/>
  <c r="AF1337" i="7"/>
  <c r="AF1338" i="7"/>
  <c r="AF1339" i="7"/>
  <c r="AF1340" i="7"/>
  <c r="AF1341" i="7"/>
  <c r="AF1342" i="7"/>
  <c r="AF1343" i="7"/>
  <c r="AF1344" i="7"/>
  <c r="AF1345" i="7"/>
  <c r="AF1346" i="7"/>
  <c r="AF1347" i="7"/>
  <c r="AF1348" i="7"/>
  <c r="AF1349" i="7"/>
  <c r="AF1350" i="7"/>
  <c r="AF1351" i="7"/>
  <c r="AF1352" i="7"/>
  <c r="AF1353" i="7"/>
  <c r="AF1354" i="7"/>
  <c r="AF1355" i="7"/>
  <c r="AF1356" i="7"/>
  <c r="AF1357" i="7"/>
  <c r="AF1358" i="7"/>
  <c r="AF1359" i="7"/>
  <c r="AF1360" i="7"/>
  <c r="AF1361" i="7"/>
  <c r="AF1362" i="7"/>
  <c r="AF1363" i="7"/>
  <c r="AF1364" i="7"/>
  <c r="AF1365" i="7"/>
  <c r="AF1366" i="7"/>
  <c r="AF1367" i="7"/>
  <c r="AF1368" i="7"/>
  <c r="AF1369" i="7"/>
  <c r="AF1370" i="7"/>
  <c r="AF1371" i="7"/>
  <c r="AF1372" i="7"/>
  <c r="AF1373" i="7"/>
  <c r="AF1374" i="7"/>
  <c r="AF1375" i="7"/>
  <c r="AF1376" i="7"/>
  <c r="AF1377" i="7"/>
  <c r="AF1378" i="7"/>
  <c r="AF1379" i="7"/>
  <c r="AF1380" i="7"/>
  <c r="AF1381" i="7"/>
  <c r="AF1382" i="7"/>
  <c r="AF1383" i="7"/>
  <c r="AF1384" i="7"/>
  <c r="AF1385" i="7"/>
  <c r="AF1386" i="7"/>
  <c r="AF1387" i="7"/>
  <c r="AF1388" i="7"/>
  <c r="AF1389" i="7"/>
  <c r="AF1390" i="7"/>
  <c r="AF1391" i="7"/>
  <c r="AF1392" i="7"/>
  <c r="AF1393" i="7"/>
  <c r="AF1394" i="7"/>
  <c r="AF1395" i="7"/>
  <c r="AF1396" i="7"/>
  <c r="AF1397" i="7"/>
  <c r="AF1398" i="7"/>
  <c r="AF1399" i="7"/>
  <c r="AF1400" i="7"/>
  <c r="AF1401" i="7"/>
  <c r="AF1402" i="7"/>
  <c r="AF1403" i="7"/>
  <c r="AF1404" i="7"/>
  <c r="AF1405" i="7"/>
  <c r="AF1406" i="7"/>
  <c r="AF1407" i="7"/>
  <c r="AF1408" i="7"/>
  <c r="AF1409" i="7"/>
  <c r="AF1410" i="7"/>
  <c r="AF1411" i="7"/>
  <c r="AF1412" i="7"/>
  <c r="AF1413" i="7"/>
  <c r="AF1414" i="7"/>
  <c r="AF1415" i="7"/>
  <c r="AF1416" i="7"/>
  <c r="AF1417" i="7"/>
  <c r="AF1418" i="7"/>
  <c r="AF1419" i="7"/>
  <c r="AF1420" i="7"/>
  <c r="AF1421" i="7"/>
  <c r="AF1422" i="7"/>
  <c r="AF1423" i="7"/>
  <c r="AF1424" i="7"/>
  <c r="AF1425" i="7"/>
  <c r="AF1426" i="7"/>
  <c r="AF1427" i="7"/>
  <c r="AF1428" i="7"/>
  <c r="AF1429" i="7"/>
  <c r="AF1430" i="7"/>
  <c r="AF1431" i="7"/>
  <c r="AF1432" i="7"/>
  <c r="AF1433" i="7"/>
  <c r="AF1434" i="7"/>
  <c r="AF1435" i="7"/>
  <c r="AF1436" i="7"/>
  <c r="AF1437" i="7"/>
  <c r="AF1438" i="7"/>
  <c r="AF1439" i="7"/>
  <c r="AF1440" i="7"/>
  <c r="AF1441" i="7"/>
  <c r="AF1442" i="7"/>
  <c r="AF1443" i="7"/>
  <c r="AF1444" i="7"/>
  <c r="AF1445" i="7"/>
  <c r="AF1446" i="7"/>
  <c r="AF1447" i="7"/>
  <c r="AF1448" i="7"/>
  <c r="AF1449" i="7"/>
  <c r="AF1450" i="7"/>
  <c r="AF1451" i="7"/>
  <c r="AF1452" i="7"/>
  <c r="AF1453" i="7"/>
  <c r="AF1454" i="7"/>
  <c r="AF1455" i="7"/>
  <c r="AF1456" i="7"/>
  <c r="AF1457" i="7"/>
  <c r="AF1458" i="7"/>
  <c r="AF1459" i="7"/>
  <c r="AF1460" i="7"/>
  <c r="AF1461" i="7"/>
  <c r="AF1462" i="7"/>
  <c r="AF1463" i="7"/>
  <c r="AF1464" i="7"/>
  <c r="AF1465" i="7"/>
  <c r="AF1466" i="7"/>
  <c r="AF1467" i="7"/>
  <c r="AF1468" i="7"/>
  <c r="AF1469" i="7"/>
  <c r="AF1470" i="7"/>
  <c r="AF1471" i="7"/>
  <c r="AF1472" i="7"/>
  <c r="AF1473" i="7"/>
  <c r="AF1474" i="7"/>
  <c r="AF1475" i="7"/>
  <c r="AF1476" i="7"/>
  <c r="AF1477" i="7"/>
  <c r="AF1478" i="7"/>
  <c r="AF1479" i="7"/>
  <c r="AF1480" i="7"/>
  <c r="AF1481" i="7"/>
  <c r="AF1482" i="7"/>
  <c r="AF1483" i="7"/>
  <c r="AF1484" i="7"/>
  <c r="AF1485" i="7"/>
  <c r="AF1486" i="7"/>
  <c r="AF1487" i="7"/>
  <c r="AF1488" i="7"/>
  <c r="AF1489" i="7"/>
  <c r="AF1490" i="7"/>
  <c r="AF1491" i="7"/>
  <c r="AF1492" i="7"/>
  <c r="AF1493" i="7"/>
  <c r="AF1494" i="7"/>
  <c r="AF1495" i="7"/>
  <c r="AF1496" i="7"/>
  <c r="AF1497" i="7"/>
  <c r="AF1498" i="7"/>
  <c r="AF1499" i="7"/>
  <c r="AF1500" i="7"/>
  <c r="AF1501" i="7"/>
  <c r="AF1502" i="7"/>
  <c r="AF1503" i="7"/>
  <c r="AF1504" i="7"/>
  <c r="AF1505" i="7"/>
  <c r="AF1506" i="7"/>
  <c r="AF1507" i="7"/>
  <c r="AF1508" i="7"/>
  <c r="AF1509" i="7"/>
  <c r="AF1510" i="7"/>
  <c r="AF1511" i="7"/>
  <c r="AF1512" i="7"/>
  <c r="AF1513" i="7"/>
  <c r="AF1514" i="7"/>
  <c r="AF1515" i="7"/>
  <c r="AF1516" i="7"/>
  <c r="AF1517" i="7"/>
  <c r="AF1518" i="7"/>
  <c r="AF1519" i="7"/>
  <c r="AF1520" i="7"/>
  <c r="AF1521" i="7"/>
  <c r="AF1522" i="7"/>
  <c r="AF1523" i="7"/>
  <c r="AF1524" i="7"/>
  <c r="AF1525" i="7"/>
  <c r="AF1526" i="7"/>
  <c r="AF1527" i="7"/>
  <c r="AF1528" i="7"/>
  <c r="AF1529" i="7"/>
  <c r="AF1530" i="7"/>
  <c r="AF1531" i="7"/>
  <c r="AF1532" i="7"/>
  <c r="AF1533" i="7"/>
  <c r="AF1534" i="7"/>
  <c r="AF1535" i="7"/>
  <c r="AF1536" i="7"/>
  <c r="AF1537" i="7"/>
  <c r="AF1538" i="7"/>
  <c r="AF1539" i="7"/>
  <c r="AF1540" i="7"/>
  <c r="AF1541" i="7"/>
  <c r="AF1542" i="7"/>
  <c r="AF1543" i="7"/>
  <c r="AF1544" i="7"/>
  <c r="AF1545" i="7"/>
  <c r="AF1546" i="7"/>
  <c r="AF1547" i="7"/>
  <c r="AF1548" i="7"/>
  <c r="AF1549" i="7"/>
  <c r="AF1550" i="7"/>
  <c r="AF1551" i="7"/>
  <c r="AF1552" i="7"/>
  <c r="AF1553" i="7"/>
  <c r="AF1554" i="7"/>
  <c r="AF1555" i="7"/>
  <c r="AF1556" i="7"/>
  <c r="AF1557" i="7"/>
  <c r="AF1558" i="7"/>
  <c r="AF1559" i="7"/>
  <c r="AF1560" i="7"/>
  <c r="AF1561" i="7"/>
  <c r="AF1562" i="7"/>
  <c r="AF1563" i="7"/>
  <c r="AF1564" i="7"/>
  <c r="AF1565" i="7"/>
  <c r="AF1566" i="7"/>
  <c r="AF1567" i="7"/>
  <c r="AF1568" i="7"/>
  <c r="AF1569" i="7"/>
  <c r="AF1570" i="7"/>
  <c r="AF1571" i="7"/>
  <c r="AF1572" i="7"/>
  <c r="AF1573" i="7"/>
  <c r="AF1574" i="7"/>
  <c r="AF1575" i="7"/>
  <c r="AF1576" i="7"/>
  <c r="AF1577" i="7"/>
  <c r="AF1578" i="7"/>
  <c r="AF1579" i="7"/>
  <c r="AF1580" i="7"/>
  <c r="AF1581" i="7"/>
  <c r="AF1582" i="7"/>
  <c r="AF1583" i="7"/>
  <c r="AF1584" i="7"/>
  <c r="AF1585" i="7"/>
  <c r="AF1586" i="7"/>
  <c r="AF1587" i="7"/>
  <c r="AF1588" i="7"/>
  <c r="AF1589" i="7"/>
  <c r="AF1590" i="7"/>
  <c r="AF1591" i="7"/>
  <c r="AF1592" i="7"/>
  <c r="AF1593" i="7"/>
  <c r="AF1594" i="7"/>
  <c r="AF1595" i="7"/>
  <c r="AF1596" i="7"/>
  <c r="AF1597" i="7"/>
  <c r="AF1598" i="7"/>
  <c r="AF1599" i="7"/>
  <c r="AF1600" i="7"/>
  <c r="AF1601" i="7"/>
  <c r="AF1602" i="7"/>
  <c r="AF1603" i="7"/>
  <c r="AF1604" i="7"/>
  <c r="AF1605" i="7"/>
  <c r="AF1606" i="7"/>
  <c r="AF1607" i="7"/>
  <c r="AF1608" i="7"/>
  <c r="AF1609" i="7"/>
  <c r="AF1610" i="7"/>
  <c r="AF1611" i="7"/>
  <c r="AF1612" i="7"/>
  <c r="AF1613" i="7"/>
  <c r="AF1614" i="7"/>
  <c r="AF1615" i="7"/>
  <c r="AF1616" i="7"/>
  <c r="AF1617" i="7"/>
  <c r="AF1618" i="7"/>
  <c r="AF1619" i="7"/>
  <c r="AF1620" i="7"/>
  <c r="AF1621" i="7"/>
  <c r="AF1622" i="7"/>
  <c r="AF1623" i="7"/>
  <c r="AF1624" i="7"/>
  <c r="AF1625" i="7"/>
  <c r="AF1626" i="7"/>
  <c r="AF1627" i="7"/>
  <c r="AF1628" i="7"/>
  <c r="AF1629" i="7"/>
  <c r="AF1630" i="7"/>
  <c r="AF1631" i="7"/>
  <c r="AF1632" i="7"/>
  <c r="AF1633" i="7"/>
  <c r="AF1634" i="7"/>
  <c r="AF1635" i="7"/>
  <c r="AF1636" i="7"/>
  <c r="AF1637" i="7"/>
  <c r="AF1638" i="7"/>
  <c r="AF1639" i="7"/>
  <c r="AF1640" i="7"/>
  <c r="AF1641" i="7"/>
  <c r="AF1642" i="7"/>
  <c r="AF1643" i="7"/>
  <c r="AF1644" i="7"/>
  <c r="AF1645" i="7"/>
  <c r="AF1646" i="7"/>
  <c r="AF1647" i="7"/>
  <c r="AF1648" i="7"/>
  <c r="AF1649" i="7"/>
  <c r="AF1650" i="7"/>
  <c r="AF1651" i="7"/>
  <c r="AF1652" i="7"/>
  <c r="AF1653" i="7"/>
  <c r="AF1654" i="7"/>
  <c r="AF1655" i="7"/>
  <c r="AF1656" i="7"/>
  <c r="AF1657" i="7"/>
  <c r="AF1658" i="7"/>
  <c r="AF1659" i="7"/>
  <c r="AF1660" i="7"/>
  <c r="AF1661" i="7"/>
  <c r="AF1662" i="7"/>
  <c r="AF1663" i="7"/>
  <c r="AF1664" i="7"/>
  <c r="AF1665" i="7"/>
  <c r="AF1666" i="7"/>
  <c r="AF1667" i="7"/>
  <c r="AF1668" i="7"/>
  <c r="AF1669" i="7"/>
  <c r="AF1670" i="7"/>
  <c r="AF1671" i="7"/>
  <c r="AF1672" i="7"/>
  <c r="AF1673" i="7"/>
  <c r="AF1674" i="7"/>
  <c r="AF1675" i="7"/>
  <c r="AF1676" i="7"/>
  <c r="AF1677" i="7"/>
  <c r="AF1994" i="7"/>
  <c r="AF2022" i="7"/>
  <c r="AF2023" i="7"/>
  <c r="AF2024" i="7"/>
  <c r="AF2025" i="7"/>
  <c r="AF2026" i="7"/>
  <c r="AF2027" i="7"/>
  <c r="AF2028" i="7"/>
  <c r="AF2029" i="7"/>
  <c r="AF2030" i="7"/>
  <c r="AF2031" i="7"/>
  <c r="AF2032" i="7"/>
  <c r="AF2033" i="7"/>
  <c r="AF2034" i="7"/>
  <c r="AF2035" i="7"/>
  <c r="AF2036" i="7"/>
  <c r="AF2037" i="7"/>
  <c r="AF2038" i="7"/>
  <c r="AF2039" i="7"/>
  <c r="AF2040" i="7"/>
  <c r="AF2041" i="7"/>
  <c r="AF2042" i="7"/>
  <c r="AF2043" i="7"/>
  <c r="AF2044" i="7"/>
  <c r="AF2045" i="7"/>
  <c r="AF2046" i="7"/>
  <c r="AF2047" i="7"/>
  <c r="AF2048" i="7"/>
  <c r="AF2049" i="7"/>
  <c r="AF2050" i="7"/>
  <c r="AF2051" i="7"/>
  <c r="AF2052" i="7"/>
  <c r="AF2053" i="7"/>
  <c r="AF2054" i="7"/>
  <c r="AF2055" i="7"/>
  <c r="AF2056" i="7"/>
  <c r="AF2057" i="7"/>
  <c r="AF2058" i="7"/>
  <c r="AF2059" i="7"/>
  <c r="AF2060" i="7"/>
  <c r="AF2061" i="7"/>
  <c r="AF2062" i="7"/>
  <c r="AF2063" i="7"/>
  <c r="AF2064" i="7"/>
  <c r="AF2065" i="7"/>
  <c r="AF2066" i="7"/>
  <c r="AF2067" i="7"/>
  <c r="AF2068" i="7"/>
  <c r="AF2069" i="7"/>
  <c r="AF2070" i="7"/>
  <c r="AF2071" i="7"/>
  <c r="AF2072" i="7"/>
  <c r="AF2073" i="7"/>
  <c r="AF2074" i="7"/>
  <c r="AF2075" i="7"/>
  <c r="AF2076" i="7"/>
  <c r="AF2077" i="7"/>
  <c r="AF2078" i="7"/>
  <c r="AF2079" i="7"/>
  <c r="AF2080" i="7"/>
  <c r="AF2081" i="7"/>
  <c r="AF2082" i="7"/>
  <c r="AF2083" i="7"/>
  <c r="AF2084" i="7"/>
  <c r="AF2085" i="7"/>
  <c r="AF2086" i="7"/>
  <c r="AF2087" i="7"/>
  <c r="AF2088" i="7"/>
  <c r="AF2089" i="7"/>
  <c r="AF2090" i="7"/>
  <c r="AF2091" i="7"/>
  <c r="AF2092" i="7"/>
  <c r="AF2093" i="7"/>
  <c r="AF2094" i="7"/>
  <c r="AF2095" i="7"/>
  <c r="AF2096" i="7"/>
  <c r="AF2097" i="7"/>
  <c r="AF2098" i="7"/>
  <c r="AF2099" i="7"/>
  <c r="AF2100" i="7"/>
  <c r="AF2101" i="7"/>
  <c r="AF2102" i="7"/>
  <c r="AF2103" i="7"/>
  <c r="AF2104" i="7"/>
  <c r="AF2105" i="7"/>
  <c r="AF2106" i="7"/>
  <c r="AF2107" i="7"/>
  <c r="AF2108" i="7"/>
  <c r="AF2109" i="7"/>
  <c r="AF2110" i="7"/>
  <c r="AF2111" i="7"/>
  <c r="AF2112" i="7"/>
  <c r="AF2113" i="7"/>
  <c r="AF2114" i="7"/>
  <c r="AF2115" i="7"/>
  <c r="AF2116" i="7"/>
  <c r="AF2117" i="7"/>
  <c r="AF2118" i="7"/>
  <c r="AF2119" i="7"/>
  <c r="AF2120" i="7"/>
  <c r="AF2121" i="7"/>
  <c r="AF2122" i="7"/>
  <c r="AF2123" i="7"/>
  <c r="AF2124" i="7"/>
  <c r="AF2125" i="7"/>
  <c r="AF2126" i="7"/>
  <c r="AF2127" i="7"/>
  <c r="AF2128" i="7"/>
  <c r="AF2129" i="7"/>
  <c r="AF2130" i="7"/>
  <c r="AF2131" i="7"/>
  <c r="AF2132" i="7"/>
  <c r="AF2133" i="7"/>
  <c r="AF2134" i="7"/>
  <c r="AF2135" i="7"/>
  <c r="AF2136" i="7"/>
  <c r="AF2137" i="7"/>
  <c r="AF2138" i="7"/>
  <c r="AF2139" i="7"/>
  <c r="AF2140" i="7"/>
  <c r="AF2141" i="7"/>
  <c r="AF2142" i="7"/>
  <c r="AF2143" i="7"/>
  <c r="AF2144" i="7"/>
  <c r="AF2145" i="7"/>
  <c r="AF2146" i="7"/>
  <c r="AF2147" i="7"/>
  <c r="AF2148" i="7"/>
  <c r="AF2149" i="7"/>
  <c r="AF2150" i="7"/>
  <c r="AF2151" i="7"/>
  <c r="AF2152" i="7"/>
  <c r="AF2153" i="7"/>
  <c r="AF2154" i="7"/>
  <c r="AF2155" i="7"/>
  <c r="AF2156" i="7"/>
  <c r="AF2157" i="7"/>
  <c r="AF2158" i="7"/>
  <c r="AF2159" i="7"/>
  <c r="AF2160" i="7"/>
  <c r="AF2161" i="7"/>
  <c r="AF2162" i="7"/>
  <c r="AF2163" i="7"/>
  <c r="AF2164" i="7"/>
  <c r="AF2165" i="7"/>
  <c r="AF2166" i="7"/>
  <c r="AF2167" i="7"/>
  <c r="AF2168" i="7"/>
  <c r="AF2169" i="7"/>
  <c r="AF2170" i="7"/>
  <c r="AF2171" i="7"/>
  <c r="AF2172" i="7"/>
  <c r="AF2173" i="7"/>
  <c r="AF2174" i="7"/>
  <c r="AF2175" i="7"/>
  <c r="AF2176" i="7"/>
  <c r="AF2177" i="7"/>
  <c r="AF2178" i="7"/>
  <c r="AF2179" i="7"/>
  <c r="AF2180" i="7"/>
  <c r="AF2181" i="7"/>
  <c r="AF2182" i="7"/>
  <c r="AF2183" i="7"/>
  <c r="AF2184" i="7"/>
  <c r="AF2185" i="7"/>
  <c r="AF2186" i="7"/>
  <c r="AF2187" i="7"/>
  <c r="AF2188" i="7"/>
  <c r="AF2189" i="7"/>
  <c r="AF2190" i="7"/>
  <c r="AF2191" i="7"/>
  <c r="AF2192" i="7"/>
  <c r="AF2193" i="7"/>
  <c r="AF2194" i="7"/>
  <c r="AF2195" i="7"/>
  <c r="AF2196" i="7"/>
  <c r="AF2197" i="7"/>
  <c r="AF2198" i="7"/>
  <c r="AF2199" i="7"/>
  <c r="AF2200" i="7"/>
  <c r="AF2201" i="7"/>
  <c r="AF2202" i="7"/>
  <c r="AF2203" i="7"/>
  <c r="AF2204" i="7"/>
  <c r="AF2205" i="7"/>
  <c r="AF2206" i="7"/>
  <c r="AF2207" i="7"/>
  <c r="AF2208" i="7"/>
  <c r="AF2209" i="7"/>
  <c r="AF2210" i="7"/>
  <c r="AF2211" i="7"/>
  <c r="AF2212" i="7"/>
  <c r="AF2213" i="7"/>
  <c r="AF2214" i="7"/>
  <c r="AF2215" i="7"/>
  <c r="AF2216" i="7"/>
  <c r="AF2217" i="7"/>
  <c r="AF2218" i="7"/>
  <c r="AF2219" i="7"/>
  <c r="AF2220" i="7"/>
  <c r="AF2221" i="7"/>
  <c r="AF2222" i="7"/>
  <c r="AF2223" i="7"/>
  <c r="AF2224" i="7"/>
  <c r="AF2225" i="7"/>
  <c r="AF2226" i="7"/>
  <c r="AF2227" i="7"/>
  <c r="AF2228" i="7"/>
  <c r="AF2229" i="7"/>
  <c r="AF2230" i="7"/>
  <c r="AF2231" i="7"/>
  <c r="AF2232" i="7"/>
  <c r="AF2233" i="7"/>
  <c r="AF2234" i="7"/>
  <c r="AF2235" i="7"/>
  <c r="AF2236" i="7"/>
  <c r="AF2237" i="7"/>
  <c r="AF2238" i="7"/>
  <c r="AF2239" i="7"/>
  <c r="AF2240" i="7"/>
  <c r="AF2241" i="7"/>
  <c r="AF2242" i="7"/>
  <c r="AF2243" i="7"/>
  <c r="AF2244" i="7"/>
  <c r="AF2245" i="7"/>
  <c r="AF2246" i="7"/>
  <c r="AF2247" i="7"/>
  <c r="AF2248" i="7"/>
  <c r="AF2249" i="7"/>
  <c r="AF2250" i="7"/>
  <c r="AF2251" i="7"/>
  <c r="AF2252" i="7"/>
  <c r="AF2253" i="7"/>
  <c r="AF2254" i="7"/>
  <c r="AF2255" i="7"/>
  <c r="AF2256" i="7"/>
  <c r="AF2257" i="7"/>
  <c r="AF2258" i="7"/>
  <c r="AF2259" i="7"/>
  <c r="AF2260" i="7"/>
  <c r="AF2261" i="7"/>
  <c r="AF2262" i="7"/>
  <c r="AF2263" i="7"/>
  <c r="AF2264" i="7"/>
  <c r="AF2265" i="7"/>
  <c r="AF2266" i="7"/>
  <c r="AF2267" i="7"/>
  <c r="AF2268" i="7"/>
  <c r="AF2269" i="7"/>
  <c r="AF2270" i="7"/>
  <c r="AF2271" i="7"/>
  <c r="AF2272" i="7"/>
  <c r="AF2273" i="7"/>
  <c r="AF2274" i="7"/>
  <c r="AF2275" i="7"/>
  <c r="AF2276" i="7"/>
  <c r="AF2277" i="7"/>
  <c r="AF2278" i="7"/>
  <c r="AF2279" i="7"/>
  <c r="AF2280" i="7"/>
  <c r="AF2281" i="7"/>
  <c r="AF2282" i="7"/>
  <c r="AF2283" i="7"/>
  <c r="AF2284" i="7"/>
  <c r="AF2285" i="7"/>
  <c r="AF2286" i="7"/>
  <c r="AF2287" i="7"/>
  <c r="AF2288" i="7"/>
  <c r="AF2289" i="7"/>
  <c r="AF2290" i="7"/>
  <c r="AF2291" i="7"/>
  <c r="AF2292" i="7"/>
  <c r="AF2293" i="7"/>
  <c r="AF2294" i="7"/>
  <c r="AF2295" i="7"/>
  <c r="AF2296" i="7"/>
  <c r="AF2297" i="7"/>
  <c r="AF2298" i="7"/>
  <c r="AF2299" i="7"/>
  <c r="AF2300" i="7"/>
  <c r="AF2301" i="7"/>
  <c r="AF2302" i="7"/>
  <c r="AF2303" i="7"/>
  <c r="AF2304" i="7"/>
  <c r="AF2305" i="7"/>
  <c r="AF2306" i="7"/>
  <c r="AF2307" i="7"/>
  <c r="AF2308" i="7"/>
  <c r="AF2309" i="7"/>
  <c r="AF2310" i="7"/>
  <c r="AF2311" i="7"/>
  <c r="AF2312" i="7"/>
  <c r="AF2313" i="7"/>
  <c r="AF2314" i="7"/>
  <c r="AF2315" i="7"/>
  <c r="AF2316" i="7"/>
  <c r="AF2317" i="7"/>
  <c r="AF2318" i="7"/>
  <c r="AF2319" i="7"/>
  <c r="AF2320" i="7"/>
  <c r="AF2321" i="7"/>
  <c r="AH198" i="7"/>
  <c r="T198" i="7" s="1"/>
  <c r="AH199" i="7"/>
  <c r="T199" i="7" s="1"/>
  <c r="AH200" i="7"/>
  <c r="T200" i="7" s="1"/>
  <c r="AH201" i="7"/>
  <c r="T201" i="7" s="1"/>
  <c r="AH202" i="7"/>
  <c r="T202" i="7" s="1"/>
  <c r="AH203" i="7"/>
  <c r="T203" i="7" s="1"/>
  <c r="AH204" i="7"/>
  <c r="T204" i="7" s="1"/>
  <c r="AH205" i="7"/>
  <c r="T205" i="7" s="1"/>
  <c r="AH206" i="7"/>
  <c r="T206" i="7" s="1"/>
  <c r="AH207" i="7"/>
  <c r="T207" i="7" s="1"/>
  <c r="AH208" i="7"/>
  <c r="T208" i="7" s="1"/>
  <c r="AH209" i="7"/>
  <c r="T209" i="7" s="1"/>
  <c r="AH210" i="7"/>
  <c r="T210" i="7" s="1"/>
  <c r="AH211" i="7"/>
  <c r="T211" i="7" s="1"/>
  <c r="AH212" i="7"/>
  <c r="T212" i="7" s="1"/>
  <c r="AH213" i="7"/>
  <c r="T213" i="7" s="1"/>
  <c r="AH214" i="7"/>
  <c r="T214" i="7" s="1"/>
  <c r="AH215" i="7"/>
  <c r="T215" i="7" s="1"/>
  <c r="AH216" i="7"/>
  <c r="T216" i="7" s="1"/>
  <c r="AH217" i="7"/>
  <c r="T217" i="7" s="1"/>
  <c r="AH218" i="7"/>
  <c r="T218" i="7" s="1"/>
  <c r="AH219" i="7"/>
  <c r="T219" i="7" s="1"/>
  <c r="AH220" i="7"/>
  <c r="T220" i="7" s="1"/>
  <c r="AH221" i="7"/>
  <c r="T221" i="7" s="1"/>
  <c r="AH222" i="7"/>
  <c r="T222" i="7" s="1"/>
  <c r="AH223" i="7"/>
  <c r="T223" i="7" s="1"/>
  <c r="AH224" i="7"/>
  <c r="T224" i="7" s="1"/>
  <c r="AH225" i="7"/>
  <c r="T225" i="7" s="1"/>
  <c r="AH226" i="7"/>
  <c r="T226" i="7" s="1"/>
  <c r="AH227" i="7"/>
  <c r="T227" i="7" s="1"/>
  <c r="AH228" i="7"/>
  <c r="T228" i="7" s="1"/>
  <c r="AH229" i="7"/>
  <c r="T229" i="7" s="1"/>
  <c r="AH230" i="7"/>
  <c r="T230" i="7" s="1"/>
  <c r="AH231" i="7"/>
  <c r="T231" i="7" s="1"/>
  <c r="AH232" i="7"/>
  <c r="T232" i="7" s="1"/>
  <c r="AH233" i="7"/>
  <c r="T233" i="7" s="1"/>
  <c r="AH234" i="7"/>
  <c r="T234" i="7" s="1"/>
  <c r="AH235" i="7"/>
  <c r="T235" i="7" s="1"/>
  <c r="AH236" i="7"/>
  <c r="T236" i="7" s="1"/>
  <c r="AH237" i="7"/>
  <c r="T237" i="7" s="1"/>
  <c r="AH238" i="7"/>
  <c r="T238" i="7" s="1"/>
  <c r="AH239" i="7"/>
  <c r="T239" i="7" s="1"/>
  <c r="AH240" i="7"/>
  <c r="T240" i="7" s="1"/>
  <c r="AH241" i="7"/>
  <c r="T241" i="7" s="1"/>
  <c r="AH242" i="7"/>
  <c r="T242" i="7" s="1"/>
  <c r="AH243" i="7"/>
  <c r="T243" i="7" s="1"/>
  <c r="AH244" i="7"/>
  <c r="T244" i="7" s="1"/>
  <c r="AH245" i="7"/>
  <c r="T245" i="7" s="1"/>
  <c r="AH246" i="7"/>
  <c r="T246" i="7" s="1"/>
  <c r="AH247" i="7"/>
  <c r="T247" i="7" s="1"/>
  <c r="AH248" i="7"/>
  <c r="T248" i="7" s="1"/>
  <c r="AH249" i="7"/>
  <c r="T249" i="7" s="1"/>
  <c r="AH250" i="7"/>
  <c r="T250" i="7" s="1"/>
  <c r="AH251" i="7"/>
  <c r="T251" i="7" s="1"/>
  <c r="AH252" i="7"/>
  <c r="T252" i="7" s="1"/>
  <c r="AH253" i="7"/>
  <c r="T253" i="7" s="1"/>
  <c r="AH254" i="7"/>
  <c r="T254" i="7" s="1"/>
  <c r="AH255" i="7"/>
  <c r="T255" i="7" s="1"/>
  <c r="AH256" i="7"/>
  <c r="T256" i="7" s="1"/>
  <c r="AH257" i="7"/>
  <c r="T257" i="7" s="1"/>
  <c r="AH258" i="7"/>
  <c r="T258" i="7" s="1"/>
  <c r="AH259" i="7"/>
  <c r="T259" i="7" s="1"/>
  <c r="AH260" i="7"/>
  <c r="T260" i="7" s="1"/>
  <c r="AH261" i="7"/>
  <c r="T261" i="7" s="1"/>
  <c r="AH262" i="7"/>
  <c r="T262" i="7" s="1"/>
  <c r="AH263" i="7"/>
  <c r="T263" i="7" s="1"/>
  <c r="AH264" i="7"/>
  <c r="T264" i="7" s="1"/>
  <c r="AH265" i="7"/>
  <c r="T265" i="7" s="1"/>
  <c r="AH266" i="7"/>
  <c r="T266" i="7" s="1"/>
  <c r="AH267" i="7"/>
  <c r="T267" i="7" s="1"/>
  <c r="AH268" i="7"/>
  <c r="T268" i="7" s="1"/>
  <c r="AH269" i="7"/>
  <c r="T269" i="7" s="1"/>
  <c r="AH270" i="7"/>
  <c r="T270" i="7" s="1"/>
  <c r="AH271" i="7"/>
  <c r="T271" i="7" s="1"/>
  <c r="AH272" i="7"/>
  <c r="T272" i="7" s="1"/>
  <c r="AH273" i="7"/>
  <c r="T273" i="7" s="1"/>
  <c r="AH274" i="7"/>
  <c r="T274" i="7" s="1"/>
  <c r="AH275" i="7"/>
  <c r="T275" i="7" s="1"/>
  <c r="AH276" i="7"/>
  <c r="T276" i="7" s="1"/>
  <c r="AH277" i="7"/>
  <c r="T277" i="7" s="1"/>
  <c r="AH278" i="7"/>
  <c r="T278" i="7" s="1"/>
  <c r="AH279" i="7"/>
  <c r="T279" i="7" s="1"/>
  <c r="AH280" i="7"/>
  <c r="T280" i="7" s="1"/>
  <c r="AH281" i="7"/>
  <c r="T281" i="7" s="1"/>
  <c r="AH282" i="7"/>
  <c r="T282" i="7" s="1"/>
  <c r="AH283" i="7"/>
  <c r="T283" i="7" s="1"/>
  <c r="AH284" i="7"/>
  <c r="T284" i="7" s="1"/>
  <c r="AH285" i="7"/>
  <c r="T285" i="7" s="1"/>
  <c r="AH286" i="7"/>
  <c r="T286" i="7" s="1"/>
  <c r="AH287" i="7"/>
  <c r="T287" i="7" s="1"/>
  <c r="AH288" i="7"/>
  <c r="T288" i="7" s="1"/>
  <c r="AH289" i="7"/>
  <c r="T289" i="7" s="1"/>
  <c r="AH290" i="7"/>
  <c r="T290" i="7" s="1"/>
  <c r="AH291" i="7"/>
  <c r="T291" i="7" s="1"/>
  <c r="AH292" i="7"/>
  <c r="T292" i="7" s="1"/>
  <c r="AH293" i="7"/>
  <c r="T293" i="7" s="1"/>
  <c r="AH294" i="7"/>
  <c r="T294" i="7" s="1"/>
  <c r="AH295" i="7"/>
  <c r="T295" i="7" s="1"/>
  <c r="AH296" i="7"/>
  <c r="T296" i="7" s="1"/>
  <c r="AH297" i="7"/>
  <c r="T297" i="7" s="1"/>
  <c r="AH298" i="7"/>
  <c r="T298" i="7" s="1"/>
  <c r="AH299" i="7"/>
  <c r="T299" i="7" s="1"/>
  <c r="AH300" i="7"/>
  <c r="T300" i="7" s="1"/>
  <c r="AH301" i="7"/>
  <c r="T301" i="7" s="1"/>
  <c r="AH302" i="7"/>
  <c r="T302" i="7" s="1"/>
  <c r="AH303" i="7"/>
  <c r="T303" i="7" s="1"/>
  <c r="AH304" i="7"/>
  <c r="T304" i="7" s="1"/>
  <c r="AH305" i="7"/>
  <c r="T305" i="7" s="1"/>
  <c r="AH306" i="7"/>
  <c r="T306" i="7" s="1"/>
  <c r="AH307" i="7"/>
  <c r="T307" i="7" s="1"/>
  <c r="AH308" i="7"/>
  <c r="T308" i="7" s="1"/>
  <c r="AH309" i="7"/>
  <c r="T309" i="7" s="1"/>
  <c r="AH1057" i="7"/>
  <c r="T1057" i="7" s="1"/>
  <c r="AH1068" i="7"/>
  <c r="T1068" i="7" s="1"/>
  <c r="AH1069" i="7"/>
  <c r="T1069" i="7" s="1"/>
  <c r="AH1070" i="7"/>
  <c r="T1070" i="7" s="1"/>
  <c r="AH1071" i="7"/>
  <c r="T1071" i="7" s="1"/>
  <c r="AH1072" i="7"/>
  <c r="T1072" i="7" s="1"/>
  <c r="AH1073" i="7"/>
  <c r="T1073" i="7" s="1"/>
  <c r="AH1074" i="7"/>
  <c r="T1074" i="7" s="1"/>
  <c r="AH1075" i="7"/>
  <c r="T1075" i="7" s="1"/>
  <c r="AH1076" i="7"/>
  <c r="T1076" i="7" s="1"/>
  <c r="AH1077" i="7"/>
  <c r="T1077" i="7" s="1"/>
  <c r="AH1078" i="7"/>
  <c r="T1078" i="7" s="1"/>
  <c r="AH1079" i="7"/>
  <c r="T1079" i="7" s="1"/>
  <c r="AH1315" i="7"/>
  <c r="T1315" i="7" s="1"/>
  <c r="AH1316" i="7"/>
  <c r="T1316" i="7" s="1"/>
  <c r="AH1317" i="7"/>
  <c r="T1317" i="7" s="1"/>
  <c r="AH1318" i="7"/>
  <c r="T1318" i="7" s="1"/>
  <c r="AH1319" i="7"/>
  <c r="T1319" i="7" s="1"/>
  <c r="AH1320" i="7"/>
  <c r="T1320" i="7" s="1"/>
  <c r="AH1321" i="7"/>
  <c r="T1321" i="7" s="1"/>
  <c r="AH1322" i="7"/>
  <c r="T1322" i="7" s="1"/>
  <c r="AH1323" i="7"/>
  <c r="T1323" i="7" s="1"/>
  <c r="AH1324" i="7"/>
  <c r="T1324" i="7" s="1"/>
  <c r="AH1325" i="7"/>
  <c r="T1325" i="7" s="1"/>
  <c r="AH1326" i="7"/>
  <c r="T1326" i="7" s="1"/>
  <c r="AH1327" i="7"/>
  <c r="T1327" i="7" s="1"/>
  <c r="AH1328" i="7"/>
  <c r="T1328" i="7" s="1"/>
  <c r="AH1329" i="7"/>
  <c r="T1329" i="7" s="1"/>
  <c r="AH1330" i="7"/>
  <c r="T1330" i="7" s="1"/>
  <c r="AH1331" i="7"/>
  <c r="T1331" i="7" s="1"/>
  <c r="AH1332" i="7"/>
  <c r="T1332" i="7" s="1"/>
  <c r="AH1333" i="7"/>
  <c r="T1333" i="7" s="1"/>
  <c r="AH1334" i="7"/>
  <c r="T1334" i="7" s="1"/>
  <c r="AH1335" i="7"/>
  <c r="T1335" i="7" s="1"/>
  <c r="AH1336" i="7"/>
  <c r="T1336" i="7" s="1"/>
  <c r="AH1337" i="7"/>
  <c r="T1337" i="7" s="1"/>
  <c r="AH1338" i="7"/>
  <c r="T1338" i="7" s="1"/>
  <c r="AH1339" i="7"/>
  <c r="T1339" i="7" s="1"/>
  <c r="AH1340" i="7"/>
  <c r="T1340" i="7" s="1"/>
  <c r="AH1341" i="7"/>
  <c r="T1341" i="7" s="1"/>
  <c r="AH1342" i="7"/>
  <c r="T1342" i="7" s="1"/>
  <c r="AH1343" i="7"/>
  <c r="T1343" i="7" s="1"/>
  <c r="AH1344" i="7"/>
  <c r="T1344" i="7" s="1"/>
  <c r="AH1345" i="7"/>
  <c r="T1345" i="7" s="1"/>
  <c r="AH1346" i="7"/>
  <c r="T1346" i="7" s="1"/>
  <c r="AH1347" i="7"/>
  <c r="T1347" i="7" s="1"/>
  <c r="AH1348" i="7"/>
  <c r="T1348" i="7" s="1"/>
  <c r="AH2022" i="7"/>
  <c r="T2022" i="7" s="1"/>
  <c r="AH2023" i="7"/>
  <c r="T2023" i="7" s="1"/>
  <c r="AH2024" i="7"/>
  <c r="T2024" i="7" s="1"/>
  <c r="AH2025" i="7"/>
  <c r="T2025" i="7" s="1"/>
  <c r="AH2026" i="7"/>
  <c r="T2026" i="7" s="1"/>
  <c r="AH2027" i="7"/>
  <c r="T2027" i="7" s="1"/>
  <c r="AH2028" i="7"/>
  <c r="T2028" i="7" s="1"/>
  <c r="AH2029" i="7"/>
  <c r="T2029" i="7" s="1"/>
  <c r="AH2030" i="7"/>
  <c r="T2030" i="7" s="1"/>
  <c r="AH2031" i="7"/>
  <c r="T2031" i="7" s="1"/>
  <c r="AH2032" i="7"/>
  <c r="T2032" i="7" s="1"/>
  <c r="AH2033" i="7"/>
  <c r="T2033" i="7" s="1"/>
  <c r="AH2034" i="7"/>
  <c r="T2034" i="7" s="1"/>
  <c r="AH2035" i="7"/>
  <c r="T2035" i="7" s="1"/>
  <c r="AH2036" i="7"/>
  <c r="T2036" i="7" s="1"/>
  <c r="AH2037" i="7"/>
  <c r="T2037" i="7" s="1"/>
  <c r="AH2038" i="7"/>
  <c r="T2038" i="7" s="1"/>
  <c r="AH2039" i="7"/>
  <c r="T2039" i="7" s="1"/>
  <c r="AH2040" i="7"/>
  <c r="T2040" i="7" s="1"/>
  <c r="AH2041" i="7"/>
  <c r="T2041" i="7" s="1"/>
  <c r="AH2042" i="7"/>
  <c r="T2042" i="7" s="1"/>
  <c r="AH2043" i="7"/>
  <c r="T2043" i="7" s="1"/>
  <c r="AH2044" i="7"/>
  <c r="T2044" i="7" s="1"/>
  <c r="AH2045" i="7"/>
  <c r="T2045" i="7" s="1"/>
  <c r="AH2046" i="7"/>
  <c r="T2046" i="7" s="1"/>
  <c r="AH2047" i="7"/>
  <c r="T2047" i="7" s="1"/>
  <c r="AH2048" i="7"/>
  <c r="T2048" i="7" s="1"/>
  <c r="AH2049" i="7"/>
  <c r="T2049" i="7" s="1"/>
  <c r="AH2050" i="7"/>
  <c r="T2050" i="7" s="1"/>
  <c r="AH2051" i="7"/>
  <c r="T2051" i="7" s="1"/>
  <c r="AH2052" i="7"/>
  <c r="T2052" i="7" s="1"/>
  <c r="AH2053" i="7"/>
  <c r="T2053" i="7" s="1"/>
  <c r="AH2054" i="7"/>
  <c r="T2054" i="7" s="1"/>
  <c r="AH2055" i="7"/>
  <c r="T2055" i="7" s="1"/>
  <c r="AH2056" i="7"/>
  <c r="T2056" i="7" s="1"/>
  <c r="AH2057" i="7"/>
  <c r="T2057" i="7" s="1"/>
  <c r="AH2058" i="7"/>
  <c r="T2058" i="7" s="1"/>
  <c r="AH2059" i="7"/>
  <c r="T2059" i="7" s="1"/>
  <c r="AH2060" i="7"/>
  <c r="T2060" i="7" s="1"/>
  <c r="AH2061" i="7"/>
  <c r="T2061" i="7" s="1"/>
  <c r="AG184" i="7"/>
  <c r="AH184" i="7" s="1"/>
  <c r="T184" i="7" s="1"/>
  <c r="AG198" i="7"/>
  <c r="AG199" i="7"/>
  <c r="AG200" i="7"/>
  <c r="AG201" i="7"/>
  <c r="AG202" i="7"/>
  <c r="AG203" i="7"/>
  <c r="AG204" i="7"/>
  <c r="AG205" i="7"/>
  <c r="AG206" i="7"/>
  <c r="AG207" i="7"/>
  <c r="AG208" i="7"/>
  <c r="AG209" i="7"/>
  <c r="AG210" i="7"/>
  <c r="AG211" i="7"/>
  <c r="AG212" i="7"/>
  <c r="AG213" i="7"/>
  <c r="AG214" i="7"/>
  <c r="AG215" i="7"/>
  <c r="AG216" i="7"/>
  <c r="AG217" i="7"/>
  <c r="AG218" i="7"/>
  <c r="AG219" i="7"/>
  <c r="AG220" i="7"/>
  <c r="AG221" i="7"/>
  <c r="AG222" i="7"/>
  <c r="AG223" i="7"/>
  <c r="AG224" i="7"/>
  <c r="AG225" i="7"/>
  <c r="AG226" i="7"/>
  <c r="AG227" i="7"/>
  <c r="AG228" i="7"/>
  <c r="AG229" i="7"/>
  <c r="AG230" i="7"/>
  <c r="AG231" i="7"/>
  <c r="AG232" i="7"/>
  <c r="AG233" i="7"/>
  <c r="AG234" i="7"/>
  <c r="AG235" i="7"/>
  <c r="AG236" i="7"/>
  <c r="AG237" i="7"/>
  <c r="AG238" i="7"/>
  <c r="AG239" i="7"/>
  <c r="AG240" i="7"/>
  <c r="AG241" i="7"/>
  <c r="AG242" i="7"/>
  <c r="AG243" i="7"/>
  <c r="AG244" i="7"/>
  <c r="AG245" i="7"/>
  <c r="AG246" i="7"/>
  <c r="AG247" i="7"/>
  <c r="AG248" i="7"/>
  <c r="AG249" i="7"/>
  <c r="AG250" i="7"/>
  <c r="AG251" i="7"/>
  <c r="AG252" i="7"/>
  <c r="AG253" i="7"/>
  <c r="AG254" i="7"/>
  <c r="AG255" i="7"/>
  <c r="AG256" i="7"/>
  <c r="AG257" i="7"/>
  <c r="AG258" i="7"/>
  <c r="AG259" i="7"/>
  <c r="AG260" i="7"/>
  <c r="AG261" i="7"/>
  <c r="AG262" i="7"/>
  <c r="AG263" i="7"/>
  <c r="AG264" i="7"/>
  <c r="AG265" i="7"/>
  <c r="AG266" i="7"/>
  <c r="AG267" i="7"/>
  <c r="AG268" i="7"/>
  <c r="AG269" i="7"/>
  <c r="AG270" i="7"/>
  <c r="AG271" i="7"/>
  <c r="AG272" i="7"/>
  <c r="AG273" i="7"/>
  <c r="AG274" i="7"/>
  <c r="AG275" i="7"/>
  <c r="AG276" i="7"/>
  <c r="AG277" i="7"/>
  <c r="AG278" i="7"/>
  <c r="AG279" i="7"/>
  <c r="AG280" i="7"/>
  <c r="AG281" i="7"/>
  <c r="AG282" i="7"/>
  <c r="AG283" i="7"/>
  <c r="AG284" i="7"/>
  <c r="AG285" i="7"/>
  <c r="AG286" i="7"/>
  <c r="AG287" i="7"/>
  <c r="AG288" i="7"/>
  <c r="AG289" i="7"/>
  <c r="AG290" i="7"/>
  <c r="AG291" i="7"/>
  <c r="AG292" i="7"/>
  <c r="AG293" i="7"/>
  <c r="AG294" i="7"/>
  <c r="AG295" i="7"/>
  <c r="AG296" i="7"/>
  <c r="AG297" i="7"/>
  <c r="AG298" i="7"/>
  <c r="AG299" i="7"/>
  <c r="AG300" i="7"/>
  <c r="AG301" i="7"/>
  <c r="AG302" i="7"/>
  <c r="AG303" i="7"/>
  <c r="AG304" i="7"/>
  <c r="AG305" i="7"/>
  <c r="AG306" i="7"/>
  <c r="AG307" i="7"/>
  <c r="AG308" i="7"/>
  <c r="AG309" i="7"/>
  <c r="AG405" i="7"/>
  <c r="AG408" i="7"/>
  <c r="AG409" i="7"/>
  <c r="AG415" i="7"/>
  <c r="AG416" i="7"/>
  <c r="AG417" i="7"/>
  <c r="AG424" i="7"/>
  <c r="AG1057" i="7"/>
  <c r="AG1068" i="7"/>
  <c r="AG1069" i="7"/>
  <c r="AG1070" i="7"/>
  <c r="AG1071" i="7"/>
  <c r="AG1072" i="7"/>
  <c r="AG1073" i="7"/>
  <c r="AG1074" i="7"/>
  <c r="AG1075" i="7"/>
  <c r="AG1076" i="7"/>
  <c r="AG1077" i="7"/>
  <c r="AG1078" i="7"/>
  <c r="AG1079" i="7"/>
  <c r="AG1315" i="7"/>
  <c r="AG1316" i="7"/>
  <c r="AG1317" i="7"/>
  <c r="AG1318" i="7"/>
  <c r="AG1319" i="7"/>
  <c r="AG1320" i="7"/>
  <c r="AG1321" i="7"/>
  <c r="AG1322" i="7"/>
  <c r="AG1323" i="7"/>
  <c r="AG1324" i="7"/>
  <c r="AG1325" i="7"/>
  <c r="AG1326" i="7"/>
  <c r="AG1327" i="7"/>
  <c r="AG1328" i="7"/>
  <c r="AG1329" i="7"/>
  <c r="AG1330" i="7"/>
  <c r="AG1331" i="7"/>
  <c r="AG1332" i="7"/>
  <c r="AG1333" i="7"/>
  <c r="AG1334" i="7"/>
  <c r="AG1335" i="7"/>
  <c r="AG1336" i="7"/>
  <c r="AG1337" i="7"/>
  <c r="AG1338" i="7"/>
  <c r="AG1339" i="7"/>
  <c r="AG1340" i="7"/>
  <c r="AG1341" i="7"/>
  <c r="AG1342" i="7"/>
  <c r="AG1343" i="7"/>
  <c r="AG1344" i="7"/>
  <c r="AG1345" i="7"/>
  <c r="AG1346" i="7"/>
  <c r="AG1347" i="7"/>
  <c r="AG1348" i="7"/>
  <c r="AG1994" i="7"/>
  <c r="AH1994" i="7" s="1"/>
  <c r="T1994" i="7" s="1"/>
  <c r="AG2022" i="7"/>
  <c r="AG2023" i="7"/>
  <c r="AG2024" i="7"/>
  <c r="AG2025" i="7"/>
  <c r="AG2026" i="7"/>
  <c r="AG2027" i="7"/>
  <c r="AG2028" i="7"/>
  <c r="AG2029" i="7"/>
  <c r="AG2030" i="7"/>
  <c r="AG2031" i="7"/>
  <c r="AG2032" i="7"/>
  <c r="AG2033" i="7"/>
  <c r="AG2034" i="7"/>
  <c r="AG2035" i="7"/>
  <c r="AG2036" i="7"/>
  <c r="AG2037" i="7"/>
  <c r="AG2038" i="7"/>
  <c r="AG2039" i="7"/>
  <c r="AG2040" i="7"/>
  <c r="AG2041" i="7"/>
  <c r="AG2042" i="7"/>
  <c r="AG2043" i="7"/>
  <c r="AG2044" i="7"/>
  <c r="AG2045" i="7"/>
  <c r="AG2046" i="7"/>
  <c r="AG2047" i="7"/>
  <c r="AG2048" i="7"/>
  <c r="AG2049" i="7"/>
  <c r="AG2050" i="7"/>
  <c r="AG2051" i="7"/>
  <c r="AG2052" i="7"/>
  <c r="AG2053" i="7"/>
  <c r="AG2054" i="7"/>
  <c r="AG2055" i="7"/>
  <c r="AG2056" i="7"/>
  <c r="AG2057" i="7"/>
  <c r="AG2058" i="7"/>
  <c r="AG2059" i="7"/>
  <c r="AG2060" i="7"/>
  <c r="AG2061" i="7"/>
  <c r="AG312" i="7"/>
  <c r="AG313" i="7"/>
  <c r="AG320" i="7"/>
  <c r="AG321" i="7"/>
  <c r="AG328" i="7"/>
  <c r="AG329" i="7"/>
  <c r="AG336" i="7"/>
  <c r="AG337" i="7"/>
  <c r="AG344" i="7"/>
  <c r="AG345" i="7"/>
  <c r="AG352" i="7"/>
  <c r="AG353" i="7"/>
  <c r="AG360" i="7"/>
  <c r="AG361" i="7"/>
  <c r="AG368" i="7"/>
  <c r="AG369" i="7"/>
  <c r="AK3" i="7"/>
  <c r="R310" i="7" l="1"/>
  <c r="R311" i="7"/>
  <c r="R312" i="7"/>
  <c r="R313" i="7"/>
  <c r="R314" i="7"/>
  <c r="R315" i="7"/>
  <c r="R316" i="7"/>
  <c r="R317" i="7"/>
  <c r="R318" i="7"/>
  <c r="R319" i="7"/>
  <c r="R320" i="7"/>
  <c r="R321" i="7"/>
  <c r="R322" i="7"/>
  <c r="R323" i="7"/>
  <c r="R324" i="7"/>
  <c r="R325" i="7"/>
  <c r="R326" i="7"/>
  <c r="R327" i="7"/>
  <c r="R328" i="7"/>
  <c r="R329" i="7"/>
  <c r="R330" i="7"/>
  <c r="R331" i="7"/>
  <c r="R332" i="7"/>
  <c r="R333" i="7"/>
  <c r="R334" i="7"/>
  <c r="R335" i="7"/>
  <c r="R336" i="7"/>
  <c r="R337" i="7"/>
  <c r="R338" i="7"/>
  <c r="R339" i="7"/>
  <c r="R340" i="7"/>
  <c r="R341" i="7"/>
  <c r="R342" i="7"/>
  <c r="R343" i="7"/>
  <c r="R344" i="7"/>
  <c r="R345" i="7"/>
  <c r="R346" i="7"/>
  <c r="R347" i="7"/>
  <c r="R348" i="7"/>
  <c r="R349" i="7"/>
  <c r="R350" i="7"/>
  <c r="R351" i="7"/>
  <c r="R352" i="7"/>
  <c r="R353" i="7"/>
  <c r="R354" i="7"/>
  <c r="R355" i="7"/>
  <c r="R356" i="7"/>
  <c r="R357" i="7"/>
  <c r="R358" i="7"/>
  <c r="R359" i="7"/>
  <c r="R360" i="7"/>
  <c r="R361" i="7"/>
  <c r="R362" i="7"/>
  <c r="R363" i="7"/>
  <c r="R364" i="7"/>
  <c r="R365" i="7"/>
  <c r="R366" i="7"/>
  <c r="R367" i="7"/>
  <c r="R368" i="7"/>
  <c r="R369" i="7"/>
  <c r="R370" i="7"/>
  <c r="R371" i="7"/>
  <c r="R372" i="7"/>
  <c r="R373" i="7"/>
  <c r="R374" i="7"/>
  <c r="R375" i="7"/>
  <c r="R376" i="7"/>
  <c r="R377" i="7"/>
  <c r="R378" i="7"/>
  <c r="R379" i="7"/>
  <c r="R380" i="7"/>
  <c r="R381" i="7"/>
  <c r="R382" i="7"/>
  <c r="R383" i="7"/>
  <c r="R384" i="7"/>
  <c r="R385" i="7"/>
  <c r="R386" i="7"/>
  <c r="R387" i="7"/>
  <c r="R388" i="7"/>
  <c r="R389" i="7"/>
  <c r="R390" i="7"/>
  <c r="R391" i="7"/>
  <c r="R392" i="7"/>
  <c r="R393" i="7"/>
  <c r="R394" i="7"/>
  <c r="R395" i="7"/>
  <c r="R396" i="7"/>
  <c r="R397" i="7"/>
  <c r="R398" i="7"/>
  <c r="R399" i="7"/>
  <c r="R400" i="7"/>
  <c r="R401" i="7"/>
  <c r="R402" i="7"/>
  <c r="R403" i="7"/>
  <c r="R404" i="7"/>
  <c r="R405" i="7"/>
  <c r="R406" i="7"/>
  <c r="R407" i="7"/>
  <c r="R408" i="7"/>
  <c r="R409" i="7"/>
  <c r="R410" i="7"/>
  <c r="R411" i="7"/>
  <c r="R412" i="7"/>
  <c r="R413" i="7"/>
  <c r="R414" i="7"/>
  <c r="R415" i="7"/>
  <c r="R416" i="7"/>
  <c r="R417" i="7"/>
  <c r="R418" i="7"/>
  <c r="R419" i="7"/>
  <c r="R420" i="7"/>
  <c r="R421" i="7"/>
  <c r="R422" i="7"/>
  <c r="R423" i="7"/>
  <c r="R424" i="7"/>
  <c r="R425" i="7"/>
  <c r="R426" i="7"/>
  <c r="R427" i="7"/>
  <c r="R428" i="7"/>
  <c r="R429" i="7"/>
  <c r="R430" i="7"/>
  <c r="R431" i="7"/>
  <c r="R432" i="7"/>
  <c r="R433" i="7"/>
  <c r="R434" i="7"/>
  <c r="R435" i="7"/>
  <c r="R436" i="7"/>
  <c r="R437" i="7"/>
  <c r="R438" i="7"/>
  <c r="R439" i="7"/>
  <c r="R440" i="7"/>
  <c r="R441" i="7"/>
  <c r="R442" i="7"/>
  <c r="R443" i="7"/>
  <c r="R444" i="7"/>
  <c r="R445" i="7"/>
  <c r="R446" i="7"/>
  <c r="R447" i="7"/>
  <c r="R448" i="7"/>
  <c r="R449" i="7"/>
  <c r="R450" i="7"/>
  <c r="R451" i="7"/>
  <c r="R452" i="7"/>
  <c r="R453" i="7"/>
  <c r="R454" i="7"/>
  <c r="R455" i="7"/>
  <c r="R456" i="7"/>
  <c r="R457" i="7"/>
  <c r="R458" i="7"/>
  <c r="R459" i="7"/>
  <c r="R460" i="7"/>
  <c r="R461" i="7"/>
  <c r="R462" i="7"/>
  <c r="R463" i="7"/>
  <c r="R464" i="7"/>
  <c r="R465" i="7"/>
  <c r="R466" i="7"/>
  <c r="R467" i="7"/>
  <c r="R468" i="7"/>
  <c r="R469" i="7"/>
  <c r="R470" i="7"/>
  <c r="R471" i="7"/>
  <c r="R472" i="7"/>
  <c r="R473" i="7"/>
  <c r="R474" i="7"/>
  <c r="R475" i="7"/>
  <c r="R476" i="7"/>
  <c r="R477" i="7"/>
  <c r="R478" i="7"/>
  <c r="R479" i="7"/>
  <c r="R480" i="7"/>
  <c r="R481" i="7"/>
  <c r="R482" i="7"/>
  <c r="R483" i="7"/>
  <c r="R484" i="7"/>
  <c r="R485" i="7"/>
  <c r="R486" i="7"/>
  <c r="R487" i="7"/>
  <c r="R488" i="7"/>
  <c r="R489" i="7"/>
  <c r="R490" i="7"/>
  <c r="R491" i="7"/>
  <c r="R492" i="7"/>
  <c r="R493" i="7"/>
  <c r="R494" i="7"/>
  <c r="R495" i="7"/>
  <c r="R496" i="7"/>
  <c r="R497" i="7"/>
  <c r="R498" i="7"/>
  <c r="R499" i="7"/>
  <c r="R500" i="7"/>
  <c r="R501" i="7"/>
  <c r="R502" i="7"/>
  <c r="R503" i="7"/>
  <c r="R504" i="7"/>
  <c r="R505" i="7"/>
  <c r="R506" i="7"/>
  <c r="R507" i="7"/>
  <c r="R508" i="7"/>
  <c r="R509" i="7"/>
  <c r="R510" i="7"/>
  <c r="R511" i="7"/>
  <c r="R512" i="7"/>
  <c r="R513" i="7"/>
  <c r="R514" i="7"/>
  <c r="R515" i="7"/>
  <c r="R516" i="7"/>
  <c r="R517" i="7"/>
  <c r="R518" i="7"/>
  <c r="R519" i="7"/>
  <c r="R520" i="7"/>
  <c r="R521" i="7"/>
  <c r="R522" i="7"/>
  <c r="R523" i="7"/>
  <c r="R524" i="7"/>
  <c r="R525" i="7"/>
  <c r="R526" i="7"/>
  <c r="R527" i="7"/>
  <c r="R528" i="7"/>
  <c r="R529" i="7"/>
  <c r="R530" i="7"/>
  <c r="R531" i="7"/>
  <c r="R532" i="7"/>
  <c r="R533" i="7"/>
  <c r="R534" i="7"/>
  <c r="R535" i="7"/>
  <c r="R536" i="7"/>
  <c r="R537" i="7"/>
  <c r="R538" i="7"/>
  <c r="R539" i="7"/>
  <c r="R540" i="7"/>
  <c r="R541" i="7"/>
  <c r="R542" i="7"/>
  <c r="R543" i="7"/>
  <c r="R544" i="7"/>
  <c r="R545" i="7"/>
  <c r="R546" i="7"/>
  <c r="R547" i="7"/>
  <c r="R548" i="7"/>
  <c r="R549" i="7"/>
  <c r="R550" i="7"/>
  <c r="R551" i="7"/>
  <c r="R552" i="7"/>
  <c r="R553" i="7"/>
  <c r="R554" i="7"/>
  <c r="R555" i="7"/>
  <c r="R556" i="7"/>
  <c r="R557" i="7"/>
  <c r="R558" i="7"/>
  <c r="R559" i="7"/>
  <c r="R560" i="7"/>
  <c r="R561" i="7"/>
  <c r="R562" i="7"/>
  <c r="R563" i="7"/>
  <c r="R564" i="7"/>
  <c r="R565" i="7"/>
  <c r="R566" i="7"/>
  <c r="R567" i="7"/>
  <c r="R568" i="7"/>
  <c r="R569" i="7"/>
  <c r="R570" i="7"/>
  <c r="R571" i="7"/>
  <c r="R572" i="7"/>
  <c r="R573" i="7"/>
  <c r="R574" i="7"/>
  <c r="R575" i="7"/>
  <c r="R576" i="7"/>
  <c r="R577" i="7"/>
  <c r="R578" i="7"/>
  <c r="R579" i="7"/>
  <c r="R580" i="7"/>
  <c r="R581" i="7"/>
  <c r="R582" i="7"/>
  <c r="R583" i="7"/>
  <c r="R584" i="7"/>
  <c r="R585" i="7"/>
  <c r="R586" i="7"/>
  <c r="R587" i="7"/>
  <c r="R588" i="7"/>
  <c r="R589" i="7"/>
  <c r="R590" i="7"/>
  <c r="R591" i="7"/>
  <c r="R592" i="7"/>
  <c r="R593" i="7"/>
  <c r="R594" i="7"/>
  <c r="R595" i="7"/>
  <c r="R596" i="7"/>
  <c r="R597" i="7"/>
  <c r="R598" i="7"/>
  <c r="R599" i="7"/>
  <c r="R600" i="7"/>
  <c r="R601" i="7"/>
  <c r="R602" i="7"/>
  <c r="R603" i="7"/>
  <c r="R604" i="7"/>
  <c r="R605" i="7"/>
  <c r="R606" i="7"/>
  <c r="R607" i="7"/>
  <c r="R608" i="7"/>
  <c r="R609" i="7"/>
  <c r="R610" i="7"/>
  <c r="R611" i="7"/>
  <c r="R612" i="7"/>
  <c r="R613" i="7"/>
  <c r="R614" i="7"/>
  <c r="R615" i="7"/>
  <c r="R616" i="7"/>
  <c r="R617" i="7"/>
  <c r="R618" i="7"/>
  <c r="R619" i="7"/>
  <c r="R620" i="7"/>
  <c r="R621" i="7"/>
  <c r="R622" i="7"/>
  <c r="R623" i="7"/>
  <c r="R624" i="7"/>
  <c r="R625" i="7"/>
  <c r="R626" i="7"/>
  <c r="R627" i="7"/>
  <c r="R628" i="7"/>
  <c r="R629" i="7"/>
  <c r="R630" i="7"/>
  <c r="R631" i="7"/>
  <c r="R632" i="7"/>
  <c r="R633" i="7"/>
  <c r="R634" i="7"/>
  <c r="R635" i="7"/>
  <c r="R636" i="7"/>
  <c r="R637" i="7"/>
  <c r="R638" i="7"/>
  <c r="R639" i="7"/>
  <c r="R640" i="7"/>
  <c r="R641" i="7"/>
  <c r="R642" i="7"/>
  <c r="R643" i="7"/>
  <c r="R644" i="7"/>
  <c r="R645" i="7"/>
  <c r="R646" i="7"/>
  <c r="R647" i="7"/>
  <c r="R648" i="7"/>
  <c r="R649" i="7"/>
  <c r="R650" i="7"/>
  <c r="R651" i="7"/>
  <c r="R652" i="7"/>
  <c r="R653" i="7"/>
  <c r="R654" i="7"/>
  <c r="R655" i="7"/>
  <c r="R656" i="7"/>
  <c r="R657" i="7"/>
  <c r="R658" i="7"/>
  <c r="R659" i="7"/>
  <c r="R660" i="7"/>
  <c r="R661" i="7"/>
  <c r="R662" i="7"/>
  <c r="R663" i="7"/>
  <c r="R664" i="7"/>
  <c r="R665" i="7"/>
  <c r="R666" i="7"/>
  <c r="R667" i="7"/>
  <c r="R668" i="7"/>
  <c r="R669" i="7"/>
  <c r="R670" i="7"/>
  <c r="R671" i="7"/>
  <c r="R672" i="7"/>
  <c r="R673" i="7"/>
  <c r="R674" i="7"/>
  <c r="R675" i="7"/>
  <c r="R676" i="7"/>
  <c r="R677" i="7"/>
  <c r="R678" i="7"/>
  <c r="R679" i="7"/>
  <c r="R680" i="7"/>
  <c r="R681" i="7"/>
  <c r="R682" i="7"/>
  <c r="R683" i="7"/>
  <c r="R684" i="7"/>
  <c r="R685" i="7"/>
  <c r="R686" i="7"/>
  <c r="R687" i="7"/>
  <c r="R688" i="7"/>
  <c r="R689" i="7"/>
  <c r="R690" i="7"/>
  <c r="R691" i="7"/>
  <c r="R692" i="7"/>
  <c r="R693" i="7"/>
  <c r="R694" i="7"/>
  <c r="R695" i="7"/>
  <c r="R696" i="7"/>
  <c r="R697" i="7"/>
  <c r="R698" i="7"/>
  <c r="R699" i="7"/>
  <c r="R700" i="7"/>
  <c r="R701" i="7"/>
  <c r="R702" i="7"/>
  <c r="R703" i="7"/>
  <c r="R704" i="7"/>
  <c r="R705" i="7"/>
  <c r="R706" i="7"/>
  <c r="R707" i="7"/>
  <c r="R708" i="7"/>
  <c r="R709" i="7"/>
  <c r="R710" i="7"/>
  <c r="R711" i="7"/>
  <c r="R712" i="7"/>
  <c r="R713" i="7"/>
  <c r="R714" i="7"/>
  <c r="R715" i="7"/>
  <c r="R716" i="7"/>
  <c r="R717" i="7"/>
  <c r="R718" i="7"/>
  <c r="R719" i="7"/>
  <c r="R720" i="7"/>
  <c r="R721" i="7"/>
  <c r="R722" i="7"/>
  <c r="R723" i="7"/>
  <c r="R724" i="7"/>
  <c r="R725" i="7"/>
  <c r="R726" i="7"/>
  <c r="R727" i="7"/>
  <c r="R728" i="7"/>
  <c r="R729" i="7"/>
  <c r="R730" i="7"/>
  <c r="R731" i="7"/>
  <c r="R732" i="7"/>
  <c r="R733" i="7"/>
  <c r="R734" i="7"/>
  <c r="R735" i="7"/>
  <c r="R736" i="7"/>
  <c r="R737" i="7"/>
  <c r="R738" i="7"/>
  <c r="R739" i="7"/>
  <c r="R740" i="7"/>
  <c r="R741" i="7"/>
  <c r="R742" i="7"/>
  <c r="R743" i="7"/>
  <c r="R744" i="7"/>
  <c r="R745" i="7"/>
  <c r="R746" i="7"/>
  <c r="R747" i="7"/>
  <c r="R748" i="7"/>
  <c r="R749" i="7"/>
  <c r="R750" i="7"/>
  <c r="R751" i="7"/>
  <c r="R752" i="7"/>
  <c r="R753" i="7"/>
  <c r="R754" i="7"/>
  <c r="R755" i="7"/>
  <c r="R756" i="7"/>
  <c r="R757" i="7"/>
  <c r="R758" i="7"/>
  <c r="R759" i="7"/>
  <c r="R760" i="7"/>
  <c r="R761" i="7"/>
  <c r="R762" i="7"/>
  <c r="R763" i="7"/>
  <c r="R764" i="7"/>
  <c r="R765" i="7"/>
  <c r="R766" i="7"/>
  <c r="R767" i="7"/>
  <c r="R768" i="7"/>
  <c r="R769" i="7"/>
  <c r="R770" i="7"/>
  <c r="R771" i="7"/>
  <c r="R772" i="7"/>
  <c r="R773" i="7"/>
  <c r="R774" i="7"/>
  <c r="R775" i="7"/>
  <c r="R776" i="7"/>
  <c r="R777" i="7"/>
  <c r="R778" i="7"/>
  <c r="R779" i="7"/>
  <c r="R780" i="7"/>
  <c r="R781" i="7"/>
  <c r="R782" i="7"/>
  <c r="R783" i="7"/>
  <c r="R784" i="7"/>
  <c r="R785" i="7"/>
  <c r="R786" i="7"/>
  <c r="R787" i="7"/>
  <c r="R788" i="7"/>
  <c r="R789" i="7"/>
  <c r="R790" i="7"/>
  <c r="R791" i="7"/>
  <c r="R792" i="7"/>
  <c r="R793" i="7"/>
  <c r="R794" i="7"/>
  <c r="R795" i="7"/>
  <c r="R796" i="7"/>
  <c r="R797" i="7"/>
  <c r="R798" i="7"/>
  <c r="R799" i="7"/>
  <c r="R800" i="7"/>
  <c r="R801" i="7"/>
  <c r="R802" i="7"/>
  <c r="R803" i="7"/>
  <c r="R804" i="7"/>
  <c r="R805" i="7"/>
  <c r="R806" i="7"/>
  <c r="AF806" i="7"/>
  <c r="R807" i="7"/>
  <c r="AF807" i="7"/>
  <c r="R808" i="7"/>
  <c r="AF808" i="7"/>
  <c r="R809" i="7"/>
  <c r="AF809" i="7"/>
  <c r="R810" i="7"/>
  <c r="AF810" i="7"/>
  <c r="R811" i="7"/>
  <c r="AF811" i="7"/>
  <c r="R812" i="7"/>
  <c r="AF812" i="7"/>
  <c r="R813" i="7"/>
  <c r="AF813" i="7"/>
  <c r="R814" i="7"/>
  <c r="AF814" i="7"/>
  <c r="R815" i="7"/>
  <c r="AF815" i="7"/>
  <c r="R816" i="7"/>
  <c r="AF816" i="7"/>
  <c r="R817" i="7"/>
  <c r="AF817" i="7"/>
  <c r="R818" i="7"/>
  <c r="AF818" i="7"/>
  <c r="R819" i="7"/>
  <c r="AF819" i="7"/>
  <c r="R820" i="7"/>
  <c r="AF820" i="7"/>
  <c r="R821" i="7"/>
  <c r="AF821" i="7"/>
  <c r="R822" i="7"/>
  <c r="AF822" i="7"/>
  <c r="R823" i="7"/>
  <c r="AF823" i="7"/>
  <c r="R824" i="7"/>
  <c r="AF824" i="7"/>
  <c r="R825" i="7"/>
  <c r="AF825" i="7"/>
  <c r="R826" i="7"/>
  <c r="AF826" i="7"/>
  <c r="R827" i="7"/>
  <c r="AF827" i="7"/>
  <c r="R828" i="7"/>
  <c r="AF828" i="7"/>
  <c r="R829" i="7"/>
  <c r="AF829" i="7"/>
  <c r="R830" i="7"/>
  <c r="R831" i="7"/>
  <c r="R832" i="7"/>
  <c r="R833" i="7"/>
  <c r="R834" i="7"/>
  <c r="R835" i="7"/>
  <c r="R836" i="7"/>
  <c r="R837" i="7"/>
  <c r="R838" i="7"/>
  <c r="R839" i="7"/>
  <c r="R840" i="7"/>
  <c r="R841" i="7"/>
  <c r="R842" i="7"/>
  <c r="R843" i="7"/>
  <c r="R844" i="7"/>
  <c r="R845" i="7"/>
  <c r="R846" i="7"/>
  <c r="R847" i="7"/>
  <c r="R848" i="7"/>
  <c r="R849" i="7"/>
  <c r="R850" i="7"/>
  <c r="R851" i="7"/>
  <c r="R852" i="7"/>
  <c r="R853" i="7"/>
  <c r="R854" i="7"/>
  <c r="R855" i="7"/>
  <c r="R856" i="7"/>
  <c r="R857" i="7"/>
  <c r="R858" i="7"/>
  <c r="R859" i="7"/>
  <c r="R860" i="7"/>
  <c r="R861" i="7"/>
  <c r="R862" i="7"/>
  <c r="R863" i="7"/>
  <c r="R864" i="7"/>
  <c r="R865" i="7"/>
  <c r="R866" i="7"/>
  <c r="R867" i="7"/>
  <c r="R868" i="7"/>
  <c r="R869" i="7"/>
  <c r="R870" i="7"/>
  <c r="R871" i="7"/>
  <c r="R872" i="7"/>
  <c r="R873" i="7"/>
  <c r="R874" i="7"/>
  <c r="R875" i="7"/>
  <c r="R876" i="7"/>
  <c r="R877" i="7"/>
  <c r="R878" i="7"/>
  <c r="R879" i="7"/>
  <c r="R880" i="7"/>
  <c r="R881" i="7"/>
  <c r="R882" i="7"/>
  <c r="R883" i="7"/>
  <c r="R884" i="7"/>
  <c r="R885" i="7"/>
  <c r="R886" i="7"/>
  <c r="R887" i="7"/>
  <c r="R888" i="7"/>
  <c r="R889" i="7"/>
  <c r="R890" i="7"/>
  <c r="R891" i="7"/>
  <c r="R892" i="7"/>
  <c r="R893" i="7"/>
  <c r="R894" i="7"/>
  <c r="R895" i="7"/>
  <c r="R896" i="7"/>
  <c r="R897" i="7"/>
  <c r="R898" i="7"/>
  <c r="R899" i="7"/>
  <c r="R900" i="7"/>
  <c r="R901" i="7"/>
  <c r="R902" i="7"/>
  <c r="R903" i="7"/>
  <c r="R904" i="7"/>
  <c r="R905" i="7"/>
  <c r="R906" i="7"/>
  <c r="R907" i="7"/>
  <c r="R908" i="7"/>
  <c r="R909" i="7"/>
  <c r="R910" i="7"/>
  <c r="R911" i="7"/>
  <c r="R912" i="7"/>
  <c r="R913" i="7"/>
  <c r="R914" i="7"/>
  <c r="R915" i="7"/>
  <c r="R916" i="7"/>
  <c r="R917" i="7"/>
  <c r="R918" i="7"/>
  <c r="R919" i="7"/>
  <c r="R920" i="7"/>
  <c r="R921" i="7"/>
  <c r="R922" i="7"/>
  <c r="R923" i="7"/>
  <c r="R924" i="7"/>
  <c r="R925" i="7"/>
  <c r="R926" i="7"/>
  <c r="R927" i="7"/>
  <c r="R928" i="7"/>
  <c r="R929" i="7"/>
  <c r="R930" i="7"/>
  <c r="R931" i="7"/>
  <c r="R932" i="7"/>
  <c r="R933" i="7"/>
  <c r="R934" i="7"/>
  <c r="R935" i="7"/>
  <c r="R936" i="7"/>
  <c r="R937" i="7"/>
  <c r="R938" i="7"/>
  <c r="R939" i="7"/>
  <c r="R940" i="7"/>
  <c r="R941" i="7"/>
  <c r="R942" i="7"/>
  <c r="R943" i="7"/>
  <c r="R944" i="7"/>
  <c r="R945" i="7"/>
  <c r="R946" i="7"/>
  <c r="R947" i="7"/>
  <c r="R948" i="7"/>
  <c r="R949" i="7"/>
  <c r="R950" i="7"/>
  <c r="R951" i="7"/>
  <c r="R952" i="7"/>
  <c r="R953" i="7"/>
  <c r="R954" i="7"/>
  <c r="R955" i="7"/>
  <c r="R956" i="7"/>
  <c r="R957" i="7"/>
  <c r="R958" i="7"/>
  <c r="R959" i="7"/>
  <c r="R960" i="7"/>
  <c r="R961" i="7"/>
  <c r="R962" i="7"/>
  <c r="R963" i="7"/>
  <c r="R964" i="7"/>
  <c r="R965" i="7"/>
  <c r="R966" i="7"/>
  <c r="R967" i="7"/>
  <c r="R968" i="7"/>
  <c r="R969" i="7"/>
  <c r="R970" i="7"/>
  <c r="R971" i="7"/>
  <c r="R972" i="7"/>
  <c r="R973" i="7"/>
  <c r="R974" i="7"/>
  <c r="R975" i="7"/>
  <c r="R976" i="7"/>
  <c r="R977" i="7"/>
  <c r="R978" i="7"/>
  <c r="R979" i="7"/>
  <c r="R980" i="7"/>
  <c r="R981" i="7"/>
  <c r="R982" i="7"/>
  <c r="R983" i="7"/>
  <c r="R984" i="7"/>
  <c r="R985" i="7"/>
  <c r="R986" i="7"/>
  <c r="R987" i="7"/>
  <c r="R988" i="7"/>
  <c r="R989" i="7"/>
  <c r="R990" i="7"/>
  <c r="R991" i="7"/>
  <c r="R992" i="7"/>
  <c r="R993" i="7"/>
  <c r="R994" i="7"/>
  <c r="R995" i="7"/>
  <c r="R996" i="7"/>
  <c r="R997" i="7"/>
  <c r="R998" i="7"/>
  <c r="R999" i="7"/>
  <c r="R1000" i="7"/>
  <c r="R1001" i="7"/>
  <c r="R1002" i="7"/>
  <c r="R1003" i="7"/>
  <c r="R1004" i="7"/>
  <c r="R1005" i="7"/>
  <c r="R1006" i="7"/>
  <c r="R1007" i="7"/>
  <c r="R1008" i="7"/>
  <c r="R1009" i="7"/>
  <c r="R1010" i="7"/>
  <c r="R1011" i="7"/>
  <c r="R1012" i="7"/>
  <c r="R1013" i="7"/>
  <c r="R1014" i="7"/>
  <c r="R1015" i="7"/>
  <c r="R1016" i="7"/>
  <c r="R1017" i="7"/>
  <c r="R1018" i="7"/>
  <c r="R1019" i="7"/>
  <c r="R1020" i="7"/>
  <c r="R1021" i="7"/>
  <c r="R1022" i="7"/>
  <c r="R1023" i="7"/>
  <c r="R1024" i="7"/>
  <c r="R1025" i="7"/>
  <c r="R1026" i="7"/>
  <c r="R1027" i="7"/>
  <c r="R1028" i="7"/>
  <c r="R1029" i="7"/>
  <c r="R1030" i="7"/>
  <c r="R1031" i="7"/>
  <c r="R1032" i="7"/>
  <c r="R1033" i="7"/>
  <c r="R1034" i="7"/>
  <c r="R1035" i="7"/>
  <c r="R1036" i="7"/>
  <c r="R1037" i="7"/>
  <c r="R1038" i="7"/>
  <c r="R1039" i="7"/>
  <c r="R1040" i="7"/>
  <c r="R1041" i="7"/>
  <c r="R1042" i="7"/>
  <c r="R1043" i="7"/>
  <c r="R1044" i="7"/>
  <c r="R1045" i="7"/>
  <c r="R1046" i="7"/>
  <c r="R1047" i="7"/>
  <c r="R1048" i="7"/>
  <c r="R1049" i="7"/>
  <c r="R1050" i="7"/>
  <c r="R1051" i="7"/>
  <c r="R1052" i="7"/>
  <c r="R1053" i="7"/>
  <c r="R1054" i="7"/>
  <c r="R1055" i="7"/>
  <c r="R1056" i="7"/>
  <c r="R1057" i="7"/>
  <c r="R1058" i="7"/>
  <c r="R1059" i="7"/>
  <c r="R1060" i="7"/>
  <c r="R1061" i="7"/>
  <c r="R1062" i="7"/>
  <c r="R1063" i="7"/>
  <c r="R1064" i="7"/>
  <c r="R1065" i="7"/>
  <c r="R1066" i="7"/>
  <c r="R1067" i="7"/>
  <c r="R1068" i="7"/>
  <c r="R1069" i="7"/>
  <c r="R1070" i="7"/>
  <c r="R1071" i="7"/>
  <c r="R1072" i="7"/>
  <c r="R1073" i="7"/>
  <c r="R1074" i="7"/>
  <c r="R1075" i="7"/>
  <c r="R1076" i="7"/>
  <c r="R1077" i="7"/>
  <c r="R1078" i="7"/>
  <c r="R1079" i="7"/>
  <c r="R1080" i="7"/>
  <c r="R1081" i="7"/>
  <c r="R1082" i="7"/>
  <c r="R1083" i="7"/>
  <c r="R1084" i="7"/>
  <c r="R1085" i="7"/>
  <c r="R1086" i="7"/>
  <c r="R1087" i="7"/>
  <c r="R1088" i="7"/>
  <c r="R1089" i="7"/>
  <c r="R1090" i="7"/>
  <c r="R1091" i="7"/>
  <c r="R1092" i="7"/>
  <c r="R1093" i="7"/>
  <c r="R1094" i="7"/>
  <c r="R1095" i="7"/>
  <c r="R1096" i="7"/>
  <c r="R1097" i="7"/>
  <c r="R1098" i="7"/>
  <c r="R1099" i="7"/>
  <c r="R1100" i="7"/>
  <c r="R1101" i="7"/>
  <c r="R1102" i="7"/>
  <c r="R1103" i="7"/>
  <c r="R1104" i="7"/>
  <c r="R1105" i="7"/>
  <c r="R1106" i="7"/>
  <c r="R1107" i="7"/>
  <c r="R1108" i="7"/>
  <c r="R1109" i="7"/>
  <c r="R1110" i="7"/>
  <c r="R1111" i="7"/>
  <c r="R1112" i="7"/>
  <c r="R1113" i="7"/>
  <c r="R1114" i="7"/>
  <c r="R1115" i="7"/>
  <c r="R1116" i="7"/>
  <c r="R1117" i="7"/>
  <c r="R1118" i="7"/>
  <c r="R1119" i="7"/>
  <c r="R1120" i="7"/>
  <c r="R1121" i="7"/>
  <c r="R1122" i="7"/>
  <c r="R1123" i="7"/>
  <c r="R1124" i="7"/>
  <c r="R1125" i="7"/>
  <c r="R1126" i="7"/>
  <c r="R1127" i="7"/>
  <c r="R1128" i="7"/>
  <c r="R1129" i="7"/>
  <c r="R1130" i="7"/>
  <c r="R1131" i="7"/>
  <c r="R1132" i="7"/>
  <c r="R1133" i="7"/>
  <c r="R1134" i="7"/>
  <c r="R1135" i="7"/>
  <c r="R1136" i="7"/>
  <c r="R1137" i="7"/>
  <c r="R1138" i="7"/>
  <c r="R1139" i="7"/>
  <c r="R1140" i="7"/>
  <c r="R1141" i="7"/>
  <c r="R1142" i="7"/>
  <c r="R1143" i="7"/>
  <c r="R1144" i="7"/>
  <c r="R1145" i="7"/>
  <c r="R1146" i="7"/>
  <c r="R1147" i="7"/>
  <c r="R1148" i="7"/>
  <c r="R1149" i="7"/>
  <c r="R1150" i="7"/>
  <c r="R1151" i="7"/>
  <c r="R1152" i="7"/>
  <c r="R1153" i="7"/>
  <c r="R1154" i="7"/>
  <c r="R1155" i="7"/>
  <c r="R1156" i="7"/>
  <c r="R1157" i="7"/>
  <c r="R1158" i="7"/>
  <c r="R1159" i="7"/>
  <c r="R1160" i="7"/>
  <c r="R1161" i="7"/>
  <c r="R1162" i="7"/>
  <c r="R1163" i="7"/>
  <c r="R1164" i="7"/>
  <c r="R1165" i="7"/>
  <c r="R1166" i="7"/>
  <c r="R1167" i="7"/>
  <c r="R1168" i="7"/>
  <c r="R1169" i="7"/>
  <c r="R1170" i="7"/>
  <c r="R1171" i="7"/>
  <c r="R1172" i="7"/>
  <c r="R1173" i="7"/>
  <c r="R1174" i="7"/>
  <c r="R1175" i="7"/>
  <c r="R1176" i="7"/>
  <c r="R1177" i="7"/>
  <c r="R1178" i="7"/>
  <c r="R1179" i="7"/>
  <c r="R1180" i="7"/>
  <c r="R1181" i="7"/>
  <c r="R1182" i="7"/>
  <c r="R1183" i="7"/>
  <c r="R1184" i="7"/>
  <c r="R1185" i="7"/>
  <c r="R1186" i="7"/>
  <c r="R1187" i="7"/>
  <c r="R1188" i="7"/>
  <c r="R1189" i="7"/>
  <c r="R1190" i="7"/>
  <c r="R1191" i="7"/>
  <c r="R1192" i="7"/>
  <c r="R1193" i="7"/>
  <c r="R1194" i="7"/>
  <c r="R1195" i="7"/>
  <c r="R1196" i="7"/>
  <c r="R1197" i="7"/>
  <c r="R1198" i="7"/>
  <c r="R1199" i="7"/>
  <c r="R1200" i="7"/>
  <c r="R1201" i="7"/>
  <c r="R1202" i="7"/>
  <c r="R1203" i="7"/>
  <c r="R1204" i="7"/>
  <c r="R1205" i="7"/>
  <c r="R1206" i="7"/>
  <c r="R1207" i="7"/>
  <c r="R1208" i="7"/>
  <c r="R1209" i="7"/>
  <c r="R1210" i="7"/>
  <c r="R1211" i="7"/>
  <c r="R1212" i="7"/>
  <c r="R1213" i="7"/>
  <c r="R1214" i="7"/>
  <c r="R1215" i="7"/>
  <c r="R1216" i="7"/>
  <c r="R1217" i="7"/>
  <c r="R1218" i="7"/>
  <c r="R1219" i="7"/>
  <c r="R1220" i="7"/>
  <c r="R1221" i="7"/>
  <c r="R1222" i="7"/>
  <c r="R1223" i="7"/>
  <c r="R1224" i="7"/>
  <c r="R1225" i="7"/>
  <c r="R1226" i="7"/>
  <c r="R1227" i="7"/>
  <c r="R1228" i="7"/>
  <c r="R1229" i="7"/>
  <c r="R1230" i="7"/>
  <c r="R1231" i="7"/>
  <c r="R1232" i="7"/>
  <c r="R1233" i="7"/>
  <c r="R1234" i="7"/>
  <c r="R1235" i="7"/>
  <c r="R1236" i="7"/>
  <c r="R1237" i="7"/>
  <c r="R1238" i="7"/>
  <c r="R1239" i="7"/>
  <c r="R1240" i="7"/>
  <c r="R1241" i="7"/>
  <c r="R1242" i="7"/>
  <c r="R1243" i="7"/>
  <c r="R1244" i="7"/>
  <c r="R1245" i="7"/>
  <c r="R1246" i="7"/>
  <c r="R1247" i="7"/>
  <c r="R1248" i="7"/>
  <c r="R1249" i="7"/>
  <c r="R1250" i="7"/>
  <c r="R1251" i="7"/>
  <c r="R1252" i="7"/>
  <c r="R1253" i="7"/>
  <c r="R1254" i="7"/>
  <c r="R1255" i="7"/>
  <c r="R1256" i="7"/>
  <c r="R1257" i="7"/>
  <c r="R1258" i="7"/>
  <c r="R1259" i="7"/>
  <c r="R1260" i="7"/>
  <c r="R1261" i="7"/>
  <c r="R1262" i="7"/>
  <c r="R1263" i="7"/>
  <c r="R1264" i="7"/>
  <c r="R1265" i="7"/>
  <c r="R1266" i="7"/>
  <c r="R1267" i="7"/>
  <c r="R1268" i="7"/>
  <c r="R1269" i="7"/>
  <c r="R1270" i="7"/>
  <c r="R1271" i="7"/>
  <c r="R1272" i="7"/>
  <c r="R1273" i="7"/>
  <c r="R1274" i="7"/>
  <c r="R1275" i="7"/>
  <c r="R1276" i="7"/>
  <c r="R1277" i="7"/>
  <c r="R1278" i="7"/>
  <c r="R1279" i="7"/>
  <c r="R1280" i="7"/>
  <c r="R1281" i="7"/>
  <c r="R1282" i="7"/>
  <c r="R1283" i="7"/>
  <c r="R1284" i="7"/>
  <c r="R1285" i="7"/>
  <c r="R1286" i="7"/>
  <c r="R1287" i="7"/>
  <c r="R1288" i="7"/>
  <c r="R1289" i="7"/>
  <c r="R1290" i="7"/>
  <c r="R1291" i="7"/>
  <c r="R1292" i="7"/>
  <c r="AF1292" i="7"/>
  <c r="R1293" i="7"/>
  <c r="AF1293" i="7"/>
  <c r="R1294" i="7"/>
  <c r="AF1294" i="7"/>
  <c r="R1295" i="7"/>
  <c r="AF1295" i="7"/>
  <c r="R1296" i="7"/>
  <c r="AF1296" i="7"/>
  <c r="R1297" i="7"/>
  <c r="AF1297" i="7"/>
  <c r="R1298" i="7"/>
  <c r="AF1298" i="7"/>
  <c r="R1299" i="7"/>
  <c r="AF1299" i="7"/>
  <c r="R1300" i="7"/>
  <c r="AF1300" i="7"/>
  <c r="R1301" i="7"/>
  <c r="AF1301" i="7"/>
  <c r="R1302" i="7"/>
  <c r="R1303" i="7"/>
  <c r="R1304" i="7"/>
  <c r="R1305" i="7"/>
  <c r="R1306" i="7"/>
  <c r="R1307" i="7"/>
  <c r="R1308" i="7"/>
  <c r="R1309" i="7"/>
  <c r="R1310" i="7"/>
  <c r="R1311" i="7"/>
  <c r="R1312" i="7"/>
  <c r="R1313" i="7"/>
  <c r="R1314" i="7"/>
  <c r="R1315" i="7"/>
  <c r="R1316" i="7"/>
  <c r="R1317" i="7"/>
  <c r="R1318" i="7"/>
  <c r="R1319" i="7"/>
  <c r="R1320" i="7"/>
  <c r="R1321" i="7"/>
  <c r="R1322" i="7"/>
  <c r="R1323" i="7"/>
  <c r="R1324" i="7"/>
  <c r="R1325" i="7"/>
  <c r="R1326" i="7"/>
  <c r="R1327" i="7"/>
  <c r="R1328" i="7"/>
  <c r="R1329" i="7"/>
  <c r="R1330" i="7"/>
  <c r="R1331" i="7"/>
  <c r="R1332" i="7"/>
  <c r="R1333" i="7"/>
  <c r="R1334" i="7"/>
  <c r="R1335" i="7"/>
  <c r="R1336" i="7"/>
  <c r="R1337" i="7"/>
  <c r="R1338" i="7"/>
  <c r="R1339" i="7"/>
  <c r="R1340" i="7"/>
  <c r="R1341" i="7"/>
  <c r="R1342" i="7"/>
  <c r="R1343" i="7"/>
  <c r="R1344" i="7"/>
  <c r="R1345" i="7"/>
  <c r="R1346" i="7"/>
  <c r="R1347" i="7"/>
  <c r="R1348" i="7"/>
  <c r="R1349" i="7"/>
  <c r="R1350" i="7"/>
  <c r="R1351" i="7"/>
  <c r="R1352" i="7"/>
  <c r="R1353" i="7"/>
  <c r="R1354" i="7"/>
  <c r="R1355" i="7"/>
  <c r="R1356" i="7"/>
  <c r="R1357" i="7"/>
  <c r="R1358" i="7"/>
  <c r="R1359" i="7"/>
  <c r="R1360" i="7"/>
  <c r="R1361" i="7"/>
  <c r="R1362" i="7"/>
  <c r="R1363" i="7"/>
  <c r="R1364" i="7"/>
  <c r="R1365" i="7"/>
  <c r="R1366" i="7"/>
  <c r="R1367" i="7"/>
  <c r="R1368" i="7"/>
  <c r="R1369" i="7"/>
  <c r="R1370" i="7"/>
  <c r="R1371" i="7"/>
  <c r="R1372" i="7"/>
  <c r="R1373" i="7"/>
  <c r="R1374" i="7"/>
  <c r="R1375" i="7"/>
  <c r="R1376" i="7"/>
  <c r="R1377" i="7"/>
  <c r="R1378" i="7"/>
  <c r="R1379" i="7"/>
  <c r="R1380" i="7"/>
  <c r="R1381" i="7"/>
  <c r="R1382" i="7"/>
  <c r="R1383" i="7"/>
  <c r="R1384" i="7"/>
  <c r="R1385" i="7"/>
  <c r="R1386" i="7"/>
  <c r="R1387" i="7"/>
  <c r="R1388" i="7"/>
  <c r="R1389" i="7"/>
  <c r="R1390" i="7"/>
  <c r="R1391" i="7"/>
  <c r="R1392" i="7"/>
  <c r="R1393" i="7"/>
  <c r="R1394" i="7"/>
  <c r="R1395" i="7"/>
  <c r="R1396" i="7"/>
  <c r="R1397" i="7"/>
  <c r="R1398" i="7"/>
  <c r="R1399" i="7"/>
  <c r="R1400" i="7"/>
  <c r="R1401" i="7"/>
  <c r="R1402" i="7"/>
  <c r="R1403" i="7"/>
  <c r="R1404" i="7"/>
  <c r="R1405" i="7"/>
  <c r="R1406" i="7"/>
  <c r="R1407" i="7"/>
  <c r="R1408" i="7"/>
  <c r="R1409" i="7"/>
  <c r="R1410" i="7"/>
  <c r="R1411" i="7"/>
  <c r="R1412" i="7"/>
  <c r="R1413" i="7"/>
  <c r="R1414" i="7"/>
  <c r="R1415" i="7"/>
  <c r="R1416" i="7"/>
  <c r="R1417" i="7"/>
  <c r="R1418" i="7"/>
  <c r="R1419" i="7"/>
  <c r="R1420" i="7"/>
  <c r="R1421" i="7"/>
  <c r="R1422" i="7"/>
  <c r="R1423" i="7"/>
  <c r="R1424" i="7"/>
  <c r="R1425" i="7"/>
  <c r="R1426" i="7"/>
  <c r="R1427" i="7"/>
  <c r="R1428" i="7"/>
  <c r="R1429" i="7"/>
  <c r="R1430" i="7"/>
  <c r="R1431" i="7"/>
  <c r="R1432" i="7"/>
  <c r="R1433" i="7"/>
  <c r="R1434" i="7"/>
  <c r="R1435" i="7"/>
  <c r="R1436" i="7"/>
  <c r="R1437" i="7"/>
  <c r="R1438" i="7"/>
  <c r="R1439" i="7"/>
  <c r="R1440" i="7"/>
  <c r="R1441" i="7"/>
  <c r="R1442" i="7"/>
  <c r="R1443" i="7"/>
  <c r="R1444" i="7"/>
  <c r="R1445" i="7"/>
  <c r="R1446" i="7"/>
  <c r="R1447" i="7"/>
  <c r="R1448" i="7"/>
  <c r="R1449" i="7"/>
  <c r="R1450" i="7"/>
  <c r="R1451" i="7"/>
  <c r="R1452" i="7"/>
  <c r="R1453" i="7"/>
  <c r="R1454" i="7"/>
  <c r="R1455" i="7"/>
  <c r="R1456" i="7"/>
  <c r="R1457" i="7"/>
  <c r="R1458" i="7"/>
  <c r="R1459" i="7"/>
  <c r="R1460" i="7"/>
  <c r="R1461" i="7"/>
  <c r="R1462" i="7"/>
  <c r="R1463" i="7"/>
  <c r="R1464" i="7"/>
  <c r="R1465" i="7"/>
  <c r="R1466" i="7"/>
  <c r="R1467" i="7"/>
  <c r="R1468" i="7"/>
  <c r="R1469" i="7"/>
  <c r="R1470" i="7"/>
  <c r="R1471" i="7"/>
  <c r="R1472" i="7"/>
  <c r="R1473" i="7"/>
  <c r="R1474" i="7"/>
  <c r="R1475" i="7"/>
  <c r="R1476" i="7"/>
  <c r="R1477" i="7"/>
  <c r="R1478" i="7"/>
  <c r="R1479" i="7"/>
  <c r="R1480" i="7"/>
  <c r="R1481" i="7"/>
  <c r="R1482" i="7"/>
  <c r="R1483" i="7"/>
  <c r="R1484" i="7"/>
  <c r="R1485" i="7"/>
  <c r="R1486" i="7"/>
  <c r="R1487" i="7"/>
  <c r="R1488" i="7"/>
  <c r="R1489" i="7"/>
  <c r="R1490" i="7"/>
  <c r="R1491" i="7"/>
  <c r="R1492" i="7"/>
  <c r="R1493" i="7"/>
  <c r="R1494" i="7"/>
  <c r="R1495" i="7"/>
  <c r="R1496" i="7"/>
  <c r="R1497" i="7"/>
  <c r="R1498" i="7"/>
  <c r="R1499" i="7"/>
  <c r="R1500" i="7"/>
  <c r="R1501" i="7"/>
  <c r="R1502" i="7"/>
  <c r="R1503" i="7"/>
  <c r="R1504" i="7"/>
  <c r="R1505" i="7"/>
  <c r="R1506" i="7"/>
  <c r="R1507" i="7"/>
  <c r="R1508" i="7"/>
  <c r="R1509" i="7"/>
  <c r="R1510" i="7"/>
  <c r="R1511" i="7"/>
  <c r="R1512" i="7"/>
  <c r="R1513" i="7"/>
  <c r="R1514" i="7"/>
  <c r="R1515" i="7"/>
  <c r="R1516" i="7"/>
  <c r="R1517" i="7"/>
  <c r="R1518" i="7"/>
  <c r="R1519" i="7"/>
  <c r="R1520" i="7"/>
  <c r="R1521" i="7"/>
  <c r="R1522" i="7"/>
  <c r="R1523" i="7"/>
  <c r="R1524" i="7"/>
  <c r="R1525" i="7"/>
  <c r="R1526" i="7"/>
  <c r="R1527" i="7"/>
  <c r="R1528" i="7"/>
  <c r="R1529" i="7"/>
  <c r="R1530" i="7"/>
  <c r="R1531" i="7"/>
  <c r="R1532" i="7"/>
  <c r="R1533" i="7"/>
  <c r="R1534" i="7"/>
  <c r="R1535" i="7"/>
  <c r="R1536" i="7"/>
  <c r="R1537" i="7"/>
  <c r="R1538" i="7"/>
  <c r="R1539" i="7"/>
  <c r="R1540" i="7"/>
  <c r="R1541" i="7"/>
  <c r="R1542" i="7"/>
  <c r="R1543" i="7"/>
  <c r="R1544" i="7"/>
  <c r="R1545" i="7"/>
  <c r="R1546" i="7"/>
  <c r="R1547" i="7"/>
  <c r="R1548" i="7"/>
  <c r="R1549" i="7"/>
  <c r="R1550" i="7"/>
  <c r="R1551" i="7"/>
  <c r="R1552" i="7"/>
  <c r="R1553" i="7"/>
  <c r="R1554" i="7"/>
  <c r="R1555" i="7"/>
  <c r="R1556" i="7"/>
  <c r="R1557" i="7"/>
  <c r="R1558" i="7"/>
  <c r="R1559" i="7"/>
  <c r="R1560" i="7"/>
  <c r="R1561" i="7"/>
  <c r="R1562" i="7"/>
  <c r="R1563" i="7"/>
  <c r="R1564" i="7"/>
  <c r="R1565" i="7"/>
  <c r="R1566" i="7"/>
  <c r="R1567" i="7"/>
  <c r="R1568" i="7"/>
  <c r="R1569" i="7"/>
  <c r="R1570" i="7"/>
  <c r="R1571" i="7"/>
  <c r="R1572" i="7"/>
  <c r="R1573" i="7"/>
  <c r="R1574" i="7"/>
  <c r="R1575" i="7"/>
  <c r="R1576" i="7"/>
  <c r="R1577" i="7"/>
  <c r="R1578" i="7"/>
  <c r="R1579" i="7"/>
  <c r="R1580" i="7"/>
  <c r="R1581" i="7"/>
  <c r="R1582" i="7"/>
  <c r="R1583" i="7"/>
  <c r="R1584" i="7"/>
  <c r="R1585" i="7"/>
  <c r="R1586" i="7"/>
  <c r="R1587" i="7"/>
  <c r="R1588" i="7"/>
  <c r="R1589" i="7"/>
  <c r="R1590" i="7"/>
  <c r="R1591" i="7"/>
  <c r="R1592" i="7"/>
  <c r="R1593" i="7"/>
  <c r="R1594" i="7"/>
  <c r="R1595" i="7"/>
  <c r="R1596" i="7"/>
  <c r="R1597" i="7"/>
  <c r="R1598" i="7"/>
  <c r="R1599" i="7"/>
  <c r="R1600" i="7"/>
  <c r="R1601" i="7"/>
  <c r="R1602" i="7"/>
  <c r="R1603" i="7"/>
  <c r="R1604" i="7"/>
  <c r="R1605" i="7"/>
  <c r="R1606" i="7"/>
  <c r="R1607" i="7"/>
  <c r="R1608" i="7"/>
  <c r="R1609" i="7"/>
  <c r="R1610" i="7"/>
  <c r="R1611" i="7"/>
  <c r="R1612" i="7"/>
  <c r="R1613" i="7"/>
  <c r="R1614" i="7"/>
  <c r="R1615" i="7"/>
  <c r="R1616" i="7"/>
  <c r="R1617" i="7"/>
  <c r="R1618" i="7"/>
  <c r="R1619" i="7"/>
  <c r="R1620" i="7"/>
  <c r="R1621" i="7"/>
  <c r="R1622" i="7"/>
  <c r="R1623" i="7"/>
  <c r="R1624" i="7"/>
  <c r="R1625" i="7"/>
  <c r="R1626" i="7"/>
  <c r="R1627" i="7"/>
  <c r="R1628" i="7"/>
  <c r="R1629" i="7"/>
  <c r="R1630" i="7"/>
  <c r="R1631" i="7"/>
  <c r="R1632" i="7"/>
  <c r="R1633" i="7"/>
  <c r="R1634" i="7"/>
  <c r="R1635" i="7"/>
  <c r="R1636" i="7"/>
  <c r="R1637" i="7"/>
  <c r="R1638" i="7"/>
  <c r="R1639" i="7"/>
  <c r="R1640" i="7"/>
  <c r="R1641" i="7"/>
  <c r="R1642" i="7"/>
  <c r="R1643" i="7"/>
  <c r="R1644" i="7"/>
  <c r="R1645" i="7"/>
  <c r="R1646" i="7"/>
  <c r="R1647" i="7"/>
  <c r="R1648" i="7"/>
  <c r="R1649" i="7"/>
  <c r="R1650" i="7"/>
  <c r="R1651" i="7"/>
  <c r="R1652" i="7"/>
  <c r="R1653" i="7"/>
  <c r="R1654" i="7"/>
  <c r="R1655" i="7"/>
  <c r="R1656" i="7"/>
  <c r="R1657" i="7"/>
  <c r="R1658" i="7"/>
  <c r="R1659" i="7"/>
  <c r="R1660" i="7"/>
  <c r="R1661" i="7"/>
  <c r="R1662" i="7"/>
  <c r="R1663" i="7"/>
  <c r="R1664" i="7"/>
  <c r="R1665" i="7"/>
  <c r="R1666" i="7"/>
  <c r="R1667" i="7"/>
  <c r="R1668" i="7"/>
  <c r="R1669" i="7"/>
  <c r="R1670" i="7"/>
  <c r="R1671" i="7"/>
  <c r="R1672" i="7"/>
  <c r="R1673" i="7"/>
  <c r="R1674" i="7"/>
  <c r="R1675" i="7"/>
  <c r="R1676" i="7"/>
  <c r="R1677" i="7"/>
  <c r="R1678" i="7"/>
  <c r="R1679" i="7"/>
  <c r="R1680" i="7"/>
  <c r="R1681" i="7"/>
  <c r="R1682" i="7"/>
  <c r="R1683" i="7"/>
  <c r="R1684" i="7"/>
  <c r="R1685" i="7"/>
  <c r="R1686" i="7"/>
  <c r="R1687" i="7"/>
  <c r="R1688" i="7"/>
  <c r="R1689" i="7"/>
  <c r="R1690" i="7"/>
  <c r="R1691" i="7"/>
  <c r="R1692" i="7"/>
  <c r="R1693" i="7"/>
  <c r="R1694" i="7"/>
  <c r="R1695" i="7"/>
  <c r="R1696" i="7"/>
  <c r="R1697" i="7"/>
  <c r="R1698" i="7"/>
  <c r="R1699" i="7"/>
  <c r="R1700" i="7"/>
  <c r="R1701" i="7"/>
  <c r="R1702" i="7"/>
  <c r="R1703" i="7"/>
  <c r="R1704" i="7"/>
  <c r="R1705" i="7"/>
  <c r="R1706" i="7"/>
  <c r="R1707" i="7"/>
  <c r="R1708" i="7"/>
  <c r="R1709" i="7"/>
  <c r="R1710" i="7"/>
  <c r="R1711" i="7"/>
  <c r="R1712" i="7"/>
  <c r="R1713" i="7"/>
  <c r="R1714" i="7"/>
  <c r="R1715" i="7"/>
  <c r="R1716" i="7"/>
  <c r="R1717" i="7"/>
  <c r="R1718" i="7"/>
  <c r="R1719" i="7"/>
  <c r="R1720" i="7"/>
  <c r="R1721" i="7"/>
  <c r="R1722" i="7"/>
  <c r="R1723" i="7"/>
  <c r="R1724" i="7"/>
  <c r="R1725" i="7"/>
  <c r="R1726" i="7"/>
  <c r="R1727" i="7"/>
  <c r="R1728" i="7"/>
  <c r="R1729" i="7"/>
  <c r="R1730" i="7"/>
  <c r="R1731" i="7"/>
  <c r="R1732" i="7"/>
  <c r="R1733" i="7"/>
  <c r="R1734" i="7"/>
  <c r="R1735" i="7"/>
  <c r="R1736" i="7"/>
  <c r="R1737" i="7"/>
  <c r="R1738" i="7"/>
  <c r="R1739" i="7"/>
  <c r="R1740" i="7"/>
  <c r="R1741" i="7"/>
  <c r="R1742" i="7"/>
  <c r="R1743" i="7"/>
  <c r="R1744" i="7"/>
  <c r="R1745" i="7"/>
  <c r="R1746" i="7"/>
  <c r="R1747" i="7"/>
  <c r="R1748" i="7"/>
  <c r="R1749" i="7"/>
  <c r="R1750" i="7"/>
  <c r="R1751" i="7"/>
  <c r="R1752" i="7"/>
  <c r="R1753" i="7"/>
  <c r="R1754" i="7"/>
  <c r="R1755" i="7"/>
  <c r="R1756" i="7"/>
  <c r="R1757" i="7"/>
  <c r="R1758" i="7"/>
  <c r="R1759" i="7"/>
  <c r="R1760" i="7"/>
  <c r="R1761" i="7"/>
  <c r="R1762" i="7"/>
  <c r="R1763" i="7"/>
  <c r="R1764" i="7"/>
  <c r="R1765" i="7"/>
  <c r="R1766" i="7"/>
  <c r="R1767" i="7"/>
  <c r="R1768" i="7"/>
  <c r="R1769" i="7"/>
  <c r="R1770" i="7"/>
  <c r="R1771" i="7"/>
  <c r="R1772" i="7"/>
  <c r="R1773" i="7"/>
  <c r="R1774" i="7"/>
  <c r="R1775" i="7"/>
  <c r="R1776" i="7"/>
  <c r="R1777" i="7"/>
  <c r="R1778" i="7"/>
  <c r="R1779" i="7"/>
  <c r="R1780" i="7"/>
  <c r="R1781" i="7"/>
  <c r="R1782" i="7"/>
  <c r="R1783" i="7"/>
  <c r="R1784" i="7"/>
  <c r="R1785" i="7"/>
  <c r="R1786" i="7"/>
  <c r="R1787" i="7"/>
  <c r="R1788" i="7"/>
  <c r="R1789" i="7"/>
  <c r="R1790" i="7"/>
  <c r="R1791" i="7"/>
  <c r="R1792" i="7"/>
  <c r="R1793" i="7"/>
  <c r="R1794" i="7"/>
  <c r="R1795" i="7"/>
  <c r="R1796" i="7"/>
  <c r="R1797" i="7"/>
  <c r="R1798" i="7"/>
  <c r="R1799" i="7"/>
  <c r="R1800" i="7"/>
  <c r="R1801" i="7"/>
  <c r="R1802" i="7"/>
  <c r="R1803" i="7"/>
  <c r="R1804" i="7"/>
  <c r="R1805" i="7"/>
  <c r="R1806" i="7"/>
  <c r="R1807" i="7"/>
  <c r="R1808" i="7"/>
  <c r="R1809" i="7"/>
  <c r="R1810" i="7"/>
  <c r="R1811" i="7"/>
  <c r="R1812" i="7"/>
  <c r="R1813" i="7"/>
  <c r="R1814" i="7"/>
  <c r="R1815" i="7"/>
  <c r="R1816" i="7"/>
  <c r="R1817" i="7"/>
  <c r="R1818" i="7"/>
  <c r="R1819" i="7"/>
  <c r="R1820" i="7"/>
  <c r="R1821" i="7"/>
  <c r="R1822" i="7"/>
  <c r="R1823" i="7"/>
  <c r="R1824" i="7"/>
  <c r="R1825" i="7"/>
  <c r="R1826" i="7"/>
  <c r="R1827" i="7"/>
  <c r="R1828" i="7"/>
  <c r="R1829" i="7"/>
  <c r="R1830" i="7"/>
  <c r="R1831" i="7"/>
  <c r="R1832" i="7"/>
  <c r="R1833" i="7"/>
  <c r="R1834" i="7"/>
  <c r="R1835" i="7"/>
  <c r="R1836" i="7"/>
  <c r="R1837" i="7"/>
  <c r="R1838" i="7"/>
  <c r="R1839" i="7"/>
  <c r="R1840" i="7"/>
  <c r="R1841" i="7"/>
  <c r="R1842" i="7"/>
  <c r="R1843" i="7"/>
  <c r="R1844" i="7"/>
  <c r="R1845" i="7"/>
  <c r="R1846" i="7"/>
  <c r="R1847" i="7"/>
  <c r="R1848" i="7"/>
  <c r="R1849" i="7"/>
  <c r="R1850" i="7"/>
  <c r="R1851" i="7"/>
  <c r="R1852" i="7"/>
  <c r="R1853" i="7"/>
  <c r="R1854" i="7"/>
  <c r="R1855" i="7"/>
  <c r="R1856" i="7"/>
  <c r="R1857" i="7"/>
  <c r="R1858" i="7"/>
  <c r="R1859" i="7"/>
  <c r="R1860" i="7"/>
  <c r="R1861" i="7"/>
  <c r="R1862" i="7"/>
  <c r="R1863" i="7"/>
  <c r="R1864" i="7"/>
  <c r="R1865" i="7"/>
  <c r="R1866" i="7"/>
  <c r="R1867" i="7"/>
  <c r="R1868" i="7"/>
  <c r="R1869" i="7"/>
  <c r="R1870" i="7"/>
  <c r="R1871" i="7"/>
  <c r="R1872" i="7"/>
  <c r="R1873" i="7"/>
  <c r="R1874" i="7"/>
  <c r="R1875" i="7"/>
  <c r="R1876" i="7"/>
  <c r="R1877" i="7"/>
  <c r="R1878" i="7"/>
  <c r="R1879" i="7"/>
  <c r="R1880" i="7"/>
  <c r="R1881" i="7"/>
  <c r="R1882" i="7"/>
  <c r="R1883" i="7"/>
  <c r="R1884" i="7"/>
  <c r="R1885" i="7"/>
  <c r="R1886" i="7"/>
  <c r="R1887" i="7"/>
  <c r="R1888" i="7"/>
  <c r="R1889" i="7"/>
  <c r="R1890" i="7"/>
  <c r="R1891" i="7"/>
  <c r="R1892" i="7"/>
  <c r="R1893" i="7"/>
  <c r="R1894" i="7"/>
  <c r="R1895" i="7"/>
  <c r="R1896" i="7"/>
  <c r="R1897" i="7"/>
  <c r="R1898" i="7"/>
  <c r="R1899" i="7"/>
  <c r="R1900" i="7"/>
  <c r="R1901" i="7"/>
  <c r="R1902" i="7"/>
  <c r="R1903" i="7"/>
  <c r="R1904" i="7"/>
  <c r="R1905" i="7"/>
  <c r="R1906" i="7"/>
  <c r="R1907" i="7"/>
  <c r="R1908" i="7"/>
  <c r="R1909" i="7"/>
  <c r="R1910" i="7"/>
  <c r="R1911" i="7"/>
  <c r="R1912" i="7"/>
  <c r="R1913" i="7"/>
  <c r="R1914" i="7"/>
  <c r="R1915" i="7"/>
  <c r="R1916" i="7"/>
  <c r="R1917" i="7"/>
  <c r="R1918" i="7"/>
  <c r="R1919" i="7"/>
  <c r="R1920" i="7"/>
  <c r="R1921" i="7"/>
  <c r="R1922" i="7"/>
  <c r="R1923" i="7"/>
  <c r="R1924" i="7"/>
  <c r="R1925" i="7"/>
  <c r="R1926" i="7"/>
  <c r="R1927" i="7"/>
  <c r="R1928" i="7"/>
  <c r="R1929" i="7"/>
  <c r="R1930" i="7"/>
  <c r="R1931" i="7"/>
  <c r="R1932" i="7"/>
  <c r="R1933" i="7"/>
  <c r="R1934" i="7"/>
  <c r="R1935" i="7"/>
  <c r="R1936" i="7"/>
  <c r="R1937" i="7"/>
  <c r="R1938" i="7"/>
  <c r="R1939" i="7"/>
  <c r="R1940" i="7"/>
  <c r="R1941" i="7"/>
  <c r="R1942" i="7"/>
  <c r="R1943" i="7"/>
  <c r="R1944" i="7"/>
  <c r="R1945" i="7"/>
  <c r="R1946" i="7"/>
  <c r="R1947" i="7"/>
  <c r="R1948" i="7"/>
  <c r="R1949" i="7"/>
  <c r="R1950" i="7"/>
  <c r="R1951" i="7"/>
  <c r="R1952" i="7"/>
  <c r="R1953" i="7"/>
  <c r="R1954" i="7"/>
  <c r="R1955" i="7"/>
  <c r="R1956" i="7"/>
  <c r="R1957" i="7"/>
  <c r="R1958" i="7"/>
  <c r="R1959" i="7"/>
  <c r="R1960" i="7"/>
  <c r="R1961" i="7"/>
  <c r="R1962" i="7"/>
  <c r="R1963" i="7"/>
  <c r="R1964" i="7"/>
  <c r="R1965" i="7"/>
  <c r="R1966" i="7"/>
  <c r="R1967" i="7"/>
  <c r="R1968" i="7"/>
  <c r="R1969" i="7"/>
  <c r="R1970" i="7"/>
  <c r="R1971" i="7"/>
  <c r="R1972" i="7"/>
  <c r="R1973" i="7"/>
  <c r="R1974" i="7"/>
  <c r="R1975" i="7"/>
  <c r="R1976" i="7"/>
  <c r="R1977" i="7"/>
  <c r="R1978" i="7"/>
  <c r="R1979" i="7"/>
  <c r="R1980" i="7"/>
  <c r="R1981" i="7"/>
  <c r="R1982" i="7"/>
  <c r="R1983" i="7"/>
  <c r="R1984" i="7"/>
  <c r="R1985" i="7"/>
  <c r="R1986" i="7"/>
  <c r="R1987" i="7"/>
  <c r="R1988" i="7"/>
  <c r="R1989" i="7"/>
  <c r="R1990" i="7"/>
  <c r="R1991" i="7"/>
  <c r="R1992" i="7"/>
  <c r="R1993" i="7"/>
  <c r="R1994" i="7"/>
  <c r="R1995" i="7"/>
  <c r="R1996" i="7"/>
  <c r="R1997" i="7"/>
  <c r="R1998" i="7"/>
  <c r="R1999" i="7"/>
  <c r="R2000" i="7"/>
  <c r="R2001" i="7"/>
  <c r="R2002" i="7"/>
  <c r="R2003" i="7"/>
  <c r="R2004" i="7"/>
  <c r="R2005" i="7"/>
  <c r="R2006" i="7"/>
  <c r="R2007" i="7"/>
  <c r="R2008" i="7"/>
  <c r="R2009" i="7"/>
  <c r="R2010" i="7"/>
  <c r="R2011" i="7"/>
  <c r="R2012" i="7"/>
  <c r="R2013" i="7"/>
  <c r="R2014" i="7"/>
  <c r="R2015" i="7"/>
  <c r="R2016" i="7"/>
  <c r="R2017" i="7"/>
  <c r="R2018" i="7"/>
  <c r="R2019" i="7"/>
  <c r="R2020" i="7"/>
  <c r="R2021" i="7"/>
  <c r="R2022" i="7"/>
  <c r="R2023" i="7"/>
  <c r="R2024" i="7"/>
  <c r="R2025" i="7"/>
  <c r="R2026" i="7"/>
  <c r="R2027" i="7"/>
  <c r="R2028" i="7"/>
  <c r="R2029" i="7"/>
  <c r="R2030" i="7"/>
  <c r="R2031" i="7"/>
  <c r="R2032" i="7"/>
  <c r="R2033" i="7"/>
  <c r="R2034" i="7"/>
  <c r="R2035" i="7"/>
  <c r="R2036" i="7"/>
  <c r="R2037" i="7"/>
  <c r="R2038" i="7"/>
  <c r="R2039" i="7"/>
  <c r="R2040" i="7"/>
  <c r="R2041" i="7"/>
  <c r="R2042" i="7"/>
  <c r="R2043" i="7"/>
  <c r="R2044" i="7"/>
  <c r="R2045" i="7"/>
  <c r="R2046" i="7"/>
  <c r="R2047" i="7"/>
  <c r="R2048" i="7"/>
  <c r="R2049" i="7"/>
  <c r="R2050" i="7"/>
  <c r="R2051" i="7"/>
  <c r="R2052" i="7"/>
  <c r="R2053" i="7"/>
  <c r="R2054" i="7"/>
  <c r="R2055" i="7"/>
  <c r="R2056" i="7"/>
  <c r="R2057" i="7"/>
  <c r="R2058" i="7"/>
  <c r="R2059" i="7"/>
  <c r="R2060" i="7"/>
  <c r="R2061" i="7"/>
  <c r="R2062" i="7"/>
  <c r="R2063" i="7"/>
  <c r="R2064" i="7"/>
  <c r="R2065" i="7"/>
  <c r="R2066" i="7"/>
  <c r="R2067" i="7"/>
  <c r="R2068" i="7"/>
  <c r="R2069" i="7"/>
  <c r="R2070" i="7"/>
  <c r="R2071" i="7"/>
  <c r="R2072" i="7"/>
  <c r="R2073" i="7"/>
  <c r="R2074" i="7"/>
  <c r="R2075" i="7"/>
  <c r="R2076" i="7"/>
  <c r="R2077" i="7"/>
  <c r="R2078" i="7"/>
  <c r="R2079" i="7"/>
  <c r="R2080" i="7"/>
  <c r="R2081" i="7"/>
  <c r="R2082" i="7"/>
  <c r="R2083" i="7"/>
  <c r="R2084" i="7"/>
  <c r="R2085" i="7"/>
  <c r="R2086" i="7"/>
  <c r="R2087" i="7"/>
  <c r="R2088" i="7"/>
  <c r="R2089" i="7"/>
  <c r="R2090" i="7"/>
  <c r="R2091" i="7"/>
  <c r="R2092" i="7"/>
  <c r="R2093" i="7"/>
  <c r="R2094" i="7"/>
  <c r="R2095" i="7"/>
  <c r="R2096" i="7"/>
  <c r="R2097" i="7"/>
  <c r="R2098" i="7"/>
  <c r="R2099" i="7"/>
  <c r="R2100" i="7"/>
  <c r="R2101" i="7"/>
  <c r="R2102" i="7"/>
  <c r="R2103" i="7"/>
  <c r="R2104" i="7"/>
  <c r="R2105" i="7"/>
  <c r="R2106" i="7"/>
  <c r="R2107" i="7"/>
  <c r="R2108" i="7"/>
  <c r="R2109" i="7"/>
  <c r="R2110" i="7"/>
  <c r="R2111" i="7"/>
  <c r="R2112" i="7"/>
  <c r="R2113" i="7"/>
  <c r="R2114" i="7"/>
  <c r="R2115" i="7"/>
  <c r="R2116" i="7"/>
  <c r="R2117" i="7"/>
  <c r="R2118" i="7"/>
  <c r="R2119" i="7"/>
  <c r="R2120" i="7"/>
  <c r="R2121" i="7"/>
  <c r="R2122" i="7"/>
  <c r="R2123" i="7"/>
  <c r="R2124" i="7"/>
  <c r="R2125" i="7"/>
  <c r="R2126" i="7"/>
  <c r="R2127" i="7"/>
  <c r="R2128" i="7"/>
  <c r="R2129" i="7"/>
  <c r="R2130" i="7"/>
  <c r="R2131" i="7"/>
  <c r="R2132" i="7"/>
  <c r="R2133" i="7"/>
  <c r="R2134" i="7"/>
  <c r="R2135" i="7"/>
  <c r="R2136" i="7"/>
  <c r="R2137" i="7"/>
  <c r="R2138" i="7"/>
  <c r="R2139" i="7"/>
  <c r="R2140" i="7"/>
  <c r="R2141" i="7"/>
  <c r="R2142" i="7"/>
  <c r="R2143" i="7"/>
  <c r="R2144" i="7"/>
  <c r="R2145" i="7"/>
  <c r="R2146" i="7"/>
  <c r="R2147" i="7"/>
  <c r="R2148" i="7"/>
  <c r="R2149" i="7"/>
  <c r="R2150" i="7"/>
  <c r="R2151" i="7"/>
  <c r="R2152" i="7"/>
  <c r="R2153" i="7"/>
  <c r="R2154" i="7"/>
  <c r="R2155" i="7"/>
  <c r="R2156" i="7"/>
  <c r="R2157" i="7"/>
  <c r="R2158" i="7"/>
  <c r="R2159" i="7"/>
  <c r="R2160" i="7"/>
  <c r="R2161" i="7"/>
  <c r="R2162" i="7"/>
  <c r="R2163" i="7"/>
  <c r="R2164" i="7"/>
  <c r="R2165" i="7"/>
  <c r="R2166" i="7"/>
  <c r="R2167" i="7"/>
  <c r="R2168" i="7"/>
  <c r="R2169" i="7"/>
  <c r="R2170" i="7"/>
  <c r="R2171" i="7"/>
  <c r="R2172" i="7"/>
  <c r="R2173" i="7"/>
  <c r="R2174" i="7"/>
  <c r="R2175" i="7"/>
  <c r="R2176" i="7"/>
  <c r="R2177" i="7"/>
  <c r="R2178" i="7"/>
  <c r="R2179" i="7"/>
  <c r="R2180" i="7"/>
  <c r="R2181" i="7"/>
  <c r="R2182" i="7"/>
  <c r="R2183" i="7"/>
  <c r="R2184" i="7"/>
  <c r="R2185" i="7"/>
  <c r="R2186" i="7"/>
  <c r="R2187" i="7"/>
  <c r="R2188" i="7"/>
  <c r="R2189" i="7"/>
  <c r="R2190" i="7"/>
  <c r="R2191" i="7"/>
  <c r="R2192" i="7"/>
  <c r="R2193" i="7"/>
  <c r="R2194" i="7"/>
  <c r="R2195" i="7"/>
  <c r="R2196" i="7"/>
  <c r="R2197" i="7"/>
  <c r="R2198" i="7"/>
  <c r="R2199" i="7"/>
  <c r="R2200" i="7"/>
  <c r="R2201" i="7"/>
  <c r="R2202" i="7"/>
  <c r="R2203" i="7"/>
  <c r="R2204" i="7"/>
  <c r="R2205" i="7"/>
  <c r="R2206" i="7"/>
  <c r="R2207" i="7"/>
  <c r="R2208" i="7"/>
  <c r="R2209" i="7"/>
  <c r="R2210" i="7"/>
  <c r="R2211" i="7"/>
  <c r="R2212" i="7"/>
  <c r="R2213" i="7"/>
  <c r="R2214" i="7"/>
  <c r="R2215" i="7"/>
  <c r="R2216" i="7"/>
  <c r="R2217" i="7"/>
  <c r="R2218" i="7"/>
  <c r="R2219" i="7"/>
  <c r="R2220" i="7"/>
  <c r="R2221" i="7"/>
  <c r="R2222" i="7"/>
  <c r="R2223" i="7"/>
  <c r="R2224" i="7"/>
  <c r="R2225" i="7"/>
  <c r="R2226" i="7"/>
  <c r="R2227" i="7"/>
  <c r="R2228" i="7"/>
  <c r="R2229" i="7"/>
  <c r="R2230" i="7"/>
  <c r="R2231" i="7"/>
  <c r="R2232" i="7"/>
  <c r="R2233" i="7"/>
  <c r="R2234" i="7"/>
  <c r="R2235" i="7"/>
  <c r="R2236" i="7"/>
  <c r="R2237" i="7"/>
  <c r="R2238" i="7"/>
  <c r="R2239" i="7"/>
  <c r="R2240" i="7"/>
  <c r="R2241" i="7"/>
  <c r="R2242" i="7"/>
  <c r="R2243" i="7"/>
  <c r="R2244" i="7"/>
  <c r="R2245" i="7"/>
  <c r="R2246" i="7"/>
  <c r="R2247" i="7"/>
  <c r="R2248" i="7"/>
  <c r="R2249" i="7"/>
  <c r="R2250" i="7"/>
  <c r="R2251" i="7"/>
  <c r="R2252" i="7"/>
  <c r="R2253" i="7"/>
  <c r="R2254" i="7"/>
  <c r="R2255" i="7"/>
  <c r="R2256" i="7"/>
  <c r="R2257" i="7"/>
  <c r="R2258" i="7"/>
  <c r="R2259" i="7"/>
  <c r="R2260" i="7"/>
  <c r="R2261" i="7"/>
  <c r="R2262" i="7"/>
  <c r="R2263" i="7"/>
  <c r="R2264" i="7"/>
  <c r="R2265" i="7"/>
  <c r="R2266" i="7"/>
  <c r="R2267" i="7"/>
  <c r="R2268" i="7"/>
  <c r="R2269" i="7"/>
  <c r="R2270" i="7"/>
  <c r="R2271" i="7"/>
  <c r="R2272" i="7"/>
  <c r="R2273" i="7"/>
  <c r="R2274" i="7"/>
  <c r="R2275" i="7"/>
  <c r="R2276" i="7"/>
  <c r="R2277" i="7"/>
  <c r="R2278" i="7"/>
  <c r="R2279" i="7"/>
  <c r="R2280" i="7"/>
  <c r="R2281" i="7"/>
  <c r="R2282" i="7"/>
  <c r="R2283" i="7"/>
  <c r="R2284" i="7"/>
  <c r="R2285" i="7"/>
  <c r="R2286" i="7"/>
  <c r="R2287" i="7"/>
  <c r="R2288" i="7"/>
  <c r="R2289" i="7"/>
  <c r="R2290" i="7"/>
  <c r="R2291" i="7"/>
  <c r="R2292" i="7"/>
  <c r="R2293" i="7"/>
  <c r="R2294" i="7"/>
  <c r="R2295" i="7"/>
  <c r="R2296" i="7"/>
  <c r="R2297" i="7"/>
  <c r="R2298" i="7"/>
  <c r="R2299" i="7"/>
  <c r="R2300" i="7"/>
  <c r="R2301" i="7"/>
  <c r="R2302" i="7"/>
  <c r="R2303" i="7"/>
  <c r="R2304" i="7"/>
  <c r="R2305" i="7"/>
  <c r="R2306" i="7"/>
  <c r="R2307" i="7"/>
  <c r="R2308" i="7"/>
  <c r="R2309" i="7"/>
  <c r="R2310" i="7"/>
  <c r="R2311" i="7"/>
  <c r="R2312" i="7"/>
  <c r="R2313" i="7"/>
  <c r="R2314" i="7"/>
  <c r="R2315" i="7"/>
  <c r="R2316" i="7"/>
  <c r="R2317" i="7"/>
  <c r="R2318" i="7"/>
  <c r="R2319" i="7"/>
  <c r="R2320" i="7"/>
  <c r="R2321" i="7"/>
  <c r="R2322" i="7"/>
  <c r="R2323" i="7"/>
  <c r="R2324" i="7"/>
  <c r="R2325" i="7"/>
  <c r="R2326" i="7"/>
  <c r="R2327" i="7"/>
  <c r="R2328" i="7"/>
  <c r="R2329" i="7"/>
  <c r="R2330" i="7"/>
  <c r="R2331" i="7"/>
  <c r="R2332" i="7"/>
  <c r="R2333" i="7"/>
  <c r="R2334" i="7"/>
  <c r="R2335" i="7"/>
  <c r="R2336" i="7"/>
  <c r="R2337" i="7"/>
  <c r="R2338" i="7"/>
  <c r="R2339" i="7"/>
  <c r="R2340" i="7"/>
  <c r="R2341" i="7"/>
  <c r="R2342" i="7"/>
  <c r="R2343" i="7"/>
  <c r="R2344" i="7"/>
  <c r="R2345" i="7"/>
  <c r="R2346" i="7"/>
  <c r="R2347" i="7"/>
  <c r="R2348" i="7"/>
  <c r="R2349" i="7"/>
  <c r="R2350" i="7"/>
  <c r="R2351" i="7"/>
  <c r="R2352" i="7"/>
  <c r="R2353" i="7"/>
  <c r="R2354" i="7"/>
  <c r="R2355" i="7"/>
  <c r="R2356" i="7"/>
  <c r="R2357" i="7"/>
  <c r="R2358" i="7"/>
  <c r="R2359" i="7"/>
  <c r="R2360" i="7"/>
  <c r="R2361" i="7"/>
  <c r="R2362" i="7"/>
  <c r="R2363" i="7"/>
  <c r="R2364" i="7"/>
  <c r="R2365" i="7"/>
  <c r="R2366" i="7"/>
  <c r="R2367" i="7"/>
  <c r="R2368" i="7"/>
  <c r="R2369" i="7"/>
  <c r="R2370" i="7"/>
  <c r="R2371" i="7"/>
  <c r="R2372" i="7"/>
  <c r="R2373" i="7"/>
  <c r="R2374" i="7"/>
  <c r="R2375" i="7"/>
  <c r="R2376" i="7"/>
  <c r="R2377" i="7"/>
  <c r="R2378" i="7"/>
  <c r="R2379" i="7"/>
  <c r="R2380" i="7"/>
  <c r="R2381" i="7"/>
  <c r="R2382" i="7"/>
  <c r="R2383" i="7"/>
  <c r="R2384" i="7"/>
  <c r="R2385" i="7"/>
  <c r="R2386" i="7"/>
  <c r="R2387" i="7"/>
  <c r="R2388" i="7"/>
  <c r="R2389" i="7"/>
  <c r="R2390" i="7"/>
  <c r="R2391" i="7"/>
  <c r="R2392" i="7"/>
  <c r="R2393" i="7"/>
  <c r="R2394" i="7"/>
  <c r="R2395" i="7"/>
  <c r="R2396" i="7"/>
  <c r="R2397" i="7"/>
  <c r="R2398" i="7"/>
  <c r="R2399" i="7"/>
  <c r="R2400" i="7"/>
  <c r="R2401" i="7"/>
  <c r="R2402" i="7"/>
  <c r="R2403" i="7"/>
  <c r="R309" i="7"/>
  <c r="R272" i="7"/>
  <c r="R273" i="7"/>
  <c r="R274" i="7"/>
  <c r="R275" i="7"/>
  <c r="R276" i="7"/>
  <c r="R277" i="7"/>
  <c r="R278" i="7"/>
  <c r="R279" i="7"/>
  <c r="R280" i="7"/>
  <c r="R281" i="7"/>
  <c r="R282" i="7"/>
  <c r="R283" i="7"/>
  <c r="R284" i="7"/>
  <c r="R285" i="7"/>
  <c r="R286" i="7"/>
  <c r="R287" i="7"/>
  <c r="R288" i="7"/>
  <c r="R289" i="7"/>
  <c r="R290" i="7"/>
  <c r="R291" i="7"/>
  <c r="R292" i="7"/>
  <c r="R293" i="7"/>
  <c r="R294" i="7"/>
  <c r="R295" i="7"/>
  <c r="R296" i="7"/>
  <c r="R297" i="7"/>
  <c r="R298" i="7"/>
  <c r="R299" i="7"/>
  <c r="R300" i="7"/>
  <c r="R301" i="7"/>
  <c r="R302" i="7"/>
  <c r="R303" i="7"/>
  <c r="R304" i="7"/>
  <c r="R305" i="7"/>
  <c r="R306" i="7"/>
  <c r="R307" i="7"/>
  <c r="R308" i="7"/>
  <c r="R6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R49" i="7"/>
  <c r="R50" i="7"/>
  <c r="R51" i="7"/>
  <c r="R52" i="7"/>
  <c r="R53" i="7"/>
  <c r="R54" i="7"/>
  <c r="R55" i="7"/>
  <c r="R56" i="7"/>
  <c r="R57" i="7"/>
  <c r="R58" i="7"/>
  <c r="R59" i="7"/>
  <c r="R60" i="7"/>
  <c r="R61" i="7"/>
  <c r="R62" i="7"/>
  <c r="R63" i="7"/>
  <c r="R64" i="7"/>
  <c r="R65" i="7"/>
  <c r="R66" i="7"/>
  <c r="R67" i="7"/>
  <c r="R68" i="7"/>
  <c r="R69" i="7"/>
  <c r="R70" i="7"/>
  <c r="R71" i="7"/>
  <c r="R72" i="7"/>
  <c r="R73" i="7"/>
  <c r="R74" i="7"/>
  <c r="R75" i="7"/>
  <c r="R76" i="7"/>
  <c r="R77" i="7"/>
  <c r="R78" i="7"/>
  <c r="R79" i="7"/>
  <c r="R80" i="7"/>
  <c r="R81" i="7"/>
  <c r="R82" i="7"/>
  <c r="R83" i="7"/>
  <c r="R84" i="7"/>
  <c r="R85" i="7"/>
  <c r="R86" i="7"/>
  <c r="R87" i="7"/>
  <c r="R88" i="7"/>
  <c r="R89" i="7"/>
  <c r="R90" i="7"/>
  <c r="R91" i="7"/>
  <c r="R92" i="7"/>
  <c r="R93" i="7"/>
  <c r="R94" i="7"/>
  <c r="R95" i="7"/>
  <c r="R96" i="7"/>
  <c r="R97" i="7"/>
  <c r="R98" i="7"/>
  <c r="R99" i="7"/>
  <c r="R100" i="7"/>
  <c r="R101" i="7"/>
  <c r="R102" i="7"/>
  <c r="R103" i="7"/>
  <c r="R104" i="7"/>
  <c r="R105" i="7"/>
  <c r="R106" i="7"/>
  <c r="R107" i="7"/>
  <c r="R108" i="7"/>
  <c r="R109" i="7"/>
  <c r="R110" i="7"/>
  <c r="R111" i="7"/>
  <c r="R112" i="7"/>
  <c r="R113" i="7"/>
  <c r="R114" i="7"/>
  <c r="R115" i="7"/>
  <c r="R116" i="7"/>
  <c r="R117" i="7"/>
  <c r="R118" i="7"/>
  <c r="R119" i="7"/>
  <c r="R120" i="7"/>
  <c r="R121" i="7"/>
  <c r="R122" i="7"/>
  <c r="R123" i="7"/>
  <c r="R124" i="7"/>
  <c r="R125" i="7"/>
  <c r="R126" i="7"/>
  <c r="R127" i="7"/>
  <c r="R128" i="7"/>
  <c r="R129" i="7"/>
  <c r="R130" i="7"/>
  <c r="R131" i="7"/>
  <c r="R132" i="7"/>
  <c r="R133" i="7"/>
  <c r="R134" i="7"/>
  <c r="R135" i="7"/>
  <c r="R136" i="7"/>
  <c r="R137" i="7"/>
  <c r="R138" i="7"/>
  <c r="R139" i="7"/>
  <c r="R140" i="7"/>
  <c r="R141" i="7"/>
  <c r="R142" i="7"/>
  <c r="R143" i="7"/>
  <c r="R144" i="7"/>
  <c r="R145" i="7"/>
  <c r="R146" i="7"/>
  <c r="R147" i="7"/>
  <c r="R148" i="7"/>
  <c r="R149" i="7"/>
  <c r="R150" i="7"/>
  <c r="R151" i="7"/>
  <c r="R152" i="7"/>
  <c r="R153" i="7"/>
  <c r="R154" i="7"/>
  <c r="R155" i="7"/>
  <c r="R156" i="7"/>
  <c r="R157" i="7"/>
  <c r="R158" i="7"/>
  <c r="R159" i="7"/>
  <c r="R160" i="7"/>
  <c r="R161" i="7"/>
  <c r="R162" i="7"/>
  <c r="R163" i="7"/>
  <c r="R164" i="7"/>
  <c r="R165" i="7"/>
  <c r="R166" i="7"/>
  <c r="R167" i="7"/>
  <c r="R168" i="7"/>
  <c r="R169" i="7"/>
  <c r="R170" i="7"/>
  <c r="R171" i="7"/>
  <c r="R172" i="7"/>
  <c r="R173" i="7"/>
  <c r="R174" i="7"/>
  <c r="R175" i="7"/>
  <c r="R176" i="7"/>
  <c r="R177" i="7"/>
  <c r="R178" i="7"/>
  <c r="R179" i="7"/>
  <c r="R180" i="7"/>
  <c r="R181" i="7"/>
  <c r="R182" i="7"/>
  <c r="R183" i="7"/>
  <c r="R184" i="7"/>
  <c r="R185" i="7"/>
  <c r="R186" i="7"/>
  <c r="R187" i="7"/>
  <c r="R188" i="7"/>
  <c r="R189" i="7"/>
  <c r="R190" i="7"/>
  <c r="R191" i="7"/>
  <c r="R192" i="7"/>
  <c r="R193" i="7"/>
  <c r="R194" i="7"/>
  <c r="R195" i="7"/>
  <c r="R196" i="7"/>
  <c r="R197" i="7"/>
  <c r="R198" i="7"/>
  <c r="R199" i="7"/>
  <c r="R200" i="7"/>
  <c r="R201" i="7"/>
  <c r="R202" i="7"/>
  <c r="R203" i="7"/>
  <c r="R204" i="7"/>
  <c r="R205" i="7"/>
  <c r="R206" i="7"/>
  <c r="R207" i="7"/>
  <c r="R208" i="7"/>
  <c r="R209" i="7"/>
  <c r="R210" i="7"/>
  <c r="R211" i="7"/>
  <c r="R212" i="7"/>
  <c r="R213" i="7"/>
  <c r="R214" i="7"/>
  <c r="R215" i="7"/>
  <c r="R216" i="7"/>
  <c r="R217" i="7"/>
  <c r="R218" i="7"/>
  <c r="R219" i="7"/>
  <c r="R220" i="7"/>
  <c r="R221" i="7"/>
  <c r="R222" i="7"/>
  <c r="R223" i="7"/>
  <c r="R224" i="7"/>
  <c r="R225" i="7"/>
  <c r="R226" i="7"/>
  <c r="R227" i="7"/>
  <c r="R228" i="7"/>
  <c r="R229" i="7"/>
  <c r="R230" i="7"/>
  <c r="R231" i="7"/>
  <c r="R232" i="7"/>
  <c r="R233" i="7"/>
  <c r="R234" i="7"/>
  <c r="R235" i="7"/>
  <c r="R236" i="7"/>
  <c r="R237" i="7"/>
  <c r="R238" i="7"/>
  <c r="R239" i="7"/>
  <c r="R240" i="7"/>
  <c r="R241" i="7"/>
  <c r="R242" i="7"/>
  <c r="R243" i="7"/>
  <c r="R244" i="7"/>
  <c r="R245" i="7"/>
  <c r="R246" i="7"/>
  <c r="R247" i="7"/>
  <c r="R248" i="7"/>
  <c r="R249" i="7"/>
  <c r="R250" i="7"/>
  <c r="R251" i="7"/>
  <c r="R252" i="7"/>
  <c r="R253" i="7"/>
  <c r="R254" i="7"/>
  <c r="R255" i="7"/>
  <c r="R256" i="7"/>
  <c r="R257" i="7"/>
  <c r="R258" i="7"/>
  <c r="R259" i="7"/>
  <c r="R260" i="7"/>
  <c r="R261" i="7"/>
  <c r="R262" i="7"/>
  <c r="R263" i="7"/>
  <c r="R264" i="7"/>
  <c r="R265" i="7"/>
  <c r="R266" i="7"/>
  <c r="R267" i="7"/>
  <c r="R268" i="7"/>
  <c r="R269" i="7"/>
  <c r="R270" i="7"/>
  <c r="R271" i="7"/>
  <c r="R5" i="7"/>
  <c r="C24" i="1" l="1"/>
  <c r="C23" i="1"/>
  <c r="R4" i="7"/>
  <c r="V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118" i="7"/>
  <c r="P119" i="7"/>
  <c r="P120" i="7"/>
  <c r="P121" i="7"/>
  <c r="P122" i="7"/>
  <c r="P123" i="7"/>
  <c r="P124" i="7"/>
  <c r="P125" i="7"/>
  <c r="P126" i="7"/>
  <c r="P127" i="7"/>
  <c r="P128" i="7"/>
  <c r="P129" i="7"/>
  <c r="P130" i="7"/>
  <c r="P131" i="7"/>
  <c r="P132" i="7"/>
  <c r="P133" i="7"/>
  <c r="P134" i="7"/>
  <c r="P135" i="7"/>
  <c r="P136" i="7"/>
  <c r="P137" i="7"/>
  <c r="P138" i="7"/>
  <c r="P139" i="7"/>
  <c r="P140" i="7"/>
  <c r="P141" i="7"/>
  <c r="P142" i="7"/>
  <c r="P143" i="7"/>
  <c r="P144" i="7"/>
  <c r="P145" i="7"/>
  <c r="P146" i="7"/>
  <c r="P147" i="7"/>
  <c r="P148" i="7"/>
  <c r="P149" i="7"/>
  <c r="P150" i="7"/>
  <c r="P151" i="7"/>
  <c r="P152" i="7"/>
  <c r="P153" i="7"/>
  <c r="P154" i="7"/>
  <c r="P155" i="7"/>
  <c r="P156" i="7"/>
  <c r="P157" i="7"/>
  <c r="P158" i="7"/>
  <c r="P159" i="7"/>
  <c r="P160" i="7"/>
  <c r="P161" i="7"/>
  <c r="P162" i="7"/>
  <c r="P163" i="7"/>
  <c r="P164" i="7"/>
  <c r="P165" i="7"/>
  <c r="P166" i="7"/>
  <c r="P167" i="7"/>
  <c r="P168" i="7"/>
  <c r="P169" i="7"/>
  <c r="P170" i="7"/>
  <c r="P171" i="7"/>
  <c r="P172" i="7"/>
  <c r="P173" i="7"/>
  <c r="P174" i="7"/>
  <c r="P175" i="7"/>
  <c r="P176" i="7"/>
  <c r="P177" i="7"/>
  <c r="P178" i="7"/>
  <c r="P179" i="7"/>
  <c r="P180" i="7"/>
  <c r="P181" i="7"/>
  <c r="P182" i="7"/>
  <c r="P183" i="7"/>
  <c r="P184" i="7"/>
  <c r="P185" i="7"/>
  <c r="P186" i="7"/>
  <c r="P187" i="7"/>
  <c r="P188" i="7"/>
  <c r="P189" i="7"/>
  <c r="P190" i="7"/>
  <c r="P191" i="7"/>
  <c r="P192" i="7"/>
  <c r="P193" i="7"/>
  <c r="P194" i="7"/>
  <c r="P195" i="7"/>
  <c r="P196" i="7"/>
  <c r="P197" i="7"/>
  <c r="P198" i="7"/>
  <c r="P199" i="7"/>
  <c r="P200" i="7"/>
  <c r="P201" i="7"/>
  <c r="P202" i="7"/>
  <c r="P203" i="7"/>
  <c r="P204" i="7"/>
  <c r="P205" i="7"/>
  <c r="P206" i="7"/>
  <c r="P207" i="7"/>
  <c r="P208" i="7"/>
  <c r="P209" i="7"/>
  <c r="P210" i="7"/>
  <c r="P211" i="7"/>
  <c r="P212" i="7"/>
  <c r="P213" i="7"/>
  <c r="P214" i="7"/>
  <c r="P215" i="7"/>
  <c r="P216" i="7"/>
  <c r="P217" i="7"/>
  <c r="P218" i="7"/>
  <c r="P219" i="7"/>
  <c r="P220" i="7"/>
  <c r="P221" i="7"/>
  <c r="P222" i="7"/>
  <c r="P223" i="7"/>
  <c r="P224" i="7"/>
  <c r="P225" i="7"/>
  <c r="P226" i="7"/>
  <c r="P227" i="7"/>
  <c r="P228" i="7"/>
  <c r="P229" i="7"/>
  <c r="P230" i="7"/>
  <c r="P231" i="7"/>
  <c r="P232" i="7"/>
  <c r="P233" i="7"/>
  <c r="P234" i="7"/>
  <c r="P235" i="7"/>
  <c r="P236" i="7"/>
  <c r="P237" i="7"/>
  <c r="P238" i="7"/>
  <c r="P239" i="7"/>
  <c r="P240" i="7"/>
  <c r="P241" i="7"/>
  <c r="P242" i="7"/>
  <c r="P243" i="7"/>
  <c r="P244" i="7"/>
  <c r="P245" i="7"/>
  <c r="P246" i="7"/>
  <c r="P247" i="7"/>
  <c r="P248" i="7"/>
  <c r="P249" i="7"/>
  <c r="P250" i="7"/>
  <c r="P251" i="7"/>
  <c r="P252" i="7"/>
  <c r="P253" i="7"/>
  <c r="P254" i="7"/>
  <c r="P255" i="7"/>
  <c r="P256" i="7"/>
  <c r="P257" i="7"/>
  <c r="P258" i="7"/>
  <c r="P259" i="7"/>
  <c r="P260" i="7"/>
  <c r="P261" i="7"/>
  <c r="P262" i="7"/>
  <c r="P263" i="7"/>
  <c r="P264" i="7"/>
  <c r="P265" i="7"/>
  <c r="P266" i="7"/>
  <c r="P267" i="7"/>
  <c r="P268" i="7"/>
  <c r="P269" i="7"/>
  <c r="P270" i="7"/>
  <c r="P271" i="7"/>
  <c r="P272" i="7"/>
  <c r="P273" i="7"/>
  <c r="P274" i="7"/>
  <c r="P275" i="7"/>
  <c r="P276" i="7"/>
  <c r="P277" i="7"/>
  <c r="P278" i="7"/>
  <c r="P279" i="7"/>
  <c r="P280" i="7"/>
  <c r="P281" i="7"/>
  <c r="P282" i="7"/>
  <c r="P283" i="7"/>
  <c r="P284" i="7"/>
  <c r="P285" i="7"/>
  <c r="P286" i="7"/>
  <c r="P287" i="7"/>
  <c r="P288" i="7"/>
  <c r="P289" i="7"/>
  <c r="P290" i="7"/>
  <c r="P291" i="7"/>
  <c r="P292" i="7"/>
  <c r="P293" i="7"/>
  <c r="P294" i="7"/>
  <c r="P295" i="7"/>
  <c r="P296" i="7"/>
  <c r="P297" i="7"/>
  <c r="P298" i="7"/>
  <c r="P299" i="7"/>
  <c r="P300" i="7"/>
  <c r="P301" i="7"/>
  <c r="P302" i="7"/>
  <c r="P303" i="7"/>
  <c r="P304" i="7"/>
  <c r="P305" i="7"/>
  <c r="P306" i="7"/>
  <c r="P307" i="7"/>
  <c r="P308" i="7"/>
  <c r="P309" i="7"/>
  <c r="P310" i="7"/>
  <c r="P311" i="7"/>
  <c r="P312" i="7"/>
  <c r="P313" i="7"/>
  <c r="P314" i="7"/>
  <c r="P315" i="7"/>
  <c r="P316" i="7"/>
  <c r="P317" i="7"/>
  <c r="P318" i="7"/>
  <c r="P319" i="7"/>
  <c r="P320" i="7"/>
  <c r="P321" i="7"/>
  <c r="P322" i="7"/>
  <c r="P323" i="7"/>
  <c r="P324" i="7"/>
  <c r="P325" i="7"/>
  <c r="P326" i="7"/>
  <c r="P327" i="7"/>
  <c r="P328" i="7"/>
  <c r="P329" i="7"/>
  <c r="P330" i="7"/>
  <c r="P331" i="7"/>
  <c r="P332" i="7"/>
  <c r="P333" i="7"/>
  <c r="P334" i="7"/>
  <c r="P335" i="7"/>
  <c r="P336" i="7"/>
  <c r="P337" i="7"/>
  <c r="P338" i="7"/>
  <c r="P339" i="7"/>
  <c r="P340" i="7"/>
  <c r="P341" i="7"/>
  <c r="P342" i="7"/>
  <c r="P343" i="7"/>
  <c r="P344" i="7"/>
  <c r="P345" i="7"/>
  <c r="P346" i="7"/>
  <c r="P347" i="7"/>
  <c r="P348" i="7"/>
  <c r="P349" i="7"/>
  <c r="P350" i="7"/>
  <c r="P351" i="7"/>
  <c r="P352" i="7"/>
  <c r="P353" i="7"/>
  <c r="P354" i="7"/>
  <c r="P355" i="7"/>
  <c r="P356" i="7"/>
  <c r="P357" i="7"/>
  <c r="P358" i="7"/>
  <c r="P359" i="7"/>
  <c r="P360" i="7"/>
  <c r="P361" i="7"/>
  <c r="P362" i="7"/>
  <c r="P363" i="7"/>
  <c r="P364" i="7"/>
  <c r="P365" i="7"/>
  <c r="P366" i="7"/>
  <c r="P367" i="7"/>
  <c r="P368" i="7"/>
  <c r="P369" i="7"/>
  <c r="P370" i="7"/>
  <c r="P371" i="7"/>
  <c r="P372" i="7"/>
  <c r="P373" i="7"/>
  <c r="P374" i="7"/>
  <c r="P375" i="7"/>
  <c r="P376" i="7"/>
  <c r="P377" i="7"/>
  <c r="P378" i="7"/>
  <c r="P379" i="7"/>
  <c r="P380" i="7"/>
  <c r="P381" i="7"/>
  <c r="P382" i="7"/>
  <c r="P383" i="7"/>
  <c r="P384" i="7"/>
  <c r="P385" i="7"/>
  <c r="P386" i="7"/>
  <c r="P387" i="7"/>
  <c r="P388" i="7"/>
  <c r="P389" i="7"/>
  <c r="P390" i="7"/>
  <c r="P391" i="7"/>
  <c r="P392" i="7"/>
  <c r="P393" i="7"/>
  <c r="P394" i="7"/>
  <c r="P395" i="7"/>
  <c r="P396" i="7"/>
  <c r="P397" i="7"/>
  <c r="P398" i="7"/>
  <c r="P399" i="7"/>
  <c r="P400" i="7"/>
  <c r="P401" i="7"/>
  <c r="P402" i="7"/>
  <c r="P403" i="7"/>
  <c r="P404" i="7"/>
  <c r="P405" i="7"/>
  <c r="P406" i="7"/>
  <c r="P407" i="7"/>
  <c r="P408" i="7"/>
  <c r="P409" i="7"/>
  <c r="P410" i="7"/>
  <c r="P411" i="7"/>
  <c r="P412" i="7"/>
  <c r="P413" i="7"/>
  <c r="P414" i="7"/>
  <c r="P415" i="7"/>
  <c r="P416" i="7"/>
  <c r="P417" i="7"/>
  <c r="P418" i="7"/>
  <c r="P419" i="7"/>
  <c r="P420" i="7"/>
  <c r="P421" i="7"/>
  <c r="P422" i="7"/>
  <c r="P423" i="7"/>
  <c r="P424" i="7"/>
  <c r="P425" i="7"/>
  <c r="P426" i="7"/>
  <c r="P427" i="7"/>
  <c r="P428" i="7"/>
  <c r="P429" i="7"/>
  <c r="P430" i="7"/>
  <c r="P431" i="7"/>
  <c r="P432" i="7"/>
  <c r="P433" i="7"/>
  <c r="P434" i="7"/>
  <c r="P435" i="7"/>
  <c r="P436" i="7"/>
  <c r="P437" i="7"/>
  <c r="P438" i="7"/>
  <c r="P439" i="7"/>
  <c r="P440" i="7"/>
  <c r="P441" i="7"/>
  <c r="P442" i="7"/>
  <c r="P443" i="7"/>
  <c r="P444" i="7"/>
  <c r="P445" i="7"/>
  <c r="P446" i="7"/>
  <c r="P447" i="7"/>
  <c r="P448" i="7"/>
  <c r="P449" i="7"/>
  <c r="P450" i="7"/>
  <c r="P451" i="7"/>
  <c r="P452" i="7"/>
  <c r="P453" i="7"/>
  <c r="P454" i="7"/>
  <c r="P455" i="7"/>
  <c r="P456" i="7"/>
  <c r="P457" i="7"/>
  <c r="P458" i="7"/>
  <c r="P459" i="7"/>
  <c r="P460" i="7"/>
  <c r="P461" i="7"/>
  <c r="P462" i="7"/>
  <c r="P463" i="7"/>
  <c r="P464" i="7"/>
  <c r="P465" i="7"/>
  <c r="P466" i="7"/>
  <c r="P467" i="7"/>
  <c r="P468" i="7"/>
  <c r="P469" i="7"/>
  <c r="P470" i="7"/>
  <c r="P471" i="7"/>
  <c r="P472" i="7"/>
  <c r="P473" i="7"/>
  <c r="P474" i="7"/>
  <c r="P475" i="7"/>
  <c r="P476" i="7"/>
  <c r="P477" i="7"/>
  <c r="P478" i="7"/>
  <c r="P479" i="7"/>
  <c r="P480" i="7"/>
  <c r="P481" i="7"/>
  <c r="P482" i="7"/>
  <c r="P483" i="7"/>
  <c r="P484" i="7"/>
  <c r="P485" i="7"/>
  <c r="P486" i="7"/>
  <c r="P487" i="7"/>
  <c r="P488" i="7"/>
  <c r="P489" i="7"/>
  <c r="P490" i="7"/>
  <c r="P491" i="7"/>
  <c r="P492" i="7"/>
  <c r="P493" i="7"/>
  <c r="P494" i="7"/>
  <c r="P495" i="7"/>
  <c r="P496" i="7"/>
  <c r="P497" i="7"/>
  <c r="P498" i="7"/>
  <c r="P499" i="7"/>
  <c r="P500" i="7"/>
  <c r="P501" i="7"/>
  <c r="P502" i="7"/>
  <c r="P503" i="7"/>
  <c r="P504" i="7"/>
  <c r="P505" i="7"/>
  <c r="P506" i="7"/>
  <c r="P507" i="7"/>
  <c r="P508" i="7"/>
  <c r="P509" i="7"/>
  <c r="P510" i="7"/>
  <c r="P511" i="7"/>
  <c r="P512" i="7"/>
  <c r="P513" i="7"/>
  <c r="P514" i="7"/>
  <c r="P515" i="7"/>
  <c r="P516" i="7"/>
  <c r="P517" i="7"/>
  <c r="P518" i="7"/>
  <c r="P519" i="7"/>
  <c r="P520" i="7"/>
  <c r="P521" i="7"/>
  <c r="P522" i="7"/>
  <c r="P523" i="7"/>
  <c r="P524" i="7"/>
  <c r="P525" i="7"/>
  <c r="P526" i="7"/>
  <c r="P527" i="7"/>
  <c r="P528" i="7"/>
  <c r="P529" i="7"/>
  <c r="P530" i="7"/>
  <c r="P531" i="7"/>
  <c r="P532" i="7"/>
  <c r="P533" i="7"/>
  <c r="P534" i="7"/>
  <c r="P535" i="7"/>
  <c r="P536" i="7"/>
  <c r="P537" i="7"/>
  <c r="P538" i="7"/>
  <c r="P539" i="7"/>
  <c r="P540" i="7"/>
  <c r="P541" i="7"/>
  <c r="P542" i="7"/>
  <c r="P543" i="7"/>
  <c r="P544" i="7"/>
  <c r="P545" i="7"/>
  <c r="P546" i="7"/>
  <c r="P547" i="7"/>
  <c r="P548" i="7"/>
  <c r="P549" i="7"/>
  <c r="P550" i="7"/>
  <c r="P551" i="7"/>
  <c r="P552" i="7"/>
  <c r="P553" i="7"/>
  <c r="P554" i="7"/>
  <c r="P555" i="7"/>
  <c r="P556" i="7"/>
  <c r="P557" i="7"/>
  <c r="P558" i="7"/>
  <c r="P559" i="7"/>
  <c r="P560" i="7"/>
  <c r="P561" i="7"/>
  <c r="P562" i="7"/>
  <c r="P563" i="7"/>
  <c r="P564" i="7"/>
  <c r="P565" i="7"/>
  <c r="P566" i="7"/>
  <c r="P567" i="7"/>
  <c r="P568" i="7"/>
  <c r="P569" i="7"/>
  <c r="P570" i="7"/>
  <c r="P571" i="7"/>
  <c r="P572" i="7"/>
  <c r="P573" i="7"/>
  <c r="P574" i="7"/>
  <c r="P575" i="7"/>
  <c r="P576" i="7"/>
  <c r="P577" i="7"/>
  <c r="P578" i="7"/>
  <c r="P579" i="7"/>
  <c r="P580" i="7"/>
  <c r="P581" i="7"/>
  <c r="P582" i="7"/>
  <c r="P583" i="7"/>
  <c r="P584" i="7"/>
  <c r="P585" i="7"/>
  <c r="P586" i="7"/>
  <c r="P587" i="7"/>
  <c r="P588" i="7"/>
  <c r="P589" i="7"/>
  <c r="P590" i="7"/>
  <c r="P591" i="7"/>
  <c r="P592" i="7"/>
  <c r="P593" i="7"/>
  <c r="P594" i="7"/>
  <c r="P595" i="7"/>
  <c r="P596" i="7"/>
  <c r="P597" i="7"/>
  <c r="P598" i="7"/>
  <c r="P599" i="7"/>
  <c r="P600" i="7"/>
  <c r="P601" i="7"/>
  <c r="P602" i="7"/>
  <c r="P603" i="7"/>
  <c r="P604" i="7"/>
  <c r="P605" i="7"/>
  <c r="P606" i="7"/>
  <c r="P607" i="7"/>
  <c r="P608" i="7"/>
  <c r="P609" i="7"/>
  <c r="P610" i="7"/>
  <c r="P611" i="7"/>
  <c r="P612" i="7"/>
  <c r="P613" i="7"/>
  <c r="P614" i="7"/>
  <c r="P615" i="7"/>
  <c r="P616" i="7"/>
  <c r="P617" i="7"/>
  <c r="P618" i="7"/>
  <c r="P619" i="7"/>
  <c r="P620" i="7"/>
  <c r="P621" i="7"/>
  <c r="P622" i="7"/>
  <c r="P623" i="7"/>
  <c r="P624" i="7"/>
  <c r="P625" i="7"/>
  <c r="P626" i="7"/>
  <c r="P627" i="7"/>
  <c r="P628" i="7"/>
  <c r="P629" i="7"/>
  <c r="P630" i="7"/>
  <c r="P631" i="7"/>
  <c r="P632" i="7"/>
  <c r="P633" i="7"/>
  <c r="P634" i="7"/>
  <c r="P635" i="7"/>
  <c r="P636" i="7"/>
  <c r="P637" i="7"/>
  <c r="P638" i="7"/>
  <c r="P639" i="7"/>
  <c r="P640" i="7"/>
  <c r="P641" i="7"/>
  <c r="P642" i="7"/>
  <c r="P643" i="7"/>
  <c r="P644" i="7"/>
  <c r="P645" i="7"/>
  <c r="P646" i="7"/>
  <c r="P647" i="7"/>
  <c r="P648" i="7"/>
  <c r="P649" i="7"/>
  <c r="P650" i="7"/>
  <c r="P651" i="7"/>
  <c r="P652" i="7"/>
  <c r="P653" i="7"/>
  <c r="P654" i="7"/>
  <c r="P655" i="7"/>
  <c r="P656" i="7"/>
  <c r="P657" i="7"/>
  <c r="P658" i="7"/>
  <c r="P659" i="7"/>
  <c r="P660" i="7"/>
  <c r="P661" i="7"/>
  <c r="P662" i="7"/>
  <c r="P663" i="7"/>
  <c r="P664" i="7"/>
  <c r="P665" i="7"/>
  <c r="P666" i="7"/>
  <c r="P667" i="7"/>
  <c r="P668" i="7"/>
  <c r="P669" i="7"/>
  <c r="P670" i="7"/>
  <c r="P671" i="7"/>
  <c r="P672" i="7"/>
  <c r="P673" i="7"/>
  <c r="P674" i="7"/>
  <c r="P675" i="7"/>
  <c r="P676" i="7"/>
  <c r="P677" i="7"/>
  <c r="P678" i="7"/>
  <c r="P679" i="7"/>
  <c r="P680" i="7"/>
  <c r="P681" i="7"/>
  <c r="P682" i="7"/>
  <c r="P683" i="7"/>
  <c r="P684" i="7"/>
  <c r="P685" i="7"/>
  <c r="P686" i="7"/>
  <c r="P687" i="7"/>
  <c r="P688" i="7"/>
  <c r="P689" i="7"/>
  <c r="P690" i="7"/>
  <c r="P691" i="7"/>
  <c r="P692" i="7"/>
  <c r="P693" i="7"/>
  <c r="P694" i="7"/>
  <c r="P695" i="7"/>
  <c r="P696" i="7"/>
  <c r="P697" i="7"/>
  <c r="P698" i="7"/>
  <c r="P699" i="7"/>
  <c r="P700" i="7"/>
  <c r="P701" i="7"/>
  <c r="P702" i="7"/>
  <c r="P703" i="7"/>
  <c r="P704" i="7"/>
  <c r="P705" i="7"/>
  <c r="P706" i="7"/>
  <c r="P707" i="7"/>
  <c r="P708" i="7"/>
  <c r="P709" i="7"/>
  <c r="P710" i="7"/>
  <c r="P711" i="7"/>
  <c r="P712" i="7"/>
  <c r="P713" i="7"/>
  <c r="P714" i="7"/>
  <c r="P715" i="7"/>
  <c r="P716" i="7"/>
  <c r="P717" i="7"/>
  <c r="P718" i="7"/>
  <c r="P719" i="7"/>
  <c r="P720" i="7"/>
  <c r="P721" i="7"/>
  <c r="P722" i="7"/>
  <c r="P723" i="7"/>
  <c r="P724" i="7"/>
  <c r="P725" i="7"/>
  <c r="P726" i="7"/>
  <c r="P727" i="7"/>
  <c r="P728" i="7"/>
  <c r="P729" i="7"/>
  <c r="P730" i="7"/>
  <c r="P731" i="7"/>
  <c r="P732" i="7"/>
  <c r="P733" i="7"/>
  <c r="P734" i="7"/>
  <c r="P735" i="7"/>
  <c r="P736" i="7"/>
  <c r="P737" i="7"/>
  <c r="P738" i="7"/>
  <c r="P739" i="7"/>
  <c r="P740" i="7"/>
  <c r="P741" i="7"/>
  <c r="P742" i="7"/>
  <c r="P743" i="7"/>
  <c r="P744" i="7"/>
  <c r="P745" i="7"/>
  <c r="P746" i="7"/>
  <c r="P747" i="7"/>
  <c r="P748" i="7"/>
  <c r="P749" i="7"/>
  <c r="P750" i="7"/>
  <c r="P751" i="7"/>
  <c r="P752" i="7"/>
  <c r="P753" i="7"/>
  <c r="P754" i="7"/>
  <c r="P755" i="7"/>
  <c r="P756" i="7"/>
  <c r="P757" i="7"/>
  <c r="P758" i="7"/>
  <c r="P759" i="7"/>
  <c r="P760" i="7"/>
  <c r="P761" i="7"/>
  <c r="P762" i="7"/>
  <c r="P763" i="7"/>
  <c r="P764" i="7"/>
  <c r="P765" i="7"/>
  <c r="P766" i="7"/>
  <c r="P767" i="7"/>
  <c r="P768" i="7"/>
  <c r="P769" i="7"/>
  <c r="P770" i="7"/>
  <c r="P771" i="7"/>
  <c r="P772" i="7"/>
  <c r="P773" i="7"/>
  <c r="P774" i="7"/>
  <c r="P775" i="7"/>
  <c r="P776" i="7"/>
  <c r="P777" i="7"/>
  <c r="P778" i="7"/>
  <c r="P779" i="7"/>
  <c r="P780" i="7"/>
  <c r="P781" i="7"/>
  <c r="P782" i="7"/>
  <c r="P783" i="7"/>
  <c r="P784" i="7"/>
  <c r="P785" i="7"/>
  <c r="P786" i="7"/>
  <c r="P787" i="7"/>
  <c r="P788" i="7"/>
  <c r="P789" i="7"/>
  <c r="P790" i="7"/>
  <c r="P791" i="7"/>
  <c r="P792" i="7"/>
  <c r="P793" i="7"/>
  <c r="P794" i="7"/>
  <c r="P795" i="7"/>
  <c r="P796" i="7"/>
  <c r="P797" i="7"/>
  <c r="P798" i="7"/>
  <c r="P799" i="7"/>
  <c r="P800" i="7"/>
  <c r="P801" i="7"/>
  <c r="P802" i="7"/>
  <c r="P803" i="7"/>
  <c r="P804" i="7"/>
  <c r="P805" i="7"/>
  <c r="P806" i="7"/>
  <c r="P807" i="7"/>
  <c r="P808" i="7"/>
  <c r="P809" i="7"/>
  <c r="P810" i="7"/>
  <c r="P811" i="7"/>
  <c r="P812" i="7"/>
  <c r="P813" i="7"/>
  <c r="P814" i="7"/>
  <c r="P815" i="7"/>
  <c r="P816" i="7"/>
  <c r="P817" i="7"/>
  <c r="P818" i="7"/>
  <c r="P819" i="7"/>
  <c r="P820" i="7"/>
  <c r="P821" i="7"/>
  <c r="P822" i="7"/>
  <c r="P823" i="7"/>
  <c r="P824" i="7"/>
  <c r="P825" i="7"/>
  <c r="P826" i="7"/>
  <c r="P827" i="7"/>
  <c r="P828" i="7"/>
  <c r="P829" i="7"/>
  <c r="P830" i="7"/>
  <c r="P831" i="7"/>
  <c r="P832" i="7"/>
  <c r="P833" i="7"/>
  <c r="P834" i="7"/>
  <c r="P835" i="7"/>
  <c r="P836" i="7"/>
  <c r="P837" i="7"/>
  <c r="P838" i="7"/>
  <c r="P839" i="7"/>
  <c r="P840" i="7"/>
  <c r="P841" i="7"/>
  <c r="P842" i="7"/>
  <c r="P843" i="7"/>
  <c r="P844" i="7"/>
  <c r="P845" i="7"/>
  <c r="P846" i="7"/>
  <c r="P847" i="7"/>
  <c r="P848" i="7"/>
  <c r="P849" i="7"/>
  <c r="P850" i="7"/>
  <c r="P851" i="7"/>
  <c r="P852" i="7"/>
  <c r="P853" i="7"/>
  <c r="P854" i="7"/>
  <c r="P855" i="7"/>
  <c r="P856" i="7"/>
  <c r="P857" i="7"/>
  <c r="P858" i="7"/>
  <c r="P859" i="7"/>
  <c r="P860" i="7"/>
  <c r="P861" i="7"/>
  <c r="P862" i="7"/>
  <c r="P863" i="7"/>
  <c r="P864" i="7"/>
  <c r="P865" i="7"/>
  <c r="P866" i="7"/>
  <c r="P867" i="7"/>
  <c r="P868" i="7"/>
  <c r="P869" i="7"/>
  <c r="P870" i="7"/>
  <c r="P871" i="7"/>
  <c r="P872" i="7"/>
  <c r="P873" i="7"/>
  <c r="P874" i="7"/>
  <c r="P875" i="7"/>
  <c r="P876" i="7"/>
  <c r="P877" i="7"/>
  <c r="P878" i="7"/>
  <c r="P879" i="7"/>
  <c r="P880" i="7"/>
  <c r="P881" i="7"/>
  <c r="P882" i="7"/>
  <c r="P883" i="7"/>
  <c r="P884" i="7"/>
  <c r="P885" i="7"/>
  <c r="P886" i="7"/>
  <c r="P887" i="7"/>
  <c r="P888" i="7"/>
  <c r="P889" i="7"/>
  <c r="P890" i="7"/>
  <c r="P891" i="7"/>
  <c r="P892" i="7"/>
  <c r="P893" i="7"/>
  <c r="P894" i="7"/>
  <c r="P895" i="7"/>
  <c r="P896" i="7"/>
  <c r="P897" i="7"/>
  <c r="P898" i="7"/>
  <c r="P899" i="7"/>
  <c r="P900" i="7"/>
  <c r="P901" i="7"/>
  <c r="P902" i="7"/>
  <c r="P903" i="7"/>
  <c r="P904" i="7"/>
  <c r="P905" i="7"/>
  <c r="P906" i="7"/>
  <c r="P907" i="7"/>
  <c r="P908" i="7"/>
  <c r="P909" i="7"/>
  <c r="P910" i="7"/>
  <c r="P911" i="7"/>
  <c r="P912" i="7"/>
  <c r="P913" i="7"/>
  <c r="P914" i="7"/>
  <c r="P915" i="7"/>
  <c r="P916" i="7"/>
  <c r="P917" i="7"/>
  <c r="P918" i="7"/>
  <c r="P919" i="7"/>
  <c r="P920" i="7"/>
  <c r="P921" i="7"/>
  <c r="P922" i="7"/>
  <c r="P923" i="7"/>
  <c r="P924" i="7"/>
  <c r="P925" i="7"/>
  <c r="P926" i="7"/>
  <c r="P927" i="7"/>
  <c r="P928" i="7"/>
  <c r="P929" i="7"/>
  <c r="P930" i="7"/>
  <c r="P931" i="7"/>
  <c r="P932" i="7"/>
  <c r="P933" i="7"/>
  <c r="P934" i="7"/>
  <c r="P935" i="7"/>
  <c r="P936" i="7"/>
  <c r="P937" i="7"/>
  <c r="P938" i="7"/>
  <c r="P939" i="7"/>
  <c r="P940" i="7"/>
  <c r="P941" i="7"/>
  <c r="P942" i="7"/>
  <c r="P943" i="7"/>
  <c r="P944" i="7"/>
  <c r="P945" i="7"/>
  <c r="P946" i="7"/>
  <c r="P947" i="7"/>
  <c r="P948" i="7"/>
  <c r="P949" i="7"/>
  <c r="P950" i="7"/>
  <c r="P951" i="7"/>
  <c r="P952" i="7"/>
  <c r="P953" i="7"/>
  <c r="P954" i="7"/>
  <c r="P955" i="7"/>
  <c r="P956" i="7"/>
  <c r="P957" i="7"/>
  <c r="P958" i="7"/>
  <c r="P959" i="7"/>
  <c r="P960" i="7"/>
  <c r="P961" i="7"/>
  <c r="P962" i="7"/>
  <c r="P963" i="7"/>
  <c r="P964" i="7"/>
  <c r="P965" i="7"/>
  <c r="P966" i="7"/>
  <c r="P967" i="7"/>
  <c r="P968" i="7"/>
  <c r="P969" i="7"/>
  <c r="P970" i="7"/>
  <c r="P971" i="7"/>
  <c r="P972" i="7"/>
  <c r="P973" i="7"/>
  <c r="P974" i="7"/>
  <c r="P975" i="7"/>
  <c r="P976" i="7"/>
  <c r="P977" i="7"/>
  <c r="P978" i="7"/>
  <c r="P979" i="7"/>
  <c r="P980" i="7"/>
  <c r="P981" i="7"/>
  <c r="P982" i="7"/>
  <c r="P983" i="7"/>
  <c r="P984" i="7"/>
  <c r="P985" i="7"/>
  <c r="P986" i="7"/>
  <c r="P987" i="7"/>
  <c r="P988" i="7"/>
  <c r="P989" i="7"/>
  <c r="P990" i="7"/>
  <c r="P991" i="7"/>
  <c r="P992" i="7"/>
  <c r="P993" i="7"/>
  <c r="P994" i="7"/>
  <c r="P995" i="7"/>
  <c r="P996" i="7"/>
  <c r="P997" i="7"/>
  <c r="P998" i="7"/>
  <c r="P999" i="7"/>
  <c r="P1000" i="7"/>
  <c r="P1001" i="7"/>
  <c r="P1002" i="7"/>
  <c r="P1003" i="7"/>
  <c r="P1004" i="7"/>
  <c r="P1005" i="7"/>
  <c r="P1006" i="7"/>
  <c r="P1007" i="7"/>
  <c r="P1008" i="7"/>
  <c r="P1009" i="7"/>
  <c r="P1010" i="7"/>
  <c r="P1011" i="7"/>
  <c r="P1012" i="7"/>
  <c r="P1013" i="7"/>
  <c r="P1014" i="7"/>
  <c r="P1015" i="7"/>
  <c r="P1016" i="7"/>
  <c r="P1017" i="7"/>
  <c r="P1018" i="7"/>
  <c r="P1019" i="7"/>
  <c r="P1020" i="7"/>
  <c r="P1021" i="7"/>
  <c r="P1022" i="7"/>
  <c r="P1023" i="7"/>
  <c r="P1024" i="7"/>
  <c r="P1025" i="7"/>
  <c r="P1026" i="7"/>
  <c r="P1027" i="7"/>
  <c r="P1028" i="7"/>
  <c r="P1029" i="7"/>
  <c r="P1030" i="7"/>
  <c r="P1031" i="7"/>
  <c r="P1032" i="7"/>
  <c r="P1033" i="7"/>
  <c r="P1034" i="7"/>
  <c r="P1035" i="7"/>
  <c r="P1036" i="7"/>
  <c r="P1037" i="7"/>
  <c r="P1038" i="7"/>
  <c r="P1039" i="7"/>
  <c r="P1040" i="7"/>
  <c r="P1041" i="7"/>
  <c r="P1042" i="7"/>
  <c r="P1043" i="7"/>
  <c r="P1044" i="7"/>
  <c r="P1045" i="7"/>
  <c r="P1046" i="7"/>
  <c r="P1047" i="7"/>
  <c r="P1048" i="7"/>
  <c r="P1049" i="7"/>
  <c r="P1050" i="7"/>
  <c r="P1051" i="7"/>
  <c r="P1052" i="7"/>
  <c r="P1053" i="7"/>
  <c r="P1054" i="7"/>
  <c r="P1055" i="7"/>
  <c r="P1056" i="7"/>
  <c r="P1057" i="7"/>
  <c r="P1058" i="7"/>
  <c r="P1059" i="7"/>
  <c r="P1060" i="7"/>
  <c r="P1061" i="7"/>
  <c r="P1062" i="7"/>
  <c r="P1063" i="7"/>
  <c r="P1064" i="7"/>
  <c r="P1065" i="7"/>
  <c r="P1066" i="7"/>
  <c r="P1067" i="7"/>
  <c r="P1068" i="7"/>
  <c r="P1069" i="7"/>
  <c r="P1070" i="7"/>
  <c r="P1071" i="7"/>
  <c r="P1072" i="7"/>
  <c r="P1073" i="7"/>
  <c r="P1074" i="7"/>
  <c r="P1075" i="7"/>
  <c r="P1076" i="7"/>
  <c r="P1077" i="7"/>
  <c r="P1078" i="7"/>
  <c r="P1079" i="7"/>
  <c r="P1080" i="7"/>
  <c r="P1081" i="7"/>
  <c r="P1082" i="7"/>
  <c r="P1083" i="7"/>
  <c r="P1084" i="7"/>
  <c r="P1085" i="7"/>
  <c r="P1086" i="7"/>
  <c r="P1087" i="7"/>
  <c r="P1088" i="7"/>
  <c r="P1089" i="7"/>
  <c r="P1090" i="7"/>
  <c r="P1091" i="7"/>
  <c r="P1092" i="7"/>
  <c r="P1093" i="7"/>
  <c r="P1094" i="7"/>
  <c r="P1095" i="7"/>
  <c r="P1096" i="7"/>
  <c r="P1097" i="7"/>
  <c r="P1098" i="7"/>
  <c r="P1099" i="7"/>
  <c r="P1100" i="7"/>
  <c r="P1101" i="7"/>
  <c r="P1102" i="7"/>
  <c r="P1103" i="7"/>
  <c r="P1104" i="7"/>
  <c r="P1105" i="7"/>
  <c r="P1106" i="7"/>
  <c r="P1107" i="7"/>
  <c r="P1108" i="7"/>
  <c r="P1109" i="7"/>
  <c r="P1110" i="7"/>
  <c r="P1111" i="7"/>
  <c r="P1112" i="7"/>
  <c r="P1113" i="7"/>
  <c r="P1114" i="7"/>
  <c r="P1115" i="7"/>
  <c r="P1116" i="7"/>
  <c r="P1117" i="7"/>
  <c r="P1118" i="7"/>
  <c r="P1119" i="7"/>
  <c r="P1120" i="7"/>
  <c r="P1121" i="7"/>
  <c r="P1122" i="7"/>
  <c r="P1123" i="7"/>
  <c r="P1124" i="7"/>
  <c r="P1125" i="7"/>
  <c r="P1126" i="7"/>
  <c r="P1127" i="7"/>
  <c r="P1128" i="7"/>
  <c r="P1129" i="7"/>
  <c r="P1130" i="7"/>
  <c r="P1131" i="7"/>
  <c r="P1132" i="7"/>
  <c r="P1133" i="7"/>
  <c r="P1134" i="7"/>
  <c r="P1135" i="7"/>
  <c r="P1136" i="7"/>
  <c r="P1137" i="7"/>
  <c r="P1138" i="7"/>
  <c r="P1139" i="7"/>
  <c r="P1140" i="7"/>
  <c r="P1141" i="7"/>
  <c r="P1142" i="7"/>
  <c r="P1143" i="7"/>
  <c r="P1144" i="7"/>
  <c r="P1145" i="7"/>
  <c r="P1146" i="7"/>
  <c r="P1147" i="7"/>
  <c r="P1148" i="7"/>
  <c r="P1149" i="7"/>
  <c r="P1150" i="7"/>
  <c r="P1151" i="7"/>
  <c r="P1152" i="7"/>
  <c r="P1153" i="7"/>
  <c r="P1154" i="7"/>
  <c r="P1155" i="7"/>
  <c r="P1156" i="7"/>
  <c r="P1157" i="7"/>
  <c r="P1158" i="7"/>
  <c r="P1159" i="7"/>
  <c r="P1160" i="7"/>
  <c r="P1161" i="7"/>
  <c r="P1162" i="7"/>
  <c r="P1163" i="7"/>
  <c r="P1164" i="7"/>
  <c r="P1165" i="7"/>
  <c r="P1166" i="7"/>
  <c r="P1167" i="7"/>
  <c r="P1168" i="7"/>
  <c r="P1169" i="7"/>
  <c r="P1170" i="7"/>
  <c r="P1171" i="7"/>
  <c r="P1172" i="7"/>
  <c r="P1173" i="7"/>
  <c r="P1174" i="7"/>
  <c r="P1175" i="7"/>
  <c r="P1176" i="7"/>
  <c r="P1177" i="7"/>
  <c r="P1178" i="7"/>
  <c r="P1179" i="7"/>
  <c r="P1180" i="7"/>
  <c r="P1181" i="7"/>
  <c r="P1182" i="7"/>
  <c r="P1183" i="7"/>
  <c r="P1184" i="7"/>
  <c r="P1185" i="7"/>
  <c r="P1186" i="7"/>
  <c r="P1187" i="7"/>
  <c r="P1188" i="7"/>
  <c r="P1189" i="7"/>
  <c r="P1190" i="7"/>
  <c r="P1191" i="7"/>
  <c r="P1192" i="7"/>
  <c r="P1193" i="7"/>
  <c r="P1194" i="7"/>
  <c r="P1195" i="7"/>
  <c r="P1196" i="7"/>
  <c r="P1197" i="7"/>
  <c r="P1198" i="7"/>
  <c r="P1199" i="7"/>
  <c r="P1200" i="7"/>
  <c r="P1201" i="7"/>
  <c r="P1202" i="7"/>
  <c r="P1203" i="7"/>
  <c r="P1204" i="7"/>
  <c r="P1205" i="7"/>
  <c r="P1206" i="7"/>
  <c r="P1207" i="7"/>
  <c r="P1208" i="7"/>
  <c r="P1209" i="7"/>
  <c r="P1210" i="7"/>
  <c r="P1211" i="7"/>
  <c r="P1212" i="7"/>
  <c r="P1213" i="7"/>
  <c r="P1214" i="7"/>
  <c r="P1215" i="7"/>
  <c r="P1216" i="7"/>
  <c r="P1217" i="7"/>
  <c r="P1218" i="7"/>
  <c r="P1219" i="7"/>
  <c r="P1220" i="7"/>
  <c r="P1221" i="7"/>
  <c r="P1222" i="7"/>
  <c r="P1223" i="7"/>
  <c r="P1224" i="7"/>
  <c r="P1225" i="7"/>
  <c r="P1226" i="7"/>
  <c r="P1227" i="7"/>
  <c r="P1228" i="7"/>
  <c r="P1229" i="7"/>
  <c r="P1230" i="7"/>
  <c r="P1231" i="7"/>
  <c r="P1232" i="7"/>
  <c r="P1233" i="7"/>
  <c r="P1234" i="7"/>
  <c r="P1235" i="7"/>
  <c r="P1236" i="7"/>
  <c r="P1237" i="7"/>
  <c r="P1238" i="7"/>
  <c r="P1239" i="7"/>
  <c r="P1240" i="7"/>
  <c r="P1241" i="7"/>
  <c r="P1242" i="7"/>
  <c r="P1243" i="7"/>
  <c r="P1244" i="7"/>
  <c r="P1245" i="7"/>
  <c r="P1246" i="7"/>
  <c r="P1247" i="7"/>
  <c r="P1248" i="7"/>
  <c r="P1249" i="7"/>
  <c r="P1250" i="7"/>
  <c r="P1251" i="7"/>
  <c r="P1252" i="7"/>
  <c r="P1253" i="7"/>
  <c r="P1254" i="7"/>
  <c r="P1255" i="7"/>
  <c r="P1256" i="7"/>
  <c r="P1257" i="7"/>
  <c r="P1258" i="7"/>
  <c r="P1259" i="7"/>
  <c r="P1260" i="7"/>
  <c r="P1261" i="7"/>
  <c r="P1262" i="7"/>
  <c r="P1263" i="7"/>
  <c r="P1264" i="7"/>
  <c r="P1265" i="7"/>
  <c r="P1266" i="7"/>
  <c r="P1267" i="7"/>
  <c r="P1268" i="7"/>
  <c r="P1269" i="7"/>
  <c r="P1270" i="7"/>
  <c r="P1271" i="7"/>
  <c r="P1272" i="7"/>
  <c r="P1273" i="7"/>
  <c r="P1274" i="7"/>
  <c r="P1275" i="7"/>
  <c r="P1276" i="7"/>
  <c r="P1277" i="7"/>
  <c r="P1278" i="7"/>
  <c r="P1279" i="7"/>
  <c r="P1280" i="7"/>
  <c r="P1281" i="7"/>
  <c r="P1282" i="7"/>
  <c r="P1283" i="7"/>
  <c r="P1284" i="7"/>
  <c r="P1285" i="7"/>
  <c r="P1286" i="7"/>
  <c r="P1287" i="7"/>
  <c r="P1288" i="7"/>
  <c r="P1289" i="7"/>
  <c r="P1290" i="7"/>
  <c r="P1291" i="7"/>
  <c r="P1292" i="7"/>
  <c r="P1293" i="7"/>
  <c r="P1294" i="7"/>
  <c r="P1295" i="7"/>
  <c r="P1296" i="7"/>
  <c r="P1297" i="7"/>
  <c r="P1298" i="7"/>
  <c r="P1299" i="7"/>
  <c r="P1300" i="7"/>
  <c r="P1301" i="7"/>
  <c r="P1302" i="7"/>
  <c r="P1303" i="7"/>
  <c r="P1304" i="7"/>
  <c r="P1305" i="7"/>
  <c r="P1306" i="7"/>
  <c r="P1307" i="7"/>
  <c r="P1308" i="7"/>
  <c r="P1309" i="7"/>
  <c r="P1310" i="7"/>
  <c r="P1311" i="7"/>
  <c r="P1312" i="7"/>
  <c r="P1313" i="7"/>
  <c r="P1314" i="7"/>
  <c r="P1315" i="7"/>
  <c r="P1316" i="7"/>
  <c r="P1317" i="7"/>
  <c r="P1318" i="7"/>
  <c r="P1319" i="7"/>
  <c r="P1320" i="7"/>
  <c r="P1321" i="7"/>
  <c r="P1322" i="7"/>
  <c r="P1323" i="7"/>
  <c r="P1324" i="7"/>
  <c r="P1325" i="7"/>
  <c r="P1326" i="7"/>
  <c r="P1327" i="7"/>
  <c r="P1328" i="7"/>
  <c r="P1329" i="7"/>
  <c r="P1330" i="7"/>
  <c r="P1331" i="7"/>
  <c r="P1332" i="7"/>
  <c r="P1333" i="7"/>
  <c r="P1334" i="7"/>
  <c r="P1335" i="7"/>
  <c r="P1336" i="7"/>
  <c r="P1337" i="7"/>
  <c r="P1338" i="7"/>
  <c r="P1339" i="7"/>
  <c r="P1340" i="7"/>
  <c r="P1341" i="7"/>
  <c r="P1342" i="7"/>
  <c r="P1343" i="7"/>
  <c r="P1344" i="7"/>
  <c r="P1345" i="7"/>
  <c r="P1346" i="7"/>
  <c r="P1347" i="7"/>
  <c r="P1348" i="7"/>
  <c r="P1349" i="7"/>
  <c r="P1350" i="7"/>
  <c r="P1351" i="7"/>
  <c r="P1352" i="7"/>
  <c r="P1353" i="7"/>
  <c r="P1354" i="7"/>
  <c r="P1355" i="7"/>
  <c r="P1356" i="7"/>
  <c r="P1357" i="7"/>
  <c r="P1358" i="7"/>
  <c r="P1359" i="7"/>
  <c r="P1360" i="7"/>
  <c r="P1361" i="7"/>
  <c r="P1362" i="7"/>
  <c r="P1363" i="7"/>
  <c r="P1364" i="7"/>
  <c r="P1365" i="7"/>
  <c r="P1366" i="7"/>
  <c r="P1367" i="7"/>
  <c r="P1368" i="7"/>
  <c r="P1369" i="7"/>
  <c r="P1370" i="7"/>
  <c r="P1371" i="7"/>
  <c r="P1372" i="7"/>
  <c r="P1373" i="7"/>
  <c r="P1374" i="7"/>
  <c r="P1375" i="7"/>
  <c r="P1376" i="7"/>
  <c r="P1377" i="7"/>
  <c r="P1378" i="7"/>
  <c r="P1379" i="7"/>
  <c r="P1380" i="7"/>
  <c r="P1381" i="7"/>
  <c r="P1382" i="7"/>
  <c r="P1383" i="7"/>
  <c r="P1384" i="7"/>
  <c r="P1385" i="7"/>
  <c r="P1386" i="7"/>
  <c r="P1387" i="7"/>
  <c r="P1388" i="7"/>
  <c r="P1389" i="7"/>
  <c r="P1390" i="7"/>
  <c r="P1391" i="7"/>
  <c r="P1392" i="7"/>
  <c r="P1393" i="7"/>
  <c r="P1394" i="7"/>
  <c r="P1395" i="7"/>
  <c r="P1396" i="7"/>
  <c r="P1397" i="7"/>
  <c r="P1398" i="7"/>
  <c r="P1399" i="7"/>
  <c r="P1400" i="7"/>
  <c r="P1401" i="7"/>
  <c r="P1402" i="7"/>
  <c r="P1403" i="7"/>
  <c r="P1404" i="7"/>
  <c r="P1405" i="7"/>
  <c r="P1406" i="7"/>
  <c r="P1407" i="7"/>
  <c r="P1408" i="7"/>
  <c r="P1409" i="7"/>
  <c r="P1410" i="7"/>
  <c r="P1411" i="7"/>
  <c r="P1412" i="7"/>
  <c r="P1413" i="7"/>
  <c r="P1414" i="7"/>
  <c r="P1415" i="7"/>
  <c r="P1416" i="7"/>
  <c r="P1417" i="7"/>
  <c r="P1418" i="7"/>
  <c r="P1419" i="7"/>
  <c r="P1420" i="7"/>
  <c r="P1421" i="7"/>
  <c r="P1422" i="7"/>
  <c r="P1423" i="7"/>
  <c r="P1424" i="7"/>
  <c r="P1425" i="7"/>
  <c r="P1426" i="7"/>
  <c r="P1427" i="7"/>
  <c r="P1428" i="7"/>
  <c r="P1429" i="7"/>
  <c r="P1430" i="7"/>
  <c r="P1431" i="7"/>
  <c r="P1432" i="7"/>
  <c r="P1433" i="7"/>
  <c r="P1434" i="7"/>
  <c r="P1435" i="7"/>
  <c r="P1436" i="7"/>
  <c r="P1437" i="7"/>
  <c r="P1438" i="7"/>
  <c r="P1439" i="7"/>
  <c r="P1440" i="7"/>
  <c r="P1441" i="7"/>
  <c r="P1442" i="7"/>
  <c r="P1443" i="7"/>
  <c r="P1444" i="7"/>
  <c r="P1445" i="7"/>
  <c r="P1446" i="7"/>
  <c r="P1447" i="7"/>
  <c r="P1448" i="7"/>
  <c r="P1449" i="7"/>
  <c r="P1450" i="7"/>
  <c r="P1451" i="7"/>
  <c r="P1452" i="7"/>
  <c r="P1453" i="7"/>
  <c r="P1454" i="7"/>
  <c r="P1455" i="7"/>
  <c r="P1456" i="7"/>
  <c r="P1457" i="7"/>
  <c r="P1458" i="7"/>
  <c r="P1459" i="7"/>
  <c r="P1460" i="7"/>
  <c r="P1461" i="7"/>
  <c r="P1462" i="7"/>
  <c r="P1463" i="7"/>
  <c r="P1464" i="7"/>
  <c r="P1465" i="7"/>
  <c r="P1466" i="7"/>
  <c r="P1467" i="7"/>
  <c r="P1468" i="7"/>
  <c r="P1469" i="7"/>
  <c r="P1470" i="7"/>
  <c r="P1471" i="7"/>
  <c r="P1472" i="7"/>
  <c r="P1473" i="7"/>
  <c r="P1474" i="7"/>
  <c r="P1475" i="7"/>
  <c r="P1476" i="7"/>
  <c r="P1477" i="7"/>
  <c r="P1478" i="7"/>
  <c r="P1479" i="7"/>
  <c r="P1480" i="7"/>
  <c r="P1481" i="7"/>
  <c r="P1482" i="7"/>
  <c r="P1483" i="7"/>
  <c r="P1484" i="7"/>
  <c r="P1485" i="7"/>
  <c r="P1486" i="7"/>
  <c r="P1487" i="7"/>
  <c r="P1488" i="7"/>
  <c r="P1489" i="7"/>
  <c r="P1490" i="7"/>
  <c r="P1491" i="7"/>
  <c r="P1492" i="7"/>
  <c r="P1493" i="7"/>
  <c r="P1494" i="7"/>
  <c r="P1495" i="7"/>
  <c r="P1496" i="7"/>
  <c r="P1497" i="7"/>
  <c r="P1498" i="7"/>
  <c r="P1499" i="7"/>
  <c r="P1500" i="7"/>
  <c r="P1501" i="7"/>
  <c r="P1502" i="7"/>
  <c r="P1503" i="7"/>
  <c r="P1504" i="7"/>
  <c r="P1505" i="7"/>
  <c r="P1506" i="7"/>
  <c r="P1507" i="7"/>
  <c r="P1508" i="7"/>
  <c r="P1509" i="7"/>
  <c r="P1510" i="7"/>
  <c r="P1511" i="7"/>
  <c r="P1512" i="7"/>
  <c r="P1513" i="7"/>
  <c r="P1514" i="7"/>
  <c r="P1515" i="7"/>
  <c r="P1516" i="7"/>
  <c r="P1517" i="7"/>
  <c r="P1518" i="7"/>
  <c r="P1519" i="7"/>
  <c r="P1520" i="7"/>
  <c r="P1521" i="7"/>
  <c r="P1522" i="7"/>
  <c r="P1523" i="7"/>
  <c r="P1524" i="7"/>
  <c r="P1525" i="7"/>
  <c r="P1526" i="7"/>
  <c r="P1527" i="7"/>
  <c r="P1528" i="7"/>
  <c r="P1529" i="7"/>
  <c r="P1530" i="7"/>
  <c r="P1531" i="7"/>
  <c r="P1532" i="7"/>
  <c r="P1533" i="7"/>
  <c r="P1534" i="7"/>
  <c r="P1535" i="7"/>
  <c r="P1536" i="7"/>
  <c r="P1537" i="7"/>
  <c r="P1538" i="7"/>
  <c r="P1539" i="7"/>
  <c r="P1540" i="7"/>
  <c r="P1541" i="7"/>
  <c r="P1542" i="7"/>
  <c r="P1543" i="7"/>
  <c r="P1544" i="7"/>
  <c r="P1545" i="7"/>
  <c r="P1546" i="7"/>
  <c r="P1547" i="7"/>
  <c r="P1548" i="7"/>
  <c r="P1549" i="7"/>
  <c r="P1550" i="7"/>
  <c r="P1551" i="7"/>
  <c r="P1552" i="7"/>
  <c r="P1553" i="7"/>
  <c r="P1554" i="7"/>
  <c r="P1555" i="7"/>
  <c r="P1556" i="7"/>
  <c r="P1557" i="7"/>
  <c r="P1558" i="7"/>
  <c r="P1559" i="7"/>
  <c r="P1560" i="7"/>
  <c r="P1561" i="7"/>
  <c r="P1562" i="7"/>
  <c r="P1563" i="7"/>
  <c r="P1564" i="7"/>
  <c r="P1565" i="7"/>
  <c r="P1566" i="7"/>
  <c r="P1567" i="7"/>
  <c r="P1568" i="7"/>
  <c r="P1569" i="7"/>
  <c r="P1570" i="7"/>
  <c r="P1571" i="7"/>
  <c r="P1572" i="7"/>
  <c r="P1573" i="7"/>
  <c r="P1574" i="7"/>
  <c r="P1575" i="7"/>
  <c r="P1576" i="7"/>
  <c r="P1577" i="7"/>
  <c r="P1578" i="7"/>
  <c r="P1579" i="7"/>
  <c r="P1580" i="7"/>
  <c r="P1581" i="7"/>
  <c r="P1582" i="7"/>
  <c r="P1583" i="7"/>
  <c r="P1584" i="7"/>
  <c r="P1585" i="7"/>
  <c r="P1586" i="7"/>
  <c r="P1587" i="7"/>
  <c r="P1588" i="7"/>
  <c r="P1589" i="7"/>
  <c r="P1590" i="7"/>
  <c r="P1591" i="7"/>
  <c r="P1592" i="7"/>
  <c r="P1593" i="7"/>
  <c r="P1594" i="7"/>
  <c r="P1595" i="7"/>
  <c r="P1596" i="7"/>
  <c r="P1597" i="7"/>
  <c r="P1598" i="7"/>
  <c r="P1599" i="7"/>
  <c r="P1600" i="7"/>
  <c r="P1601" i="7"/>
  <c r="P1602" i="7"/>
  <c r="P1603" i="7"/>
  <c r="P1604" i="7"/>
  <c r="P1605" i="7"/>
  <c r="P1606" i="7"/>
  <c r="P1607" i="7"/>
  <c r="P1608" i="7"/>
  <c r="P1609" i="7"/>
  <c r="P1610" i="7"/>
  <c r="P1611" i="7"/>
  <c r="P1612" i="7"/>
  <c r="P1613" i="7"/>
  <c r="P1614" i="7"/>
  <c r="P1615" i="7"/>
  <c r="P1616" i="7"/>
  <c r="P1617" i="7"/>
  <c r="P1618" i="7"/>
  <c r="P1619" i="7"/>
  <c r="P1620" i="7"/>
  <c r="P1621" i="7"/>
  <c r="P1622" i="7"/>
  <c r="P1623" i="7"/>
  <c r="P1624" i="7"/>
  <c r="P1625" i="7"/>
  <c r="P1626" i="7"/>
  <c r="P1627" i="7"/>
  <c r="P1628" i="7"/>
  <c r="P1629" i="7"/>
  <c r="P1630" i="7"/>
  <c r="P1631" i="7"/>
  <c r="P1632" i="7"/>
  <c r="P1633" i="7"/>
  <c r="P1634" i="7"/>
  <c r="P1635" i="7"/>
  <c r="P1636" i="7"/>
  <c r="P1637" i="7"/>
  <c r="P1638" i="7"/>
  <c r="P1639" i="7"/>
  <c r="P1640" i="7"/>
  <c r="P1641" i="7"/>
  <c r="P1642" i="7"/>
  <c r="P1643" i="7"/>
  <c r="P1644" i="7"/>
  <c r="P1645" i="7"/>
  <c r="P1646" i="7"/>
  <c r="P1647" i="7"/>
  <c r="P1648" i="7"/>
  <c r="P1649" i="7"/>
  <c r="P1650" i="7"/>
  <c r="P1651" i="7"/>
  <c r="P1652" i="7"/>
  <c r="P1653" i="7"/>
  <c r="P1654" i="7"/>
  <c r="P1655" i="7"/>
  <c r="P1656" i="7"/>
  <c r="P1657" i="7"/>
  <c r="P1658" i="7"/>
  <c r="P1659" i="7"/>
  <c r="P1660" i="7"/>
  <c r="P1661" i="7"/>
  <c r="P1662" i="7"/>
  <c r="P1663" i="7"/>
  <c r="P1664" i="7"/>
  <c r="P1665" i="7"/>
  <c r="P1666" i="7"/>
  <c r="P1667" i="7"/>
  <c r="P1668" i="7"/>
  <c r="P1669" i="7"/>
  <c r="P1670" i="7"/>
  <c r="P1671" i="7"/>
  <c r="P1672" i="7"/>
  <c r="P1673" i="7"/>
  <c r="P1674" i="7"/>
  <c r="P1675" i="7"/>
  <c r="P1676" i="7"/>
  <c r="P1677" i="7"/>
  <c r="P1678" i="7"/>
  <c r="P1679" i="7"/>
  <c r="P1680" i="7"/>
  <c r="P1681" i="7"/>
  <c r="P1682" i="7"/>
  <c r="P1683" i="7"/>
  <c r="P1684" i="7"/>
  <c r="P1685" i="7"/>
  <c r="P1686" i="7"/>
  <c r="P1687" i="7"/>
  <c r="P1688" i="7"/>
  <c r="P1689" i="7"/>
  <c r="P1690" i="7"/>
  <c r="P1691" i="7"/>
  <c r="P1692" i="7"/>
  <c r="P1693" i="7"/>
  <c r="P1694" i="7"/>
  <c r="P1695" i="7"/>
  <c r="P1696" i="7"/>
  <c r="P1697" i="7"/>
  <c r="P1698" i="7"/>
  <c r="P1699" i="7"/>
  <c r="P1700" i="7"/>
  <c r="P1701" i="7"/>
  <c r="P1702" i="7"/>
  <c r="P1703" i="7"/>
  <c r="P1704" i="7"/>
  <c r="P1705" i="7"/>
  <c r="P1706" i="7"/>
  <c r="P1707" i="7"/>
  <c r="P1708" i="7"/>
  <c r="P1709" i="7"/>
  <c r="P1710" i="7"/>
  <c r="P1711" i="7"/>
  <c r="P1712" i="7"/>
  <c r="P1713" i="7"/>
  <c r="P1714" i="7"/>
  <c r="P1715" i="7"/>
  <c r="P1716" i="7"/>
  <c r="P1717" i="7"/>
  <c r="P1718" i="7"/>
  <c r="P1719" i="7"/>
  <c r="P1720" i="7"/>
  <c r="P1721" i="7"/>
  <c r="P1722" i="7"/>
  <c r="P1723" i="7"/>
  <c r="P1724" i="7"/>
  <c r="P1725" i="7"/>
  <c r="P1726" i="7"/>
  <c r="P1727" i="7"/>
  <c r="P1728" i="7"/>
  <c r="P1729" i="7"/>
  <c r="P1730" i="7"/>
  <c r="P1731" i="7"/>
  <c r="P1732" i="7"/>
  <c r="P1733" i="7"/>
  <c r="P1734" i="7"/>
  <c r="P1735" i="7"/>
  <c r="P1736" i="7"/>
  <c r="P1737" i="7"/>
  <c r="P1738" i="7"/>
  <c r="P1739" i="7"/>
  <c r="P1740" i="7"/>
  <c r="P1741" i="7"/>
  <c r="P1742" i="7"/>
  <c r="P1743" i="7"/>
  <c r="P1744" i="7"/>
  <c r="P1745" i="7"/>
  <c r="P1746" i="7"/>
  <c r="P1747" i="7"/>
  <c r="P1748" i="7"/>
  <c r="P1749" i="7"/>
  <c r="P1750" i="7"/>
  <c r="P1751" i="7"/>
  <c r="P1752" i="7"/>
  <c r="P1753" i="7"/>
  <c r="P1754" i="7"/>
  <c r="P1755" i="7"/>
  <c r="P1756" i="7"/>
  <c r="P1757" i="7"/>
  <c r="P1758" i="7"/>
  <c r="P1759" i="7"/>
  <c r="P1760" i="7"/>
  <c r="P1761" i="7"/>
  <c r="P1762" i="7"/>
  <c r="P1763" i="7"/>
  <c r="P1764" i="7"/>
  <c r="P1765" i="7"/>
  <c r="P1766" i="7"/>
  <c r="P1767" i="7"/>
  <c r="P1768" i="7"/>
  <c r="P1769" i="7"/>
  <c r="P1770" i="7"/>
  <c r="P1771" i="7"/>
  <c r="P1772" i="7"/>
  <c r="P1773" i="7"/>
  <c r="P1774" i="7"/>
  <c r="P1775" i="7"/>
  <c r="P1776" i="7"/>
  <c r="P1777" i="7"/>
  <c r="P1778" i="7"/>
  <c r="P1779" i="7"/>
  <c r="P1780" i="7"/>
  <c r="P1781" i="7"/>
  <c r="P1782" i="7"/>
  <c r="P1783" i="7"/>
  <c r="P1784" i="7"/>
  <c r="P1785" i="7"/>
  <c r="P1786" i="7"/>
  <c r="P1787" i="7"/>
  <c r="P1788" i="7"/>
  <c r="P1789" i="7"/>
  <c r="P1790" i="7"/>
  <c r="P1791" i="7"/>
  <c r="P1792" i="7"/>
  <c r="P1793" i="7"/>
  <c r="P1794" i="7"/>
  <c r="P1795" i="7"/>
  <c r="P1796" i="7"/>
  <c r="P1797" i="7"/>
  <c r="P1798" i="7"/>
  <c r="P1799" i="7"/>
  <c r="P1800" i="7"/>
  <c r="P1801" i="7"/>
  <c r="P1802" i="7"/>
  <c r="P1803" i="7"/>
  <c r="P1804" i="7"/>
  <c r="P1805" i="7"/>
  <c r="P1806" i="7"/>
  <c r="P1807" i="7"/>
  <c r="P1808" i="7"/>
  <c r="P1809" i="7"/>
  <c r="P1810" i="7"/>
  <c r="P1811" i="7"/>
  <c r="P1812" i="7"/>
  <c r="P1813" i="7"/>
  <c r="P1814" i="7"/>
  <c r="P1815" i="7"/>
  <c r="P1816" i="7"/>
  <c r="P1817" i="7"/>
  <c r="P1818" i="7"/>
  <c r="P1819" i="7"/>
  <c r="P1820" i="7"/>
  <c r="P1821" i="7"/>
  <c r="P1822" i="7"/>
  <c r="P1823" i="7"/>
  <c r="P1824" i="7"/>
  <c r="P1825" i="7"/>
  <c r="P1826" i="7"/>
  <c r="P1827" i="7"/>
  <c r="P1828" i="7"/>
  <c r="P1829" i="7"/>
  <c r="P1830" i="7"/>
  <c r="P1831" i="7"/>
  <c r="P1832" i="7"/>
  <c r="P1833" i="7"/>
  <c r="P1834" i="7"/>
  <c r="P1835" i="7"/>
  <c r="P1836" i="7"/>
  <c r="P1837" i="7"/>
  <c r="P1838" i="7"/>
  <c r="P1839" i="7"/>
  <c r="P1840" i="7"/>
  <c r="P1841" i="7"/>
  <c r="P1842" i="7"/>
  <c r="P1843" i="7"/>
  <c r="P1844" i="7"/>
  <c r="P1845" i="7"/>
  <c r="P1846" i="7"/>
  <c r="P1847" i="7"/>
  <c r="P1848" i="7"/>
  <c r="P1849" i="7"/>
  <c r="P1850" i="7"/>
  <c r="P1851" i="7"/>
  <c r="P1852" i="7"/>
  <c r="P1853" i="7"/>
  <c r="P1854" i="7"/>
  <c r="P1855" i="7"/>
  <c r="P1856" i="7"/>
  <c r="P1857" i="7"/>
  <c r="P1858" i="7"/>
  <c r="P1859" i="7"/>
  <c r="P1860" i="7"/>
  <c r="P1861" i="7"/>
  <c r="P1862" i="7"/>
  <c r="P1863" i="7"/>
  <c r="P1864" i="7"/>
  <c r="P1865" i="7"/>
  <c r="P1866" i="7"/>
  <c r="P1867" i="7"/>
  <c r="P1868" i="7"/>
  <c r="P1869" i="7"/>
  <c r="P1870" i="7"/>
  <c r="P1871" i="7"/>
  <c r="P1872" i="7"/>
  <c r="P1873" i="7"/>
  <c r="P1874" i="7"/>
  <c r="P1875" i="7"/>
  <c r="P1876" i="7"/>
  <c r="P1877" i="7"/>
  <c r="P1878" i="7"/>
  <c r="P1879" i="7"/>
  <c r="P1880" i="7"/>
  <c r="P1881" i="7"/>
  <c r="P1882" i="7"/>
  <c r="P1883" i="7"/>
  <c r="P1884" i="7"/>
  <c r="P1885" i="7"/>
  <c r="P1886" i="7"/>
  <c r="P1887" i="7"/>
  <c r="P1888" i="7"/>
  <c r="P1889" i="7"/>
  <c r="P1890" i="7"/>
  <c r="P1891" i="7"/>
  <c r="P1892" i="7"/>
  <c r="P1893" i="7"/>
  <c r="P1894" i="7"/>
  <c r="P1895" i="7"/>
  <c r="P1896" i="7"/>
  <c r="P1897" i="7"/>
  <c r="P1898" i="7"/>
  <c r="P1899" i="7"/>
  <c r="P1900" i="7"/>
  <c r="P1901" i="7"/>
  <c r="P1902" i="7"/>
  <c r="P1903" i="7"/>
  <c r="P1904" i="7"/>
  <c r="P1905" i="7"/>
  <c r="P1906" i="7"/>
  <c r="P1907" i="7"/>
  <c r="P1908" i="7"/>
  <c r="P1909" i="7"/>
  <c r="P1910" i="7"/>
  <c r="P1911" i="7"/>
  <c r="P1912" i="7"/>
  <c r="P1913" i="7"/>
  <c r="P1914" i="7"/>
  <c r="P1915" i="7"/>
  <c r="P1916" i="7"/>
  <c r="P1917" i="7"/>
  <c r="P1918" i="7"/>
  <c r="P1919" i="7"/>
  <c r="P1920" i="7"/>
  <c r="P1921" i="7"/>
  <c r="P1922" i="7"/>
  <c r="P1923" i="7"/>
  <c r="P1924" i="7"/>
  <c r="P1925" i="7"/>
  <c r="P1926" i="7"/>
  <c r="P1927" i="7"/>
  <c r="P1928" i="7"/>
  <c r="P1929" i="7"/>
  <c r="P1930" i="7"/>
  <c r="P1931" i="7"/>
  <c r="P1932" i="7"/>
  <c r="P1933" i="7"/>
  <c r="P1934" i="7"/>
  <c r="P1935" i="7"/>
  <c r="P1936" i="7"/>
  <c r="P1937" i="7"/>
  <c r="P1938" i="7"/>
  <c r="P1939" i="7"/>
  <c r="P1940" i="7"/>
  <c r="P1941" i="7"/>
  <c r="P1942" i="7"/>
  <c r="P1943" i="7"/>
  <c r="P1944" i="7"/>
  <c r="P1945" i="7"/>
  <c r="P1946" i="7"/>
  <c r="P1947" i="7"/>
  <c r="P1948" i="7"/>
  <c r="P1949" i="7"/>
  <c r="P1950" i="7"/>
  <c r="P1951" i="7"/>
  <c r="P1952" i="7"/>
  <c r="P1953" i="7"/>
  <c r="P1954" i="7"/>
  <c r="P1955" i="7"/>
  <c r="P1956" i="7"/>
  <c r="P1957" i="7"/>
  <c r="P1958" i="7"/>
  <c r="P1959" i="7"/>
  <c r="P1960" i="7"/>
  <c r="P1961" i="7"/>
  <c r="P1962" i="7"/>
  <c r="P1963" i="7"/>
  <c r="P1964" i="7"/>
  <c r="P1965" i="7"/>
  <c r="P1966" i="7"/>
  <c r="P1967" i="7"/>
  <c r="P1968" i="7"/>
  <c r="P1969" i="7"/>
  <c r="P1970" i="7"/>
  <c r="P1971" i="7"/>
  <c r="P1972" i="7"/>
  <c r="P1973" i="7"/>
  <c r="P1974" i="7"/>
  <c r="P1975" i="7"/>
  <c r="P1976" i="7"/>
  <c r="P1977" i="7"/>
  <c r="P1978" i="7"/>
  <c r="P1979" i="7"/>
  <c r="P1980" i="7"/>
  <c r="P1981" i="7"/>
  <c r="P1982" i="7"/>
  <c r="P1983" i="7"/>
  <c r="P1984" i="7"/>
  <c r="P1985" i="7"/>
  <c r="P1986" i="7"/>
  <c r="P1987" i="7"/>
  <c r="P1988" i="7"/>
  <c r="P1989" i="7"/>
  <c r="P1990" i="7"/>
  <c r="P1991" i="7"/>
  <c r="P1992" i="7"/>
  <c r="P1993" i="7"/>
  <c r="P1994" i="7"/>
  <c r="P1995" i="7"/>
  <c r="P1996" i="7"/>
  <c r="P1997" i="7"/>
  <c r="P1998" i="7"/>
  <c r="P1999" i="7"/>
  <c r="P2000" i="7"/>
  <c r="P2001" i="7"/>
  <c r="P2002" i="7"/>
  <c r="P2003" i="7"/>
  <c r="P2004" i="7"/>
  <c r="P2005" i="7"/>
  <c r="P2006" i="7"/>
  <c r="P2007" i="7"/>
  <c r="P2008" i="7"/>
  <c r="P2009" i="7"/>
  <c r="P2010" i="7"/>
  <c r="P2011" i="7"/>
  <c r="P2012" i="7"/>
  <c r="P2013" i="7"/>
  <c r="P2014" i="7"/>
  <c r="P2015" i="7"/>
  <c r="P2016" i="7"/>
  <c r="P2017" i="7"/>
  <c r="P2018" i="7"/>
  <c r="P2019" i="7"/>
  <c r="P2020" i="7"/>
  <c r="P2021" i="7"/>
  <c r="P2022" i="7"/>
  <c r="P2023" i="7"/>
  <c r="P2024" i="7"/>
  <c r="P2025" i="7"/>
  <c r="P2026" i="7"/>
  <c r="P2027" i="7"/>
  <c r="P2028" i="7"/>
  <c r="P2029" i="7"/>
  <c r="P2030" i="7"/>
  <c r="P2031" i="7"/>
  <c r="P2032" i="7"/>
  <c r="P2033" i="7"/>
  <c r="P2034" i="7"/>
  <c r="P2035" i="7"/>
  <c r="P2036" i="7"/>
  <c r="P2037" i="7"/>
  <c r="P2038" i="7"/>
  <c r="P2039" i="7"/>
  <c r="P2040" i="7"/>
  <c r="P2041" i="7"/>
  <c r="P2042" i="7"/>
  <c r="P2043" i="7"/>
  <c r="P2044" i="7"/>
  <c r="P2045" i="7"/>
  <c r="P2046" i="7"/>
  <c r="P2047" i="7"/>
  <c r="P2048" i="7"/>
  <c r="P2049" i="7"/>
  <c r="P2050" i="7"/>
  <c r="P2051" i="7"/>
  <c r="P2052" i="7"/>
  <c r="P2053" i="7"/>
  <c r="P2054" i="7"/>
  <c r="P2055" i="7"/>
  <c r="P2056" i="7"/>
  <c r="P2057" i="7"/>
  <c r="P2058" i="7"/>
  <c r="P2059" i="7"/>
  <c r="P2060" i="7"/>
  <c r="P2061" i="7"/>
  <c r="P2062" i="7"/>
  <c r="P2063" i="7"/>
  <c r="P2064" i="7"/>
  <c r="P2065" i="7"/>
  <c r="P2066" i="7"/>
  <c r="P2067" i="7"/>
  <c r="P2068" i="7"/>
  <c r="P2069" i="7"/>
  <c r="P2070" i="7"/>
  <c r="P2071" i="7"/>
  <c r="P2072" i="7"/>
  <c r="P2073" i="7"/>
  <c r="P2074" i="7"/>
  <c r="P2075" i="7"/>
  <c r="P2076" i="7"/>
  <c r="P2077" i="7"/>
  <c r="P2078" i="7"/>
  <c r="P2079" i="7"/>
  <c r="P2080" i="7"/>
  <c r="P2081" i="7"/>
  <c r="P2082" i="7"/>
  <c r="P2083" i="7"/>
  <c r="P2084" i="7"/>
  <c r="P2085" i="7"/>
  <c r="P2086" i="7"/>
  <c r="P2087" i="7"/>
  <c r="P2088" i="7"/>
  <c r="P2089" i="7"/>
  <c r="P2090" i="7"/>
  <c r="P2091" i="7"/>
  <c r="P2092" i="7"/>
  <c r="P2093" i="7"/>
  <c r="P2094" i="7"/>
  <c r="P2095" i="7"/>
  <c r="P2096" i="7"/>
  <c r="P2097" i="7"/>
  <c r="P2098" i="7"/>
  <c r="P2099" i="7"/>
  <c r="P2100" i="7"/>
  <c r="P2101" i="7"/>
  <c r="P2102" i="7"/>
  <c r="P2103" i="7"/>
  <c r="P2104" i="7"/>
  <c r="P2105" i="7"/>
  <c r="P2106" i="7"/>
  <c r="P2107" i="7"/>
  <c r="P2108" i="7"/>
  <c r="P2109" i="7"/>
  <c r="P2110" i="7"/>
  <c r="P2111" i="7"/>
  <c r="P2112" i="7"/>
  <c r="P2113" i="7"/>
  <c r="P2114" i="7"/>
  <c r="P2115" i="7"/>
  <c r="P2116" i="7"/>
  <c r="P2117" i="7"/>
  <c r="P2118" i="7"/>
  <c r="P2119" i="7"/>
  <c r="P2120" i="7"/>
  <c r="P2121" i="7"/>
  <c r="P2122" i="7"/>
  <c r="P2123" i="7"/>
  <c r="P2124" i="7"/>
  <c r="P2125" i="7"/>
  <c r="P2126" i="7"/>
  <c r="P2127" i="7"/>
  <c r="P2128" i="7"/>
  <c r="P2129" i="7"/>
  <c r="P2130" i="7"/>
  <c r="P2131" i="7"/>
  <c r="P2132" i="7"/>
  <c r="P2133" i="7"/>
  <c r="P2134" i="7"/>
  <c r="P2135" i="7"/>
  <c r="P2136" i="7"/>
  <c r="P2137" i="7"/>
  <c r="P2138" i="7"/>
  <c r="P2139" i="7"/>
  <c r="P2140" i="7"/>
  <c r="P2141" i="7"/>
  <c r="P2142" i="7"/>
  <c r="P2143" i="7"/>
  <c r="P2144" i="7"/>
  <c r="P2145" i="7"/>
  <c r="P2146" i="7"/>
  <c r="P2147" i="7"/>
  <c r="P2148" i="7"/>
  <c r="P2149" i="7"/>
  <c r="P2150" i="7"/>
  <c r="P2151" i="7"/>
  <c r="P2152" i="7"/>
  <c r="P2153" i="7"/>
  <c r="P2154" i="7"/>
  <c r="P2155" i="7"/>
  <c r="P2156" i="7"/>
  <c r="P2157" i="7"/>
  <c r="P2158" i="7"/>
  <c r="P2159" i="7"/>
  <c r="P2160" i="7"/>
  <c r="P2161" i="7"/>
  <c r="P2162" i="7"/>
  <c r="P2163" i="7"/>
  <c r="P2164" i="7"/>
  <c r="P2165" i="7"/>
  <c r="P2166" i="7"/>
  <c r="P2167" i="7"/>
  <c r="P2168" i="7"/>
  <c r="P2169" i="7"/>
  <c r="P2170" i="7"/>
  <c r="P2171" i="7"/>
  <c r="P2172" i="7"/>
  <c r="P2173" i="7"/>
  <c r="P2174" i="7"/>
  <c r="P2175" i="7"/>
  <c r="P2176" i="7"/>
  <c r="P2177" i="7"/>
  <c r="P2178" i="7"/>
  <c r="P2179" i="7"/>
  <c r="P2180" i="7"/>
  <c r="P2181" i="7"/>
  <c r="P2182" i="7"/>
  <c r="P2183" i="7"/>
  <c r="P2184" i="7"/>
  <c r="P2185" i="7"/>
  <c r="P2186" i="7"/>
  <c r="P2187" i="7"/>
  <c r="P2188" i="7"/>
  <c r="P2189" i="7"/>
  <c r="P2190" i="7"/>
  <c r="P2191" i="7"/>
  <c r="P2192" i="7"/>
  <c r="P2193" i="7"/>
  <c r="P2194" i="7"/>
  <c r="P2195" i="7"/>
  <c r="P2196" i="7"/>
  <c r="P2197" i="7"/>
  <c r="P2198" i="7"/>
  <c r="P2199" i="7"/>
  <c r="P2200" i="7"/>
  <c r="P2201" i="7"/>
  <c r="P2202" i="7"/>
  <c r="P2203" i="7"/>
  <c r="P2204" i="7"/>
  <c r="P2205" i="7"/>
  <c r="P2206" i="7"/>
  <c r="P2207" i="7"/>
  <c r="P2208" i="7"/>
  <c r="P2209" i="7"/>
  <c r="P2210" i="7"/>
  <c r="P2211" i="7"/>
  <c r="P2212" i="7"/>
  <c r="P2213" i="7"/>
  <c r="P2214" i="7"/>
  <c r="P2215" i="7"/>
  <c r="P2216" i="7"/>
  <c r="P2217" i="7"/>
  <c r="P2218" i="7"/>
  <c r="P2219" i="7"/>
  <c r="P2220" i="7"/>
  <c r="P2221" i="7"/>
  <c r="P2222" i="7"/>
  <c r="P2223" i="7"/>
  <c r="P2224" i="7"/>
  <c r="P2225" i="7"/>
  <c r="P2226" i="7"/>
  <c r="P2227" i="7"/>
  <c r="P2228" i="7"/>
  <c r="P2229" i="7"/>
  <c r="P2230" i="7"/>
  <c r="P2231" i="7"/>
  <c r="P2232" i="7"/>
  <c r="P2233" i="7"/>
  <c r="P2234" i="7"/>
  <c r="P2235" i="7"/>
  <c r="P2236" i="7"/>
  <c r="P2237" i="7"/>
  <c r="P2238" i="7"/>
  <c r="P2239" i="7"/>
  <c r="P2240" i="7"/>
  <c r="P2241" i="7"/>
  <c r="P2242" i="7"/>
  <c r="P2243" i="7"/>
  <c r="P2244" i="7"/>
  <c r="P2245" i="7"/>
  <c r="P2246" i="7"/>
  <c r="P2247" i="7"/>
  <c r="P2248" i="7"/>
  <c r="P2249" i="7"/>
  <c r="P2250" i="7"/>
  <c r="P2251" i="7"/>
  <c r="P2252" i="7"/>
  <c r="P2253" i="7"/>
  <c r="P2254" i="7"/>
  <c r="P2255" i="7"/>
  <c r="P2256" i="7"/>
  <c r="P2257" i="7"/>
  <c r="P2258" i="7"/>
  <c r="P2259" i="7"/>
  <c r="P2260" i="7"/>
  <c r="P2261" i="7"/>
  <c r="P2262" i="7"/>
  <c r="P2263" i="7"/>
  <c r="P2264" i="7"/>
  <c r="P2265" i="7"/>
  <c r="P2266" i="7"/>
  <c r="P2267" i="7"/>
  <c r="P2268" i="7"/>
  <c r="P2269" i="7"/>
  <c r="P2270" i="7"/>
  <c r="P2271" i="7"/>
  <c r="P2272" i="7"/>
  <c r="P2273" i="7"/>
  <c r="P2274" i="7"/>
  <c r="P2275" i="7"/>
  <c r="P2276" i="7"/>
  <c r="P2277" i="7"/>
  <c r="P2278" i="7"/>
  <c r="P2279" i="7"/>
  <c r="P2280" i="7"/>
  <c r="P2281" i="7"/>
  <c r="P2282" i="7"/>
  <c r="P2283" i="7"/>
  <c r="P2284" i="7"/>
  <c r="P2285" i="7"/>
  <c r="P2286" i="7"/>
  <c r="P2287" i="7"/>
  <c r="P2288" i="7"/>
  <c r="P2289" i="7"/>
  <c r="P2290" i="7"/>
  <c r="P2291" i="7"/>
  <c r="P2292" i="7"/>
  <c r="P2293" i="7"/>
  <c r="P2294" i="7"/>
  <c r="P2295" i="7"/>
  <c r="P2296" i="7"/>
  <c r="P2297" i="7"/>
  <c r="P2298" i="7"/>
  <c r="P2299" i="7"/>
  <c r="P2300" i="7"/>
  <c r="P2301" i="7"/>
  <c r="P2302" i="7"/>
  <c r="P2303" i="7"/>
  <c r="P2304" i="7"/>
  <c r="P2305" i="7"/>
  <c r="P2306" i="7"/>
  <c r="P2307" i="7"/>
  <c r="P2308" i="7"/>
  <c r="P2309" i="7"/>
  <c r="P2310" i="7"/>
  <c r="P2311" i="7"/>
  <c r="P2312" i="7"/>
  <c r="P2313" i="7"/>
  <c r="P2314" i="7"/>
  <c r="P2315" i="7"/>
  <c r="P2316" i="7"/>
  <c r="P2317" i="7"/>
  <c r="P2318" i="7"/>
  <c r="P2319" i="7"/>
  <c r="P2320" i="7"/>
  <c r="P2321" i="7"/>
  <c r="P2322" i="7"/>
  <c r="P2323" i="7"/>
  <c r="P2324" i="7"/>
  <c r="P2325" i="7"/>
  <c r="P2326" i="7"/>
  <c r="P2327" i="7"/>
  <c r="P2328" i="7"/>
  <c r="P2329" i="7"/>
  <c r="P2330" i="7"/>
  <c r="P2331" i="7"/>
  <c r="P2332" i="7"/>
  <c r="P2333" i="7"/>
  <c r="P2334" i="7"/>
  <c r="P2335" i="7"/>
  <c r="P2336" i="7"/>
  <c r="P2337" i="7"/>
  <c r="P2338" i="7"/>
  <c r="P2339" i="7"/>
  <c r="P2340" i="7"/>
  <c r="P2341" i="7"/>
  <c r="P2342" i="7"/>
  <c r="P2343" i="7"/>
  <c r="P2344" i="7"/>
  <c r="P2345" i="7"/>
  <c r="P2346" i="7"/>
  <c r="P2347" i="7"/>
  <c r="P2348" i="7"/>
  <c r="P2349" i="7"/>
  <c r="P2350" i="7"/>
  <c r="P2351" i="7"/>
  <c r="P2352" i="7"/>
  <c r="P2353" i="7"/>
  <c r="P2354" i="7"/>
  <c r="P2355" i="7"/>
  <c r="P2356" i="7"/>
  <c r="P2357" i="7"/>
  <c r="P2358" i="7"/>
  <c r="P2359" i="7"/>
  <c r="P2360" i="7"/>
  <c r="P2361" i="7"/>
  <c r="P2362" i="7"/>
  <c r="P2363" i="7"/>
  <c r="P2364" i="7"/>
  <c r="P2365" i="7"/>
  <c r="P2366" i="7"/>
  <c r="P2367" i="7"/>
  <c r="P2368" i="7"/>
  <c r="P2369" i="7"/>
  <c r="P2370" i="7"/>
  <c r="P2371" i="7"/>
  <c r="P2372" i="7"/>
  <c r="P2373" i="7"/>
  <c r="P2374" i="7"/>
  <c r="P2375" i="7"/>
  <c r="P2376" i="7"/>
  <c r="P2377" i="7"/>
  <c r="P2378" i="7"/>
  <c r="P2379" i="7"/>
  <c r="P2380" i="7"/>
  <c r="P2381" i="7"/>
  <c r="P2382" i="7"/>
  <c r="P2383" i="7"/>
  <c r="P2384" i="7"/>
  <c r="P2385" i="7"/>
  <c r="P2386" i="7"/>
  <c r="P2387" i="7"/>
  <c r="P2388" i="7"/>
  <c r="P2389" i="7"/>
  <c r="P2390" i="7"/>
  <c r="P2391" i="7"/>
  <c r="P2392" i="7"/>
  <c r="P2393" i="7"/>
  <c r="P2394" i="7"/>
  <c r="P2395" i="7"/>
  <c r="P2396" i="7"/>
  <c r="P2397" i="7"/>
  <c r="P2398" i="7"/>
  <c r="P2399" i="7"/>
  <c r="P2400" i="7"/>
  <c r="P2401" i="7"/>
  <c r="P2402" i="7"/>
  <c r="P2403" i="7"/>
  <c r="P4" i="7"/>
  <c r="AF4" i="7" l="1"/>
  <c r="AG4" i="7" s="1"/>
  <c r="AH4" i="7" s="1"/>
  <c r="AU7" i="1"/>
  <c r="AV7" i="1"/>
  <c r="AW7" i="1"/>
  <c r="AX7" i="1"/>
  <c r="AY7" i="1"/>
  <c r="AZ7" i="1"/>
  <c r="AU8" i="1"/>
  <c r="AV8" i="1"/>
  <c r="AW8" i="1"/>
  <c r="AX8" i="1"/>
  <c r="AY8" i="1"/>
  <c r="AZ8" i="1"/>
  <c r="AU9" i="1"/>
  <c r="AV9" i="1"/>
  <c r="AW9" i="1"/>
  <c r="AX9" i="1"/>
  <c r="AY9" i="1"/>
  <c r="AZ9" i="1"/>
  <c r="AU10" i="1"/>
  <c r="AV10" i="1"/>
  <c r="AW10" i="1"/>
  <c r="AX10" i="1"/>
  <c r="AY10" i="1"/>
  <c r="AZ10" i="1"/>
  <c r="AU11" i="1"/>
  <c r="AV11" i="1"/>
  <c r="AW11" i="1"/>
  <c r="AX11" i="1"/>
  <c r="AY11" i="1"/>
  <c r="AZ11" i="1"/>
  <c r="AU12" i="1"/>
  <c r="AV12" i="1"/>
  <c r="AW12" i="1"/>
  <c r="AX12" i="1"/>
  <c r="AY12" i="1"/>
  <c r="AZ12" i="1"/>
  <c r="AU13" i="1"/>
  <c r="AV13" i="1"/>
  <c r="AW13" i="1"/>
  <c r="AX13" i="1"/>
  <c r="AY13" i="1"/>
  <c r="AZ13" i="1"/>
  <c r="AU14" i="1"/>
  <c r="AV14" i="1"/>
  <c r="AW14" i="1"/>
  <c r="AX14" i="1"/>
  <c r="AY14" i="1"/>
  <c r="AZ14" i="1"/>
  <c r="AU15" i="1"/>
  <c r="AV15" i="1"/>
  <c r="AW15" i="1"/>
  <c r="AX15" i="1"/>
  <c r="AY15" i="1"/>
  <c r="AZ15" i="1"/>
  <c r="AU16" i="1"/>
  <c r="AV16" i="1"/>
  <c r="AW16" i="1"/>
  <c r="AX16" i="1"/>
  <c r="AY16" i="1"/>
  <c r="AZ16" i="1"/>
  <c r="AU17" i="1"/>
  <c r="AV17" i="1"/>
  <c r="AW17" i="1"/>
  <c r="AX17" i="1"/>
  <c r="AY17" i="1"/>
  <c r="AZ17" i="1"/>
  <c r="AU18" i="1"/>
  <c r="AV18" i="1"/>
  <c r="AW18" i="1"/>
  <c r="AX18" i="1"/>
  <c r="AY18" i="1"/>
  <c r="AZ18" i="1"/>
  <c r="AU19" i="1"/>
  <c r="AV19" i="1"/>
  <c r="AW19" i="1"/>
  <c r="AX19" i="1"/>
  <c r="AY19" i="1"/>
  <c r="AZ19" i="1"/>
  <c r="AU20" i="1"/>
  <c r="AV20" i="1"/>
  <c r="AW20" i="1"/>
  <c r="AX20" i="1"/>
  <c r="AY20" i="1"/>
  <c r="AZ20" i="1"/>
  <c r="AU21" i="1"/>
  <c r="AV21" i="1"/>
  <c r="AW21" i="1"/>
  <c r="AX21" i="1"/>
  <c r="AY21" i="1"/>
  <c r="AZ21" i="1"/>
  <c r="AU22" i="1"/>
  <c r="AV22" i="1"/>
  <c r="AW22" i="1"/>
  <c r="AX22" i="1"/>
  <c r="AY22" i="1"/>
  <c r="AZ22" i="1"/>
  <c r="AU23" i="1"/>
  <c r="AV23" i="1"/>
  <c r="AW23" i="1"/>
  <c r="AX23" i="1"/>
  <c r="AY23" i="1"/>
  <c r="AZ23" i="1"/>
  <c r="AU24" i="1"/>
  <c r="AV24" i="1"/>
  <c r="AW24" i="1"/>
  <c r="AX24" i="1"/>
  <c r="AY24" i="1"/>
  <c r="AZ24" i="1"/>
  <c r="AU25" i="1"/>
  <c r="AV25" i="1"/>
  <c r="AW25" i="1"/>
  <c r="AX25" i="1"/>
  <c r="AY25" i="1"/>
  <c r="AZ25" i="1"/>
  <c r="AU26" i="1"/>
  <c r="AV26" i="1"/>
  <c r="AW26" i="1"/>
  <c r="AX26" i="1"/>
  <c r="AY26" i="1"/>
  <c r="AZ26" i="1"/>
  <c r="AU27" i="1"/>
  <c r="AV27" i="1"/>
  <c r="AW27" i="1"/>
  <c r="AX27" i="1"/>
  <c r="AY27" i="1"/>
  <c r="AZ27" i="1"/>
  <c r="AU28" i="1"/>
  <c r="AV28" i="1"/>
  <c r="AW28" i="1"/>
  <c r="AX28" i="1"/>
  <c r="AY28" i="1"/>
  <c r="AZ28" i="1"/>
  <c r="AU29" i="1"/>
  <c r="AV29" i="1"/>
  <c r="AW29" i="1"/>
  <c r="AX29" i="1"/>
  <c r="AY29" i="1"/>
  <c r="AZ29" i="1"/>
  <c r="AU30" i="1"/>
  <c r="AV30" i="1"/>
  <c r="AW30" i="1"/>
  <c r="AX30" i="1"/>
  <c r="AY30" i="1"/>
  <c r="AZ30" i="1"/>
  <c r="AU31" i="1"/>
  <c r="AV31" i="1"/>
  <c r="AW31" i="1"/>
  <c r="AX31" i="1"/>
  <c r="AY31" i="1"/>
  <c r="AZ31" i="1"/>
  <c r="AU32" i="1"/>
  <c r="AV32" i="1"/>
  <c r="AW32" i="1"/>
  <c r="AX32" i="1"/>
  <c r="AY32" i="1"/>
  <c r="AZ32" i="1"/>
  <c r="AU33" i="1"/>
  <c r="AV33" i="1"/>
  <c r="AW33" i="1"/>
  <c r="AX33" i="1"/>
  <c r="AY33" i="1"/>
  <c r="AZ33" i="1"/>
  <c r="AU34" i="1"/>
  <c r="AV34" i="1"/>
  <c r="AW34" i="1"/>
  <c r="AX34" i="1"/>
  <c r="AY34" i="1"/>
  <c r="AZ34" i="1"/>
  <c r="AU35" i="1"/>
  <c r="AV35" i="1"/>
  <c r="AW35" i="1"/>
  <c r="AX35" i="1"/>
  <c r="AY35" i="1"/>
  <c r="AZ35" i="1"/>
  <c r="AU36" i="1"/>
  <c r="AV36" i="1"/>
  <c r="AW36" i="1"/>
  <c r="AX36" i="1"/>
  <c r="AY36" i="1"/>
  <c r="AZ36" i="1"/>
  <c r="AU37" i="1"/>
  <c r="AV37" i="1"/>
  <c r="AW37" i="1"/>
  <c r="AX37" i="1"/>
  <c r="AY37" i="1"/>
  <c r="AZ37" i="1"/>
  <c r="AU38" i="1"/>
  <c r="AV38" i="1"/>
  <c r="AW38" i="1"/>
  <c r="AX38" i="1"/>
  <c r="AY38" i="1"/>
  <c r="AZ38" i="1"/>
  <c r="AU39" i="1"/>
  <c r="AV39" i="1"/>
  <c r="AW39" i="1"/>
  <c r="AX39" i="1"/>
  <c r="AY39" i="1"/>
  <c r="AZ39" i="1"/>
  <c r="AU40" i="1"/>
  <c r="AV40" i="1"/>
  <c r="AW40" i="1"/>
  <c r="AX40" i="1"/>
  <c r="AY40" i="1"/>
  <c r="AZ40" i="1"/>
  <c r="AU41" i="1"/>
  <c r="AV41" i="1"/>
  <c r="AW41" i="1"/>
  <c r="AX41" i="1"/>
  <c r="AY41" i="1"/>
  <c r="AZ41" i="1"/>
  <c r="AU42" i="1"/>
  <c r="AV42" i="1"/>
  <c r="AW42" i="1"/>
  <c r="AX42" i="1"/>
  <c r="AY42" i="1"/>
  <c r="AZ42" i="1"/>
  <c r="AU43" i="1"/>
  <c r="AV43" i="1"/>
  <c r="AW43" i="1"/>
  <c r="AX43" i="1"/>
  <c r="AY43" i="1"/>
  <c r="AZ43" i="1"/>
  <c r="AU44" i="1"/>
  <c r="AV44" i="1"/>
  <c r="AW44" i="1"/>
  <c r="AX44" i="1"/>
  <c r="AY44" i="1"/>
  <c r="AZ44" i="1"/>
  <c r="AU45" i="1"/>
  <c r="AV45" i="1"/>
  <c r="AW45" i="1"/>
  <c r="AX45" i="1"/>
  <c r="AY45" i="1"/>
  <c r="AZ45" i="1"/>
  <c r="AU46" i="1"/>
  <c r="AV46" i="1"/>
  <c r="AW46" i="1"/>
  <c r="AX46" i="1"/>
  <c r="AY46" i="1"/>
  <c r="AZ46" i="1"/>
  <c r="AU47" i="1"/>
  <c r="AV47" i="1"/>
  <c r="AW47" i="1"/>
  <c r="AX47" i="1"/>
  <c r="AY47" i="1"/>
  <c r="AZ47" i="1"/>
  <c r="AU48" i="1"/>
  <c r="AV48" i="1"/>
  <c r="AW48" i="1"/>
  <c r="AX48" i="1"/>
  <c r="AY48" i="1"/>
  <c r="AZ48" i="1"/>
  <c r="AU49" i="1"/>
  <c r="AV49" i="1"/>
  <c r="AW49" i="1"/>
  <c r="AX49" i="1"/>
  <c r="AY49" i="1"/>
  <c r="AZ49" i="1"/>
  <c r="AU50" i="1"/>
  <c r="AV50" i="1"/>
  <c r="AW50" i="1"/>
  <c r="AX50" i="1"/>
  <c r="AY50" i="1"/>
  <c r="AZ50" i="1"/>
  <c r="AU51" i="1"/>
  <c r="AV51" i="1"/>
  <c r="AW51" i="1"/>
  <c r="AX51" i="1"/>
  <c r="AY51" i="1"/>
  <c r="AZ51" i="1"/>
  <c r="AU52" i="1"/>
  <c r="AV52" i="1"/>
  <c r="AW52" i="1"/>
  <c r="AX52" i="1"/>
  <c r="AY52" i="1"/>
  <c r="AZ52" i="1"/>
  <c r="AU53" i="1"/>
  <c r="AV53" i="1"/>
  <c r="AW53" i="1"/>
  <c r="AX53" i="1"/>
  <c r="AY53" i="1"/>
  <c r="AZ53" i="1"/>
  <c r="AU54" i="1"/>
  <c r="AV54" i="1"/>
  <c r="AW54" i="1"/>
  <c r="AX54" i="1"/>
  <c r="AY54" i="1"/>
  <c r="AZ54" i="1"/>
  <c r="AU55" i="1"/>
  <c r="AV55" i="1"/>
  <c r="AW55" i="1"/>
  <c r="AX55" i="1"/>
  <c r="AY55" i="1"/>
  <c r="AZ55" i="1"/>
  <c r="AU56" i="1"/>
  <c r="AV56" i="1"/>
  <c r="AW56" i="1"/>
  <c r="AX56" i="1"/>
  <c r="AY56" i="1"/>
  <c r="AZ56" i="1"/>
  <c r="AU57" i="1"/>
  <c r="AV57" i="1"/>
  <c r="AW57" i="1"/>
  <c r="AX57" i="1"/>
  <c r="AY57" i="1"/>
  <c r="AZ57" i="1"/>
  <c r="AU58" i="1"/>
  <c r="AV58" i="1"/>
  <c r="AW58" i="1"/>
  <c r="AX58" i="1"/>
  <c r="AY58" i="1"/>
  <c r="AZ58" i="1"/>
  <c r="AU59" i="1"/>
  <c r="AV59" i="1"/>
  <c r="AW59" i="1"/>
  <c r="AX59" i="1"/>
  <c r="AY59" i="1"/>
  <c r="AZ59" i="1"/>
  <c r="AU60" i="1"/>
  <c r="AV60" i="1"/>
  <c r="AW60" i="1"/>
  <c r="AX60" i="1"/>
  <c r="AY60" i="1"/>
  <c r="AZ60" i="1"/>
  <c r="AU61" i="1"/>
  <c r="AV61" i="1"/>
  <c r="AW61" i="1"/>
  <c r="AX61" i="1"/>
  <c r="AY61" i="1"/>
  <c r="AZ61" i="1"/>
  <c r="AU62" i="1"/>
  <c r="AV62" i="1"/>
  <c r="AW62" i="1"/>
  <c r="AX62" i="1"/>
  <c r="AY62" i="1"/>
  <c r="AZ62" i="1"/>
  <c r="AU63" i="1"/>
  <c r="AV63" i="1"/>
  <c r="AW63" i="1"/>
  <c r="AX63" i="1"/>
  <c r="AY63" i="1"/>
  <c r="AZ63" i="1"/>
  <c r="AU64" i="1"/>
  <c r="AV64" i="1"/>
  <c r="AW64" i="1"/>
  <c r="AX64" i="1"/>
  <c r="AY64" i="1"/>
  <c r="AZ64" i="1"/>
  <c r="AU65" i="1"/>
  <c r="AV65" i="1"/>
  <c r="AW65" i="1"/>
  <c r="AX65" i="1"/>
  <c r="AY65" i="1"/>
  <c r="AZ65" i="1"/>
  <c r="AU66" i="1"/>
  <c r="AV66" i="1"/>
  <c r="AW66" i="1"/>
  <c r="AX66" i="1"/>
  <c r="AY66" i="1"/>
  <c r="AZ66" i="1"/>
  <c r="AU67" i="1"/>
  <c r="AV67" i="1"/>
  <c r="AW67" i="1"/>
  <c r="AX67" i="1"/>
  <c r="AY67" i="1"/>
  <c r="AZ67" i="1"/>
  <c r="AU68" i="1"/>
  <c r="AV68" i="1"/>
  <c r="AW68" i="1"/>
  <c r="AX68" i="1"/>
  <c r="AY68" i="1"/>
  <c r="AZ68" i="1"/>
  <c r="AU69" i="1"/>
  <c r="AV69" i="1"/>
  <c r="AW69" i="1"/>
  <c r="AX69" i="1"/>
  <c r="AY69" i="1"/>
  <c r="AZ69" i="1"/>
  <c r="AU70" i="1"/>
  <c r="AV70" i="1"/>
  <c r="AW70" i="1"/>
  <c r="AX70" i="1"/>
  <c r="AY70" i="1"/>
  <c r="AZ70" i="1"/>
  <c r="AU71" i="1"/>
  <c r="AV71" i="1"/>
  <c r="AW71" i="1"/>
  <c r="AX71" i="1"/>
  <c r="AY71" i="1"/>
  <c r="AZ71" i="1"/>
  <c r="AU72" i="1"/>
  <c r="AV72" i="1"/>
  <c r="AW72" i="1"/>
  <c r="AX72" i="1"/>
  <c r="AY72" i="1"/>
  <c r="AZ72" i="1"/>
  <c r="AU73" i="1"/>
  <c r="AV73" i="1"/>
  <c r="AW73" i="1"/>
  <c r="AX73" i="1"/>
  <c r="AY73" i="1"/>
  <c r="AZ73" i="1"/>
  <c r="AU74" i="1"/>
  <c r="AV74" i="1"/>
  <c r="AW74" i="1"/>
  <c r="AX74" i="1"/>
  <c r="AY74" i="1"/>
  <c r="AZ74" i="1"/>
  <c r="AU75" i="1"/>
  <c r="AV75" i="1"/>
  <c r="AW75" i="1"/>
  <c r="AX75" i="1"/>
  <c r="AY75" i="1"/>
  <c r="AZ75" i="1"/>
  <c r="AU76" i="1"/>
  <c r="AV76" i="1"/>
  <c r="AW76" i="1"/>
  <c r="AX76" i="1"/>
  <c r="AY76" i="1"/>
  <c r="AZ76" i="1"/>
  <c r="AU77" i="1"/>
  <c r="AV77" i="1"/>
  <c r="AW77" i="1"/>
  <c r="AX77" i="1"/>
  <c r="AY77" i="1"/>
  <c r="AZ77" i="1"/>
  <c r="AU78" i="1"/>
  <c r="AV78" i="1"/>
  <c r="AW78" i="1"/>
  <c r="AX78" i="1"/>
  <c r="AY78" i="1"/>
  <c r="AZ78" i="1"/>
  <c r="AU79" i="1"/>
  <c r="AV79" i="1"/>
  <c r="AW79" i="1"/>
  <c r="AX79" i="1"/>
  <c r="AY79" i="1"/>
  <c r="AZ79" i="1"/>
  <c r="AU80" i="1"/>
  <c r="AV80" i="1"/>
  <c r="AW80" i="1"/>
  <c r="AX80" i="1"/>
  <c r="AY80" i="1"/>
  <c r="AZ80" i="1"/>
  <c r="AU81" i="1"/>
  <c r="AV81" i="1"/>
  <c r="AW81" i="1"/>
  <c r="AX81" i="1"/>
  <c r="AY81" i="1"/>
  <c r="AZ81" i="1"/>
  <c r="AU82" i="1"/>
  <c r="AV82" i="1"/>
  <c r="AW82" i="1"/>
  <c r="AX82" i="1"/>
  <c r="AY82" i="1"/>
  <c r="AZ82" i="1"/>
  <c r="AU83" i="1"/>
  <c r="AV83" i="1"/>
  <c r="AW83" i="1"/>
  <c r="AX83" i="1"/>
  <c r="AY83" i="1"/>
  <c r="AZ83" i="1"/>
  <c r="AU84" i="1"/>
  <c r="AV84" i="1"/>
  <c r="AW84" i="1"/>
  <c r="AX84" i="1"/>
  <c r="AY84" i="1"/>
  <c r="AZ84" i="1"/>
  <c r="AU85" i="1"/>
  <c r="AV85" i="1"/>
  <c r="AW85" i="1"/>
  <c r="AX85" i="1"/>
  <c r="AY85" i="1"/>
  <c r="AZ85" i="1"/>
  <c r="AU86" i="1"/>
  <c r="AV86" i="1"/>
  <c r="AW86" i="1"/>
  <c r="AX86" i="1"/>
  <c r="AY86" i="1"/>
  <c r="AZ86" i="1"/>
  <c r="AU87" i="1"/>
  <c r="AV87" i="1"/>
  <c r="AW87" i="1"/>
  <c r="AX87" i="1"/>
  <c r="AY87" i="1"/>
  <c r="AZ87" i="1"/>
  <c r="AU88" i="1"/>
  <c r="AV88" i="1"/>
  <c r="AW88" i="1"/>
  <c r="AX88" i="1"/>
  <c r="AY88" i="1"/>
  <c r="AZ88" i="1"/>
  <c r="AU89" i="1"/>
  <c r="AV89" i="1"/>
  <c r="AW89" i="1"/>
  <c r="AX89" i="1"/>
  <c r="AY89" i="1"/>
  <c r="AZ89" i="1"/>
  <c r="AU90" i="1"/>
  <c r="AV90" i="1"/>
  <c r="AW90" i="1"/>
  <c r="AX90" i="1"/>
  <c r="AY90" i="1"/>
  <c r="AZ90" i="1"/>
  <c r="AU91" i="1"/>
  <c r="AV91" i="1"/>
  <c r="AW91" i="1"/>
  <c r="AX91" i="1"/>
  <c r="AY91" i="1"/>
  <c r="AZ91" i="1"/>
  <c r="AU92" i="1"/>
  <c r="AV92" i="1"/>
  <c r="AW92" i="1"/>
  <c r="AX92" i="1"/>
  <c r="AY92" i="1"/>
  <c r="AZ92" i="1"/>
  <c r="AU93" i="1"/>
  <c r="AV93" i="1"/>
  <c r="AW93" i="1"/>
  <c r="AX93" i="1"/>
  <c r="AY93" i="1"/>
  <c r="AZ93" i="1"/>
  <c r="AU94" i="1"/>
  <c r="AV94" i="1"/>
  <c r="AW94" i="1"/>
  <c r="AX94" i="1"/>
  <c r="AY94" i="1"/>
  <c r="AZ94" i="1"/>
  <c r="AU95" i="1"/>
  <c r="AV95" i="1"/>
  <c r="AW95" i="1"/>
  <c r="AX95" i="1"/>
  <c r="AY95" i="1"/>
  <c r="AZ95" i="1"/>
  <c r="AU96" i="1"/>
  <c r="AV96" i="1"/>
  <c r="AW96" i="1"/>
  <c r="AX96" i="1"/>
  <c r="AY96" i="1"/>
  <c r="AZ96" i="1"/>
  <c r="AU97" i="1"/>
  <c r="AV97" i="1"/>
  <c r="AW97" i="1"/>
  <c r="AX97" i="1"/>
  <c r="AY97" i="1"/>
  <c r="AZ97" i="1"/>
  <c r="AU98" i="1"/>
  <c r="AV98" i="1"/>
  <c r="AW98" i="1"/>
  <c r="AX98" i="1"/>
  <c r="AY98" i="1"/>
  <c r="AZ98" i="1"/>
  <c r="AU99" i="1"/>
  <c r="AV99" i="1"/>
  <c r="AW99" i="1"/>
  <c r="AX99" i="1"/>
  <c r="AY99" i="1"/>
  <c r="AZ99" i="1"/>
  <c r="AU100" i="1"/>
  <c r="AV100" i="1"/>
  <c r="AW100" i="1"/>
  <c r="AX100" i="1"/>
  <c r="AY100" i="1"/>
  <c r="AZ100" i="1"/>
  <c r="AU101" i="1"/>
  <c r="AV101" i="1"/>
  <c r="AW101" i="1"/>
  <c r="AX101" i="1"/>
  <c r="AY101" i="1"/>
  <c r="AZ101" i="1"/>
  <c r="AU102" i="1"/>
  <c r="AV102" i="1"/>
  <c r="AW102" i="1"/>
  <c r="AX102" i="1"/>
  <c r="AY102" i="1"/>
  <c r="AZ102" i="1"/>
  <c r="AU103" i="1"/>
  <c r="AV103" i="1"/>
  <c r="AW103" i="1"/>
  <c r="AX103" i="1"/>
  <c r="AY103" i="1"/>
  <c r="AZ103" i="1"/>
  <c r="AU104" i="1"/>
  <c r="AV104" i="1"/>
  <c r="AW104" i="1"/>
  <c r="AX104" i="1"/>
  <c r="AY104" i="1"/>
  <c r="AZ104" i="1"/>
  <c r="AU105" i="1"/>
  <c r="AV105" i="1"/>
  <c r="AW105" i="1"/>
  <c r="AX105" i="1"/>
  <c r="AY105" i="1"/>
  <c r="AZ105" i="1"/>
  <c r="AU106" i="1"/>
  <c r="AV106" i="1"/>
  <c r="AW106" i="1"/>
  <c r="AX106" i="1"/>
  <c r="AY106" i="1"/>
  <c r="AZ106" i="1"/>
  <c r="AU107" i="1"/>
  <c r="AV107" i="1"/>
  <c r="AW107" i="1"/>
  <c r="AX107" i="1"/>
  <c r="AY107" i="1"/>
  <c r="AZ107" i="1"/>
  <c r="AU108" i="1"/>
  <c r="AV108" i="1"/>
  <c r="AW108" i="1"/>
  <c r="AX108" i="1"/>
  <c r="AY108" i="1"/>
  <c r="AZ108" i="1"/>
  <c r="AU109" i="1"/>
  <c r="AV109" i="1"/>
  <c r="AW109" i="1"/>
  <c r="AX109" i="1"/>
  <c r="AY109" i="1"/>
  <c r="AZ109" i="1"/>
  <c r="AU110" i="1"/>
  <c r="AV110" i="1"/>
  <c r="AW110" i="1"/>
  <c r="AX110" i="1"/>
  <c r="AY110" i="1"/>
  <c r="AZ110" i="1"/>
  <c r="AU111" i="1"/>
  <c r="AV111" i="1"/>
  <c r="AW111" i="1"/>
  <c r="AX111" i="1"/>
  <c r="AY111" i="1"/>
  <c r="AZ111" i="1"/>
  <c r="AU112" i="1"/>
  <c r="AV112" i="1"/>
  <c r="AW112" i="1"/>
  <c r="AX112" i="1"/>
  <c r="AY112" i="1"/>
  <c r="AZ112" i="1"/>
  <c r="AV6" i="1"/>
  <c r="AW6" i="1"/>
  <c r="AX6" i="1"/>
  <c r="AY6" i="1"/>
  <c r="AZ6" i="1"/>
  <c r="AU6" i="1"/>
  <c r="AN7" i="1"/>
  <c r="AO7" i="1"/>
  <c r="AP7" i="1"/>
  <c r="AQ7" i="1"/>
  <c r="AR7" i="1"/>
  <c r="AS7" i="1"/>
  <c r="AN8" i="1"/>
  <c r="AO8" i="1"/>
  <c r="AP8" i="1"/>
  <c r="AQ8" i="1"/>
  <c r="AR8" i="1"/>
  <c r="AS8" i="1"/>
  <c r="AN9" i="1"/>
  <c r="AO9" i="1"/>
  <c r="AP9" i="1"/>
  <c r="AQ9" i="1"/>
  <c r="AR9" i="1"/>
  <c r="AS9" i="1"/>
  <c r="AN10" i="1"/>
  <c r="AO10" i="1"/>
  <c r="AP10" i="1"/>
  <c r="AQ10" i="1"/>
  <c r="AR10" i="1"/>
  <c r="AS10" i="1"/>
  <c r="AN11" i="1"/>
  <c r="AO11" i="1"/>
  <c r="AP11" i="1"/>
  <c r="AQ11" i="1"/>
  <c r="AR11" i="1"/>
  <c r="AS11" i="1"/>
  <c r="AN12" i="1"/>
  <c r="AO12" i="1"/>
  <c r="AP12" i="1"/>
  <c r="AQ12" i="1"/>
  <c r="AR12" i="1"/>
  <c r="AS12" i="1"/>
  <c r="AN13" i="1"/>
  <c r="AO13" i="1"/>
  <c r="AP13" i="1"/>
  <c r="AQ13" i="1"/>
  <c r="AR13" i="1"/>
  <c r="AS13" i="1"/>
  <c r="AN14" i="1"/>
  <c r="AO14" i="1"/>
  <c r="AP14" i="1"/>
  <c r="AQ14" i="1"/>
  <c r="AR14" i="1"/>
  <c r="AS14" i="1"/>
  <c r="AN15" i="1"/>
  <c r="AO15" i="1"/>
  <c r="AP15" i="1"/>
  <c r="AQ15" i="1"/>
  <c r="AR15" i="1"/>
  <c r="AS15" i="1"/>
  <c r="AN16" i="1"/>
  <c r="AO16" i="1"/>
  <c r="AP16" i="1"/>
  <c r="AQ16" i="1"/>
  <c r="AR16" i="1"/>
  <c r="AS16" i="1"/>
  <c r="AN17" i="1"/>
  <c r="AO17" i="1"/>
  <c r="AP17" i="1"/>
  <c r="AQ17" i="1"/>
  <c r="AR17" i="1"/>
  <c r="AS17" i="1"/>
  <c r="AN18" i="1"/>
  <c r="AO18" i="1"/>
  <c r="AP18" i="1"/>
  <c r="AQ18" i="1"/>
  <c r="AR18" i="1"/>
  <c r="AS18" i="1"/>
  <c r="AN19" i="1"/>
  <c r="AO19" i="1"/>
  <c r="AP19" i="1"/>
  <c r="AQ19" i="1"/>
  <c r="AR19" i="1"/>
  <c r="AS19" i="1"/>
  <c r="AN20" i="1"/>
  <c r="AO20" i="1"/>
  <c r="AP20" i="1"/>
  <c r="AQ20" i="1"/>
  <c r="AR20" i="1"/>
  <c r="AS20" i="1"/>
  <c r="AN21" i="1"/>
  <c r="AO21" i="1"/>
  <c r="AP21" i="1"/>
  <c r="AQ21" i="1"/>
  <c r="AR21" i="1"/>
  <c r="AS21" i="1"/>
  <c r="AN22" i="1"/>
  <c r="AO22" i="1"/>
  <c r="AP22" i="1"/>
  <c r="AQ22" i="1"/>
  <c r="AR22" i="1"/>
  <c r="AS22" i="1"/>
  <c r="AN23" i="1"/>
  <c r="AO23" i="1"/>
  <c r="AP23" i="1"/>
  <c r="AQ23" i="1"/>
  <c r="AR23" i="1"/>
  <c r="AS23" i="1"/>
  <c r="AN24" i="1"/>
  <c r="AO24" i="1"/>
  <c r="AP24" i="1"/>
  <c r="AQ24" i="1"/>
  <c r="AR24" i="1"/>
  <c r="AS24" i="1"/>
  <c r="AN25" i="1"/>
  <c r="AO25" i="1"/>
  <c r="AP25" i="1"/>
  <c r="AQ25" i="1"/>
  <c r="AR25" i="1"/>
  <c r="AS25" i="1"/>
  <c r="AN26" i="1"/>
  <c r="AO26" i="1"/>
  <c r="AP26" i="1"/>
  <c r="AQ26" i="1"/>
  <c r="AR26" i="1"/>
  <c r="AS26" i="1"/>
  <c r="AN27" i="1"/>
  <c r="AO27" i="1"/>
  <c r="AP27" i="1"/>
  <c r="AQ27" i="1"/>
  <c r="AR27" i="1"/>
  <c r="AS27" i="1"/>
  <c r="AN28" i="1"/>
  <c r="AO28" i="1"/>
  <c r="AP28" i="1"/>
  <c r="AQ28" i="1"/>
  <c r="AR28" i="1"/>
  <c r="AS28" i="1"/>
  <c r="AN29" i="1"/>
  <c r="AO29" i="1"/>
  <c r="AP29" i="1"/>
  <c r="AQ29" i="1"/>
  <c r="AR29" i="1"/>
  <c r="AS29" i="1"/>
  <c r="AN30" i="1"/>
  <c r="AO30" i="1"/>
  <c r="AP30" i="1"/>
  <c r="AQ30" i="1"/>
  <c r="AR30" i="1"/>
  <c r="AS30" i="1"/>
  <c r="AN31" i="1"/>
  <c r="AO31" i="1"/>
  <c r="AP31" i="1"/>
  <c r="AQ31" i="1"/>
  <c r="AR31" i="1"/>
  <c r="AS31" i="1"/>
  <c r="AN32" i="1"/>
  <c r="AO32" i="1"/>
  <c r="AP32" i="1"/>
  <c r="AQ32" i="1"/>
  <c r="AR32" i="1"/>
  <c r="AS32" i="1"/>
  <c r="AN33" i="1"/>
  <c r="AO33" i="1"/>
  <c r="AP33" i="1"/>
  <c r="AQ33" i="1"/>
  <c r="AR33" i="1"/>
  <c r="AS33" i="1"/>
  <c r="AN34" i="1"/>
  <c r="AO34" i="1"/>
  <c r="AP34" i="1"/>
  <c r="AQ34" i="1"/>
  <c r="AR34" i="1"/>
  <c r="AS34" i="1"/>
  <c r="AN35" i="1"/>
  <c r="AO35" i="1"/>
  <c r="AP35" i="1"/>
  <c r="AQ35" i="1"/>
  <c r="AR35" i="1"/>
  <c r="AS35" i="1"/>
  <c r="AN36" i="1"/>
  <c r="AO36" i="1"/>
  <c r="AP36" i="1"/>
  <c r="AQ36" i="1"/>
  <c r="AR36" i="1"/>
  <c r="AS36" i="1"/>
  <c r="AN37" i="1"/>
  <c r="AO37" i="1"/>
  <c r="AP37" i="1"/>
  <c r="AQ37" i="1"/>
  <c r="AR37" i="1"/>
  <c r="AS37" i="1"/>
  <c r="AN38" i="1"/>
  <c r="AO38" i="1"/>
  <c r="AP38" i="1"/>
  <c r="AQ38" i="1"/>
  <c r="AR38" i="1"/>
  <c r="AS38" i="1"/>
  <c r="AN39" i="1"/>
  <c r="AO39" i="1"/>
  <c r="AP39" i="1"/>
  <c r="AQ39" i="1"/>
  <c r="AR39" i="1"/>
  <c r="AS39" i="1"/>
  <c r="AN40" i="1"/>
  <c r="AO40" i="1"/>
  <c r="AP40" i="1"/>
  <c r="AQ40" i="1"/>
  <c r="AR40" i="1"/>
  <c r="AS40" i="1"/>
  <c r="AN41" i="1"/>
  <c r="AO41" i="1"/>
  <c r="AP41" i="1"/>
  <c r="AQ41" i="1"/>
  <c r="AR41" i="1"/>
  <c r="AS41" i="1"/>
  <c r="AN42" i="1"/>
  <c r="AO42" i="1"/>
  <c r="AP42" i="1"/>
  <c r="AQ42" i="1"/>
  <c r="AR42" i="1"/>
  <c r="AS42" i="1"/>
  <c r="AN43" i="1"/>
  <c r="AO43" i="1"/>
  <c r="AP43" i="1"/>
  <c r="AQ43" i="1"/>
  <c r="AR43" i="1"/>
  <c r="AS43" i="1"/>
  <c r="AN44" i="1"/>
  <c r="AO44" i="1"/>
  <c r="AP44" i="1"/>
  <c r="AQ44" i="1"/>
  <c r="AR44" i="1"/>
  <c r="AS44" i="1"/>
  <c r="AN45" i="1"/>
  <c r="AO45" i="1"/>
  <c r="AP45" i="1"/>
  <c r="AQ45" i="1"/>
  <c r="AR45" i="1"/>
  <c r="AS45" i="1"/>
  <c r="AN46" i="1"/>
  <c r="AO46" i="1"/>
  <c r="AP46" i="1"/>
  <c r="AQ46" i="1"/>
  <c r="AR46" i="1"/>
  <c r="AS46" i="1"/>
  <c r="AN47" i="1"/>
  <c r="AO47" i="1"/>
  <c r="AP47" i="1"/>
  <c r="AQ47" i="1"/>
  <c r="AR47" i="1"/>
  <c r="AS47" i="1"/>
  <c r="AN48" i="1"/>
  <c r="AO48" i="1"/>
  <c r="AP48" i="1"/>
  <c r="AQ48" i="1"/>
  <c r="AR48" i="1"/>
  <c r="AS48" i="1"/>
  <c r="AN49" i="1"/>
  <c r="AO49" i="1"/>
  <c r="AP49" i="1"/>
  <c r="AQ49" i="1"/>
  <c r="AR49" i="1"/>
  <c r="AS49" i="1"/>
  <c r="AN50" i="1"/>
  <c r="AO50" i="1"/>
  <c r="AP50" i="1"/>
  <c r="AQ50" i="1"/>
  <c r="AR50" i="1"/>
  <c r="AS50" i="1"/>
  <c r="AN51" i="1"/>
  <c r="AO51" i="1"/>
  <c r="AP51" i="1"/>
  <c r="AQ51" i="1"/>
  <c r="AR51" i="1"/>
  <c r="AS51" i="1"/>
  <c r="AN52" i="1"/>
  <c r="AO52" i="1"/>
  <c r="AP52" i="1"/>
  <c r="AQ52" i="1"/>
  <c r="AR52" i="1"/>
  <c r="AS52" i="1"/>
  <c r="AN53" i="1"/>
  <c r="AO53" i="1"/>
  <c r="AP53" i="1"/>
  <c r="AQ53" i="1"/>
  <c r="AR53" i="1"/>
  <c r="AS53" i="1"/>
  <c r="AN54" i="1"/>
  <c r="AO54" i="1"/>
  <c r="AP54" i="1"/>
  <c r="AQ54" i="1"/>
  <c r="AR54" i="1"/>
  <c r="AS54" i="1"/>
  <c r="AN55" i="1"/>
  <c r="AO55" i="1"/>
  <c r="AP55" i="1"/>
  <c r="AQ55" i="1"/>
  <c r="AR55" i="1"/>
  <c r="AS55" i="1"/>
  <c r="AN56" i="1"/>
  <c r="AO56" i="1"/>
  <c r="AP56" i="1"/>
  <c r="AQ56" i="1"/>
  <c r="AR56" i="1"/>
  <c r="AS56" i="1"/>
  <c r="AN57" i="1"/>
  <c r="AO57" i="1"/>
  <c r="AP57" i="1"/>
  <c r="AQ57" i="1"/>
  <c r="AR57" i="1"/>
  <c r="AS57" i="1"/>
  <c r="AN58" i="1"/>
  <c r="AO58" i="1"/>
  <c r="AP58" i="1"/>
  <c r="AQ58" i="1"/>
  <c r="AR58" i="1"/>
  <c r="AS58" i="1"/>
  <c r="AN59" i="1"/>
  <c r="AO59" i="1"/>
  <c r="AP59" i="1"/>
  <c r="AQ59" i="1"/>
  <c r="AR59" i="1"/>
  <c r="AS59" i="1"/>
  <c r="AN60" i="1"/>
  <c r="AO60" i="1"/>
  <c r="AP60" i="1"/>
  <c r="AQ60" i="1"/>
  <c r="AR60" i="1"/>
  <c r="AS60" i="1"/>
  <c r="AN61" i="1"/>
  <c r="AO61" i="1"/>
  <c r="AP61" i="1"/>
  <c r="AQ61" i="1"/>
  <c r="AR61" i="1"/>
  <c r="AS61" i="1"/>
  <c r="AN62" i="1"/>
  <c r="AO62" i="1"/>
  <c r="AP62" i="1"/>
  <c r="AQ62" i="1"/>
  <c r="AR62" i="1"/>
  <c r="AS62" i="1"/>
  <c r="AN63" i="1"/>
  <c r="AO63" i="1"/>
  <c r="AP63" i="1"/>
  <c r="AQ63" i="1"/>
  <c r="AR63" i="1"/>
  <c r="AS63" i="1"/>
  <c r="AN64" i="1"/>
  <c r="AO64" i="1"/>
  <c r="AP64" i="1"/>
  <c r="AQ64" i="1"/>
  <c r="AR64" i="1"/>
  <c r="AS64" i="1"/>
  <c r="AN65" i="1"/>
  <c r="AO65" i="1"/>
  <c r="AP65" i="1"/>
  <c r="AQ65" i="1"/>
  <c r="AR65" i="1"/>
  <c r="AS65" i="1"/>
  <c r="AN66" i="1"/>
  <c r="AO66" i="1"/>
  <c r="AP66" i="1"/>
  <c r="AQ66" i="1"/>
  <c r="AR66" i="1"/>
  <c r="AS66" i="1"/>
  <c r="AN67" i="1"/>
  <c r="AO67" i="1"/>
  <c r="AP67" i="1"/>
  <c r="AQ67" i="1"/>
  <c r="AR67" i="1"/>
  <c r="AS67" i="1"/>
  <c r="AN68" i="1"/>
  <c r="AO68" i="1"/>
  <c r="AP68" i="1"/>
  <c r="AQ68" i="1"/>
  <c r="AR68" i="1"/>
  <c r="AS68" i="1"/>
  <c r="AN69" i="1"/>
  <c r="AO69" i="1"/>
  <c r="AP69" i="1"/>
  <c r="AQ69" i="1"/>
  <c r="AR69" i="1"/>
  <c r="AS69" i="1"/>
  <c r="AN70" i="1"/>
  <c r="AO70" i="1"/>
  <c r="AP70" i="1"/>
  <c r="AQ70" i="1"/>
  <c r="AR70" i="1"/>
  <c r="AS70" i="1"/>
  <c r="AN71" i="1"/>
  <c r="AO71" i="1"/>
  <c r="AP71" i="1"/>
  <c r="AQ71" i="1"/>
  <c r="AR71" i="1"/>
  <c r="AS71" i="1"/>
  <c r="AN72" i="1"/>
  <c r="AO72" i="1"/>
  <c r="AP72" i="1"/>
  <c r="AQ72" i="1"/>
  <c r="AR72" i="1"/>
  <c r="AS72" i="1"/>
  <c r="AN73" i="1"/>
  <c r="AO73" i="1"/>
  <c r="AP73" i="1"/>
  <c r="AQ73" i="1"/>
  <c r="AR73" i="1"/>
  <c r="AS73" i="1"/>
  <c r="AN74" i="1"/>
  <c r="AO74" i="1"/>
  <c r="AP74" i="1"/>
  <c r="AQ74" i="1"/>
  <c r="AR74" i="1"/>
  <c r="AS74" i="1"/>
  <c r="AN75" i="1"/>
  <c r="AO75" i="1"/>
  <c r="AP75" i="1"/>
  <c r="AQ75" i="1"/>
  <c r="AR75" i="1"/>
  <c r="AS75" i="1"/>
  <c r="AN76" i="1"/>
  <c r="AO76" i="1"/>
  <c r="AP76" i="1"/>
  <c r="AQ76" i="1"/>
  <c r="AR76" i="1"/>
  <c r="AS76" i="1"/>
  <c r="AN77" i="1"/>
  <c r="AO77" i="1"/>
  <c r="AP77" i="1"/>
  <c r="AQ77" i="1"/>
  <c r="AR77" i="1"/>
  <c r="AS77" i="1"/>
  <c r="AN78" i="1"/>
  <c r="AO78" i="1"/>
  <c r="AP78" i="1"/>
  <c r="AQ78" i="1"/>
  <c r="AR78" i="1"/>
  <c r="AS78" i="1"/>
  <c r="AN79" i="1"/>
  <c r="AO79" i="1"/>
  <c r="AP79" i="1"/>
  <c r="AQ79" i="1"/>
  <c r="AR79" i="1"/>
  <c r="AS79" i="1"/>
  <c r="AN80" i="1"/>
  <c r="AO80" i="1"/>
  <c r="AP80" i="1"/>
  <c r="AQ80" i="1"/>
  <c r="AR80" i="1"/>
  <c r="AS80" i="1"/>
  <c r="AN81" i="1"/>
  <c r="AO81" i="1"/>
  <c r="AP81" i="1"/>
  <c r="AQ81" i="1"/>
  <c r="AR81" i="1"/>
  <c r="AS81" i="1"/>
  <c r="AN82" i="1"/>
  <c r="AO82" i="1"/>
  <c r="AP82" i="1"/>
  <c r="AQ82" i="1"/>
  <c r="AR82" i="1"/>
  <c r="AS82" i="1"/>
  <c r="AN83" i="1"/>
  <c r="AO83" i="1"/>
  <c r="AP83" i="1"/>
  <c r="AQ83" i="1"/>
  <c r="AR83" i="1"/>
  <c r="AS83" i="1"/>
  <c r="AN84" i="1"/>
  <c r="AO84" i="1"/>
  <c r="AP84" i="1"/>
  <c r="AQ84" i="1"/>
  <c r="AR84" i="1"/>
  <c r="AS84" i="1"/>
  <c r="AN85" i="1"/>
  <c r="AO85" i="1"/>
  <c r="AP85" i="1"/>
  <c r="AQ85" i="1"/>
  <c r="AR85" i="1"/>
  <c r="AS85" i="1"/>
  <c r="AN86" i="1"/>
  <c r="AO86" i="1"/>
  <c r="AP86" i="1"/>
  <c r="AQ86" i="1"/>
  <c r="AR86" i="1"/>
  <c r="AS86" i="1"/>
  <c r="AN87" i="1"/>
  <c r="AO87" i="1"/>
  <c r="AP87" i="1"/>
  <c r="AQ87" i="1"/>
  <c r="AR87" i="1"/>
  <c r="AS87" i="1"/>
  <c r="AN88" i="1"/>
  <c r="AO88" i="1"/>
  <c r="AP88" i="1"/>
  <c r="AQ88" i="1"/>
  <c r="AR88" i="1"/>
  <c r="AS88" i="1"/>
  <c r="AN89" i="1"/>
  <c r="AO89" i="1"/>
  <c r="AP89" i="1"/>
  <c r="AQ89" i="1"/>
  <c r="AR89" i="1"/>
  <c r="AS89" i="1"/>
  <c r="AN90" i="1"/>
  <c r="AO90" i="1"/>
  <c r="AP90" i="1"/>
  <c r="AQ90" i="1"/>
  <c r="AR90" i="1"/>
  <c r="AS90" i="1"/>
  <c r="AN91" i="1"/>
  <c r="AO91" i="1"/>
  <c r="AP91" i="1"/>
  <c r="AQ91" i="1"/>
  <c r="AR91" i="1"/>
  <c r="AS91" i="1"/>
  <c r="AN92" i="1"/>
  <c r="AO92" i="1"/>
  <c r="AP92" i="1"/>
  <c r="AQ92" i="1"/>
  <c r="AR92" i="1"/>
  <c r="AS92" i="1"/>
  <c r="AN93" i="1"/>
  <c r="AO93" i="1"/>
  <c r="AP93" i="1"/>
  <c r="AQ93" i="1"/>
  <c r="AR93" i="1"/>
  <c r="AS93" i="1"/>
  <c r="AN94" i="1"/>
  <c r="AO94" i="1"/>
  <c r="AP94" i="1"/>
  <c r="AQ94" i="1"/>
  <c r="AR94" i="1"/>
  <c r="AS94" i="1"/>
  <c r="AN95" i="1"/>
  <c r="AO95" i="1"/>
  <c r="AP95" i="1"/>
  <c r="AQ95" i="1"/>
  <c r="AR95" i="1"/>
  <c r="AS95" i="1"/>
  <c r="AN96" i="1"/>
  <c r="AO96" i="1"/>
  <c r="AP96" i="1"/>
  <c r="AQ96" i="1"/>
  <c r="AR96" i="1"/>
  <c r="AS96" i="1"/>
  <c r="AN97" i="1"/>
  <c r="AO97" i="1"/>
  <c r="AP97" i="1"/>
  <c r="AQ97" i="1"/>
  <c r="AR97" i="1"/>
  <c r="AS97" i="1"/>
  <c r="AN98" i="1"/>
  <c r="AO98" i="1"/>
  <c r="AP98" i="1"/>
  <c r="AQ98" i="1"/>
  <c r="AR98" i="1"/>
  <c r="AS98" i="1"/>
  <c r="AN99" i="1"/>
  <c r="AO99" i="1"/>
  <c r="AP99" i="1"/>
  <c r="AQ99" i="1"/>
  <c r="AR99" i="1"/>
  <c r="AS99" i="1"/>
  <c r="AN100" i="1"/>
  <c r="AO100" i="1"/>
  <c r="AP100" i="1"/>
  <c r="AQ100" i="1"/>
  <c r="AR100" i="1"/>
  <c r="AS100" i="1"/>
  <c r="AN101" i="1"/>
  <c r="AO101" i="1"/>
  <c r="AP101" i="1"/>
  <c r="AQ101" i="1"/>
  <c r="AR101" i="1"/>
  <c r="AS101" i="1"/>
  <c r="AN102" i="1"/>
  <c r="AO102" i="1"/>
  <c r="AP102" i="1"/>
  <c r="AQ102" i="1"/>
  <c r="AR102" i="1"/>
  <c r="AS102" i="1"/>
  <c r="AN103" i="1"/>
  <c r="AO103" i="1"/>
  <c r="AP103" i="1"/>
  <c r="AQ103" i="1"/>
  <c r="AR103" i="1"/>
  <c r="AS103" i="1"/>
  <c r="AN104" i="1"/>
  <c r="AO104" i="1"/>
  <c r="AP104" i="1"/>
  <c r="AQ104" i="1"/>
  <c r="AR104" i="1"/>
  <c r="AS104" i="1"/>
  <c r="AN105" i="1"/>
  <c r="AO105" i="1"/>
  <c r="AP105" i="1"/>
  <c r="AQ105" i="1"/>
  <c r="AR105" i="1"/>
  <c r="AS105" i="1"/>
  <c r="AN106" i="1"/>
  <c r="AO106" i="1"/>
  <c r="AP106" i="1"/>
  <c r="AQ106" i="1"/>
  <c r="AR106" i="1"/>
  <c r="AS106" i="1"/>
  <c r="AN107" i="1"/>
  <c r="AO107" i="1"/>
  <c r="AP107" i="1"/>
  <c r="AQ107" i="1"/>
  <c r="AR107" i="1"/>
  <c r="AS107" i="1"/>
  <c r="AN108" i="1"/>
  <c r="AO108" i="1"/>
  <c r="AP108" i="1"/>
  <c r="AQ108" i="1"/>
  <c r="AR108" i="1"/>
  <c r="AS108" i="1"/>
  <c r="AN109" i="1"/>
  <c r="AO109" i="1"/>
  <c r="AP109" i="1"/>
  <c r="AQ109" i="1"/>
  <c r="AR109" i="1"/>
  <c r="AS109" i="1"/>
  <c r="AN110" i="1"/>
  <c r="AO110" i="1"/>
  <c r="AP110" i="1"/>
  <c r="AQ110" i="1"/>
  <c r="AR110" i="1"/>
  <c r="AS110" i="1"/>
  <c r="AN111" i="1"/>
  <c r="AO111" i="1"/>
  <c r="AP111" i="1"/>
  <c r="AQ111" i="1"/>
  <c r="AR111" i="1"/>
  <c r="AS111" i="1"/>
  <c r="AN112" i="1"/>
  <c r="AO112" i="1"/>
  <c r="AP112" i="1"/>
  <c r="AQ112" i="1"/>
  <c r="AR112" i="1"/>
  <c r="AS112" i="1"/>
  <c r="AO6" i="1"/>
  <c r="AP6" i="1"/>
  <c r="AQ6" i="1"/>
  <c r="AR6" i="1"/>
  <c r="AS6" i="1"/>
  <c r="AN6" i="1"/>
  <c r="AQ40" i="7"/>
  <c r="AQ41" i="7"/>
  <c r="AQ42" i="7"/>
  <c r="AQ43" i="7"/>
  <c r="AQ44" i="7"/>
  <c r="AQ45" i="7"/>
  <c r="AQ46" i="7"/>
  <c r="AP40" i="7"/>
  <c r="AP41" i="7"/>
  <c r="AP42" i="7"/>
  <c r="AP43" i="7"/>
  <c r="AP44" i="7"/>
  <c r="AP45" i="7"/>
  <c r="AP46" i="7"/>
  <c r="AP39" i="7"/>
  <c r="C13" i="1"/>
  <c r="AN39" i="7"/>
  <c r="AN40" i="7"/>
  <c r="AL40" i="7"/>
  <c r="AL41" i="7"/>
  <c r="AL42" i="7"/>
  <c r="AL43" i="7"/>
  <c r="AL44" i="7"/>
  <c r="AL45" i="7"/>
  <c r="AL46" i="7"/>
  <c r="AL39" i="7"/>
  <c r="Q5" i="7" l="1"/>
  <c r="W4" i="7"/>
  <c r="AB4" i="7"/>
  <c r="K2406" i="7"/>
  <c r="J2406" i="7"/>
  <c r="I2406" i="7"/>
  <c r="G2406" i="7"/>
  <c r="F2406" i="7"/>
  <c r="E2406" i="7"/>
  <c r="K2405" i="7"/>
  <c r="J2405" i="7"/>
  <c r="I2405" i="7"/>
  <c r="G2405" i="7"/>
  <c r="F2405" i="7"/>
  <c r="E2405" i="7"/>
  <c r="S5" i="7" l="1"/>
  <c r="AF5" i="7" s="1"/>
  <c r="AG5" i="7" s="1"/>
  <c r="AH5" i="7" s="1"/>
  <c r="T5" i="7" s="1"/>
  <c r="N5" i="7"/>
  <c r="V5" i="7"/>
  <c r="B36" i="6"/>
  <c r="F27" i="5"/>
  <c r="AA4" i="7" l="1"/>
  <c r="Q6" i="7"/>
  <c r="V6" i="7" s="1"/>
  <c r="Z4" i="7"/>
  <c r="W5" i="7"/>
  <c r="AB5" i="7"/>
  <c r="V17" i="1"/>
  <c r="W17" i="1"/>
  <c r="C8" i="6"/>
  <c r="S6" i="7" l="1"/>
  <c r="AF6" i="7" s="1"/>
  <c r="AG6" i="7" s="1"/>
  <c r="AH6" i="7" s="1"/>
  <c r="T6" i="7" s="1"/>
  <c r="Q7" i="7" s="1"/>
  <c r="V7" i="7" s="1"/>
  <c r="N6" i="7"/>
  <c r="C3" i="6"/>
  <c r="W6" i="7" l="1"/>
  <c r="AB6" i="7"/>
  <c r="Z6" i="7" s="1"/>
  <c r="Z5" i="7"/>
  <c r="S7" i="7"/>
  <c r="N7" i="7"/>
  <c r="AD12" i="6"/>
  <c r="AF12" i="6" s="1"/>
  <c r="AG12" i="6" s="1"/>
  <c r="AD20" i="6"/>
  <c r="AF20" i="6" s="1"/>
  <c r="AG20" i="6" s="1"/>
  <c r="AD28" i="6"/>
  <c r="AF28" i="6" s="1"/>
  <c r="AG28" i="6" s="1"/>
  <c r="AD36" i="6"/>
  <c r="AF36" i="6" s="1"/>
  <c r="AG36" i="6" s="1"/>
  <c r="AD44" i="6"/>
  <c r="AF44" i="6" s="1"/>
  <c r="AG44" i="6" s="1"/>
  <c r="AD52" i="6"/>
  <c r="AF52" i="6" s="1"/>
  <c r="AG52" i="6" s="1"/>
  <c r="AD60" i="6"/>
  <c r="AF60" i="6" s="1"/>
  <c r="AG60" i="6" s="1"/>
  <c r="AD68" i="6"/>
  <c r="AF68" i="6" s="1"/>
  <c r="AG68" i="6" s="1"/>
  <c r="AD76" i="6"/>
  <c r="AF76" i="6" s="1"/>
  <c r="AG76" i="6" s="1"/>
  <c r="AD84" i="6"/>
  <c r="AF84" i="6" s="1"/>
  <c r="AG84" i="6" s="1"/>
  <c r="AD92" i="6"/>
  <c r="AF92" i="6" s="1"/>
  <c r="AG92" i="6" s="1"/>
  <c r="AD100" i="6"/>
  <c r="AF100" i="6" s="1"/>
  <c r="AG100" i="6" s="1"/>
  <c r="AD108" i="6"/>
  <c r="AF108" i="6" s="1"/>
  <c r="AG108" i="6" s="1"/>
  <c r="AD116" i="6"/>
  <c r="AF116" i="6" s="1"/>
  <c r="AG116" i="6" s="1"/>
  <c r="AD124" i="6"/>
  <c r="AF124" i="6" s="1"/>
  <c r="AG124" i="6" s="1"/>
  <c r="AD132" i="6"/>
  <c r="AF132" i="6" s="1"/>
  <c r="AG132" i="6" s="1"/>
  <c r="AD140" i="6"/>
  <c r="AF140" i="6" s="1"/>
  <c r="AG140" i="6" s="1"/>
  <c r="AD148" i="6"/>
  <c r="AF148" i="6" s="1"/>
  <c r="AG148" i="6" s="1"/>
  <c r="AD156" i="6"/>
  <c r="AF156" i="6" s="1"/>
  <c r="AG156" i="6" s="1"/>
  <c r="AD164" i="6"/>
  <c r="AF164" i="6" s="1"/>
  <c r="AG164" i="6" s="1"/>
  <c r="AD172" i="6"/>
  <c r="AF172" i="6" s="1"/>
  <c r="AG172" i="6" s="1"/>
  <c r="AD180" i="6"/>
  <c r="AF180" i="6" s="1"/>
  <c r="AG180" i="6" s="1"/>
  <c r="AD188" i="6"/>
  <c r="AF188" i="6" s="1"/>
  <c r="AG188" i="6" s="1"/>
  <c r="AD196" i="6"/>
  <c r="AF196" i="6" s="1"/>
  <c r="AG196" i="6" s="1"/>
  <c r="AD204" i="6"/>
  <c r="AF204" i="6" s="1"/>
  <c r="AG204" i="6" s="1"/>
  <c r="AD212" i="6"/>
  <c r="AF212" i="6" s="1"/>
  <c r="AG212" i="6" s="1"/>
  <c r="AD220" i="6"/>
  <c r="AF220" i="6" s="1"/>
  <c r="AG220" i="6" s="1"/>
  <c r="AD228" i="6"/>
  <c r="AF228" i="6" s="1"/>
  <c r="AG228" i="6" s="1"/>
  <c r="AD236" i="6"/>
  <c r="AF236" i="6" s="1"/>
  <c r="AG236" i="6" s="1"/>
  <c r="AD244" i="6"/>
  <c r="AF244" i="6" s="1"/>
  <c r="AG244" i="6" s="1"/>
  <c r="AD252" i="6"/>
  <c r="AF252" i="6" s="1"/>
  <c r="AG252" i="6" s="1"/>
  <c r="AD260" i="6"/>
  <c r="AF260" i="6" s="1"/>
  <c r="AG260" i="6" s="1"/>
  <c r="AD268" i="6"/>
  <c r="AF268" i="6" s="1"/>
  <c r="AG268" i="6" s="1"/>
  <c r="AD276" i="6"/>
  <c r="AF276" i="6" s="1"/>
  <c r="AG276" i="6" s="1"/>
  <c r="AD284" i="6"/>
  <c r="AF284" i="6" s="1"/>
  <c r="AG284" i="6" s="1"/>
  <c r="AD292" i="6"/>
  <c r="AF292" i="6" s="1"/>
  <c r="AG292" i="6" s="1"/>
  <c r="AD300" i="6"/>
  <c r="AF300" i="6" s="1"/>
  <c r="AG300" i="6" s="1"/>
  <c r="AD308" i="6"/>
  <c r="AF308" i="6" s="1"/>
  <c r="AG308" i="6" s="1"/>
  <c r="AD316" i="6"/>
  <c r="AF316" i="6" s="1"/>
  <c r="AG316" i="6" s="1"/>
  <c r="AD324" i="6"/>
  <c r="AF324" i="6" s="1"/>
  <c r="AG324" i="6" s="1"/>
  <c r="AD332" i="6"/>
  <c r="AF332" i="6" s="1"/>
  <c r="AG332" i="6" s="1"/>
  <c r="AD340" i="6"/>
  <c r="AF340" i="6" s="1"/>
  <c r="AG340" i="6" s="1"/>
  <c r="AD348" i="6"/>
  <c r="AF348" i="6" s="1"/>
  <c r="AG348" i="6" s="1"/>
  <c r="AD356" i="6"/>
  <c r="AF356" i="6" s="1"/>
  <c r="AG356" i="6" s="1"/>
  <c r="AD364" i="6"/>
  <c r="AF364" i="6" s="1"/>
  <c r="AG364" i="6" s="1"/>
  <c r="AD372" i="6"/>
  <c r="AF372" i="6" s="1"/>
  <c r="AG372" i="6" s="1"/>
  <c r="AD380" i="6"/>
  <c r="AF380" i="6" s="1"/>
  <c r="AG380" i="6" s="1"/>
  <c r="AD13" i="6"/>
  <c r="AF13" i="6" s="1"/>
  <c r="AG13" i="6" s="1"/>
  <c r="AD21" i="6"/>
  <c r="AF21" i="6" s="1"/>
  <c r="AG21" i="6" s="1"/>
  <c r="AD29" i="6"/>
  <c r="AF29" i="6" s="1"/>
  <c r="AG29" i="6" s="1"/>
  <c r="AD37" i="6"/>
  <c r="AF37" i="6" s="1"/>
  <c r="AG37" i="6" s="1"/>
  <c r="AD45" i="6"/>
  <c r="AF45" i="6" s="1"/>
  <c r="AG45" i="6" s="1"/>
  <c r="AD53" i="6"/>
  <c r="AF53" i="6" s="1"/>
  <c r="AG53" i="6" s="1"/>
  <c r="AD61" i="6"/>
  <c r="AF61" i="6" s="1"/>
  <c r="AG61" i="6" s="1"/>
  <c r="AD69" i="6"/>
  <c r="AF69" i="6" s="1"/>
  <c r="AG69" i="6" s="1"/>
  <c r="AD77" i="6"/>
  <c r="AF77" i="6" s="1"/>
  <c r="AG77" i="6" s="1"/>
  <c r="AD85" i="6"/>
  <c r="AF85" i="6" s="1"/>
  <c r="AG85" i="6" s="1"/>
  <c r="AD93" i="6"/>
  <c r="AF93" i="6" s="1"/>
  <c r="AG93" i="6" s="1"/>
  <c r="AD101" i="6"/>
  <c r="AF101" i="6" s="1"/>
  <c r="AG101" i="6" s="1"/>
  <c r="AD109" i="6"/>
  <c r="AF109" i="6" s="1"/>
  <c r="AG109" i="6" s="1"/>
  <c r="AD117" i="6"/>
  <c r="AF117" i="6" s="1"/>
  <c r="AG117" i="6" s="1"/>
  <c r="AD125" i="6"/>
  <c r="AF125" i="6" s="1"/>
  <c r="AG125" i="6" s="1"/>
  <c r="AD133" i="6"/>
  <c r="AF133" i="6" s="1"/>
  <c r="AG133" i="6" s="1"/>
  <c r="AD141" i="6"/>
  <c r="AF141" i="6" s="1"/>
  <c r="AG141" i="6" s="1"/>
  <c r="AD149" i="6"/>
  <c r="AF149" i="6" s="1"/>
  <c r="AG149" i="6" s="1"/>
  <c r="AD157" i="6"/>
  <c r="AF157" i="6" s="1"/>
  <c r="AG157" i="6" s="1"/>
  <c r="AD165" i="6"/>
  <c r="AF165" i="6" s="1"/>
  <c r="AG165" i="6" s="1"/>
  <c r="AD173" i="6"/>
  <c r="AF173" i="6" s="1"/>
  <c r="AG173" i="6" s="1"/>
  <c r="AD181" i="6"/>
  <c r="AF181" i="6" s="1"/>
  <c r="AG181" i="6" s="1"/>
  <c r="AD189" i="6"/>
  <c r="AF189" i="6" s="1"/>
  <c r="AG189" i="6" s="1"/>
  <c r="AD197" i="6"/>
  <c r="AF197" i="6" s="1"/>
  <c r="AG197" i="6" s="1"/>
  <c r="AD205" i="6"/>
  <c r="AF205" i="6" s="1"/>
  <c r="AG205" i="6" s="1"/>
  <c r="AD213" i="6"/>
  <c r="AF213" i="6" s="1"/>
  <c r="AG213" i="6" s="1"/>
  <c r="AD221" i="6"/>
  <c r="AF221" i="6" s="1"/>
  <c r="AG221" i="6" s="1"/>
  <c r="AD229" i="6"/>
  <c r="AF229" i="6" s="1"/>
  <c r="AG229" i="6" s="1"/>
  <c r="AD237" i="6"/>
  <c r="AF237" i="6" s="1"/>
  <c r="AG237" i="6" s="1"/>
  <c r="AD245" i="6"/>
  <c r="AF245" i="6" s="1"/>
  <c r="AG245" i="6" s="1"/>
  <c r="AD253" i="6"/>
  <c r="AF253" i="6" s="1"/>
  <c r="AG253" i="6" s="1"/>
  <c r="AD261" i="6"/>
  <c r="AF261" i="6" s="1"/>
  <c r="AG261" i="6" s="1"/>
  <c r="AD269" i="6"/>
  <c r="AF269" i="6" s="1"/>
  <c r="AG269" i="6" s="1"/>
  <c r="AD277" i="6"/>
  <c r="AF277" i="6" s="1"/>
  <c r="AG277" i="6" s="1"/>
  <c r="AD285" i="6"/>
  <c r="AF285" i="6" s="1"/>
  <c r="AG285" i="6" s="1"/>
  <c r="AD293" i="6"/>
  <c r="AF293" i="6" s="1"/>
  <c r="AG293" i="6" s="1"/>
  <c r="AD301" i="6"/>
  <c r="AF301" i="6" s="1"/>
  <c r="AG301" i="6" s="1"/>
  <c r="AD309" i="6"/>
  <c r="AF309" i="6" s="1"/>
  <c r="AG309" i="6" s="1"/>
  <c r="AD317" i="6"/>
  <c r="AF317" i="6" s="1"/>
  <c r="AG317" i="6" s="1"/>
  <c r="AD325" i="6"/>
  <c r="AF325" i="6" s="1"/>
  <c r="AG325" i="6" s="1"/>
  <c r="AD333" i="6"/>
  <c r="AF333" i="6" s="1"/>
  <c r="AG333" i="6" s="1"/>
  <c r="AD341" i="6"/>
  <c r="AF341" i="6" s="1"/>
  <c r="AG341" i="6" s="1"/>
  <c r="AD349" i="6"/>
  <c r="AF349" i="6" s="1"/>
  <c r="AG349" i="6" s="1"/>
  <c r="AD357" i="6"/>
  <c r="AF357" i="6" s="1"/>
  <c r="AG357" i="6" s="1"/>
  <c r="AD365" i="6"/>
  <c r="AF365" i="6" s="1"/>
  <c r="AG365" i="6" s="1"/>
  <c r="AD373" i="6"/>
  <c r="AF373" i="6" s="1"/>
  <c r="AG373" i="6" s="1"/>
  <c r="AD381" i="6"/>
  <c r="AF381" i="6" s="1"/>
  <c r="AG381" i="6" s="1"/>
  <c r="AD389" i="6"/>
  <c r="AF389" i="6" s="1"/>
  <c r="AG389" i="6" s="1"/>
  <c r="AD397" i="6"/>
  <c r="AF397" i="6" s="1"/>
  <c r="AG397" i="6" s="1"/>
  <c r="AD405" i="6"/>
  <c r="AF405" i="6" s="1"/>
  <c r="AG405" i="6" s="1"/>
  <c r="AD413" i="6"/>
  <c r="AF413" i="6" s="1"/>
  <c r="AG413" i="6" s="1"/>
  <c r="AD421" i="6"/>
  <c r="AF421" i="6" s="1"/>
  <c r="AG421" i="6" s="1"/>
  <c r="AD429" i="6"/>
  <c r="AF429" i="6" s="1"/>
  <c r="AG429" i="6" s="1"/>
  <c r="AD437" i="6"/>
  <c r="AF437" i="6" s="1"/>
  <c r="AG437" i="6" s="1"/>
  <c r="AD445" i="6"/>
  <c r="AF445" i="6" s="1"/>
  <c r="AG445" i="6" s="1"/>
  <c r="AD14" i="6"/>
  <c r="AF14" i="6" s="1"/>
  <c r="AG14" i="6" s="1"/>
  <c r="AD22" i="6"/>
  <c r="AF22" i="6" s="1"/>
  <c r="AG22" i="6" s="1"/>
  <c r="AD30" i="6"/>
  <c r="AF30" i="6" s="1"/>
  <c r="AG30" i="6" s="1"/>
  <c r="AD38" i="6"/>
  <c r="AF38" i="6" s="1"/>
  <c r="AG38" i="6" s="1"/>
  <c r="AD46" i="6"/>
  <c r="AF46" i="6" s="1"/>
  <c r="AG46" i="6" s="1"/>
  <c r="AD54" i="6"/>
  <c r="AF54" i="6" s="1"/>
  <c r="AG54" i="6" s="1"/>
  <c r="AD62" i="6"/>
  <c r="AF62" i="6" s="1"/>
  <c r="AG62" i="6" s="1"/>
  <c r="AD70" i="6"/>
  <c r="AF70" i="6" s="1"/>
  <c r="AG70" i="6" s="1"/>
  <c r="AD78" i="6"/>
  <c r="AF78" i="6" s="1"/>
  <c r="AG78" i="6" s="1"/>
  <c r="AD86" i="6"/>
  <c r="AF86" i="6" s="1"/>
  <c r="AG86" i="6" s="1"/>
  <c r="AD94" i="6"/>
  <c r="AF94" i="6" s="1"/>
  <c r="AG94" i="6" s="1"/>
  <c r="AD102" i="6"/>
  <c r="AF102" i="6" s="1"/>
  <c r="AG102" i="6" s="1"/>
  <c r="AD110" i="6"/>
  <c r="AF110" i="6" s="1"/>
  <c r="AG110" i="6" s="1"/>
  <c r="AD118" i="6"/>
  <c r="AF118" i="6" s="1"/>
  <c r="AG118" i="6" s="1"/>
  <c r="AD126" i="6"/>
  <c r="AF126" i="6" s="1"/>
  <c r="AG126" i="6" s="1"/>
  <c r="AD134" i="6"/>
  <c r="AF134" i="6" s="1"/>
  <c r="AG134" i="6" s="1"/>
  <c r="AD142" i="6"/>
  <c r="AF142" i="6" s="1"/>
  <c r="AG142" i="6" s="1"/>
  <c r="AD150" i="6"/>
  <c r="AF150" i="6" s="1"/>
  <c r="AG150" i="6" s="1"/>
  <c r="AD158" i="6"/>
  <c r="AF158" i="6" s="1"/>
  <c r="AG158" i="6" s="1"/>
  <c r="AD166" i="6"/>
  <c r="AF166" i="6" s="1"/>
  <c r="AG166" i="6" s="1"/>
  <c r="AD174" i="6"/>
  <c r="AF174" i="6" s="1"/>
  <c r="AG174" i="6" s="1"/>
  <c r="AD182" i="6"/>
  <c r="AF182" i="6" s="1"/>
  <c r="AG182" i="6" s="1"/>
  <c r="AD190" i="6"/>
  <c r="AF190" i="6" s="1"/>
  <c r="AG190" i="6" s="1"/>
  <c r="AD198" i="6"/>
  <c r="AF198" i="6" s="1"/>
  <c r="AG198" i="6" s="1"/>
  <c r="AD206" i="6"/>
  <c r="AF206" i="6" s="1"/>
  <c r="AG206" i="6" s="1"/>
  <c r="AD214" i="6"/>
  <c r="AF214" i="6" s="1"/>
  <c r="AG214" i="6" s="1"/>
  <c r="AD222" i="6"/>
  <c r="AF222" i="6" s="1"/>
  <c r="AG222" i="6" s="1"/>
  <c r="AD230" i="6"/>
  <c r="AF230" i="6" s="1"/>
  <c r="AG230" i="6" s="1"/>
  <c r="AD238" i="6"/>
  <c r="AF238" i="6" s="1"/>
  <c r="AG238" i="6" s="1"/>
  <c r="AD246" i="6"/>
  <c r="AF246" i="6" s="1"/>
  <c r="AG246" i="6" s="1"/>
  <c r="AD254" i="6"/>
  <c r="AF254" i="6" s="1"/>
  <c r="AG254" i="6" s="1"/>
  <c r="AD262" i="6"/>
  <c r="AF262" i="6" s="1"/>
  <c r="AG262" i="6" s="1"/>
  <c r="AD270" i="6"/>
  <c r="AF270" i="6" s="1"/>
  <c r="AG270" i="6" s="1"/>
  <c r="AD278" i="6"/>
  <c r="AF278" i="6" s="1"/>
  <c r="AG278" i="6" s="1"/>
  <c r="AD286" i="6"/>
  <c r="AF286" i="6" s="1"/>
  <c r="AG286" i="6" s="1"/>
  <c r="AD294" i="6"/>
  <c r="AF294" i="6" s="1"/>
  <c r="AG294" i="6" s="1"/>
  <c r="AD302" i="6"/>
  <c r="AF302" i="6" s="1"/>
  <c r="AG302" i="6" s="1"/>
  <c r="AD310" i="6"/>
  <c r="AF310" i="6" s="1"/>
  <c r="AG310" i="6" s="1"/>
  <c r="AD318" i="6"/>
  <c r="AF318" i="6" s="1"/>
  <c r="AG318" i="6" s="1"/>
  <c r="AD326" i="6"/>
  <c r="AF326" i="6" s="1"/>
  <c r="AG326" i="6" s="1"/>
  <c r="AD334" i="6"/>
  <c r="AF334" i="6" s="1"/>
  <c r="AG334" i="6" s="1"/>
  <c r="AD342" i="6"/>
  <c r="AF342" i="6" s="1"/>
  <c r="AG342" i="6" s="1"/>
  <c r="AD350" i="6"/>
  <c r="AF350" i="6" s="1"/>
  <c r="AG350" i="6" s="1"/>
  <c r="AD358" i="6"/>
  <c r="AF358" i="6" s="1"/>
  <c r="AG358" i="6" s="1"/>
  <c r="AD366" i="6"/>
  <c r="AF366" i="6" s="1"/>
  <c r="AG366" i="6" s="1"/>
  <c r="AD374" i="6"/>
  <c r="AF374" i="6" s="1"/>
  <c r="AG374" i="6" s="1"/>
  <c r="AD7" i="6"/>
  <c r="AF7" i="6" s="1"/>
  <c r="AG7" i="6" s="1"/>
  <c r="AD15" i="6"/>
  <c r="AF15" i="6" s="1"/>
  <c r="AG15" i="6" s="1"/>
  <c r="AD23" i="6"/>
  <c r="AF23" i="6" s="1"/>
  <c r="AG23" i="6" s="1"/>
  <c r="AD31" i="6"/>
  <c r="AF31" i="6" s="1"/>
  <c r="AG31" i="6" s="1"/>
  <c r="AD39" i="6"/>
  <c r="AF39" i="6" s="1"/>
  <c r="AG39" i="6" s="1"/>
  <c r="AD47" i="6"/>
  <c r="AF47" i="6" s="1"/>
  <c r="AG47" i="6" s="1"/>
  <c r="AD55" i="6"/>
  <c r="AF55" i="6" s="1"/>
  <c r="AG55" i="6" s="1"/>
  <c r="AD63" i="6"/>
  <c r="AF63" i="6" s="1"/>
  <c r="AG63" i="6" s="1"/>
  <c r="AD71" i="6"/>
  <c r="AF71" i="6" s="1"/>
  <c r="AG71" i="6" s="1"/>
  <c r="AD79" i="6"/>
  <c r="AF79" i="6" s="1"/>
  <c r="AG79" i="6" s="1"/>
  <c r="AD87" i="6"/>
  <c r="AF87" i="6" s="1"/>
  <c r="AG87" i="6" s="1"/>
  <c r="AD95" i="6"/>
  <c r="AF95" i="6" s="1"/>
  <c r="AG95" i="6" s="1"/>
  <c r="AD103" i="6"/>
  <c r="AF103" i="6" s="1"/>
  <c r="AG103" i="6" s="1"/>
  <c r="AD111" i="6"/>
  <c r="AF111" i="6" s="1"/>
  <c r="AG111" i="6" s="1"/>
  <c r="AD119" i="6"/>
  <c r="AF119" i="6" s="1"/>
  <c r="AG119" i="6" s="1"/>
  <c r="AD127" i="6"/>
  <c r="AF127" i="6" s="1"/>
  <c r="AG127" i="6" s="1"/>
  <c r="AD135" i="6"/>
  <c r="AF135" i="6" s="1"/>
  <c r="AG135" i="6" s="1"/>
  <c r="AD143" i="6"/>
  <c r="AF143" i="6" s="1"/>
  <c r="AG143" i="6" s="1"/>
  <c r="AD151" i="6"/>
  <c r="AF151" i="6" s="1"/>
  <c r="AG151" i="6" s="1"/>
  <c r="AD159" i="6"/>
  <c r="AF159" i="6" s="1"/>
  <c r="AG159" i="6" s="1"/>
  <c r="AD167" i="6"/>
  <c r="AF167" i="6" s="1"/>
  <c r="AG167" i="6" s="1"/>
  <c r="AD175" i="6"/>
  <c r="AF175" i="6" s="1"/>
  <c r="AG175" i="6" s="1"/>
  <c r="AD183" i="6"/>
  <c r="AF183" i="6" s="1"/>
  <c r="AG183" i="6" s="1"/>
  <c r="AD191" i="6"/>
  <c r="AF191" i="6" s="1"/>
  <c r="AG191" i="6" s="1"/>
  <c r="AD199" i="6"/>
  <c r="AF199" i="6" s="1"/>
  <c r="AG199" i="6" s="1"/>
  <c r="AD207" i="6"/>
  <c r="AF207" i="6" s="1"/>
  <c r="AG207" i="6" s="1"/>
  <c r="AD215" i="6"/>
  <c r="AF215" i="6" s="1"/>
  <c r="AG215" i="6" s="1"/>
  <c r="AD223" i="6"/>
  <c r="AF223" i="6" s="1"/>
  <c r="AG223" i="6" s="1"/>
  <c r="AD231" i="6"/>
  <c r="AF231" i="6" s="1"/>
  <c r="AG231" i="6" s="1"/>
  <c r="AD239" i="6"/>
  <c r="AF239" i="6" s="1"/>
  <c r="AG239" i="6" s="1"/>
  <c r="AD247" i="6"/>
  <c r="AF247" i="6" s="1"/>
  <c r="AG247" i="6" s="1"/>
  <c r="AD255" i="6"/>
  <c r="AF255" i="6" s="1"/>
  <c r="AG255" i="6" s="1"/>
  <c r="AD263" i="6"/>
  <c r="AF263" i="6" s="1"/>
  <c r="AG263" i="6" s="1"/>
  <c r="AD271" i="6"/>
  <c r="AF271" i="6" s="1"/>
  <c r="AG271" i="6" s="1"/>
  <c r="AD279" i="6"/>
  <c r="AF279" i="6" s="1"/>
  <c r="AG279" i="6" s="1"/>
  <c r="AD287" i="6"/>
  <c r="AF287" i="6" s="1"/>
  <c r="AG287" i="6" s="1"/>
  <c r="AD295" i="6"/>
  <c r="AF295" i="6" s="1"/>
  <c r="AG295" i="6" s="1"/>
  <c r="AD303" i="6"/>
  <c r="AF303" i="6" s="1"/>
  <c r="AG303" i="6" s="1"/>
  <c r="AD311" i="6"/>
  <c r="AF311" i="6" s="1"/>
  <c r="AG311" i="6" s="1"/>
  <c r="AD319" i="6"/>
  <c r="AF319" i="6" s="1"/>
  <c r="AG319" i="6" s="1"/>
  <c r="AD327" i="6"/>
  <c r="AF327" i="6" s="1"/>
  <c r="AG327" i="6" s="1"/>
  <c r="AD335" i="6"/>
  <c r="AF335" i="6" s="1"/>
  <c r="AG335" i="6" s="1"/>
  <c r="AD343" i="6"/>
  <c r="AF343" i="6" s="1"/>
  <c r="AG343" i="6" s="1"/>
  <c r="AD351" i="6"/>
  <c r="AF351" i="6" s="1"/>
  <c r="AG351" i="6" s="1"/>
  <c r="AD359" i="6"/>
  <c r="AF359" i="6" s="1"/>
  <c r="AG359" i="6" s="1"/>
  <c r="AD367" i="6"/>
  <c r="AF367" i="6" s="1"/>
  <c r="AG367" i="6" s="1"/>
  <c r="AD375" i="6"/>
  <c r="AF375" i="6" s="1"/>
  <c r="AG375" i="6" s="1"/>
  <c r="AD8" i="6"/>
  <c r="AF8" i="6" s="1"/>
  <c r="AG8" i="6" s="1"/>
  <c r="AD16" i="6"/>
  <c r="AF16" i="6" s="1"/>
  <c r="AG16" i="6" s="1"/>
  <c r="AD24" i="6"/>
  <c r="AF24" i="6" s="1"/>
  <c r="AG24" i="6" s="1"/>
  <c r="AD32" i="6"/>
  <c r="AF32" i="6" s="1"/>
  <c r="AG32" i="6" s="1"/>
  <c r="AD40" i="6"/>
  <c r="AF40" i="6" s="1"/>
  <c r="AG40" i="6" s="1"/>
  <c r="AD48" i="6"/>
  <c r="AF48" i="6" s="1"/>
  <c r="AG48" i="6" s="1"/>
  <c r="AD56" i="6"/>
  <c r="AF56" i="6" s="1"/>
  <c r="AG56" i="6" s="1"/>
  <c r="AD64" i="6"/>
  <c r="AF64" i="6" s="1"/>
  <c r="AG64" i="6" s="1"/>
  <c r="AD72" i="6"/>
  <c r="AF72" i="6" s="1"/>
  <c r="AG72" i="6" s="1"/>
  <c r="AD80" i="6"/>
  <c r="AF80" i="6" s="1"/>
  <c r="AG80" i="6" s="1"/>
  <c r="AD88" i="6"/>
  <c r="AF88" i="6" s="1"/>
  <c r="AG88" i="6" s="1"/>
  <c r="AD96" i="6"/>
  <c r="AF96" i="6" s="1"/>
  <c r="AG96" i="6" s="1"/>
  <c r="AD104" i="6"/>
  <c r="AF104" i="6" s="1"/>
  <c r="AG104" i="6" s="1"/>
  <c r="AD112" i="6"/>
  <c r="AF112" i="6" s="1"/>
  <c r="AG112" i="6" s="1"/>
  <c r="AD120" i="6"/>
  <c r="AF120" i="6" s="1"/>
  <c r="AG120" i="6" s="1"/>
  <c r="AD128" i="6"/>
  <c r="AF128" i="6" s="1"/>
  <c r="AG128" i="6" s="1"/>
  <c r="AD136" i="6"/>
  <c r="AF136" i="6" s="1"/>
  <c r="AG136" i="6" s="1"/>
  <c r="AD144" i="6"/>
  <c r="AF144" i="6" s="1"/>
  <c r="AG144" i="6" s="1"/>
  <c r="AD152" i="6"/>
  <c r="AF152" i="6" s="1"/>
  <c r="AG152" i="6" s="1"/>
  <c r="AD160" i="6"/>
  <c r="AF160" i="6" s="1"/>
  <c r="AG160" i="6" s="1"/>
  <c r="AD168" i="6"/>
  <c r="AF168" i="6" s="1"/>
  <c r="AG168" i="6" s="1"/>
  <c r="AD176" i="6"/>
  <c r="AF176" i="6" s="1"/>
  <c r="AG176" i="6" s="1"/>
  <c r="AD184" i="6"/>
  <c r="AF184" i="6" s="1"/>
  <c r="AG184" i="6" s="1"/>
  <c r="AD192" i="6"/>
  <c r="AF192" i="6" s="1"/>
  <c r="AG192" i="6" s="1"/>
  <c r="AD200" i="6"/>
  <c r="AF200" i="6" s="1"/>
  <c r="AG200" i="6" s="1"/>
  <c r="AD208" i="6"/>
  <c r="AF208" i="6" s="1"/>
  <c r="AG208" i="6" s="1"/>
  <c r="AD216" i="6"/>
  <c r="AF216" i="6" s="1"/>
  <c r="AG216" i="6" s="1"/>
  <c r="AD224" i="6"/>
  <c r="AF224" i="6" s="1"/>
  <c r="AG224" i="6" s="1"/>
  <c r="AD232" i="6"/>
  <c r="AF232" i="6" s="1"/>
  <c r="AG232" i="6" s="1"/>
  <c r="AD240" i="6"/>
  <c r="AF240" i="6" s="1"/>
  <c r="AG240" i="6" s="1"/>
  <c r="AD248" i="6"/>
  <c r="AF248" i="6" s="1"/>
  <c r="AG248" i="6" s="1"/>
  <c r="AD256" i="6"/>
  <c r="AF256" i="6" s="1"/>
  <c r="AG256" i="6" s="1"/>
  <c r="AD264" i="6"/>
  <c r="AF264" i="6" s="1"/>
  <c r="AG264" i="6" s="1"/>
  <c r="AD272" i="6"/>
  <c r="AF272" i="6" s="1"/>
  <c r="AG272" i="6" s="1"/>
  <c r="AD280" i="6"/>
  <c r="AF280" i="6" s="1"/>
  <c r="AG280" i="6" s="1"/>
  <c r="AD288" i="6"/>
  <c r="AF288" i="6" s="1"/>
  <c r="AG288" i="6" s="1"/>
  <c r="AD296" i="6"/>
  <c r="AF296" i="6" s="1"/>
  <c r="AG296" i="6" s="1"/>
  <c r="AD304" i="6"/>
  <c r="AF304" i="6" s="1"/>
  <c r="AG304" i="6" s="1"/>
  <c r="AD312" i="6"/>
  <c r="AF312" i="6" s="1"/>
  <c r="AG312" i="6" s="1"/>
  <c r="AD320" i="6"/>
  <c r="AF320" i="6" s="1"/>
  <c r="AG320" i="6" s="1"/>
  <c r="AD328" i="6"/>
  <c r="AF328" i="6" s="1"/>
  <c r="AG328" i="6" s="1"/>
  <c r="AD336" i="6"/>
  <c r="AF336" i="6" s="1"/>
  <c r="AG336" i="6" s="1"/>
  <c r="AD344" i="6"/>
  <c r="AF344" i="6" s="1"/>
  <c r="AG344" i="6" s="1"/>
  <c r="AD352" i="6"/>
  <c r="AF352" i="6" s="1"/>
  <c r="AG352" i="6" s="1"/>
  <c r="AD360" i="6"/>
  <c r="AF360" i="6" s="1"/>
  <c r="AG360" i="6" s="1"/>
  <c r="AD368" i="6"/>
  <c r="AF368" i="6" s="1"/>
  <c r="AG368" i="6" s="1"/>
  <c r="AD376" i="6"/>
  <c r="AF376" i="6" s="1"/>
  <c r="AG376" i="6" s="1"/>
  <c r="AD9" i="6"/>
  <c r="AF9" i="6" s="1"/>
  <c r="AG9" i="6" s="1"/>
  <c r="AD17" i="6"/>
  <c r="AF17" i="6" s="1"/>
  <c r="AG17" i="6" s="1"/>
  <c r="AD25" i="6"/>
  <c r="AF25" i="6" s="1"/>
  <c r="AG25" i="6" s="1"/>
  <c r="AD33" i="6"/>
  <c r="AF33" i="6" s="1"/>
  <c r="AG33" i="6" s="1"/>
  <c r="AD41" i="6"/>
  <c r="AF41" i="6" s="1"/>
  <c r="AG41" i="6" s="1"/>
  <c r="AD49" i="6"/>
  <c r="AF49" i="6" s="1"/>
  <c r="AG49" i="6" s="1"/>
  <c r="AD57" i="6"/>
  <c r="AF57" i="6" s="1"/>
  <c r="AG57" i="6" s="1"/>
  <c r="AD65" i="6"/>
  <c r="AF65" i="6" s="1"/>
  <c r="AG65" i="6" s="1"/>
  <c r="AD73" i="6"/>
  <c r="AF73" i="6" s="1"/>
  <c r="AG73" i="6" s="1"/>
  <c r="AD81" i="6"/>
  <c r="AF81" i="6" s="1"/>
  <c r="AG81" i="6" s="1"/>
  <c r="AD89" i="6"/>
  <c r="AF89" i="6" s="1"/>
  <c r="AG89" i="6" s="1"/>
  <c r="AD97" i="6"/>
  <c r="AF97" i="6" s="1"/>
  <c r="AG97" i="6" s="1"/>
  <c r="AD105" i="6"/>
  <c r="AF105" i="6" s="1"/>
  <c r="AG105" i="6" s="1"/>
  <c r="AD113" i="6"/>
  <c r="AF113" i="6" s="1"/>
  <c r="AG113" i="6" s="1"/>
  <c r="AD121" i="6"/>
  <c r="AF121" i="6" s="1"/>
  <c r="AG121" i="6" s="1"/>
  <c r="AD129" i="6"/>
  <c r="AF129" i="6" s="1"/>
  <c r="AG129" i="6" s="1"/>
  <c r="AD137" i="6"/>
  <c r="AF137" i="6" s="1"/>
  <c r="AG137" i="6" s="1"/>
  <c r="AD145" i="6"/>
  <c r="AF145" i="6" s="1"/>
  <c r="AG145" i="6" s="1"/>
  <c r="AD153" i="6"/>
  <c r="AF153" i="6" s="1"/>
  <c r="AG153" i="6" s="1"/>
  <c r="AD161" i="6"/>
  <c r="AF161" i="6" s="1"/>
  <c r="AG161" i="6" s="1"/>
  <c r="AD169" i="6"/>
  <c r="AF169" i="6" s="1"/>
  <c r="AG169" i="6" s="1"/>
  <c r="AD177" i="6"/>
  <c r="AF177" i="6" s="1"/>
  <c r="AG177" i="6" s="1"/>
  <c r="AD185" i="6"/>
  <c r="AF185" i="6" s="1"/>
  <c r="AG185" i="6" s="1"/>
  <c r="AD193" i="6"/>
  <c r="AF193" i="6" s="1"/>
  <c r="AG193" i="6" s="1"/>
  <c r="AD201" i="6"/>
  <c r="AF201" i="6" s="1"/>
  <c r="AG201" i="6" s="1"/>
  <c r="AD209" i="6"/>
  <c r="AF209" i="6" s="1"/>
  <c r="AG209" i="6" s="1"/>
  <c r="AD217" i="6"/>
  <c r="AF217" i="6" s="1"/>
  <c r="AG217" i="6" s="1"/>
  <c r="AD225" i="6"/>
  <c r="AF225" i="6" s="1"/>
  <c r="AG225" i="6" s="1"/>
  <c r="AD233" i="6"/>
  <c r="AF233" i="6" s="1"/>
  <c r="AG233" i="6" s="1"/>
  <c r="AD241" i="6"/>
  <c r="AF241" i="6" s="1"/>
  <c r="AG241" i="6" s="1"/>
  <c r="AD249" i="6"/>
  <c r="AF249" i="6" s="1"/>
  <c r="AG249" i="6" s="1"/>
  <c r="AD257" i="6"/>
  <c r="AF257" i="6" s="1"/>
  <c r="AG257" i="6" s="1"/>
  <c r="AD265" i="6"/>
  <c r="AF265" i="6" s="1"/>
  <c r="AG265" i="6" s="1"/>
  <c r="AD273" i="6"/>
  <c r="AF273" i="6" s="1"/>
  <c r="AG273" i="6" s="1"/>
  <c r="AD281" i="6"/>
  <c r="AF281" i="6" s="1"/>
  <c r="AG281" i="6" s="1"/>
  <c r="AD289" i="6"/>
  <c r="AF289" i="6" s="1"/>
  <c r="AG289" i="6" s="1"/>
  <c r="AD297" i="6"/>
  <c r="AF297" i="6" s="1"/>
  <c r="AG297" i="6" s="1"/>
  <c r="AD305" i="6"/>
  <c r="AF305" i="6" s="1"/>
  <c r="AG305" i="6" s="1"/>
  <c r="AD313" i="6"/>
  <c r="AF313" i="6" s="1"/>
  <c r="AG313" i="6" s="1"/>
  <c r="AD321" i="6"/>
  <c r="AF321" i="6" s="1"/>
  <c r="AG321" i="6" s="1"/>
  <c r="AD329" i="6"/>
  <c r="AF329" i="6" s="1"/>
  <c r="AG329" i="6" s="1"/>
  <c r="AD337" i="6"/>
  <c r="AF337" i="6" s="1"/>
  <c r="AG337" i="6" s="1"/>
  <c r="AD345" i="6"/>
  <c r="AF345" i="6" s="1"/>
  <c r="AG345" i="6" s="1"/>
  <c r="AD353" i="6"/>
  <c r="AF353" i="6" s="1"/>
  <c r="AG353" i="6" s="1"/>
  <c r="AD361" i="6"/>
  <c r="AF361" i="6" s="1"/>
  <c r="AG361" i="6" s="1"/>
  <c r="AD369" i="6"/>
  <c r="AF369" i="6" s="1"/>
  <c r="AG369" i="6" s="1"/>
  <c r="AD377" i="6"/>
  <c r="AF377" i="6" s="1"/>
  <c r="AG377" i="6" s="1"/>
  <c r="AD10" i="6"/>
  <c r="AF10" i="6" s="1"/>
  <c r="AG10" i="6" s="1"/>
  <c r="AD18" i="6"/>
  <c r="AF18" i="6" s="1"/>
  <c r="AG18" i="6" s="1"/>
  <c r="AD26" i="6"/>
  <c r="AF26" i="6" s="1"/>
  <c r="AG26" i="6" s="1"/>
  <c r="AD34" i="6"/>
  <c r="AF34" i="6" s="1"/>
  <c r="AG34" i="6" s="1"/>
  <c r="AD42" i="6"/>
  <c r="AF42" i="6" s="1"/>
  <c r="AG42" i="6" s="1"/>
  <c r="AD50" i="6"/>
  <c r="AF50" i="6" s="1"/>
  <c r="AG50" i="6" s="1"/>
  <c r="AD58" i="6"/>
  <c r="AF58" i="6" s="1"/>
  <c r="AG58" i="6" s="1"/>
  <c r="AD66" i="6"/>
  <c r="AF66" i="6" s="1"/>
  <c r="AG66" i="6" s="1"/>
  <c r="AD74" i="6"/>
  <c r="AF74" i="6" s="1"/>
  <c r="AG74" i="6" s="1"/>
  <c r="AD82" i="6"/>
  <c r="AF82" i="6" s="1"/>
  <c r="AG82" i="6" s="1"/>
  <c r="AD90" i="6"/>
  <c r="AF90" i="6" s="1"/>
  <c r="AG90" i="6" s="1"/>
  <c r="AD98" i="6"/>
  <c r="AF98" i="6" s="1"/>
  <c r="AG98" i="6" s="1"/>
  <c r="AD106" i="6"/>
  <c r="AF106" i="6" s="1"/>
  <c r="AG106" i="6" s="1"/>
  <c r="AD114" i="6"/>
  <c r="AF114" i="6" s="1"/>
  <c r="AG114" i="6" s="1"/>
  <c r="AD122" i="6"/>
  <c r="AF122" i="6" s="1"/>
  <c r="AG122" i="6" s="1"/>
  <c r="AD130" i="6"/>
  <c r="AF130" i="6" s="1"/>
  <c r="AG130" i="6" s="1"/>
  <c r="AD138" i="6"/>
  <c r="AF138" i="6" s="1"/>
  <c r="AG138" i="6" s="1"/>
  <c r="AD146" i="6"/>
  <c r="AF146" i="6" s="1"/>
  <c r="AG146" i="6" s="1"/>
  <c r="AD154" i="6"/>
  <c r="AF154" i="6" s="1"/>
  <c r="AG154" i="6" s="1"/>
  <c r="AD162" i="6"/>
  <c r="AF162" i="6" s="1"/>
  <c r="AG162" i="6" s="1"/>
  <c r="AD170" i="6"/>
  <c r="AF170" i="6" s="1"/>
  <c r="AG170" i="6" s="1"/>
  <c r="AD178" i="6"/>
  <c r="AF178" i="6" s="1"/>
  <c r="AG178" i="6" s="1"/>
  <c r="AD186" i="6"/>
  <c r="AF186" i="6" s="1"/>
  <c r="AG186" i="6" s="1"/>
  <c r="AD194" i="6"/>
  <c r="AF194" i="6" s="1"/>
  <c r="AG194" i="6" s="1"/>
  <c r="AD202" i="6"/>
  <c r="AF202" i="6" s="1"/>
  <c r="AG202" i="6" s="1"/>
  <c r="AD210" i="6"/>
  <c r="AF210" i="6" s="1"/>
  <c r="AG210" i="6" s="1"/>
  <c r="AD218" i="6"/>
  <c r="AF218" i="6" s="1"/>
  <c r="AG218" i="6" s="1"/>
  <c r="AD226" i="6"/>
  <c r="AF226" i="6" s="1"/>
  <c r="AG226" i="6" s="1"/>
  <c r="AD234" i="6"/>
  <c r="AF234" i="6" s="1"/>
  <c r="AG234" i="6" s="1"/>
  <c r="AD242" i="6"/>
  <c r="AF242" i="6" s="1"/>
  <c r="AG242" i="6" s="1"/>
  <c r="AD250" i="6"/>
  <c r="AF250" i="6" s="1"/>
  <c r="AG250" i="6" s="1"/>
  <c r="AD258" i="6"/>
  <c r="AF258" i="6" s="1"/>
  <c r="AG258" i="6" s="1"/>
  <c r="AD266" i="6"/>
  <c r="AF266" i="6" s="1"/>
  <c r="AG266" i="6" s="1"/>
  <c r="AD274" i="6"/>
  <c r="AF274" i="6" s="1"/>
  <c r="AG274" i="6" s="1"/>
  <c r="AD282" i="6"/>
  <c r="AF282" i="6" s="1"/>
  <c r="AG282" i="6" s="1"/>
  <c r="AD290" i="6"/>
  <c r="AF290" i="6" s="1"/>
  <c r="AG290" i="6" s="1"/>
  <c r="AD298" i="6"/>
  <c r="AF298" i="6" s="1"/>
  <c r="AG298" i="6" s="1"/>
  <c r="AD306" i="6"/>
  <c r="AF306" i="6" s="1"/>
  <c r="AG306" i="6" s="1"/>
  <c r="AD314" i="6"/>
  <c r="AF314" i="6" s="1"/>
  <c r="AG314" i="6" s="1"/>
  <c r="AD322" i="6"/>
  <c r="AF322" i="6" s="1"/>
  <c r="AG322" i="6" s="1"/>
  <c r="AD330" i="6"/>
  <c r="AF330" i="6" s="1"/>
  <c r="AG330" i="6" s="1"/>
  <c r="AD338" i="6"/>
  <c r="AF338" i="6" s="1"/>
  <c r="AG338" i="6" s="1"/>
  <c r="AD346" i="6"/>
  <c r="AF346" i="6" s="1"/>
  <c r="AG346" i="6" s="1"/>
  <c r="AD354" i="6"/>
  <c r="AF354" i="6" s="1"/>
  <c r="AG354" i="6" s="1"/>
  <c r="AD362" i="6"/>
  <c r="AF362" i="6" s="1"/>
  <c r="AG362" i="6" s="1"/>
  <c r="AD370" i="6"/>
  <c r="AF370" i="6" s="1"/>
  <c r="AG370" i="6" s="1"/>
  <c r="AD378" i="6"/>
  <c r="AF378" i="6" s="1"/>
  <c r="AG378" i="6" s="1"/>
  <c r="AD11" i="6"/>
  <c r="AF11" i="6" s="1"/>
  <c r="AG11" i="6" s="1"/>
  <c r="AD19" i="6"/>
  <c r="AF19" i="6" s="1"/>
  <c r="AG19" i="6" s="1"/>
  <c r="AD27" i="6"/>
  <c r="AF27" i="6" s="1"/>
  <c r="AG27" i="6" s="1"/>
  <c r="AD35" i="6"/>
  <c r="AF35" i="6" s="1"/>
  <c r="AG35" i="6" s="1"/>
  <c r="AD43" i="6"/>
  <c r="AF43" i="6" s="1"/>
  <c r="AG43" i="6" s="1"/>
  <c r="AD51" i="6"/>
  <c r="AF51" i="6" s="1"/>
  <c r="AG51" i="6" s="1"/>
  <c r="AD59" i="6"/>
  <c r="AF59" i="6" s="1"/>
  <c r="AG59" i="6" s="1"/>
  <c r="AD67" i="6"/>
  <c r="AF67" i="6" s="1"/>
  <c r="AG67" i="6" s="1"/>
  <c r="AD75" i="6"/>
  <c r="AF75" i="6" s="1"/>
  <c r="AG75" i="6" s="1"/>
  <c r="AD83" i="6"/>
  <c r="AF83" i="6" s="1"/>
  <c r="AG83" i="6" s="1"/>
  <c r="AD91" i="6"/>
  <c r="AF91" i="6" s="1"/>
  <c r="AG91" i="6" s="1"/>
  <c r="AD99" i="6"/>
  <c r="AF99" i="6" s="1"/>
  <c r="AG99" i="6" s="1"/>
  <c r="AD107" i="6"/>
  <c r="AF107" i="6" s="1"/>
  <c r="AG107" i="6" s="1"/>
  <c r="AD115" i="6"/>
  <c r="AF115" i="6" s="1"/>
  <c r="AG115" i="6" s="1"/>
  <c r="AD123" i="6"/>
  <c r="AF123" i="6" s="1"/>
  <c r="AG123" i="6" s="1"/>
  <c r="AD131" i="6"/>
  <c r="AF131" i="6" s="1"/>
  <c r="AG131" i="6" s="1"/>
  <c r="AD139" i="6"/>
  <c r="AF139" i="6" s="1"/>
  <c r="AG139" i="6" s="1"/>
  <c r="AD147" i="6"/>
  <c r="AF147" i="6" s="1"/>
  <c r="AG147" i="6" s="1"/>
  <c r="AD155" i="6"/>
  <c r="AF155" i="6" s="1"/>
  <c r="AG155" i="6" s="1"/>
  <c r="AD163" i="6"/>
  <c r="AF163" i="6" s="1"/>
  <c r="AG163" i="6" s="1"/>
  <c r="AD171" i="6"/>
  <c r="AF171" i="6" s="1"/>
  <c r="AG171" i="6" s="1"/>
  <c r="AD179" i="6"/>
  <c r="AF179" i="6" s="1"/>
  <c r="AG179" i="6" s="1"/>
  <c r="AD187" i="6"/>
  <c r="AF187" i="6" s="1"/>
  <c r="AG187" i="6" s="1"/>
  <c r="AD195" i="6"/>
  <c r="AF195" i="6" s="1"/>
  <c r="AG195" i="6" s="1"/>
  <c r="AD203" i="6"/>
  <c r="AF203" i="6" s="1"/>
  <c r="AG203" i="6" s="1"/>
  <c r="AD211" i="6"/>
  <c r="AF211" i="6" s="1"/>
  <c r="AG211" i="6" s="1"/>
  <c r="AD219" i="6"/>
  <c r="AF219" i="6" s="1"/>
  <c r="AG219" i="6" s="1"/>
  <c r="AD227" i="6"/>
  <c r="AF227" i="6" s="1"/>
  <c r="AG227" i="6" s="1"/>
  <c r="AD235" i="6"/>
  <c r="AF235" i="6" s="1"/>
  <c r="AG235" i="6" s="1"/>
  <c r="AD243" i="6"/>
  <c r="AF243" i="6" s="1"/>
  <c r="AG243" i="6" s="1"/>
  <c r="AD251" i="6"/>
  <c r="AF251" i="6" s="1"/>
  <c r="AG251" i="6" s="1"/>
  <c r="AD259" i="6"/>
  <c r="AF259" i="6" s="1"/>
  <c r="AG259" i="6" s="1"/>
  <c r="AD267" i="6"/>
  <c r="AF267" i="6" s="1"/>
  <c r="AG267" i="6" s="1"/>
  <c r="AD275" i="6"/>
  <c r="AF275" i="6" s="1"/>
  <c r="AG275" i="6" s="1"/>
  <c r="AD283" i="6"/>
  <c r="AF283" i="6" s="1"/>
  <c r="AG283" i="6" s="1"/>
  <c r="AD291" i="6"/>
  <c r="AF291" i="6" s="1"/>
  <c r="AG291" i="6" s="1"/>
  <c r="AD299" i="6"/>
  <c r="AF299" i="6" s="1"/>
  <c r="AG299" i="6" s="1"/>
  <c r="AD307" i="6"/>
  <c r="AF307" i="6" s="1"/>
  <c r="AG307" i="6" s="1"/>
  <c r="AD315" i="6"/>
  <c r="AF315" i="6" s="1"/>
  <c r="AG315" i="6" s="1"/>
  <c r="AD323" i="6"/>
  <c r="AF323" i="6" s="1"/>
  <c r="AG323" i="6" s="1"/>
  <c r="AD331" i="6"/>
  <c r="AF331" i="6" s="1"/>
  <c r="AG331" i="6" s="1"/>
  <c r="AD339" i="6"/>
  <c r="AF339" i="6" s="1"/>
  <c r="AG339" i="6" s="1"/>
  <c r="AD347" i="6"/>
  <c r="AF347" i="6" s="1"/>
  <c r="AG347" i="6" s="1"/>
  <c r="AD355" i="6"/>
  <c r="AF355" i="6" s="1"/>
  <c r="AG355" i="6" s="1"/>
  <c r="AD363" i="6"/>
  <c r="AF363" i="6" s="1"/>
  <c r="AG363" i="6" s="1"/>
  <c r="AD371" i="6"/>
  <c r="AF371" i="6" s="1"/>
  <c r="AG371" i="6" s="1"/>
  <c r="AD379" i="6"/>
  <c r="AF379" i="6" s="1"/>
  <c r="AG379" i="6" s="1"/>
  <c r="AD382" i="6"/>
  <c r="AF382" i="6" s="1"/>
  <c r="AG382" i="6" s="1"/>
  <c r="AD391" i="6"/>
  <c r="AF391" i="6" s="1"/>
  <c r="AG391" i="6" s="1"/>
  <c r="AD400" i="6"/>
  <c r="AF400" i="6" s="1"/>
  <c r="AG400" i="6" s="1"/>
  <c r="AD409" i="6"/>
  <c r="AF409" i="6" s="1"/>
  <c r="AG409" i="6" s="1"/>
  <c r="AD418" i="6"/>
  <c r="AF418" i="6" s="1"/>
  <c r="AG418" i="6" s="1"/>
  <c r="AD427" i="6"/>
  <c r="AF427" i="6" s="1"/>
  <c r="AG427" i="6" s="1"/>
  <c r="AD436" i="6"/>
  <c r="AF436" i="6" s="1"/>
  <c r="AG436" i="6" s="1"/>
  <c r="AD446" i="6"/>
  <c r="AF446" i="6" s="1"/>
  <c r="AG446" i="6" s="1"/>
  <c r="AD454" i="6"/>
  <c r="AF454" i="6" s="1"/>
  <c r="AG454" i="6" s="1"/>
  <c r="AD462" i="6"/>
  <c r="AF462" i="6" s="1"/>
  <c r="AG462" i="6" s="1"/>
  <c r="AD470" i="6"/>
  <c r="AF470" i="6" s="1"/>
  <c r="AG470" i="6" s="1"/>
  <c r="AD478" i="6"/>
  <c r="AF478" i="6" s="1"/>
  <c r="AG478" i="6" s="1"/>
  <c r="AD486" i="6"/>
  <c r="AF486" i="6" s="1"/>
  <c r="AG486" i="6" s="1"/>
  <c r="AD494" i="6"/>
  <c r="AF494" i="6" s="1"/>
  <c r="AG494" i="6" s="1"/>
  <c r="AD502" i="6"/>
  <c r="AF502" i="6" s="1"/>
  <c r="AG502" i="6" s="1"/>
  <c r="AD510" i="6"/>
  <c r="AF510" i="6" s="1"/>
  <c r="AG510" i="6" s="1"/>
  <c r="AD518" i="6"/>
  <c r="AF518" i="6" s="1"/>
  <c r="AG518" i="6" s="1"/>
  <c r="AD526" i="6"/>
  <c r="AF526" i="6" s="1"/>
  <c r="AG526" i="6" s="1"/>
  <c r="AD534" i="6"/>
  <c r="AF534" i="6" s="1"/>
  <c r="AG534" i="6" s="1"/>
  <c r="AD542" i="6"/>
  <c r="AF542" i="6" s="1"/>
  <c r="AG542" i="6" s="1"/>
  <c r="AD550" i="6"/>
  <c r="AF550" i="6" s="1"/>
  <c r="AG550" i="6" s="1"/>
  <c r="AD558" i="6"/>
  <c r="AF558" i="6" s="1"/>
  <c r="AG558" i="6" s="1"/>
  <c r="AD566" i="6"/>
  <c r="AF566" i="6" s="1"/>
  <c r="AG566" i="6" s="1"/>
  <c r="AD574" i="6"/>
  <c r="AF574" i="6" s="1"/>
  <c r="AG574" i="6" s="1"/>
  <c r="AD582" i="6"/>
  <c r="AF582" i="6" s="1"/>
  <c r="AG582" i="6" s="1"/>
  <c r="AD590" i="6"/>
  <c r="AF590" i="6" s="1"/>
  <c r="AG590" i="6" s="1"/>
  <c r="AD598" i="6"/>
  <c r="AF598" i="6" s="1"/>
  <c r="AG598" i="6" s="1"/>
  <c r="AD606" i="6"/>
  <c r="AF606" i="6" s="1"/>
  <c r="AG606" i="6" s="1"/>
  <c r="AD614" i="6"/>
  <c r="AF614" i="6" s="1"/>
  <c r="AG614" i="6" s="1"/>
  <c r="AD622" i="6"/>
  <c r="AF622" i="6" s="1"/>
  <c r="AG622" i="6" s="1"/>
  <c r="AD630" i="6"/>
  <c r="AF630" i="6" s="1"/>
  <c r="AG630" i="6" s="1"/>
  <c r="AD638" i="6"/>
  <c r="AF638" i="6" s="1"/>
  <c r="AG638" i="6" s="1"/>
  <c r="AD646" i="6"/>
  <c r="AF646" i="6" s="1"/>
  <c r="AG646" i="6" s="1"/>
  <c r="AD654" i="6"/>
  <c r="AF654" i="6" s="1"/>
  <c r="AG654" i="6" s="1"/>
  <c r="AD662" i="6"/>
  <c r="AF662" i="6" s="1"/>
  <c r="AG662" i="6" s="1"/>
  <c r="AD670" i="6"/>
  <c r="AF670" i="6" s="1"/>
  <c r="AG670" i="6" s="1"/>
  <c r="AD678" i="6"/>
  <c r="AF678" i="6" s="1"/>
  <c r="AG678" i="6" s="1"/>
  <c r="AD686" i="6"/>
  <c r="AF686" i="6" s="1"/>
  <c r="AG686" i="6" s="1"/>
  <c r="AD694" i="6"/>
  <c r="AF694" i="6" s="1"/>
  <c r="AG694" i="6" s="1"/>
  <c r="AD702" i="6"/>
  <c r="AF702" i="6" s="1"/>
  <c r="AG702" i="6" s="1"/>
  <c r="AD710" i="6"/>
  <c r="AF710" i="6" s="1"/>
  <c r="AG710" i="6" s="1"/>
  <c r="AD718" i="6"/>
  <c r="AF718" i="6" s="1"/>
  <c r="AG718" i="6" s="1"/>
  <c r="AD726" i="6"/>
  <c r="AF726" i="6" s="1"/>
  <c r="AG726" i="6" s="1"/>
  <c r="AD734" i="6"/>
  <c r="AF734" i="6" s="1"/>
  <c r="AG734" i="6" s="1"/>
  <c r="AD742" i="6"/>
  <c r="AF742" i="6" s="1"/>
  <c r="AG742" i="6" s="1"/>
  <c r="AD750" i="6"/>
  <c r="AF750" i="6" s="1"/>
  <c r="AG750" i="6" s="1"/>
  <c r="AD758" i="6"/>
  <c r="AF758" i="6" s="1"/>
  <c r="AG758" i="6" s="1"/>
  <c r="AD766" i="6"/>
  <c r="AF766" i="6" s="1"/>
  <c r="AG766" i="6" s="1"/>
  <c r="AD774" i="6"/>
  <c r="AF774" i="6" s="1"/>
  <c r="AG774" i="6" s="1"/>
  <c r="AD782" i="6"/>
  <c r="AF782" i="6" s="1"/>
  <c r="AG782" i="6" s="1"/>
  <c r="AD790" i="6"/>
  <c r="AF790" i="6" s="1"/>
  <c r="AG790" i="6" s="1"/>
  <c r="AD798" i="6"/>
  <c r="AF798" i="6" s="1"/>
  <c r="AG798" i="6" s="1"/>
  <c r="AD806" i="6"/>
  <c r="AF806" i="6" s="1"/>
  <c r="AG806" i="6" s="1"/>
  <c r="AD814" i="6"/>
  <c r="AF814" i="6" s="1"/>
  <c r="AG814" i="6" s="1"/>
  <c r="AD822" i="6"/>
  <c r="AF822" i="6" s="1"/>
  <c r="AG822" i="6" s="1"/>
  <c r="AD830" i="6"/>
  <c r="AF830" i="6" s="1"/>
  <c r="AG830" i="6" s="1"/>
  <c r="AD838" i="6"/>
  <c r="AF838" i="6" s="1"/>
  <c r="AG838" i="6" s="1"/>
  <c r="AD846" i="6"/>
  <c r="AF846" i="6" s="1"/>
  <c r="AG846" i="6" s="1"/>
  <c r="AD854" i="6"/>
  <c r="AF854" i="6" s="1"/>
  <c r="AG854" i="6" s="1"/>
  <c r="AD862" i="6"/>
  <c r="AF862" i="6" s="1"/>
  <c r="AG862" i="6" s="1"/>
  <c r="AD870" i="6"/>
  <c r="AF870" i="6" s="1"/>
  <c r="AG870" i="6" s="1"/>
  <c r="AD878" i="6"/>
  <c r="AF878" i="6" s="1"/>
  <c r="AG878" i="6" s="1"/>
  <c r="AD886" i="6"/>
  <c r="AF886" i="6" s="1"/>
  <c r="AG886" i="6" s="1"/>
  <c r="AD894" i="6"/>
  <c r="AF894" i="6" s="1"/>
  <c r="AG894" i="6" s="1"/>
  <c r="AD902" i="6"/>
  <c r="AF902" i="6" s="1"/>
  <c r="AG902" i="6" s="1"/>
  <c r="AD910" i="6"/>
  <c r="AF910" i="6" s="1"/>
  <c r="AG910" i="6" s="1"/>
  <c r="AD918" i="6"/>
  <c r="AF918" i="6" s="1"/>
  <c r="AG918" i="6" s="1"/>
  <c r="AD926" i="6"/>
  <c r="AF926" i="6" s="1"/>
  <c r="AG926" i="6" s="1"/>
  <c r="AD934" i="6"/>
  <c r="AF934" i="6" s="1"/>
  <c r="AG934" i="6" s="1"/>
  <c r="AD942" i="6"/>
  <c r="AF942" i="6" s="1"/>
  <c r="AG942" i="6" s="1"/>
  <c r="AD950" i="6"/>
  <c r="AF950" i="6" s="1"/>
  <c r="AG950" i="6" s="1"/>
  <c r="AD958" i="6"/>
  <c r="AF958" i="6" s="1"/>
  <c r="AG958" i="6" s="1"/>
  <c r="AD966" i="6"/>
  <c r="AF966" i="6" s="1"/>
  <c r="AG966" i="6" s="1"/>
  <c r="AD974" i="6"/>
  <c r="AF974" i="6" s="1"/>
  <c r="AG974" i="6" s="1"/>
  <c r="AD982" i="6"/>
  <c r="AF982" i="6" s="1"/>
  <c r="AG982" i="6" s="1"/>
  <c r="AD990" i="6"/>
  <c r="AF990" i="6" s="1"/>
  <c r="AG990" i="6" s="1"/>
  <c r="AD998" i="6"/>
  <c r="AF998" i="6" s="1"/>
  <c r="AG998" i="6" s="1"/>
  <c r="AD1006" i="6"/>
  <c r="AF1006" i="6" s="1"/>
  <c r="AG1006" i="6" s="1"/>
  <c r="AD1014" i="6"/>
  <c r="AF1014" i="6" s="1"/>
  <c r="AG1014" i="6" s="1"/>
  <c r="AD1022" i="6"/>
  <c r="AF1022" i="6" s="1"/>
  <c r="AG1022" i="6" s="1"/>
  <c r="AD1030" i="6"/>
  <c r="AF1030" i="6" s="1"/>
  <c r="AG1030" i="6" s="1"/>
  <c r="AD1038" i="6"/>
  <c r="AF1038" i="6" s="1"/>
  <c r="AG1038" i="6" s="1"/>
  <c r="AD1046" i="6"/>
  <c r="AF1046" i="6" s="1"/>
  <c r="AG1046" i="6" s="1"/>
  <c r="AD1054" i="6"/>
  <c r="AF1054" i="6" s="1"/>
  <c r="AG1054" i="6" s="1"/>
  <c r="AD1062" i="6"/>
  <c r="AF1062" i="6" s="1"/>
  <c r="AG1062" i="6" s="1"/>
  <c r="AD1070" i="6"/>
  <c r="AF1070" i="6" s="1"/>
  <c r="AG1070" i="6" s="1"/>
  <c r="AD1078" i="6"/>
  <c r="AF1078" i="6" s="1"/>
  <c r="AG1078" i="6" s="1"/>
  <c r="AD1086" i="6"/>
  <c r="AF1086" i="6" s="1"/>
  <c r="AG1086" i="6" s="1"/>
  <c r="AD1094" i="6"/>
  <c r="AF1094" i="6" s="1"/>
  <c r="AG1094" i="6" s="1"/>
  <c r="AD1102" i="6"/>
  <c r="AF1102" i="6" s="1"/>
  <c r="AG1102" i="6" s="1"/>
  <c r="AD1110" i="6"/>
  <c r="AF1110" i="6" s="1"/>
  <c r="AG1110" i="6" s="1"/>
  <c r="AD1118" i="6"/>
  <c r="AF1118" i="6" s="1"/>
  <c r="AG1118" i="6" s="1"/>
  <c r="AD1126" i="6"/>
  <c r="AF1126" i="6" s="1"/>
  <c r="AG1126" i="6" s="1"/>
  <c r="AD1134" i="6"/>
  <c r="AF1134" i="6" s="1"/>
  <c r="AG1134" i="6" s="1"/>
  <c r="AD1142" i="6"/>
  <c r="AF1142" i="6" s="1"/>
  <c r="AG1142" i="6" s="1"/>
  <c r="AD1150" i="6"/>
  <c r="AF1150" i="6" s="1"/>
  <c r="AG1150" i="6" s="1"/>
  <c r="AD1158" i="6"/>
  <c r="AF1158" i="6" s="1"/>
  <c r="AG1158" i="6" s="1"/>
  <c r="AD1166" i="6"/>
  <c r="AF1166" i="6" s="1"/>
  <c r="AG1166" i="6" s="1"/>
  <c r="AD1174" i="6"/>
  <c r="AF1174" i="6" s="1"/>
  <c r="AG1174" i="6" s="1"/>
  <c r="AD1182" i="6"/>
  <c r="AF1182" i="6" s="1"/>
  <c r="AG1182" i="6" s="1"/>
  <c r="AD1190" i="6"/>
  <c r="AF1190" i="6" s="1"/>
  <c r="AG1190" i="6" s="1"/>
  <c r="AD1198" i="6"/>
  <c r="AF1198" i="6" s="1"/>
  <c r="AG1198" i="6" s="1"/>
  <c r="AD1206" i="6"/>
  <c r="AF1206" i="6" s="1"/>
  <c r="AG1206" i="6" s="1"/>
  <c r="AD1214" i="6"/>
  <c r="AF1214" i="6" s="1"/>
  <c r="AG1214" i="6" s="1"/>
  <c r="AD1222" i="6"/>
  <c r="AF1222" i="6" s="1"/>
  <c r="AG1222" i="6" s="1"/>
  <c r="AD1230" i="6"/>
  <c r="AF1230" i="6" s="1"/>
  <c r="AG1230" i="6" s="1"/>
  <c r="AD1238" i="6"/>
  <c r="AF1238" i="6" s="1"/>
  <c r="AG1238" i="6" s="1"/>
  <c r="AD1246" i="6"/>
  <c r="AF1246" i="6" s="1"/>
  <c r="AG1246" i="6" s="1"/>
  <c r="AD1254" i="6"/>
  <c r="AF1254" i="6" s="1"/>
  <c r="AG1254" i="6" s="1"/>
  <c r="AD1262" i="6"/>
  <c r="AF1262" i="6" s="1"/>
  <c r="AG1262" i="6" s="1"/>
  <c r="AD1270" i="6"/>
  <c r="AF1270" i="6" s="1"/>
  <c r="AG1270" i="6" s="1"/>
  <c r="AD1278" i="6"/>
  <c r="AF1278" i="6" s="1"/>
  <c r="AG1278" i="6" s="1"/>
  <c r="AD1286" i="6"/>
  <c r="AF1286" i="6" s="1"/>
  <c r="AG1286" i="6" s="1"/>
  <c r="AD1294" i="6"/>
  <c r="AF1294" i="6" s="1"/>
  <c r="AG1294" i="6" s="1"/>
  <c r="AD1302" i="6"/>
  <c r="AF1302" i="6" s="1"/>
  <c r="AG1302" i="6" s="1"/>
  <c r="AD1310" i="6"/>
  <c r="AF1310" i="6" s="1"/>
  <c r="AG1310" i="6" s="1"/>
  <c r="AD1318" i="6"/>
  <c r="AF1318" i="6" s="1"/>
  <c r="AG1318" i="6" s="1"/>
  <c r="AD1326" i="6"/>
  <c r="AF1326" i="6" s="1"/>
  <c r="AG1326" i="6" s="1"/>
  <c r="AD1334" i="6"/>
  <c r="AF1334" i="6" s="1"/>
  <c r="AG1334" i="6" s="1"/>
  <c r="AD1342" i="6"/>
  <c r="AF1342" i="6" s="1"/>
  <c r="AG1342" i="6" s="1"/>
  <c r="AD1350" i="6"/>
  <c r="AF1350" i="6" s="1"/>
  <c r="AG1350" i="6" s="1"/>
  <c r="AD1358" i="6"/>
  <c r="AF1358" i="6" s="1"/>
  <c r="AG1358" i="6" s="1"/>
  <c r="AD1366" i="6"/>
  <c r="AF1366" i="6" s="1"/>
  <c r="AG1366" i="6" s="1"/>
  <c r="AD1374" i="6"/>
  <c r="AF1374" i="6" s="1"/>
  <c r="AG1374" i="6" s="1"/>
  <c r="AD1382" i="6"/>
  <c r="AF1382" i="6" s="1"/>
  <c r="AG1382" i="6" s="1"/>
  <c r="AD1390" i="6"/>
  <c r="AF1390" i="6" s="1"/>
  <c r="AG1390" i="6" s="1"/>
  <c r="AD1398" i="6"/>
  <c r="AF1398" i="6" s="1"/>
  <c r="AG1398" i="6" s="1"/>
  <c r="AD1406" i="6"/>
  <c r="AF1406" i="6" s="1"/>
  <c r="AG1406" i="6" s="1"/>
  <c r="AD1414" i="6"/>
  <c r="AF1414" i="6" s="1"/>
  <c r="AG1414" i="6" s="1"/>
  <c r="AD1422" i="6"/>
  <c r="AF1422" i="6" s="1"/>
  <c r="AG1422" i="6" s="1"/>
  <c r="AD1430" i="6"/>
  <c r="AF1430" i="6" s="1"/>
  <c r="AG1430" i="6" s="1"/>
  <c r="AD1438" i="6"/>
  <c r="AF1438" i="6" s="1"/>
  <c r="AG1438" i="6" s="1"/>
  <c r="AD1446" i="6"/>
  <c r="AF1446" i="6" s="1"/>
  <c r="AG1446" i="6" s="1"/>
  <c r="AD1454" i="6"/>
  <c r="AF1454" i="6" s="1"/>
  <c r="AG1454" i="6" s="1"/>
  <c r="AD1462" i="6"/>
  <c r="AF1462" i="6" s="1"/>
  <c r="AG1462" i="6" s="1"/>
  <c r="AD1470" i="6"/>
  <c r="AF1470" i="6" s="1"/>
  <c r="AG1470" i="6" s="1"/>
  <c r="AD1478" i="6"/>
  <c r="AF1478" i="6" s="1"/>
  <c r="AG1478" i="6" s="1"/>
  <c r="AD1486" i="6"/>
  <c r="AF1486" i="6" s="1"/>
  <c r="AG1486" i="6" s="1"/>
  <c r="AD1494" i="6"/>
  <c r="AF1494" i="6" s="1"/>
  <c r="AG1494" i="6" s="1"/>
  <c r="AD1502" i="6"/>
  <c r="AF1502" i="6" s="1"/>
  <c r="AG1502" i="6" s="1"/>
  <c r="AD1510" i="6"/>
  <c r="AF1510" i="6" s="1"/>
  <c r="AG1510" i="6" s="1"/>
  <c r="AD1518" i="6"/>
  <c r="AF1518" i="6" s="1"/>
  <c r="AG1518" i="6" s="1"/>
  <c r="AD1526" i="6"/>
  <c r="AF1526" i="6" s="1"/>
  <c r="AG1526" i="6" s="1"/>
  <c r="AD1534" i="6"/>
  <c r="AF1534" i="6" s="1"/>
  <c r="AG1534" i="6" s="1"/>
  <c r="AD1542" i="6"/>
  <c r="AF1542" i="6" s="1"/>
  <c r="AG1542" i="6" s="1"/>
  <c r="AD1550" i="6"/>
  <c r="AF1550" i="6" s="1"/>
  <c r="AG1550" i="6" s="1"/>
  <c r="AD383" i="6"/>
  <c r="AF383" i="6" s="1"/>
  <c r="AG383" i="6" s="1"/>
  <c r="AD392" i="6"/>
  <c r="AF392" i="6" s="1"/>
  <c r="AG392" i="6" s="1"/>
  <c r="AD401" i="6"/>
  <c r="AF401" i="6" s="1"/>
  <c r="AG401" i="6" s="1"/>
  <c r="AD410" i="6"/>
  <c r="AF410" i="6" s="1"/>
  <c r="AG410" i="6" s="1"/>
  <c r="AD419" i="6"/>
  <c r="AF419" i="6" s="1"/>
  <c r="AG419" i="6" s="1"/>
  <c r="AD428" i="6"/>
  <c r="AF428" i="6" s="1"/>
  <c r="AG428" i="6" s="1"/>
  <c r="AD438" i="6"/>
  <c r="AF438" i="6" s="1"/>
  <c r="AG438" i="6" s="1"/>
  <c r="AD447" i="6"/>
  <c r="AF447" i="6" s="1"/>
  <c r="AG447" i="6" s="1"/>
  <c r="AD455" i="6"/>
  <c r="AF455" i="6" s="1"/>
  <c r="AG455" i="6" s="1"/>
  <c r="AD463" i="6"/>
  <c r="AF463" i="6" s="1"/>
  <c r="AG463" i="6" s="1"/>
  <c r="AD471" i="6"/>
  <c r="AF471" i="6" s="1"/>
  <c r="AG471" i="6" s="1"/>
  <c r="AD479" i="6"/>
  <c r="AF479" i="6" s="1"/>
  <c r="AG479" i="6" s="1"/>
  <c r="AD487" i="6"/>
  <c r="AF487" i="6" s="1"/>
  <c r="AG487" i="6" s="1"/>
  <c r="AD495" i="6"/>
  <c r="AF495" i="6" s="1"/>
  <c r="AG495" i="6" s="1"/>
  <c r="AD503" i="6"/>
  <c r="AF503" i="6" s="1"/>
  <c r="AG503" i="6" s="1"/>
  <c r="AD511" i="6"/>
  <c r="AF511" i="6" s="1"/>
  <c r="AG511" i="6" s="1"/>
  <c r="AD519" i="6"/>
  <c r="AF519" i="6" s="1"/>
  <c r="AG519" i="6" s="1"/>
  <c r="AD527" i="6"/>
  <c r="AF527" i="6" s="1"/>
  <c r="AG527" i="6" s="1"/>
  <c r="AD535" i="6"/>
  <c r="AF535" i="6" s="1"/>
  <c r="AG535" i="6" s="1"/>
  <c r="AD543" i="6"/>
  <c r="AF543" i="6" s="1"/>
  <c r="AG543" i="6" s="1"/>
  <c r="AD551" i="6"/>
  <c r="AF551" i="6" s="1"/>
  <c r="AG551" i="6" s="1"/>
  <c r="AD559" i="6"/>
  <c r="AF559" i="6" s="1"/>
  <c r="AG559" i="6" s="1"/>
  <c r="AD567" i="6"/>
  <c r="AF567" i="6" s="1"/>
  <c r="AG567" i="6" s="1"/>
  <c r="AD575" i="6"/>
  <c r="AF575" i="6" s="1"/>
  <c r="AG575" i="6" s="1"/>
  <c r="AD583" i="6"/>
  <c r="AF583" i="6" s="1"/>
  <c r="AG583" i="6" s="1"/>
  <c r="AD591" i="6"/>
  <c r="AF591" i="6" s="1"/>
  <c r="AG591" i="6" s="1"/>
  <c r="AD599" i="6"/>
  <c r="AF599" i="6" s="1"/>
  <c r="AG599" i="6" s="1"/>
  <c r="AD607" i="6"/>
  <c r="AF607" i="6" s="1"/>
  <c r="AG607" i="6" s="1"/>
  <c r="AD615" i="6"/>
  <c r="AF615" i="6" s="1"/>
  <c r="AG615" i="6" s="1"/>
  <c r="AD623" i="6"/>
  <c r="AF623" i="6" s="1"/>
  <c r="AG623" i="6" s="1"/>
  <c r="AD631" i="6"/>
  <c r="AF631" i="6" s="1"/>
  <c r="AG631" i="6" s="1"/>
  <c r="AD639" i="6"/>
  <c r="AF639" i="6" s="1"/>
  <c r="AG639" i="6" s="1"/>
  <c r="AD647" i="6"/>
  <c r="AF647" i="6" s="1"/>
  <c r="AG647" i="6" s="1"/>
  <c r="AD655" i="6"/>
  <c r="AF655" i="6" s="1"/>
  <c r="AG655" i="6" s="1"/>
  <c r="AD663" i="6"/>
  <c r="AF663" i="6" s="1"/>
  <c r="AG663" i="6" s="1"/>
  <c r="AD671" i="6"/>
  <c r="AF671" i="6" s="1"/>
  <c r="AG671" i="6" s="1"/>
  <c r="AD679" i="6"/>
  <c r="AF679" i="6" s="1"/>
  <c r="AG679" i="6" s="1"/>
  <c r="AD687" i="6"/>
  <c r="AF687" i="6" s="1"/>
  <c r="AG687" i="6" s="1"/>
  <c r="AD695" i="6"/>
  <c r="AF695" i="6" s="1"/>
  <c r="AG695" i="6" s="1"/>
  <c r="AD703" i="6"/>
  <c r="AF703" i="6" s="1"/>
  <c r="AG703" i="6" s="1"/>
  <c r="AD711" i="6"/>
  <c r="AF711" i="6" s="1"/>
  <c r="AG711" i="6" s="1"/>
  <c r="AD719" i="6"/>
  <c r="AF719" i="6" s="1"/>
  <c r="AG719" i="6" s="1"/>
  <c r="AD727" i="6"/>
  <c r="AF727" i="6" s="1"/>
  <c r="AG727" i="6" s="1"/>
  <c r="AD735" i="6"/>
  <c r="AF735" i="6" s="1"/>
  <c r="AG735" i="6" s="1"/>
  <c r="AD743" i="6"/>
  <c r="AF743" i="6" s="1"/>
  <c r="AG743" i="6" s="1"/>
  <c r="AD751" i="6"/>
  <c r="AF751" i="6" s="1"/>
  <c r="AG751" i="6" s="1"/>
  <c r="AD759" i="6"/>
  <c r="AF759" i="6" s="1"/>
  <c r="AG759" i="6" s="1"/>
  <c r="AD767" i="6"/>
  <c r="AF767" i="6" s="1"/>
  <c r="AG767" i="6" s="1"/>
  <c r="AD775" i="6"/>
  <c r="AF775" i="6" s="1"/>
  <c r="AG775" i="6" s="1"/>
  <c r="AD783" i="6"/>
  <c r="AF783" i="6" s="1"/>
  <c r="AG783" i="6" s="1"/>
  <c r="AD791" i="6"/>
  <c r="AF791" i="6" s="1"/>
  <c r="AG791" i="6" s="1"/>
  <c r="AD799" i="6"/>
  <c r="AF799" i="6" s="1"/>
  <c r="AG799" i="6" s="1"/>
  <c r="AD807" i="6"/>
  <c r="AF807" i="6" s="1"/>
  <c r="AG807" i="6" s="1"/>
  <c r="AD815" i="6"/>
  <c r="AF815" i="6" s="1"/>
  <c r="AG815" i="6" s="1"/>
  <c r="AD823" i="6"/>
  <c r="AF823" i="6" s="1"/>
  <c r="AG823" i="6" s="1"/>
  <c r="AD831" i="6"/>
  <c r="AF831" i="6" s="1"/>
  <c r="AG831" i="6" s="1"/>
  <c r="AD839" i="6"/>
  <c r="AF839" i="6" s="1"/>
  <c r="AG839" i="6" s="1"/>
  <c r="AD847" i="6"/>
  <c r="AF847" i="6" s="1"/>
  <c r="AG847" i="6" s="1"/>
  <c r="AD855" i="6"/>
  <c r="AF855" i="6" s="1"/>
  <c r="AG855" i="6" s="1"/>
  <c r="AD863" i="6"/>
  <c r="AF863" i="6" s="1"/>
  <c r="AG863" i="6" s="1"/>
  <c r="AD871" i="6"/>
  <c r="AF871" i="6" s="1"/>
  <c r="AG871" i="6" s="1"/>
  <c r="AD879" i="6"/>
  <c r="AF879" i="6" s="1"/>
  <c r="AG879" i="6" s="1"/>
  <c r="AD887" i="6"/>
  <c r="AF887" i="6" s="1"/>
  <c r="AG887" i="6" s="1"/>
  <c r="AD895" i="6"/>
  <c r="AF895" i="6" s="1"/>
  <c r="AG895" i="6" s="1"/>
  <c r="AD903" i="6"/>
  <c r="AF903" i="6" s="1"/>
  <c r="AG903" i="6" s="1"/>
  <c r="AD911" i="6"/>
  <c r="AF911" i="6" s="1"/>
  <c r="AG911" i="6" s="1"/>
  <c r="AD919" i="6"/>
  <c r="AF919" i="6" s="1"/>
  <c r="AG919" i="6" s="1"/>
  <c r="AD927" i="6"/>
  <c r="AF927" i="6" s="1"/>
  <c r="AG927" i="6" s="1"/>
  <c r="AD935" i="6"/>
  <c r="AF935" i="6" s="1"/>
  <c r="AG935" i="6" s="1"/>
  <c r="AD943" i="6"/>
  <c r="AF943" i="6" s="1"/>
  <c r="AG943" i="6" s="1"/>
  <c r="AD951" i="6"/>
  <c r="AF951" i="6" s="1"/>
  <c r="AG951" i="6" s="1"/>
  <c r="AD959" i="6"/>
  <c r="AF959" i="6" s="1"/>
  <c r="AG959" i="6" s="1"/>
  <c r="AD967" i="6"/>
  <c r="AF967" i="6" s="1"/>
  <c r="AG967" i="6" s="1"/>
  <c r="AD975" i="6"/>
  <c r="AF975" i="6" s="1"/>
  <c r="AG975" i="6" s="1"/>
  <c r="AD983" i="6"/>
  <c r="AF983" i="6" s="1"/>
  <c r="AG983" i="6" s="1"/>
  <c r="AD991" i="6"/>
  <c r="AF991" i="6" s="1"/>
  <c r="AG991" i="6" s="1"/>
  <c r="AD999" i="6"/>
  <c r="AF999" i="6" s="1"/>
  <c r="AG999" i="6" s="1"/>
  <c r="AD1007" i="6"/>
  <c r="AF1007" i="6" s="1"/>
  <c r="AG1007" i="6" s="1"/>
  <c r="AD1015" i="6"/>
  <c r="AF1015" i="6" s="1"/>
  <c r="AG1015" i="6" s="1"/>
  <c r="AD1023" i="6"/>
  <c r="AF1023" i="6" s="1"/>
  <c r="AG1023" i="6" s="1"/>
  <c r="AD1031" i="6"/>
  <c r="AF1031" i="6" s="1"/>
  <c r="AG1031" i="6" s="1"/>
  <c r="AD1039" i="6"/>
  <c r="AF1039" i="6" s="1"/>
  <c r="AG1039" i="6" s="1"/>
  <c r="AD1047" i="6"/>
  <c r="AF1047" i="6" s="1"/>
  <c r="AG1047" i="6" s="1"/>
  <c r="AD1055" i="6"/>
  <c r="AF1055" i="6" s="1"/>
  <c r="AG1055" i="6" s="1"/>
  <c r="AD1063" i="6"/>
  <c r="AF1063" i="6" s="1"/>
  <c r="AG1063" i="6" s="1"/>
  <c r="AD1071" i="6"/>
  <c r="AF1071" i="6" s="1"/>
  <c r="AG1071" i="6" s="1"/>
  <c r="AD1079" i="6"/>
  <c r="AF1079" i="6" s="1"/>
  <c r="AG1079" i="6" s="1"/>
  <c r="AD1087" i="6"/>
  <c r="AF1087" i="6" s="1"/>
  <c r="AG1087" i="6" s="1"/>
  <c r="AD1095" i="6"/>
  <c r="AF1095" i="6" s="1"/>
  <c r="AG1095" i="6" s="1"/>
  <c r="AD1103" i="6"/>
  <c r="AF1103" i="6" s="1"/>
  <c r="AG1103" i="6" s="1"/>
  <c r="AD1111" i="6"/>
  <c r="AF1111" i="6" s="1"/>
  <c r="AG1111" i="6" s="1"/>
  <c r="AD1119" i="6"/>
  <c r="AF1119" i="6" s="1"/>
  <c r="AG1119" i="6" s="1"/>
  <c r="AD1127" i="6"/>
  <c r="AF1127" i="6" s="1"/>
  <c r="AG1127" i="6" s="1"/>
  <c r="AD1135" i="6"/>
  <c r="AF1135" i="6" s="1"/>
  <c r="AG1135" i="6" s="1"/>
  <c r="AD1143" i="6"/>
  <c r="AF1143" i="6" s="1"/>
  <c r="AG1143" i="6" s="1"/>
  <c r="AD1151" i="6"/>
  <c r="AF1151" i="6" s="1"/>
  <c r="AG1151" i="6" s="1"/>
  <c r="AD1159" i="6"/>
  <c r="AF1159" i="6" s="1"/>
  <c r="AG1159" i="6" s="1"/>
  <c r="AD1167" i="6"/>
  <c r="AF1167" i="6" s="1"/>
  <c r="AG1167" i="6" s="1"/>
  <c r="AD1175" i="6"/>
  <c r="AF1175" i="6" s="1"/>
  <c r="AG1175" i="6" s="1"/>
  <c r="AD1183" i="6"/>
  <c r="AF1183" i="6" s="1"/>
  <c r="AG1183" i="6" s="1"/>
  <c r="AD1191" i="6"/>
  <c r="AF1191" i="6" s="1"/>
  <c r="AG1191" i="6" s="1"/>
  <c r="AD1199" i="6"/>
  <c r="AF1199" i="6" s="1"/>
  <c r="AG1199" i="6" s="1"/>
  <c r="AD1207" i="6"/>
  <c r="AF1207" i="6" s="1"/>
  <c r="AG1207" i="6" s="1"/>
  <c r="AD1215" i="6"/>
  <c r="AF1215" i="6" s="1"/>
  <c r="AG1215" i="6" s="1"/>
  <c r="AD1223" i="6"/>
  <c r="AF1223" i="6" s="1"/>
  <c r="AG1223" i="6" s="1"/>
  <c r="AD1231" i="6"/>
  <c r="AF1231" i="6" s="1"/>
  <c r="AG1231" i="6" s="1"/>
  <c r="AD1239" i="6"/>
  <c r="AF1239" i="6" s="1"/>
  <c r="AG1239" i="6" s="1"/>
  <c r="AD1247" i="6"/>
  <c r="AF1247" i="6" s="1"/>
  <c r="AG1247" i="6" s="1"/>
  <c r="AD1255" i="6"/>
  <c r="AF1255" i="6" s="1"/>
  <c r="AG1255" i="6" s="1"/>
  <c r="AD1263" i="6"/>
  <c r="AF1263" i="6" s="1"/>
  <c r="AG1263" i="6" s="1"/>
  <c r="AD1271" i="6"/>
  <c r="AF1271" i="6" s="1"/>
  <c r="AG1271" i="6" s="1"/>
  <c r="AD1279" i="6"/>
  <c r="AF1279" i="6" s="1"/>
  <c r="AG1279" i="6" s="1"/>
  <c r="AD1287" i="6"/>
  <c r="AF1287" i="6" s="1"/>
  <c r="AG1287" i="6" s="1"/>
  <c r="AD1295" i="6"/>
  <c r="AF1295" i="6" s="1"/>
  <c r="AG1295" i="6" s="1"/>
  <c r="AD1303" i="6"/>
  <c r="AF1303" i="6" s="1"/>
  <c r="AG1303" i="6" s="1"/>
  <c r="AD1311" i="6"/>
  <c r="AF1311" i="6" s="1"/>
  <c r="AG1311" i="6" s="1"/>
  <c r="AD384" i="6"/>
  <c r="AF384" i="6" s="1"/>
  <c r="AG384" i="6" s="1"/>
  <c r="AD393" i="6"/>
  <c r="AF393" i="6" s="1"/>
  <c r="AG393" i="6" s="1"/>
  <c r="AD402" i="6"/>
  <c r="AF402" i="6" s="1"/>
  <c r="AG402" i="6" s="1"/>
  <c r="AD411" i="6"/>
  <c r="AF411" i="6" s="1"/>
  <c r="AG411" i="6" s="1"/>
  <c r="AD420" i="6"/>
  <c r="AF420" i="6" s="1"/>
  <c r="AG420" i="6" s="1"/>
  <c r="AD430" i="6"/>
  <c r="AF430" i="6" s="1"/>
  <c r="AG430" i="6" s="1"/>
  <c r="AD439" i="6"/>
  <c r="AF439" i="6" s="1"/>
  <c r="AG439" i="6" s="1"/>
  <c r="AD448" i="6"/>
  <c r="AF448" i="6" s="1"/>
  <c r="AG448" i="6" s="1"/>
  <c r="AD456" i="6"/>
  <c r="AF456" i="6" s="1"/>
  <c r="AG456" i="6" s="1"/>
  <c r="AD464" i="6"/>
  <c r="AF464" i="6" s="1"/>
  <c r="AG464" i="6" s="1"/>
  <c r="AD472" i="6"/>
  <c r="AF472" i="6" s="1"/>
  <c r="AG472" i="6" s="1"/>
  <c r="AD480" i="6"/>
  <c r="AF480" i="6" s="1"/>
  <c r="AG480" i="6" s="1"/>
  <c r="AD488" i="6"/>
  <c r="AF488" i="6" s="1"/>
  <c r="AG488" i="6" s="1"/>
  <c r="AD496" i="6"/>
  <c r="AF496" i="6" s="1"/>
  <c r="AG496" i="6" s="1"/>
  <c r="AD504" i="6"/>
  <c r="AF504" i="6" s="1"/>
  <c r="AG504" i="6" s="1"/>
  <c r="AD512" i="6"/>
  <c r="AF512" i="6" s="1"/>
  <c r="AG512" i="6" s="1"/>
  <c r="AD520" i="6"/>
  <c r="AF520" i="6" s="1"/>
  <c r="AG520" i="6" s="1"/>
  <c r="AD528" i="6"/>
  <c r="AF528" i="6" s="1"/>
  <c r="AG528" i="6" s="1"/>
  <c r="AD536" i="6"/>
  <c r="AF536" i="6" s="1"/>
  <c r="AG536" i="6" s="1"/>
  <c r="AD544" i="6"/>
  <c r="AF544" i="6" s="1"/>
  <c r="AG544" i="6" s="1"/>
  <c r="AD552" i="6"/>
  <c r="AF552" i="6" s="1"/>
  <c r="AG552" i="6" s="1"/>
  <c r="AD560" i="6"/>
  <c r="AF560" i="6" s="1"/>
  <c r="AG560" i="6" s="1"/>
  <c r="AD568" i="6"/>
  <c r="AF568" i="6" s="1"/>
  <c r="AG568" i="6" s="1"/>
  <c r="AD576" i="6"/>
  <c r="AF576" i="6" s="1"/>
  <c r="AG576" i="6" s="1"/>
  <c r="AD584" i="6"/>
  <c r="AF584" i="6" s="1"/>
  <c r="AG584" i="6" s="1"/>
  <c r="AD592" i="6"/>
  <c r="AF592" i="6" s="1"/>
  <c r="AG592" i="6" s="1"/>
  <c r="AD600" i="6"/>
  <c r="AF600" i="6" s="1"/>
  <c r="AG600" i="6" s="1"/>
  <c r="AD608" i="6"/>
  <c r="AF608" i="6" s="1"/>
  <c r="AG608" i="6" s="1"/>
  <c r="AD616" i="6"/>
  <c r="AF616" i="6" s="1"/>
  <c r="AG616" i="6" s="1"/>
  <c r="AD624" i="6"/>
  <c r="AF624" i="6" s="1"/>
  <c r="AG624" i="6" s="1"/>
  <c r="AD632" i="6"/>
  <c r="AF632" i="6" s="1"/>
  <c r="AG632" i="6" s="1"/>
  <c r="AD640" i="6"/>
  <c r="AF640" i="6" s="1"/>
  <c r="AG640" i="6" s="1"/>
  <c r="AD648" i="6"/>
  <c r="AF648" i="6" s="1"/>
  <c r="AG648" i="6" s="1"/>
  <c r="AD656" i="6"/>
  <c r="AF656" i="6" s="1"/>
  <c r="AG656" i="6" s="1"/>
  <c r="AD664" i="6"/>
  <c r="AF664" i="6" s="1"/>
  <c r="AG664" i="6" s="1"/>
  <c r="AD672" i="6"/>
  <c r="AF672" i="6" s="1"/>
  <c r="AG672" i="6" s="1"/>
  <c r="AD680" i="6"/>
  <c r="AF680" i="6" s="1"/>
  <c r="AG680" i="6" s="1"/>
  <c r="AD688" i="6"/>
  <c r="AF688" i="6" s="1"/>
  <c r="AG688" i="6" s="1"/>
  <c r="AD696" i="6"/>
  <c r="AF696" i="6" s="1"/>
  <c r="AG696" i="6" s="1"/>
  <c r="AD704" i="6"/>
  <c r="AF704" i="6" s="1"/>
  <c r="AG704" i="6" s="1"/>
  <c r="AD712" i="6"/>
  <c r="AF712" i="6" s="1"/>
  <c r="AG712" i="6" s="1"/>
  <c r="AD720" i="6"/>
  <c r="AF720" i="6" s="1"/>
  <c r="AG720" i="6" s="1"/>
  <c r="AD728" i="6"/>
  <c r="AF728" i="6" s="1"/>
  <c r="AG728" i="6" s="1"/>
  <c r="AD736" i="6"/>
  <c r="AF736" i="6" s="1"/>
  <c r="AG736" i="6" s="1"/>
  <c r="AD744" i="6"/>
  <c r="AF744" i="6" s="1"/>
  <c r="AG744" i="6" s="1"/>
  <c r="AD752" i="6"/>
  <c r="AF752" i="6" s="1"/>
  <c r="AG752" i="6" s="1"/>
  <c r="AD760" i="6"/>
  <c r="AF760" i="6" s="1"/>
  <c r="AG760" i="6" s="1"/>
  <c r="AD768" i="6"/>
  <c r="AF768" i="6" s="1"/>
  <c r="AG768" i="6" s="1"/>
  <c r="AD776" i="6"/>
  <c r="AF776" i="6" s="1"/>
  <c r="AG776" i="6" s="1"/>
  <c r="AD784" i="6"/>
  <c r="AF784" i="6" s="1"/>
  <c r="AG784" i="6" s="1"/>
  <c r="AD792" i="6"/>
  <c r="AF792" i="6" s="1"/>
  <c r="AG792" i="6" s="1"/>
  <c r="AD800" i="6"/>
  <c r="AF800" i="6" s="1"/>
  <c r="AG800" i="6" s="1"/>
  <c r="AD808" i="6"/>
  <c r="AF808" i="6" s="1"/>
  <c r="AG808" i="6" s="1"/>
  <c r="AD816" i="6"/>
  <c r="AF816" i="6" s="1"/>
  <c r="AG816" i="6" s="1"/>
  <c r="AD824" i="6"/>
  <c r="AF824" i="6" s="1"/>
  <c r="AG824" i="6" s="1"/>
  <c r="AD832" i="6"/>
  <c r="AF832" i="6" s="1"/>
  <c r="AG832" i="6" s="1"/>
  <c r="AD840" i="6"/>
  <c r="AF840" i="6" s="1"/>
  <c r="AG840" i="6" s="1"/>
  <c r="AD848" i="6"/>
  <c r="AF848" i="6" s="1"/>
  <c r="AG848" i="6" s="1"/>
  <c r="AD856" i="6"/>
  <c r="AF856" i="6" s="1"/>
  <c r="AG856" i="6" s="1"/>
  <c r="AD864" i="6"/>
  <c r="AF864" i="6" s="1"/>
  <c r="AG864" i="6" s="1"/>
  <c r="AD872" i="6"/>
  <c r="AF872" i="6" s="1"/>
  <c r="AG872" i="6" s="1"/>
  <c r="AD880" i="6"/>
  <c r="AF880" i="6" s="1"/>
  <c r="AG880" i="6" s="1"/>
  <c r="AD888" i="6"/>
  <c r="AF888" i="6" s="1"/>
  <c r="AG888" i="6" s="1"/>
  <c r="AD896" i="6"/>
  <c r="AF896" i="6" s="1"/>
  <c r="AG896" i="6" s="1"/>
  <c r="AD904" i="6"/>
  <c r="AF904" i="6" s="1"/>
  <c r="AG904" i="6" s="1"/>
  <c r="AD912" i="6"/>
  <c r="AF912" i="6" s="1"/>
  <c r="AG912" i="6" s="1"/>
  <c r="AD920" i="6"/>
  <c r="AF920" i="6" s="1"/>
  <c r="AG920" i="6" s="1"/>
  <c r="AD928" i="6"/>
  <c r="AF928" i="6" s="1"/>
  <c r="AG928" i="6" s="1"/>
  <c r="AD936" i="6"/>
  <c r="AF936" i="6" s="1"/>
  <c r="AG936" i="6" s="1"/>
  <c r="AD944" i="6"/>
  <c r="AF944" i="6" s="1"/>
  <c r="AG944" i="6" s="1"/>
  <c r="AD952" i="6"/>
  <c r="AF952" i="6" s="1"/>
  <c r="AG952" i="6" s="1"/>
  <c r="AD960" i="6"/>
  <c r="AF960" i="6" s="1"/>
  <c r="AG960" i="6" s="1"/>
  <c r="AD968" i="6"/>
  <c r="AF968" i="6" s="1"/>
  <c r="AG968" i="6" s="1"/>
  <c r="AD976" i="6"/>
  <c r="AF976" i="6" s="1"/>
  <c r="AG976" i="6" s="1"/>
  <c r="AD984" i="6"/>
  <c r="AF984" i="6" s="1"/>
  <c r="AG984" i="6" s="1"/>
  <c r="AD992" i="6"/>
  <c r="AF992" i="6" s="1"/>
  <c r="AG992" i="6" s="1"/>
  <c r="AD1000" i="6"/>
  <c r="AF1000" i="6" s="1"/>
  <c r="AG1000" i="6" s="1"/>
  <c r="AD1008" i="6"/>
  <c r="AF1008" i="6" s="1"/>
  <c r="AG1008" i="6" s="1"/>
  <c r="AD1016" i="6"/>
  <c r="AF1016" i="6" s="1"/>
  <c r="AG1016" i="6" s="1"/>
  <c r="AD1024" i="6"/>
  <c r="AF1024" i="6" s="1"/>
  <c r="AG1024" i="6" s="1"/>
  <c r="AD1032" i="6"/>
  <c r="AF1032" i="6" s="1"/>
  <c r="AG1032" i="6" s="1"/>
  <c r="AD1040" i="6"/>
  <c r="AF1040" i="6" s="1"/>
  <c r="AG1040" i="6" s="1"/>
  <c r="AD1048" i="6"/>
  <c r="AF1048" i="6" s="1"/>
  <c r="AG1048" i="6" s="1"/>
  <c r="AD1056" i="6"/>
  <c r="AF1056" i="6" s="1"/>
  <c r="AG1056" i="6" s="1"/>
  <c r="AD1064" i="6"/>
  <c r="AF1064" i="6" s="1"/>
  <c r="AG1064" i="6" s="1"/>
  <c r="AD1072" i="6"/>
  <c r="AF1072" i="6" s="1"/>
  <c r="AG1072" i="6" s="1"/>
  <c r="AD1080" i="6"/>
  <c r="AF1080" i="6" s="1"/>
  <c r="AG1080" i="6" s="1"/>
  <c r="AD1088" i="6"/>
  <c r="AF1088" i="6" s="1"/>
  <c r="AG1088" i="6" s="1"/>
  <c r="AD1096" i="6"/>
  <c r="AF1096" i="6" s="1"/>
  <c r="AG1096" i="6" s="1"/>
  <c r="AD1104" i="6"/>
  <c r="AF1104" i="6" s="1"/>
  <c r="AG1104" i="6" s="1"/>
  <c r="AD1112" i="6"/>
  <c r="AF1112" i="6" s="1"/>
  <c r="AG1112" i="6" s="1"/>
  <c r="AD1120" i="6"/>
  <c r="AF1120" i="6" s="1"/>
  <c r="AG1120" i="6" s="1"/>
  <c r="AD1128" i="6"/>
  <c r="AF1128" i="6" s="1"/>
  <c r="AG1128" i="6" s="1"/>
  <c r="AD1136" i="6"/>
  <c r="AF1136" i="6" s="1"/>
  <c r="AG1136" i="6" s="1"/>
  <c r="AD1144" i="6"/>
  <c r="AF1144" i="6" s="1"/>
  <c r="AG1144" i="6" s="1"/>
  <c r="AD1152" i="6"/>
  <c r="AF1152" i="6" s="1"/>
  <c r="AG1152" i="6" s="1"/>
  <c r="AD1160" i="6"/>
  <c r="AF1160" i="6" s="1"/>
  <c r="AG1160" i="6" s="1"/>
  <c r="AD1168" i="6"/>
  <c r="AF1168" i="6" s="1"/>
  <c r="AG1168" i="6" s="1"/>
  <c r="AD1176" i="6"/>
  <c r="AF1176" i="6" s="1"/>
  <c r="AG1176" i="6" s="1"/>
  <c r="AD1184" i="6"/>
  <c r="AF1184" i="6" s="1"/>
  <c r="AG1184" i="6" s="1"/>
  <c r="AD1192" i="6"/>
  <c r="AF1192" i="6" s="1"/>
  <c r="AG1192" i="6" s="1"/>
  <c r="AD1200" i="6"/>
  <c r="AF1200" i="6" s="1"/>
  <c r="AG1200" i="6" s="1"/>
  <c r="AD1208" i="6"/>
  <c r="AF1208" i="6" s="1"/>
  <c r="AG1208" i="6" s="1"/>
  <c r="AD1216" i="6"/>
  <c r="AF1216" i="6" s="1"/>
  <c r="AG1216" i="6" s="1"/>
  <c r="AD1224" i="6"/>
  <c r="AF1224" i="6" s="1"/>
  <c r="AG1224" i="6" s="1"/>
  <c r="AD1232" i="6"/>
  <c r="AF1232" i="6" s="1"/>
  <c r="AG1232" i="6" s="1"/>
  <c r="AD1240" i="6"/>
  <c r="AF1240" i="6" s="1"/>
  <c r="AG1240" i="6" s="1"/>
  <c r="AD1248" i="6"/>
  <c r="AF1248" i="6" s="1"/>
  <c r="AG1248" i="6" s="1"/>
  <c r="AD1256" i="6"/>
  <c r="AF1256" i="6" s="1"/>
  <c r="AG1256" i="6" s="1"/>
  <c r="AD1264" i="6"/>
  <c r="AF1264" i="6" s="1"/>
  <c r="AG1264" i="6" s="1"/>
  <c r="AD1272" i="6"/>
  <c r="AF1272" i="6" s="1"/>
  <c r="AG1272" i="6" s="1"/>
  <c r="AD1280" i="6"/>
  <c r="AF1280" i="6" s="1"/>
  <c r="AG1280" i="6" s="1"/>
  <c r="AD1288" i="6"/>
  <c r="AF1288" i="6" s="1"/>
  <c r="AG1288" i="6" s="1"/>
  <c r="AD1296" i="6"/>
  <c r="AF1296" i="6" s="1"/>
  <c r="AG1296" i="6" s="1"/>
  <c r="AD1304" i="6"/>
  <c r="AF1304" i="6" s="1"/>
  <c r="AG1304" i="6" s="1"/>
  <c r="AD385" i="6"/>
  <c r="AF385" i="6" s="1"/>
  <c r="AG385" i="6" s="1"/>
  <c r="AD394" i="6"/>
  <c r="AF394" i="6" s="1"/>
  <c r="AG394" i="6" s="1"/>
  <c r="AD403" i="6"/>
  <c r="AF403" i="6" s="1"/>
  <c r="AG403" i="6" s="1"/>
  <c r="AD412" i="6"/>
  <c r="AF412" i="6" s="1"/>
  <c r="AG412" i="6" s="1"/>
  <c r="AD422" i="6"/>
  <c r="AF422" i="6" s="1"/>
  <c r="AG422" i="6" s="1"/>
  <c r="AD431" i="6"/>
  <c r="AF431" i="6" s="1"/>
  <c r="AG431" i="6" s="1"/>
  <c r="AD440" i="6"/>
  <c r="AF440" i="6" s="1"/>
  <c r="AG440" i="6" s="1"/>
  <c r="AD449" i="6"/>
  <c r="AF449" i="6" s="1"/>
  <c r="AG449" i="6" s="1"/>
  <c r="AD457" i="6"/>
  <c r="AF457" i="6" s="1"/>
  <c r="AG457" i="6" s="1"/>
  <c r="AD465" i="6"/>
  <c r="AF465" i="6" s="1"/>
  <c r="AG465" i="6" s="1"/>
  <c r="AD473" i="6"/>
  <c r="AF473" i="6" s="1"/>
  <c r="AG473" i="6" s="1"/>
  <c r="AD481" i="6"/>
  <c r="AF481" i="6" s="1"/>
  <c r="AG481" i="6" s="1"/>
  <c r="AD489" i="6"/>
  <c r="AF489" i="6" s="1"/>
  <c r="AG489" i="6" s="1"/>
  <c r="AD497" i="6"/>
  <c r="AF497" i="6" s="1"/>
  <c r="AG497" i="6" s="1"/>
  <c r="AD505" i="6"/>
  <c r="AF505" i="6" s="1"/>
  <c r="AG505" i="6" s="1"/>
  <c r="AD513" i="6"/>
  <c r="AF513" i="6" s="1"/>
  <c r="AG513" i="6" s="1"/>
  <c r="AD521" i="6"/>
  <c r="AF521" i="6" s="1"/>
  <c r="AG521" i="6" s="1"/>
  <c r="AD529" i="6"/>
  <c r="AF529" i="6" s="1"/>
  <c r="AG529" i="6" s="1"/>
  <c r="AD537" i="6"/>
  <c r="AF537" i="6" s="1"/>
  <c r="AG537" i="6" s="1"/>
  <c r="AD545" i="6"/>
  <c r="AF545" i="6" s="1"/>
  <c r="AG545" i="6" s="1"/>
  <c r="AD553" i="6"/>
  <c r="AF553" i="6" s="1"/>
  <c r="AG553" i="6" s="1"/>
  <c r="AD561" i="6"/>
  <c r="AF561" i="6" s="1"/>
  <c r="AG561" i="6" s="1"/>
  <c r="AD569" i="6"/>
  <c r="AF569" i="6" s="1"/>
  <c r="AG569" i="6" s="1"/>
  <c r="AD577" i="6"/>
  <c r="AF577" i="6" s="1"/>
  <c r="AG577" i="6" s="1"/>
  <c r="AD585" i="6"/>
  <c r="AF585" i="6" s="1"/>
  <c r="AG585" i="6" s="1"/>
  <c r="AD593" i="6"/>
  <c r="AF593" i="6" s="1"/>
  <c r="AG593" i="6" s="1"/>
  <c r="AD601" i="6"/>
  <c r="AF601" i="6" s="1"/>
  <c r="AG601" i="6" s="1"/>
  <c r="AD609" i="6"/>
  <c r="AF609" i="6" s="1"/>
  <c r="AG609" i="6" s="1"/>
  <c r="AD617" i="6"/>
  <c r="AF617" i="6" s="1"/>
  <c r="AG617" i="6" s="1"/>
  <c r="AD625" i="6"/>
  <c r="AF625" i="6" s="1"/>
  <c r="AG625" i="6" s="1"/>
  <c r="AD633" i="6"/>
  <c r="AF633" i="6" s="1"/>
  <c r="AG633" i="6" s="1"/>
  <c r="AD641" i="6"/>
  <c r="AF641" i="6" s="1"/>
  <c r="AG641" i="6" s="1"/>
  <c r="AD649" i="6"/>
  <c r="AF649" i="6" s="1"/>
  <c r="AG649" i="6" s="1"/>
  <c r="AD657" i="6"/>
  <c r="AF657" i="6" s="1"/>
  <c r="AG657" i="6" s="1"/>
  <c r="AD665" i="6"/>
  <c r="AF665" i="6" s="1"/>
  <c r="AG665" i="6" s="1"/>
  <c r="AD673" i="6"/>
  <c r="AF673" i="6" s="1"/>
  <c r="AG673" i="6" s="1"/>
  <c r="AD681" i="6"/>
  <c r="AF681" i="6" s="1"/>
  <c r="AG681" i="6" s="1"/>
  <c r="AD689" i="6"/>
  <c r="AF689" i="6" s="1"/>
  <c r="AG689" i="6" s="1"/>
  <c r="AD697" i="6"/>
  <c r="AF697" i="6" s="1"/>
  <c r="AG697" i="6" s="1"/>
  <c r="AD705" i="6"/>
  <c r="AF705" i="6" s="1"/>
  <c r="AG705" i="6" s="1"/>
  <c r="AD713" i="6"/>
  <c r="AF713" i="6" s="1"/>
  <c r="AG713" i="6" s="1"/>
  <c r="AD721" i="6"/>
  <c r="AF721" i="6" s="1"/>
  <c r="AG721" i="6" s="1"/>
  <c r="AD729" i="6"/>
  <c r="AF729" i="6" s="1"/>
  <c r="AG729" i="6" s="1"/>
  <c r="AD737" i="6"/>
  <c r="AF737" i="6" s="1"/>
  <c r="AG737" i="6" s="1"/>
  <c r="AD745" i="6"/>
  <c r="AF745" i="6" s="1"/>
  <c r="AG745" i="6" s="1"/>
  <c r="AD753" i="6"/>
  <c r="AF753" i="6" s="1"/>
  <c r="AG753" i="6" s="1"/>
  <c r="AD761" i="6"/>
  <c r="AF761" i="6" s="1"/>
  <c r="AG761" i="6" s="1"/>
  <c r="AD769" i="6"/>
  <c r="AF769" i="6" s="1"/>
  <c r="AG769" i="6" s="1"/>
  <c r="AD777" i="6"/>
  <c r="AF777" i="6" s="1"/>
  <c r="AG777" i="6" s="1"/>
  <c r="AD785" i="6"/>
  <c r="AF785" i="6" s="1"/>
  <c r="AG785" i="6" s="1"/>
  <c r="AD793" i="6"/>
  <c r="AF793" i="6" s="1"/>
  <c r="AG793" i="6" s="1"/>
  <c r="AD801" i="6"/>
  <c r="AF801" i="6" s="1"/>
  <c r="AG801" i="6" s="1"/>
  <c r="AD809" i="6"/>
  <c r="AF809" i="6" s="1"/>
  <c r="AG809" i="6" s="1"/>
  <c r="AD817" i="6"/>
  <c r="AF817" i="6" s="1"/>
  <c r="AG817" i="6" s="1"/>
  <c r="AD825" i="6"/>
  <c r="AF825" i="6" s="1"/>
  <c r="AG825" i="6" s="1"/>
  <c r="AD833" i="6"/>
  <c r="AF833" i="6" s="1"/>
  <c r="AG833" i="6" s="1"/>
  <c r="AD841" i="6"/>
  <c r="AF841" i="6" s="1"/>
  <c r="AG841" i="6" s="1"/>
  <c r="AD849" i="6"/>
  <c r="AF849" i="6" s="1"/>
  <c r="AG849" i="6" s="1"/>
  <c r="AD857" i="6"/>
  <c r="AF857" i="6" s="1"/>
  <c r="AG857" i="6" s="1"/>
  <c r="AD865" i="6"/>
  <c r="AF865" i="6" s="1"/>
  <c r="AG865" i="6" s="1"/>
  <c r="AD873" i="6"/>
  <c r="AF873" i="6" s="1"/>
  <c r="AG873" i="6" s="1"/>
  <c r="AD881" i="6"/>
  <c r="AF881" i="6" s="1"/>
  <c r="AG881" i="6" s="1"/>
  <c r="AD889" i="6"/>
  <c r="AF889" i="6" s="1"/>
  <c r="AG889" i="6" s="1"/>
  <c r="AD897" i="6"/>
  <c r="AF897" i="6" s="1"/>
  <c r="AG897" i="6" s="1"/>
  <c r="AD905" i="6"/>
  <c r="AF905" i="6" s="1"/>
  <c r="AG905" i="6" s="1"/>
  <c r="AD913" i="6"/>
  <c r="AF913" i="6" s="1"/>
  <c r="AG913" i="6" s="1"/>
  <c r="AD921" i="6"/>
  <c r="AF921" i="6" s="1"/>
  <c r="AG921" i="6" s="1"/>
  <c r="AD929" i="6"/>
  <c r="AF929" i="6" s="1"/>
  <c r="AG929" i="6" s="1"/>
  <c r="AD937" i="6"/>
  <c r="AF937" i="6" s="1"/>
  <c r="AG937" i="6" s="1"/>
  <c r="AD945" i="6"/>
  <c r="AF945" i="6" s="1"/>
  <c r="AG945" i="6" s="1"/>
  <c r="AD953" i="6"/>
  <c r="AF953" i="6" s="1"/>
  <c r="AG953" i="6" s="1"/>
  <c r="AD961" i="6"/>
  <c r="AF961" i="6" s="1"/>
  <c r="AG961" i="6" s="1"/>
  <c r="AD969" i="6"/>
  <c r="AF969" i="6" s="1"/>
  <c r="AG969" i="6" s="1"/>
  <c r="AD977" i="6"/>
  <c r="AF977" i="6" s="1"/>
  <c r="AG977" i="6" s="1"/>
  <c r="AD985" i="6"/>
  <c r="AF985" i="6" s="1"/>
  <c r="AG985" i="6" s="1"/>
  <c r="AD993" i="6"/>
  <c r="AF993" i="6" s="1"/>
  <c r="AG993" i="6" s="1"/>
  <c r="AD1001" i="6"/>
  <c r="AF1001" i="6" s="1"/>
  <c r="AG1001" i="6" s="1"/>
  <c r="AD1009" i="6"/>
  <c r="AF1009" i="6" s="1"/>
  <c r="AG1009" i="6" s="1"/>
  <c r="AD1017" i="6"/>
  <c r="AF1017" i="6" s="1"/>
  <c r="AG1017" i="6" s="1"/>
  <c r="AD1025" i="6"/>
  <c r="AF1025" i="6" s="1"/>
  <c r="AG1025" i="6" s="1"/>
  <c r="AD1033" i="6"/>
  <c r="AF1033" i="6" s="1"/>
  <c r="AG1033" i="6" s="1"/>
  <c r="AD1041" i="6"/>
  <c r="AF1041" i="6" s="1"/>
  <c r="AG1041" i="6" s="1"/>
  <c r="AD1049" i="6"/>
  <c r="AF1049" i="6" s="1"/>
  <c r="AG1049" i="6" s="1"/>
  <c r="AD1057" i="6"/>
  <c r="AF1057" i="6" s="1"/>
  <c r="AG1057" i="6" s="1"/>
  <c r="AD1065" i="6"/>
  <c r="AF1065" i="6" s="1"/>
  <c r="AG1065" i="6" s="1"/>
  <c r="AD1073" i="6"/>
  <c r="AF1073" i="6" s="1"/>
  <c r="AG1073" i="6" s="1"/>
  <c r="AD1081" i="6"/>
  <c r="AF1081" i="6" s="1"/>
  <c r="AG1081" i="6" s="1"/>
  <c r="AD1089" i="6"/>
  <c r="AF1089" i="6" s="1"/>
  <c r="AG1089" i="6" s="1"/>
  <c r="AD1097" i="6"/>
  <c r="AF1097" i="6" s="1"/>
  <c r="AG1097" i="6" s="1"/>
  <c r="AD1105" i="6"/>
  <c r="AF1105" i="6" s="1"/>
  <c r="AG1105" i="6" s="1"/>
  <c r="AD1113" i="6"/>
  <c r="AF1113" i="6" s="1"/>
  <c r="AG1113" i="6" s="1"/>
  <c r="AD1121" i="6"/>
  <c r="AF1121" i="6" s="1"/>
  <c r="AG1121" i="6" s="1"/>
  <c r="AD386" i="6"/>
  <c r="AF386" i="6" s="1"/>
  <c r="AG386" i="6" s="1"/>
  <c r="AD395" i="6"/>
  <c r="AF395" i="6" s="1"/>
  <c r="AG395" i="6" s="1"/>
  <c r="AD404" i="6"/>
  <c r="AF404" i="6" s="1"/>
  <c r="AG404" i="6" s="1"/>
  <c r="AD414" i="6"/>
  <c r="AF414" i="6" s="1"/>
  <c r="AG414" i="6" s="1"/>
  <c r="AD423" i="6"/>
  <c r="AF423" i="6" s="1"/>
  <c r="AG423" i="6" s="1"/>
  <c r="AD432" i="6"/>
  <c r="AF432" i="6" s="1"/>
  <c r="AG432" i="6" s="1"/>
  <c r="AD441" i="6"/>
  <c r="AF441" i="6" s="1"/>
  <c r="AG441" i="6" s="1"/>
  <c r="AD450" i="6"/>
  <c r="AF450" i="6" s="1"/>
  <c r="AG450" i="6" s="1"/>
  <c r="AD458" i="6"/>
  <c r="AF458" i="6" s="1"/>
  <c r="AG458" i="6" s="1"/>
  <c r="AD466" i="6"/>
  <c r="AF466" i="6" s="1"/>
  <c r="AG466" i="6" s="1"/>
  <c r="AD474" i="6"/>
  <c r="AF474" i="6" s="1"/>
  <c r="AG474" i="6" s="1"/>
  <c r="AD482" i="6"/>
  <c r="AF482" i="6" s="1"/>
  <c r="AG482" i="6" s="1"/>
  <c r="AD490" i="6"/>
  <c r="AF490" i="6" s="1"/>
  <c r="AG490" i="6" s="1"/>
  <c r="AD498" i="6"/>
  <c r="AF498" i="6" s="1"/>
  <c r="AG498" i="6" s="1"/>
  <c r="AD506" i="6"/>
  <c r="AF506" i="6" s="1"/>
  <c r="AG506" i="6" s="1"/>
  <c r="AD514" i="6"/>
  <c r="AF514" i="6" s="1"/>
  <c r="AG514" i="6" s="1"/>
  <c r="AD522" i="6"/>
  <c r="AF522" i="6" s="1"/>
  <c r="AG522" i="6" s="1"/>
  <c r="AD530" i="6"/>
  <c r="AF530" i="6" s="1"/>
  <c r="AG530" i="6" s="1"/>
  <c r="AD538" i="6"/>
  <c r="AF538" i="6" s="1"/>
  <c r="AG538" i="6" s="1"/>
  <c r="AD546" i="6"/>
  <c r="AF546" i="6" s="1"/>
  <c r="AG546" i="6" s="1"/>
  <c r="AD554" i="6"/>
  <c r="AF554" i="6" s="1"/>
  <c r="AG554" i="6" s="1"/>
  <c r="AD562" i="6"/>
  <c r="AF562" i="6" s="1"/>
  <c r="AG562" i="6" s="1"/>
  <c r="AD570" i="6"/>
  <c r="AF570" i="6" s="1"/>
  <c r="AG570" i="6" s="1"/>
  <c r="AD578" i="6"/>
  <c r="AF578" i="6" s="1"/>
  <c r="AG578" i="6" s="1"/>
  <c r="AD586" i="6"/>
  <c r="AF586" i="6" s="1"/>
  <c r="AG586" i="6" s="1"/>
  <c r="AD594" i="6"/>
  <c r="AF594" i="6" s="1"/>
  <c r="AG594" i="6" s="1"/>
  <c r="AD602" i="6"/>
  <c r="AF602" i="6" s="1"/>
  <c r="AG602" i="6" s="1"/>
  <c r="AD610" i="6"/>
  <c r="AF610" i="6" s="1"/>
  <c r="AG610" i="6" s="1"/>
  <c r="AD618" i="6"/>
  <c r="AF618" i="6" s="1"/>
  <c r="AG618" i="6" s="1"/>
  <c r="AD626" i="6"/>
  <c r="AF626" i="6" s="1"/>
  <c r="AG626" i="6" s="1"/>
  <c r="AD634" i="6"/>
  <c r="AF634" i="6" s="1"/>
  <c r="AG634" i="6" s="1"/>
  <c r="AD642" i="6"/>
  <c r="AF642" i="6" s="1"/>
  <c r="AG642" i="6" s="1"/>
  <c r="AD650" i="6"/>
  <c r="AF650" i="6" s="1"/>
  <c r="AG650" i="6" s="1"/>
  <c r="AD658" i="6"/>
  <c r="AF658" i="6" s="1"/>
  <c r="AG658" i="6" s="1"/>
  <c r="AD666" i="6"/>
  <c r="AF666" i="6" s="1"/>
  <c r="AG666" i="6" s="1"/>
  <c r="AD674" i="6"/>
  <c r="AF674" i="6" s="1"/>
  <c r="AG674" i="6" s="1"/>
  <c r="AD682" i="6"/>
  <c r="AF682" i="6" s="1"/>
  <c r="AG682" i="6" s="1"/>
  <c r="AD690" i="6"/>
  <c r="AF690" i="6" s="1"/>
  <c r="AG690" i="6" s="1"/>
  <c r="AD698" i="6"/>
  <c r="AF698" i="6" s="1"/>
  <c r="AG698" i="6" s="1"/>
  <c r="AD706" i="6"/>
  <c r="AF706" i="6" s="1"/>
  <c r="AG706" i="6" s="1"/>
  <c r="AD714" i="6"/>
  <c r="AF714" i="6" s="1"/>
  <c r="AG714" i="6" s="1"/>
  <c r="AD722" i="6"/>
  <c r="AF722" i="6" s="1"/>
  <c r="AG722" i="6" s="1"/>
  <c r="AD730" i="6"/>
  <c r="AF730" i="6" s="1"/>
  <c r="AG730" i="6" s="1"/>
  <c r="AD738" i="6"/>
  <c r="AF738" i="6" s="1"/>
  <c r="AG738" i="6" s="1"/>
  <c r="AD746" i="6"/>
  <c r="AF746" i="6" s="1"/>
  <c r="AG746" i="6" s="1"/>
  <c r="AD754" i="6"/>
  <c r="AF754" i="6" s="1"/>
  <c r="AG754" i="6" s="1"/>
  <c r="AD762" i="6"/>
  <c r="AF762" i="6" s="1"/>
  <c r="AG762" i="6" s="1"/>
  <c r="AD770" i="6"/>
  <c r="AF770" i="6" s="1"/>
  <c r="AG770" i="6" s="1"/>
  <c r="AD778" i="6"/>
  <c r="AF778" i="6" s="1"/>
  <c r="AG778" i="6" s="1"/>
  <c r="AD786" i="6"/>
  <c r="AF786" i="6" s="1"/>
  <c r="AG786" i="6" s="1"/>
  <c r="AD794" i="6"/>
  <c r="AF794" i="6" s="1"/>
  <c r="AG794" i="6" s="1"/>
  <c r="AD802" i="6"/>
  <c r="AF802" i="6" s="1"/>
  <c r="AG802" i="6" s="1"/>
  <c r="AD810" i="6"/>
  <c r="AF810" i="6" s="1"/>
  <c r="AG810" i="6" s="1"/>
  <c r="AD818" i="6"/>
  <c r="AF818" i="6" s="1"/>
  <c r="AG818" i="6" s="1"/>
  <c r="AD826" i="6"/>
  <c r="AF826" i="6" s="1"/>
  <c r="AG826" i="6" s="1"/>
  <c r="AD834" i="6"/>
  <c r="AF834" i="6" s="1"/>
  <c r="AG834" i="6" s="1"/>
  <c r="AD842" i="6"/>
  <c r="AF842" i="6" s="1"/>
  <c r="AG842" i="6" s="1"/>
  <c r="AD850" i="6"/>
  <c r="AF850" i="6" s="1"/>
  <c r="AG850" i="6" s="1"/>
  <c r="AD858" i="6"/>
  <c r="AF858" i="6" s="1"/>
  <c r="AG858" i="6" s="1"/>
  <c r="AD866" i="6"/>
  <c r="AF866" i="6" s="1"/>
  <c r="AG866" i="6" s="1"/>
  <c r="AD874" i="6"/>
  <c r="AF874" i="6" s="1"/>
  <c r="AG874" i="6" s="1"/>
  <c r="AD882" i="6"/>
  <c r="AF882" i="6" s="1"/>
  <c r="AG882" i="6" s="1"/>
  <c r="AD890" i="6"/>
  <c r="AF890" i="6" s="1"/>
  <c r="AG890" i="6" s="1"/>
  <c r="AD898" i="6"/>
  <c r="AF898" i="6" s="1"/>
  <c r="AG898" i="6" s="1"/>
  <c r="AD906" i="6"/>
  <c r="AF906" i="6" s="1"/>
  <c r="AG906" i="6" s="1"/>
  <c r="AD914" i="6"/>
  <c r="AF914" i="6" s="1"/>
  <c r="AG914" i="6" s="1"/>
  <c r="AD922" i="6"/>
  <c r="AF922" i="6" s="1"/>
  <c r="AG922" i="6" s="1"/>
  <c r="AD930" i="6"/>
  <c r="AF930" i="6" s="1"/>
  <c r="AG930" i="6" s="1"/>
  <c r="AD938" i="6"/>
  <c r="AF938" i="6" s="1"/>
  <c r="AG938" i="6" s="1"/>
  <c r="AD946" i="6"/>
  <c r="AF946" i="6" s="1"/>
  <c r="AG946" i="6" s="1"/>
  <c r="AD954" i="6"/>
  <c r="AF954" i="6" s="1"/>
  <c r="AG954" i="6" s="1"/>
  <c r="AD962" i="6"/>
  <c r="AF962" i="6" s="1"/>
  <c r="AG962" i="6" s="1"/>
  <c r="AD970" i="6"/>
  <c r="AF970" i="6" s="1"/>
  <c r="AG970" i="6" s="1"/>
  <c r="AD978" i="6"/>
  <c r="AF978" i="6" s="1"/>
  <c r="AG978" i="6" s="1"/>
  <c r="AD986" i="6"/>
  <c r="AF986" i="6" s="1"/>
  <c r="AG986" i="6" s="1"/>
  <c r="AD994" i="6"/>
  <c r="AF994" i="6" s="1"/>
  <c r="AG994" i="6" s="1"/>
  <c r="AD1002" i="6"/>
  <c r="AF1002" i="6" s="1"/>
  <c r="AG1002" i="6" s="1"/>
  <c r="AD1010" i="6"/>
  <c r="AF1010" i="6" s="1"/>
  <c r="AG1010" i="6" s="1"/>
  <c r="AD1018" i="6"/>
  <c r="AF1018" i="6" s="1"/>
  <c r="AG1018" i="6" s="1"/>
  <c r="AD1026" i="6"/>
  <c r="AF1026" i="6" s="1"/>
  <c r="AG1026" i="6" s="1"/>
  <c r="AD1034" i="6"/>
  <c r="AF1034" i="6" s="1"/>
  <c r="AG1034" i="6" s="1"/>
  <c r="AD1042" i="6"/>
  <c r="AF1042" i="6" s="1"/>
  <c r="AG1042" i="6" s="1"/>
  <c r="AD1050" i="6"/>
  <c r="AF1050" i="6" s="1"/>
  <c r="AG1050" i="6" s="1"/>
  <c r="AD1058" i="6"/>
  <c r="AF1058" i="6" s="1"/>
  <c r="AG1058" i="6" s="1"/>
  <c r="AD1066" i="6"/>
  <c r="AF1066" i="6" s="1"/>
  <c r="AG1066" i="6" s="1"/>
  <c r="AD1074" i="6"/>
  <c r="AF1074" i="6" s="1"/>
  <c r="AG1074" i="6" s="1"/>
  <c r="AD1082" i="6"/>
  <c r="AF1082" i="6" s="1"/>
  <c r="AG1082" i="6" s="1"/>
  <c r="AD1090" i="6"/>
  <c r="AF1090" i="6" s="1"/>
  <c r="AG1090" i="6" s="1"/>
  <c r="AD1098" i="6"/>
  <c r="AF1098" i="6" s="1"/>
  <c r="AG1098" i="6" s="1"/>
  <c r="AD1106" i="6"/>
  <c r="AF1106" i="6" s="1"/>
  <c r="AG1106" i="6" s="1"/>
  <c r="AD1114" i="6"/>
  <c r="AF1114" i="6" s="1"/>
  <c r="AG1114" i="6" s="1"/>
  <c r="AD1122" i="6"/>
  <c r="AF1122" i="6" s="1"/>
  <c r="AG1122" i="6" s="1"/>
  <c r="AD1130" i="6"/>
  <c r="AF1130" i="6" s="1"/>
  <c r="AG1130" i="6" s="1"/>
  <c r="AD1138" i="6"/>
  <c r="AF1138" i="6" s="1"/>
  <c r="AG1138" i="6" s="1"/>
  <c r="AD1146" i="6"/>
  <c r="AF1146" i="6" s="1"/>
  <c r="AG1146" i="6" s="1"/>
  <c r="AD387" i="6"/>
  <c r="AF387" i="6" s="1"/>
  <c r="AG387" i="6" s="1"/>
  <c r="AD396" i="6"/>
  <c r="AF396" i="6" s="1"/>
  <c r="AG396" i="6" s="1"/>
  <c r="AD406" i="6"/>
  <c r="AF406" i="6" s="1"/>
  <c r="AG406" i="6" s="1"/>
  <c r="AD415" i="6"/>
  <c r="AF415" i="6" s="1"/>
  <c r="AG415" i="6" s="1"/>
  <c r="AD424" i="6"/>
  <c r="AF424" i="6" s="1"/>
  <c r="AG424" i="6" s="1"/>
  <c r="AD433" i="6"/>
  <c r="AF433" i="6" s="1"/>
  <c r="AG433" i="6" s="1"/>
  <c r="AD442" i="6"/>
  <c r="AF442" i="6" s="1"/>
  <c r="AG442" i="6" s="1"/>
  <c r="AD451" i="6"/>
  <c r="AF451" i="6" s="1"/>
  <c r="AG451" i="6" s="1"/>
  <c r="AD459" i="6"/>
  <c r="AF459" i="6" s="1"/>
  <c r="AG459" i="6" s="1"/>
  <c r="AD467" i="6"/>
  <c r="AF467" i="6" s="1"/>
  <c r="AG467" i="6" s="1"/>
  <c r="AD475" i="6"/>
  <c r="AF475" i="6" s="1"/>
  <c r="AG475" i="6" s="1"/>
  <c r="AD483" i="6"/>
  <c r="AF483" i="6" s="1"/>
  <c r="AG483" i="6" s="1"/>
  <c r="AD491" i="6"/>
  <c r="AF491" i="6" s="1"/>
  <c r="AG491" i="6" s="1"/>
  <c r="AD499" i="6"/>
  <c r="AF499" i="6" s="1"/>
  <c r="AG499" i="6" s="1"/>
  <c r="AD507" i="6"/>
  <c r="AF507" i="6" s="1"/>
  <c r="AG507" i="6" s="1"/>
  <c r="AD515" i="6"/>
  <c r="AF515" i="6" s="1"/>
  <c r="AG515" i="6" s="1"/>
  <c r="AD523" i="6"/>
  <c r="AF523" i="6" s="1"/>
  <c r="AG523" i="6" s="1"/>
  <c r="AD531" i="6"/>
  <c r="AF531" i="6" s="1"/>
  <c r="AG531" i="6" s="1"/>
  <c r="AD539" i="6"/>
  <c r="AF539" i="6" s="1"/>
  <c r="AG539" i="6" s="1"/>
  <c r="AD547" i="6"/>
  <c r="AF547" i="6" s="1"/>
  <c r="AG547" i="6" s="1"/>
  <c r="AD555" i="6"/>
  <c r="AF555" i="6" s="1"/>
  <c r="AG555" i="6" s="1"/>
  <c r="AD563" i="6"/>
  <c r="AF563" i="6" s="1"/>
  <c r="AG563" i="6" s="1"/>
  <c r="AD571" i="6"/>
  <c r="AF571" i="6" s="1"/>
  <c r="AG571" i="6" s="1"/>
  <c r="AD579" i="6"/>
  <c r="AF579" i="6" s="1"/>
  <c r="AG579" i="6" s="1"/>
  <c r="AD587" i="6"/>
  <c r="AF587" i="6" s="1"/>
  <c r="AG587" i="6" s="1"/>
  <c r="AD595" i="6"/>
  <c r="AF595" i="6" s="1"/>
  <c r="AG595" i="6" s="1"/>
  <c r="AD603" i="6"/>
  <c r="AF603" i="6" s="1"/>
  <c r="AG603" i="6" s="1"/>
  <c r="AD611" i="6"/>
  <c r="AF611" i="6" s="1"/>
  <c r="AG611" i="6" s="1"/>
  <c r="AD619" i="6"/>
  <c r="AF619" i="6" s="1"/>
  <c r="AG619" i="6" s="1"/>
  <c r="AD627" i="6"/>
  <c r="AF627" i="6" s="1"/>
  <c r="AG627" i="6" s="1"/>
  <c r="AD635" i="6"/>
  <c r="AF635" i="6" s="1"/>
  <c r="AG635" i="6" s="1"/>
  <c r="AD643" i="6"/>
  <c r="AF643" i="6" s="1"/>
  <c r="AG643" i="6" s="1"/>
  <c r="AD651" i="6"/>
  <c r="AF651" i="6" s="1"/>
  <c r="AG651" i="6" s="1"/>
  <c r="AD659" i="6"/>
  <c r="AF659" i="6" s="1"/>
  <c r="AG659" i="6" s="1"/>
  <c r="AD667" i="6"/>
  <c r="AF667" i="6" s="1"/>
  <c r="AG667" i="6" s="1"/>
  <c r="AD675" i="6"/>
  <c r="AF675" i="6" s="1"/>
  <c r="AG675" i="6" s="1"/>
  <c r="AD683" i="6"/>
  <c r="AF683" i="6" s="1"/>
  <c r="AG683" i="6" s="1"/>
  <c r="AD691" i="6"/>
  <c r="AF691" i="6" s="1"/>
  <c r="AG691" i="6" s="1"/>
  <c r="AD699" i="6"/>
  <c r="AF699" i="6" s="1"/>
  <c r="AG699" i="6" s="1"/>
  <c r="AD707" i="6"/>
  <c r="AF707" i="6" s="1"/>
  <c r="AG707" i="6" s="1"/>
  <c r="AD715" i="6"/>
  <c r="AF715" i="6" s="1"/>
  <c r="AG715" i="6" s="1"/>
  <c r="AD723" i="6"/>
  <c r="AF723" i="6" s="1"/>
  <c r="AG723" i="6" s="1"/>
  <c r="AD731" i="6"/>
  <c r="AF731" i="6" s="1"/>
  <c r="AG731" i="6" s="1"/>
  <c r="AD739" i="6"/>
  <c r="AF739" i="6" s="1"/>
  <c r="AG739" i="6" s="1"/>
  <c r="AD747" i="6"/>
  <c r="AF747" i="6" s="1"/>
  <c r="AG747" i="6" s="1"/>
  <c r="AD755" i="6"/>
  <c r="AF755" i="6" s="1"/>
  <c r="AG755" i="6" s="1"/>
  <c r="AD763" i="6"/>
  <c r="AF763" i="6" s="1"/>
  <c r="AG763" i="6" s="1"/>
  <c r="AD771" i="6"/>
  <c r="AF771" i="6" s="1"/>
  <c r="AG771" i="6" s="1"/>
  <c r="AD779" i="6"/>
  <c r="AF779" i="6" s="1"/>
  <c r="AG779" i="6" s="1"/>
  <c r="AD787" i="6"/>
  <c r="AF787" i="6" s="1"/>
  <c r="AG787" i="6" s="1"/>
  <c r="AD795" i="6"/>
  <c r="AF795" i="6" s="1"/>
  <c r="AG795" i="6" s="1"/>
  <c r="AD803" i="6"/>
  <c r="AF803" i="6" s="1"/>
  <c r="AG803" i="6" s="1"/>
  <c r="AD811" i="6"/>
  <c r="AF811" i="6" s="1"/>
  <c r="AG811" i="6" s="1"/>
  <c r="AD819" i="6"/>
  <c r="AF819" i="6" s="1"/>
  <c r="AG819" i="6" s="1"/>
  <c r="AD827" i="6"/>
  <c r="AF827" i="6" s="1"/>
  <c r="AG827" i="6" s="1"/>
  <c r="AD835" i="6"/>
  <c r="AF835" i="6" s="1"/>
  <c r="AG835" i="6" s="1"/>
  <c r="AD843" i="6"/>
  <c r="AF843" i="6" s="1"/>
  <c r="AG843" i="6" s="1"/>
  <c r="AD851" i="6"/>
  <c r="AF851" i="6" s="1"/>
  <c r="AG851" i="6" s="1"/>
  <c r="AD859" i="6"/>
  <c r="AF859" i="6" s="1"/>
  <c r="AG859" i="6" s="1"/>
  <c r="AD867" i="6"/>
  <c r="AF867" i="6" s="1"/>
  <c r="AG867" i="6" s="1"/>
  <c r="AD875" i="6"/>
  <c r="AF875" i="6" s="1"/>
  <c r="AG875" i="6" s="1"/>
  <c r="AD883" i="6"/>
  <c r="AF883" i="6" s="1"/>
  <c r="AG883" i="6" s="1"/>
  <c r="AD891" i="6"/>
  <c r="AF891" i="6" s="1"/>
  <c r="AG891" i="6" s="1"/>
  <c r="AD899" i="6"/>
  <c r="AF899" i="6" s="1"/>
  <c r="AG899" i="6" s="1"/>
  <c r="AD907" i="6"/>
  <c r="AF907" i="6" s="1"/>
  <c r="AG907" i="6" s="1"/>
  <c r="AD915" i="6"/>
  <c r="AF915" i="6" s="1"/>
  <c r="AG915" i="6" s="1"/>
  <c r="AD923" i="6"/>
  <c r="AF923" i="6" s="1"/>
  <c r="AG923" i="6" s="1"/>
  <c r="AD931" i="6"/>
  <c r="AF931" i="6" s="1"/>
  <c r="AG931" i="6" s="1"/>
  <c r="AD939" i="6"/>
  <c r="AF939" i="6" s="1"/>
  <c r="AG939" i="6" s="1"/>
  <c r="AD947" i="6"/>
  <c r="AF947" i="6" s="1"/>
  <c r="AG947" i="6" s="1"/>
  <c r="AD955" i="6"/>
  <c r="AF955" i="6" s="1"/>
  <c r="AG955" i="6" s="1"/>
  <c r="AD963" i="6"/>
  <c r="AF963" i="6" s="1"/>
  <c r="AG963" i="6" s="1"/>
  <c r="AD971" i="6"/>
  <c r="AF971" i="6" s="1"/>
  <c r="AG971" i="6" s="1"/>
  <c r="AD979" i="6"/>
  <c r="AF979" i="6" s="1"/>
  <c r="AG979" i="6" s="1"/>
  <c r="AD987" i="6"/>
  <c r="AF987" i="6" s="1"/>
  <c r="AG987" i="6" s="1"/>
  <c r="AD995" i="6"/>
  <c r="AF995" i="6" s="1"/>
  <c r="AG995" i="6" s="1"/>
  <c r="AD1003" i="6"/>
  <c r="AF1003" i="6" s="1"/>
  <c r="AG1003" i="6" s="1"/>
  <c r="AD1011" i="6"/>
  <c r="AF1011" i="6" s="1"/>
  <c r="AG1011" i="6" s="1"/>
  <c r="AD1019" i="6"/>
  <c r="AF1019" i="6" s="1"/>
  <c r="AG1019" i="6" s="1"/>
  <c r="AD1027" i="6"/>
  <c r="AF1027" i="6" s="1"/>
  <c r="AG1027" i="6" s="1"/>
  <c r="AD1035" i="6"/>
  <c r="AF1035" i="6" s="1"/>
  <c r="AG1035" i="6" s="1"/>
  <c r="AD1043" i="6"/>
  <c r="AF1043" i="6" s="1"/>
  <c r="AG1043" i="6" s="1"/>
  <c r="AD1051" i="6"/>
  <c r="AF1051" i="6" s="1"/>
  <c r="AG1051" i="6" s="1"/>
  <c r="AD1059" i="6"/>
  <c r="AF1059" i="6" s="1"/>
  <c r="AG1059" i="6" s="1"/>
  <c r="AD1067" i="6"/>
  <c r="AF1067" i="6" s="1"/>
  <c r="AG1067" i="6" s="1"/>
  <c r="AD388" i="6"/>
  <c r="AF388" i="6" s="1"/>
  <c r="AG388" i="6" s="1"/>
  <c r="AD398" i="6"/>
  <c r="AF398" i="6" s="1"/>
  <c r="AG398" i="6" s="1"/>
  <c r="AD407" i="6"/>
  <c r="AF407" i="6" s="1"/>
  <c r="AG407" i="6" s="1"/>
  <c r="AD416" i="6"/>
  <c r="AF416" i="6" s="1"/>
  <c r="AG416" i="6" s="1"/>
  <c r="AD425" i="6"/>
  <c r="AF425" i="6" s="1"/>
  <c r="AG425" i="6" s="1"/>
  <c r="AD434" i="6"/>
  <c r="AF434" i="6" s="1"/>
  <c r="AG434" i="6" s="1"/>
  <c r="AD443" i="6"/>
  <c r="AF443" i="6" s="1"/>
  <c r="AG443" i="6" s="1"/>
  <c r="AD452" i="6"/>
  <c r="AF452" i="6" s="1"/>
  <c r="AG452" i="6" s="1"/>
  <c r="AD460" i="6"/>
  <c r="AF460" i="6" s="1"/>
  <c r="AG460" i="6" s="1"/>
  <c r="AD468" i="6"/>
  <c r="AF468" i="6" s="1"/>
  <c r="AG468" i="6" s="1"/>
  <c r="AD476" i="6"/>
  <c r="AF476" i="6" s="1"/>
  <c r="AG476" i="6" s="1"/>
  <c r="AD484" i="6"/>
  <c r="AF484" i="6" s="1"/>
  <c r="AG484" i="6" s="1"/>
  <c r="AD492" i="6"/>
  <c r="AF492" i="6" s="1"/>
  <c r="AG492" i="6" s="1"/>
  <c r="AD500" i="6"/>
  <c r="AF500" i="6" s="1"/>
  <c r="AG500" i="6" s="1"/>
  <c r="AD508" i="6"/>
  <c r="AF508" i="6" s="1"/>
  <c r="AG508" i="6" s="1"/>
  <c r="AD516" i="6"/>
  <c r="AF516" i="6" s="1"/>
  <c r="AG516" i="6" s="1"/>
  <c r="AD524" i="6"/>
  <c r="AF524" i="6" s="1"/>
  <c r="AG524" i="6" s="1"/>
  <c r="AD532" i="6"/>
  <c r="AF532" i="6" s="1"/>
  <c r="AG532" i="6" s="1"/>
  <c r="AD540" i="6"/>
  <c r="AF540" i="6" s="1"/>
  <c r="AG540" i="6" s="1"/>
  <c r="AD548" i="6"/>
  <c r="AF548" i="6" s="1"/>
  <c r="AG548" i="6" s="1"/>
  <c r="AD556" i="6"/>
  <c r="AF556" i="6" s="1"/>
  <c r="AG556" i="6" s="1"/>
  <c r="AD564" i="6"/>
  <c r="AF564" i="6" s="1"/>
  <c r="AG564" i="6" s="1"/>
  <c r="AD572" i="6"/>
  <c r="AF572" i="6" s="1"/>
  <c r="AG572" i="6" s="1"/>
  <c r="AD580" i="6"/>
  <c r="AF580" i="6" s="1"/>
  <c r="AG580" i="6" s="1"/>
  <c r="AD588" i="6"/>
  <c r="AF588" i="6" s="1"/>
  <c r="AG588" i="6" s="1"/>
  <c r="AD596" i="6"/>
  <c r="AF596" i="6" s="1"/>
  <c r="AG596" i="6" s="1"/>
  <c r="AD604" i="6"/>
  <c r="AF604" i="6" s="1"/>
  <c r="AG604" i="6" s="1"/>
  <c r="AD612" i="6"/>
  <c r="AF612" i="6" s="1"/>
  <c r="AG612" i="6" s="1"/>
  <c r="AD620" i="6"/>
  <c r="AF620" i="6" s="1"/>
  <c r="AG620" i="6" s="1"/>
  <c r="AD628" i="6"/>
  <c r="AF628" i="6" s="1"/>
  <c r="AG628" i="6" s="1"/>
  <c r="AD636" i="6"/>
  <c r="AF636" i="6" s="1"/>
  <c r="AG636" i="6" s="1"/>
  <c r="AD644" i="6"/>
  <c r="AF644" i="6" s="1"/>
  <c r="AG644" i="6" s="1"/>
  <c r="AD652" i="6"/>
  <c r="AF652" i="6" s="1"/>
  <c r="AG652" i="6" s="1"/>
  <c r="AD660" i="6"/>
  <c r="AF660" i="6" s="1"/>
  <c r="AG660" i="6" s="1"/>
  <c r="AD668" i="6"/>
  <c r="AF668" i="6" s="1"/>
  <c r="AG668" i="6" s="1"/>
  <c r="AD676" i="6"/>
  <c r="AF676" i="6" s="1"/>
  <c r="AG676" i="6" s="1"/>
  <c r="AD684" i="6"/>
  <c r="AF684" i="6" s="1"/>
  <c r="AG684" i="6" s="1"/>
  <c r="AD692" i="6"/>
  <c r="AF692" i="6" s="1"/>
  <c r="AG692" i="6" s="1"/>
  <c r="AD700" i="6"/>
  <c r="AF700" i="6" s="1"/>
  <c r="AG700" i="6" s="1"/>
  <c r="AD708" i="6"/>
  <c r="AF708" i="6" s="1"/>
  <c r="AG708" i="6" s="1"/>
  <c r="AD716" i="6"/>
  <c r="AF716" i="6" s="1"/>
  <c r="AG716" i="6" s="1"/>
  <c r="AD724" i="6"/>
  <c r="AF724" i="6" s="1"/>
  <c r="AG724" i="6" s="1"/>
  <c r="AD732" i="6"/>
  <c r="AF732" i="6" s="1"/>
  <c r="AG732" i="6" s="1"/>
  <c r="AD740" i="6"/>
  <c r="AF740" i="6" s="1"/>
  <c r="AG740" i="6" s="1"/>
  <c r="AD748" i="6"/>
  <c r="AF748" i="6" s="1"/>
  <c r="AG748" i="6" s="1"/>
  <c r="AD756" i="6"/>
  <c r="AF756" i="6" s="1"/>
  <c r="AG756" i="6" s="1"/>
  <c r="AD764" i="6"/>
  <c r="AF764" i="6" s="1"/>
  <c r="AG764" i="6" s="1"/>
  <c r="AD772" i="6"/>
  <c r="AF772" i="6" s="1"/>
  <c r="AG772" i="6" s="1"/>
  <c r="AD780" i="6"/>
  <c r="AF780" i="6" s="1"/>
  <c r="AG780" i="6" s="1"/>
  <c r="AD788" i="6"/>
  <c r="AF788" i="6" s="1"/>
  <c r="AG788" i="6" s="1"/>
  <c r="AD796" i="6"/>
  <c r="AF796" i="6" s="1"/>
  <c r="AG796" i="6" s="1"/>
  <c r="AD804" i="6"/>
  <c r="AF804" i="6" s="1"/>
  <c r="AG804" i="6" s="1"/>
  <c r="AD812" i="6"/>
  <c r="AF812" i="6" s="1"/>
  <c r="AG812" i="6" s="1"/>
  <c r="AD820" i="6"/>
  <c r="AF820" i="6" s="1"/>
  <c r="AG820" i="6" s="1"/>
  <c r="AD828" i="6"/>
  <c r="AF828" i="6" s="1"/>
  <c r="AG828" i="6" s="1"/>
  <c r="AD836" i="6"/>
  <c r="AF836" i="6" s="1"/>
  <c r="AG836" i="6" s="1"/>
  <c r="AD844" i="6"/>
  <c r="AF844" i="6" s="1"/>
  <c r="AG844" i="6" s="1"/>
  <c r="AD852" i="6"/>
  <c r="AF852" i="6" s="1"/>
  <c r="AG852" i="6" s="1"/>
  <c r="AD860" i="6"/>
  <c r="AF860" i="6" s="1"/>
  <c r="AG860" i="6" s="1"/>
  <c r="AD868" i="6"/>
  <c r="AF868" i="6" s="1"/>
  <c r="AG868" i="6" s="1"/>
  <c r="AD876" i="6"/>
  <c r="AF876" i="6" s="1"/>
  <c r="AG876" i="6" s="1"/>
  <c r="AD884" i="6"/>
  <c r="AF884" i="6" s="1"/>
  <c r="AG884" i="6" s="1"/>
  <c r="AD892" i="6"/>
  <c r="AF892" i="6" s="1"/>
  <c r="AG892" i="6" s="1"/>
  <c r="AD900" i="6"/>
  <c r="AF900" i="6" s="1"/>
  <c r="AG900" i="6" s="1"/>
  <c r="AD908" i="6"/>
  <c r="AF908" i="6" s="1"/>
  <c r="AG908" i="6" s="1"/>
  <c r="AD916" i="6"/>
  <c r="AF916" i="6" s="1"/>
  <c r="AG916" i="6" s="1"/>
  <c r="AD924" i="6"/>
  <c r="AF924" i="6" s="1"/>
  <c r="AG924" i="6" s="1"/>
  <c r="AD932" i="6"/>
  <c r="AF932" i="6" s="1"/>
  <c r="AG932" i="6" s="1"/>
  <c r="AD940" i="6"/>
  <c r="AF940" i="6" s="1"/>
  <c r="AG940" i="6" s="1"/>
  <c r="AD948" i="6"/>
  <c r="AF948" i="6" s="1"/>
  <c r="AG948" i="6" s="1"/>
  <c r="AD956" i="6"/>
  <c r="AF956" i="6" s="1"/>
  <c r="AG956" i="6" s="1"/>
  <c r="AD964" i="6"/>
  <c r="AF964" i="6" s="1"/>
  <c r="AG964" i="6" s="1"/>
  <c r="AD972" i="6"/>
  <c r="AF972" i="6" s="1"/>
  <c r="AG972" i="6" s="1"/>
  <c r="AD980" i="6"/>
  <c r="AF980" i="6" s="1"/>
  <c r="AG980" i="6" s="1"/>
  <c r="AD988" i="6"/>
  <c r="AF988" i="6" s="1"/>
  <c r="AG988" i="6" s="1"/>
  <c r="AD996" i="6"/>
  <c r="AF996" i="6" s="1"/>
  <c r="AG996" i="6" s="1"/>
  <c r="AD390" i="6"/>
  <c r="AF390" i="6" s="1"/>
  <c r="AG390" i="6" s="1"/>
  <c r="AD399" i="6"/>
  <c r="AF399" i="6" s="1"/>
  <c r="AG399" i="6" s="1"/>
  <c r="AD408" i="6"/>
  <c r="AF408" i="6" s="1"/>
  <c r="AG408" i="6" s="1"/>
  <c r="AD417" i="6"/>
  <c r="AF417" i="6" s="1"/>
  <c r="AG417" i="6" s="1"/>
  <c r="AD426" i="6"/>
  <c r="AF426" i="6" s="1"/>
  <c r="AG426" i="6" s="1"/>
  <c r="AD435" i="6"/>
  <c r="AF435" i="6" s="1"/>
  <c r="AG435" i="6" s="1"/>
  <c r="AD444" i="6"/>
  <c r="AF444" i="6" s="1"/>
  <c r="AG444" i="6" s="1"/>
  <c r="AD453" i="6"/>
  <c r="AF453" i="6" s="1"/>
  <c r="AG453" i="6" s="1"/>
  <c r="AD461" i="6"/>
  <c r="AF461" i="6" s="1"/>
  <c r="AG461" i="6" s="1"/>
  <c r="AD469" i="6"/>
  <c r="AF469" i="6" s="1"/>
  <c r="AG469" i="6" s="1"/>
  <c r="AD477" i="6"/>
  <c r="AF477" i="6" s="1"/>
  <c r="AG477" i="6" s="1"/>
  <c r="AD485" i="6"/>
  <c r="AF485" i="6" s="1"/>
  <c r="AG485" i="6" s="1"/>
  <c r="AD493" i="6"/>
  <c r="AF493" i="6" s="1"/>
  <c r="AG493" i="6" s="1"/>
  <c r="AD501" i="6"/>
  <c r="AF501" i="6" s="1"/>
  <c r="AG501" i="6" s="1"/>
  <c r="AD509" i="6"/>
  <c r="AF509" i="6" s="1"/>
  <c r="AG509" i="6" s="1"/>
  <c r="AD517" i="6"/>
  <c r="AF517" i="6" s="1"/>
  <c r="AG517" i="6" s="1"/>
  <c r="AD525" i="6"/>
  <c r="AF525" i="6" s="1"/>
  <c r="AG525" i="6" s="1"/>
  <c r="AD533" i="6"/>
  <c r="AF533" i="6" s="1"/>
  <c r="AG533" i="6" s="1"/>
  <c r="AD541" i="6"/>
  <c r="AF541" i="6" s="1"/>
  <c r="AG541" i="6" s="1"/>
  <c r="AD549" i="6"/>
  <c r="AF549" i="6" s="1"/>
  <c r="AG549" i="6" s="1"/>
  <c r="AD557" i="6"/>
  <c r="AF557" i="6" s="1"/>
  <c r="AG557" i="6" s="1"/>
  <c r="AD565" i="6"/>
  <c r="AF565" i="6" s="1"/>
  <c r="AG565" i="6" s="1"/>
  <c r="AD573" i="6"/>
  <c r="AF573" i="6" s="1"/>
  <c r="AG573" i="6" s="1"/>
  <c r="AD581" i="6"/>
  <c r="AF581" i="6" s="1"/>
  <c r="AG581" i="6" s="1"/>
  <c r="AD589" i="6"/>
  <c r="AF589" i="6" s="1"/>
  <c r="AG589" i="6" s="1"/>
  <c r="AD597" i="6"/>
  <c r="AF597" i="6" s="1"/>
  <c r="AG597" i="6" s="1"/>
  <c r="AD605" i="6"/>
  <c r="AF605" i="6" s="1"/>
  <c r="AG605" i="6" s="1"/>
  <c r="AD613" i="6"/>
  <c r="AF613" i="6" s="1"/>
  <c r="AG613" i="6" s="1"/>
  <c r="AD621" i="6"/>
  <c r="AF621" i="6" s="1"/>
  <c r="AG621" i="6" s="1"/>
  <c r="AD629" i="6"/>
  <c r="AF629" i="6" s="1"/>
  <c r="AG629" i="6" s="1"/>
  <c r="AD637" i="6"/>
  <c r="AF637" i="6" s="1"/>
  <c r="AG637" i="6" s="1"/>
  <c r="AD645" i="6"/>
  <c r="AF645" i="6" s="1"/>
  <c r="AG645" i="6" s="1"/>
  <c r="AD653" i="6"/>
  <c r="AF653" i="6" s="1"/>
  <c r="AG653" i="6" s="1"/>
  <c r="AD661" i="6"/>
  <c r="AF661" i="6" s="1"/>
  <c r="AG661" i="6" s="1"/>
  <c r="AD669" i="6"/>
  <c r="AF669" i="6" s="1"/>
  <c r="AG669" i="6" s="1"/>
  <c r="AD677" i="6"/>
  <c r="AF677" i="6" s="1"/>
  <c r="AG677" i="6" s="1"/>
  <c r="AD685" i="6"/>
  <c r="AF685" i="6" s="1"/>
  <c r="AG685" i="6" s="1"/>
  <c r="AD693" i="6"/>
  <c r="AF693" i="6" s="1"/>
  <c r="AG693" i="6" s="1"/>
  <c r="AD701" i="6"/>
  <c r="AF701" i="6" s="1"/>
  <c r="AG701" i="6" s="1"/>
  <c r="AD709" i="6"/>
  <c r="AF709" i="6" s="1"/>
  <c r="AG709" i="6" s="1"/>
  <c r="AD717" i="6"/>
  <c r="AF717" i="6" s="1"/>
  <c r="AG717" i="6" s="1"/>
  <c r="AD725" i="6"/>
  <c r="AF725" i="6" s="1"/>
  <c r="AG725" i="6" s="1"/>
  <c r="AD733" i="6"/>
  <c r="AF733" i="6" s="1"/>
  <c r="AG733" i="6" s="1"/>
  <c r="AD741" i="6"/>
  <c r="AF741" i="6" s="1"/>
  <c r="AG741" i="6" s="1"/>
  <c r="AD749" i="6"/>
  <c r="AF749" i="6" s="1"/>
  <c r="AG749" i="6" s="1"/>
  <c r="AD757" i="6"/>
  <c r="AF757" i="6" s="1"/>
  <c r="AG757" i="6" s="1"/>
  <c r="AD765" i="6"/>
  <c r="AF765" i="6" s="1"/>
  <c r="AG765" i="6" s="1"/>
  <c r="AD773" i="6"/>
  <c r="AF773" i="6" s="1"/>
  <c r="AG773" i="6" s="1"/>
  <c r="AD781" i="6"/>
  <c r="AF781" i="6" s="1"/>
  <c r="AG781" i="6" s="1"/>
  <c r="AD789" i="6"/>
  <c r="AF789" i="6" s="1"/>
  <c r="AG789" i="6" s="1"/>
  <c r="AD797" i="6"/>
  <c r="AF797" i="6" s="1"/>
  <c r="AG797" i="6" s="1"/>
  <c r="AD805" i="6"/>
  <c r="AF805" i="6" s="1"/>
  <c r="AG805" i="6" s="1"/>
  <c r="AD813" i="6"/>
  <c r="AF813" i="6" s="1"/>
  <c r="AG813" i="6" s="1"/>
  <c r="AD821" i="6"/>
  <c r="AF821" i="6" s="1"/>
  <c r="AG821" i="6" s="1"/>
  <c r="AD829" i="6"/>
  <c r="AF829" i="6" s="1"/>
  <c r="AG829" i="6" s="1"/>
  <c r="AD837" i="6"/>
  <c r="AF837" i="6" s="1"/>
  <c r="AG837" i="6" s="1"/>
  <c r="AD845" i="6"/>
  <c r="AF845" i="6" s="1"/>
  <c r="AG845" i="6" s="1"/>
  <c r="AD853" i="6"/>
  <c r="AF853" i="6" s="1"/>
  <c r="AG853" i="6" s="1"/>
  <c r="AD861" i="6"/>
  <c r="AF861" i="6" s="1"/>
  <c r="AG861" i="6" s="1"/>
  <c r="AD869" i="6"/>
  <c r="AF869" i="6" s="1"/>
  <c r="AG869" i="6" s="1"/>
  <c r="AD877" i="6"/>
  <c r="AF877" i="6" s="1"/>
  <c r="AG877" i="6" s="1"/>
  <c r="AD885" i="6"/>
  <c r="AF885" i="6" s="1"/>
  <c r="AG885" i="6" s="1"/>
  <c r="AD893" i="6"/>
  <c r="AF893" i="6" s="1"/>
  <c r="AG893" i="6" s="1"/>
  <c r="AD901" i="6"/>
  <c r="AF901" i="6" s="1"/>
  <c r="AG901" i="6" s="1"/>
  <c r="AD909" i="6"/>
  <c r="AF909" i="6" s="1"/>
  <c r="AG909" i="6" s="1"/>
  <c r="AD917" i="6"/>
  <c r="AF917" i="6" s="1"/>
  <c r="AG917" i="6" s="1"/>
  <c r="AD925" i="6"/>
  <c r="AF925" i="6" s="1"/>
  <c r="AG925" i="6" s="1"/>
  <c r="AD933" i="6"/>
  <c r="AF933" i="6" s="1"/>
  <c r="AG933" i="6" s="1"/>
  <c r="AD941" i="6"/>
  <c r="AF941" i="6" s="1"/>
  <c r="AG941" i="6" s="1"/>
  <c r="AD949" i="6"/>
  <c r="AF949" i="6" s="1"/>
  <c r="AG949" i="6" s="1"/>
  <c r="AD957" i="6"/>
  <c r="AF957" i="6" s="1"/>
  <c r="AG957" i="6" s="1"/>
  <c r="AD965" i="6"/>
  <c r="AF965" i="6" s="1"/>
  <c r="AG965" i="6" s="1"/>
  <c r="AD973" i="6"/>
  <c r="AF973" i="6" s="1"/>
  <c r="AG973" i="6" s="1"/>
  <c r="AD981" i="6"/>
  <c r="AF981" i="6" s="1"/>
  <c r="AG981" i="6" s="1"/>
  <c r="AD989" i="6"/>
  <c r="AF989" i="6" s="1"/>
  <c r="AG989" i="6" s="1"/>
  <c r="AD997" i="6"/>
  <c r="AF997" i="6" s="1"/>
  <c r="AG997" i="6" s="1"/>
  <c r="AD1004" i="6"/>
  <c r="AF1004" i="6" s="1"/>
  <c r="AG1004" i="6" s="1"/>
  <c r="AD1036" i="6"/>
  <c r="AF1036" i="6" s="1"/>
  <c r="AG1036" i="6" s="1"/>
  <c r="AD1068" i="6"/>
  <c r="AF1068" i="6" s="1"/>
  <c r="AG1068" i="6" s="1"/>
  <c r="AD1091" i="6"/>
  <c r="AF1091" i="6" s="1"/>
  <c r="AG1091" i="6" s="1"/>
  <c r="AD1109" i="6"/>
  <c r="AF1109" i="6" s="1"/>
  <c r="AG1109" i="6" s="1"/>
  <c r="AD1131" i="6"/>
  <c r="AF1131" i="6" s="1"/>
  <c r="AG1131" i="6" s="1"/>
  <c r="AD1147" i="6"/>
  <c r="AF1147" i="6" s="1"/>
  <c r="AG1147" i="6" s="1"/>
  <c r="AD1161" i="6"/>
  <c r="AF1161" i="6" s="1"/>
  <c r="AG1161" i="6" s="1"/>
  <c r="AD1172" i="6"/>
  <c r="AF1172" i="6" s="1"/>
  <c r="AG1172" i="6" s="1"/>
  <c r="AD1186" i="6"/>
  <c r="AF1186" i="6" s="1"/>
  <c r="AG1186" i="6" s="1"/>
  <c r="AD1197" i="6"/>
  <c r="AF1197" i="6" s="1"/>
  <c r="AG1197" i="6" s="1"/>
  <c r="AD1211" i="6"/>
  <c r="AF1211" i="6" s="1"/>
  <c r="AG1211" i="6" s="1"/>
  <c r="AD1225" i="6"/>
  <c r="AF1225" i="6" s="1"/>
  <c r="AG1225" i="6" s="1"/>
  <c r="AD1236" i="6"/>
  <c r="AF1236" i="6" s="1"/>
  <c r="AG1236" i="6" s="1"/>
  <c r="AD1250" i="6"/>
  <c r="AF1250" i="6" s="1"/>
  <c r="AG1250" i="6" s="1"/>
  <c r="AD1261" i="6"/>
  <c r="AF1261" i="6" s="1"/>
  <c r="AG1261" i="6" s="1"/>
  <c r="AD1275" i="6"/>
  <c r="AF1275" i="6" s="1"/>
  <c r="AG1275" i="6" s="1"/>
  <c r="AD1289" i="6"/>
  <c r="AF1289" i="6" s="1"/>
  <c r="AG1289" i="6" s="1"/>
  <c r="AD1300" i="6"/>
  <c r="AF1300" i="6" s="1"/>
  <c r="AG1300" i="6" s="1"/>
  <c r="AD1313" i="6"/>
  <c r="AF1313" i="6" s="1"/>
  <c r="AG1313" i="6" s="1"/>
  <c r="AD1322" i="6"/>
  <c r="AF1322" i="6" s="1"/>
  <c r="AG1322" i="6" s="1"/>
  <c r="AD1331" i="6"/>
  <c r="AF1331" i="6" s="1"/>
  <c r="AG1331" i="6" s="1"/>
  <c r="AD1340" i="6"/>
  <c r="AF1340" i="6" s="1"/>
  <c r="AG1340" i="6" s="1"/>
  <c r="AD1349" i="6"/>
  <c r="AF1349" i="6" s="1"/>
  <c r="AG1349" i="6" s="1"/>
  <c r="AD1359" i="6"/>
  <c r="AF1359" i="6" s="1"/>
  <c r="AG1359" i="6" s="1"/>
  <c r="AD1368" i="6"/>
  <c r="AF1368" i="6" s="1"/>
  <c r="AG1368" i="6" s="1"/>
  <c r="AD1377" i="6"/>
  <c r="AF1377" i="6" s="1"/>
  <c r="AG1377" i="6" s="1"/>
  <c r="AD1386" i="6"/>
  <c r="AF1386" i="6" s="1"/>
  <c r="AG1386" i="6" s="1"/>
  <c r="AD1395" i="6"/>
  <c r="AF1395" i="6" s="1"/>
  <c r="AG1395" i="6" s="1"/>
  <c r="AD1404" i="6"/>
  <c r="AF1404" i="6" s="1"/>
  <c r="AG1404" i="6" s="1"/>
  <c r="AD1413" i="6"/>
  <c r="AF1413" i="6" s="1"/>
  <c r="AG1413" i="6" s="1"/>
  <c r="AD1423" i="6"/>
  <c r="AF1423" i="6" s="1"/>
  <c r="AG1423" i="6" s="1"/>
  <c r="AD1432" i="6"/>
  <c r="AF1432" i="6" s="1"/>
  <c r="AG1432" i="6" s="1"/>
  <c r="AD1441" i="6"/>
  <c r="AF1441" i="6" s="1"/>
  <c r="AG1441" i="6" s="1"/>
  <c r="AD1450" i="6"/>
  <c r="AF1450" i="6" s="1"/>
  <c r="AG1450" i="6" s="1"/>
  <c r="AD1459" i="6"/>
  <c r="AF1459" i="6" s="1"/>
  <c r="AG1459" i="6" s="1"/>
  <c r="AD1468" i="6"/>
  <c r="AF1468" i="6" s="1"/>
  <c r="AG1468" i="6" s="1"/>
  <c r="AD1477" i="6"/>
  <c r="AF1477" i="6" s="1"/>
  <c r="AG1477" i="6" s="1"/>
  <c r="AD1487" i="6"/>
  <c r="AF1487" i="6" s="1"/>
  <c r="AG1487" i="6" s="1"/>
  <c r="AD1496" i="6"/>
  <c r="AF1496" i="6" s="1"/>
  <c r="AG1496" i="6" s="1"/>
  <c r="AD1505" i="6"/>
  <c r="AF1505" i="6" s="1"/>
  <c r="AG1505" i="6" s="1"/>
  <c r="AD1514" i="6"/>
  <c r="AF1514" i="6" s="1"/>
  <c r="AG1514" i="6" s="1"/>
  <c r="AD1523" i="6"/>
  <c r="AF1523" i="6" s="1"/>
  <c r="AG1523" i="6" s="1"/>
  <c r="AD1532" i="6"/>
  <c r="AF1532" i="6" s="1"/>
  <c r="AG1532" i="6" s="1"/>
  <c r="AD1541" i="6"/>
  <c r="AF1541" i="6" s="1"/>
  <c r="AG1541" i="6" s="1"/>
  <c r="AD1551" i="6"/>
  <c r="AF1551" i="6" s="1"/>
  <c r="AG1551" i="6" s="1"/>
  <c r="AD1559" i="6"/>
  <c r="AF1559" i="6" s="1"/>
  <c r="AG1559" i="6" s="1"/>
  <c r="AD1567" i="6"/>
  <c r="AF1567" i="6" s="1"/>
  <c r="AG1567" i="6" s="1"/>
  <c r="AD1575" i="6"/>
  <c r="AF1575" i="6" s="1"/>
  <c r="AG1575" i="6" s="1"/>
  <c r="AD1583" i="6"/>
  <c r="AF1583" i="6" s="1"/>
  <c r="AG1583" i="6" s="1"/>
  <c r="AD1591" i="6"/>
  <c r="AF1591" i="6" s="1"/>
  <c r="AG1591" i="6" s="1"/>
  <c r="AD1599" i="6"/>
  <c r="AF1599" i="6" s="1"/>
  <c r="AG1599" i="6" s="1"/>
  <c r="AD1607" i="6"/>
  <c r="AF1607" i="6" s="1"/>
  <c r="AG1607" i="6" s="1"/>
  <c r="AD1615" i="6"/>
  <c r="AF1615" i="6" s="1"/>
  <c r="AG1615" i="6" s="1"/>
  <c r="AD1623" i="6"/>
  <c r="AF1623" i="6" s="1"/>
  <c r="AG1623" i="6" s="1"/>
  <c r="AD1631" i="6"/>
  <c r="AF1631" i="6" s="1"/>
  <c r="AG1631" i="6" s="1"/>
  <c r="AD1639" i="6"/>
  <c r="AF1639" i="6" s="1"/>
  <c r="AG1639" i="6" s="1"/>
  <c r="AD1647" i="6"/>
  <c r="AF1647" i="6" s="1"/>
  <c r="AG1647" i="6" s="1"/>
  <c r="AD1655" i="6"/>
  <c r="AF1655" i="6" s="1"/>
  <c r="AG1655" i="6" s="1"/>
  <c r="AD1663" i="6"/>
  <c r="AF1663" i="6" s="1"/>
  <c r="AG1663" i="6" s="1"/>
  <c r="AD1671" i="6"/>
  <c r="AF1671" i="6" s="1"/>
  <c r="AG1671" i="6" s="1"/>
  <c r="AD1679" i="6"/>
  <c r="AF1679" i="6" s="1"/>
  <c r="AG1679" i="6" s="1"/>
  <c r="AD1687" i="6"/>
  <c r="AF1687" i="6" s="1"/>
  <c r="AG1687" i="6" s="1"/>
  <c r="AD1695" i="6"/>
  <c r="AF1695" i="6" s="1"/>
  <c r="AG1695" i="6" s="1"/>
  <c r="AD1703" i="6"/>
  <c r="AF1703" i="6" s="1"/>
  <c r="AG1703" i="6" s="1"/>
  <c r="AD1711" i="6"/>
  <c r="AF1711" i="6" s="1"/>
  <c r="AG1711" i="6" s="1"/>
  <c r="AD1719" i="6"/>
  <c r="AF1719" i="6" s="1"/>
  <c r="AG1719" i="6" s="1"/>
  <c r="AD1727" i="6"/>
  <c r="AF1727" i="6" s="1"/>
  <c r="AG1727" i="6" s="1"/>
  <c r="AD1735" i="6"/>
  <c r="AF1735" i="6" s="1"/>
  <c r="AG1735" i="6" s="1"/>
  <c r="AD1743" i="6"/>
  <c r="AF1743" i="6" s="1"/>
  <c r="AG1743" i="6" s="1"/>
  <c r="AD1751" i="6"/>
  <c r="AF1751" i="6" s="1"/>
  <c r="AG1751" i="6" s="1"/>
  <c r="AD1759" i="6"/>
  <c r="AF1759" i="6" s="1"/>
  <c r="AG1759" i="6" s="1"/>
  <c r="AD1767" i="6"/>
  <c r="AF1767" i="6" s="1"/>
  <c r="AG1767" i="6" s="1"/>
  <c r="AD1775" i="6"/>
  <c r="AF1775" i="6" s="1"/>
  <c r="AG1775" i="6" s="1"/>
  <c r="AD1783" i="6"/>
  <c r="AF1783" i="6" s="1"/>
  <c r="AG1783" i="6" s="1"/>
  <c r="AD1791" i="6"/>
  <c r="AF1791" i="6" s="1"/>
  <c r="AG1791" i="6" s="1"/>
  <c r="AD1799" i="6"/>
  <c r="AF1799" i="6" s="1"/>
  <c r="AG1799" i="6" s="1"/>
  <c r="AD1807" i="6"/>
  <c r="AF1807" i="6" s="1"/>
  <c r="AG1807" i="6" s="1"/>
  <c r="AD1815" i="6"/>
  <c r="AF1815" i="6" s="1"/>
  <c r="AG1815" i="6" s="1"/>
  <c r="AD1823" i="6"/>
  <c r="AF1823" i="6" s="1"/>
  <c r="AG1823" i="6" s="1"/>
  <c r="AD1831" i="6"/>
  <c r="AF1831" i="6" s="1"/>
  <c r="AG1831" i="6" s="1"/>
  <c r="AD1839" i="6"/>
  <c r="AF1839" i="6" s="1"/>
  <c r="AG1839" i="6" s="1"/>
  <c r="AD1847" i="6"/>
  <c r="AF1847" i="6" s="1"/>
  <c r="AG1847" i="6" s="1"/>
  <c r="AD1855" i="6"/>
  <c r="AF1855" i="6" s="1"/>
  <c r="AG1855" i="6" s="1"/>
  <c r="AD1863" i="6"/>
  <c r="AF1863" i="6" s="1"/>
  <c r="AG1863" i="6" s="1"/>
  <c r="AD1871" i="6"/>
  <c r="AF1871" i="6" s="1"/>
  <c r="AG1871" i="6" s="1"/>
  <c r="AD1879" i="6"/>
  <c r="AF1879" i="6" s="1"/>
  <c r="AG1879" i="6" s="1"/>
  <c r="AD1887" i="6"/>
  <c r="AF1887" i="6" s="1"/>
  <c r="AG1887" i="6" s="1"/>
  <c r="AD1895" i="6"/>
  <c r="AF1895" i="6" s="1"/>
  <c r="AG1895" i="6" s="1"/>
  <c r="AD1903" i="6"/>
  <c r="AF1903" i="6" s="1"/>
  <c r="AG1903" i="6" s="1"/>
  <c r="AD1911" i="6"/>
  <c r="AF1911" i="6" s="1"/>
  <c r="AG1911" i="6" s="1"/>
  <c r="AD1919" i="6"/>
  <c r="AF1919" i="6" s="1"/>
  <c r="AG1919" i="6" s="1"/>
  <c r="AD1927" i="6"/>
  <c r="AF1927" i="6" s="1"/>
  <c r="AG1927" i="6" s="1"/>
  <c r="AD1935" i="6"/>
  <c r="AF1935" i="6" s="1"/>
  <c r="AG1935" i="6" s="1"/>
  <c r="AD1943" i="6"/>
  <c r="AF1943" i="6" s="1"/>
  <c r="AG1943" i="6" s="1"/>
  <c r="AD1951" i="6"/>
  <c r="AF1951" i="6" s="1"/>
  <c r="AG1951" i="6" s="1"/>
  <c r="AD1959" i="6"/>
  <c r="AF1959" i="6" s="1"/>
  <c r="AG1959" i="6" s="1"/>
  <c r="AD1967" i="6"/>
  <c r="AF1967" i="6" s="1"/>
  <c r="AG1967" i="6" s="1"/>
  <c r="AD1975" i="6"/>
  <c r="AF1975" i="6" s="1"/>
  <c r="AG1975" i="6" s="1"/>
  <c r="AD1983" i="6"/>
  <c r="AF1983" i="6" s="1"/>
  <c r="AG1983" i="6" s="1"/>
  <c r="AD1991" i="6"/>
  <c r="AF1991" i="6" s="1"/>
  <c r="AG1991" i="6" s="1"/>
  <c r="AD1999" i="6"/>
  <c r="AF1999" i="6" s="1"/>
  <c r="AG1999" i="6" s="1"/>
  <c r="AD2007" i="6"/>
  <c r="AF2007" i="6" s="1"/>
  <c r="AG2007" i="6" s="1"/>
  <c r="AD2015" i="6"/>
  <c r="AF2015" i="6" s="1"/>
  <c r="AG2015" i="6" s="1"/>
  <c r="AD2023" i="6"/>
  <c r="AF2023" i="6" s="1"/>
  <c r="AG2023" i="6" s="1"/>
  <c r="AD2031" i="6"/>
  <c r="AF2031" i="6" s="1"/>
  <c r="AG2031" i="6" s="1"/>
  <c r="AD2039" i="6"/>
  <c r="AF2039" i="6" s="1"/>
  <c r="AG2039" i="6" s="1"/>
  <c r="AD2047" i="6"/>
  <c r="AF2047" i="6" s="1"/>
  <c r="AG2047" i="6" s="1"/>
  <c r="AD2055" i="6"/>
  <c r="AF2055" i="6" s="1"/>
  <c r="AG2055" i="6" s="1"/>
  <c r="AD2063" i="6"/>
  <c r="AF2063" i="6" s="1"/>
  <c r="AG2063" i="6" s="1"/>
  <c r="AD2071" i="6"/>
  <c r="AF2071" i="6" s="1"/>
  <c r="AG2071" i="6" s="1"/>
  <c r="AD2079" i="6"/>
  <c r="AF2079" i="6" s="1"/>
  <c r="AG2079" i="6" s="1"/>
  <c r="AD2087" i="6"/>
  <c r="AF2087" i="6" s="1"/>
  <c r="AG2087" i="6" s="1"/>
  <c r="AD2095" i="6"/>
  <c r="AF2095" i="6" s="1"/>
  <c r="AG2095" i="6" s="1"/>
  <c r="AD2103" i="6"/>
  <c r="AF2103" i="6" s="1"/>
  <c r="AG2103" i="6" s="1"/>
  <c r="AD2111" i="6"/>
  <c r="AF2111" i="6" s="1"/>
  <c r="AG2111" i="6" s="1"/>
  <c r="AD2119" i="6"/>
  <c r="AF2119" i="6" s="1"/>
  <c r="AG2119" i="6" s="1"/>
  <c r="AD2127" i="6"/>
  <c r="AF2127" i="6" s="1"/>
  <c r="AG2127" i="6" s="1"/>
  <c r="AD2135" i="6"/>
  <c r="AF2135" i="6" s="1"/>
  <c r="AG2135" i="6" s="1"/>
  <c r="AD2143" i="6"/>
  <c r="AF2143" i="6" s="1"/>
  <c r="AG2143" i="6" s="1"/>
  <c r="AD2151" i="6"/>
  <c r="AF2151" i="6" s="1"/>
  <c r="AG2151" i="6" s="1"/>
  <c r="AD2159" i="6"/>
  <c r="AF2159" i="6" s="1"/>
  <c r="AG2159" i="6" s="1"/>
  <c r="AD2167" i="6"/>
  <c r="AF2167" i="6" s="1"/>
  <c r="AG2167" i="6" s="1"/>
  <c r="AD2175" i="6"/>
  <c r="AF2175" i="6" s="1"/>
  <c r="AG2175" i="6" s="1"/>
  <c r="AD2183" i="6"/>
  <c r="AF2183" i="6" s="1"/>
  <c r="AG2183" i="6" s="1"/>
  <c r="AD2191" i="6"/>
  <c r="AF2191" i="6" s="1"/>
  <c r="AG2191" i="6" s="1"/>
  <c r="AD2199" i="6"/>
  <c r="AF2199" i="6" s="1"/>
  <c r="AG2199" i="6" s="1"/>
  <c r="AD2207" i="6"/>
  <c r="AF2207" i="6" s="1"/>
  <c r="AG2207" i="6" s="1"/>
  <c r="AD2215" i="6"/>
  <c r="AF2215" i="6" s="1"/>
  <c r="AG2215" i="6" s="1"/>
  <c r="AD2223" i="6"/>
  <c r="AF2223" i="6" s="1"/>
  <c r="AG2223" i="6" s="1"/>
  <c r="AD2231" i="6"/>
  <c r="AF2231" i="6" s="1"/>
  <c r="AG2231" i="6" s="1"/>
  <c r="AD2239" i="6"/>
  <c r="AF2239" i="6" s="1"/>
  <c r="AG2239" i="6" s="1"/>
  <c r="AD2247" i="6"/>
  <c r="AF2247" i="6" s="1"/>
  <c r="AG2247" i="6" s="1"/>
  <c r="AD2255" i="6"/>
  <c r="AF2255" i="6" s="1"/>
  <c r="AG2255" i="6" s="1"/>
  <c r="AD2263" i="6"/>
  <c r="AF2263" i="6" s="1"/>
  <c r="AG2263" i="6" s="1"/>
  <c r="AD2271" i="6"/>
  <c r="AF2271" i="6" s="1"/>
  <c r="AG2271" i="6" s="1"/>
  <c r="AD2279" i="6"/>
  <c r="AF2279" i="6" s="1"/>
  <c r="AG2279" i="6" s="1"/>
  <c r="AD2287" i="6"/>
  <c r="AF2287" i="6" s="1"/>
  <c r="AG2287" i="6" s="1"/>
  <c r="AD2295" i="6"/>
  <c r="AF2295" i="6" s="1"/>
  <c r="AG2295" i="6" s="1"/>
  <c r="AD2303" i="6"/>
  <c r="AF2303" i="6" s="1"/>
  <c r="AG2303" i="6" s="1"/>
  <c r="AD2311" i="6"/>
  <c r="AF2311" i="6" s="1"/>
  <c r="AG2311" i="6" s="1"/>
  <c r="AD2319" i="6"/>
  <c r="AF2319" i="6" s="1"/>
  <c r="AG2319" i="6" s="1"/>
  <c r="AD2327" i="6"/>
  <c r="AF2327" i="6" s="1"/>
  <c r="AG2327" i="6" s="1"/>
  <c r="AD2335" i="6"/>
  <c r="AF2335" i="6" s="1"/>
  <c r="AG2335" i="6" s="1"/>
  <c r="AD2343" i="6"/>
  <c r="AF2343" i="6" s="1"/>
  <c r="AG2343" i="6" s="1"/>
  <c r="AD2351" i="6"/>
  <c r="AF2351" i="6" s="1"/>
  <c r="AG2351" i="6" s="1"/>
  <c r="AD1005" i="6"/>
  <c r="AF1005" i="6" s="1"/>
  <c r="AG1005" i="6" s="1"/>
  <c r="AD1037" i="6"/>
  <c r="AF1037" i="6" s="1"/>
  <c r="AG1037" i="6" s="1"/>
  <c r="AD1069" i="6"/>
  <c r="AF1069" i="6" s="1"/>
  <c r="AG1069" i="6" s="1"/>
  <c r="AD1092" i="6"/>
  <c r="AF1092" i="6" s="1"/>
  <c r="AG1092" i="6" s="1"/>
  <c r="AD1115" i="6"/>
  <c r="AF1115" i="6" s="1"/>
  <c r="AG1115" i="6" s="1"/>
  <c r="AD1132" i="6"/>
  <c r="AF1132" i="6" s="1"/>
  <c r="AG1132" i="6" s="1"/>
  <c r="AD1148" i="6"/>
  <c r="AF1148" i="6" s="1"/>
  <c r="AG1148" i="6" s="1"/>
  <c r="AD1162" i="6"/>
  <c r="AF1162" i="6" s="1"/>
  <c r="AG1162" i="6" s="1"/>
  <c r="AD1173" i="6"/>
  <c r="AF1173" i="6" s="1"/>
  <c r="AG1173" i="6" s="1"/>
  <c r="AD1187" i="6"/>
  <c r="AF1187" i="6" s="1"/>
  <c r="AG1187" i="6" s="1"/>
  <c r="AD1201" i="6"/>
  <c r="AF1201" i="6" s="1"/>
  <c r="AG1201" i="6" s="1"/>
  <c r="AD1212" i="6"/>
  <c r="AF1212" i="6" s="1"/>
  <c r="AG1212" i="6" s="1"/>
  <c r="AD1226" i="6"/>
  <c r="AF1226" i="6" s="1"/>
  <c r="AG1226" i="6" s="1"/>
  <c r="AD1237" i="6"/>
  <c r="AF1237" i="6" s="1"/>
  <c r="AG1237" i="6" s="1"/>
  <c r="AD1251" i="6"/>
  <c r="AF1251" i="6" s="1"/>
  <c r="AG1251" i="6" s="1"/>
  <c r="AD1265" i="6"/>
  <c r="AF1265" i="6" s="1"/>
  <c r="AG1265" i="6" s="1"/>
  <c r="AD1276" i="6"/>
  <c r="AF1276" i="6" s="1"/>
  <c r="AG1276" i="6" s="1"/>
  <c r="AD1290" i="6"/>
  <c r="AF1290" i="6" s="1"/>
  <c r="AG1290" i="6" s="1"/>
  <c r="AD1301" i="6"/>
  <c r="AF1301" i="6" s="1"/>
  <c r="AG1301" i="6" s="1"/>
  <c r="AD1314" i="6"/>
  <c r="AF1314" i="6" s="1"/>
  <c r="AG1314" i="6" s="1"/>
  <c r="AD1323" i="6"/>
  <c r="AF1323" i="6" s="1"/>
  <c r="AG1323" i="6" s="1"/>
  <c r="AD1332" i="6"/>
  <c r="AF1332" i="6" s="1"/>
  <c r="AG1332" i="6" s="1"/>
  <c r="AD1341" i="6"/>
  <c r="AF1341" i="6" s="1"/>
  <c r="AG1341" i="6" s="1"/>
  <c r="AD1351" i="6"/>
  <c r="AF1351" i="6" s="1"/>
  <c r="AG1351" i="6" s="1"/>
  <c r="AD1360" i="6"/>
  <c r="AF1360" i="6" s="1"/>
  <c r="AG1360" i="6" s="1"/>
  <c r="AD1369" i="6"/>
  <c r="AF1369" i="6" s="1"/>
  <c r="AG1369" i="6" s="1"/>
  <c r="AD1378" i="6"/>
  <c r="AF1378" i="6" s="1"/>
  <c r="AG1378" i="6" s="1"/>
  <c r="AD1387" i="6"/>
  <c r="AF1387" i="6" s="1"/>
  <c r="AG1387" i="6" s="1"/>
  <c r="AD1396" i="6"/>
  <c r="AF1396" i="6" s="1"/>
  <c r="AG1396" i="6" s="1"/>
  <c r="AD1405" i="6"/>
  <c r="AF1405" i="6" s="1"/>
  <c r="AG1405" i="6" s="1"/>
  <c r="AD1415" i="6"/>
  <c r="AF1415" i="6" s="1"/>
  <c r="AG1415" i="6" s="1"/>
  <c r="AD1424" i="6"/>
  <c r="AF1424" i="6" s="1"/>
  <c r="AG1424" i="6" s="1"/>
  <c r="AD1433" i="6"/>
  <c r="AF1433" i="6" s="1"/>
  <c r="AG1433" i="6" s="1"/>
  <c r="AD1442" i="6"/>
  <c r="AF1442" i="6" s="1"/>
  <c r="AG1442" i="6" s="1"/>
  <c r="AD1451" i="6"/>
  <c r="AF1451" i="6" s="1"/>
  <c r="AG1451" i="6" s="1"/>
  <c r="AD1460" i="6"/>
  <c r="AF1460" i="6" s="1"/>
  <c r="AG1460" i="6" s="1"/>
  <c r="AD1469" i="6"/>
  <c r="AF1469" i="6" s="1"/>
  <c r="AG1469" i="6" s="1"/>
  <c r="AD1479" i="6"/>
  <c r="AF1479" i="6" s="1"/>
  <c r="AG1479" i="6" s="1"/>
  <c r="AD1488" i="6"/>
  <c r="AF1488" i="6" s="1"/>
  <c r="AG1488" i="6" s="1"/>
  <c r="AD1497" i="6"/>
  <c r="AF1497" i="6" s="1"/>
  <c r="AG1497" i="6" s="1"/>
  <c r="AD1506" i="6"/>
  <c r="AF1506" i="6" s="1"/>
  <c r="AG1506" i="6" s="1"/>
  <c r="AD1515" i="6"/>
  <c r="AF1515" i="6" s="1"/>
  <c r="AG1515" i="6" s="1"/>
  <c r="AD1524" i="6"/>
  <c r="AF1524" i="6" s="1"/>
  <c r="AG1524" i="6" s="1"/>
  <c r="AD1533" i="6"/>
  <c r="AF1533" i="6" s="1"/>
  <c r="AG1533" i="6" s="1"/>
  <c r="AD1543" i="6"/>
  <c r="AF1543" i="6" s="1"/>
  <c r="AG1543" i="6" s="1"/>
  <c r="AD1552" i="6"/>
  <c r="AF1552" i="6" s="1"/>
  <c r="AG1552" i="6" s="1"/>
  <c r="AD1560" i="6"/>
  <c r="AF1560" i="6" s="1"/>
  <c r="AG1560" i="6" s="1"/>
  <c r="AD1568" i="6"/>
  <c r="AF1568" i="6" s="1"/>
  <c r="AG1568" i="6" s="1"/>
  <c r="AD1576" i="6"/>
  <c r="AF1576" i="6" s="1"/>
  <c r="AG1576" i="6" s="1"/>
  <c r="AD1584" i="6"/>
  <c r="AF1584" i="6" s="1"/>
  <c r="AG1584" i="6" s="1"/>
  <c r="AD1592" i="6"/>
  <c r="AF1592" i="6" s="1"/>
  <c r="AG1592" i="6" s="1"/>
  <c r="AD1600" i="6"/>
  <c r="AF1600" i="6" s="1"/>
  <c r="AG1600" i="6" s="1"/>
  <c r="AD1608" i="6"/>
  <c r="AF1608" i="6" s="1"/>
  <c r="AG1608" i="6" s="1"/>
  <c r="AD1616" i="6"/>
  <c r="AF1616" i="6" s="1"/>
  <c r="AG1616" i="6" s="1"/>
  <c r="AD1624" i="6"/>
  <c r="AF1624" i="6" s="1"/>
  <c r="AG1624" i="6" s="1"/>
  <c r="AD1632" i="6"/>
  <c r="AF1632" i="6" s="1"/>
  <c r="AG1632" i="6" s="1"/>
  <c r="AD1640" i="6"/>
  <c r="AF1640" i="6" s="1"/>
  <c r="AG1640" i="6" s="1"/>
  <c r="AD1648" i="6"/>
  <c r="AF1648" i="6" s="1"/>
  <c r="AG1648" i="6" s="1"/>
  <c r="AD1656" i="6"/>
  <c r="AF1656" i="6" s="1"/>
  <c r="AG1656" i="6" s="1"/>
  <c r="AD1664" i="6"/>
  <c r="AF1664" i="6" s="1"/>
  <c r="AG1664" i="6" s="1"/>
  <c r="AD1672" i="6"/>
  <c r="AF1672" i="6" s="1"/>
  <c r="AG1672" i="6" s="1"/>
  <c r="AD1680" i="6"/>
  <c r="AF1680" i="6" s="1"/>
  <c r="AG1680" i="6" s="1"/>
  <c r="AD1688" i="6"/>
  <c r="AF1688" i="6" s="1"/>
  <c r="AG1688" i="6" s="1"/>
  <c r="AD1696" i="6"/>
  <c r="AF1696" i="6" s="1"/>
  <c r="AG1696" i="6" s="1"/>
  <c r="AD1704" i="6"/>
  <c r="AF1704" i="6" s="1"/>
  <c r="AG1704" i="6" s="1"/>
  <c r="AD1712" i="6"/>
  <c r="AF1712" i="6" s="1"/>
  <c r="AG1712" i="6" s="1"/>
  <c r="AD1720" i="6"/>
  <c r="AF1720" i="6" s="1"/>
  <c r="AG1720" i="6" s="1"/>
  <c r="AD1728" i="6"/>
  <c r="AF1728" i="6" s="1"/>
  <c r="AG1728" i="6" s="1"/>
  <c r="AD1736" i="6"/>
  <c r="AF1736" i="6" s="1"/>
  <c r="AG1736" i="6" s="1"/>
  <c r="AD1744" i="6"/>
  <c r="AF1744" i="6" s="1"/>
  <c r="AG1744" i="6" s="1"/>
  <c r="AD1752" i="6"/>
  <c r="AF1752" i="6" s="1"/>
  <c r="AG1752" i="6" s="1"/>
  <c r="AD1760" i="6"/>
  <c r="AF1760" i="6" s="1"/>
  <c r="AG1760" i="6" s="1"/>
  <c r="AD1768" i="6"/>
  <c r="AF1768" i="6" s="1"/>
  <c r="AG1768" i="6" s="1"/>
  <c r="AD1776" i="6"/>
  <c r="AF1776" i="6" s="1"/>
  <c r="AG1776" i="6" s="1"/>
  <c r="AD1784" i="6"/>
  <c r="AF1784" i="6" s="1"/>
  <c r="AG1784" i="6" s="1"/>
  <c r="AD1792" i="6"/>
  <c r="AF1792" i="6" s="1"/>
  <c r="AG1792" i="6" s="1"/>
  <c r="AD1800" i="6"/>
  <c r="AF1800" i="6" s="1"/>
  <c r="AG1800" i="6" s="1"/>
  <c r="AD1808" i="6"/>
  <c r="AF1808" i="6" s="1"/>
  <c r="AG1808" i="6" s="1"/>
  <c r="AD1816" i="6"/>
  <c r="AF1816" i="6" s="1"/>
  <c r="AG1816" i="6" s="1"/>
  <c r="AD1824" i="6"/>
  <c r="AF1824" i="6" s="1"/>
  <c r="AG1824" i="6" s="1"/>
  <c r="AD1832" i="6"/>
  <c r="AF1832" i="6" s="1"/>
  <c r="AG1832" i="6" s="1"/>
  <c r="AD1840" i="6"/>
  <c r="AF1840" i="6" s="1"/>
  <c r="AG1840" i="6" s="1"/>
  <c r="AD1848" i="6"/>
  <c r="AF1848" i="6" s="1"/>
  <c r="AG1848" i="6" s="1"/>
  <c r="AD1856" i="6"/>
  <c r="AF1856" i="6" s="1"/>
  <c r="AG1856" i="6" s="1"/>
  <c r="AD1864" i="6"/>
  <c r="AF1864" i="6" s="1"/>
  <c r="AG1864" i="6" s="1"/>
  <c r="AD1872" i="6"/>
  <c r="AF1872" i="6" s="1"/>
  <c r="AG1872" i="6" s="1"/>
  <c r="AD1880" i="6"/>
  <c r="AF1880" i="6" s="1"/>
  <c r="AG1880" i="6" s="1"/>
  <c r="AD1888" i="6"/>
  <c r="AF1888" i="6" s="1"/>
  <c r="AG1888" i="6" s="1"/>
  <c r="AD1896" i="6"/>
  <c r="AF1896" i="6" s="1"/>
  <c r="AG1896" i="6" s="1"/>
  <c r="AD1904" i="6"/>
  <c r="AF1904" i="6" s="1"/>
  <c r="AG1904" i="6" s="1"/>
  <c r="AD1912" i="6"/>
  <c r="AF1912" i="6" s="1"/>
  <c r="AG1912" i="6" s="1"/>
  <c r="AD1920" i="6"/>
  <c r="AF1920" i="6" s="1"/>
  <c r="AG1920" i="6" s="1"/>
  <c r="AD1928" i="6"/>
  <c r="AF1928" i="6" s="1"/>
  <c r="AG1928" i="6" s="1"/>
  <c r="AD1936" i="6"/>
  <c r="AF1936" i="6" s="1"/>
  <c r="AG1936" i="6" s="1"/>
  <c r="AD1944" i="6"/>
  <c r="AF1944" i="6" s="1"/>
  <c r="AG1944" i="6" s="1"/>
  <c r="AD1952" i="6"/>
  <c r="AF1952" i="6" s="1"/>
  <c r="AG1952" i="6" s="1"/>
  <c r="AD1960" i="6"/>
  <c r="AF1960" i="6" s="1"/>
  <c r="AG1960" i="6" s="1"/>
  <c r="AD1968" i="6"/>
  <c r="AF1968" i="6" s="1"/>
  <c r="AG1968" i="6" s="1"/>
  <c r="AD1976" i="6"/>
  <c r="AF1976" i="6" s="1"/>
  <c r="AG1976" i="6" s="1"/>
  <c r="AD1984" i="6"/>
  <c r="AF1984" i="6" s="1"/>
  <c r="AG1984" i="6" s="1"/>
  <c r="AD1992" i="6"/>
  <c r="AF1992" i="6" s="1"/>
  <c r="AG1992" i="6" s="1"/>
  <c r="AD2000" i="6"/>
  <c r="AF2000" i="6" s="1"/>
  <c r="AG2000" i="6" s="1"/>
  <c r="AD2008" i="6"/>
  <c r="AF2008" i="6" s="1"/>
  <c r="AG2008" i="6" s="1"/>
  <c r="AD2016" i="6"/>
  <c r="AF2016" i="6" s="1"/>
  <c r="AG2016" i="6" s="1"/>
  <c r="AD2024" i="6"/>
  <c r="AF2024" i="6" s="1"/>
  <c r="AG2024" i="6" s="1"/>
  <c r="AD2032" i="6"/>
  <c r="AF2032" i="6" s="1"/>
  <c r="AG2032" i="6" s="1"/>
  <c r="AD2040" i="6"/>
  <c r="AF2040" i="6" s="1"/>
  <c r="AG2040" i="6" s="1"/>
  <c r="AD2048" i="6"/>
  <c r="AF2048" i="6" s="1"/>
  <c r="AG2048" i="6" s="1"/>
  <c r="AD2056" i="6"/>
  <c r="AF2056" i="6" s="1"/>
  <c r="AG2056" i="6" s="1"/>
  <c r="AD2064" i="6"/>
  <c r="AF2064" i="6" s="1"/>
  <c r="AG2064" i="6" s="1"/>
  <c r="AD2072" i="6"/>
  <c r="AF2072" i="6" s="1"/>
  <c r="AG2072" i="6" s="1"/>
  <c r="AD2080" i="6"/>
  <c r="AF2080" i="6" s="1"/>
  <c r="AG2080" i="6" s="1"/>
  <c r="AD2088" i="6"/>
  <c r="AF2088" i="6" s="1"/>
  <c r="AG2088" i="6" s="1"/>
  <c r="AD2096" i="6"/>
  <c r="AF2096" i="6" s="1"/>
  <c r="AG2096" i="6" s="1"/>
  <c r="AD2104" i="6"/>
  <c r="AF2104" i="6" s="1"/>
  <c r="AG2104" i="6" s="1"/>
  <c r="AD2112" i="6"/>
  <c r="AF2112" i="6" s="1"/>
  <c r="AG2112" i="6" s="1"/>
  <c r="AD2120" i="6"/>
  <c r="AF2120" i="6" s="1"/>
  <c r="AG2120" i="6" s="1"/>
  <c r="AD2128" i="6"/>
  <c r="AF2128" i="6" s="1"/>
  <c r="AG2128" i="6" s="1"/>
  <c r="AD2136" i="6"/>
  <c r="AF2136" i="6" s="1"/>
  <c r="AG2136" i="6" s="1"/>
  <c r="AD2144" i="6"/>
  <c r="AF2144" i="6" s="1"/>
  <c r="AG2144" i="6" s="1"/>
  <c r="AD2152" i="6"/>
  <c r="AF2152" i="6" s="1"/>
  <c r="AG2152" i="6" s="1"/>
  <c r="AD2160" i="6"/>
  <c r="AF2160" i="6" s="1"/>
  <c r="AG2160" i="6" s="1"/>
  <c r="AD2168" i="6"/>
  <c r="AF2168" i="6" s="1"/>
  <c r="AG2168" i="6" s="1"/>
  <c r="AD2176" i="6"/>
  <c r="AF2176" i="6" s="1"/>
  <c r="AG2176" i="6" s="1"/>
  <c r="AD2184" i="6"/>
  <c r="AF2184" i="6" s="1"/>
  <c r="AG2184" i="6" s="1"/>
  <c r="AD2192" i="6"/>
  <c r="AF2192" i="6" s="1"/>
  <c r="AG2192" i="6" s="1"/>
  <c r="AD2200" i="6"/>
  <c r="AF2200" i="6" s="1"/>
  <c r="AG2200" i="6" s="1"/>
  <c r="AD2208" i="6"/>
  <c r="AF2208" i="6" s="1"/>
  <c r="AG2208" i="6" s="1"/>
  <c r="AD2216" i="6"/>
  <c r="AF2216" i="6" s="1"/>
  <c r="AG2216" i="6" s="1"/>
  <c r="AD2224" i="6"/>
  <c r="AF2224" i="6" s="1"/>
  <c r="AG2224" i="6" s="1"/>
  <c r="AD2232" i="6"/>
  <c r="AF2232" i="6" s="1"/>
  <c r="AG2232" i="6" s="1"/>
  <c r="AD2240" i="6"/>
  <c r="AF2240" i="6" s="1"/>
  <c r="AG2240" i="6" s="1"/>
  <c r="AD2248" i="6"/>
  <c r="AF2248" i="6" s="1"/>
  <c r="AG2248" i="6" s="1"/>
  <c r="AD2256" i="6"/>
  <c r="AF2256" i="6" s="1"/>
  <c r="AG2256" i="6" s="1"/>
  <c r="AD2264" i="6"/>
  <c r="AF2264" i="6" s="1"/>
  <c r="AG2264" i="6" s="1"/>
  <c r="AD2272" i="6"/>
  <c r="AF2272" i="6" s="1"/>
  <c r="AG2272" i="6" s="1"/>
  <c r="AD1012" i="6"/>
  <c r="AF1012" i="6" s="1"/>
  <c r="AG1012" i="6" s="1"/>
  <c r="AD1044" i="6"/>
  <c r="AF1044" i="6" s="1"/>
  <c r="AG1044" i="6" s="1"/>
  <c r="AD1075" i="6"/>
  <c r="AF1075" i="6" s="1"/>
  <c r="AG1075" i="6" s="1"/>
  <c r="AD1093" i="6"/>
  <c r="AF1093" i="6" s="1"/>
  <c r="AG1093" i="6" s="1"/>
  <c r="AD1116" i="6"/>
  <c r="AF1116" i="6" s="1"/>
  <c r="AG1116" i="6" s="1"/>
  <c r="AD1133" i="6"/>
  <c r="AF1133" i="6" s="1"/>
  <c r="AG1133" i="6" s="1"/>
  <c r="AD1149" i="6"/>
  <c r="AF1149" i="6" s="1"/>
  <c r="AG1149" i="6" s="1"/>
  <c r="AD1163" i="6"/>
  <c r="AF1163" i="6" s="1"/>
  <c r="AG1163" i="6" s="1"/>
  <c r="AD1177" i="6"/>
  <c r="AF1177" i="6" s="1"/>
  <c r="AG1177" i="6" s="1"/>
  <c r="AD1188" i="6"/>
  <c r="AF1188" i="6" s="1"/>
  <c r="AG1188" i="6" s="1"/>
  <c r="AD1202" i="6"/>
  <c r="AF1202" i="6" s="1"/>
  <c r="AG1202" i="6" s="1"/>
  <c r="AD1213" i="6"/>
  <c r="AF1213" i="6" s="1"/>
  <c r="AG1213" i="6" s="1"/>
  <c r="AD1227" i="6"/>
  <c r="AF1227" i="6" s="1"/>
  <c r="AG1227" i="6" s="1"/>
  <c r="AD1241" i="6"/>
  <c r="AF1241" i="6" s="1"/>
  <c r="AG1241" i="6" s="1"/>
  <c r="AD1252" i="6"/>
  <c r="AF1252" i="6" s="1"/>
  <c r="AG1252" i="6" s="1"/>
  <c r="AD1266" i="6"/>
  <c r="AF1266" i="6" s="1"/>
  <c r="AG1266" i="6" s="1"/>
  <c r="AD1277" i="6"/>
  <c r="AF1277" i="6" s="1"/>
  <c r="AG1277" i="6" s="1"/>
  <c r="AD1291" i="6"/>
  <c r="AF1291" i="6" s="1"/>
  <c r="AG1291" i="6" s="1"/>
  <c r="AD1305" i="6"/>
  <c r="AF1305" i="6" s="1"/>
  <c r="AG1305" i="6" s="1"/>
  <c r="AD1315" i="6"/>
  <c r="AF1315" i="6" s="1"/>
  <c r="AG1315" i="6" s="1"/>
  <c r="AD1324" i="6"/>
  <c r="AF1324" i="6" s="1"/>
  <c r="AG1324" i="6" s="1"/>
  <c r="AD1333" i="6"/>
  <c r="AF1333" i="6" s="1"/>
  <c r="AG1333" i="6" s="1"/>
  <c r="AD1343" i="6"/>
  <c r="AF1343" i="6" s="1"/>
  <c r="AG1343" i="6" s="1"/>
  <c r="AD1352" i="6"/>
  <c r="AF1352" i="6" s="1"/>
  <c r="AG1352" i="6" s="1"/>
  <c r="AD1361" i="6"/>
  <c r="AF1361" i="6" s="1"/>
  <c r="AG1361" i="6" s="1"/>
  <c r="AD1370" i="6"/>
  <c r="AF1370" i="6" s="1"/>
  <c r="AG1370" i="6" s="1"/>
  <c r="AD1379" i="6"/>
  <c r="AF1379" i="6" s="1"/>
  <c r="AG1379" i="6" s="1"/>
  <c r="AD1388" i="6"/>
  <c r="AF1388" i="6" s="1"/>
  <c r="AG1388" i="6" s="1"/>
  <c r="AD1397" i="6"/>
  <c r="AF1397" i="6" s="1"/>
  <c r="AG1397" i="6" s="1"/>
  <c r="AD1407" i="6"/>
  <c r="AF1407" i="6" s="1"/>
  <c r="AG1407" i="6" s="1"/>
  <c r="AD1416" i="6"/>
  <c r="AF1416" i="6" s="1"/>
  <c r="AG1416" i="6" s="1"/>
  <c r="AD1425" i="6"/>
  <c r="AF1425" i="6" s="1"/>
  <c r="AG1425" i="6" s="1"/>
  <c r="AD1434" i="6"/>
  <c r="AF1434" i="6" s="1"/>
  <c r="AG1434" i="6" s="1"/>
  <c r="AD1443" i="6"/>
  <c r="AF1443" i="6" s="1"/>
  <c r="AG1443" i="6" s="1"/>
  <c r="AD1452" i="6"/>
  <c r="AF1452" i="6" s="1"/>
  <c r="AG1452" i="6" s="1"/>
  <c r="AD1461" i="6"/>
  <c r="AF1461" i="6" s="1"/>
  <c r="AG1461" i="6" s="1"/>
  <c r="AD1471" i="6"/>
  <c r="AF1471" i="6" s="1"/>
  <c r="AG1471" i="6" s="1"/>
  <c r="AD1480" i="6"/>
  <c r="AF1480" i="6" s="1"/>
  <c r="AG1480" i="6" s="1"/>
  <c r="AD1489" i="6"/>
  <c r="AF1489" i="6" s="1"/>
  <c r="AG1489" i="6" s="1"/>
  <c r="AD1498" i="6"/>
  <c r="AF1498" i="6" s="1"/>
  <c r="AG1498" i="6" s="1"/>
  <c r="AD1507" i="6"/>
  <c r="AF1507" i="6" s="1"/>
  <c r="AG1507" i="6" s="1"/>
  <c r="AD1516" i="6"/>
  <c r="AF1516" i="6" s="1"/>
  <c r="AG1516" i="6" s="1"/>
  <c r="AD1525" i="6"/>
  <c r="AF1525" i="6" s="1"/>
  <c r="AG1525" i="6" s="1"/>
  <c r="AD1535" i="6"/>
  <c r="AF1535" i="6" s="1"/>
  <c r="AG1535" i="6" s="1"/>
  <c r="AD1544" i="6"/>
  <c r="AF1544" i="6" s="1"/>
  <c r="AG1544" i="6" s="1"/>
  <c r="AD1553" i="6"/>
  <c r="AF1553" i="6" s="1"/>
  <c r="AG1553" i="6" s="1"/>
  <c r="AD1561" i="6"/>
  <c r="AF1561" i="6" s="1"/>
  <c r="AG1561" i="6" s="1"/>
  <c r="AD1569" i="6"/>
  <c r="AF1569" i="6" s="1"/>
  <c r="AG1569" i="6" s="1"/>
  <c r="AD1577" i="6"/>
  <c r="AF1577" i="6" s="1"/>
  <c r="AG1577" i="6" s="1"/>
  <c r="AD1585" i="6"/>
  <c r="AF1585" i="6" s="1"/>
  <c r="AG1585" i="6" s="1"/>
  <c r="AD1593" i="6"/>
  <c r="AF1593" i="6" s="1"/>
  <c r="AG1593" i="6" s="1"/>
  <c r="AD1601" i="6"/>
  <c r="AF1601" i="6" s="1"/>
  <c r="AG1601" i="6" s="1"/>
  <c r="AD1609" i="6"/>
  <c r="AF1609" i="6" s="1"/>
  <c r="AG1609" i="6" s="1"/>
  <c r="AD1617" i="6"/>
  <c r="AF1617" i="6" s="1"/>
  <c r="AG1617" i="6" s="1"/>
  <c r="AD1625" i="6"/>
  <c r="AF1625" i="6" s="1"/>
  <c r="AG1625" i="6" s="1"/>
  <c r="AD1633" i="6"/>
  <c r="AF1633" i="6" s="1"/>
  <c r="AG1633" i="6" s="1"/>
  <c r="AD1641" i="6"/>
  <c r="AF1641" i="6" s="1"/>
  <c r="AG1641" i="6" s="1"/>
  <c r="AD1649" i="6"/>
  <c r="AF1649" i="6" s="1"/>
  <c r="AG1649" i="6" s="1"/>
  <c r="AD1657" i="6"/>
  <c r="AF1657" i="6" s="1"/>
  <c r="AG1657" i="6" s="1"/>
  <c r="AD1665" i="6"/>
  <c r="AF1665" i="6" s="1"/>
  <c r="AG1665" i="6" s="1"/>
  <c r="AD1673" i="6"/>
  <c r="AF1673" i="6" s="1"/>
  <c r="AG1673" i="6" s="1"/>
  <c r="AD1681" i="6"/>
  <c r="AF1681" i="6" s="1"/>
  <c r="AG1681" i="6" s="1"/>
  <c r="AD1689" i="6"/>
  <c r="AF1689" i="6" s="1"/>
  <c r="AG1689" i="6" s="1"/>
  <c r="AD1697" i="6"/>
  <c r="AF1697" i="6" s="1"/>
  <c r="AG1697" i="6" s="1"/>
  <c r="AD1705" i="6"/>
  <c r="AF1705" i="6" s="1"/>
  <c r="AG1705" i="6" s="1"/>
  <c r="AD1713" i="6"/>
  <c r="AF1713" i="6" s="1"/>
  <c r="AG1713" i="6" s="1"/>
  <c r="AD1721" i="6"/>
  <c r="AF1721" i="6" s="1"/>
  <c r="AG1721" i="6" s="1"/>
  <c r="AD1729" i="6"/>
  <c r="AF1729" i="6" s="1"/>
  <c r="AG1729" i="6" s="1"/>
  <c r="AD1737" i="6"/>
  <c r="AF1737" i="6" s="1"/>
  <c r="AG1737" i="6" s="1"/>
  <c r="AD1745" i="6"/>
  <c r="AF1745" i="6" s="1"/>
  <c r="AG1745" i="6" s="1"/>
  <c r="AD1753" i="6"/>
  <c r="AF1753" i="6" s="1"/>
  <c r="AG1753" i="6" s="1"/>
  <c r="AD1761" i="6"/>
  <c r="AF1761" i="6" s="1"/>
  <c r="AG1761" i="6" s="1"/>
  <c r="AD1769" i="6"/>
  <c r="AF1769" i="6" s="1"/>
  <c r="AG1769" i="6" s="1"/>
  <c r="AD1777" i="6"/>
  <c r="AF1777" i="6" s="1"/>
  <c r="AG1777" i="6" s="1"/>
  <c r="AD1785" i="6"/>
  <c r="AF1785" i="6" s="1"/>
  <c r="AG1785" i="6" s="1"/>
  <c r="AD1793" i="6"/>
  <c r="AF1793" i="6" s="1"/>
  <c r="AG1793" i="6" s="1"/>
  <c r="AD1801" i="6"/>
  <c r="AF1801" i="6" s="1"/>
  <c r="AG1801" i="6" s="1"/>
  <c r="AD1809" i="6"/>
  <c r="AF1809" i="6" s="1"/>
  <c r="AG1809" i="6" s="1"/>
  <c r="AD1817" i="6"/>
  <c r="AF1817" i="6" s="1"/>
  <c r="AG1817" i="6" s="1"/>
  <c r="AD1825" i="6"/>
  <c r="AF1825" i="6" s="1"/>
  <c r="AG1825" i="6" s="1"/>
  <c r="AD1833" i="6"/>
  <c r="AF1833" i="6" s="1"/>
  <c r="AG1833" i="6" s="1"/>
  <c r="AD1841" i="6"/>
  <c r="AF1841" i="6" s="1"/>
  <c r="AG1841" i="6" s="1"/>
  <c r="AD1849" i="6"/>
  <c r="AF1849" i="6" s="1"/>
  <c r="AG1849" i="6" s="1"/>
  <c r="AD1857" i="6"/>
  <c r="AF1857" i="6" s="1"/>
  <c r="AG1857" i="6" s="1"/>
  <c r="AD1865" i="6"/>
  <c r="AF1865" i="6" s="1"/>
  <c r="AG1865" i="6" s="1"/>
  <c r="AD1873" i="6"/>
  <c r="AF1873" i="6" s="1"/>
  <c r="AG1873" i="6" s="1"/>
  <c r="AD1881" i="6"/>
  <c r="AF1881" i="6" s="1"/>
  <c r="AG1881" i="6" s="1"/>
  <c r="AD1889" i="6"/>
  <c r="AF1889" i="6" s="1"/>
  <c r="AG1889" i="6" s="1"/>
  <c r="AD1897" i="6"/>
  <c r="AF1897" i="6" s="1"/>
  <c r="AG1897" i="6" s="1"/>
  <c r="AD1905" i="6"/>
  <c r="AF1905" i="6" s="1"/>
  <c r="AG1905" i="6" s="1"/>
  <c r="AD1913" i="6"/>
  <c r="AF1913" i="6" s="1"/>
  <c r="AG1913" i="6" s="1"/>
  <c r="AD1921" i="6"/>
  <c r="AF1921" i="6" s="1"/>
  <c r="AG1921" i="6" s="1"/>
  <c r="AD1929" i="6"/>
  <c r="AF1929" i="6" s="1"/>
  <c r="AG1929" i="6" s="1"/>
  <c r="AD1937" i="6"/>
  <c r="AF1937" i="6" s="1"/>
  <c r="AG1937" i="6" s="1"/>
  <c r="AD1945" i="6"/>
  <c r="AF1945" i="6" s="1"/>
  <c r="AG1945" i="6" s="1"/>
  <c r="AD1953" i="6"/>
  <c r="AF1953" i="6" s="1"/>
  <c r="AG1953" i="6" s="1"/>
  <c r="AD1961" i="6"/>
  <c r="AF1961" i="6" s="1"/>
  <c r="AG1961" i="6" s="1"/>
  <c r="AD1969" i="6"/>
  <c r="AF1969" i="6" s="1"/>
  <c r="AG1969" i="6" s="1"/>
  <c r="AD1977" i="6"/>
  <c r="AF1977" i="6" s="1"/>
  <c r="AG1977" i="6" s="1"/>
  <c r="AD1985" i="6"/>
  <c r="AF1985" i="6" s="1"/>
  <c r="AG1985" i="6" s="1"/>
  <c r="AD1993" i="6"/>
  <c r="AF1993" i="6" s="1"/>
  <c r="AG1993" i="6" s="1"/>
  <c r="AD2001" i="6"/>
  <c r="AF2001" i="6" s="1"/>
  <c r="AG2001" i="6" s="1"/>
  <c r="AD2009" i="6"/>
  <c r="AF2009" i="6" s="1"/>
  <c r="AG2009" i="6" s="1"/>
  <c r="AD2017" i="6"/>
  <c r="AF2017" i="6" s="1"/>
  <c r="AG2017" i="6" s="1"/>
  <c r="AD2025" i="6"/>
  <c r="AF2025" i="6" s="1"/>
  <c r="AG2025" i="6" s="1"/>
  <c r="AD2033" i="6"/>
  <c r="AF2033" i="6" s="1"/>
  <c r="AG2033" i="6" s="1"/>
  <c r="AD2041" i="6"/>
  <c r="AF2041" i="6" s="1"/>
  <c r="AG2041" i="6" s="1"/>
  <c r="AD2049" i="6"/>
  <c r="AF2049" i="6" s="1"/>
  <c r="AG2049" i="6" s="1"/>
  <c r="AD2057" i="6"/>
  <c r="AF2057" i="6" s="1"/>
  <c r="AG2057" i="6" s="1"/>
  <c r="AD2065" i="6"/>
  <c r="AF2065" i="6" s="1"/>
  <c r="AG2065" i="6" s="1"/>
  <c r="AD2073" i="6"/>
  <c r="AF2073" i="6" s="1"/>
  <c r="AG2073" i="6" s="1"/>
  <c r="AD2081" i="6"/>
  <c r="AF2081" i="6" s="1"/>
  <c r="AG2081" i="6" s="1"/>
  <c r="AD2089" i="6"/>
  <c r="AF2089" i="6" s="1"/>
  <c r="AG2089" i="6" s="1"/>
  <c r="AD2097" i="6"/>
  <c r="AF2097" i="6" s="1"/>
  <c r="AG2097" i="6" s="1"/>
  <c r="AD2105" i="6"/>
  <c r="AF2105" i="6" s="1"/>
  <c r="AG2105" i="6" s="1"/>
  <c r="AD2113" i="6"/>
  <c r="AF2113" i="6" s="1"/>
  <c r="AG2113" i="6" s="1"/>
  <c r="AD2121" i="6"/>
  <c r="AF2121" i="6" s="1"/>
  <c r="AG2121" i="6" s="1"/>
  <c r="AD2129" i="6"/>
  <c r="AF2129" i="6" s="1"/>
  <c r="AG2129" i="6" s="1"/>
  <c r="AD2137" i="6"/>
  <c r="AF2137" i="6" s="1"/>
  <c r="AG2137" i="6" s="1"/>
  <c r="AD2145" i="6"/>
  <c r="AF2145" i="6" s="1"/>
  <c r="AG2145" i="6" s="1"/>
  <c r="AD2153" i="6"/>
  <c r="AF2153" i="6" s="1"/>
  <c r="AG2153" i="6" s="1"/>
  <c r="AD2161" i="6"/>
  <c r="AF2161" i="6" s="1"/>
  <c r="AG2161" i="6" s="1"/>
  <c r="AD2169" i="6"/>
  <c r="AF2169" i="6" s="1"/>
  <c r="AG2169" i="6" s="1"/>
  <c r="AD2177" i="6"/>
  <c r="AF2177" i="6" s="1"/>
  <c r="AG2177" i="6" s="1"/>
  <c r="AD2185" i="6"/>
  <c r="AF2185" i="6" s="1"/>
  <c r="AG2185" i="6" s="1"/>
  <c r="AD2193" i="6"/>
  <c r="AF2193" i="6" s="1"/>
  <c r="AG2193" i="6" s="1"/>
  <c r="AD2201" i="6"/>
  <c r="AF2201" i="6" s="1"/>
  <c r="AG2201" i="6" s="1"/>
  <c r="AD2209" i="6"/>
  <c r="AF2209" i="6" s="1"/>
  <c r="AG2209" i="6" s="1"/>
  <c r="AD2217" i="6"/>
  <c r="AF2217" i="6" s="1"/>
  <c r="AG2217" i="6" s="1"/>
  <c r="AD2225" i="6"/>
  <c r="AF2225" i="6" s="1"/>
  <c r="AG2225" i="6" s="1"/>
  <c r="AD2233" i="6"/>
  <c r="AF2233" i="6" s="1"/>
  <c r="AG2233" i="6" s="1"/>
  <c r="AD2241" i="6"/>
  <c r="AF2241" i="6" s="1"/>
  <c r="AG2241" i="6" s="1"/>
  <c r="AD1013" i="6"/>
  <c r="AF1013" i="6" s="1"/>
  <c r="AG1013" i="6" s="1"/>
  <c r="AD1045" i="6"/>
  <c r="AF1045" i="6" s="1"/>
  <c r="AG1045" i="6" s="1"/>
  <c r="AD1076" i="6"/>
  <c r="AF1076" i="6" s="1"/>
  <c r="AG1076" i="6" s="1"/>
  <c r="AD1099" i="6"/>
  <c r="AF1099" i="6" s="1"/>
  <c r="AG1099" i="6" s="1"/>
  <c r="AD1117" i="6"/>
  <c r="AF1117" i="6" s="1"/>
  <c r="AG1117" i="6" s="1"/>
  <c r="AD1137" i="6"/>
  <c r="AF1137" i="6" s="1"/>
  <c r="AG1137" i="6" s="1"/>
  <c r="AD1153" i="6"/>
  <c r="AF1153" i="6" s="1"/>
  <c r="AG1153" i="6" s="1"/>
  <c r="AD1164" i="6"/>
  <c r="AF1164" i="6" s="1"/>
  <c r="AG1164" i="6" s="1"/>
  <c r="AD1178" i="6"/>
  <c r="AF1178" i="6" s="1"/>
  <c r="AG1178" i="6" s="1"/>
  <c r="AD1189" i="6"/>
  <c r="AF1189" i="6" s="1"/>
  <c r="AG1189" i="6" s="1"/>
  <c r="AD1203" i="6"/>
  <c r="AF1203" i="6" s="1"/>
  <c r="AG1203" i="6" s="1"/>
  <c r="AD1217" i="6"/>
  <c r="AF1217" i="6" s="1"/>
  <c r="AG1217" i="6" s="1"/>
  <c r="AD1228" i="6"/>
  <c r="AF1228" i="6" s="1"/>
  <c r="AG1228" i="6" s="1"/>
  <c r="AD1242" i="6"/>
  <c r="AF1242" i="6" s="1"/>
  <c r="AG1242" i="6" s="1"/>
  <c r="AD1253" i="6"/>
  <c r="AF1253" i="6" s="1"/>
  <c r="AG1253" i="6" s="1"/>
  <c r="AD1267" i="6"/>
  <c r="AF1267" i="6" s="1"/>
  <c r="AG1267" i="6" s="1"/>
  <c r="AD1281" i="6"/>
  <c r="AF1281" i="6" s="1"/>
  <c r="AG1281" i="6" s="1"/>
  <c r="AD1292" i="6"/>
  <c r="AF1292" i="6" s="1"/>
  <c r="AG1292" i="6" s="1"/>
  <c r="AD1306" i="6"/>
  <c r="AF1306" i="6" s="1"/>
  <c r="AG1306" i="6" s="1"/>
  <c r="AD1316" i="6"/>
  <c r="AF1316" i="6" s="1"/>
  <c r="AG1316" i="6" s="1"/>
  <c r="AD1325" i="6"/>
  <c r="AF1325" i="6" s="1"/>
  <c r="AG1325" i="6" s="1"/>
  <c r="AD1335" i="6"/>
  <c r="AF1335" i="6" s="1"/>
  <c r="AG1335" i="6" s="1"/>
  <c r="AD1344" i="6"/>
  <c r="AF1344" i="6" s="1"/>
  <c r="AG1344" i="6" s="1"/>
  <c r="AD1353" i="6"/>
  <c r="AF1353" i="6" s="1"/>
  <c r="AG1353" i="6" s="1"/>
  <c r="AD1362" i="6"/>
  <c r="AF1362" i="6" s="1"/>
  <c r="AG1362" i="6" s="1"/>
  <c r="AD1371" i="6"/>
  <c r="AF1371" i="6" s="1"/>
  <c r="AG1371" i="6" s="1"/>
  <c r="AD1380" i="6"/>
  <c r="AF1380" i="6" s="1"/>
  <c r="AG1380" i="6" s="1"/>
  <c r="AD1389" i="6"/>
  <c r="AF1389" i="6" s="1"/>
  <c r="AG1389" i="6" s="1"/>
  <c r="AD1399" i="6"/>
  <c r="AF1399" i="6" s="1"/>
  <c r="AG1399" i="6" s="1"/>
  <c r="AD1408" i="6"/>
  <c r="AF1408" i="6" s="1"/>
  <c r="AG1408" i="6" s="1"/>
  <c r="AD1417" i="6"/>
  <c r="AF1417" i="6" s="1"/>
  <c r="AG1417" i="6" s="1"/>
  <c r="AD1426" i="6"/>
  <c r="AF1426" i="6" s="1"/>
  <c r="AG1426" i="6" s="1"/>
  <c r="AD1435" i="6"/>
  <c r="AF1435" i="6" s="1"/>
  <c r="AG1435" i="6" s="1"/>
  <c r="AD1444" i="6"/>
  <c r="AF1444" i="6" s="1"/>
  <c r="AG1444" i="6" s="1"/>
  <c r="AD1453" i="6"/>
  <c r="AF1453" i="6" s="1"/>
  <c r="AG1453" i="6" s="1"/>
  <c r="AD1463" i="6"/>
  <c r="AF1463" i="6" s="1"/>
  <c r="AG1463" i="6" s="1"/>
  <c r="AD1472" i="6"/>
  <c r="AF1472" i="6" s="1"/>
  <c r="AG1472" i="6" s="1"/>
  <c r="AD1481" i="6"/>
  <c r="AF1481" i="6" s="1"/>
  <c r="AG1481" i="6" s="1"/>
  <c r="AD1490" i="6"/>
  <c r="AF1490" i="6" s="1"/>
  <c r="AG1490" i="6" s="1"/>
  <c r="AD1499" i="6"/>
  <c r="AF1499" i="6" s="1"/>
  <c r="AG1499" i="6" s="1"/>
  <c r="AD1508" i="6"/>
  <c r="AF1508" i="6" s="1"/>
  <c r="AG1508" i="6" s="1"/>
  <c r="AD1517" i="6"/>
  <c r="AF1517" i="6" s="1"/>
  <c r="AG1517" i="6" s="1"/>
  <c r="AD1527" i="6"/>
  <c r="AF1527" i="6" s="1"/>
  <c r="AG1527" i="6" s="1"/>
  <c r="AD1536" i="6"/>
  <c r="AF1536" i="6" s="1"/>
  <c r="AG1536" i="6" s="1"/>
  <c r="AD1545" i="6"/>
  <c r="AF1545" i="6" s="1"/>
  <c r="AG1545" i="6" s="1"/>
  <c r="AD1554" i="6"/>
  <c r="AF1554" i="6" s="1"/>
  <c r="AG1554" i="6" s="1"/>
  <c r="AD1562" i="6"/>
  <c r="AF1562" i="6" s="1"/>
  <c r="AG1562" i="6" s="1"/>
  <c r="AD1570" i="6"/>
  <c r="AF1570" i="6" s="1"/>
  <c r="AG1570" i="6" s="1"/>
  <c r="AD1578" i="6"/>
  <c r="AF1578" i="6" s="1"/>
  <c r="AG1578" i="6" s="1"/>
  <c r="AD1586" i="6"/>
  <c r="AF1586" i="6" s="1"/>
  <c r="AG1586" i="6" s="1"/>
  <c r="AD1594" i="6"/>
  <c r="AF1594" i="6" s="1"/>
  <c r="AG1594" i="6" s="1"/>
  <c r="AD1602" i="6"/>
  <c r="AF1602" i="6" s="1"/>
  <c r="AG1602" i="6" s="1"/>
  <c r="AD1610" i="6"/>
  <c r="AF1610" i="6" s="1"/>
  <c r="AG1610" i="6" s="1"/>
  <c r="AD1618" i="6"/>
  <c r="AF1618" i="6" s="1"/>
  <c r="AG1618" i="6" s="1"/>
  <c r="AD1626" i="6"/>
  <c r="AF1626" i="6" s="1"/>
  <c r="AG1626" i="6" s="1"/>
  <c r="AD1634" i="6"/>
  <c r="AF1634" i="6" s="1"/>
  <c r="AG1634" i="6" s="1"/>
  <c r="AD1642" i="6"/>
  <c r="AF1642" i="6" s="1"/>
  <c r="AG1642" i="6" s="1"/>
  <c r="AD1650" i="6"/>
  <c r="AF1650" i="6" s="1"/>
  <c r="AG1650" i="6" s="1"/>
  <c r="AD1658" i="6"/>
  <c r="AF1658" i="6" s="1"/>
  <c r="AG1658" i="6" s="1"/>
  <c r="AD1666" i="6"/>
  <c r="AF1666" i="6" s="1"/>
  <c r="AG1666" i="6" s="1"/>
  <c r="AD1674" i="6"/>
  <c r="AF1674" i="6" s="1"/>
  <c r="AG1674" i="6" s="1"/>
  <c r="AD1682" i="6"/>
  <c r="AF1682" i="6" s="1"/>
  <c r="AG1682" i="6" s="1"/>
  <c r="AD1690" i="6"/>
  <c r="AF1690" i="6" s="1"/>
  <c r="AG1690" i="6" s="1"/>
  <c r="AD1698" i="6"/>
  <c r="AF1698" i="6" s="1"/>
  <c r="AG1698" i="6" s="1"/>
  <c r="AD1706" i="6"/>
  <c r="AF1706" i="6" s="1"/>
  <c r="AG1706" i="6" s="1"/>
  <c r="AD1714" i="6"/>
  <c r="AF1714" i="6" s="1"/>
  <c r="AG1714" i="6" s="1"/>
  <c r="AD1722" i="6"/>
  <c r="AF1722" i="6" s="1"/>
  <c r="AG1722" i="6" s="1"/>
  <c r="AD1730" i="6"/>
  <c r="AF1730" i="6" s="1"/>
  <c r="AG1730" i="6" s="1"/>
  <c r="AD1738" i="6"/>
  <c r="AF1738" i="6" s="1"/>
  <c r="AG1738" i="6" s="1"/>
  <c r="AD1746" i="6"/>
  <c r="AF1746" i="6" s="1"/>
  <c r="AG1746" i="6" s="1"/>
  <c r="AD1754" i="6"/>
  <c r="AF1754" i="6" s="1"/>
  <c r="AG1754" i="6" s="1"/>
  <c r="AD1762" i="6"/>
  <c r="AF1762" i="6" s="1"/>
  <c r="AG1762" i="6" s="1"/>
  <c r="AD1770" i="6"/>
  <c r="AF1770" i="6" s="1"/>
  <c r="AG1770" i="6" s="1"/>
  <c r="AD1778" i="6"/>
  <c r="AF1778" i="6" s="1"/>
  <c r="AG1778" i="6" s="1"/>
  <c r="AD1786" i="6"/>
  <c r="AF1786" i="6" s="1"/>
  <c r="AG1786" i="6" s="1"/>
  <c r="AD1794" i="6"/>
  <c r="AF1794" i="6" s="1"/>
  <c r="AG1794" i="6" s="1"/>
  <c r="AD1802" i="6"/>
  <c r="AF1802" i="6" s="1"/>
  <c r="AG1802" i="6" s="1"/>
  <c r="AD1810" i="6"/>
  <c r="AF1810" i="6" s="1"/>
  <c r="AG1810" i="6" s="1"/>
  <c r="AD1818" i="6"/>
  <c r="AF1818" i="6" s="1"/>
  <c r="AG1818" i="6" s="1"/>
  <c r="AD1826" i="6"/>
  <c r="AF1826" i="6" s="1"/>
  <c r="AG1826" i="6" s="1"/>
  <c r="AD1834" i="6"/>
  <c r="AF1834" i="6" s="1"/>
  <c r="AG1834" i="6" s="1"/>
  <c r="AD1842" i="6"/>
  <c r="AF1842" i="6" s="1"/>
  <c r="AG1842" i="6" s="1"/>
  <c r="AD1850" i="6"/>
  <c r="AF1850" i="6" s="1"/>
  <c r="AG1850" i="6" s="1"/>
  <c r="AD1858" i="6"/>
  <c r="AF1858" i="6" s="1"/>
  <c r="AG1858" i="6" s="1"/>
  <c r="AD1866" i="6"/>
  <c r="AF1866" i="6" s="1"/>
  <c r="AG1866" i="6" s="1"/>
  <c r="AD1874" i="6"/>
  <c r="AF1874" i="6" s="1"/>
  <c r="AG1874" i="6" s="1"/>
  <c r="AD1882" i="6"/>
  <c r="AF1882" i="6" s="1"/>
  <c r="AG1882" i="6" s="1"/>
  <c r="AD1890" i="6"/>
  <c r="AF1890" i="6" s="1"/>
  <c r="AG1890" i="6" s="1"/>
  <c r="AD1898" i="6"/>
  <c r="AF1898" i="6" s="1"/>
  <c r="AG1898" i="6" s="1"/>
  <c r="AD1906" i="6"/>
  <c r="AF1906" i="6" s="1"/>
  <c r="AG1906" i="6" s="1"/>
  <c r="AD1914" i="6"/>
  <c r="AF1914" i="6" s="1"/>
  <c r="AG1914" i="6" s="1"/>
  <c r="AD1922" i="6"/>
  <c r="AF1922" i="6" s="1"/>
  <c r="AG1922" i="6" s="1"/>
  <c r="AD1930" i="6"/>
  <c r="AF1930" i="6" s="1"/>
  <c r="AG1930" i="6" s="1"/>
  <c r="AD1938" i="6"/>
  <c r="AF1938" i="6" s="1"/>
  <c r="AG1938" i="6" s="1"/>
  <c r="AD1946" i="6"/>
  <c r="AF1946" i="6" s="1"/>
  <c r="AG1946" i="6" s="1"/>
  <c r="AD1954" i="6"/>
  <c r="AF1954" i="6" s="1"/>
  <c r="AG1954" i="6" s="1"/>
  <c r="AD1962" i="6"/>
  <c r="AF1962" i="6" s="1"/>
  <c r="AG1962" i="6" s="1"/>
  <c r="AD1970" i="6"/>
  <c r="AF1970" i="6" s="1"/>
  <c r="AG1970" i="6" s="1"/>
  <c r="AD1978" i="6"/>
  <c r="AF1978" i="6" s="1"/>
  <c r="AG1978" i="6" s="1"/>
  <c r="AD1986" i="6"/>
  <c r="AF1986" i="6" s="1"/>
  <c r="AG1986" i="6" s="1"/>
  <c r="AD1994" i="6"/>
  <c r="AF1994" i="6" s="1"/>
  <c r="AG1994" i="6" s="1"/>
  <c r="AD2002" i="6"/>
  <c r="AF2002" i="6" s="1"/>
  <c r="AG2002" i="6" s="1"/>
  <c r="AD2010" i="6"/>
  <c r="AF2010" i="6" s="1"/>
  <c r="AG2010" i="6" s="1"/>
  <c r="AD2018" i="6"/>
  <c r="AF2018" i="6" s="1"/>
  <c r="AG2018" i="6" s="1"/>
  <c r="AD2026" i="6"/>
  <c r="AF2026" i="6" s="1"/>
  <c r="AG2026" i="6" s="1"/>
  <c r="AD2034" i="6"/>
  <c r="AF2034" i="6" s="1"/>
  <c r="AG2034" i="6" s="1"/>
  <c r="AD1020" i="6"/>
  <c r="AF1020" i="6" s="1"/>
  <c r="AG1020" i="6" s="1"/>
  <c r="AD1052" i="6"/>
  <c r="AF1052" i="6" s="1"/>
  <c r="AG1052" i="6" s="1"/>
  <c r="AD1077" i="6"/>
  <c r="AF1077" i="6" s="1"/>
  <c r="AG1077" i="6" s="1"/>
  <c r="AD1100" i="6"/>
  <c r="AF1100" i="6" s="1"/>
  <c r="AG1100" i="6" s="1"/>
  <c r="AD1123" i="6"/>
  <c r="AF1123" i="6" s="1"/>
  <c r="AG1123" i="6" s="1"/>
  <c r="AD1139" i="6"/>
  <c r="AF1139" i="6" s="1"/>
  <c r="AG1139" i="6" s="1"/>
  <c r="AD1154" i="6"/>
  <c r="AF1154" i="6" s="1"/>
  <c r="AG1154" i="6" s="1"/>
  <c r="AD1165" i="6"/>
  <c r="AF1165" i="6" s="1"/>
  <c r="AG1165" i="6" s="1"/>
  <c r="AD1179" i="6"/>
  <c r="AF1179" i="6" s="1"/>
  <c r="AG1179" i="6" s="1"/>
  <c r="AD1193" i="6"/>
  <c r="AF1193" i="6" s="1"/>
  <c r="AG1193" i="6" s="1"/>
  <c r="AD1204" i="6"/>
  <c r="AF1204" i="6" s="1"/>
  <c r="AG1204" i="6" s="1"/>
  <c r="AD1218" i="6"/>
  <c r="AF1218" i="6" s="1"/>
  <c r="AG1218" i="6" s="1"/>
  <c r="AD1229" i="6"/>
  <c r="AF1229" i="6" s="1"/>
  <c r="AG1229" i="6" s="1"/>
  <c r="AD1243" i="6"/>
  <c r="AF1243" i="6" s="1"/>
  <c r="AG1243" i="6" s="1"/>
  <c r="AD1257" i="6"/>
  <c r="AF1257" i="6" s="1"/>
  <c r="AG1257" i="6" s="1"/>
  <c r="AD1268" i="6"/>
  <c r="AF1268" i="6" s="1"/>
  <c r="AG1268" i="6" s="1"/>
  <c r="AD1282" i="6"/>
  <c r="AF1282" i="6" s="1"/>
  <c r="AG1282" i="6" s="1"/>
  <c r="AD1293" i="6"/>
  <c r="AF1293" i="6" s="1"/>
  <c r="AG1293" i="6" s="1"/>
  <c r="AD1307" i="6"/>
  <c r="AF1307" i="6" s="1"/>
  <c r="AG1307" i="6" s="1"/>
  <c r="AD1317" i="6"/>
  <c r="AF1317" i="6" s="1"/>
  <c r="AG1317" i="6" s="1"/>
  <c r="AD1327" i="6"/>
  <c r="AF1327" i="6" s="1"/>
  <c r="AG1327" i="6" s="1"/>
  <c r="AD1336" i="6"/>
  <c r="AF1336" i="6" s="1"/>
  <c r="AG1336" i="6" s="1"/>
  <c r="AD1345" i="6"/>
  <c r="AF1345" i="6" s="1"/>
  <c r="AG1345" i="6" s="1"/>
  <c r="AD1354" i="6"/>
  <c r="AF1354" i="6" s="1"/>
  <c r="AG1354" i="6" s="1"/>
  <c r="AD1363" i="6"/>
  <c r="AF1363" i="6" s="1"/>
  <c r="AG1363" i="6" s="1"/>
  <c r="AD1372" i="6"/>
  <c r="AF1372" i="6" s="1"/>
  <c r="AG1372" i="6" s="1"/>
  <c r="AD1381" i="6"/>
  <c r="AF1381" i="6" s="1"/>
  <c r="AG1381" i="6" s="1"/>
  <c r="AD1391" i="6"/>
  <c r="AF1391" i="6" s="1"/>
  <c r="AG1391" i="6" s="1"/>
  <c r="AD1400" i="6"/>
  <c r="AF1400" i="6" s="1"/>
  <c r="AG1400" i="6" s="1"/>
  <c r="AD1409" i="6"/>
  <c r="AF1409" i="6" s="1"/>
  <c r="AG1409" i="6" s="1"/>
  <c r="AD1418" i="6"/>
  <c r="AF1418" i="6" s="1"/>
  <c r="AG1418" i="6" s="1"/>
  <c r="AD1427" i="6"/>
  <c r="AF1427" i="6" s="1"/>
  <c r="AG1427" i="6" s="1"/>
  <c r="AD1436" i="6"/>
  <c r="AF1436" i="6" s="1"/>
  <c r="AG1436" i="6" s="1"/>
  <c r="AD1445" i="6"/>
  <c r="AF1445" i="6" s="1"/>
  <c r="AG1445" i="6" s="1"/>
  <c r="AD1455" i="6"/>
  <c r="AF1455" i="6" s="1"/>
  <c r="AG1455" i="6" s="1"/>
  <c r="AD1464" i="6"/>
  <c r="AF1464" i="6" s="1"/>
  <c r="AG1464" i="6" s="1"/>
  <c r="AD1473" i="6"/>
  <c r="AF1473" i="6" s="1"/>
  <c r="AG1473" i="6" s="1"/>
  <c r="AD1482" i="6"/>
  <c r="AF1482" i="6" s="1"/>
  <c r="AG1482" i="6" s="1"/>
  <c r="AD1491" i="6"/>
  <c r="AF1491" i="6" s="1"/>
  <c r="AG1491" i="6" s="1"/>
  <c r="AD1500" i="6"/>
  <c r="AF1500" i="6" s="1"/>
  <c r="AG1500" i="6" s="1"/>
  <c r="AD1509" i="6"/>
  <c r="AF1509" i="6" s="1"/>
  <c r="AG1509" i="6" s="1"/>
  <c r="AD1519" i="6"/>
  <c r="AF1519" i="6" s="1"/>
  <c r="AG1519" i="6" s="1"/>
  <c r="AD1528" i="6"/>
  <c r="AF1528" i="6" s="1"/>
  <c r="AG1528" i="6" s="1"/>
  <c r="AD1537" i="6"/>
  <c r="AF1537" i="6" s="1"/>
  <c r="AG1537" i="6" s="1"/>
  <c r="AD1546" i="6"/>
  <c r="AF1546" i="6" s="1"/>
  <c r="AG1546" i="6" s="1"/>
  <c r="AD1555" i="6"/>
  <c r="AF1555" i="6" s="1"/>
  <c r="AG1555" i="6" s="1"/>
  <c r="AD1563" i="6"/>
  <c r="AF1563" i="6" s="1"/>
  <c r="AG1563" i="6" s="1"/>
  <c r="AD1571" i="6"/>
  <c r="AF1571" i="6" s="1"/>
  <c r="AG1571" i="6" s="1"/>
  <c r="AD1579" i="6"/>
  <c r="AF1579" i="6" s="1"/>
  <c r="AG1579" i="6" s="1"/>
  <c r="AD1587" i="6"/>
  <c r="AF1587" i="6" s="1"/>
  <c r="AG1587" i="6" s="1"/>
  <c r="AD1595" i="6"/>
  <c r="AF1595" i="6" s="1"/>
  <c r="AG1595" i="6" s="1"/>
  <c r="AD1603" i="6"/>
  <c r="AF1603" i="6" s="1"/>
  <c r="AG1603" i="6" s="1"/>
  <c r="AD1611" i="6"/>
  <c r="AF1611" i="6" s="1"/>
  <c r="AG1611" i="6" s="1"/>
  <c r="AD1619" i="6"/>
  <c r="AF1619" i="6" s="1"/>
  <c r="AG1619" i="6" s="1"/>
  <c r="AD1627" i="6"/>
  <c r="AF1627" i="6" s="1"/>
  <c r="AG1627" i="6" s="1"/>
  <c r="AD1635" i="6"/>
  <c r="AF1635" i="6" s="1"/>
  <c r="AG1635" i="6" s="1"/>
  <c r="AD1643" i="6"/>
  <c r="AF1643" i="6" s="1"/>
  <c r="AG1643" i="6" s="1"/>
  <c r="AD1651" i="6"/>
  <c r="AF1651" i="6" s="1"/>
  <c r="AG1651" i="6" s="1"/>
  <c r="AD1659" i="6"/>
  <c r="AF1659" i="6" s="1"/>
  <c r="AG1659" i="6" s="1"/>
  <c r="AD1667" i="6"/>
  <c r="AF1667" i="6" s="1"/>
  <c r="AG1667" i="6" s="1"/>
  <c r="AD1675" i="6"/>
  <c r="AF1675" i="6" s="1"/>
  <c r="AG1675" i="6" s="1"/>
  <c r="AD1683" i="6"/>
  <c r="AF1683" i="6" s="1"/>
  <c r="AG1683" i="6" s="1"/>
  <c r="AD1691" i="6"/>
  <c r="AF1691" i="6" s="1"/>
  <c r="AG1691" i="6" s="1"/>
  <c r="AD1699" i="6"/>
  <c r="AF1699" i="6" s="1"/>
  <c r="AG1699" i="6" s="1"/>
  <c r="AD1707" i="6"/>
  <c r="AF1707" i="6" s="1"/>
  <c r="AG1707" i="6" s="1"/>
  <c r="AD1715" i="6"/>
  <c r="AF1715" i="6" s="1"/>
  <c r="AG1715" i="6" s="1"/>
  <c r="AD1723" i="6"/>
  <c r="AF1723" i="6" s="1"/>
  <c r="AG1723" i="6" s="1"/>
  <c r="AD1731" i="6"/>
  <c r="AF1731" i="6" s="1"/>
  <c r="AG1731" i="6" s="1"/>
  <c r="AD1739" i="6"/>
  <c r="AF1739" i="6" s="1"/>
  <c r="AG1739" i="6" s="1"/>
  <c r="AD1747" i="6"/>
  <c r="AF1747" i="6" s="1"/>
  <c r="AG1747" i="6" s="1"/>
  <c r="AD1755" i="6"/>
  <c r="AF1755" i="6" s="1"/>
  <c r="AG1755" i="6" s="1"/>
  <c r="AD1763" i="6"/>
  <c r="AF1763" i="6" s="1"/>
  <c r="AG1763" i="6" s="1"/>
  <c r="AD1771" i="6"/>
  <c r="AF1771" i="6" s="1"/>
  <c r="AG1771" i="6" s="1"/>
  <c r="AD1779" i="6"/>
  <c r="AF1779" i="6" s="1"/>
  <c r="AG1779" i="6" s="1"/>
  <c r="AD1787" i="6"/>
  <c r="AF1787" i="6" s="1"/>
  <c r="AG1787" i="6" s="1"/>
  <c r="AD1795" i="6"/>
  <c r="AF1795" i="6" s="1"/>
  <c r="AG1795" i="6" s="1"/>
  <c r="AD1803" i="6"/>
  <c r="AF1803" i="6" s="1"/>
  <c r="AG1803" i="6" s="1"/>
  <c r="AD1811" i="6"/>
  <c r="AF1811" i="6" s="1"/>
  <c r="AG1811" i="6" s="1"/>
  <c r="AD1819" i="6"/>
  <c r="AF1819" i="6" s="1"/>
  <c r="AG1819" i="6" s="1"/>
  <c r="AD1827" i="6"/>
  <c r="AF1827" i="6" s="1"/>
  <c r="AG1827" i="6" s="1"/>
  <c r="AD1835" i="6"/>
  <c r="AF1835" i="6" s="1"/>
  <c r="AG1835" i="6" s="1"/>
  <c r="AD1843" i="6"/>
  <c r="AF1843" i="6" s="1"/>
  <c r="AG1843" i="6" s="1"/>
  <c r="AD1851" i="6"/>
  <c r="AF1851" i="6" s="1"/>
  <c r="AG1851" i="6" s="1"/>
  <c r="AD1859" i="6"/>
  <c r="AF1859" i="6" s="1"/>
  <c r="AG1859" i="6" s="1"/>
  <c r="AD1867" i="6"/>
  <c r="AF1867" i="6" s="1"/>
  <c r="AG1867" i="6" s="1"/>
  <c r="AD1875" i="6"/>
  <c r="AF1875" i="6" s="1"/>
  <c r="AG1875" i="6" s="1"/>
  <c r="AD1883" i="6"/>
  <c r="AF1883" i="6" s="1"/>
  <c r="AG1883" i="6" s="1"/>
  <c r="AD1891" i="6"/>
  <c r="AF1891" i="6" s="1"/>
  <c r="AG1891" i="6" s="1"/>
  <c r="AD1899" i="6"/>
  <c r="AF1899" i="6" s="1"/>
  <c r="AG1899" i="6" s="1"/>
  <c r="AD1907" i="6"/>
  <c r="AF1907" i="6" s="1"/>
  <c r="AG1907" i="6" s="1"/>
  <c r="AD1915" i="6"/>
  <c r="AF1915" i="6" s="1"/>
  <c r="AG1915" i="6" s="1"/>
  <c r="AD1923" i="6"/>
  <c r="AF1923" i="6" s="1"/>
  <c r="AG1923" i="6" s="1"/>
  <c r="AD1931" i="6"/>
  <c r="AF1931" i="6" s="1"/>
  <c r="AG1931" i="6" s="1"/>
  <c r="AD1939" i="6"/>
  <c r="AF1939" i="6" s="1"/>
  <c r="AG1939" i="6" s="1"/>
  <c r="AD1947" i="6"/>
  <c r="AF1947" i="6" s="1"/>
  <c r="AG1947" i="6" s="1"/>
  <c r="AD1955" i="6"/>
  <c r="AF1955" i="6" s="1"/>
  <c r="AG1955" i="6" s="1"/>
  <c r="AD1963" i="6"/>
  <c r="AF1963" i="6" s="1"/>
  <c r="AG1963" i="6" s="1"/>
  <c r="AD1971" i="6"/>
  <c r="AF1971" i="6" s="1"/>
  <c r="AG1971" i="6" s="1"/>
  <c r="AD1979" i="6"/>
  <c r="AF1979" i="6" s="1"/>
  <c r="AG1979" i="6" s="1"/>
  <c r="AD1987" i="6"/>
  <c r="AF1987" i="6" s="1"/>
  <c r="AG1987" i="6" s="1"/>
  <c r="AD1995" i="6"/>
  <c r="AF1995" i="6" s="1"/>
  <c r="AG1995" i="6" s="1"/>
  <c r="AD2003" i="6"/>
  <c r="AF2003" i="6" s="1"/>
  <c r="AG2003" i="6" s="1"/>
  <c r="AD2011" i="6"/>
  <c r="AF2011" i="6" s="1"/>
  <c r="AG2011" i="6" s="1"/>
  <c r="AD2019" i="6"/>
  <c r="AF2019" i="6" s="1"/>
  <c r="AG2019" i="6" s="1"/>
  <c r="AD2027" i="6"/>
  <c r="AF2027" i="6" s="1"/>
  <c r="AG2027" i="6" s="1"/>
  <c r="AD2035" i="6"/>
  <c r="AF2035" i="6" s="1"/>
  <c r="AG2035" i="6" s="1"/>
  <c r="AD2043" i="6"/>
  <c r="AF2043" i="6" s="1"/>
  <c r="AG2043" i="6" s="1"/>
  <c r="AD2051" i="6"/>
  <c r="AF2051" i="6" s="1"/>
  <c r="AG2051" i="6" s="1"/>
  <c r="AD1021" i="6"/>
  <c r="AF1021" i="6" s="1"/>
  <c r="AG1021" i="6" s="1"/>
  <c r="AD1053" i="6"/>
  <c r="AF1053" i="6" s="1"/>
  <c r="AG1053" i="6" s="1"/>
  <c r="AD1083" i="6"/>
  <c r="AF1083" i="6" s="1"/>
  <c r="AG1083" i="6" s="1"/>
  <c r="AD1101" i="6"/>
  <c r="AF1101" i="6" s="1"/>
  <c r="AG1101" i="6" s="1"/>
  <c r="AD1124" i="6"/>
  <c r="AF1124" i="6" s="1"/>
  <c r="AG1124" i="6" s="1"/>
  <c r="AD1140" i="6"/>
  <c r="AF1140" i="6" s="1"/>
  <c r="AG1140" i="6" s="1"/>
  <c r="AD1155" i="6"/>
  <c r="AF1155" i="6" s="1"/>
  <c r="AG1155" i="6" s="1"/>
  <c r="AD1169" i="6"/>
  <c r="AF1169" i="6" s="1"/>
  <c r="AG1169" i="6" s="1"/>
  <c r="AD1180" i="6"/>
  <c r="AF1180" i="6" s="1"/>
  <c r="AG1180" i="6" s="1"/>
  <c r="AD1194" i="6"/>
  <c r="AF1194" i="6" s="1"/>
  <c r="AG1194" i="6" s="1"/>
  <c r="AD1205" i="6"/>
  <c r="AF1205" i="6" s="1"/>
  <c r="AG1205" i="6" s="1"/>
  <c r="AD1219" i="6"/>
  <c r="AF1219" i="6" s="1"/>
  <c r="AG1219" i="6" s="1"/>
  <c r="AD1233" i="6"/>
  <c r="AF1233" i="6" s="1"/>
  <c r="AG1233" i="6" s="1"/>
  <c r="AD1244" i="6"/>
  <c r="AF1244" i="6" s="1"/>
  <c r="AG1244" i="6" s="1"/>
  <c r="AD1258" i="6"/>
  <c r="AF1258" i="6" s="1"/>
  <c r="AG1258" i="6" s="1"/>
  <c r="AD1269" i="6"/>
  <c r="AF1269" i="6" s="1"/>
  <c r="AG1269" i="6" s="1"/>
  <c r="AD1283" i="6"/>
  <c r="AF1283" i="6" s="1"/>
  <c r="AG1283" i="6" s="1"/>
  <c r="AD1297" i="6"/>
  <c r="AF1297" i="6" s="1"/>
  <c r="AG1297" i="6" s="1"/>
  <c r="AD1308" i="6"/>
  <c r="AF1308" i="6" s="1"/>
  <c r="AG1308" i="6" s="1"/>
  <c r="AD1319" i="6"/>
  <c r="AF1319" i="6" s="1"/>
  <c r="AG1319" i="6" s="1"/>
  <c r="AD1328" i="6"/>
  <c r="AF1328" i="6" s="1"/>
  <c r="AG1328" i="6" s="1"/>
  <c r="AD1337" i="6"/>
  <c r="AF1337" i="6" s="1"/>
  <c r="AG1337" i="6" s="1"/>
  <c r="AD1346" i="6"/>
  <c r="AF1346" i="6" s="1"/>
  <c r="AG1346" i="6" s="1"/>
  <c r="AD1355" i="6"/>
  <c r="AF1355" i="6" s="1"/>
  <c r="AG1355" i="6" s="1"/>
  <c r="AD1364" i="6"/>
  <c r="AF1364" i="6" s="1"/>
  <c r="AG1364" i="6" s="1"/>
  <c r="AD1373" i="6"/>
  <c r="AF1373" i="6" s="1"/>
  <c r="AG1373" i="6" s="1"/>
  <c r="AD1383" i="6"/>
  <c r="AF1383" i="6" s="1"/>
  <c r="AG1383" i="6" s="1"/>
  <c r="AD1392" i="6"/>
  <c r="AF1392" i="6" s="1"/>
  <c r="AG1392" i="6" s="1"/>
  <c r="AD1401" i="6"/>
  <c r="AF1401" i="6" s="1"/>
  <c r="AG1401" i="6" s="1"/>
  <c r="AD1410" i="6"/>
  <c r="AF1410" i="6" s="1"/>
  <c r="AG1410" i="6" s="1"/>
  <c r="AD1419" i="6"/>
  <c r="AF1419" i="6" s="1"/>
  <c r="AG1419" i="6" s="1"/>
  <c r="AD1428" i="6"/>
  <c r="AF1428" i="6" s="1"/>
  <c r="AG1428" i="6" s="1"/>
  <c r="AD1437" i="6"/>
  <c r="AF1437" i="6" s="1"/>
  <c r="AG1437" i="6" s="1"/>
  <c r="AD1447" i="6"/>
  <c r="AF1447" i="6" s="1"/>
  <c r="AG1447" i="6" s="1"/>
  <c r="AD1456" i="6"/>
  <c r="AF1456" i="6" s="1"/>
  <c r="AG1456" i="6" s="1"/>
  <c r="AD1465" i="6"/>
  <c r="AF1465" i="6" s="1"/>
  <c r="AG1465" i="6" s="1"/>
  <c r="AD1474" i="6"/>
  <c r="AF1474" i="6" s="1"/>
  <c r="AG1474" i="6" s="1"/>
  <c r="AD1483" i="6"/>
  <c r="AF1483" i="6" s="1"/>
  <c r="AG1483" i="6" s="1"/>
  <c r="AD1492" i="6"/>
  <c r="AF1492" i="6" s="1"/>
  <c r="AG1492" i="6" s="1"/>
  <c r="AD1501" i="6"/>
  <c r="AF1501" i="6" s="1"/>
  <c r="AG1501" i="6" s="1"/>
  <c r="AD1511" i="6"/>
  <c r="AF1511" i="6" s="1"/>
  <c r="AG1511" i="6" s="1"/>
  <c r="AD1520" i="6"/>
  <c r="AF1520" i="6" s="1"/>
  <c r="AG1520" i="6" s="1"/>
  <c r="AD1529" i="6"/>
  <c r="AF1529" i="6" s="1"/>
  <c r="AG1529" i="6" s="1"/>
  <c r="AD1538" i="6"/>
  <c r="AF1538" i="6" s="1"/>
  <c r="AG1538" i="6" s="1"/>
  <c r="AD1547" i="6"/>
  <c r="AF1547" i="6" s="1"/>
  <c r="AG1547" i="6" s="1"/>
  <c r="AD1556" i="6"/>
  <c r="AF1556" i="6" s="1"/>
  <c r="AG1556" i="6" s="1"/>
  <c r="AD1564" i="6"/>
  <c r="AF1564" i="6" s="1"/>
  <c r="AG1564" i="6" s="1"/>
  <c r="AD1572" i="6"/>
  <c r="AF1572" i="6" s="1"/>
  <c r="AG1572" i="6" s="1"/>
  <c r="AD1580" i="6"/>
  <c r="AF1580" i="6" s="1"/>
  <c r="AG1580" i="6" s="1"/>
  <c r="AD1588" i="6"/>
  <c r="AF1588" i="6" s="1"/>
  <c r="AG1588" i="6" s="1"/>
  <c r="AD1596" i="6"/>
  <c r="AF1596" i="6" s="1"/>
  <c r="AG1596" i="6" s="1"/>
  <c r="AD1604" i="6"/>
  <c r="AF1604" i="6" s="1"/>
  <c r="AG1604" i="6" s="1"/>
  <c r="AD1612" i="6"/>
  <c r="AF1612" i="6" s="1"/>
  <c r="AG1612" i="6" s="1"/>
  <c r="AD1620" i="6"/>
  <c r="AF1620" i="6" s="1"/>
  <c r="AG1620" i="6" s="1"/>
  <c r="AD1628" i="6"/>
  <c r="AF1628" i="6" s="1"/>
  <c r="AG1628" i="6" s="1"/>
  <c r="AD1636" i="6"/>
  <c r="AF1636" i="6" s="1"/>
  <c r="AG1636" i="6" s="1"/>
  <c r="AD1644" i="6"/>
  <c r="AF1644" i="6" s="1"/>
  <c r="AG1644" i="6" s="1"/>
  <c r="AD1652" i="6"/>
  <c r="AF1652" i="6" s="1"/>
  <c r="AG1652" i="6" s="1"/>
  <c r="AD1660" i="6"/>
  <c r="AF1660" i="6" s="1"/>
  <c r="AG1660" i="6" s="1"/>
  <c r="AD1668" i="6"/>
  <c r="AF1668" i="6" s="1"/>
  <c r="AG1668" i="6" s="1"/>
  <c r="AD1676" i="6"/>
  <c r="AF1676" i="6" s="1"/>
  <c r="AG1676" i="6" s="1"/>
  <c r="AD1684" i="6"/>
  <c r="AF1684" i="6" s="1"/>
  <c r="AG1684" i="6" s="1"/>
  <c r="AD1692" i="6"/>
  <c r="AF1692" i="6" s="1"/>
  <c r="AG1692" i="6" s="1"/>
  <c r="AD1700" i="6"/>
  <c r="AF1700" i="6" s="1"/>
  <c r="AG1700" i="6" s="1"/>
  <c r="AD1708" i="6"/>
  <c r="AF1708" i="6" s="1"/>
  <c r="AG1708" i="6" s="1"/>
  <c r="AD1716" i="6"/>
  <c r="AF1716" i="6" s="1"/>
  <c r="AG1716" i="6" s="1"/>
  <c r="AD1724" i="6"/>
  <c r="AF1724" i="6" s="1"/>
  <c r="AG1724" i="6" s="1"/>
  <c r="AD1732" i="6"/>
  <c r="AF1732" i="6" s="1"/>
  <c r="AG1732" i="6" s="1"/>
  <c r="AD1740" i="6"/>
  <c r="AF1740" i="6" s="1"/>
  <c r="AG1740" i="6" s="1"/>
  <c r="AD1748" i="6"/>
  <c r="AF1748" i="6" s="1"/>
  <c r="AG1748" i="6" s="1"/>
  <c r="AD1756" i="6"/>
  <c r="AF1756" i="6" s="1"/>
  <c r="AG1756" i="6" s="1"/>
  <c r="AD1764" i="6"/>
  <c r="AF1764" i="6" s="1"/>
  <c r="AG1764" i="6" s="1"/>
  <c r="AD1772" i="6"/>
  <c r="AF1772" i="6" s="1"/>
  <c r="AG1772" i="6" s="1"/>
  <c r="AD1780" i="6"/>
  <c r="AF1780" i="6" s="1"/>
  <c r="AG1780" i="6" s="1"/>
  <c r="AD1788" i="6"/>
  <c r="AF1788" i="6" s="1"/>
  <c r="AG1788" i="6" s="1"/>
  <c r="AD1796" i="6"/>
  <c r="AF1796" i="6" s="1"/>
  <c r="AG1796" i="6" s="1"/>
  <c r="AD1804" i="6"/>
  <c r="AF1804" i="6" s="1"/>
  <c r="AG1804" i="6" s="1"/>
  <c r="AD1812" i="6"/>
  <c r="AF1812" i="6" s="1"/>
  <c r="AG1812" i="6" s="1"/>
  <c r="AD1820" i="6"/>
  <c r="AF1820" i="6" s="1"/>
  <c r="AG1820" i="6" s="1"/>
  <c r="AD1828" i="6"/>
  <c r="AF1828" i="6" s="1"/>
  <c r="AG1828" i="6" s="1"/>
  <c r="AD1836" i="6"/>
  <c r="AF1836" i="6" s="1"/>
  <c r="AG1836" i="6" s="1"/>
  <c r="AD1844" i="6"/>
  <c r="AF1844" i="6" s="1"/>
  <c r="AG1844" i="6" s="1"/>
  <c r="AD1852" i="6"/>
  <c r="AF1852" i="6" s="1"/>
  <c r="AG1852" i="6" s="1"/>
  <c r="AD1860" i="6"/>
  <c r="AF1860" i="6" s="1"/>
  <c r="AG1860" i="6" s="1"/>
  <c r="AD1868" i="6"/>
  <c r="AF1868" i="6" s="1"/>
  <c r="AG1868" i="6" s="1"/>
  <c r="AD1876" i="6"/>
  <c r="AF1876" i="6" s="1"/>
  <c r="AG1876" i="6" s="1"/>
  <c r="AD1884" i="6"/>
  <c r="AF1884" i="6" s="1"/>
  <c r="AG1884" i="6" s="1"/>
  <c r="AD1892" i="6"/>
  <c r="AF1892" i="6" s="1"/>
  <c r="AG1892" i="6" s="1"/>
  <c r="AD1900" i="6"/>
  <c r="AF1900" i="6" s="1"/>
  <c r="AG1900" i="6" s="1"/>
  <c r="AD1908" i="6"/>
  <c r="AF1908" i="6" s="1"/>
  <c r="AG1908" i="6" s="1"/>
  <c r="AD1916" i="6"/>
  <c r="AF1916" i="6" s="1"/>
  <c r="AG1916" i="6" s="1"/>
  <c r="AD1924" i="6"/>
  <c r="AF1924" i="6" s="1"/>
  <c r="AG1924" i="6" s="1"/>
  <c r="AD1932" i="6"/>
  <c r="AF1932" i="6" s="1"/>
  <c r="AG1932" i="6" s="1"/>
  <c r="AD1940" i="6"/>
  <c r="AF1940" i="6" s="1"/>
  <c r="AG1940" i="6" s="1"/>
  <c r="AD1948" i="6"/>
  <c r="AF1948" i="6" s="1"/>
  <c r="AG1948" i="6" s="1"/>
  <c r="AD1956" i="6"/>
  <c r="AF1956" i="6" s="1"/>
  <c r="AG1956" i="6" s="1"/>
  <c r="AD1964" i="6"/>
  <c r="AF1964" i="6" s="1"/>
  <c r="AG1964" i="6" s="1"/>
  <c r="AD1972" i="6"/>
  <c r="AF1972" i="6" s="1"/>
  <c r="AG1972" i="6" s="1"/>
  <c r="AD1980" i="6"/>
  <c r="AF1980" i="6" s="1"/>
  <c r="AG1980" i="6" s="1"/>
  <c r="AD1988" i="6"/>
  <c r="AF1988" i="6" s="1"/>
  <c r="AG1988" i="6" s="1"/>
  <c r="AD1028" i="6"/>
  <c r="AF1028" i="6" s="1"/>
  <c r="AG1028" i="6" s="1"/>
  <c r="AD1060" i="6"/>
  <c r="AF1060" i="6" s="1"/>
  <c r="AG1060" i="6" s="1"/>
  <c r="AD1084" i="6"/>
  <c r="AF1084" i="6" s="1"/>
  <c r="AG1084" i="6" s="1"/>
  <c r="AD1107" i="6"/>
  <c r="AF1107" i="6" s="1"/>
  <c r="AG1107" i="6" s="1"/>
  <c r="AD1125" i="6"/>
  <c r="AF1125" i="6" s="1"/>
  <c r="AG1125" i="6" s="1"/>
  <c r="AD1141" i="6"/>
  <c r="AF1141" i="6" s="1"/>
  <c r="AG1141" i="6" s="1"/>
  <c r="AD1156" i="6"/>
  <c r="AF1156" i="6" s="1"/>
  <c r="AG1156" i="6" s="1"/>
  <c r="AD1170" i="6"/>
  <c r="AF1170" i="6" s="1"/>
  <c r="AG1170" i="6" s="1"/>
  <c r="AD1181" i="6"/>
  <c r="AF1181" i="6" s="1"/>
  <c r="AG1181" i="6" s="1"/>
  <c r="AD1195" i="6"/>
  <c r="AF1195" i="6" s="1"/>
  <c r="AG1195" i="6" s="1"/>
  <c r="AD1209" i="6"/>
  <c r="AF1209" i="6" s="1"/>
  <c r="AG1209" i="6" s="1"/>
  <c r="AD1220" i="6"/>
  <c r="AF1220" i="6" s="1"/>
  <c r="AG1220" i="6" s="1"/>
  <c r="AD1234" i="6"/>
  <c r="AF1234" i="6" s="1"/>
  <c r="AG1234" i="6" s="1"/>
  <c r="AD1245" i="6"/>
  <c r="AF1245" i="6" s="1"/>
  <c r="AG1245" i="6" s="1"/>
  <c r="AD1259" i="6"/>
  <c r="AF1259" i="6" s="1"/>
  <c r="AG1259" i="6" s="1"/>
  <c r="AD1273" i="6"/>
  <c r="AF1273" i="6" s="1"/>
  <c r="AG1273" i="6" s="1"/>
  <c r="AD1284" i="6"/>
  <c r="AF1284" i="6" s="1"/>
  <c r="AG1284" i="6" s="1"/>
  <c r="AD1298" i="6"/>
  <c r="AF1298" i="6" s="1"/>
  <c r="AG1298" i="6" s="1"/>
  <c r="AD1309" i="6"/>
  <c r="AF1309" i="6" s="1"/>
  <c r="AG1309" i="6" s="1"/>
  <c r="AD1320" i="6"/>
  <c r="AF1320" i="6" s="1"/>
  <c r="AG1320" i="6" s="1"/>
  <c r="AD1329" i="6"/>
  <c r="AF1329" i="6" s="1"/>
  <c r="AG1329" i="6" s="1"/>
  <c r="AD1338" i="6"/>
  <c r="AF1338" i="6" s="1"/>
  <c r="AG1338" i="6" s="1"/>
  <c r="AD1347" i="6"/>
  <c r="AF1347" i="6" s="1"/>
  <c r="AG1347" i="6" s="1"/>
  <c r="AD1356" i="6"/>
  <c r="AF1356" i="6" s="1"/>
  <c r="AG1356" i="6" s="1"/>
  <c r="AD1365" i="6"/>
  <c r="AF1365" i="6" s="1"/>
  <c r="AG1365" i="6" s="1"/>
  <c r="AD1375" i="6"/>
  <c r="AF1375" i="6" s="1"/>
  <c r="AG1375" i="6" s="1"/>
  <c r="AD1384" i="6"/>
  <c r="AF1384" i="6" s="1"/>
  <c r="AG1384" i="6" s="1"/>
  <c r="AD1393" i="6"/>
  <c r="AF1393" i="6" s="1"/>
  <c r="AG1393" i="6" s="1"/>
  <c r="AD1402" i="6"/>
  <c r="AF1402" i="6" s="1"/>
  <c r="AG1402" i="6" s="1"/>
  <c r="AD1411" i="6"/>
  <c r="AF1411" i="6" s="1"/>
  <c r="AG1411" i="6" s="1"/>
  <c r="AD1420" i="6"/>
  <c r="AF1420" i="6" s="1"/>
  <c r="AG1420" i="6" s="1"/>
  <c r="AD1429" i="6"/>
  <c r="AF1429" i="6" s="1"/>
  <c r="AG1429" i="6" s="1"/>
  <c r="AD1439" i="6"/>
  <c r="AF1439" i="6" s="1"/>
  <c r="AG1439" i="6" s="1"/>
  <c r="AD1448" i="6"/>
  <c r="AF1448" i="6" s="1"/>
  <c r="AG1448" i="6" s="1"/>
  <c r="AD1457" i="6"/>
  <c r="AF1457" i="6" s="1"/>
  <c r="AG1457" i="6" s="1"/>
  <c r="AD1466" i="6"/>
  <c r="AF1466" i="6" s="1"/>
  <c r="AG1466" i="6" s="1"/>
  <c r="AD1475" i="6"/>
  <c r="AF1475" i="6" s="1"/>
  <c r="AG1475" i="6" s="1"/>
  <c r="AD1484" i="6"/>
  <c r="AF1484" i="6" s="1"/>
  <c r="AG1484" i="6" s="1"/>
  <c r="AD1493" i="6"/>
  <c r="AF1493" i="6" s="1"/>
  <c r="AG1493" i="6" s="1"/>
  <c r="AD1503" i="6"/>
  <c r="AF1503" i="6" s="1"/>
  <c r="AG1503" i="6" s="1"/>
  <c r="AD1512" i="6"/>
  <c r="AF1512" i="6" s="1"/>
  <c r="AG1512" i="6" s="1"/>
  <c r="AD1521" i="6"/>
  <c r="AF1521" i="6" s="1"/>
  <c r="AG1521" i="6" s="1"/>
  <c r="AD1530" i="6"/>
  <c r="AF1530" i="6" s="1"/>
  <c r="AG1530" i="6" s="1"/>
  <c r="AD1539" i="6"/>
  <c r="AF1539" i="6" s="1"/>
  <c r="AG1539" i="6" s="1"/>
  <c r="AD1548" i="6"/>
  <c r="AF1548" i="6" s="1"/>
  <c r="AG1548" i="6" s="1"/>
  <c r="AD1557" i="6"/>
  <c r="AF1557" i="6" s="1"/>
  <c r="AG1557" i="6" s="1"/>
  <c r="AD1565" i="6"/>
  <c r="AF1565" i="6" s="1"/>
  <c r="AG1565" i="6" s="1"/>
  <c r="AD1573" i="6"/>
  <c r="AF1573" i="6" s="1"/>
  <c r="AG1573" i="6" s="1"/>
  <c r="AD1581" i="6"/>
  <c r="AF1581" i="6" s="1"/>
  <c r="AG1581" i="6" s="1"/>
  <c r="AD1589" i="6"/>
  <c r="AF1589" i="6" s="1"/>
  <c r="AG1589" i="6" s="1"/>
  <c r="AD1597" i="6"/>
  <c r="AF1597" i="6" s="1"/>
  <c r="AG1597" i="6" s="1"/>
  <c r="AD1605" i="6"/>
  <c r="AF1605" i="6" s="1"/>
  <c r="AG1605" i="6" s="1"/>
  <c r="AD1613" i="6"/>
  <c r="AF1613" i="6" s="1"/>
  <c r="AG1613" i="6" s="1"/>
  <c r="AD1621" i="6"/>
  <c r="AF1621" i="6" s="1"/>
  <c r="AG1621" i="6" s="1"/>
  <c r="AD1629" i="6"/>
  <c r="AF1629" i="6" s="1"/>
  <c r="AG1629" i="6" s="1"/>
  <c r="AD1637" i="6"/>
  <c r="AF1637" i="6" s="1"/>
  <c r="AG1637" i="6" s="1"/>
  <c r="AD1645" i="6"/>
  <c r="AF1645" i="6" s="1"/>
  <c r="AG1645" i="6" s="1"/>
  <c r="AD1653" i="6"/>
  <c r="AF1653" i="6" s="1"/>
  <c r="AG1653" i="6" s="1"/>
  <c r="AD1661" i="6"/>
  <c r="AF1661" i="6" s="1"/>
  <c r="AG1661" i="6" s="1"/>
  <c r="AD1669" i="6"/>
  <c r="AF1669" i="6" s="1"/>
  <c r="AG1669" i="6" s="1"/>
  <c r="AD1677" i="6"/>
  <c r="AF1677" i="6" s="1"/>
  <c r="AG1677" i="6" s="1"/>
  <c r="AD1685" i="6"/>
  <c r="AF1685" i="6" s="1"/>
  <c r="AG1685" i="6" s="1"/>
  <c r="AD1693" i="6"/>
  <c r="AF1693" i="6" s="1"/>
  <c r="AG1693" i="6" s="1"/>
  <c r="AD1701" i="6"/>
  <c r="AF1701" i="6" s="1"/>
  <c r="AG1701" i="6" s="1"/>
  <c r="AD1709" i="6"/>
  <c r="AF1709" i="6" s="1"/>
  <c r="AG1709" i="6" s="1"/>
  <c r="AD1717" i="6"/>
  <c r="AF1717" i="6" s="1"/>
  <c r="AG1717" i="6" s="1"/>
  <c r="AD1725" i="6"/>
  <c r="AF1725" i="6" s="1"/>
  <c r="AG1725" i="6" s="1"/>
  <c r="AD1733" i="6"/>
  <c r="AF1733" i="6" s="1"/>
  <c r="AG1733" i="6" s="1"/>
  <c r="AD1741" i="6"/>
  <c r="AF1741" i="6" s="1"/>
  <c r="AG1741" i="6" s="1"/>
  <c r="AD1749" i="6"/>
  <c r="AF1749" i="6" s="1"/>
  <c r="AG1749" i="6" s="1"/>
  <c r="AD1757" i="6"/>
  <c r="AF1757" i="6" s="1"/>
  <c r="AG1757" i="6" s="1"/>
  <c r="AD1765" i="6"/>
  <c r="AF1765" i="6" s="1"/>
  <c r="AG1765" i="6" s="1"/>
  <c r="AD1773" i="6"/>
  <c r="AF1773" i="6" s="1"/>
  <c r="AG1773" i="6" s="1"/>
  <c r="AD1781" i="6"/>
  <c r="AF1781" i="6" s="1"/>
  <c r="AG1781" i="6" s="1"/>
  <c r="AD1789" i="6"/>
  <c r="AF1789" i="6" s="1"/>
  <c r="AG1789" i="6" s="1"/>
  <c r="AD1797" i="6"/>
  <c r="AF1797" i="6" s="1"/>
  <c r="AG1797" i="6" s="1"/>
  <c r="AD1805" i="6"/>
  <c r="AF1805" i="6" s="1"/>
  <c r="AG1805" i="6" s="1"/>
  <c r="AD1813" i="6"/>
  <c r="AF1813" i="6" s="1"/>
  <c r="AG1813" i="6" s="1"/>
  <c r="AD1821" i="6"/>
  <c r="AF1821" i="6" s="1"/>
  <c r="AG1821" i="6" s="1"/>
  <c r="AD1829" i="6"/>
  <c r="AF1829" i="6" s="1"/>
  <c r="AG1829" i="6" s="1"/>
  <c r="AD1837" i="6"/>
  <c r="AF1837" i="6" s="1"/>
  <c r="AG1837" i="6" s="1"/>
  <c r="AD1845" i="6"/>
  <c r="AF1845" i="6" s="1"/>
  <c r="AG1845" i="6" s="1"/>
  <c r="AD1853" i="6"/>
  <c r="AF1853" i="6" s="1"/>
  <c r="AG1853" i="6" s="1"/>
  <c r="AD1861" i="6"/>
  <c r="AF1861" i="6" s="1"/>
  <c r="AG1861" i="6" s="1"/>
  <c r="AD1869" i="6"/>
  <c r="AF1869" i="6" s="1"/>
  <c r="AG1869" i="6" s="1"/>
  <c r="AD1029" i="6"/>
  <c r="AF1029" i="6" s="1"/>
  <c r="AG1029" i="6" s="1"/>
  <c r="AD1061" i="6"/>
  <c r="AF1061" i="6" s="1"/>
  <c r="AG1061" i="6" s="1"/>
  <c r="AD1085" i="6"/>
  <c r="AF1085" i="6" s="1"/>
  <c r="AG1085" i="6" s="1"/>
  <c r="AD1108" i="6"/>
  <c r="AF1108" i="6" s="1"/>
  <c r="AG1108" i="6" s="1"/>
  <c r="AD1129" i="6"/>
  <c r="AF1129" i="6" s="1"/>
  <c r="AG1129" i="6" s="1"/>
  <c r="AD1145" i="6"/>
  <c r="AF1145" i="6" s="1"/>
  <c r="AG1145" i="6" s="1"/>
  <c r="AD1157" i="6"/>
  <c r="AF1157" i="6" s="1"/>
  <c r="AG1157" i="6" s="1"/>
  <c r="AD1171" i="6"/>
  <c r="AF1171" i="6" s="1"/>
  <c r="AG1171" i="6" s="1"/>
  <c r="AD1185" i="6"/>
  <c r="AF1185" i="6" s="1"/>
  <c r="AG1185" i="6" s="1"/>
  <c r="AD1196" i="6"/>
  <c r="AF1196" i="6" s="1"/>
  <c r="AG1196" i="6" s="1"/>
  <c r="AD1210" i="6"/>
  <c r="AF1210" i="6" s="1"/>
  <c r="AG1210" i="6" s="1"/>
  <c r="AD1221" i="6"/>
  <c r="AF1221" i="6" s="1"/>
  <c r="AG1221" i="6" s="1"/>
  <c r="AD1235" i="6"/>
  <c r="AF1235" i="6" s="1"/>
  <c r="AG1235" i="6" s="1"/>
  <c r="AD1249" i="6"/>
  <c r="AF1249" i="6" s="1"/>
  <c r="AG1249" i="6" s="1"/>
  <c r="AD1260" i="6"/>
  <c r="AF1260" i="6" s="1"/>
  <c r="AG1260" i="6" s="1"/>
  <c r="AD1274" i="6"/>
  <c r="AF1274" i="6" s="1"/>
  <c r="AG1274" i="6" s="1"/>
  <c r="AD1285" i="6"/>
  <c r="AF1285" i="6" s="1"/>
  <c r="AG1285" i="6" s="1"/>
  <c r="AD1299" i="6"/>
  <c r="AF1299" i="6" s="1"/>
  <c r="AG1299" i="6" s="1"/>
  <c r="AD1312" i="6"/>
  <c r="AF1312" i="6" s="1"/>
  <c r="AG1312" i="6" s="1"/>
  <c r="AD1321" i="6"/>
  <c r="AF1321" i="6" s="1"/>
  <c r="AG1321" i="6" s="1"/>
  <c r="AD1330" i="6"/>
  <c r="AF1330" i="6" s="1"/>
  <c r="AG1330" i="6" s="1"/>
  <c r="AD1339" i="6"/>
  <c r="AF1339" i="6" s="1"/>
  <c r="AG1339" i="6" s="1"/>
  <c r="AD1348" i="6"/>
  <c r="AF1348" i="6" s="1"/>
  <c r="AG1348" i="6" s="1"/>
  <c r="AD1357" i="6"/>
  <c r="AF1357" i="6" s="1"/>
  <c r="AG1357" i="6" s="1"/>
  <c r="AD1367" i="6"/>
  <c r="AF1367" i="6" s="1"/>
  <c r="AG1367" i="6" s="1"/>
  <c r="AD1376" i="6"/>
  <c r="AF1376" i="6" s="1"/>
  <c r="AG1376" i="6" s="1"/>
  <c r="AD1385" i="6"/>
  <c r="AF1385" i="6" s="1"/>
  <c r="AG1385" i="6" s="1"/>
  <c r="AD1394" i="6"/>
  <c r="AF1394" i="6" s="1"/>
  <c r="AG1394" i="6" s="1"/>
  <c r="AD1403" i="6"/>
  <c r="AF1403" i="6" s="1"/>
  <c r="AG1403" i="6" s="1"/>
  <c r="AD1412" i="6"/>
  <c r="AF1412" i="6" s="1"/>
  <c r="AG1412" i="6" s="1"/>
  <c r="AD1421" i="6"/>
  <c r="AF1421" i="6" s="1"/>
  <c r="AG1421" i="6" s="1"/>
  <c r="AD1431" i="6"/>
  <c r="AF1431" i="6" s="1"/>
  <c r="AG1431" i="6" s="1"/>
  <c r="AD1440" i="6"/>
  <c r="AF1440" i="6" s="1"/>
  <c r="AG1440" i="6" s="1"/>
  <c r="AD1449" i="6"/>
  <c r="AF1449" i="6" s="1"/>
  <c r="AG1449" i="6" s="1"/>
  <c r="AD1458" i="6"/>
  <c r="AF1458" i="6" s="1"/>
  <c r="AG1458" i="6" s="1"/>
  <c r="AD1467" i="6"/>
  <c r="AF1467" i="6" s="1"/>
  <c r="AG1467" i="6" s="1"/>
  <c r="AD1476" i="6"/>
  <c r="AF1476" i="6" s="1"/>
  <c r="AG1476" i="6" s="1"/>
  <c r="AD1485" i="6"/>
  <c r="AF1485" i="6" s="1"/>
  <c r="AG1485" i="6" s="1"/>
  <c r="AD1495" i="6"/>
  <c r="AF1495" i="6" s="1"/>
  <c r="AG1495" i="6" s="1"/>
  <c r="AD1504" i="6"/>
  <c r="AF1504" i="6" s="1"/>
  <c r="AG1504" i="6" s="1"/>
  <c r="AD1513" i="6"/>
  <c r="AF1513" i="6" s="1"/>
  <c r="AG1513" i="6" s="1"/>
  <c r="AD1522" i="6"/>
  <c r="AF1522" i="6" s="1"/>
  <c r="AG1522" i="6" s="1"/>
  <c r="AD1531" i="6"/>
  <c r="AF1531" i="6" s="1"/>
  <c r="AG1531" i="6" s="1"/>
  <c r="AD1540" i="6"/>
  <c r="AF1540" i="6" s="1"/>
  <c r="AG1540" i="6" s="1"/>
  <c r="AD1549" i="6"/>
  <c r="AF1549" i="6" s="1"/>
  <c r="AG1549" i="6" s="1"/>
  <c r="AD1558" i="6"/>
  <c r="AF1558" i="6" s="1"/>
  <c r="AG1558" i="6" s="1"/>
  <c r="AD1566" i="6"/>
  <c r="AF1566" i="6" s="1"/>
  <c r="AG1566" i="6" s="1"/>
  <c r="AD1574" i="6"/>
  <c r="AF1574" i="6" s="1"/>
  <c r="AG1574" i="6" s="1"/>
  <c r="AD1582" i="6"/>
  <c r="AF1582" i="6" s="1"/>
  <c r="AG1582" i="6" s="1"/>
  <c r="AD1590" i="6"/>
  <c r="AF1590" i="6" s="1"/>
  <c r="AG1590" i="6" s="1"/>
  <c r="AD1598" i="6"/>
  <c r="AF1598" i="6" s="1"/>
  <c r="AG1598" i="6" s="1"/>
  <c r="AD1606" i="6"/>
  <c r="AF1606" i="6" s="1"/>
  <c r="AG1606" i="6" s="1"/>
  <c r="AD1614" i="6"/>
  <c r="AF1614" i="6" s="1"/>
  <c r="AG1614" i="6" s="1"/>
  <c r="AD1622" i="6"/>
  <c r="AF1622" i="6" s="1"/>
  <c r="AG1622" i="6" s="1"/>
  <c r="AD1630" i="6"/>
  <c r="AF1630" i="6" s="1"/>
  <c r="AG1630" i="6" s="1"/>
  <c r="AD1638" i="6"/>
  <c r="AF1638" i="6" s="1"/>
  <c r="AG1638" i="6" s="1"/>
  <c r="AD1646" i="6"/>
  <c r="AF1646" i="6" s="1"/>
  <c r="AG1646" i="6" s="1"/>
  <c r="AD1654" i="6"/>
  <c r="AF1654" i="6" s="1"/>
  <c r="AG1654" i="6" s="1"/>
  <c r="AD1662" i="6"/>
  <c r="AF1662" i="6" s="1"/>
  <c r="AG1662" i="6" s="1"/>
  <c r="AD1670" i="6"/>
  <c r="AF1670" i="6" s="1"/>
  <c r="AG1670" i="6" s="1"/>
  <c r="AD1678" i="6"/>
  <c r="AF1678" i="6" s="1"/>
  <c r="AG1678" i="6" s="1"/>
  <c r="AD1686" i="6"/>
  <c r="AF1686" i="6" s="1"/>
  <c r="AG1686" i="6" s="1"/>
  <c r="AD1694" i="6"/>
  <c r="AF1694" i="6" s="1"/>
  <c r="AG1694" i="6" s="1"/>
  <c r="AD1702" i="6"/>
  <c r="AF1702" i="6" s="1"/>
  <c r="AG1702" i="6" s="1"/>
  <c r="AD1710" i="6"/>
  <c r="AF1710" i="6" s="1"/>
  <c r="AG1710" i="6" s="1"/>
  <c r="AD1718" i="6"/>
  <c r="AF1718" i="6" s="1"/>
  <c r="AG1718" i="6" s="1"/>
  <c r="AD1726" i="6"/>
  <c r="AF1726" i="6" s="1"/>
  <c r="AG1726" i="6" s="1"/>
  <c r="AD1734" i="6"/>
  <c r="AF1734" i="6" s="1"/>
  <c r="AG1734" i="6" s="1"/>
  <c r="AD1742" i="6"/>
  <c r="AF1742" i="6" s="1"/>
  <c r="AG1742" i="6" s="1"/>
  <c r="AD1750" i="6"/>
  <c r="AF1750" i="6" s="1"/>
  <c r="AG1750" i="6" s="1"/>
  <c r="AD1758" i="6"/>
  <c r="AF1758" i="6" s="1"/>
  <c r="AG1758" i="6" s="1"/>
  <c r="AD1766" i="6"/>
  <c r="AF1766" i="6" s="1"/>
  <c r="AG1766" i="6" s="1"/>
  <c r="AD1774" i="6"/>
  <c r="AF1774" i="6" s="1"/>
  <c r="AG1774" i="6" s="1"/>
  <c r="AD1782" i="6"/>
  <c r="AF1782" i="6" s="1"/>
  <c r="AG1782" i="6" s="1"/>
  <c r="AD1790" i="6"/>
  <c r="AF1790" i="6" s="1"/>
  <c r="AG1790" i="6" s="1"/>
  <c r="AD1798" i="6"/>
  <c r="AF1798" i="6" s="1"/>
  <c r="AG1798" i="6" s="1"/>
  <c r="AD1806" i="6"/>
  <c r="AF1806" i="6" s="1"/>
  <c r="AG1806" i="6" s="1"/>
  <c r="AD1814" i="6"/>
  <c r="AF1814" i="6" s="1"/>
  <c r="AG1814" i="6" s="1"/>
  <c r="AD1822" i="6"/>
  <c r="AF1822" i="6" s="1"/>
  <c r="AG1822" i="6" s="1"/>
  <c r="AD1830" i="6"/>
  <c r="AF1830" i="6" s="1"/>
  <c r="AG1830" i="6" s="1"/>
  <c r="AD1838" i="6"/>
  <c r="AF1838" i="6" s="1"/>
  <c r="AG1838" i="6" s="1"/>
  <c r="AD1846" i="6"/>
  <c r="AF1846" i="6" s="1"/>
  <c r="AG1846" i="6" s="1"/>
  <c r="AD1854" i="6"/>
  <c r="AF1854" i="6" s="1"/>
  <c r="AG1854" i="6" s="1"/>
  <c r="AD1862" i="6"/>
  <c r="AF1862" i="6" s="1"/>
  <c r="AG1862" i="6" s="1"/>
  <c r="AD1870" i="6"/>
  <c r="AF1870" i="6" s="1"/>
  <c r="AG1870" i="6" s="1"/>
  <c r="AD1877" i="6"/>
  <c r="AF1877" i="6" s="1"/>
  <c r="AG1877" i="6" s="1"/>
  <c r="AD1909" i="6"/>
  <c r="AF1909" i="6" s="1"/>
  <c r="AG1909" i="6" s="1"/>
  <c r="AD1941" i="6"/>
  <c r="AF1941" i="6" s="1"/>
  <c r="AG1941" i="6" s="1"/>
  <c r="AD1973" i="6"/>
  <c r="AF1973" i="6" s="1"/>
  <c r="AG1973" i="6" s="1"/>
  <c r="AD1998" i="6"/>
  <c r="AF1998" i="6" s="1"/>
  <c r="AG1998" i="6" s="1"/>
  <c r="AD2021" i="6"/>
  <c r="AF2021" i="6" s="1"/>
  <c r="AG2021" i="6" s="1"/>
  <c r="AD2042" i="6"/>
  <c r="AF2042" i="6" s="1"/>
  <c r="AG2042" i="6" s="1"/>
  <c r="AD2058" i="6"/>
  <c r="AF2058" i="6" s="1"/>
  <c r="AG2058" i="6" s="1"/>
  <c r="AD2069" i="6"/>
  <c r="AF2069" i="6" s="1"/>
  <c r="AG2069" i="6" s="1"/>
  <c r="AD2083" i="6"/>
  <c r="AF2083" i="6" s="1"/>
  <c r="AG2083" i="6" s="1"/>
  <c r="AD2094" i="6"/>
  <c r="AF2094" i="6" s="1"/>
  <c r="AG2094" i="6" s="1"/>
  <c r="AD2108" i="6"/>
  <c r="AF2108" i="6" s="1"/>
  <c r="AG2108" i="6" s="1"/>
  <c r="AD2122" i="6"/>
  <c r="AF2122" i="6" s="1"/>
  <c r="AG2122" i="6" s="1"/>
  <c r="AD2133" i="6"/>
  <c r="AF2133" i="6" s="1"/>
  <c r="AG2133" i="6" s="1"/>
  <c r="AD2147" i="6"/>
  <c r="AF2147" i="6" s="1"/>
  <c r="AG2147" i="6" s="1"/>
  <c r="AD2158" i="6"/>
  <c r="AF2158" i="6" s="1"/>
  <c r="AG2158" i="6" s="1"/>
  <c r="AD2172" i="6"/>
  <c r="AF2172" i="6" s="1"/>
  <c r="AG2172" i="6" s="1"/>
  <c r="AD2186" i="6"/>
  <c r="AF2186" i="6" s="1"/>
  <c r="AG2186" i="6" s="1"/>
  <c r="AD2197" i="6"/>
  <c r="AF2197" i="6" s="1"/>
  <c r="AG2197" i="6" s="1"/>
  <c r="AD2211" i="6"/>
  <c r="AF2211" i="6" s="1"/>
  <c r="AG2211" i="6" s="1"/>
  <c r="AD2222" i="6"/>
  <c r="AF2222" i="6" s="1"/>
  <c r="AG2222" i="6" s="1"/>
  <c r="AD2236" i="6"/>
  <c r="AF2236" i="6" s="1"/>
  <c r="AG2236" i="6" s="1"/>
  <c r="AD2249" i="6"/>
  <c r="AF2249" i="6" s="1"/>
  <c r="AG2249" i="6" s="1"/>
  <c r="AD2259" i="6"/>
  <c r="AF2259" i="6" s="1"/>
  <c r="AG2259" i="6" s="1"/>
  <c r="AD2269" i="6"/>
  <c r="AF2269" i="6" s="1"/>
  <c r="AG2269" i="6" s="1"/>
  <c r="AD2280" i="6"/>
  <c r="AF2280" i="6" s="1"/>
  <c r="AG2280" i="6" s="1"/>
  <c r="AD2289" i="6"/>
  <c r="AF2289" i="6" s="1"/>
  <c r="AG2289" i="6" s="1"/>
  <c r="AD2298" i="6"/>
  <c r="AF2298" i="6" s="1"/>
  <c r="AG2298" i="6" s="1"/>
  <c r="AD2307" i="6"/>
  <c r="AF2307" i="6" s="1"/>
  <c r="AG2307" i="6" s="1"/>
  <c r="AD2316" i="6"/>
  <c r="AF2316" i="6" s="1"/>
  <c r="AG2316" i="6" s="1"/>
  <c r="AD2325" i="6"/>
  <c r="AF2325" i="6" s="1"/>
  <c r="AG2325" i="6" s="1"/>
  <c r="AD2334" i="6"/>
  <c r="AF2334" i="6" s="1"/>
  <c r="AG2334" i="6" s="1"/>
  <c r="AD2344" i="6"/>
  <c r="AF2344" i="6" s="1"/>
  <c r="AG2344" i="6" s="1"/>
  <c r="AD2353" i="6"/>
  <c r="AF2353" i="6" s="1"/>
  <c r="AG2353" i="6" s="1"/>
  <c r="AD1878" i="6"/>
  <c r="AF1878" i="6" s="1"/>
  <c r="AG1878" i="6" s="1"/>
  <c r="AD1910" i="6"/>
  <c r="AF1910" i="6" s="1"/>
  <c r="AG1910" i="6" s="1"/>
  <c r="AD1942" i="6"/>
  <c r="AF1942" i="6" s="1"/>
  <c r="AG1942" i="6" s="1"/>
  <c r="AD1974" i="6"/>
  <c r="AF1974" i="6" s="1"/>
  <c r="AG1974" i="6" s="1"/>
  <c r="AD2004" i="6"/>
  <c r="AF2004" i="6" s="1"/>
  <c r="AG2004" i="6" s="1"/>
  <c r="AD2022" i="6"/>
  <c r="AF2022" i="6" s="1"/>
  <c r="AG2022" i="6" s="1"/>
  <c r="AD2044" i="6"/>
  <c r="AF2044" i="6" s="1"/>
  <c r="AG2044" i="6" s="1"/>
  <c r="AD2059" i="6"/>
  <c r="AF2059" i="6" s="1"/>
  <c r="AG2059" i="6" s="1"/>
  <c r="AD2070" i="6"/>
  <c r="AF2070" i="6" s="1"/>
  <c r="AG2070" i="6" s="1"/>
  <c r="AD2084" i="6"/>
  <c r="AF2084" i="6" s="1"/>
  <c r="AG2084" i="6" s="1"/>
  <c r="AD2098" i="6"/>
  <c r="AF2098" i="6" s="1"/>
  <c r="AG2098" i="6" s="1"/>
  <c r="AD2109" i="6"/>
  <c r="AF2109" i="6" s="1"/>
  <c r="AG2109" i="6" s="1"/>
  <c r="AD2123" i="6"/>
  <c r="AF2123" i="6" s="1"/>
  <c r="AG2123" i="6" s="1"/>
  <c r="AD2134" i="6"/>
  <c r="AF2134" i="6" s="1"/>
  <c r="AG2134" i="6" s="1"/>
  <c r="AD2148" i="6"/>
  <c r="AF2148" i="6" s="1"/>
  <c r="AG2148" i="6" s="1"/>
  <c r="AD2162" i="6"/>
  <c r="AF2162" i="6" s="1"/>
  <c r="AG2162" i="6" s="1"/>
  <c r="AD2173" i="6"/>
  <c r="AF2173" i="6" s="1"/>
  <c r="AG2173" i="6" s="1"/>
  <c r="AD2187" i="6"/>
  <c r="AF2187" i="6" s="1"/>
  <c r="AG2187" i="6" s="1"/>
  <c r="AD2198" i="6"/>
  <c r="AF2198" i="6" s="1"/>
  <c r="AG2198" i="6" s="1"/>
  <c r="AD2212" i="6"/>
  <c r="AF2212" i="6" s="1"/>
  <c r="AG2212" i="6" s="1"/>
  <c r="AD2226" i="6"/>
  <c r="AF2226" i="6" s="1"/>
  <c r="AG2226" i="6" s="1"/>
  <c r="AD2237" i="6"/>
  <c r="AF2237" i="6" s="1"/>
  <c r="AG2237" i="6" s="1"/>
  <c r="AD2250" i="6"/>
  <c r="AF2250" i="6" s="1"/>
  <c r="AG2250" i="6" s="1"/>
  <c r="AD2260" i="6"/>
  <c r="AF2260" i="6" s="1"/>
  <c r="AG2260" i="6" s="1"/>
  <c r="AD2270" i="6"/>
  <c r="AF2270" i="6" s="1"/>
  <c r="AG2270" i="6" s="1"/>
  <c r="AD2281" i="6"/>
  <c r="AF2281" i="6" s="1"/>
  <c r="AG2281" i="6" s="1"/>
  <c r="AD2290" i="6"/>
  <c r="AF2290" i="6" s="1"/>
  <c r="AG2290" i="6" s="1"/>
  <c r="AD2299" i="6"/>
  <c r="AF2299" i="6" s="1"/>
  <c r="AG2299" i="6" s="1"/>
  <c r="AD2308" i="6"/>
  <c r="AF2308" i="6" s="1"/>
  <c r="AG2308" i="6" s="1"/>
  <c r="AD2317" i="6"/>
  <c r="AF2317" i="6" s="1"/>
  <c r="AG2317" i="6" s="1"/>
  <c r="AD2326" i="6"/>
  <c r="AF2326" i="6" s="1"/>
  <c r="AG2326" i="6" s="1"/>
  <c r="AD2336" i="6"/>
  <c r="AF2336" i="6" s="1"/>
  <c r="AG2336" i="6" s="1"/>
  <c r="AD2345" i="6"/>
  <c r="AF2345" i="6" s="1"/>
  <c r="AG2345" i="6" s="1"/>
  <c r="AD2354" i="6"/>
  <c r="AF2354" i="6" s="1"/>
  <c r="AG2354" i="6" s="1"/>
  <c r="AD1885" i="6"/>
  <c r="AF1885" i="6" s="1"/>
  <c r="AG1885" i="6" s="1"/>
  <c r="AD1917" i="6"/>
  <c r="AF1917" i="6" s="1"/>
  <c r="AG1917" i="6" s="1"/>
  <c r="AD1949" i="6"/>
  <c r="AF1949" i="6" s="1"/>
  <c r="AG1949" i="6" s="1"/>
  <c r="AD1981" i="6"/>
  <c r="AF1981" i="6" s="1"/>
  <c r="AG1981" i="6" s="1"/>
  <c r="AD2005" i="6"/>
  <c r="AF2005" i="6" s="1"/>
  <c r="AG2005" i="6" s="1"/>
  <c r="AD2028" i="6"/>
  <c r="AF2028" i="6" s="1"/>
  <c r="AG2028" i="6" s="1"/>
  <c r="AD2045" i="6"/>
  <c r="AF2045" i="6" s="1"/>
  <c r="AG2045" i="6" s="1"/>
  <c r="AD2060" i="6"/>
  <c r="AF2060" i="6" s="1"/>
  <c r="AG2060" i="6" s="1"/>
  <c r="AD2074" i="6"/>
  <c r="AF2074" i="6" s="1"/>
  <c r="AG2074" i="6" s="1"/>
  <c r="AD2085" i="6"/>
  <c r="AF2085" i="6" s="1"/>
  <c r="AG2085" i="6" s="1"/>
  <c r="AD2099" i="6"/>
  <c r="AF2099" i="6" s="1"/>
  <c r="AG2099" i="6" s="1"/>
  <c r="AD2110" i="6"/>
  <c r="AF2110" i="6" s="1"/>
  <c r="AG2110" i="6" s="1"/>
  <c r="AD2124" i="6"/>
  <c r="AF2124" i="6" s="1"/>
  <c r="AG2124" i="6" s="1"/>
  <c r="AD2138" i="6"/>
  <c r="AF2138" i="6" s="1"/>
  <c r="AG2138" i="6" s="1"/>
  <c r="AD2149" i="6"/>
  <c r="AF2149" i="6" s="1"/>
  <c r="AG2149" i="6" s="1"/>
  <c r="AD2163" i="6"/>
  <c r="AF2163" i="6" s="1"/>
  <c r="AG2163" i="6" s="1"/>
  <c r="AD2174" i="6"/>
  <c r="AF2174" i="6" s="1"/>
  <c r="AG2174" i="6" s="1"/>
  <c r="AD2188" i="6"/>
  <c r="AF2188" i="6" s="1"/>
  <c r="AG2188" i="6" s="1"/>
  <c r="AD2202" i="6"/>
  <c r="AF2202" i="6" s="1"/>
  <c r="AG2202" i="6" s="1"/>
  <c r="AD2213" i="6"/>
  <c r="AF2213" i="6" s="1"/>
  <c r="AG2213" i="6" s="1"/>
  <c r="AD2227" i="6"/>
  <c r="AF2227" i="6" s="1"/>
  <c r="AG2227" i="6" s="1"/>
  <c r="AD2238" i="6"/>
  <c r="AF2238" i="6" s="1"/>
  <c r="AG2238" i="6" s="1"/>
  <c r="AD2251" i="6"/>
  <c r="AF2251" i="6" s="1"/>
  <c r="AG2251" i="6" s="1"/>
  <c r="AD2261" i="6"/>
  <c r="AF2261" i="6" s="1"/>
  <c r="AG2261" i="6" s="1"/>
  <c r="AD2273" i="6"/>
  <c r="AF2273" i="6" s="1"/>
  <c r="AG2273" i="6" s="1"/>
  <c r="AD2282" i="6"/>
  <c r="AF2282" i="6" s="1"/>
  <c r="AG2282" i="6" s="1"/>
  <c r="AD2291" i="6"/>
  <c r="AF2291" i="6" s="1"/>
  <c r="AG2291" i="6" s="1"/>
  <c r="AD2300" i="6"/>
  <c r="AF2300" i="6" s="1"/>
  <c r="AG2300" i="6" s="1"/>
  <c r="AD2309" i="6"/>
  <c r="AF2309" i="6" s="1"/>
  <c r="AG2309" i="6" s="1"/>
  <c r="AD2318" i="6"/>
  <c r="AF2318" i="6" s="1"/>
  <c r="AG2318" i="6" s="1"/>
  <c r="AD2328" i="6"/>
  <c r="AF2328" i="6" s="1"/>
  <c r="AG2328" i="6" s="1"/>
  <c r="AD2337" i="6"/>
  <c r="AF2337" i="6" s="1"/>
  <c r="AG2337" i="6" s="1"/>
  <c r="AD2346" i="6"/>
  <c r="AF2346" i="6" s="1"/>
  <c r="AG2346" i="6" s="1"/>
  <c r="AD6" i="6"/>
  <c r="AF6" i="6" s="1"/>
  <c r="AG6" i="6" s="1"/>
  <c r="AD1886" i="6"/>
  <c r="AF1886" i="6" s="1"/>
  <c r="AG1886" i="6" s="1"/>
  <c r="AD1918" i="6"/>
  <c r="AF1918" i="6" s="1"/>
  <c r="AG1918" i="6" s="1"/>
  <c r="AD1950" i="6"/>
  <c r="AF1950" i="6" s="1"/>
  <c r="AG1950" i="6" s="1"/>
  <c r="AD1982" i="6"/>
  <c r="AF1982" i="6" s="1"/>
  <c r="AG1982" i="6" s="1"/>
  <c r="AD2006" i="6"/>
  <c r="AF2006" i="6" s="1"/>
  <c r="AG2006" i="6" s="1"/>
  <c r="AD2029" i="6"/>
  <c r="AF2029" i="6" s="1"/>
  <c r="AG2029" i="6" s="1"/>
  <c r="AD2046" i="6"/>
  <c r="AF2046" i="6" s="1"/>
  <c r="AG2046" i="6" s="1"/>
  <c r="AD2061" i="6"/>
  <c r="AF2061" i="6" s="1"/>
  <c r="AG2061" i="6" s="1"/>
  <c r="AD2075" i="6"/>
  <c r="AF2075" i="6" s="1"/>
  <c r="AG2075" i="6" s="1"/>
  <c r="AD2086" i="6"/>
  <c r="AF2086" i="6" s="1"/>
  <c r="AG2086" i="6" s="1"/>
  <c r="AD2100" i="6"/>
  <c r="AF2100" i="6" s="1"/>
  <c r="AG2100" i="6" s="1"/>
  <c r="AD2114" i="6"/>
  <c r="AF2114" i="6" s="1"/>
  <c r="AG2114" i="6" s="1"/>
  <c r="AD2125" i="6"/>
  <c r="AF2125" i="6" s="1"/>
  <c r="AG2125" i="6" s="1"/>
  <c r="AD2139" i="6"/>
  <c r="AF2139" i="6" s="1"/>
  <c r="AG2139" i="6" s="1"/>
  <c r="AD2150" i="6"/>
  <c r="AF2150" i="6" s="1"/>
  <c r="AG2150" i="6" s="1"/>
  <c r="AD2164" i="6"/>
  <c r="AF2164" i="6" s="1"/>
  <c r="AG2164" i="6" s="1"/>
  <c r="AD2178" i="6"/>
  <c r="AF2178" i="6" s="1"/>
  <c r="AG2178" i="6" s="1"/>
  <c r="AD2189" i="6"/>
  <c r="AF2189" i="6" s="1"/>
  <c r="AG2189" i="6" s="1"/>
  <c r="AD2203" i="6"/>
  <c r="AF2203" i="6" s="1"/>
  <c r="AG2203" i="6" s="1"/>
  <c r="AD2214" i="6"/>
  <c r="AF2214" i="6" s="1"/>
  <c r="AG2214" i="6" s="1"/>
  <c r="AD2228" i="6"/>
  <c r="AF2228" i="6" s="1"/>
  <c r="AG2228" i="6" s="1"/>
  <c r="AD2242" i="6"/>
  <c r="AF2242" i="6" s="1"/>
  <c r="AG2242" i="6" s="1"/>
  <c r="AD2252" i="6"/>
  <c r="AF2252" i="6" s="1"/>
  <c r="AG2252" i="6" s="1"/>
  <c r="AD2262" i="6"/>
  <c r="AF2262" i="6" s="1"/>
  <c r="AG2262" i="6" s="1"/>
  <c r="AD2274" i="6"/>
  <c r="AF2274" i="6" s="1"/>
  <c r="AG2274" i="6" s="1"/>
  <c r="AD2283" i="6"/>
  <c r="AF2283" i="6" s="1"/>
  <c r="AG2283" i="6" s="1"/>
  <c r="AD2292" i="6"/>
  <c r="AF2292" i="6" s="1"/>
  <c r="AG2292" i="6" s="1"/>
  <c r="AD2301" i="6"/>
  <c r="AF2301" i="6" s="1"/>
  <c r="AG2301" i="6" s="1"/>
  <c r="AD2310" i="6"/>
  <c r="AF2310" i="6" s="1"/>
  <c r="AG2310" i="6" s="1"/>
  <c r="AD2320" i="6"/>
  <c r="AF2320" i="6" s="1"/>
  <c r="AG2320" i="6" s="1"/>
  <c r="AD2329" i="6"/>
  <c r="AF2329" i="6" s="1"/>
  <c r="AG2329" i="6" s="1"/>
  <c r="AD2338" i="6"/>
  <c r="AF2338" i="6" s="1"/>
  <c r="AG2338" i="6" s="1"/>
  <c r="AD2347" i="6"/>
  <c r="AF2347" i="6" s="1"/>
  <c r="AG2347" i="6" s="1"/>
  <c r="AD5" i="6"/>
  <c r="AF5" i="6" s="1"/>
  <c r="AG5" i="6" s="1"/>
  <c r="AD1893" i="6"/>
  <c r="AF1893" i="6" s="1"/>
  <c r="AG1893" i="6" s="1"/>
  <c r="AD1925" i="6"/>
  <c r="AF1925" i="6" s="1"/>
  <c r="AG1925" i="6" s="1"/>
  <c r="AD1957" i="6"/>
  <c r="AF1957" i="6" s="1"/>
  <c r="AG1957" i="6" s="1"/>
  <c r="AD1989" i="6"/>
  <c r="AF1989" i="6" s="1"/>
  <c r="AG1989" i="6" s="1"/>
  <c r="AD2012" i="6"/>
  <c r="AF2012" i="6" s="1"/>
  <c r="AG2012" i="6" s="1"/>
  <c r="AD2030" i="6"/>
  <c r="AF2030" i="6" s="1"/>
  <c r="AG2030" i="6" s="1"/>
  <c r="AD2050" i="6"/>
  <c r="AF2050" i="6" s="1"/>
  <c r="AG2050" i="6" s="1"/>
  <c r="AD2062" i="6"/>
  <c r="AF2062" i="6" s="1"/>
  <c r="AG2062" i="6" s="1"/>
  <c r="AD2076" i="6"/>
  <c r="AF2076" i="6" s="1"/>
  <c r="AG2076" i="6" s="1"/>
  <c r="AD2090" i="6"/>
  <c r="AF2090" i="6" s="1"/>
  <c r="AG2090" i="6" s="1"/>
  <c r="AD2101" i="6"/>
  <c r="AF2101" i="6" s="1"/>
  <c r="AG2101" i="6" s="1"/>
  <c r="AD2115" i="6"/>
  <c r="AF2115" i="6" s="1"/>
  <c r="AG2115" i="6" s="1"/>
  <c r="AD2126" i="6"/>
  <c r="AF2126" i="6" s="1"/>
  <c r="AG2126" i="6" s="1"/>
  <c r="AD2140" i="6"/>
  <c r="AF2140" i="6" s="1"/>
  <c r="AG2140" i="6" s="1"/>
  <c r="AD2154" i="6"/>
  <c r="AF2154" i="6" s="1"/>
  <c r="AG2154" i="6" s="1"/>
  <c r="AD2165" i="6"/>
  <c r="AF2165" i="6" s="1"/>
  <c r="AG2165" i="6" s="1"/>
  <c r="AD2179" i="6"/>
  <c r="AF2179" i="6" s="1"/>
  <c r="AG2179" i="6" s="1"/>
  <c r="AD2190" i="6"/>
  <c r="AF2190" i="6" s="1"/>
  <c r="AG2190" i="6" s="1"/>
  <c r="AD2204" i="6"/>
  <c r="AF2204" i="6" s="1"/>
  <c r="AG2204" i="6" s="1"/>
  <c r="AD2218" i="6"/>
  <c r="AF2218" i="6" s="1"/>
  <c r="AG2218" i="6" s="1"/>
  <c r="AD2229" i="6"/>
  <c r="AF2229" i="6" s="1"/>
  <c r="AG2229" i="6" s="1"/>
  <c r="AD2243" i="6"/>
  <c r="AF2243" i="6" s="1"/>
  <c r="AG2243" i="6" s="1"/>
  <c r="AD2253" i="6"/>
  <c r="AF2253" i="6" s="1"/>
  <c r="AG2253" i="6" s="1"/>
  <c r="AD2265" i="6"/>
  <c r="AF2265" i="6" s="1"/>
  <c r="AG2265" i="6" s="1"/>
  <c r="AD2275" i="6"/>
  <c r="AF2275" i="6" s="1"/>
  <c r="AG2275" i="6" s="1"/>
  <c r="AD2284" i="6"/>
  <c r="AF2284" i="6" s="1"/>
  <c r="AG2284" i="6" s="1"/>
  <c r="AD2293" i="6"/>
  <c r="AF2293" i="6" s="1"/>
  <c r="AG2293" i="6" s="1"/>
  <c r="AD2302" i="6"/>
  <c r="AF2302" i="6" s="1"/>
  <c r="AG2302" i="6" s="1"/>
  <c r="AD2312" i="6"/>
  <c r="AF2312" i="6" s="1"/>
  <c r="AG2312" i="6" s="1"/>
  <c r="AD2321" i="6"/>
  <c r="AF2321" i="6" s="1"/>
  <c r="AG2321" i="6" s="1"/>
  <c r="AD2330" i="6"/>
  <c r="AF2330" i="6" s="1"/>
  <c r="AG2330" i="6" s="1"/>
  <c r="AD2339" i="6"/>
  <c r="AF2339" i="6" s="1"/>
  <c r="AG2339" i="6" s="1"/>
  <c r="AD2348" i="6"/>
  <c r="AF2348" i="6" s="1"/>
  <c r="AG2348" i="6" s="1"/>
  <c r="AD1894" i="6"/>
  <c r="AF1894" i="6" s="1"/>
  <c r="AG1894" i="6" s="1"/>
  <c r="AD1926" i="6"/>
  <c r="AF1926" i="6" s="1"/>
  <c r="AG1926" i="6" s="1"/>
  <c r="AD1958" i="6"/>
  <c r="AF1958" i="6" s="1"/>
  <c r="AG1958" i="6" s="1"/>
  <c r="AD1990" i="6"/>
  <c r="AF1990" i="6" s="1"/>
  <c r="AG1990" i="6" s="1"/>
  <c r="AD2013" i="6"/>
  <c r="AF2013" i="6" s="1"/>
  <c r="AG2013" i="6" s="1"/>
  <c r="AD2036" i="6"/>
  <c r="AF2036" i="6" s="1"/>
  <c r="AG2036" i="6" s="1"/>
  <c r="AD2052" i="6"/>
  <c r="AF2052" i="6" s="1"/>
  <c r="AG2052" i="6" s="1"/>
  <c r="AD2066" i="6"/>
  <c r="AF2066" i="6" s="1"/>
  <c r="AG2066" i="6" s="1"/>
  <c r="AD2077" i="6"/>
  <c r="AF2077" i="6" s="1"/>
  <c r="AG2077" i="6" s="1"/>
  <c r="AD2091" i="6"/>
  <c r="AF2091" i="6" s="1"/>
  <c r="AG2091" i="6" s="1"/>
  <c r="AD2102" i="6"/>
  <c r="AF2102" i="6" s="1"/>
  <c r="AG2102" i="6" s="1"/>
  <c r="AD2116" i="6"/>
  <c r="AF2116" i="6" s="1"/>
  <c r="AG2116" i="6" s="1"/>
  <c r="AD2130" i="6"/>
  <c r="AF2130" i="6" s="1"/>
  <c r="AG2130" i="6" s="1"/>
  <c r="AD2141" i="6"/>
  <c r="AF2141" i="6" s="1"/>
  <c r="AG2141" i="6" s="1"/>
  <c r="AD2155" i="6"/>
  <c r="AF2155" i="6" s="1"/>
  <c r="AG2155" i="6" s="1"/>
  <c r="AD2166" i="6"/>
  <c r="AF2166" i="6" s="1"/>
  <c r="AG2166" i="6" s="1"/>
  <c r="AD2180" i="6"/>
  <c r="AF2180" i="6" s="1"/>
  <c r="AG2180" i="6" s="1"/>
  <c r="AD2194" i="6"/>
  <c r="AF2194" i="6" s="1"/>
  <c r="AG2194" i="6" s="1"/>
  <c r="AD2205" i="6"/>
  <c r="AF2205" i="6" s="1"/>
  <c r="AG2205" i="6" s="1"/>
  <c r="AD2219" i="6"/>
  <c r="AF2219" i="6" s="1"/>
  <c r="AG2219" i="6" s="1"/>
  <c r="AD2230" i="6"/>
  <c r="AF2230" i="6" s="1"/>
  <c r="AG2230" i="6" s="1"/>
  <c r="AD2244" i="6"/>
  <c r="AF2244" i="6" s="1"/>
  <c r="AG2244" i="6" s="1"/>
  <c r="AD2254" i="6"/>
  <c r="AF2254" i="6" s="1"/>
  <c r="AG2254" i="6" s="1"/>
  <c r="AD2266" i="6"/>
  <c r="AF2266" i="6" s="1"/>
  <c r="AG2266" i="6" s="1"/>
  <c r="AD2276" i="6"/>
  <c r="AF2276" i="6" s="1"/>
  <c r="AG2276" i="6" s="1"/>
  <c r="AD2285" i="6"/>
  <c r="AF2285" i="6" s="1"/>
  <c r="AG2285" i="6" s="1"/>
  <c r="AD2294" i="6"/>
  <c r="AF2294" i="6" s="1"/>
  <c r="AG2294" i="6" s="1"/>
  <c r="AD2304" i="6"/>
  <c r="AF2304" i="6" s="1"/>
  <c r="AG2304" i="6" s="1"/>
  <c r="AD2313" i="6"/>
  <c r="AF2313" i="6" s="1"/>
  <c r="AG2313" i="6" s="1"/>
  <c r="AD2322" i="6"/>
  <c r="AF2322" i="6" s="1"/>
  <c r="AG2322" i="6" s="1"/>
  <c r="AD2331" i="6"/>
  <c r="AF2331" i="6" s="1"/>
  <c r="AG2331" i="6" s="1"/>
  <c r="AD2340" i="6"/>
  <c r="AF2340" i="6" s="1"/>
  <c r="AG2340" i="6" s="1"/>
  <c r="AD2349" i="6"/>
  <c r="AF2349" i="6" s="1"/>
  <c r="AG2349" i="6" s="1"/>
  <c r="AD1901" i="6"/>
  <c r="AF1901" i="6" s="1"/>
  <c r="AG1901" i="6" s="1"/>
  <c r="AD1933" i="6"/>
  <c r="AF1933" i="6" s="1"/>
  <c r="AG1933" i="6" s="1"/>
  <c r="AD1965" i="6"/>
  <c r="AF1965" i="6" s="1"/>
  <c r="AG1965" i="6" s="1"/>
  <c r="AD1996" i="6"/>
  <c r="AF1996" i="6" s="1"/>
  <c r="AG1996" i="6" s="1"/>
  <c r="AD2014" i="6"/>
  <c r="AF2014" i="6" s="1"/>
  <c r="AG2014" i="6" s="1"/>
  <c r="AD2037" i="6"/>
  <c r="AF2037" i="6" s="1"/>
  <c r="AG2037" i="6" s="1"/>
  <c r="AD2053" i="6"/>
  <c r="AF2053" i="6" s="1"/>
  <c r="AG2053" i="6" s="1"/>
  <c r="AD2067" i="6"/>
  <c r="AF2067" i="6" s="1"/>
  <c r="AG2067" i="6" s="1"/>
  <c r="AD2078" i="6"/>
  <c r="AF2078" i="6" s="1"/>
  <c r="AG2078" i="6" s="1"/>
  <c r="AD2092" i="6"/>
  <c r="AF2092" i="6" s="1"/>
  <c r="AG2092" i="6" s="1"/>
  <c r="AD2106" i="6"/>
  <c r="AF2106" i="6" s="1"/>
  <c r="AG2106" i="6" s="1"/>
  <c r="AD2117" i="6"/>
  <c r="AF2117" i="6" s="1"/>
  <c r="AG2117" i="6" s="1"/>
  <c r="AD2131" i="6"/>
  <c r="AF2131" i="6" s="1"/>
  <c r="AG2131" i="6" s="1"/>
  <c r="AD2142" i="6"/>
  <c r="AF2142" i="6" s="1"/>
  <c r="AG2142" i="6" s="1"/>
  <c r="AD2156" i="6"/>
  <c r="AF2156" i="6" s="1"/>
  <c r="AG2156" i="6" s="1"/>
  <c r="AD2170" i="6"/>
  <c r="AF2170" i="6" s="1"/>
  <c r="AG2170" i="6" s="1"/>
  <c r="AD2181" i="6"/>
  <c r="AF2181" i="6" s="1"/>
  <c r="AG2181" i="6" s="1"/>
  <c r="AD2195" i="6"/>
  <c r="AF2195" i="6" s="1"/>
  <c r="AG2195" i="6" s="1"/>
  <c r="AD2206" i="6"/>
  <c r="AF2206" i="6" s="1"/>
  <c r="AG2206" i="6" s="1"/>
  <c r="AD2220" i="6"/>
  <c r="AF2220" i="6" s="1"/>
  <c r="AG2220" i="6" s="1"/>
  <c r="AD2234" i="6"/>
  <c r="AF2234" i="6" s="1"/>
  <c r="AG2234" i="6" s="1"/>
  <c r="AD2245" i="6"/>
  <c r="AF2245" i="6" s="1"/>
  <c r="AG2245" i="6" s="1"/>
  <c r="AD2257" i="6"/>
  <c r="AF2257" i="6" s="1"/>
  <c r="AG2257" i="6" s="1"/>
  <c r="AD2267" i="6"/>
  <c r="AF2267" i="6" s="1"/>
  <c r="AG2267" i="6" s="1"/>
  <c r="AD2277" i="6"/>
  <c r="AF2277" i="6" s="1"/>
  <c r="AG2277" i="6" s="1"/>
  <c r="AD2286" i="6"/>
  <c r="AF2286" i="6" s="1"/>
  <c r="AG2286" i="6" s="1"/>
  <c r="AD2296" i="6"/>
  <c r="AF2296" i="6" s="1"/>
  <c r="AG2296" i="6" s="1"/>
  <c r="AD2305" i="6"/>
  <c r="AF2305" i="6" s="1"/>
  <c r="AG2305" i="6" s="1"/>
  <c r="AD2314" i="6"/>
  <c r="AF2314" i="6" s="1"/>
  <c r="AG2314" i="6" s="1"/>
  <c r="AD2323" i="6"/>
  <c r="AF2323" i="6" s="1"/>
  <c r="AG2323" i="6" s="1"/>
  <c r="AD2332" i="6"/>
  <c r="AF2332" i="6" s="1"/>
  <c r="AG2332" i="6" s="1"/>
  <c r="AD2341" i="6"/>
  <c r="AF2341" i="6" s="1"/>
  <c r="AG2341" i="6" s="1"/>
  <c r="AD2350" i="6"/>
  <c r="AF2350" i="6" s="1"/>
  <c r="AG2350" i="6" s="1"/>
  <c r="AD1902" i="6"/>
  <c r="AF1902" i="6" s="1"/>
  <c r="AG1902" i="6" s="1"/>
  <c r="AD1934" i="6"/>
  <c r="AF1934" i="6" s="1"/>
  <c r="AG1934" i="6" s="1"/>
  <c r="AD1966" i="6"/>
  <c r="AF1966" i="6" s="1"/>
  <c r="AG1966" i="6" s="1"/>
  <c r="AD1997" i="6"/>
  <c r="AF1997" i="6" s="1"/>
  <c r="AG1997" i="6" s="1"/>
  <c r="AD2020" i="6"/>
  <c r="AF2020" i="6" s="1"/>
  <c r="AG2020" i="6" s="1"/>
  <c r="AD2038" i="6"/>
  <c r="AF2038" i="6" s="1"/>
  <c r="AG2038" i="6" s="1"/>
  <c r="AD2054" i="6"/>
  <c r="AF2054" i="6" s="1"/>
  <c r="AG2054" i="6" s="1"/>
  <c r="AD2068" i="6"/>
  <c r="AF2068" i="6" s="1"/>
  <c r="AG2068" i="6" s="1"/>
  <c r="AD2082" i="6"/>
  <c r="AF2082" i="6" s="1"/>
  <c r="AG2082" i="6" s="1"/>
  <c r="AD2093" i="6"/>
  <c r="AF2093" i="6" s="1"/>
  <c r="AG2093" i="6" s="1"/>
  <c r="AD2107" i="6"/>
  <c r="AF2107" i="6" s="1"/>
  <c r="AG2107" i="6" s="1"/>
  <c r="AD2118" i="6"/>
  <c r="AF2118" i="6" s="1"/>
  <c r="AG2118" i="6" s="1"/>
  <c r="AD2132" i="6"/>
  <c r="AF2132" i="6" s="1"/>
  <c r="AG2132" i="6" s="1"/>
  <c r="AD2146" i="6"/>
  <c r="AF2146" i="6" s="1"/>
  <c r="AG2146" i="6" s="1"/>
  <c r="AD2157" i="6"/>
  <c r="AF2157" i="6" s="1"/>
  <c r="AG2157" i="6" s="1"/>
  <c r="AD2171" i="6"/>
  <c r="AF2171" i="6" s="1"/>
  <c r="AG2171" i="6" s="1"/>
  <c r="AD2182" i="6"/>
  <c r="AF2182" i="6" s="1"/>
  <c r="AG2182" i="6" s="1"/>
  <c r="AD2196" i="6"/>
  <c r="AF2196" i="6" s="1"/>
  <c r="AG2196" i="6" s="1"/>
  <c r="AD2210" i="6"/>
  <c r="AF2210" i="6" s="1"/>
  <c r="AG2210" i="6" s="1"/>
  <c r="AD2221" i="6"/>
  <c r="AF2221" i="6" s="1"/>
  <c r="AG2221" i="6" s="1"/>
  <c r="AD2235" i="6"/>
  <c r="AF2235" i="6" s="1"/>
  <c r="AG2235" i="6" s="1"/>
  <c r="AD2246" i="6"/>
  <c r="AF2246" i="6" s="1"/>
  <c r="AG2246" i="6" s="1"/>
  <c r="AD2258" i="6"/>
  <c r="AF2258" i="6" s="1"/>
  <c r="AG2258" i="6" s="1"/>
  <c r="AD2268" i="6"/>
  <c r="AF2268" i="6" s="1"/>
  <c r="AG2268" i="6" s="1"/>
  <c r="AD2278" i="6"/>
  <c r="AF2278" i="6" s="1"/>
  <c r="AG2278" i="6" s="1"/>
  <c r="AD2288" i="6"/>
  <c r="AF2288" i="6" s="1"/>
  <c r="AG2288" i="6" s="1"/>
  <c r="AD2297" i="6"/>
  <c r="AF2297" i="6" s="1"/>
  <c r="AG2297" i="6" s="1"/>
  <c r="AD2306" i="6"/>
  <c r="AF2306" i="6" s="1"/>
  <c r="AG2306" i="6" s="1"/>
  <c r="AD2315" i="6"/>
  <c r="AF2315" i="6" s="1"/>
  <c r="AG2315" i="6" s="1"/>
  <c r="AD2324" i="6"/>
  <c r="AF2324" i="6" s="1"/>
  <c r="AG2324" i="6" s="1"/>
  <c r="AD2333" i="6"/>
  <c r="AF2333" i="6" s="1"/>
  <c r="AG2333" i="6" s="1"/>
  <c r="AD2342" i="6"/>
  <c r="AF2342" i="6" s="1"/>
  <c r="AG2342" i="6" s="1"/>
  <c r="AD2352" i="6"/>
  <c r="AF2352" i="6" s="1"/>
  <c r="AG2352" i="6" s="1"/>
  <c r="D16" i="6"/>
  <c r="C16" i="6"/>
  <c r="C5" i="6"/>
  <c r="AQ5" i="3"/>
  <c r="AX5" i="3" s="1"/>
  <c r="X5" i="5" s="1"/>
  <c r="AR5" i="3"/>
  <c r="AY5" i="3" s="1"/>
  <c r="Y5" i="5" s="1"/>
  <c r="AS5" i="3"/>
  <c r="AZ5" i="3" s="1"/>
  <c r="Z5" i="5" s="1"/>
  <c r="AT5" i="3"/>
  <c r="BA5" i="3" s="1"/>
  <c r="AA5" i="5" s="1"/>
  <c r="AU5" i="3"/>
  <c r="BB5" i="3" s="1"/>
  <c r="AB5" i="5" s="1"/>
  <c r="AV5" i="3"/>
  <c r="BC5" i="3" s="1"/>
  <c r="AC5" i="5" s="1"/>
  <c r="AQ6" i="3"/>
  <c r="AX6" i="3" s="1"/>
  <c r="X6" i="5" s="1"/>
  <c r="AR6" i="3"/>
  <c r="AY6" i="3" s="1"/>
  <c r="Y6" i="5" s="1"/>
  <c r="AS6" i="3"/>
  <c r="AZ6" i="3" s="1"/>
  <c r="Z6" i="5" s="1"/>
  <c r="AT6" i="3"/>
  <c r="BA6" i="3" s="1"/>
  <c r="AA6" i="5" s="1"/>
  <c r="AU6" i="3"/>
  <c r="BB6" i="3" s="1"/>
  <c r="AB6" i="5" s="1"/>
  <c r="AV6" i="3"/>
  <c r="BC6" i="3" s="1"/>
  <c r="AC6" i="5" s="1"/>
  <c r="AQ7" i="3"/>
  <c r="AX7" i="3" s="1"/>
  <c r="X7" i="5" s="1"/>
  <c r="AR7" i="3"/>
  <c r="AY7" i="3" s="1"/>
  <c r="Y7" i="5" s="1"/>
  <c r="AS7" i="3"/>
  <c r="AZ7" i="3" s="1"/>
  <c r="Z7" i="5" s="1"/>
  <c r="AT7" i="3"/>
  <c r="BA7" i="3" s="1"/>
  <c r="AA7" i="5" s="1"/>
  <c r="AU7" i="3"/>
  <c r="BB7" i="3" s="1"/>
  <c r="AB7" i="5" s="1"/>
  <c r="AV7" i="3"/>
  <c r="BC7" i="3" s="1"/>
  <c r="AC7" i="5" s="1"/>
  <c r="AQ8" i="3"/>
  <c r="AX8" i="3" s="1"/>
  <c r="X8" i="5" s="1"/>
  <c r="AR8" i="3"/>
  <c r="AY8" i="3" s="1"/>
  <c r="Y8" i="5" s="1"/>
  <c r="AS8" i="3"/>
  <c r="AZ8" i="3" s="1"/>
  <c r="Z8" i="5" s="1"/>
  <c r="AT8" i="3"/>
  <c r="BA8" i="3" s="1"/>
  <c r="AA8" i="5" s="1"/>
  <c r="AU8" i="3"/>
  <c r="BB8" i="3" s="1"/>
  <c r="AB8" i="5" s="1"/>
  <c r="AV8" i="3"/>
  <c r="BC8" i="3" s="1"/>
  <c r="AC8" i="5" s="1"/>
  <c r="AQ9" i="3"/>
  <c r="AX9" i="3" s="1"/>
  <c r="X9" i="5" s="1"/>
  <c r="AR9" i="3"/>
  <c r="AY9" i="3" s="1"/>
  <c r="Y9" i="5" s="1"/>
  <c r="AS9" i="3"/>
  <c r="AZ9" i="3" s="1"/>
  <c r="Z9" i="5" s="1"/>
  <c r="AT9" i="3"/>
  <c r="BA9" i="3" s="1"/>
  <c r="AA9" i="5" s="1"/>
  <c r="AU9" i="3"/>
  <c r="BB9" i="3" s="1"/>
  <c r="AB9" i="5" s="1"/>
  <c r="AV9" i="3"/>
  <c r="BC9" i="3" s="1"/>
  <c r="AC9" i="5" s="1"/>
  <c r="AQ10" i="3"/>
  <c r="AX10" i="3" s="1"/>
  <c r="X10" i="5" s="1"/>
  <c r="AR10" i="3"/>
  <c r="AY10" i="3" s="1"/>
  <c r="Y10" i="5" s="1"/>
  <c r="AS10" i="3"/>
  <c r="AZ10" i="3" s="1"/>
  <c r="Z10" i="5" s="1"/>
  <c r="AT10" i="3"/>
  <c r="BA10" i="3" s="1"/>
  <c r="AA10" i="5" s="1"/>
  <c r="AU10" i="3"/>
  <c r="BB10" i="3" s="1"/>
  <c r="AB10" i="5" s="1"/>
  <c r="AV10" i="3"/>
  <c r="BC10" i="3" s="1"/>
  <c r="AC10" i="5" s="1"/>
  <c r="AQ11" i="3"/>
  <c r="AX11" i="3" s="1"/>
  <c r="X11" i="5" s="1"/>
  <c r="AR11" i="3"/>
  <c r="AY11" i="3" s="1"/>
  <c r="Y11" i="5" s="1"/>
  <c r="AS11" i="3"/>
  <c r="AZ11" i="3" s="1"/>
  <c r="Z11" i="5" s="1"/>
  <c r="AT11" i="3"/>
  <c r="BA11" i="3" s="1"/>
  <c r="AA11" i="5" s="1"/>
  <c r="AU11" i="3"/>
  <c r="BB11" i="3" s="1"/>
  <c r="AB11" i="5" s="1"/>
  <c r="AV11" i="3"/>
  <c r="BC11" i="3" s="1"/>
  <c r="AC11" i="5" s="1"/>
  <c r="AQ12" i="3"/>
  <c r="AX12" i="3" s="1"/>
  <c r="X12" i="5" s="1"/>
  <c r="AR12" i="3"/>
  <c r="AY12" i="3" s="1"/>
  <c r="Y12" i="5" s="1"/>
  <c r="AS12" i="3"/>
  <c r="AZ12" i="3" s="1"/>
  <c r="Z12" i="5" s="1"/>
  <c r="AT12" i="3"/>
  <c r="BA12" i="3" s="1"/>
  <c r="AA12" i="5" s="1"/>
  <c r="AU12" i="3"/>
  <c r="BB12" i="3" s="1"/>
  <c r="AB12" i="5" s="1"/>
  <c r="AV12" i="3"/>
  <c r="BC12" i="3" s="1"/>
  <c r="AC12" i="5" s="1"/>
  <c r="AQ13" i="3"/>
  <c r="AX13" i="3" s="1"/>
  <c r="X13" i="5" s="1"/>
  <c r="AR13" i="3"/>
  <c r="AY13" i="3" s="1"/>
  <c r="Y13" i="5" s="1"/>
  <c r="AS13" i="3"/>
  <c r="AZ13" i="3" s="1"/>
  <c r="Z13" i="5" s="1"/>
  <c r="AT13" i="3"/>
  <c r="BA13" i="3" s="1"/>
  <c r="AA13" i="5" s="1"/>
  <c r="AU13" i="3"/>
  <c r="BB13" i="3" s="1"/>
  <c r="AB13" i="5" s="1"/>
  <c r="AV13" i="3"/>
  <c r="BC13" i="3" s="1"/>
  <c r="AC13" i="5" s="1"/>
  <c r="AQ14" i="3"/>
  <c r="AX14" i="3" s="1"/>
  <c r="X14" i="5" s="1"/>
  <c r="AR14" i="3"/>
  <c r="AY14" i="3" s="1"/>
  <c r="Y14" i="5" s="1"/>
  <c r="AS14" i="3"/>
  <c r="AZ14" i="3" s="1"/>
  <c r="Z14" i="5" s="1"/>
  <c r="AT14" i="3"/>
  <c r="BA14" i="3" s="1"/>
  <c r="AA14" i="5" s="1"/>
  <c r="AU14" i="3"/>
  <c r="BB14" i="3" s="1"/>
  <c r="AB14" i="5" s="1"/>
  <c r="AV14" i="3"/>
  <c r="BC14" i="3" s="1"/>
  <c r="AC14" i="5" s="1"/>
  <c r="AQ15" i="3"/>
  <c r="AX15" i="3" s="1"/>
  <c r="X15" i="5" s="1"/>
  <c r="AR15" i="3"/>
  <c r="AY15" i="3" s="1"/>
  <c r="Y15" i="5" s="1"/>
  <c r="AS15" i="3"/>
  <c r="AZ15" i="3" s="1"/>
  <c r="Z15" i="5" s="1"/>
  <c r="AT15" i="3"/>
  <c r="BA15" i="3" s="1"/>
  <c r="AA15" i="5" s="1"/>
  <c r="AU15" i="3"/>
  <c r="BB15" i="3" s="1"/>
  <c r="AB15" i="5" s="1"/>
  <c r="AV15" i="3"/>
  <c r="BC15" i="3" s="1"/>
  <c r="AC15" i="5" s="1"/>
  <c r="AQ16" i="3"/>
  <c r="AX16" i="3" s="1"/>
  <c r="X16" i="5" s="1"/>
  <c r="AR16" i="3"/>
  <c r="AY16" i="3" s="1"/>
  <c r="Y16" i="5" s="1"/>
  <c r="AS16" i="3"/>
  <c r="AZ16" i="3" s="1"/>
  <c r="Z16" i="5" s="1"/>
  <c r="AT16" i="3"/>
  <c r="BA16" i="3" s="1"/>
  <c r="AA16" i="5" s="1"/>
  <c r="AU16" i="3"/>
  <c r="BB16" i="3" s="1"/>
  <c r="AB16" i="5" s="1"/>
  <c r="AV16" i="3"/>
  <c r="BC16" i="3" s="1"/>
  <c r="AC16" i="5" s="1"/>
  <c r="AQ17" i="3"/>
  <c r="AX17" i="3" s="1"/>
  <c r="X17" i="5" s="1"/>
  <c r="AR17" i="3"/>
  <c r="AY17" i="3" s="1"/>
  <c r="Y17" i="5" s="1"/>
  <c r="AS17" i="3"/>
  <c r="AZ17" i="3" s="1"/>
  <c r="Z17" i="5" s="1"/>
  <c r="AT17" i="3"/>
  <c r="BA17" i="3" s="1"/>
  <c r="AA17" i="5" s="1"/>
  <c r="AU17" i="3"/>
  <c r="BB17" i="3" s="1"/>
  <c r="AB17" i="5" s="1"/>
  <c r="AV17" i="3"/>
  <c r="BC17" i="3" s="1"/>
  <c r="AC17" i="5" s="1"/>
  <c r="AQ18" i="3"/>
  <c r="AX18" i="3" s="1"/>
  <c r="X18" i="5" s="1"/>
  <c r="AR18" i="3"/>
  <c r="AY18" i="3" s="1"/>
  <c r="Y18" i="5" s="1"/>
  <c r="AS18" i="3"/>
  <c r="AZ18" i="3" s="1"/>
  <c r="Z18" i="5" s="1"/>
  <c r="AT18" i="3"/>
  <c r="BA18" i="3" s="1"/>
  <c r="AA18" i="5" s="1"/>
  <c r="AU18" i="3"/>
  <c r="BB18" i="3" s="1"/>
  <c r="AB18" i="5" s="1"/>
  <c r="AV18" i="3"/>
  <c r="BC18" i="3" s="1"/>
  <c r="AC18" i="5" s="1"/>
  <c r="AQ19" i="3"/>
  <c r="AX19" i="3" s="1"/>
  <c r="X19" i="5" s="1"/>
  <c r="AR19" i="3"/>
  <c r="AY19" i="3" s="1"/>
  <c r="Y19" i="5" s="1"/>
  <c r="AS19" i="3"/>
  <c r="AZ19" i="3" s="1"/>
  <c r="Z19" i="5" s="1"/>
  <c r="AT19" i="3"/>
  <c r="BA19" i="3" s="1"/>
  <c r="AA19" i="5" s="1"/>
  <c r="AU19" i="3"/>
  <c r="BB19" i="3" s="1"/>
  <c r="AB19" i="5" s="1"/>
  <c r="AV19" i="3"/>
  <c r="BC19" i="3" s="1"/>
  <c r="AC19" i="5" s="1"/>
  <c r="AQ20" i="3"/>
  <c r="AX20" i="3" s="1"/>
  <c r="X20" i="5" s="1"/>
  <c r="AR20" i="3"/>
  <c r="AY20" i="3" s="1"/>
  <c r="Y20" i="5" s="1"/>
  <c r="AS20" i="3"/>
  <c r="AZ20" i="3" s="1"/>
  <c r="Z20" i="5" s="1"/>
  <c r="AT20" i="3"/>
  <c r="BA20" i="3" s="1"/>
  <c r="AA20" i="5" s="1"/>
  <c r="AU20" i="3"/>
  <c r="BB20" i="3" s="1"/>
  <c r="AB20" i="5" s="1"/>
  <c r="AV20" i="3"/>
  <c r="BC20" i="3" s="1"/>
  <c r="AC20" i="5" s="1"/>
  <c r="AQ21" i="3"/>
  <c r="AX21" i="3" s="1"/>
  <c r="X21" i="5" s="1"/>
  <c r="AR21" i="3"/>
  <c r="AY21" i="3" s="1"/>
  <c r="Y21" i="5" s="1"/>
  <c r="AS21" i="3"/>
  <c r="AZ21" i="3" s="1"/>
  <c r="Z21" i="5" s="1"/>
  <c r="AT21" i="3"/>
  <c r="BA21" i="3" s="1"/>
  <c r="AA21" i="5" s="1"/>
  <c r="AU21" i="3"/>
  <c r="BB21" i="3" s="1"/>
  <c r="AB21" i="5" s="1"/>
  <c r="AV21" i="3"/>
  <c r="BC21" i="3" s="1"/>
  <c r="AC21" i="5" s="1"/>
  <c r="AQ22" i="3"/>
  <c r="AX22" i="3" s="1"/>
  <c r="X22" i="5" s="1"/>
  <c r="AR22" i="3"/>
  <c r="AY22" i="3" s="1"/>
  <c r="Y22" i="5" s="1"/>
  <c r="AS22" i="3"/>
  <c r="AZ22" i="3" s="1"/>
  <c r="Z22" i="5" s="1"/>
  <c r="AT22" i="3"/>
  <c r="BA22" i="3" s="1"/>
  <c r="AA22" i="5" s="1"/>
  <c r="AU22" i="3"/>
  <c r="BB22" i="3" s="1"/>
  <c r="AB22" i="5" s="1"/>
  <c r="AV22" i="3"/>
  <c r="BC22" i="3" s="1"/>
  <c r="AC22" i="5" s="1"/>
  <c r="AQ23" i="3"/>
  <c r="AX23" i="3" s="1"/>
  <c r="X23" i="5" s="1"/>
  <c r="AR23" i="3"/>
  <c r="AY23" i="3" s="1"/>
  <c r="Y23" i="5" s="1"/>
  <c r="AS23" i="3"/>
  <c r="AZ23" i="3" s="1"/>
  <c r="Z23" i="5" s="1"/>
  <c r="AT23" i="3"/>
  <c r="BA23" i="3" s="1"/>
  <c r="AA23" i="5" s="1"/>
  <c r="AU23" i="3"/>
  <c r="BB23" i="3" s="1"/>
  <c r="AB23" i="5" s="1"/>
  <c r="AV23" i="3"/>
  <c r="BC23" i="3" s="1"/>
  <c r="AC23" i="5" s="1"/>
  <c r="AQ24" i="3"/>
  <c r="AX24" i="3" s="1"/>
  <c r="X24" i="5" s="1"/>
  <c r="AR24" i="3"/>
  <c r="AY24" i="3" s="1"/>
  <c r="Y24" i="5" s="1"/>
  <c r="AS24" i="3"/>
  <c r="AZ24" i="3" s="1"/>
  <c r="Z24" i="5" s="1"/>
  <c r="AT24" i="3"/>
  <c r="BA24" i="3" s="1"/>
  <c r="AA24" i="5" s="1"/>
  <c r="AU24" i="3"/>
  <c r="BB24" i="3" s="1"/>
  <c r="AB24" i="5" s="1"/>
  <c r="AV24" i="3"/>
  <c r="BC24" i="3" s="1"/>
  <c r="AC24" i="5" s="1"/>
  <c r="AQ25" i="3"/>
  <c r="AX25" i="3" s="1"/>
  <c r="X25" i="5" s="1"/>
  <c r="AR25" i="3"/>
  <c r="AY25" i="3" s="1"/>
  <c r="Y25" i="5" s="1"/>
  <c r="AS25" i="3"/>
  <c r="AZ25" i="3" s="1"/>
  <c r="Z25" i="5" s="1"/>
  <c r="AT25" i="3"/>
  <c r="BA25" i="3" s="1"/>
  <c r="AA25" i="5" s="1"/>
  <c r="AU25" i="3"/>
  <c r="BB25" i="3" s="1"/>
  <c r="AB25" i="5" s="1"/>
  <c r="AV25" i="3"/>
  <c r="BC25" i="3" s="1"/>
  <c r="AC25" i="5" s="1"/>
  <c r="AQ26" i="3"/>
  <c r="AX26" i="3" s="1"/>
  <c r="X26" i="5" s="1"/>
  <c r="AR26" i="3"/>
  <c r="AY26" i="3" s="1"/>
  <c r="Y26" i="5" s="1"/>
  <c r="AS26" i="3"/>
  <c r="AZ26" i="3" s="1"/>
  <c r="Z26" i="5" s="1"/>
  <c r="AT26" i="3"/>
  <c r="BA26" i="3" s="1"/>
  <c r="AA26" i="5" s="1"/>
  <c r="AU26" i="3"/>
  <c r="BB26" i="3" s="1"/>
  <c r="AB26" i="5" s="1"/>
  <c r="AV26" i="3"/>
  <c r="BC26" i="3" s="1"/>
  <c r="AC26" i="5" s="1"/>
  <c r="AQ27" i="3"/>
  <c r="AX27" i="3" s="1"/>
  <c r="X27" i="5" s="1"/>
  <c r="AR27" i="3"/>
  <c r="AY27" i="3" s="1"/>
  <c r="Y27" i="5" s="1"/>
  <c r="AS27" i="3"/>
  <c r="AZ27" i="3" s="1"/>
  <c r="Z27" i="5" s="1"/>
  <c r="AT27" i="3"/>
  <c r="BA27" i="3" s="1"/>
  <c r="AA27" i="5" s="1"/>
  <c r="AU27" i="3"/>
  <c r="BB27" i="3" s="1"/>
  <c r="AB27" i="5" s="1"/>
  <c r="AV27" i="3"/>
  <c r="BC27" i="3" s="1"/>
  <c r="AC27" i="5" s="1"/>
  <c r="AQ28" i="3"/>
  <c r="AX28" i="3" s="1"/>
  <c r="X28" i="5" s="1"/>
  <c r="AR28" i="3"/>
  <c r="AY28" i="3" s="1"/>
  <c r="Y28" i="5" s="1"/>
  <c r="AS28" i="3"/>
  <c r="AZ28" i="3" s="1"/>
  <c r="Z28" i="5" s="1"/>
  <c r="AT28" i="3"/>
  <c r="BA28" i="3" s="1"/>
  <c r="AA28" i="5" s="1"/>
  <c r="AU28" i="3"/>
  <c r="BB28" i="3" s="1"/>
  <c r="AB28" i="5" s="1"/>
  <c r="AV28" i="3"/>
  <c r="BC28" i="3" s="1"/>
  <c r="AC28" i="5" s="1"/>
  <c r="AQ29" i="3"/>
  <c r="AX29" i="3" s="1"/>
  <c r="X29" i="5" s="1"/>
  <c r="AR29" i="3"/>
  <c r="AY29" i="3" s="1"/>
  <c r="Y29" i="5" s="1"/>
  <c r="AS29" i="3"/>
  <c r="AZ29" i="3" s="1"/>
  <c r="Z29" i="5" s="1"/>
  <c r="AT29" i="3"/>
  <c r="BA29" i="3" s="1"/>
  <c r="AA29" i="5" s="1"/>
  <c r="AU29" i="3"/>
  <c r="BB29" i="3" s="1"/>
  <c r="AB29" i="5" s="1"/>
  <c r="AV29" i="3"/>
  <c r="BC29" i="3" s="1"/>
  <c r="AC29" i="5" s="1"/>
  <c r="AQ30" i="3"/>
  <c r="AX30" i="3" s="1"/>
  <c r="X30" i="5" s="1"/>
  <c r="AR30" i="3"/>
  <c r="AY30" i="3" s="1"/>
  <c r="Y30" i="5" s="1"/>
  <c r="AS30" i="3"/>
  <c r="AZ30" i="3" s="1"/>
  <c r="Z30" i="5" s="1"/>
  <c r="AT30" i="3"/>
  <c r="BA30" i="3" s="1"/>
  <c r="AA30" i="5" s="1"/>
  <c r="AU30" i="3"/>
  <c r="BB30" i="3" s="1"/>
  <c r="AB30" i="5" s="1"/>
  <c r="AV30" i="3"/>
  <c r="BC30" i="3" s="1"/>
  <c r="AC30" i="5" s="1"/>
  <c r="AQ31" i="3"/>
  <c r="AX31" i="3" s="1"/>
  <c r="X31" i="5" s="1"/>
  <c r="AR31" i="3"/>
  <c r="AY31" i="3" s="1"/>
  <c r="Y31" i="5" s="1"/>
  <c r="AS31" i="3"/>
  <c r="AZ31" i="3" s="1"/>
  <c r="Z31" i="5" s="1"/>
  <c r="AT31" i="3"/>
  <c r="BA31" i="3" s="1"/>
  <c r="AA31" i="5" s="1"/>
  <c r="AU31" i="3"/>
  <c r="BB31" i="3" s="1"/>
  <c r="AB31" i="5" s="1"/>
  <c r="AV31" i="3"/>
  <c r="BC31" i="3" s="1"/>
  <c r="AC31" i="5" s="1"/>
  <c r="AQ32" i="3"/>
  <c r="AX32" i="3" s="1"/>
  <c r="X32" i="5" s="1"/>
  <c r="AR32" i="3"/>
  <c r="AY32" i="3" s="1"/>
  <c r="Y32" i="5" s="1"/>
  <c r="AS32" i="3"/>
  <c r="AZ32" i="3" s="1"/>
  <c r="Z32" i="5" s="1"/>
  <c r="AT32" i="3"/>
  <c r="BA32" i="3" s="1"/>
  <c r="AA32" i="5" s="1"/>
  <c r="AU32" i="3"/>
  <c r="BB32" i="3" s="1"/>
  <c r="AB32" i="5" s="1"/>
  <c r="AV32" i="3"/>
  <c r="BC32" i="3" s="1"/>
  <c r="AC32" i="5" s="1"/>
  <c r="AQ33" i="3"/>
  <c r="AX33" i="3" s="1"/>
  <c r="X33" i="5" s="1"/>
  <c r="AR33" i="3"/>
  <c r="AY33" i="3" s="1"/>
  <c r="Y33" i="5" s="1"/>
  <c r="AS33" i="3"/>
  <c r="AZ33" i="3" s="1"/>
  <c r="Z33" i="5" s="1"/>
  <c r="AT33" i="3"/>
  <c r="BA33" i="3" s="1"/>
  <c r="AA33" i="5" s="1"/>
  <c r="AU33" i="3"/>
  <c r="BB33" i="3" s="1"/>
  <c r="AB33" i="5" s="1"/>
  <c r="AV33" i="3"/>
  <c r="BC33" i="3" s="1"/>
  <c r="AC33" i="5" s="1"/>
  <c r="AQ34" i="3"/>
  <c r="AX34" i="3" s="1"/>
  <c r="X34" i="5" s="1"/>
  <c r="AR34" i="3"/>
  <c r="AY34" i="3" s="1"/>
  <c r="Y34" i="5" s="1"/>
  <c r="AS34" i="3"/>
  <c r="AZ34" i="3" s="1"/>
  <c r="Z34" i="5" s="1"/>
  <c r="AT34" i="3"/>
  <c r="BA34" i="3" s="1"/>
  <c r="AA34" i="5" s="1"/>
  <c r="AU34" i="3"/>
  <c r="BB34" i="3" s="1"/>
  <c r="AB34" i="5" s="1"/>
  <c r="AV34" i="3"/>
  <c r="BC34" i="3" s="1"/>
  <c r="AC34" i="5" s="1"/>
  <c r="AQ35" i="3"/>
  <c r="AX35" i="3" s="1"/>
  <c r="X35" i="5" s="1"/>
  <c r="AR35" i="3"/>
  <c r="AY35" i="3" s="1"/>
  <c r="Y35" i="5" s="1"/>
  <c r="AS35" i="3"/>
  <c r="AZ35" i="3" s="1"/>
  <c r="Z35" i="5" s="1"/>
  <c r="AT35" i="3"/>
  <c r="BA35" i="3" s="1"/>
  <c r="AA35" i="5" s="1"/>
  <c r="AU35" i="3"/>
  <c r="BB35" i="3" s="1"/>
  <c r="AB35" i="5" s="1"/>
  <c r="AV35" i="3"/>
  <c r="BC35" i="3" s="1"/>
  <c r="AC35" i="5" s="1"/>
  <c r="AQ36" i="3"/>
  <c r="AX36" i="3" s="1"/>
  <c r="X36" i="5" s="1"/>
  <c r="AR36" i="3"/>
  <c r="AY36" i="3" s="1"/>
  <c r="Y36" i="5" s="1"/>
  <c r="AS36" i="3"/>
  <c r="AZ36" i="3" s="1"/>
  <c r="Z36" i="5" s="1"/>
  <c r="AT36" i="3"/>
  <c r="BA36" i="3" s="1"/>
  <c r="AA36" i="5" s="1"/>
  <c r="AU36" i="3"/>
  <c r="BB36" i="3" s="1"/>
  <c r="AB36" i="5" s="1"/>
  <c r="AV36" i="3"/>
  <c r="BC36" i="3" s="1"/>
  <c r="AC36" i="5" s="1"/>
  <c r="AQ37" i="3"/>
  <c r="AX37" i="3" s="1"/>
  <c r="X37" i="5" s="1"/>
  <c r="AR37" i="3"/>
  <c r="AY37" i="3" s="1"/>
  <c r="Y37" i="5" s="1"/>
  <c r="AS37" i="3"/>
  <c r="AZ37" i="3" s="1"/>
  <c r="Z37" i="5" s="1"/>
  <c r="AT37" i="3"/>
  <c r="BA37" i="3" s="1"/>
  <c r="AA37" i="5" s="1"/>
  <c r="AU37" i="3"/>
  <c r="BB37" i="3" s="1"/>
  <c r="AB37" i="5" s="1"/>
  <c r="AV37" i="3"/>
  <c r="BC37" i="3" s="1"/>
  <c r="AC37" i="5" s="1"/>
  <c r="AQ38" i="3"/>
  <c r="AX38" i="3" s="1"/>
  <c r="X38" i="5" s="1"/>
  <c r="AR38" i="3"/>
  <c r="AY38" i="3" s="1"/>
  <c r="Y38" i="5" s="1"/>
  <c r="AS38" i="3"/>
  <c r="AZ38" i="3" s="1"/>
  <c r="Z38" i="5" s="1"/>
  <c r="AT38" i="3"/>
  <c r="BA38" i="3" s="1"/>
  <c r="AA38" i="5" s="1"/>
  <c r="AU38" i="3"/>
  <c r="BB38" i="3" s="1"/>
  <c r="AB38" i="5" s="1"/>
  <c r="AV38" i="3"/>
  <c r="BC38" i="3" s="1"/>
  <c r="AC38" i="5" s="1"/>
  <c r="AQ39" i="3"/>
  <c r="AX39" i="3" s="1"/>
  <c r="X39" i="5" s="1"/>
  <c r="AR39" i="3"/>
  <c r="AY39" i="3" s="1"/>
  <c r="Y39" i="5" s="1"/>
  <c r="AS39" i="3"/>
  <c r="AZ39" i="3" s="1"/>
  <c r="Z39" i="5" s="1"/>
  <c r="AT39" i="3"/>
  <c r="BA39" i="3" s="1"/>
  <c r="AA39" i="5" s="1"/>
  <c r="AU39" i="3"/>
  <c r="BB39" i="3" s="1"/>
  <c r="AB39" i="5" s="1"/>
  <c r="AV39" i="3"/>
  <c r="BC39" i="3" s="1"/>
  <c r="AC39" i="5" s="1"/>
  <c r="AQ40" i="3"/>
  <c r="AX40" i="3" s="1"/>
  <c r="X40" i="5" s="1"/>
  <c r="AR40" i="3"/>
  <c r="AY40" i="3" s="1"/>
  <c r="Y40" i="5" s="1"/>
  <c r="AS40" i="3"/>
  <c r="AZ40" i="3" s="1"/>
  <c r="Z40" i="5" s="1"/>
  <c r="AT40" i="3"/>
  <c r="BA40" i="3" s="1"/>
  <c r="AA40" i="5" s="1"/>
  <c r="AU40" i="3"/>
  <c r="BB40" i="3" s="1"/>
  <c r="AB40" i="5" s="1"/>
  <c r="AV40" i="3"/>
  <c r="BC40" i="3" s="1"/>
  <c r="AC40" i="5" s="1"/>
  <c r="AQ41" i="3"/>
  <c r="AX41" i="3" s="1"/>
  <c r="X41" i="5" s="1"/>
  <c r="AR41" i="3"/>
  <c r="AY41" i="3" s="1"/>
  <c r="Y41" i="5" s="1"/>
  <c r="AS41" i="3"/>
  <c r="AZ41" i="3" s="1"/>
  <c r="Z41" i="5" s="1"/>
  <c r="AT41" i="3"/>
  <c r="BA41" i="3" s="1"/>
  <c r="AA41" i="5" s="1"/>
  <c r="AU41" i="3"/>
  <c r="BB41" i="3" s="1"/>
  <c r="AB41" i="5" s="1"/>
  <c r="AV41" i="3"/>
  <c r="BC41" i="3" s="1"/>
  <c r="AC41" i="5" s="1"/>
  <c r="AQ42" i="3"/>
  <c r="AX42" i="3" s="1"/>
  <c r="X42" i="5" s="1"/>
  <c r="AR42" i="3"/>
  <c r="AY42" i="3" s="1"/>
  <c r="Y42" i="5" s="1"/>
  <c r="AS42" i="3"/>
  <c r="AZ42" i="3" s="1"/>
  <c r="Z42" i="5" s="1"/>
  <c r="AT42" i="3"/>
  <c r="BA42" i="3" s="1"/>
  <c r="AA42" i="5" s="1"/>
  <c r="AU42" i="3"/>
  <c r="BB42" i="3" s="1"/>
  <c r="AB42" i="5" s="1"/>
  <c r="AV42" i="3"/>
  <c r="BC42" i="3" s="1"/>
  <c r="AC42" i="5" s="1"/>
  <c r="AQ43" i="3"/>
  <c r="AX43" i="3" s="1"/>
  <c r="X43" i="5" s="1"/>
  <c r="AR43" i="3"/>
  <c r="AY43" i="3" s="1"/>
  <c r="Y43" i="5" s="1"/>
  <c r="AS43" i="3"/>
  <c r="AZ43" i="3" s="1"/>
  <c r="Z43" i="5" s="1"/>
  <c r="AT43" i="3"/>
  <c r="BA43" i="3" s="1"/>
  <c r="AA43" i="5" s="1"/>
  <c r="AU43" i="3"/>
  <c r="BB43" i="3" s="1"/>
  <c r="AB43" i="5" s="1"/>
  <c r="AV43" i="3"/>
  <c r="BC43" i="3" s="1"/>
  <c r="AC43" i="5" s="1"/>
  <c r="AQ44" i="3"/>
  <c r="AX44" i="3" s="1"/>
  <c r="X44" i="5" s="1"/>
  <c r="AR44" i="3"/>
  <c r="AY44" i="3" s="1"/>
  <c r="Y44" i="5" s="1"/>
  <c r="AS44" i="3"/>
  <c r="AZ44" i="3" s="1"/>
  <c r="Z44" i="5" s="1"/>
  <c r="AT44" i="3"/>
  <c r="BA44" i="3" s="1"/>
  <c r="AA44" i="5" s="1"/>
  <c r="AU44" i="3"/>
  <c r="BB44" i="3" s="1"/>
  <c r="AB44" i="5" s="1"/>
  <c r="AV44" i="3"/>
  <c r="BC44" i="3" s="1"/>
  <c r="AC44" i="5" s="1"/>
  <c r="AQ45" i="3"/>
  <c r="AX45" i="3" s="1"/>
  <c r="X45" i="5" s="1"/>
  <c r="AR45" i="3"/>
  <c r="AY45" i="3" s="1"/>
  <c r="Y45" i="5" s="1"/>
  <c r="AS45" i="3"/>
  <c r="AZ45" i="3" s="1"/>
  <c r="Z45" i="5" s="1"/>
  <c r="AT45" i="3"/>
  <c r="BA45" i="3" s="1"/>
  <c r="AA45" i="5" s="1"/>
  <c r="AU45" i="3"/>
  <c r="BB45" i="3" s="1"/>
  <c r="AB45" i="5" s="1"/>
  <c r="AV45" i="3"/>
  <c r="BC45" i="3" s="1"/>
  <c r="AC45" i="5" s="1"/>
  <c r="AQ46" i="3"/>
  <c r="AX46" i="3" s="1"/>
  <c r="X46" i="5" s="1"/>
  <c r="AR46" i="3"/>
  <c r="AY46" i="3" s="1"/>
  <c r="Y46" i="5" s="1"/>
  <c r="AS46" i="3"/>
  <c r="AZ46" i="3" s="1"/>
  <c r="Z46" i="5" s="1"/>
  <c r="AT46" i="3"/>
  <c r="BA46" i="3" s="1"/>
  <c r="AA46" i="5" s="1"/>
  <c r="AU46" i="3"/>
  <c r="BB46" i="3" s="1"/>
  <c r="AB46" i="5" s="1"/>
  <c r="AV46" i="3"/>
  <c r="BC46" i="3" s="1"/>
  <c r="AC46" i="5" s="1"/>
  <c r="AQ47" i="3"/>
  <c r="AX47" i="3" s="1"/>
  <c r="X47" i="5" s="1"/>
  <c r="AR47" i="3"/>
  <c r="AY47" i="3" s="1"/>
  <c r="Y47" i="5" s="1"/>
  <c r="AS47" i="3"/>
  <c r="AZ47" i="3" s="1"/>
  <c r="Z47" i="5" s="1"/>
  <c r="AT47" i="3"/>
  <c r="BA47" i="3" s="1"/>
  <c r="AA47" i="5" s="1"/>
  <c r="AU47" i="3"/>
  <c r="BB47" i="3" s="1"/>
  <c r="AB47" i="5" s="1"/>
  <c r="AV47" i="3"/>
  <c r="BC47" i="3" s="1"/>
  <c r="AC47" i="5" s="1"/>
  <c r="AQ48" i="3"/>
  <c r="AX48" i="3" s="1"/>
  <c r="X48" i="5" s="1"/>
  <c r="AR48" i="3"/>
  <c r="AY48" i="3" s="1"/>
  <c r="Y48" i="5" s="1"/>
  <c r="AS48" i="3"/>
  <c r="AZ48" i="3" s="1"/>
  <c r="Z48" i="5" s="1"/>
  <c r="AT48" i="3"/>
  <c r="BA48" i="3" s="1"/>
  <c r="AA48" i="5" s="1"/>
  <c r="AU48" i="3"/>
  <c r="BB48" i="3" s="1"/>
  <c r="AB48" i="5" s="1"/>
  <c r="AV48" i="3"/>
  <c r="BC48" i="3" s="1"/>
  <c r="AC48" i="5" s="1"/>
  <c r="AQ49" i="3"/>
  <c r="AX49" i="3" s="1"/>
  <c r="X49" i="5" s="1"/>
  <c r="AR49" i="3"/>
  <c r="AY49" i="3" s="1"/>
  <c r="Y49" i="5" s="1"/>
  <c r="AS49" i="3"/>
  <c r="AZ49" i="3" s="1"/>
  <c r="Z49" i="5" s="1"/>
  <c r="AT49" i="3"/>
  <c r="BA49" i="3" s="1"/>
  <c r="AA49" i="5" s="1"/>
  <c r="AU49" i="3"/>
  <c r="BB49" i="3" s="1"/>
  <c r="AB49" i="5" s="1"/>
  <c r="AV49" i="3"/>
  <c r="BC49" i="3" s="1"/>
  <c r="AC49" i="5" s="1"/>
  <c r="AQ50" i="3"/>
  <c r="AX50" i="3" s="1"/>
  <c r="X50" i="5" s="1"/>
  <c r="AR50" i="3"/>
  <c r="AY50" i="3" s="1"/>
  <c r="Y50" i="5" s="1"/>
  <c r="AS50" i="3"/>
  <c r="AZ50" i="3" s="1"/>
  <c r="Z50" i="5" s="1"/>
  <c r="AT50" i="3"/>
  <c r="BA50" i="3" s="1"/>
  <c r="AA50" i="5" s="1"/>
  <c r="AU50" i="3"/>
  <c r="BB50" i="3" s="1"/>
  <c r="AB50" i="5" s="1"/>
  <c r="AV50" i="3"/>
  <c r="BC50" i="3" s="1"/>
  <c r="AC50" i="5" s="1"/>
  <c r="AQ51" i="3"/>
  <c r="AX51" i="3" s="1"/>
  <c r="X51" i="5" s="1"/>
  <c r="AR51" i="3"/>
  <c r="AY51" i="3" s="1"/>
  <c r="Y51" i="5" s="1"/>
  <c r="AS51" i="3"/>
  <c r="AZ51" i="3" s="1"/>
  <c r="Z51" i="5" s="1"/>
  <c r="AT51" i="3"/>
  <c r="BA51" i="3" s="1"/>
  <c r="AA51" i="5" s="1"/>
  <c r="AU51" i="3"/>
  <c r="BB51" i="3" s="1"/>
  <c r="AB51" i="5" s="1"/>
  <c r="AV51" i="3"/>
  <c r="BC51" i="3" s="1"/>
  <c r="AC51" i="5" s="1"/>
  <c r="AQ52" i="3"/>
  <c r="AX52" i="3" s="1"/>
  <c r="X52" i="5" s="1"/>
  <c r="AR52" i="3"/>
  <c r="AY52" i="3" s="1"/>
  <c r="Y52" i="5" s="1"/>
  <c r="AS52" i="3"/>
  <c r="AZ52" i="3" s="1"/>
  <c r="Z52" i="5" s="1"/>
  <c r="AT52" i="3"/>
  <c r="BA52" i="3" s="1"/>
  <c r="AA52" i="5" s="1"/>
  <c r="AU52" i="3"/>
  <c r="BB52" i="3" s="1"/>
  <c r="AB52" i="5" s="1"/>
  <c r="AV52" i="3"/>
  <c r="BC52" i="3" s="1"/>
  <c r="AC52" i="5" s="1"/>
  <c r="AQ53" i="3"/>
  <c r="AX53" i="3" s="1"/>
  <c r="X53" i="5" s="1"/>
  <c r="AR53" i="3"/>
  <c r="AY53" i="3" s="1"/>
  <c r="Y53" i="5" s="1"/>
  <c r="AS53" i="3"/>
  <c r="AZ53" i="3" s="1"/>
  <c r="Z53" i="5" s="1"/>
  <c r="AT53" i="3"/>
  <c r="BA53" i="3" s="1"/>
  <c r="AA53" i="5" s="1"/>
  <c r="AU53" i="3"/>
  <c r="BB53" i="3" s="1"/>
  <c r="AB53" i="5" s="1"/>
  <c r="AV53" i="3"/>
  <c r="BC53" i="3" s="1"/>
  <c r="AC53" i="5" s="1"/>
  <c r="AQ54" i="3"/>
  <c r="AX54" i="3" s="1"/>
  <c r="X54" i="5" s="1"/>
  <c r="AR54" i="3"/>
  <c r="AY54" i="3" s="1"/>
  <c r="Y54" i="5" s="1"/>
  <c r="AS54" i="3"/>
  <c r="AZ54" i="3" s="1"/>
  <c r="Z54" i="5" s="1"/>
  <c r="AT54" i="3"/>
  <c r="BA54" i="3" s="1"/>
  <c r="AA54" i="5" s="1"/>
  <c r="AU54" i="3"/>
  <c r="BB54" i="3" s="1"/>
  <c r="AB54" i="5" s="1"/>
  <c r="AV54" i="3"/>
  <c r="BC54" i="3" s="1"/>
  <c r="AC54" i="5" s="1"/>
  <c r="AQ55" i="3"/>
  <c r="AX55" i="3" s="1"/>
  <c r="X55" i="5" s="1"/>
  <c r="AR55" i="3"/>
  <c r="AY55" i="3" s="1"/>
  <c r="Y55" i="5" s="1"/>
  <c r="AS55" i="3"/>
  <c r="AZ55" i="3" s="1"/>
  <c r="Z55" i="5" s="1"/>
  <c r="AT55" i="3"/>
  <c r="BA55" i="3" s="1"/>
  <c r="AA55" i="5" s="1"/>
  <c r="AU55" i="3"/>
  <c r="BB55" i="3" s="1"/>
  <c r="AB55" i="5" s="1"/>
  <c r="AV55" i="3"/>
  <c r="BC55" i="3" s="1"/>
  <c r="AC55" i="5" s="1"/>
  <c r="AQ56" i="3"/>
  <c r="AX56" i="3" s="1"/>
  <c r="X56" i="5" s="1"/>
  <c r="AR56" i="3"/>
  <c r="AY56" i="3" s="1"/>
  <c r="Y56" i="5" s="1"/>
  <c r="AS56" i="3"/>
  <c r="AZ56" i="3" s="1"/>
  <c r="Z56" i="5" s="1"/>
  <c r="AT56" i="3"/>
  <c r="BA56" i="3" s="1"/>
  <c r="AA56" i="5" s="1"/>
  <c r="AU56" i="3"/>
  <c r="BB56" i="3" s="1"/>
  <c r="AB56" i="5" s="1"/>
  <c r="AV56" i="3"/>
  <c r="BC56" i="3" s="1"/>
  <c r="AC56" i="5" s="1"/>
  <c r="AQ57" i="3"/>
  <c r="AX57" i="3" s="1"/>
  <c r="X57" i="5" s="1"/>
  <c r="AR57" i="3"/>
  <c r="AY57" i="3" s="1"/>
  <c r="Y57" i="5" s="1"/>
  <c r="AS57" i="3"/>
  <c r="AZ57" i="3" s="1"/>
  <c r="Z57" i="5" s="1"/>
  <c r="AT57" i="3"/>
  <c r="BA57" i="3" s="1"/>
  <c r="AA57" i="5" s="1"/>
  <c r="AU57" i="3"/>
  <c r="BB57" i="3" s="1"/>
  <c r="AB57" i="5" s="1"/>
  <c r="AV57" i="3"/>
  <c r="BC57" i="3" s="1"/>
  <c r="AC57" i="5" s="1"/>
  <c r="AQ58" i="3"/>
  <c r="AX58" i="3" s="1"/>
  <c r="X58" i="5" s="1"/>
  <c r="AR58" i="3"/>
  <c r="AY58" i="3" s="1"/>
  <c r="Y58" i="5" s="1"/>
  <c r="AS58" i="3"/>
  <c r="AZ58" i="3" s="1"/>
  <c r="Z58" i="5" s="1"/>
  <c r="AT58" i="3"/>
  <c r="BA58" i="3" s="1"/>
  <c r="AA58" i="5" s="1"/>
  <c r="AU58" i="3"/>
  <c r="BB58" i="3" s="1"/>
  <c r="AB58" i="5" s="1"/>
  <c r="AV58" i="3"/>
  <c r="BC58" i="3" s="1"/>
  <c r="AC58" i="5" s="1"/>
  <c r="AQ59" i="3"/>
  <c r="AX59" i="3" s="1"/>
  <c r="X59" i="5" s="1"/>
  <c r="AR59" i="3"/>
  <c r="AY59" i="3" s="1"/>
  <c r="Y59" i="5" s="1"/>
  <c r="AS59" i="3"/>
  <c r="AZ59" i="3" s="1"/>
  <c r="Z59" i="5" s="1"/>
  <c r="AT59" i="3"/>
  <c r="BA59" i="3" s="1"/>
  <c r="AA59" i="5" s="1"/>
  <c r="AU59" i="3"/>
  <c r="BB59" i="3" s="1"/>
  <c r="AB59" i="5" s="1"/>
  <c r="AV59" i="3"/>
  <c r="BC59" i="3" s="1"/>
  <c r="AC59" i="5" s="1"/>
  <c r="AQ60" i="3"/>
  <c r="AX60" i="3" s="1"/>
  <c r="X60" i="5" s="1"/>
  <c r="AR60" i="3"/>
  <c r="AY60" i="3" s="1"/>
  <c r="Y60" i="5" s="1"/>
  <c r="AS60" i="3"/>
  <c r="AZ60" i="3" s="1"/>
  <c r="Z60" i="5" s="1"/>
  <c r="AT60" i="3"/>
  <c r="BA60" i="3" s="1"/>
  <c r="AA60" i="5" s="1"/>
  <c r="AU60" i="3"/>
  <c r="BB60" i="3" s="1"/>
  <c r="AB60" i="5" s="1"/>
  <c r="AV60" i="3"/>
  <c r="BC60" i="3" s="1"/>
  <c r="AC60" i="5" s="1"/>
  <c r="AQ61" i="3"/>
  <c r="AX61" i="3" s="1"/>
  <c r="X61" i="5" s="1"/>
  <c r="AR61" i="3"/>
  <c r="AY61" i="3" s="1"/>
  <c r="Y61" i="5" s="1"/>
  <c r="AS61" i="3"/>
  <c r="AZ61" i="3" s="1"/>
  <c r="Z61" i="5" s="1"/>
  <c r="AT61" i="3"/>
  <c r="BA61" i="3" s="1"/>
  <c r="AA61" i="5" s="1"/>
  <c r="AU61" i="3"/>
  <c r="BB61" i="3" s="1"/>
  <c r="AB61" i="5" s="1"/>
  <c r="AV61" i="3"/>
  <c r="BC61" i="3" s="1"/>
  <c r="AC61" i="5" s="1"/>
  <c r="AQ62" i="3"/>
  <c r="AX62" i="3" s="1"/>
  <c r="X62" i="5" s="1"/>
  <c r="AR62" i="3"/>
  <c r="AY62" i="3" s="1"/>
  <c r="Y62" i="5" s="1"/>
  <c r="AS62" i="3"/>
  <c r="AZ62" i="3" s="1"/>
  <c r="Z62" i="5" s="1"/>
  <c r="AT62" i="3"/>
  <c r="BA62" i="3" s="1"/>
  <c r="AA62" i="5" s="1"/>
  <c r="AU62" i="3"/>
  <c r="BB62" i="3" s="1"/>
  <c r="AB62" i="5" s="1"/>
  <c r="AV62" i="3"/>
  <c r="BC62" i="3" s="1"/>
  <c r="AC62" i="5" s="1"/>
  <c r="AQ63" i="3"/>
  <c r="AX63" i="3" s="1"/>
  <c r="X63" i="5" s="1"/>
  <c r="AR63" i="3"/>
  <c r="AY63" i="3" s="1"/>
  <c r="Y63" i="5" s="1"/>
  <c r="AS63" i="3"/>
  <c r="AZ63" i="3" s="1"/>
  <c r="Z63" i="5" s="1"/>
  <c r="AT63" i="3"/>
  <c r="BA63" i="3" s="1"/>
  <c r="AA63" i="5" s="1"/>
  <c r="AU63" i="3"/>
  <c r="BB63" i="3" s="1"/>
  <c r="AB63" i="5" s="1"/>
  <c r="AV63" i="3"/>
  <c r="BC63" i="3" s="1"/>
  <c r="AC63" i="5" s="1"/>
  <c r="AQ64" i="3"/>
  <c r="AX64" i="3" s="1"/>
  <c r="X64" i="5" s="1"/>
  <c r="AR64" i="3"/>
  <c r="AY64" i="3" s="1"/>
  <c r="Y64" i="5" s="1"/>
  <c r="AS64" i="3"/>
  <c r="AZ64" i="3" s="1"/>
  <c r="Z64" i="5" s="1"/>
  <c r="AT64" i="3"/>
  <c r="BA64" i="3" s="1"/>
  <c r="AA64" i="5" s="1"/>
  <c r="AU64" i="3"/>
  <c r="BB64" i="3" s="1"/>
  <c r="AB64" i="5" s="1"/>
  <c r="AV64" i="3"/>
  <c r="BC64" i="3" s="1"/>
  <c r="AC64" i="5" s="1"/>
  <c r="AQ65" i="3"/>
  <c r="AX65" i="3" s="1"/>
  <c r="X65" i="5" s="1"/>
  <c r="AR65" i="3"/>
  <c r="AY65" i="3" s="1"/>
  <c r="Y65" i="5" s="1"/>
  <c r="AS65" i="3"/>
  <c r="AZ65" i="3" s="1"/>
  <c r="Z65" i="5" s="1"/>
  <c r="AT65" i="3"/>
  <c r="BA65" i="3" s="1"/>
  <c r="AA65" i="5" s="1"/>
  <c r="AU65" i="3"/>
  <c r="BB65" i="3" s="1"/>
  <c r="AB65" i="5" s="1"/>
  <c r="AV65" i="3"/>
  <c r="BC65" i="3" s="1"/>
  <c r="AC65" i="5" s="1"/>
  <c r="AQ66" i="3"/>
  <c r="AX66" i="3" s="1"/>
  <c r="X66" i="5" s="1"/>
  <c r="AR66" i="3"/>
  <c r="AY66" i="3" s="1"/>
  <c r="Y66" i="5" s="1"/>
  <c r="AS66" i="3"/>
  <c r="AZ66" i="3" s="1"/>
  <c r="Z66" i="5" s="1"/>
  <c r="AT66" i="3"/>
  <c r="BA66" i="3" s="1"/>
  <c r="AA66" i="5" s="1"/>
  <c r="AU66" i="3"/>
  <c r="BB66" i="3" s="1"/>
  <c r="AB66" i="5" s="1"/>
  <c r="AV66" i="3"/>
  <c r="BC66" i="3" s="1"/>
  <c r="AC66" i="5" s="1"/>
  <c r="AQ67" i="3"/>
  <c r="AX67" i="3" s="1"/>
  <c r="X67" i="5" s="1"/>
  <c r="AR67" i="3"/>
  <c r="AY67" i="3" s="1"/>
  <c r="Y67" i="5" s="1"/>
  <c r="AS67" i="3"/>
  <c r="AZ67" i="3" s="1"/>
  <c r="Z67" i="5" s="1"/>
  <c r="AT67" i="3"/>
  <c r="BA67" i="3" s="1"/>
  <c r="AA67" i="5" s="1"/>
  <c r="AU67" i="3"/>
  <c r="BB67" i="3" s="1"/>
  <c r="AB67" i="5" s="1"/>
  <c r="AV67" i="3"/>
  <c r="BC67" i="3" s="1"/>
  <c r="AC67" i="5" s="1"/>
  <c r="AQ68" i="3"/>
  <c r="AX68" i="3" s="1"/>
  <c r="X68" i="5" s="1"/>
  <c r="AR68" i="3"/>
  <c r="AY68" i="3" s="1"/>
  <c r="Y68" i="5" s="1"/>
  <c r="AS68" i="3"/>
  <c r="AZ68" i="3" s="1"/>
  <c r="Z68" i="5" s="1"/>
  <c r="AT68" i="3"/>
  <c r="BA68" i="3" s="1"/>
  <c r="AA68" i="5" s="1"/>
  <c r="AU68" i="3"/>
  <c r="BB68" i="3" s="1"/>
  <c r="AB68" i="5" s="1"/>
  <c r="AV68" i="3"/>
  <c r="BC68" i="3" s="1"/>
  <c r="AC68" i="5" s="1"/>
  <c r="AQ69" i="3"/>
  <c r="AX69" i="3" s="1"/>
  <c r="X69" i="5" s="1"/>
  <c r="AR69" i="3"/>
  <c r="AY69" i="3" s="1"/>
  <c r="Y69" i="5" s="1"/>
  <c r="AS69" i="3"/>
  <c r="AZ69" i="3" s="1"/>
  <c r="Z69" i="5" s="1"/>
  <c r="AT69" i="3"/>
  <c r="BA69" i="3" s="1"/>
  <c r="AA69" i="5" s="1"/>
  <c r="AU69" i="3"/>
  <c r="BB69" i="3" s="1"/>
  <c r="AB69" i="5" s="1"/>
  <c r="AV69" i="3"/>
  <c r="BC69" i="3" s="1"/>
  <c r="AC69" i="5" s="1"/>
  <c r="AQ70" i="3"/>
  <c r="AX70" i="3" s="1"/>
  <c r="X70" i="5" s="1"/>
  <c r="AR70" i="3"/>
  <c r="AY70" i="3" s="1"/>
  <c r="Y70" i="5" s="1"/>
  <c r="AS70" i="3"/>
  <c r="AZ70" i="3" s="1"/>
  <c r="Z70" i="5" s="1"/>
  <c r="AT70" i="3"/>
  <c r="BA70" i="3" s="1"/>
  <c r="AA70" i="5" s="1"/>
  <c r="AU70" i="3"/>
  <c r="BB70" i="3" s="1"/>
  <c r="AB70" i="5" s="1"/>
  <c r="AV70" i="3"/>
  <c r="BC70" i="3" s="1"/>
  <c r="AC70" i="5" s="1"/>
  <c r="AQ71" i="3"/>
  <c r="AX71" i="3" s="1"/>
  <c r="X71" i="5" s="1"/>
  <c r="AR71" i="3"/>
  <c r="AY71" i="3" s="1"/>
  <c r="Y71" i="5" s="1"/>
  <c r="AS71" i="3"/>
  <c r="AZ71" i="3" s="1"/>
  <c r="Z71" i="5" s="1"/>
  <c r="AT71" i="3"/>
  <c r="BA71" i="3" s="1"/>
  <c r="AA71" i="5" s="1"/>
  <c r="AU71" i="3"/>
  <c r="BB71" i="3" s="1"/>
  <c r="AB71" i="5" s="1"/>
  <c r="AV71" i="3"/>
  <c r="BC71" i="3" s="1"/>
  <c r="AC71" i="5" s="1"/>
  <c r="AQ72" i="3"/>
  <c r="AX72" i="3" s="1"/>
  <c r="X72" i="5" s="1"/>
  <c r="AR72" i="3"/>
  <c r="AY72" i="3" s="1"/>
  <c r="Y72" i="5" s="1"/>
  <c r="AS72" i="3"/>
  <c r="AZ72" i="3" s="1"/>
  <c r="Z72" i="5" s="1"/>
  <c r="AT72" i="3"/>
  <c r="BA72" i="3" s="1"/>
  <c r="AA72" i="5" s="1"/>
  <c r="AU72" i="3"/>
  <c r="BB72" i="3" s="1"/>
  <c r="AB72" i="5" s="1"/>
  <c r="AV72" i="3"/>
  <c r="BC72" i="3" s="1"/>
  <c r="AC72" i="5" s="1"/>
  <c r="AQ73" i="3"/>
  <c r="AX73" i="3" s="1"/>
  <c r="X73" i="5" s="1"/>
  <c r="AR73" i="3"/>
  <c r="AY73" i="3" s="1"/>
  <c r="Y73" i="5" s="1"/>
  <c r="AS73" i="3"/>
  <c r="AZ73" i="3" s="1"/>
  <c r="Z73" i="5" s="1"/>
  <c r="AT73" i="3"/>
  <c r="BA73" i="3" s="1"/>
  <c r="AA73" i="5" s="1"/>
  <c r="AU73" i="3"/>
  <c r="BB73" i="3" s="1"/>
  <c r="AB73" i="5" s="1"/>
  <c r="AV73" i="3"/>
  <c r="BC73" i="3" s="1"/>
  <c r="AC73" i="5" s="1"/>
  <c r="AQ74" i="3"/>
  <c r="AX74" i="3" s="1"/>
  <c r="X74" i="5" s="1"/>
  <c r="AR74" i="3"/>
  <c r="AY74" i="3" s="1"/>
  <c r="Y74" i="5" s="1"/>
  <c r="AS74" i="3"/>
  <c r="AZ74" i="3" s="1"/>
  <c r="Z74" i="5" s="1"/>
  <c r="AT74" i="3"/>
  <c r="BA74" i="3" s="1"/>
  <c r="AA74" i="5" s="1"/>
  <c r="AU74" i="3"/>
  <c r="BB74" i="3" s="1"/>
  <c r="AB74" i="5" s="1"/>
  <c r="AV74" i="3"/>
  <c r="BC74" i="3" s="1"/>
  <c r="AC74" i="5" s="1"/>
  <c r="AQ75" i="3"/>
  <c r="AX75" i="3" s="1"/>
  <c r="X75" i="5" s="1"/>
  <c r="AR75" i="3"/>
  <c r="AY75" i="3" s="1"/>
  <c r="Y75" i="5" s="1"/>
  <c r="AS75" i="3"/>
  <c r="AZ75" i="3" s="1"/>
  <c r="Z75" i="5" s="1"/>
  <c r="AT75" i="3"/>
  <c r="BA75" i="3" s="1"/>
  <c r="AA75" i="5" s="1"/>
  <c r="AU75" i="3"/>
  <c r="BB75" i="3" s="1"/>
  <c r="AB75" i="5" s="1"/>
  <c r="AV75" i="3"/>
  <c r="BC75" i="3" s="1"/>
  <c r="AC75" i="5" s="1"/>
  <c r="AQ76" i="3"/>
  <c r="AX76" i="3" s="1"/>
  <c r="X76" i="5" s="1"/>
  <c r="AR76" i="3"/>
  <c r="AY76" i="3" s="1"/>
  <c r="Y76" i="5" s="1"/>
  <c r="AS76" i="3"/>
  <c r="AZ76" i="3" s="1"/>
  <c r="Z76" i="5" s="1"/>
  <c r="AT76" i="3"/>
  <c r="BA76" i="3" s="1"/>
  <c r="AA76" i="5" s="1"/>
  <c r="AU76" i="3"/>
  <c r="BB76" i="3" s="1"/>
  <c r="AB76" i="5" s="1"/>
  <c r="AV76" i="3"/>
  <c r="BC76" i="3" s="1"/>
  <c r="AC76" i="5" s="1"/>
  <c r="AQ77" i="3"/>
  <c r="AX77" i="3" s="1"/>
  <c r="X77" i="5" s="1"/>
  <c r="AR77" i="3"/>
  <c r="AY77" i="3" s="1"/>
  <c r="Y77" i="5" s="1"/>
  <c r="AS77" i="3"/>
  <c r="AZ77" i="3" s="1"/>
  <c r="Z77" i="5" s="1"/>
  <c r="AT77" i="3"/>
  <c r="BA77" i="3" s="1"/>
  <c r="AA77" i="5" s="1"/>
  <c r="AU77" i="3"/>
  <c r="BB77" i="3" s="1"/>
  <c r="AB77" i="5" s="1"/>
  <c r="AV77" i="3"/>
  <c r="BC77" i="3" s="1"/>
  <c r="AC77" i="5" s="1"/>
  <c r="AQ78" i="3"/>
  <c r="AX78" i="3" s="1"/>
  <c r="X78" i="5" s="1"/>
  <c r="AR78" i="3"/>
  <c r="AY78" i="3" s="1"/>
  <c r="Y78" i="5" s="1"/>
  <c r="AS78" i="3"/>
  <c r="AZ78" i="3" s="1"/>
  <c r="Z78" i="5" s="1"/>
  <c r="AT78" i="3"/>
  <c r="BA78" i="3" s="1"/>
  <c r="AA78" i="5" s="1"/>
  <c r="AU78" i="3"/>
  <c r="BB78" i="3" s="1"/>
  <c r="AB78" i="5" s="1"/>
  <c r="AV78" i="3"/>
  <c r="BC78" i="3" s="1"/>
  <c r="AC78" i="5" s="1"/>
  <c r="AQ79" i="3"/>
  <c r="AX79" i="3" s="1"/>
  <c r="X79" i="5" s="1"/>
  <c r="AR79" i="3"/>
  <c r="AY79" i="3" s="1"/>
  <c r="Y79" i="5" s="1"/>
  <c r="AS79" i="3"/>
  <c r="AZ79" i="3" s="1"/>
  <c r="Z79" i="5" s="1"/>
  <c r="AT79" i="3"/>
  <c r="BA79" i="3" s="1"/>
  <c r="AA79" i="5" s="1"/>
  <c r="AU79" i="3"/>
  <c r="BB79" i="3" s="1"/>
  <c r="AB79" i="5" s="1"/>
  <c r="AV79" i="3"/>
  <c r="BC79" i="3" s="1"/>
  <c r="AC79" i="5" s="1"/>
  <c r="AQ80" i="3"/>
  <c r="AX80" i="3" s="1"/>
  <c r="X80" i="5" s="1"/>
  <c r="AR80" i="3"/>
  <c r="AY80" i="3" s="1"/>
  <c r="Y80" i="5" s="1"/>
  <c r="AS80" i="3"/>
  <c r="AZ80" i="3" s="1"/>
  <c r="Z80" i="5" s="1"/>
  <c r="AT80" i="3"/>
  <c r="BA80" i="3" s="1"/>
  <c r="AA80" i="5" s="1"/>
  <c r="AU80" i="3"/>
  <c r="BB80" i="3" s="1"/>
  <c r="AB80" i="5" s="1"/>
  <c r="AV80" i="3"/>
  <c r="BC80" i="3" s="1"/>
  <c r="AC80" i="5" s="1"/>
  <c r="AQ81" i="3"/>
  <c r="AX81" i="3" s="1"/>
  <c r="X81" i="5" s="1"/>
  <c r="AR81" i="3"/>
  <c r="AY81" i="3" s="1"/>
  <c r="Y81" i="5" s="1"/>
  <c r="AS81" i="3"/>
  <c r="AZ81" i="3" s="1"/>
  <c r="Z81" i="5" s="1"/>
  <c r="AT81" i="3"/>
  <c r="BA81" i="3" s="1"/>
  <c r="AA81" i="5" s="1"/>
  <c r="AU81" i="3"/>
  <c r="BB81" i="3" s="1"/>
  <c r="AB81" i="5" s="1"/>
  <c r="AV81" i="3"/>
  <c r="BC81" i="3" s="1"/>
  <c r="AC81" i="5" s="1"/>
  <c r="AQ82" i="3"/>
  <c r="AX82" i="3" s="1"/>
  <c r="X82" i="5" s="1"/>
  <c r="AR82" i="3"/>
  <c r="AY82" i="3" s="1"/>
  <c r="Y82" i="5" s="1"/>
  <c r="AS82" i="3"/>
  <c r="AZ82" i="3" s="1"/>
  <c r="Z82" i="5" s="1"/>
  <c r="AT82" i="3"/>
  <c r="BA82" i="3" s="1"/>
  <c r="AA82" i="5" s="1"/>
  <c r="AU82" i="3"/>
  <c r="BB82" i="3" s="1"/>
  <c r="AB82" i="5" s="1"/>
  <c r="AV82" i="3"/>
  <c r="BC82" i="3" s="1"/>
  <c r="AC82" i="5" s="1"/>
  <c r="AQ83" i="3"/>
  <c r="AX83" i="3" s="1"/>
  <c r="X83" i="5" s="1"/>
  <c r="AR83" i="3"/>
  <c r="AY83" i="3" s="1"/>
  <c r="Y83" i="5" s="1"/>
  <c r="AS83" i="3"/>
  <c r="AZ83" i="3" s="1"/>
  <c r="Z83" i="5" s="1"/>
  <c r="AT83" i="3"/>
  <c r="BA83" i="3" s="1"/>
  <c r="AA83" i="5" s="1"/>
  <c r="AU83" i="3"/>
  <c r="BB83" i="3" s="1"/>
  <c r="AB83" i="5" s="1"/>
  <c r="AV83" i="3"/>
  <c r="BC83" i="3" s="1"/>
  <c r="AC83" i="5" s="1"/>
  <c r="AQ84" i="3"/>
  <c r="AX84" i="3" s="1"/>
  <c r="X84" i="5" s="1"/>
  <c r="AR84" i="3"/>
  <c r="AY84" i="3" s="1"/>
  <c r="Y84" i="5" s="1"/>
  <c r="AS84" i="3"/>
  <c r="AZ84" i="3" s="1"/>
  <c r="Z84" i="5" s="1"/>
  <c r="AT84" i="3"/>
  <c r="BA84" i="3" s="1"/>
  <c r="AA84" i="5" s="1"/>
  <c r="AU84" i="3"/>
  <c r="BB84" i="3" s="1"/>
  <c r="AB84" i="5" s="1"/>
  <c r="AV84" i="3"/>
  <c r="BC84" i="3" s="1"/>
  <c r="AC84" i="5" s="1"/>
  <c r="AQ85" i="3"/>
  <c r="AX85" i="3" s="1"/>
  <c r="X85" i="5" s="1"/>
  <c r="AR85" i="3"/>
  <c r="AY85" i="3" s="1"/>
  <c r="Y85" i="5" s="1"/>
  <c r="AS85" i="3"/>
  <c r="AZ85" i="3" s="1"/>
  <c r="Z85" i="5" s="1"/>
  <c r="AT85" i="3"/>
  <c r="BA85" i="3" s="1"/>
  <c r="AA85" i="5" s="1"/>
  <c r="AU85" i="3"/>
  <c r="BB85" i="3" s="1"/>
  <c r="AB85" i="5" s="1"/>
  <c r="AV85" i="3"/>
  <c r="BC85" i="3" s="1"/>
  <c r="AC85" i="5" s="1"/>
  <c r="AQ86" i="3"/>
  <c r="AX86" i="3" s="1"/>
  <c r="X86" i="5" s="1"/>
  <c r="AR86" i="3"/>
  <c r="AY86" i="3" s="1"/>
  <c r="Y86" i="5" s="1"/>
  <c r="AS86" i="3"/>
  <c r="AZ86" i="3" s="1"/>
  <c r="Z86" i="5" s="1"/>
  <c r="AT86" i="3"/>
  <c r="BA86" i="3" s="1"/>
  <c r="AA86" i="5" s="1"/>
  <c r="AU86" i="3"/>
  <c r="BB86" i="3" s="1"/>
  <c r="AB86" i="5" s="1"/>
  <c r="AV86" i="3"/>
  <c r="BC86" i="3" s="1"/>
  <c r="AC86" i="5" s="1"/>
  <c r="AQ87" i="3"/>
  <c r="AX87" i="3" s="1"/>
  <c r="X87" i="5" s="1"/>
  <c r="AR87" i="3"/>
  <c r="AY87" i="3" s="1"/>
  <c r="Y87" i="5" s="1"/>
  <c r="AS87" i="3"/>
  <c r="AZ87" i="3" s="1"/>
  <c r="Z87" i="5" s="1"/>
  <c r="AT87" i="3"/>
  <c r="BA87" i="3" s="1"/>
  <c r="AA87" i="5" s="1"/>
  <c r="AU87" i="3"/>
  <c r="BB87" i="3" s="1"/>
  <c r="AB87" i="5" s="1"/>
  <c r="AV87" i="3"/>
  <c r="BC87" i="3" s="1"/>
  <c r="AC87" i="5" s="1"/>
  <c r="AQ88" i="3"/>
  <c r="AX88" i="3" s="1"/>
  <c r="X88" i="5" s="1"/>
  <c r="AR88" i="3"/>
  <c r="AY88" i="3" s="1"/>
  <c r="Y88" i="5" s="1"/>
  <c r="AS88" i="3"/>
  <c r="AZ88" i="3" s="1"/>
  <c r="Z88" i="5" s="1"/>
  <c r="AT88" i="3"/>
  <c r="BA88" i="3" s="1"/>
  <c r="AA88" i="5" s="1"/>
  <c r="AU88" i="3"/>
  <c r="BB88" i="3" s="1"/>
  <c r="AB88" i="5" s="1"/>
  <c r="AV88" i="3"/>
  <c r="BC88" i="3" s="1"/>
  <c r="AC88" i="5" s="1"/>
  <c r="AQ89" i="3"/>
  <c r="AX89" i="3" s="1"/>
  <c r="X89" i="5" s="1"/>
  <c r="AR89" i="3"/>
  <c r="AY89" i="3" s="1"/>
  <c r="Y89" i="5" s="1"/>
  <c r="AS89" i="3"/>
  <c r="AZ89" i="3" s="1"/>
  <c r="Z89" i="5" s="1"/>
  <c r="AT89" i="3"/>
  <c r="BA89" i="3" s="1"/>
  <c r="AA89" i="5" s="1"/>
  <c r="AU89" i="3"/>
  <c r="BB89" i="3" s="1"/>
  <c r="AB89" i="5" s="1"/>
  <c r="AV89" i="3"/>
  <c r="BC89" i="3" s="1"/>
  <c r="AC89" i="5" s="1"/>
  <c r="AQ90" i="3"/>
  <c r="AX90" i="3" s="1"/>
  <c r="X90" i="5" s="1"/>
  <c r="AR90" i="3"/>
  <c r="AY90" i="3" s="1"/>
  <c r="Y90" i="5" s="1"/>
  <c r="AS90" i="3"/>
  <c r="AZ90" i="3" s="1"/>
  <c r="Z90" i="5" s="1"/>
  <c r="AT90" i="3"/>
  <c r="BA90" i="3" s="1"/>
  <c r="AA90" i="5" s="1"/>
  <c r="AU90" i="3"/>
  <c r="BB90" i="3" s="1"/>
  <c r="AB90" i="5" s="1"/>
  <c r="AV90" i="3"/>
  <c r="BC90" i="3" s="1"/>
  <c r="AC90" i="5" s="1"/>
  <c r="AQ91" i="3"/>
  <c r="AX91" i="3" s="1"/>
  <c r="X91" i="5" s="1"/>
  <c r="AR91" i="3"/>
  <c r="AY91" i="3" s="1"/>
  <c r="Y91" i="5" s="1"/>
  <c r="AS91" i="3"/>
  <c r="AZ91" i="3" s="1"/>
  <c r="Z91" i="5" s="1"/>
  <c r="AT91" i="3"/>
  <c r="BA91" i="3" s="1"/>
  <c r="AA91" i="5" s="1"/>
  <c r="AU91" i="3"/>
  <c r="BB91" i="3" s="1"/>
  <c r="AB91" i="5" s="1"/>
  <c r="AV91" i="3"/>
  <c r="BC91" i="3" s="1"/>
  <c r="AC91" i="5" s="1"/>
  <c r="AQ92" i="3"/>
  <c r="AX92" i="3" s="1"/>
  <c r="X92" i="5" s="1"/>
  <c r="AR92" i="3"/>
  <c r="AY92" i="3" s="1"/>
  <c r="Y92" i="5" s="1"/>
  <c r="AS92" i="3"/>
  <c r="AZ92" i="3" s="1"/>
  <c r="Z92" i="5" s="1"/>
  <c r="AT92" i="3"/>
  <c r="BA92" i="3" s="1"/>
  <c r="AA92" i="5" s="1"/>
  <c r="AU92" i="3"/>
  <c r="BB92" i="3" s="1"/>
  <c r="AB92" i="5" s="1"/>
  <c r="AV92" i="3"/>
  <c r="BC92" i="3" s="1"/>
  <c r="AC92" i="5" s="1"/>
  <c r="AQ93" i="3"/>
  <c r="AX93" i="3" s="1"/>
  <c r="X93" i="5" s="1"/>
  <c r="AR93" i="3"/>
  <c r="AY93" i="3" s="1"/>
  <c r="Y93" i="5" s="1"/>
  <c r="AS93" i="3"/>
  <c r="AZ93" i="3" s="1"/>
  <c r="Z93" i="5" s="1"/>
  <c r="AT93" i="3"/>
  <c r="BA93" i="3" s="1"/>
  <c r="AA93" i="5" s="1"/>
  <c r="AU93" i="3"/>
  <c r="BB93" i="3" s="1"/>
  <c r="AB93" i="5" s="1"/>
  <c r="AV93" i="3"/>
  <c r="BC93" i="3" s="1"/>
  <c r="AC93" i="5" s="1"/>
  <c r="AQ94" i="3"/>
  <c r="AX94" i="3" s="1"/>
  <c r="X94" i="5" s="1"/>
  <c r="AR94" i="3"/>
  <c r="AY94" i="3" s="1"/>
  <c r="Y94" i="5" s="1"/>
  <c r="AS94" i="3"/>
  <c r="AZ94" i="3" s="1"/>
  <c r="Z94" i="5" s="1"/>
  <c r="AT94" i="3"/>
  <c r="BA94" i="3" s="1"/>
  <c r="AA94" i="5" s="1"/>
  <c r="AU94" i="3"/>
  <c r="BB94" i="3" s="1"/>
  <c r="AB94" i="5" s="1"/>
  <c r="AV94" i="3"/>
  <c r="BC94" i="3" s="1"/>
  <c r="AC94" i="5" s="1"/>
  <c r="AQ95" i="3"/>
  <c r="AX95" i="3" s="1"/>
  <c r="X95" i="5" s="1"/>
  <c r="AR95" i="3"/>
  <c r="AY95" i="3" s="1"/>
  <c r="Y95" i="5" s="1"/>
  <c r="AS95" i="3"/>
  <c r="AZ95" i="3" s="1"/>
  <c r="Z95" i="5" s="1"/>
  <c r="AT95" i="3"/>
  <c r="BA95" i="3" s="1"/>
  <c r="AA95" i="5" s="1"/>
  <c r="AU95" i="3"/>
  <c r="BB95" i="3" s="1"/>
  <c r="AB95" i="5" s="1"/>
  <c r="AV95" i="3"/>
  <c r="BC95" i="3" s="1"/>
  <c r="AC95" i="5" s="1"/>
  <c r="AQ96" i="3"/>
  <c r="AX96" i="3" s="1"/>
  <c r="X96" i="5" s="1"/>
  <c r="AR96" i="3"/>
  <c r="AY96" i="3" s="1"/>
  <c r="Y96" i="5" s="1"/>
  <c r="AS96" i="3"/>
  <c r="AZ96" i="3" s="1"/>
  <c r="Z96" i="5" s="1"/>
  <c r="AT96" i="3"/>
  <c r="BA96" i="3" s="1"/>
  <c r="AA96" i="5" s="1"/>
  <c r="AU96" i="3"/>
  <c r="BB96" i="3" s="1"/>
  <c r="AB96" i="5" s="1"/>
  <c r="AV96" i="3"/>
  <c r="BC96" i="3" s="1"/>
  <c r="AC96" i="5" s="1"/>
  <c r="AQ97" i="3"/>
  <c r="AX97" i="3" s="1"/>
  <c r="X97" i="5" s="1"/>
  <c r="AR97" i="3"/>
  <c r="AY97" i="3" s="1"/>
  <c r="Y97" i="5" s="1"/>
  <c r="AS97" i="3"/>
  <c r="AZ97" i="3" s="1"/>
  <c r="Z97" i="5" s="1"/>
  <c r="AT97" i="3"/>
  <c r="BA97" i="3" s="1"/>
  <c r="AA97" i="5" s="1"/>
  <c r="AU97" i="3"/>
  <c r="BB97" i="3" s="1"/>
  <c r="AB97" i="5" s="1"/>
  <c r="AV97" i="3"/>
  <c r="BC97" i="3" s="1"/>
  <c r="AC97" i="5" s="1"/>
  <c r="AQ98" i="3"/>
  <c r="AX98" i="3" s="1"/>
  <c r="X98" i="5" s="1"/>
  <c r="AR98" i="3"/>
  <c r="AY98" i="3" s="1"/>
  <c r="Y98" i="5" s="1"/>
  <c r="AS98" i="3"/>
  <c r="AZ98" i="3" s="1"/>
  <c r="Z98" i="5" s="1"/>
  <c r="AT98" i="3"/>
  <c r="BA98" i="3" s="1"/>
  <c r="AA98" i="5" s="1"/>
  <c r="AU98" i="3"/>
  <c r="BB98" i="3" s="1"/>
  <c r="AB98" i="5" s="1"/>
  <c r="AV98" i="3"/>
  <c r="BC98" i="3" s="1"/>
  <c r="AC98" i="5" s="1"/>
  <c r="AQ99" i="3"/>
  <c r="AX99" i="3" s="1"/>
  <c r="X99" i="5" s="1"/>
  <c r="AR99" i="3"/>
  <c r="AY99" i="3" s="1"/>
  <c r="Y99" i="5" s="1"/>
  <c r="AS99" i="3"/>
  <c r="AZ99" i="3" s="1"/>
  <c r="Z99" i="5" s="1"/>
  <c r="AT99" i="3"/>
  <c r="BA99" i="3" s="1"/>
  <c r="AA99" i="5" s="1"/>
  <c r="AU99" i="3"/>
  <c r="BB99" i="3" s="1"/>
  <c r="AB99" i="5" s="1"/>
  <c r="AV99" i="3"/>
  <c r="BC99" i="3" s="1"/>
  <c r="AC99" i="5" s="1"/>
  <c r="AQ100" i="3"/>
  <c r="AX100" i="3" s="1"/>
  <c r="X100" i="5" s="1"/>
  <c r="AR100" i="3"/>
  <c r="AY100" i="3" s="1"/>
  <c r="Y100" i="5" s="1"/>
  <c r="AS100" i="3"/>
  <c r="AZ100" i="3" s="1"/>
  <c r="Z100" i="5" s="1"/>
  <c r="AT100" i="3"/>
  <c r="BA100" i="3" s="1"/>
  <c r="AA100" i="5" s="1"/>
  <c r="AU100" i="3"/>
  <c r="BB100" i="3" s="1"/>
  <c r="AB100" i="5" s="1"/>
  <c r="AV100" i="3"/>
  <c r="BC100" i="3" s="1"/>
  <c r="AC100" i="5" s="1"/>
  <c r="AQ101" i="3"/>
  <c r="AX101" i="3" s="1"/>
  <c r="X101" i="5" s="1"/>
  <c r="AR101" i="3"/>
  <c r="AY101" i="3" s="1"/>
  <c r="Y101" i="5" s="1"/>
  <c r="AS101" i="3"/>
  <c r="AZ101" i="3" s="1"/>
  <c r="Z101" i="5" s="1"/>
  <c r="AT101" i="3"/>
  <c r="BA101" i="3" s="1"/>
  <c r="AA101" i="5" s="1"/>
  <c r="AU101" i="3"/>
  <c r="BB101" i="3" s="1"/>
  <c r="AB101" i="5" s="1"/>
  <c r="AV101" i="3"/>
  <c r="BC101" i="3" s="1"/>
  <c r="AC101" i="5" s="1"/>
  <c r="AQ102" i="3"/>
  <c r="AX102" i="3" s="1"/>
  <c r="X102" i="5" s="1"/>
  <c r="AR102" i="3"/>
  <c r="AY102" i="3" s="1"/>
  <c r="Y102" i="5" s="1"/>
  <c r="AS102" i="3"/>
  <c r="AZ102" i="3" s="1"/>
  <c r="Z102" i="5" s="1"/>
  <c r="AT102" i="3"/>
  <c r="BA102" i="3" s="1"/>
  <c r="AA102" i="5" s="1"/>
  <c r="AU102" i="3"/>
  <c r="BB102" i="3" s="1"/>
  <c r="AB102" i="5" s="1"/>
  <c r="AV102" i="3"/>
  <c r="BC102" i="3" s="1"/>
  <c r="AC102" i="5" s="1"/>
  <c r="AQ103" i="3"/>
  <c r="AX103" i="3" s="1"/>
  <c r="X103" i="5" s="1"/>
  <c r="AR103" i="3"/>
  <c r="AY103" i="3" s="1"/>
  <c r="Y103" i="5" s="1"/>
  <c r="AS103" i="3"/>
  <c r="AZ103" i="3" s="1"/>
  <c r="Z103" i="5" s="1"/>
  <c r="AT103" i="3"/>
  <c r="BA103" i="3" s="1"/>
  <c r="AA103" i="5" s="1"/>
  <c r="AU103" i="3"/>
  <c r="BB103" i="3" s="1"/>
  <c r="AB103" i="5" s="1"/>
  <c r="AV103" i="3"/>
  <c r="BC103" i="3" s="1"/>
  <c r="AC103" i="5" s="1"/>
  <c r="AQ104" i="3"/>
  <c r="AX104" i="3" s="1"/>
  <c r="X104" i="5" s="1"/>
  <c r="AR104" i="3"/>
  <c r="AY104" i="3" s="1"/>
  <c r="Y104" i="5" s="1"/>
  <c r="AS104" i="3"/>
  <c r="AZ104" i="3" s="1"/>
  <c r="Z104" i="5" s="1"/>
  <c r="AT104" i="3"/>
  <c r="BA104" i="3" s="1"/>
  <c r="AA104" i="5" s="1"/>
  <c r="AU104" i="3"/>
  <c r="BB104" i="3" s="1"/>
  <c r="AB104" i="5" s="1"/>
  <c r="AV104" i="3"/>
  <c r="BC104" i="3" s="1"/>
  <c r="AC104" i="5" s="1"/>
  <c r="AQ105" i="3"/>
  <c r="AX105" i="3" s="1"/>
  <c r="X105" i="5" s="1"/>
  <c r="AR105" i="3"/>
  <c r="AY105" i="3" s="1"/>
  <c r="Y105" i="5" s="1"/>
  <c r="AS105" i="3"/>
  <c r="AZ105" i="3" s="1"/>
  <c r="Z105" i="5" s="1"/>
  <c r="AT105" i="3"/>
  <c r="BA105" i="3" s="1"/>
  <c r="AA105" i="5" s="1"/>
  <c r="AU105" i="3"/>
  <c r="BB105" i="3" s="1"/>
  <c r="AB105" i="5" s="1"/>
  <c r="AV105" i="3"/>
  <c r="BC105" i="3" s="1"/>
  <c r="AC105" i="5" s="1"/>
  <c r="AQ106" i="3"/>
  <c r="AX106" i="3" s="1"/>
  <c r="X106" i="5" s="1"/>
  <c r="AR106" i="3"/>
  <c r="AY106" i="3" s="1"/>
  <c r="Y106" i="5" s="1"/>
  <c r="AS106" i="3"/>
  <c r="AZ106" i="3" s="1"/>
  <c r="Z106" i="5" s="1"/>
  <c r="AT106" i="3"/>
  <c r="BA106" i="3" s="1"/>
  <c r="AA106" i="5" s="1"/>
  <c r="AU106" i="3"/>
  <c r="BB106" i="3" s="1"/>
  <c r="AB106" i="5" s="1"/>
  <c r="AV106" i="3"/>
  <c r="BC106" i="3" s="1"/>
  <c r="AC106" i="5" s="1"/>
  <c r="AQ107" i="3"/>
  <c r="AX107" i="3" s="1"/>
  <c r="X107" i="5" s="1"/>
  <c r="AR107" i="3"/>
  <c r="AY107" i="3" s="1"/>
  <c r="Y107" i="5" s="1"/>
  <c r="AS107" i="3"/>
  <c r="AZ107" i="3" s="1"/>
  <c r="Z107" i="5" s="1"/>
  <c r="AT107" i="3"/>
  <c r="BA107" i="3" s="1"/>
  <c r="AA107" i="5" s="1"/>
  <c r="AU107" i="3"/>
  <c r="BB107" i="3" s="1"/>
  <c r="AB107" i="5" s="1"/>
  <c r="AV107" i="3"/>
  <c r="BC107" i="3" s="1"/>
  <c r="AC107" i="5" s="1"/>
  <c r="AQ108" i="3"/>
  <c r="AX108" i="3" s="1"/>
  <c r="X108" i="5" s="1"/>
  <c r="AR108" i="3"/>
  <c r="AY108" i="3" s="1"/>
  <c r="Y108" i="5" s="1"/>
  <c r="AS108" i="3"/>
  <c r="AZ108" i="3" s="1"/>
  <c r="Z108" i="5" s="1"/>
  <c r="AT108" i="3"/>
  <c r="BA108" i="3" s="1"/>
  <c r="AA108" i="5" s="1"/>
  <c r="AU108" i="3"/>
  <c r="BB108" i="3" s="1"/>
  <c r="AB108" i="5" s="1"/>
  <c r="AV108" i="3"/>
  <c r="BC108" i="3" s="1"/>
  <c r="AC108" i="5" s="1"/>
  <c r="AQ109" i="3"/>
  <c r="AX109" i="3" s="1"/>
  <c r="X109" i="5" s="1"/>
  <c r="AR109" i="3"/>
  <c r="AY109" i="3" s="1"/>
  <c r="Y109" i="5" s="1"/>
  <c r="AS109" i="3"/>
  <c r="AZ109" i="3" s="1"/>
  <c r="Z109" i="5" s="1"/>
  <c r="AT109" i="3"/>
  <c r="BA109" i="3" s="1"/>
  <c r="AA109" i="5" s="1"/>
  <c r="AU109" i="3"/>
  <c r="BB109" i="3" s="1"/>
  <c r="AB109" i="5" s="1"/>
  <c r="AV109" i="3"/>
  <c r="BC109" i="3" s="1"/>
  <c r="AC109" i="5" s="1"/>
  <c r="AQ110" i="3"/>
  <c r="AX110" i="3" s="1"/>
  <c r="X110" i="5" s="1"/>
  <c r="AR110" i="3"/>
  <c r="AY110" i="3" s="1"/>
  <c r="Y110" i="5" s="1"/>
  <c r="AS110" i="3"/>
  <c r="AZ110" i="3" s="1"/>
  <c r="Z110" i="5" s="1"/>
  <c r="AT110" i="3"/>
  <c r="BA110" i="3" s="1"/>
  <c r="AA110" i="5" s="1"/>
  <c r="AU110" i="3"/>
  <c r="BB110" i="3" s="1"/>
  <c r="AB110" i="5" s="1"/>
  <c r="AV110" i="3"/>
  <c r="BC110" i="3" s="1"/>
  <c r="AC110" i="5" s="1"/>
  <c r="AR4" i="3"/>
  <c r="AY4" i="3" s="1"/>
  <c r="Y4" i="5" s="1"/>
  <c r="AS4" i="3"/>
  <c r="AZ4" i="3" s="1"/>
  <c r="Z4" i="5" s="1"/>
  <c r="AT4" i="3"/>
  <c r="BA4" i="3" s="1"/>
  <c r="AA4" i="5" s="1"/>
  <c r="AU4" i="3"/>
  <c r="BB4" i="3" s="1"/>
  <c r="AB4" i="5" s="1"/>
  <c r="AV4" i="3"/>
  <c r="BC4" i="3" s="1"/>
  <c r="AC4" i="5" s="1"/>
  <c r="AQ4" i="3"/>
  <c r="AX4" i="3" s="1"/>
  <c r="X4" i="5" s="1"/>
  <c r="AC4" i="3"/>
  <c r="Q4" i="5" s="1"/>
  <c r="AC5" i="3"/>
  <c r="AJ5" i="3" s="1"/>
  <c r="Q5" i="5" s="1"/>
  <c r="AD5" i="3"/>
  <c r="AK5" i="3" s="1"/>
  <c r="R5" i="5" s="1"/>
  <c r="AE5" i="3"/>
  <c r="AL5" i="3" s="1"/>
  <c r="S5" i="5" s="1"/>
  <c r="AF5" i="3"/>
  <c r="AM5" i="3" s="1"/>
  <c r="T5" i="5" s="1"/>
  <c r="AG5" i="3"/>
  <c r="AN5" i="3" s="1"/>
  <c r="U5" i="5" s="1"/>
  <c r="AH5" i="3"/>
  <c r="AO5" i="3" s="1"/>
  <c r="V5" i="5" s="1"/>
  <c r="AC6" i="3"/>
  <c r="AJ6" i="3" s="1"/>
  <c r="Q6" i="5" s="1"/>
  <c r="AD6" i="3"/>
  <c r="AK6" i="3" s="1"/>
  <c r="R6" i="5" s="1"/>
  <c r="AE6" i="3"/>
  <c r="AL6" i="3" s="1"/>
  <c r="S6" i="5" s="1"/>
  <c r="AF6" i="3"/>
  <c r="AM6" i="3" s="1"/>
  <c r="T6" i="5" s="1"/>
  <c r="AG6" i="3"/>
  <c r="AN6" i="3" s="1"/>
  <c r="U6" i="5" s="1"/>
  <c r="AH6" i="3"/>
  <c r="AO6" i="3" s="1"/>
  <c r="V6" i="5" s="1"/>
  <c r="AC7" i="3"/>
  <c r="AJ7" i="3" s="1"/>
  <c r="Q7" i="5" s="1"/>
  <c r="AD7" i="3"/>
  <c r="AK7" i="3" s="1"/>
  <c r="R7" i="5" s="1"/>
  <c r="AE7" i="3"/>
  <c r="AL7" i="3" s="1"/>
  <c r="S7" i="5" s="1"/>
  <c r="AF7" i="3"/>
  <c r="AM7" i="3" s="1"/>
  <c r="T7" i="5" s="1"/>
  <c r="AG7" i="3"/>
  <c r="AN7" i="3" s="1"/>
  <c r="U7" i="5" s="1"/>
  <c r="AH7" i="3"/>
  <c r="AO7" i="3" s="1"/>
  <c r="V7" i="5" s="1"/>
  <c r="AC8" i="3"/>
  <c r="AJ8" i="3" s="1"/>
  <c r="Q8" i="5" s="1"/>
  <c r="AD8" i="3"/>
  <c r="AK8" i="3" s="1"/>
  <c r="R8" i="5" s="1"/>
  <c r="AE8" i="3"/>
  <c r="AL8" i="3" s="1"/>
  <c r="S8" i="5" s="1"/>
  <c r="AF8" i="3"/>
  <c r="AM8" i="3" s="1"/>
  <c r="T8" i="5" s="1"/>
  <c r="AG8" i="3"/>
  <c r="AN8" i="3" s="1"/>
  <c r="U8" i="5" s="1"/>
  <c r="AH8" i="3"/>
  <c r="AO8" i="3" s="1"/>
  <c r="V8" i="5" s="1"/>
  <c r="AC9" i="3"/>
  <c r="AJ9" i="3" s="1"/>
  <c r="Q9" i="5" s="1"/>
  <c r="AD9" i="3"/>
  <c r="AK9" i="3" s="1"/>
  <c r="R9" i="5" s="1"/>
  <c r="AE9" i="3"/>
  <c r="AL9" i="3" s="1"/>
  <c r="S9" i="5" s="1"/>
  <c r="AF9" i="3"/>
  <c r="AM9" i="3" s="1"/>
  <c r="T9" i="5" s="1"/>
  <c r="AG9" i="3"/>
  <c r="AN9" i="3" s="1"/>
  <c r="U9" i="5" s="1"/>
  <c r="AH9" i="3"/>
  <c r="AO9" i="3" s="1"/>
  <c r="V9" i="5" s="1"/>
  <c r="AC10" i="3"/>
  <c r="AJ10" i="3" s="1"/>
  <c r="Q10" i="5" s="1"/>
  <c r="AD10" i="3"/>
  <c r="AK10" i="3" s="1"/>
  <c r="R10" i="5" s="1"/>
  <c r="AE10" i="3"/>
  <c r="AL10" i="3" s="1"/>
  <c r="S10" i="5" s="1"/>
  <c r="AF10" i="3"/>
  <c r="AM10" i="3" s="1"/>
  <c r="T10" i="5" s="1"/>
  <c r="AG10" i="3"/>
  <c r="AN10" i="3" s="1"/>
  <c r="U10" i="5" s="1"/>
  <c r="AH10" i="3"/>
  <c r="AO10" i="3" s="1"/>
  <c r="V10" i="5" s="1"/>
  <c r="AC11" i="3"/>
  <c r="AJ11" i="3" s="1"/>
  <c r="Q11" i="5" s="1"/>
  <c r="AD11" i="3"/>
  <c r="AK11" i="3" s="1"/>
  <c r="R11" i="5" s="1"/>
  <c r="AE11" i="3"/>
  <c r="AL11" i="3" s="1"/>
  <c r="S11" i="5" s="1"/>
  <c r="AF11" i="3"/>
  <c r="AM11" i="3" s="1"/>
  <c r="T11" i="5" s="1"/>
  <c r="AG11" i="3"/>
  <c r="AN11" i="3" s="1"/>
  <c r="U11" i="5" s="1"/>
  <c r="AH11" i="3"/>
  <c r="AO11" i="3" s="1"/>
  <c r="V11" i="5" s="1"/>
  <c r="AC12" i="3"/>
  <c r="AJ12" i="3" s="1"/>
  <c r="Q12" i="5" s="1"/>
  <c r="AD12" i="3"/>
  <c r="AK12" i="3" s="1"/>
  <c r="R12" i="5" s="1"/>
  <c r="AE12" i="3"/>
  <c r="AL12" i="3" s="1"/>
  <c r="S12" i="5" s="1"/>
  <c r="AF12" i="3"/>
  <c r="AM12" i="3" s="1"/>
  <c r="T12" i="5" s="1"/>
  <c r="AG12" i="3"/>
  <c r="AN12" i="3" s="1"/>
  <c r="U12" i="5" s="1"/>
  <c r="AH12" i="3"/>
  <c r="AO12" i="3" s="1"/>
  <c r="V12" i="5" s="1"/>
  <c r="AC13" i="3"/>
  <c r="AJ13" i="3" s="1"/>
  <c r="Q13" i="5" s="1"/>
  <c r="AD13" i="3"/>
  <c r="AK13" i="3" s="1"/>
  <c r="R13" i="5" s="1"/>
  <c r="AE13" i="3"/>
  <c r="AL13" i="3" s="1"/>
  <c r="S13" i="5" s="1"/>
  <c r="AF13" i="3"/>
  <c r="AM13" i="3" s="1"/>
  <c r="T13" i="5" s="1"/>
  <c r="AG13" i="3"/>
  <c r="AN13" i="3" s="1"/>
  <c r="U13" i="5" s="1"/>
  <c r="AH13" i="3"/>
  <c r="AO13" i="3" s="1"/>
  <c r="V13" i="5" s="1"/>
  <c r="AC14" i="3"/>
  <c r="AJ14" i="3" s="1"/>
  <c r="Q14" i="5" s="1"/>
  <c r="AD14" i="3"/>
  <c r="AK14" i="3" s="1"/>
  <c r="R14" i="5" s="1"/>
  <c r="AE14" i="3"/>
  <c r="AL14" i="3" s="1"/>
  <c r="S14" i="5" s="1"/>
  <c r="AF14" i="3"/>
  <c r="AM14" i="3" s="1"/>
  <c r="T14" i="5" s="1"/>
  <c r="AG14" i="3"/>
  <c r="AN14" i="3" s="1"/>
  <c r="U14" i="5" s="1"/>
  <c r="AH14" i="3"/>
  <c r="AO14" i="3" s="1"/>
  <c r="V14" i="5" s="1"/>
  <c r="AC15" i="3"/>
  <c r="AJ15" i="3" s="1"/>
  <c r="Q15" i="5" s="1"/>
  <c r="AD15" i="3"/>
  <c r="AK15" i="3" s="1"/>
  <c r="R15" i="5" s="1"/>
  <c r="AE15" i="3"/>
  <c r="AL15" i="3" s="1"/>
  <c r="S15" i="5" s="1"/>
  <c r="AF15" i="3"/>
  <c r="AM15" i="3" s="1"/>
  <c r="T15" i="5" s="1"/>
  <c r="AG15" i="3"/>
  <c r="AN15" i="3" s="1"/>
  <c r="U15" i="5" s="1"/>
  <c r="AH15" i="3"/>
  <c r="AO15" i="3" s="1"/>
  <c r="V15" i="5" s="1"/>
  <c r="AC16" i="3"/>
  <c r="AJ16" i="3" s="1"/>
  <c r="Q16" i="5" s="1"/>
  <c r="AD16" i="3"/>
  <c r="AK16" i="3" s="1"/>
  <c r="R16" i="5" s="1"/>
  <c r="AE16" i="3"/>
  <c r="AL16" i="3" s="1"/>
  <c r="S16" i="5" s="1"/>
  <c r="AF16" i="3"/>
  <c r="AM16" i="3" s="1"/>
  <c r="T16" i="5" s="1"/>
  <c r="AG16" i="3"/>
  <c r="AN16" i="3" s="1"/>
  <c r="U16" i="5" s="1"/>
  <c r="AH16" i="3"/>
  <c r="AO16" i="3" s="1"/>
  <c r="V16" i="5" s="1"/>
  <c r="AC17" i="3"/>
  <c r="AJ17" i="3" s="1"/>
  <c r="Q17" i="5" s="1"/>
  <c r="AD17" i="3"/>
  <c r="AK17" i="3" s="1"/>
  <c r="R17" i="5" s="1"/>
  <c r="AE17" i="3"/>
  <c r="AL17" i="3" s="1"/>
  <c r="S17" i="5" s="1"/>
  <c r="AF17" i="3"/>
  <c r="AM17" i="3" s="1"/>
  <c r="T17" i="5" s="1"/>
  <c r="AG17" i="3"/>
  <c r="AN17" i="3" s="1"/>
  <c r="U17" i="5" s="1"/>
  <c r="AH17" i="3"/>
  <c r="AO17" i="3" s="1"/>
  <c r="V17" i="5" s="1"/>
  <c r="AC18" i="3"/>
  <c r="AJ18" i="3" s="1"/>
  <c r="Q18" i="5" s="1"/>
  <c r="AD18" i="3"/>
  <c r="AK18" i="3" s="1"/>
  <c r="R18" i="5" s="1"/>
  <c r="AE18" i="3"/>
  <c r="AL18" i="3" s="1"/>
  <c r="S18" i="5" s="1"/>
  <c r="AF18" i="3"/>
  <c r="AM18" i="3" s="1"/>
  <c r="T18" i="5" s="1"/>
  <c r="AG18" i="3"/>
  <c r="AN18" i="3" s="1"/>
  <c r="U18" i="5" s="1"/>
  <c r="AH18" i="3"/>
  <c r="AO18" i="3" s="1"/>
  <c r="V18" i="5" s="1"/>
  <c r="AC19" i="3"/>
  <c r="AJ19" i="3" s="1"/>
  <c r="Q19" i="5" s="1"/>
  <c r="AD19" i="3"/>
  <c r="AK19" i="3" s="1"/>
  <c r="R19" i="5" s="1"/>
  <c r="AE19" i="3"/>
  <c r="AL19" i="3" s="1"/>
  <c r="S19" i="5" s="1"/>
  <c r="AF19" i="3"/>
  <c r="AM19" i="3" s="1"/>
  <c r="T19" i="5" s="1"/>
  <c r="AG19" i="3"/>
  <c r="AN19" i="3" s="1"/>
  <c r="U19" i="5" s="1"/>
  <c r="AH19" i="3"/>
  <c r="AO19" i="3" s="1"/>
  <c r="V19" i="5" s="1"/>
  <c r="AC20" i="3"/>
  <c r="AJ20" i="3" s="1"/>
  <c r="Q20" i="5" s="1"/>
  <c r="AD20" i="3"/>
  <c r="AK20" i="3" s="1"/>
  <c r="R20" i="5" s="1"/>
  <c r="AE20" i="3"/>
  <c r="AL20" i="3" s="1"/>
  <c r="S20" i="5" s="1"/>
  <c r="AF20" i="3"/>
  <c r="AM20" i="3" s="1"/>
  <c r="T20" i="5" s="1"/>
  <c r="AG20" i="3"/>
  <c r="AN20" i="3" s="1"/>
  <c r="U20" i="5" s="1"/>
  <c r="AH20" i="3"/>
  <c r="AO20" i="3" s="1"/>
  <c r="V20" i="5" s="1"/>
  <c r="AC21" i="3"/>
  <c r="AJ21" i="3" s="1"/>
  <c r="Q21" i="5" s="1"/>
  <c r="AD21" i="3"/>
  <c r="AK21" i="3" s="1"/>
  <c r="R21" i="5" s="1"/>
  <c r="AE21" i="3"/>
  <c r="AL21" i="3" s="1"/>
  <c r="S21" i="5" s="1"/>
  <c r="AF21" i="3"/>
  <c r="AM21" i="3" s="1"/>
  <c r="T21" i="5" s="1"/>
  <c r="AG21" i="3"/>
  <c r="AN21" i="3" s="1"/>
  <c r="U21" i="5" s="1"/>
  <c r="AH21" i="3"/>
  <c r="AO21" i="3" s="1"/>
  <c r="V21" i="5" s="1"/>
  <c r="AC22" i="3"/>
  <c r="AJ22" i="3" s="1"/>
  <c r="Q22" i="5" s="1"/>
  <c r="AD22" i="3"/>
  <c r="AK22" i="3" s="1"/>
  <c r="R22" i="5" s="1"/>
  <c r="AE22" i="3"/>
  <c r="AL22" i="3" s="1"/>
  <c r="S22" i="5" s="1"/>
  <c r="AF22" i="3"/>
  <c r="AM22" i="3" s="1"/>
  <c r="T22" i="5" s="1"/>
  <c r="AG22" i="3"/>
  <c r="AN22" i="3" s="1"/>
  <c r="U22" i="5" s="1"/>
  <c r="AH22" i="3"/>
  <c r="AO22" i="3" s="1"/>
  <c r="V22" i="5" s="1"/>
  <c r="AC23" i="3"/>
  <c r="AJ23" i="3" s="1"/>
  <c r="Q23" i="5" s="1"/>
  <c r="AD23" i="3"/>
  <c r="AK23" i="3" s="1"/>
  <c r="R23" i="5" s="1"/>
  <c r="AE23" i="3"/>
  <c r="AL23" i="3" s="1"/>
  <c r="S23" i="5" s="1"/>
  <c r="AF23" i="3"/>
  <c r="AM23" i="3" s="1"/>
  <c r="T23" i="5" s="1"/>
  <c r="AG23" i="3"/>
  <c r="AN23" i="3" s="1"/>
  <c r="U23" i="5" s="1"/>
  <c r="AH23" i="3"/>
  <c r="AO23" i="3" s="1"/>
  <c r="V23" i="5" s="1"/>
  <c r="AC24" i="3"/>
  <c r="AJ24" i="3" s="1"/>
  <c r="Q24" i="5" s="1"/>
  <c r="AD24" i="3"/>
  <c r="AK24" i="3" s="1"/>
  <c r="R24" i="5" s="1"/>
  <c r="AE24" i="3"/>
  <c r="AL24" i="3" s="1"/>
  <c r="S24" i="5" s="1"/>
  <c r="AF24" i="3"/>
  <c r="AM24" i="3" s="1"/>
  <c r="T24" i="5" s="1"/>
  <c r="AG24" i="3"/>
  <c r="AN24" i="3" s="1"/>
  <c r="U24" i="5" s="1"/>
  <c r="AH24" i="3"/>
  <c r="AO24" i="3" s="1"/>
  <c r="V24" i="5" s="1"/>
  <c r="AC25" i="3"/>
  <c r="AJ25" i="3" s="1"/>
  <c r="Q25" i="5" s="1"/>
  <c r="AD25" i="3"/>
  <c r="AK25" i="3" s="1"/>
  <c r="R25" i="5" s="1"/>
  <c r="AE25" i="3"/>
  <c r="AL25" i="3" s="1"/>
  <c r="S25" i="5" s="1"/>
  <c r="AF25" i="3"/>
  <c r="AM25" i="3" s="1"/>
  <c r="T25" i="5" s="1"/>
  <c r="AG25" i="3"/>
  <c r="AN25" i="3" s="1"/>
  <c r="U25" i="5" s="1"/>
  <c r="AH25" i="3"/>
  <c r="AO25" i="3" s="1"/>
  <c r="V25" i="5" s="1"/>
  <c r="AC26" i="3"/>
  <c r="AJ26" i="3" s="1"/>
  <c r="Q26" i="5" s="1"/>
  <c r="AD26" i="3"/>
  <c r="AK26" i="3" s="1"/>
  <c r="R26" i="5" s="1"/>
  <c r="AE26" i="3"/>
  <c r="AL26" i="3" s="1"/>
  <c r="S26" i="5" s="1"/>
  <c r="AF26" i="3"/>
  <c r="AM26" i="3" s="1"/>
  <c r="T26" i="5" s="1"/>
  <c r="AG26" i="3"/>
  <c r="AN26" i="3" s="1"/>
  <c r="U26" i="5" s="1"/>
  <c r="AH26" i="3"/>
  <c r="AO26" i="3" s="1"/>
  <c r="V26" i="5" s="1"/>
  <c r="AC27" i="3"/>
  <c r="AJ27" i="3" s="1"/>
  <c r="Q27" i="5" s="1"/>
  <c r="AD27" i="3"/>
  <c r="AK27" i="3" s="1"/>
  <c r="R27" i="5" s="1"/>
  <c r="AE27" i="3"/>
  <c r="AL27" i="3" s="1"/>
  <c r="S27" i="5" s="1"/>
  <c r="AF27" i="3"/>
  <c r="AM27" i="3" s="1"/>
  <c r="T27" i="5" s="1"/>
  <c r="AG27" i="3"/>
  <c r="AN27" i="3" s="1"/>
  <c r="U27" i="5" s="1"/>
  <c r="AH27" i="3"/>
  <c r="AO27" i="3" s="1"/>
  <c r="V27" i="5" s="1"/>
  <c r="AC28" i="3"/>
  <c r="AJ28" i="3" s="1"/>
  <c r="Q28" i="5" s="1"/>
  <c r="AD28" i="3"/>
  <c r="AK28" i="3" s="1"/>
  <c r="R28" i="5" s="1"/>
  <c r="AE28" i="3"/>
  <c r="AL28" i="3" s="1"/>
  <c r="S28" i="5" s="1"/>
  <c r="AF28" i="3"/>
  <c r="AM28" i="3" s="1"/>
  <c r="T28" i="5" s="1"/>
  <c r="AG28" i="3"/>
  <c r="AN28" i="3" s="1"/>
  <c r="U28" i="5" s="1"/>
  <c r="AH28" i="3"/>
  <c r="AO28" i="3" s="1"/>
  <c r="V28" i="5" s="1"/>
  <c r="AC29" i="3"/>
  <c r="AJ29" i="3" s="1"/>
  <c r="Q29" i="5" s="1"/>
  <c r="AD29" i="3"/>
  <c r="AK29" i="3" s="1"/>
  <c r="R29" i="5" s="1"/>
  <c r="AE29" i="3"/>
  <c r="AL29" i="3" s="1"/>
  <c r="S29" i="5" s="1"/>
  <c r="AF29" i="3"/>
  <c r="AM29" i="3" s="1"/>
  <c r="T29" i="5" s="1"/>
  <c r="AG29" i="3"/>
  <c r="AN29" i="3" s="1"/>
  <c r="U29" i="5" s="1"/>
  <c r="AH29" i="3"/>
  <c r="AO29" i="3" s="1"/>
  <c r="V29" i="5" s="1"/>
  <c r="AC30" i="3"/>
  <c r="AJ30" i="3" s="1"/>
  <c r="Q30" i="5" s="1"/>
  <c r="AD30" i="3"/>
  <c r="AK30" i="3" s="1"/>
  <c r="R30" i="5" s="1"/>
  <c r="AE30" i="3"/>
  <c r="AL30" i="3" s="1"/>
  <c r="S30" i="5" s="1"/>
  <c r="AF30" i="3"/>
  <c r="AM30" i="3" s="1"/>
  <c r="T30" i="5" s="1"/>
  <c r="AG30" i="3"/>
  <c r="AN30" i="3" s="1"/>
  <c r="U30" i="5" s="1"/>
  <c r="AH30" i="3"/>
  <c r="AO30" i="3" s="1"/>
  <c r="V30" i="5" s="1"/>
  <c r="AC31" i="3"/>
  <c r="AJ31" i="3" s="1"/>
  <c r="Q31" i="5" s="1"/>
  <c r="AD31" i="3"/>
  <c r="AK31" i="3" s="1"/>
  <c r="R31" i="5" s="1"/>
  <c r="AE31" i="3"/>
  <c r="AL31" i="3" s="1"/>
  <c r="S31" i="5" s="1"/>
  <c r="AF31" i="3"/>
  <c r="AM31" i="3" s="1"/>
  <c r="T31" i="5" s="1"/>
  <c r="AG31" i="3"/>
  <c r="AN31" i="3" s="1"/>
  <c r="U31" i="5" s="1"/>
  <c r="AH31" i="3"/>
  <c r="AO31" i="3" s="1"/>
  <c r="V31" i="5" s="1"/>
  <c r="AC32" i="3"/>
  <c r="AJ32" i="3" s="1"/>
  <c r="Q32" i="5" s="1"/>
  <c r="AD32" i="3"/>
  <c r="AK32" i="3" s="1"/>
  <c r="R32" i="5" s="1"/>
  <c r="AE32" i="3"/>
  <c r="AL32" i="3" s="1"/>
  <c r="S32" i="5" s="1"/>
  <c r="AF32" i="3"/>
  <c r="AM32" i="3" s="1"/>
  <c r="T32" i="5" s="1"/>
  <c r="AG32" i="3"/>
  <c r="AN32" i="3" s="1"/>
  <c r="U32" i="5" s="1"/>
  <c r="AH32" i="3"/>
  <c r="AO32" i="3" s="1"/>
  <c r="V32" i="5" s="1"/>
  <c r="AC33" i="3"/>
  <c r="AJ33" i="3" s="1"/>
  <c r="Q33" i="5" s="1"/>
  <c r="AD33" i="3"/>
  <c r="AK33" i="3" s="1"/>
  <c r="R33" i="5" s="1"/>
  <c r="AE33" i="3"/>
  <c r="AL33" i="3" s="1"/>
  <c r="S33" i="5" s="1"/>
  <c r="AF33" i="3"/>
  <c r="AM33" i="3" s="1"/>
  <c r="T33" i="5" s="1"/>
  <c r="AG33" i="3"/>
  <c r="AN33" i="3" s="1"/>
  <c r="U33" i="5" s="1"/>
  <c r="AH33" i="3"/>
  <c r="AO33" i="3" s="1"/>
  <c r="V33" i="5" s="1"/>
  <c r="AC34" i="3"/>
  <c r="AJ34" i="3" s="1"/>
  <c r="Q34" i="5" s="1"/>
  <c r="AD34" i="3"/>
  <c r="AK34" i="3" s="1"/>
  <c r="R34" i="5" s="1"/>
  <c r="AE34" i="3"/>
  <c r="AL34" i="3" s="1"/>
  <c r="S34" i="5" s="1"/>
  <c r="AF34" i="3"/>
  <c r="AM34" i="3" s="1"/>
  <c r="T34" i="5" s="1"/>
  <c r="AG34" i="3"/>
  <c r="AN34" i="3" s="1"/>
  <c r="U34" i="5" s="1"/>
  <c r="AH34" i="3"/>
  <c r="AO34" i="3" s="1"/>
  <c r="V34" i="5" s="1"/>
  <c r="AC35" i="3"/>
  <c r="AJ35" i="3" s="1"/>
  <c r="Q35" i="5" s="1"/>
  <c r="AD35" i="3"/>
  <c r="AK35" i="3" s="1"/>
  <c r="R35" i="5" s="1"/>
  <c r="AE35" i="3"/>
  <c r="AL35" i="3" s="1"/>
  <c r="S35" i="5" s="1"/>
  <c r="AF35" i="3"/>
  <c r="AM35" i="3" s="1"/>
  <c r="T35" i="5" s="1"/>
  <c r="AG35" i="3"/>
  <c r="AN35" i="3" s="1"/>
  <c r="U35" i="5" s="1"/>
  <c r="AH35" i="3"/>
  <c r="AO35" i="3" s="1"/>
  <c r="V35" i="5" s="1"/>
  <c r="AC36" i="3"/>
  <c r="AJ36" i="3" s="1"/>
  <c r="Q36" i="5" s="1"/>
  <c r="AD36" i="3"/>
  <c r="AK36" i="3" s="1"/>
  <c r="R36" i="5" s="1"/>
  <c r="AE36" i="3"/>
  <c r="AL36" i="3" s="1"/>
  <c r="S36" i="5" s="1"/>
  <c r="AF36" i="3"/>
  <c r="AM36" i="3" s="1"/>
  <c r="T36" i="5" s="1"/>
  <c r="AG36" i="3"/>
  <c r="AN36" i="3" s="1"/>
  <c r="U36" i="5" s="1"/>
  <c r="AH36" i="3"/>
  <c r="AO36" i="3" s="1"/>
  <c r="V36" i="5" s="1"/>
  <c r="AC37" i="3"/>
  <c r="AJ37" i="3" s="1"/>
  <c r="Q37" i="5" s="1"/>
  <c r="AD37" i="3"/>
  <c r="AK37" i="3" s="1"/>
  <c r="R37" i="5" s="1"/>
  <c r="AE37" i="3"/>
  <c r="AL37" i="3" s="1"/>
  <c r="S37" i="5" s="1"/>
  <c r="AF37" i="3"/>
  <c r="AM37" i="3" s="1"/>
  <c r="T37" i="5" s="1"/>
  <c r="AG37" i="3"/>
  <c r="AN37" i="3" s="1"/>
  <c r="U37" i="5" s="1"/>
  <c r="AH37" i="3"/>
  <c r="AO37" i="3" s="1"/>
  <c r="V37" i="5" s="1"/>
  <c r="AC38" i="3"/>
  <c r="AJ38" i="3" s="1"/>
  <c r="Q38" i="5" s="1"/>
  <c r="AD38" i="3"/>
  <c r="AK38" i="3" s="1"/>
  <c r="R38" i="5" s="1"/>
  <c r="AE38" i="3"/>
  <c r="AL38" i="3" s="1"/>
  <c r="S38" i="5" s="1"/>
  <c r="AF38" i="3"/>
  <c r="AM38" i="3" s="1"/>
  <c r="T38" i="5" s="1"/>
  <c r="AG38" i="3"/>
  <c r="AN38" i="3" s="1"/>
  <c r="U38" i="5" s="1"/>
  <c r="AH38" i="3"/>
  <c r="AO38" i="3" s="1"/>
  <c r="V38" i="5" s="1"/>
  <c r="AC39" i="3"/>
  <c r="AJ39" i="3" s="1"/>
  <c r="Q39" i="5" s="1"/>
  <c r="AD39" i="3"/>
  <c r="AK39" i="3" s="1"/>
  <c r="R39" i="5" s="1"/>
  <c r="AE39" i="3"/>
  <c r="AL39" i="3" s="1"/>
  <c r="S39" i="5" s="1"/>
  <c r="AF39" i="3"/>
  <c r="AM39" i="3" s="1"/>
  <c r="T39" i="5" s="1"/>
  <c r="AG39" i="3"/>
  <c r="AN39" i="3" s="1"/>
  <c r="U39" i="5" s="1"/>
  <c r="AH39" i="3"/>
  <c r="AO39" i="3" s="1"/>
  <c r="V39" i="5" s="1"/>
  <c r="AC40" i="3"/>
  <c r="AJ40" i="3" s="1"/>
  <c r="Q40" i="5" s="1"/>
  <c r="AD40" i="3"/>
  <c r="AK40" i="3" s="1"/>
  <c r="R40" i="5" s="1"/>
  <c r="AE40" i="3"/>
  <c r="AL40" i="3" s="1"/>
  <c r="S40" i="5" s="1"/>
  <c r="AF40" i="3"/>
  <c r="AM40" i="3" s="1"/>
  <c r="T40" i="5" s="1"/>
  <c r="AG40" i="3"/>
  <c r="AN40" i="3" s="1"/>
  <c r="U40" i="5" s="1"/>
  <c r="AH40" i="3"/>
  <c r="AO40" i="3" s="1"/>
  <c r="V40" i="5" s="1"/>
  <c r="AC41" i="3"/>
  <c r="AJ41" i="3" s="1"/>
  <c r="Q41" i="5" s="1"/>
  <c r="AD41" i="3"/>
  <c r="AK41" i="3" s="1"/>
  <c r="R41" i="5" s="1"/>
  <c r="AE41" i="3"/>
  <c r="AL41" i="3" s="1"/>
  <c r="S41" i="5" s="1"/>
  <c r="AF41" i="3"/>
  <c r="AM41" i="3" s="1"/>
  <c r="T41" i="5" s="1"/>
  <c r="AG41" i="3"/>
  <c r="AN41" i="3" s="1"/>
  <c r="U41" i="5" s="1"/>
  <c r="AH41" i="3"/>
  <c r="AO41" i="3" s="1"/>
  <c r="V41" i="5" s="1"/>
  <c r="AC42" i="3"/>
  <c r="AJ42" i="3" s="1"/>
  <c r="Q42" i="5" s="1"/>
  <c r="AD42" i="3"/>
  <c r="AK42" i="3" s="1"/>
  <c r="R42" i="5" s="1"/>
  <c r="AE42" i="3"/>
  <c r="AL42" i="3" s="1"/>
  <c r="S42" i="5" s="1"/>
  <c r="AF42" i="3"/>
  <c r="AM42" i="3" s="1"/>
  <c r="T42" i="5" s="1"/>
  <c r="AG42" i="3"/>
  <c r="AN42" i="3" s="1"/>
  <c r="U42" i="5" s="1"/>
  <c r="AH42" i="3"/>
  <c r="AO42" i="3" s="1"/>
  <c r="V42" i="5" s="1"/>
  <c r="AC43" i="3"/>
  <c r="AJ43" i="3" s="1"/>
  <c r="Q43" i="5" s="1"/>
  <c r="AD43" i="3"/>
  <c r="AK43" i="3" s="1"/>
  <c r="R43" i="5" s="1"/>
  <c r="AE43" i="3"/>
  <c r="AL43" i="3" s="1"/>
  <c r="S43" i="5" s="1"/>
  <c r="AF43" i="3"/>
  <c r="AM43" i="3" s="1"/>
  <c r="T43" i="5" s="1"/>
  <c r="AG43" i="3"/>
  <c r="AN43" i="3" s="1"/>
  <c r="U43" i="5" s="1"/>
  <c r="AH43" i="3"/>
  <c r="AO43" i="3" s="1"/>
  <c r="V43" i="5" s="1"/>
  <c r="AC44" i="3"/>
  <c r="AJ44" i="3" s="1"/>
  <c r="Q44" i="5" s="1"/>
  <c r="AD44" i="3"/>
  <c r="AK44" i="3" s="1"/>
  <c r="R44" i="5" s="1"/>
  <c r="AE44" i="3"/>
  <c r="AL44" i="3" s="1"/>
  <c r="S44" i="5" s="1"/>
  <c r="AF44" i="3"/>
  <c r="AM44" i="3" s="1"/>
  <c r="T44" i="5" s="1"/>
  <c r="AG44" i="3"/>
  <c r="AN44" i="3" s="1"/>
  <c r="U44" i="5" s="1"/>
  <c r="AH44" i="3"/>
  <c r="AO44" i="3" s="1"/>
  <c r="V44" i="5" s="1"/>
  <c r="AC45" i="3"/>
  <c r="AJ45" i="3" s="1"/>
  <c r="Q45" i="5" s="1"/>
  <c r="AD45" i="3"/>
  <c r="AK45" i="3" s="1"/>
  <c r="R45" i="5" s="1"/>
  <c r="AE45" i="3"/>
  <c r="AL45" i="3" s="1"/>
  <c r="S45" i="5" s="1"/>
  <c r="AF45" i="3"/>
  <c r="AM45" i="3" s="1"/>
  <c r="T45" i="5" s="1"/>
  <c r="AG45" i="3"/>
  <c r="AN45" i="3" s="1"/>
  <c r="U45" i="5" s="1"/>
  <c r="AH45" i="3"/>
  <c r="AO45" i="3" s="1"/>
  <c r="V45" i="5" s="1"/>
  <c r="AC46" i="3"/>
  <c r="AJ46" i="3" s="1"/>
  <c r="Q46" i="5" s="1"/>
  <c r="AD46" i="3"/>
  <c r="AK46" i="3" s="1"/>
  <c r="R46" i="5" s="1"/>
  <c r="AE46" i="3"/>
  <c r="AL46" i="3" s="1"/>
  <c r="S46" i="5" s="1"/>
  <c r="AF46" i="3"/>
  <c r="AM46" i="3" s="1"/>
  <c r="T46" i="5" s="1"/>
  <c r="AG46" i="3"/>
  <c r="AN46" i="3" s="1"/>
  <c r="U46" i="5" s="1"/>
  <c r="AH46" i="3"/>
  <c r="AO46" i="3" s="1"/>
  <c r="V46" i="5" s="1"/>
  <c r="AC47" i="3"/>
  <c r="AJ47" i="3" s="1"/>
  <c r="Q47" i="5" s="1"/>
  <c r="AD47" i="3"/>
  <c r="AK47" i="3" s="1"/>
  <c r="R47" i="5" s="1"/>
  <c r="AE47" i="3"/>
  <c r="AL47" i="3" s="1"/>
  <c r="S47" i="5" s="1"/>
  <c r="AF47" i="3"/>
  <c r="AM47" i="3" s="1"/>
  <c r="T47" i="5" s="1"/>
  <c r="AG47" i="3"/>
  <c r="AN47" i="3" s="1"/>
  <c r="U47" i="5" s="1"/>
  <c r="AH47" i="3"/>
  <c r="AO47" i="3" s="1"/>
  <c r="V47" i="5" s="1"/>
  <c r="AC48" i="3"/>
  <c r="AJ48" i="3" s="1"/>
  <c r="Q48" i="5" s="1"/>
  <c r="AD48" i="3"/>
  <c r="AK48" i="3" s="1"/>
  <c r="R48" i="5" s="1"/>
  <c r="AE48" i="3"/>
  <c r="AL48" i="3" s="1"/>
  <c r="S48" i="5" s="1"/>
  <c r="AF48" i="3"/>
  <c r="AM48" i="3" s="1"/>
  <c r="T48" i="5" s="1"/>
  <c r="AG48" i="3"/>
  <c r="AN48" i="3" s="1"/>
  <c r="U48" i="5" s="1"/>
  <c r="AH48" i="3"/>
  <c r="AO48" i="3" s="1"/>
  <c r="V48" i="5" s="1"/>
  <c r="AC49" i="3"/>
  <c r="AJ49" i="3" s="1"/>
  <c r="Q49" i="5" s="1"/>
  <c r="AD49" i="3"/>
  <c r="AK49" i="3" s="1"/>
  <c r="R49" i="5" s="1"/>
  <c r="AE49" i="3"/>
  <c r="AL49" i="3" s="1"/>
  <c r="S49" i="5" s="1"/>
  <c r="AF49" i="3"/>
  <c r="AM49" i="3" s="1"/>
  <c r="T49" i="5" s="1"/>
  <c r="AG49" i="3"/>
  <c r="AN49" i="3" s="1"/>
  <c r="U49" i="5" s="1"/>
  <c r="AH49" i="3"/>
  <c r="AO49" i="3" s="1"/>
  <c r="V49" i="5" s="1"/>
  <c r="AC50" i="3"/>
  <c r="AJ50" i="3" s="1"/>
  <c r="Q50" i="5" s="1"/>
  <c r="AD50" i="3"/>
  <c r="AK50" i="3" s="1"/>
  <c r="R50" i="5" s="1"/>
  <c r="AE50" i="3"/>
  <c r="AL50" i="3" s="1"/>
  <c r="S50" i="5" s="1"/>
  <c r="AF50" i="3"/>
  <c r="AM50" i="3" s="1"/>
  <c r="T50" i="5" s="1"/>
  <c r="AG50" i="3"/>
  <c r="AN50" i="3" s="1"/>
  <c r="U50" i="5" s="1"/>
  <c r="AH50" i="3"/>
  <c r="AO50" i="3" s="1"/>
  <c r="V50" i="5" s="1"/>
  <c r="AC51" i="3"/>
  <c r="AJ51" i="3" s="1"/>
  <c r="Q51" i="5" s="1"/>
  <c r="AD51" i="3"/>
  <c r="AK51" i="3" s="1"/>
  <c r="R51" i="5" s="1"/>
  <c r="AE51" i="3"/>
  <c r="AL51" i="3" s="1"/>
  <c r="S51" i="5" s="1"/>
  <c r="AF51" i="3"/>
  <c r="AM51" i="3" s="1"/>
  <c r="T51" i="5" s="1"/>
  <c r="AG51" i="3"/>
  <c r="AN51" i="3" s="1"/>
  <c r="U51" i="5" s="1"/>
  <c r="AH51" i="3"/>
  <c r="AO51" i="3" s="1"/>
  <c r="V51" i="5" s="1"/>
  <c r="AC52" i="3"/>
  <c r="AJ52" i="3" s="1"/>
  <c r="Q52" i="5" s="1"/>
  <c r="AD52" i="3"/>
  <c r="AK52" i="3" s="1"/>
  <c r="R52" i="5" s="1"/>
  <c r="AE52" i="3"/>
  <c r="AL52" i="3" s="1"/>
  <c r="S52" i="5" s="1"/>
  <c r="AF52" i="3"/>
  <c r="AM52" i="3" s="1"/>
  <c r="T52" i="5" s="1"/>
  <c r="AG52" i="3"/>
  <c r="AN52" i="3" s="1"/>
  <c r="U52" i="5" s="1"/>
  <c r="AH52" i="3"/>
  <c r="AO52" i="3" s="1"/>
  <c r="V52" i="5" s="1"/>
  <c r="AC53" i="3"/>
  <c r="AJ53" i="3" s="1"/>
  <c r="Q53" i="5" s="1"/>
  <c r="AD53" i="3"/>
  <c r="AK53" i="3" s="1"/>
  <c r="R53" i="5" s="1"/>
  <c r="AE53" i="3"/>
  <c r="AL53" i="3" s="1"/>
  <c r="S53" i="5" s="1"/>
  <c r="AF53" i="3"/>
  <c r="AM53" i="3" s="1"/>
  <c r="T53" i="5" s="1"/>
  <c r="AG53" i="3"/>
  <c r="AN53" i="3" s="1"/>
  <c r="U53" i="5" s="1"/>
  <c r="AH53" i="3"/>
  <c r="AO53" i="3" s="1"/>
  <c r="V53" i="5" s="1"/>
  <c r="AC54" i="3"/>
  <c r="AJ54" i="3" s="1"/>
  <c r="Q54" i="5" s="1"/>
  <c r="AD54" i="3"/>
  <c r="AK54" i="3" s="1"/>
  <c r="R54" i="5" s="1"/>
  <c r="AE54" i="3"/>
  <c r="AL54" i="3" s="1"/>
  <c r="S54" i="5" s="1"/>
  <c r="AF54" i="3"/>
  <c r="AM54" i="3" s="1"/>
  <c r="T54" i="5" s="1"/>
  <c r="AG54" i="3"/>
  <c r="AN54" i="3" s="1"/>
  <c r="U54" i="5" s="1"/>
  <c r="AH54" i="3"/>
  <c r="AO54" i="3" s="1"/>
  <c r="V54" i="5" s="1"/>
  <c r="AC55" i="3"/>
  <c r="AJ55" i="3" s="1"/>
  <c r="Q55" i="5" s="1"/>
  <c r="AD55" i="3"/>
  <c r="AK55" i="3" s="1"/>
  <c r="R55" i="5" s="1"/>
  <c r="AE55" i="3"/>
  <c r="AL55" i="3" s="1"/>
  <c r="S55" i="5" s="1"/>
  <c r="AF55" i="3"/>
  <c r="AM55" i="3" s="1"/>
  <c r="T55" i="5" s="1"/>
  <c r="AG55" i="3"/>
  <c r="AN55" i="3" s="1"/>
  <c r="U55" i="5" s="1"/>
  <c r="AH55" i="3"/>
  <c r="AO55" i="3" s="1"/>
  <c r="V55" i="5" s="1"/>
  <c r="AC56" i="3"/>
  <c r="AJ56" i="3" s="1"/>
  <c r="Q56" i="5" s="1"/>
  <c r="AD56" i="3"/>
  <c r="AK56" i="3" s="1"/>
  <c r="R56" i="5" s="1"/>
  <c r="AE56" i="3"/>
  <c r="AL56" i="3" s="1"/>
  <c r="S56" i="5" s="1"/>
  <c r="AF56" i="3"/>
  <c r="AM56" i="3" s="1"/>
  <c r="T56" i="5" s="1"/>
  <c r="AG56" i="3"/>
  <c r="AN56" i="3" s="1"/>
  <c r="U56" i="5" s="1"/>
  <c r="AH56" i="3"/>
  <c r="AO56" i="3" s="1"/>
  <c r="V56" i="5" s="1"/>
  <c r="AC57" i="3"/>
  <c r="AJ57" i="3" s="1"/>
  <c r="Q57" i="5" s="1"/>
  <c r="AD57" i="3"/>
  <c r="AK57" i="3" s="1"/>
  <c r="R57" i="5" s="1"/>
  <c r="AE57" i="3"/>
  <c r="AL57" i="3" s="1"/>
  <c r="S57" i="5" s="1"/>
  <c r="AF57" i="3"/>
  <c r="AM57" i="3" s="1"/>
  <c r="T57" i="5" s="1"/>
  <c r="AG57" i="3"/>
  <c r="AN57" i="3" s="1"/>
  <c r="U57" i="5" s="1"/>
  <c r="AH57" i="3"/>
  <c r="AO57" i="3" s="1"/>
  <c r="V57" i="5" s="1"/>
  <c r="AC58" i="3"/>
  <c r="AJ58" i="3" s="1"/>
  <c r="Q58" i="5" s="1"/>
  <c r="AD58" i="3"/>
  <c r="AK58" i="3" s="1"/>
  <c r="R58" i="5" s="1"/>
  <c r="AE58" i="3"/>
  <c r="AL58" i="3" s="1"/>
  <c r="S58" i="5" s="1"/>
  <c r="AF58" i="3"/>
  <c r="AM58" i="3" s="1"/>
  <c r="T58" i="5" s="1"/>
  <c r="AG58" i="3"/>
  <c r="AN58" i="3" s="1"/>
  <c r="U58" i="5" s="1"/>
  <c r="AH58" i="3"/>
  <c r="AO58" i="3" s="1"/>
  <c r="V58" i="5" s="1"/>
  <c r="AC59" i="3"/>
  <c r="AJ59" i="3" s="1"/>
  <c r="Q59" i="5" s="1"/>
  <c r="AD59" i="3"/>
  <c r="AK59" i="3" s="1"/>
  <c r="R59" i="5" s="1"/>
  <c r="AE59" i="3"/>
  <c r="AL59" i="3" s="1"/>
  <c r="S59" i="5" s="1"/>
  <c r="AF59" i="3"/>
  <c r="AM59" i="3" s="1"/>
  <c r="T59" i="5" s="1"/>
  <c r="AG59" i="3"/>
  <c r="AN59" i="3" s="1"/>
  <c r="U59" i="5" s="1"/>
  <c r="AH59" i="3"/>
  <c r="AO59" i="3" s="1"/>
  <c r="V59" i="5" s="1"/>
  <c r="AC60" i="3"/>
  <c r="AJ60" i="3" s="1"/>
  <c r="Q60" i="5" s="1"/>
  <c r="AD60" i="3"/>
  <c r="AK60" i="3" s="1"/>
  <c r="R60" i="5" s="1"/>
  <c r="AE60" i="3"/>
  <c r="AL60" i="3" s="1"/>
  <c r="S60" i="5" s="1"/>
  <c r="AF60" i="3"/>
  <c r="AM60" i="3" s="1"/>
  <c r="T60" i="5" s="1"/>
  <c r="AG60" i="3"/>
  <c r="AN60" i="3" s="1"/>
  <c r="U60" i="5" s="1"/>
  <c r="AH60" i="3"/>
  <c r="AO60" i="3" s="1"/>
  <c r="V60" i="5" s="1"/>
  <c r="AC61" i="3"/>
  <c r="AJ61" i="3" s="1"/>
  <c r="Q61" i="5" s="1"/>
  <c r="AD61" i="3"/>
  <c r="AK61" i="3" s="1"/>
  <c r="R61" i="5" s="1"/>
  <c r="AE61" i="3"/>
  <c r="AL61" i="3" s="1"/>
  <c r="S61" i="5" s="1"/>
  <c r="AF61" i="3"/>
  <c r="AM61" i="3" s="1"/>
  <c r="T61" i="5" s="1"/>
  <c r="AG61" i="3"/>
  <c r="AN61" i="3" s="1"/>
  <c r="U61" i="5" s="1"/>
  <c r="AH61" i="3"/>
  <c r="AO61" i="3" s="1"/>
  <c r="V61" i="5" s="1"/>
  <c r="AC62" i="3"/>
  <c r="AJ62" i="3" s="1"/>
  <c r="Q62" i="5" s="1"/>
  <c r="AD62" i="3"/>
  <c r="AK62" i="3" s="1"/>
  <c r="R62" i="5" s="1"/>
  <c r="AE62" i="3"/>
  <c r="AL62" i="3" s="1"/>
  <c r="S62" i="5" s="1"/>
  <c r="AF62" i="3"/>
  <c r="AM62" i="3" s="1"/>
  <c r="T62" i="5" s="1"/>
  <c r="AG62" i="3"/>
  <c r="AN62" i="3" s="1"/>
  <c r="U62" i="5" s="1"/>
  <c r="AH62" i="3"/>
  <c r="AO62" i="3" s="1"/>
  <c r="V62" i="5" s="1"/>
  <c r="AC63" i="3"/>
  <c r="AJ63" i="3" s="1"/>
  <c r="Q63" i="5" s="1"/>
  <c r="AD63" i="3"/>
  <c r="AK63" i="3" s="1"/>
  <c r="R63" i="5" s="1"/>
  <c r="AE63" i="3"/>
  <c r="AL63" i="3" s="1"/>
  <c r="S63" i="5" s="1"/>
  <c r="AF63" i="3"/>
  <c r="AM63" i="3" s="1"/>
  <c r="T63" i="5" s="1"/>
  <c r="AG63" i="3"/>
  <c r="AN63" i="3" s="1"/>
  <c r="U63" i="5" s="1"/>
  <c r="AH63" i="3"/>
  <c r="AO63" i="3" s="1"/>
  <c r="V63" i="5" s="1"/>
  <c r="AC64" i="3"/>
  <c r="AJ64" i="3" s="1"/>
  <c r="Q64" i="5" s="1"/>
  <c r="AD64" i="3"/>
  <c r="AK64" i="3" s="1"/>
  <c r="R64" i="5" s="1"/>
  <c r="AE64" i="3"/>
  <c r="AL64" i="3" s="1"/>
  <c r="S64" i="5" s="1"/>
  <c r="AF64" i="3"/>
  <c r="AM64" i="3" s="1"/>
  <c r="T64" i="5" s="1"/>
  <c r="AG64" i="3"/>
  <c r="AN64" i="3" s="1"/>
  <c r="U64" i="5" s="1"/>
  <c r="AH64" i="3"/>
  <c r="AO64" i="3" s="1"/>
  <c r="V64" i="5" s="1"/>
  <c r="AC65" i="3"/>
  <c r="AJ65" i="3" s="1"/>
  <c r="Q65" i="5" s="1"/>
  <c r="AD65" i="3"/>
  <c r="AK65" i="3" s="1"/>
  <c r="R65" i="5" s="1"/>
  <c r="AE65" i="3"/>
  <c r="AL65" i="3" s="1"/>
  <c r="S65" i="5" s="1"/>
  <c r="AF65" i="3"/>
  <c r="AM65" i="3" s="1"/>
  <c r="T65" i="5" s="1"/>
  <c r="AG65" i="3"/>
  <c r="AN65" i="3" s="1"/>
  <c r="U65" i="5" s="1"/>
  <c r="AH65" i="3"/>
  <c r="AO65" i="3" s="1"/>
  <c r="V65" i="5" s="1"/>
  <c r="AC66" i="3"/>
  <c r="AJ66" i="3" s="1"/>
  <c r="Q66" i="5" s="1"/>
  <c r="AD66" i="3"/>
  <c r="AK66" i="3" s="1"/>
  <c r="R66" i="5" s="1"/>
  <c r="AE66" i="3"/>
  <c r="AL66" i="3" s="1"/>
  <c r="S66" i="5" s="1"/>
  <c r="AF66" i="3"/>
  <c r="AM66" i="3" s="1"/>
  <c r="T66" i="5" s="1"/>
  <c r="AG66" i="3"/>
  <c r="AN66" i="3" s="1"/>
  <c r="U66" i="5" s="1"/>
  <c r="AH66" i="3"/>
  <c r="AO66" i="3" s="1"/>
  <c r="V66" i="5" s="1"/>
  <c r="AC67" i="3"/>
  <c r="AJ67" i="3" s="1"/>
  <c r="Q67" i="5" s="1"/>
  <c r="AD67" i="3"/>
  <c r="AK67" i="3" s="1"/>
  <c r="R67" i="5" s="1"/>
  <c r="AE67" i="3"/>
  <c r="AL67" i="3" s="1"/>
  <c r="S67" i="5" s="1"/>
  <c r="AF67" i="3"/>
  <c r="AM67" i="3" s="1"/>
  <c r="T67" i="5" s="1"/>
  <c r="AG67" i="3"/>
  <c r="AN67" i="3" s="1"/>
  <c r="U67" i="5" s="1"/>
  <c r="AH67" i="3"/>
  <c r="AO67" i="3" s="1"/>
  <c r="V67" i="5" s="1"/>
  <c r="AC68" i="3"/>
  <c r="AJ68" i="3" s="1"/>
  <c r="Q68" i="5" s="1"/>
  <c r="AD68" i="3"/>
  <c r="AK68" i="3" s="1"/>
  <c r="R68" i="5" s="1"/>
  <c r="AE68" i="3"/>
  <c r="AL68" i="3" s="1"/>
  <c r="S68" i="5" s="1"/>
  <c r="AF68" i="3"/>
  <c r="AM68" i="3" s="1"/>
  <c r="T68" i="5" s="1"/>
  <c r="AG68" i="3"/>
  <c r="AN68" i="3" s="1"/>
  <c r="U68" i="5" s="1"/>
  <c r="AH68" i="3"/>
  <c r="AO68" i="3" s="1"/>
  <c r="V68" i="5" s="1"/>
  <c r="AC69" i="3"/>
  <c r="AJ69" i="3" s="1"/>
  <c r="Q69" i="5" s="1"/>
  <c r="AD69" i="3"/>
  <c r="AK69" i="3" s="1"/>
  <c r="R69" i="5" s="1"/>
  <c r="AE69" i="3"/>
  <c r="AL69" i="3" s="1"/>
  <c r="S69" i="5" s="1"/>
  <c r="AF69" i="3"/>
  <c r="AM69" i="3" s="1"/>
  <c r="T69" i="5" s="1"/>
  <c r="AG69" i="3"/>
  <c r="AN69" i="3" s="1"/>
  <c r="U69" i="5" s="1"/>
  <c r="AH69" i="3"/>
  <c r="AO69" i="3" s="1"/>
  <c r="V69" i="5" s="1"/>
  <c r="AC70" i="3"/>
  <c r="AJ70" i="3" s="1"/>
  <c r="Q70" i="5" s="1"/>
  <c r="AD70" i="3"/>
  <c r="AK70" i="3" s="1"/>
  <c r="R70" i="5" s="1"/>
  <c r="AE70" i="3"/>
  <c r="AL70" i="3" s="1"/>
  <c r="S70" i="5" s="1"/>
  <c r="AF70" i="3"/>
  <c r="AM70" i="3" s="1"/>
  <c r="T70" i="5" s="1"/>
  <c r="AG70" i="3"/>
  <c r="AN70" i="3" s="1"/>
  <c r="U70" i="5" s="1"/>
  <c r="AH70" i="3"/>
  <c r="AO70" i="3" s="1"/>
  <c r="V70" i="5" s="1"/>
  <c r="AC71" i="3"/>
  <c r="AJ71" i="3" s="1"/>
  <c r="Q71" i="5" s="1"/>
  <c r="AD71" i="3"/>
  <c r="AK71" i="3" s="1"/>
  <c r="R71" i="5" s="1"/>
  <c r="AE71" i="3"/>
  <c r="AL71" i="3" s="1"/>
  <c r="S71" i="5" s="1"/>
  <c r="AF71" i="3"/>
  <c r="AM71" i="3" s="1"/>
  <c r="T71" i="5" s="1"/>
  <c r="AG71" i="3"/>
  <c r="AN71" i="3" s="1"/>
  <c r="U71" i="5" s="1"/>
  <c r="AH71" i="3"/>
  <c r="AO71" i="3" s="1"/>
  <c r="V71" i="5" s="1"/>
  <c r="AC72" i="3"/>
  <c r="AJ72" i="3" s="1"/>
  <c r="Q72" i="5" s="1"/>
  <c r="AD72" i="3"/>
  <c r="AK72" i="3" s="1"/>
  <c r="R72" i="5" s="1"/>
  <c r="AE72" i="3"/>
  <c r="AL72" i="3" s="1"/>
  <c r="S72" i="5" s="1"/>
  <c r="AF72" i="3"/>
  <c r="AM72" i="3" s="1"/>
  <c r="T72" i="5" s="1"/>
  <c r="AG72" i="3"/>
  <c r="AN72" i="3" s="1"/>
  <c r="U72" i="5" s="1"/>
  <c r="AH72" i="3"/>
  <c r="AO72" i="3" s="1"/>
  <c r="V72" i="5" s="1"/>
  <c r="AC73" i="3"/>
  <c r="AJ73" i="3" s="1"/>
  <c r="Q73" i="5" s="1"/>
  <c r="AD73" i="3"/>
  <c r="AK73" i="3" s="1"/>
  <c r="R73" i="5" s="1"/>
  <c r="AE73" i="3"/>
  <c r="AL73" i="3" s="1"/>
  <c r="S73" i="5" s="1"/>
  <c r="AF73" i="3"/>
  <c r="AM73" i="3" s="1"/>
  <c r="T73" i="5" s="1"/>
  <c r="AG73" i="3"/>
  <c r="AN73" i="3" s="1"/>
  <c r="U73" i="5" s="1"/>
  <c r="AH73" i="3"/>
  <c r="AO73" i="3" s="1"/>
  <c r="V73" i="5" s="1"/>
  <c r="AC74" i="3"/>
  <c r="AJ74" i="3" s="1"/>
  <c r="Q74" i="5" s="1"/>
  <c r="AD74" i="3"/>
  <c r="AK74" i="3" s="1"/>
  <c r="R74" i="5" s="1"/>
  <c r="AE74" i="3"/>
  <c r="AL74" i="3" s="1"/>
  <c r="S74" i="5" s="1"/>
  <c r="AF74" i="3"/>
  <c r="AM74" i="3" s="1"/>
  <c r="T74" i="5" s="1"/>
  <c r="AG74" i="3"/>
  <c r="AN74" i="3" s="1"/>
  <c r="U74" i="5" s="1"/>
  <c r="AH74" i="3"/>
  <c r="AO74" i="3" s="1"/>
  <c r="V74" i="5" s="1"/>
  <c r="AC75" i="3"/>
  <c r="AJ75" i="3" s="1"/>
  <c r="Q75" i="5" s="1"/>
  <c r="AD75" i="3"/>
  <c r="AK75" i="3" s="1"/>
  <c r="R75" i="5" s="1"/>
  <c r="AE75" i="3"/>
  <c r="AL75" i="3" s="1"/>
  <c r="S75" i="5" s="1"/>
  <c r="AF75" i="3"/>
  <c r="AM75" i="3" s="1"/>
  <c r="T75" i="5" s="1"/>
  <c r="AG75" i="3"/>
  <c r="AN75" i="3" s="1"/>
  <c r="U75" i="5" s="1"/>
  <c r="AH75" i="3"/>
  <c r="AO75" i="3" s="1"/>
  <c r="V75" i="5" s="1"/>
  <c r="AC76" i="3"/>
  <c r="AJ76" i="3" s="1"/>
  <c r="Q76" i="5" s="1"/>
  <c r="AD76" i="3"/>
  <c r="AK76" i="3" s="1"/>
  <c r="R76" i="5" s="1"/>
  <c r="AE76" i="3"/>
  <c r="AL76" i="3" s="1"/>
  <c r="S76" i="5" s="1"/>
  <c r="AF76" i="3"/>
  <c r="AM76" i="3" s="1"/>
  <c r="T76" i="5" s="1"/>
  <c r="AG76" i="3"/>
  <c r="AN76" i="3" s="1"/>
  <c r="U76" i="5" s="1"/>
  <c r="AH76" i="3"/>
  <c r="AO76" i="3" s="1"/>
  <c r="V76" i="5" s="1"/>
  <c r="AC77" i="3"/>
  <c r="AJ77" i="3" s="1"/>
  <c r="Q77" i="5" s="1"/>
  <c r="AD77" i="3"/>
  <c r="AK77" i="3" s="1"/>
  <c r="R77" i="5" s="1"/>
  <c r="AE77" i="3"/>
  <c r="AL77" i="3" s="1"/>
  <c r="S77" i="5" s="1"/>
  <c r="AF77" i="3"/>
  <c r="AM77" i="3" s="1"/>
  <c r="T77" i="5" s="1"/>
  <c r="AG77" i="3"/>
  <c r="AN77" i="3" s="1"/>
  <c r="U77" i="5" s="1"/>
  <c r="AH77" i="3"/>
  <c r="AO77" i="3" s="1"/>
  <c r="V77" i="5" s="1"/>
  <c r="AC78" i="3"/>
  <c r="AJ78" i="3" s="1"/>
  <c r="Q78" i="5" s="1"/>
  <c r="AD78" i="3"/>
  <c r="AK78" i="3" s="1"/>
  <c r="R78" i="5" s="1"/>
  <c r="AE78" i="3"/>
  <c r="AL78" i="3" s="1"/>
  <c r="S78" i="5" s="1"/>
  <c r="AF78" i="3"/>
  <c r="AM78" i="3" s="1"/>
  <c r="T78" i="5" s="1"/>
  <c r="AG78" i="3"/>
  <c r="AN78" i="3" s="1"/>
  <c r="U78" i="5" s="1"/>
  <c r="AH78" i="3"/>
  <c r="AO78" i="3" s="1"/>
  <c r="V78" i="5" s="1"/>
  <c r="AC79" i="3"/>
  <c r="AJ79" i="3" s="1"/>
  <c r="Q79" i="5" s="1"/>
  <c r="AD79" i="3"/>
  <c r="AK79" i="3" s="1"/>
  <c r="R79" i="5" s="1"/>
  <c r="AE79" i="3"/>
  <c r="AL79" i="3" s="1"/>
  <c r="S79" i="5" s="1"/>
  <c r="AF79" i="3"/>
  <c r="AM79" i="3" s="1"/>
  <c r="T79" i="5" s="1"/>
  <c r="AG79" i="3"/>
  <c r="AN79" i="3" s="1"/>
  <c r="U79" i="5" s="1"/>
  <c r="AH79" i="3"/>
  <c r="AO79" i="3" s="1"/>
  <c r="V79" i="5" s="1"/>
  <c r="AC80" i="3"/>
  <c r="AJ80" i="3" s="1"/>
  <c r="Q80" i="5" s="1"/>
  <c r="AD80" i="3"/>
  <c r="AK80" i="3" s="1"/>
  <c r="R80" i="5" s="1"/>
  <c r="AE80" i="3"/>
  <c r="AL80" i="3" s="1"/>
  <c r="S80" i="5" s="1"/>
  <c r="AF80" i="3"/>
  <c r="AM80" i="3" s="1"/>
  <c r="T80" i="5" s="1"/>
  <c r="AG80" i="3"/>
  <c r="AN80" i="3" s="1"/>
  <c r="U80" i="5" s="1"/>
  <c r="AH80" i="3"/>
  <c r="AO80" i="3" s="1"/>
  <c r="V80" i="5" s="1"/>
  <c r="AC81" i="3"/>
  <c r="AJ81" i="3" s="1"/>
  <c r="Q81" i="5" s="1"/>
  <c r="AD81" i="3"/>
  <c r="AK81" i="3" s="1"/>
  <c r="R81" i="5" s="1"/>
  <c r="AE81" i="3"/>
  <c r="AL81" i="3" s="1"/>
  <c r="S81" i="5" s="1"/>
  <c r="AF81" i="3"/>
  <c r="AM81" i="3" s="1"/>
  <c r="T81" i="5" s="1"/>
  <c r="AG81" i="3"/>
  <c r="AN81" i="3" s="1"/>
  <c r="U81" i="5" s="1"/>
  <c r="AH81" i="3"/>
  <c r="AO81" i="3" s="1"/>
  <c r="V81" i="5" s="1"/>
  <c r="AC82" i="3"/>
  <c r="AJ82" i="3" s="1"/>
  <c r="Q82" i="5" s="1"/>
  <c r="AD82" i="3"/>
  <c r="AK82" i="3" s="1"/>
  <c r="R82" i="5" s="1"/>
  <c r="AE82" i="3"/>
  <c r="AL82" i="3" s="1"/>
  <c r="S82" i="5" s="1"/>
  <c r="AF82" i="3"/>
  <c r="AM82" i="3" s="1"/>
  <c r="T82" i="5" s="1"/>
  <c r="AG82" i="3"/>
  <c r="AN82" i="3" s="1"/>
  <c r="U82" i="5" s="1"/>
  <c r="AH82" i="3"/>
  <c r="AO82" i="3" s="1"/>
  <c r="V82" i="5" s="1"/>
  <c r="AC83" i="3"/>
  <c r="AJ83" i="3" s="1"/>
  <c r="Q83" i="5" s="1"/>
  <c r="AD83" i="3"/>
  <c r="AK83" i="3" s="1"/>
  <c r="R83" i="5" s="1"/>
  <c r="AE83" i="3"/>
  <c r="AL83" i="3" s="1"/>
  <c r="S83" i="5" s="1"/>
  <c r="AF83" i="3"/>
  <c r="AM83" i="3" s="1"/>
  <c r="T83" i="5" s="1"/>
  <c r="AG83" i="3"/>
  <c r="AN83" i="3" s="1"/>
  <c r="U83" i="5" s="1"/>
  <c r="AH83" i="3"/>
  <c r="AO83" i="3" s="1"/>
  <c r="V83" i="5" s="1"/>
  <c r="AC84" i="3"/>
  <c r="AJ84" i="3" s="1"/>
  <c r="Q84" i="5" s="1"/>
  <c r="AD84" i="3"/>
  <c r="AK84" i="3" s="1"/>
  <c r="R84" i="5" s="1"/>
  <c r="AE84" i="3"/>
  <c r="AL84" i="3" s="1"/>
  <c r="S84" i="5" s="1"/>
  <c r="AF84" i="3"/>
  <c r="AM84" i="3" s="1"/>
  <c r="T84" i="5" s="1"/>
  <c r="AG84" i="3"/>
  <c r="AN84" i="3" s="1"/>
  <c r="U84" i="5" s="1"/>
  <c r="AH84" i="3"/>
  <c r="AO84" i="3" s="1"/>
  <c r="V84" i="5" s="1"/>
  <c r="AC85" i="3"/>
  <c r="AJ85" i="3" s="1"/>
  <c r="Q85" i="5" s="1"/>
  <c r="AD85" i="3"/>
  <c r="AK85" i="3" s="1"/>
  <c r="R85" i="5" s="1"/>
  <c r="AE85" i="3"/>
  <c r="AL85" i="3" s="1"/>
  <c r="S85" i="5" s="1"/>
  <c r="AF85" i="3"/>
  <c r="AM85" i="3" s="1"/>
  <c r="T85" i="5" s="1"/>
  <c r="AG85" i="3"/>
  <c r="AN85" i="3" s="1"/>
  <c r="U85" i="5" s="1"/>
  <c r="AH85" i="3"/>
  <c r="AO85" i="3" s="1"/>
  <c r="V85" i="5" s="1"/>
  <c r="AC86" i="3"/>
  <c r="AJ86" i="3" s="1"/>
  <c r="Q86" i="5" s="1"/>
  <c r="AD86" i="3"/>
  <c r="AK86" i="3" s="1"/>
  <c r="R86" i="5" s="1"/>
  <c r="AE86" i="3"/>
  <c r="AL86" i="3" s="1"/>
  <c r="S86" i="5" s="1"/>
  <c r="AF86" i="3"/>
  <c r="AM86" i="3" s="1"/>
  <c r="T86" i="5" s="1"/>
  <c r="AG86" i="3"/>
  <c r="AN86" i="3" s="1"/>
  <c r="U86" i="5" s="1"/>
  <c r="AH86" i="3"/>
  <c r="AO86" i="3" s="1"/>
  <c r="V86" i="5" s="1"/>
  <c r="AC87" i="3"/>
  <c r="AJ87" i="3" s="1"/>
  <c r="Q87" i="5" s="1"/>
  <c r="AD87" i="3"/>
  <c r="AK87" i="3" s="1"/>
  <c r="R87" i="5" s="1"/>
  <c r="AE87" i="3"/>
  <c r="AL87" i="3" s="1"/>
  <c r="S87" i="5" s="1"/>
  <c r="AF87" i="3"/>
  <c r="AM87" i="3" s="1"/>
  <c r="T87" i="5" s="1"/>
  <c r="AG87" i="3"/>
  <c r="AN87" i="3" s="1"/>
  <c r="U87" i="5" s="1"/>
  <c r="AH87" i="3"/>
  <c r="AO87" i="3" s="1"/>
  <c r="V87" i="5" s="1"/>
  <c r="AC88" i="3"/>
  <c r="AJ88" i="3" s="1"/>
  <c r="Q88" i="5" s="1"/>
  <c r="AD88" i="3"/>
  <c r="AK88" i="3" s="1"/>
  <c r="R88" i="5" s="1"/>
  <c r="AE88" i="3"/>
  <c r="AL88" i="3" s="1"/>
  <c r="S88" i="5" s="1"/>
  <c r="AF88" i="3"/>
  <c r="AM88" i="3" s="1"/>
  <c r="T88" i="5" s="1"/>
  <c r="AG88" i="3"/>
  <c r="AN88" i="3" s="1"/>
  <c r="U88" i="5" s="1"/>
  <c r="AH88" i="3"/>
  <c r="AO88" i="3" s="1"/>
  <c r="V88" i="5" s="1"/>
  <c r="AC89" i="3"/>
  <c r="AJ89" i="3" s="1"/>
  <c r="Q89" i="5" s="1"/>
  <c r="AD89" i="3"/>
  <c r="AK89" i="3" s="1"/>
  <c r="R89" i="5" s="1"/>
  <c r="AE89" i="3"/>
  <c r="AL89" i="3" s="1"/>
  <c r="S89" i="5" s="1"/>
  <c r="AF89" i="3"/>
  <c r="AM89" i="3" s="1"/>
  <c r="T89" i="5" s="1"/>
  <c r="AG89" i="3"/>
  <c r="AN89" i="3" s="1"/>
  <c r="U89" i="5" s="1"/>
  <c r="AH89" i="3"/>
  <c r="AO89" i="3" s="1"/>
  <c r="V89" i="5" s="1"/>
  <c r="AC90" i="3"/>
  <c r="AJ90" i="3" s="1"/>
  <c r="Q90" i="5" s="1"/>
  <c r="AD90" i="3"/>
  <c r="AK90" i="3" s="1"/>
  <c r="R90" i="5" s="1"/>
  <c r="AE90" i="3"/>
  <c r="AL90" i="3" s="1"/>
  <c r="S90" i="5" s="1"/>
  <c r="AF90" i="3"/>
  <c r="AM90" i="3" s="1"/>
  <c r="T90" i="5" s="1"/>
  <c r="AG90" i="3"/>
  <c r="AN90" i="3" s="1"/>
  <c r="U90" i="5" s="1"/>
  <c r="AH90" i="3"/>
  <c r="AO90" i="3" s="1"/>
  <c r="V90" i="5" s="1"/>
  <c r="AC91" i="3"/>
  <c r="AJ91" i="3" s="1"/>
  <c r="Q91" i="5" s="1"/>
  <c r="AD91" i="3"/>
  <c r="AK91" i="3" s="1"/>
  <c r="R91" i="5" s="1"/>
  <c r="AE91" i="3"/>
  <c r="AL91" i="3" s="1"/>
  <c r="S91" i="5" s="1"/>
  <c r="AF91" i="3"/>
  <c r="AM91" i="3" s="1"/>
  <c r="T91" i="5" s="1"/>
  <c r="AG91" i="3"/>
  <c r="AN91" i="3" s="1"/>
  <c r="U91" i="5" s="1"/>
  <c r="AH91" i="3"/>
  <c r="AO91" i="3" s="1"/>
  <c r="V91" i="5" s="1"/>
  <c r="AC92" i="3"/>
  <c r="AJ92" i="3" s="1"/>
  <c r="Q92" i="5" s="1"/>
  <c r="AD92" i="3"/>
  <c r="AK92" i="3" s="1"/>
  <c r="R92" i="5" s="1"/>
  <c r="AE92" i="3"/>
  <c r="AL92" i="3" s="1"/>
  <c r="S92" i="5" s="1"/>
  <c r="AF92" i="3"/>
  <c r="AM92" i="3" s="1"/>
  <c r="T92" i="5" s="1"/>
  <c r="AG92" i="3"/>
  <c r="AN92" i="3" s="1"/>
  <c r="U92" i="5" s="1"/>
  <c r="AH92" i="3"/>
  <c r="AO92" i="3" s="1"/>
  <c r="V92" i="5" s="1"/>
  <c r="AC93" i="3"/>
  <c r="AJ93" i="3" s="1"/>
  <c r="Q93" i="5" s="1"/>
  <c r="AD93" i="3"/>
  <c r="AK93" i="3" s="1"/>
  <c r="R93" i="5" s="1"/>
  <c r="AE93" i="3"/>
  <c r="AL93" i="3" s="1"/>
  <c r="S93" i="5" s="1"/>
  <c r="AF93" i="3"/>
  <c r="AM93" i="3" s="1"/>
  <c r="T93" i="5" s="1"/>
  <c r="AG93" i="3"/>
  <c r="AN93" i="3" s="1"/>
  <c r="U93" i="5" s="1"/>
  <c r="AH93" i="3"/>
  <c r="AO93" i="3" s="1"/>
  <c r="V93" i="5" s="1"/>
  <c r="AC94" i="3"/>
  <c r="AJ94" i="3" s="1"/>
  <c r="Q94" i="5" s="1"/>
  <c r="AD94" i="3"/>
  <c r="AK94" i="3" s="1"/>
  <c r="R94" i="5" s="1"/>
  <c r="AE94" i="3"/>
  <c r="AL94" i="3" s="1"/>
  <c r="S94" i="5" s="1"/>
  <c r="AF94" i="3"/>
  <c r="AM94" i="3" s="1"/>
  <c r="T94" i="5" s="1"/>
  <c r="AG94" i="3"/>
  <c r="AN94" i="3" s="1"/>
  <c r="U94" i="5" s="1"/>
  <c r="AH94" i="3"/>
  <c r="AO94" i="3" s="1"/>
  <c r="V94" i="5" s="1"/>
  <c r="AC95" i="3"/>
  <c r="AJ95" i="3" s="1"/>
  <c r="Q95" i="5" s="1"/>
  <c r="AD95" i="3"/>
  <c r="AK95" i="3" s="1"/>
  <c r="R95" i="5" s="1"/>
  <c r="AE95" i="3"/>
  <c r="AL95" i="3" s="1"/>
  <c r="S95" i="5" s="1"/>
  <c r="AF95" i="3"/>
  <c r="AM95" i="3" s="1"/>
  <c r="T95" i="5" s="1"/>
  <c r="AG95" i="3"/>
  <c r="AN95" i="3" s="1"/>
  <c r="U95" i="5" s="1"/>
  <c r="AH95" i="3"/>
  <c r="AO95" i="3" s="1"/>
  <c r="V95" i="5" s="1"/>
  <c r="AC96" i="3"/>
  <c r="AJ96" i="3" s="1"/>
  <c r="Q96" i="5" s="1"/>
  <c r="AD96" i="3"/>
  <c r="AK96" i="3" s="1"/>
  <c r="R96" i="5" s="1"/>
  <c r="AE96" i="3"/>
  <c r="AL96" i="3" s="1"/>
  <c r="S96" i="5" s="1"/>
  <c r="AF96" i="3"/>
  <c r="AM96" i="3" s="1"/>
  <c r="T96" i="5" s="1"/>
  <c r="AG96" i="3"/>
  <c r="AN96" i="3" s="1"/>
  <c r="U96" i="5" s="1"/>
  <c r="AH96" i="3"/>
  <c r="AO96" i="3" s="1"/>
  <c r="V96" i="5" s="1"/>
  <c r="AC97" i="3"/>
  <c r="AJ97" i="3" s="1"/>
  <c r="Q97" i="5" s="1"/>
  <c r="AD97" i="3"/>
  <c r="AK97" i="3" s="1"/>
  <c r="R97" i="5" s="1"/>
  <c r="AE97" i="3"/>
  <c r="AL97" i="3" s="1"/>
  <c r="S97" i="5" s="1"/>
  <c r="AF97" i="3"/>
  <c r="AM97" i="3" s="1"/>
  <c r="T97" i="5" s="1"/>
  <c r="AG97" i="3"/>
  <c r="AN97" i="3" s="1"/>
  <c r="U97" i="5" s="1"/>
  <c r="AH97" i="3"/>
  <c r="AO97" i="3" s="1"/>
  <c r="V97" i="5" s="1"/>
  <c r="AC98" i="3"/>
  <c r="AJ98" i="3" s="1"/>
  <c r="Q98" i="5" s="1"/>
  <c r="AD98" i="3"/>
  <c r="AK98" i="3" s="1"/>
  <c r="R98" i="5" s="1"/>
  <c r="AE98" i="3"/>
  <c r="AL98" i="3" s="1"/>
  <c r="S98" i="5" s="1"/>
  <c r="AF98" i="3"/>
  <c r="AM98" i="3" s="1"/>
  <c r="T98" i="5" s="1"/>
  <c r="AG98" i="3"/>
  <c r="AN98" i="3" s="1"/>
  <c r="U98" i="5" s="1"/>
  <c r="AH98" i="3"/>
  <c r="AO98" i="3" s="1"/>
  <c r="V98" i="5" s="1"/>
  <c r="AC99" i="3"/>
  <c r="AJ99" i="3" s="1"/>
  <c r="Q99" i="5" s="1"/>
  <c r="AD99" i="3"/>
  <c r="AK99" i="3" s="1"/>
  <c r="R99" i="5" s="1"/>
  <c r="AE99" i="3"/>
  <c r="AL99" i="3" s="1"/>
  <c r="S99" i="5" s="1"/>
  <c r="AF99" i="3"/>
  <c r="AM99" i="3" s="1"/>
  <c r="T99" i="5" s="1"/>
  <c r="AG99" i="3"/>
  <c r="AN99" i="3" s="1"/>
  <c r="U99" i="5" s="1"/>
  <c r="AH99" i="3"/>
  <c r="AO99" i="3" s="1"/>
  <c r="V99" i="5" s="1"/>
  <c r="AC100" i="3"/>
  <c r="AJ100" i="3" s="1"/>
  <c r="Q100" i="5" s="1"/>
  <c r="AD100" i="3"/>
  <c r="AK100" i="3" s="1"/>
  <c r="R100" i="5" s="1"/>
  <c r="AE100" i="3"/>
  <c r="AL100" i="3" s="1"/>
  <c r="S100" i="5" s="1"/>
  <c r="AF100" i="3"/>
  <c r="AM100" i="3" s="1"/>
  <c r="T100" i="5" s="1"/>
  <c r="AG100" i="3"/>
  <c r="AN100" i="3" s="1"/>
  <c r="U100" i="5" s="1"/>
  <c r="AH100" i="3"/>
  <c r="AO100" i="3" s="1"/>
  <c r="V100" i="5" s="1"/>
  <c r="AC101" i="3"/>
  <c r="AJ101" i="3" s="1"/>
  <c r="Q101" i="5" s="1"/>
  <c r="AD101" i="3"/>
  <c r="AK101" i="3" s="1"/>
  <c r="R101" i="5" s="1"/>
  <c r="AE101" i="3"/>
  <c r="AL101" i="3" s="1"/>
  <c r="S101" i="5" s="1"/>
  <c r="AF101" i="3"/>
  <c r="AM101" i="3" s="1"/>
  <c r="T101" i="5" s="1"/>
  <c r="AG101" i="3"/>
  <c r="AN101" i="3" s="1"/>
  <c r="U101" i="5" s="1"/>
  <c r="AH101" i="3"/>
  <c r="AO101" i="3" s="1"/>
  <c r="V101" i="5" s="1"/>
  <c r="AC102" i="3"/>
  <c r="AJ102" i="3" s="1"/>
  <c r="Q102" i="5" s="1"/>
  <c r="AD102" i="3"/>
  <c r="AK102" i="3" s="1"/>
  <c r="R102" i="5" s="1"/>
  <c r="AE102" i="3"/>
  <c r="AL102" i="3" s="1"/>
  <c r="S102" i="5" s="1"/>
  <c r="AF102" i="3"/>
  <c r="AM102" i="3" s="1"/>
  <c r="T102" i="5" s="1"/>
  <c r="AG102" i="3"/>
  <c r="AN102" i="3" s="1"/>
  <c r="U102" i="5" s="1"/>
  <c r="AH102" i="3"/>
  <c r="AO102" i="3" s="1"/>
  <c r="V102" i="5" s="1"/>
  <c r="AC103" i="3"/>
  <c r="AJ103" i="3" s="1"/>
  <c r="Q103" i="5" s="1"/>
  <c r="AD103" i="3"/>
  <c r="AK103" i="3" s="1"/>
  <c r="R103" i="5" s="1"/>
  <c r="AE103" i="3"/>
  <c r="AL103" i="3" s="1"/>
  <c r="S103" i="5" s="1"/>
  <c r="AF103" i="3"/>
  <c r="AM103" i="3" s="1"/>
  <c r="T103" i="5" s="1"/>
  <c r="AG103" i="3"/>
  <c r="AN103" i="3" s="1"/>
  <c r="U103" i="5" s="1"/>
  <c r="AH103" i="3"/>
  <c r="AO103" i="3" s="1"/>
  <c r="V103" i="5" s="1"/>
  <c r="AC104" i="3"/>
  <c r="AJ104" i="3" s="1"/>
  <c r="Q104" i="5" s="1"/>
  <c r="AD104" i="3"/>
  <c r="AK104" i="3" s="1"/>
  <c r="R104" i="5" s="1"/>
  <c r="AE104" i="3"/>
  <c r="AL104" i="3" s="1"/>
  <c r="S104" i="5" s="1"/>
  <c r="AF104" i="3"/>
  <c r="AM104" i="3" s="1"/>
  <c r="T104" i="5" s="1"/>
  <c r="AG104" i="3"/>
  <c r="AN104" i="3" s="1"/>
  <c r="U104" i="5" s="1"/>
  <c r="AH104" i="3"/>
  <c r="AO104" i="3" s="1"/>
  <c r="V104" i="5" s="1"/>
  <c r="AC105" i="3"/>
  <c r="AJ105" i="3" s="1"/>
  <c r="Q105" i="5" s="1"/>
  <c r="AD105" i="3"/>
  <c r="AK105" i="3" s="1"/>
  <c r="R105" i="5" s="1"/>
  <c r="AE105" i="3"/>
  <c r="AL105" i="3" s="1"/>
  <c r="S105" i="5" s="1"/>
  <c r="AF105" i="3"/>
  <c r="AM105" i="3" s="1"/>
  <c r="T105" i="5" s="1"/>
  <c r="AG105" i="3"/>
  <c r="AN105" i="3" s="1"/>
  <c r="U105" i="5" s="1"/>
  <c r="AH105" i="3"/>
  <c r="AO105" i="3" s="1"/>
  <c r="V105" i="5" s="1"/>
  <c r="AC106" i="3"/>
  <c r="AJ106" i="3" s="1"/>
  <c r="Q106" i="5" s="1"/>
  <c r="AD106" i="3"/>
  <c r="AK106" i="3" s="1"/>
  <c r="R106" i="5" s="1"/>
  <c r="AE106" i="3"/>
  <c r="AL106" i="3" s="1"/>
  <c r="S106" i="5" s="1"/>
  <c r="AF106" i="3"/>
  <c r="AM106" i="3" s="1"/>
  <c r="T106" i="5" s="1"/>
  <c r="AG106" i="3"/>
  <c r="AN106" i="3" s="1"/>
  <c r="U106" i="5" s="1"/>
  <c r="AH106" i="3"/>
  <c r="AO106" i="3" s="1"/>
  <c r="V106" i="5" s="1"/>
  <c r="AC107" i="3"/>
  <c r="AJ107" i="3" s="1"/>
  <c r="Q107" i="5" s="1"/>
  <c r="AD107" i="3"/>
  <c r="AK107" i="3" s="1"/>
  <c r="R107" i="5" s="1"/>
  <c r="AE107" i="3"/>
  <c r="AL107" i="3" s="1"/>
  <c r="S107" i="5" s="1"/>
  <c r="AF107" i="3"/>
  <c r="AM107" i="3" s="1"/>
  <c r="T107" i="5" s="1"/>
  <c r="AG107" i="3"/>
  <c r="AN107" i="3" s="1"/>
  <c r="U107" i="5" s="1"/>
  <c r="AH107" i="3"/>
  <c r="AO107" i="3" s="1"/>
  <c r="V107" i="5" s="1"/>
  <c r="AC108" i="3"/>
  <c r="AJ108" i="3" s="1"/>
  <c r="Q108" i="5" s="1"/>
  <c r="AD108" i="3"/>
  <c r="AK108" i="3" s="1"/>
  <c r="R108" i="5" s="1"/>
  <c r="AE108" i="3"/>
  <c r="AL108" i="3" s="1"/>
  <c r="S108" i="5" s="1"/>
  <c r="AF108" i="3"/>
  <c r="AM108" i="3" s="1"/>
  <c r="T108" i="5" s="1"/>
  <c r="AG108" i="3"/>
  <c r="AN108" i="3" s="1"/>
  <c r="U108" i="5" s="1"/>
  <c r="AH108" i="3"/>
  <c r="AO108" i="3" s="1"/>
  <c r="V108" i="5" s="1"/>
  <c r="AC109" i="3"/>
  <c r="AJ109" i="3" s="1"/>
  <c r="Q109" i="5" s="1"/>
  <c r="AD109" i="3"/>
  <c r="AK109" i="3" s="1"/>
  <c r="R109" i="5" s="1"/>
  <c r="AE109" i="3"/>
  <c r="AL109" i="3" s="1"/>
  <c r="S109" i="5" s="1"/>
  <c r="AF109" i="3"/>
  <c r="AM109" i="3" s="1"/>
  <c r="T109" i="5" s="1"/>
  <c r="AG109" i="3"/>
  <c r="AN109" i="3" s="1"/>
  <c r="U109" i="5" s="1"/>
  <c r="AH109" i="3"/>
  <c r="AO109" i="3" s="1"/>
  <c r="V109" i="5" s="1"/>
  <c r="AC110" i="3"/>
  <c r="AJ110" i="3" s="1"/>
  <c r="Q110" i="5" s="1"/>
  <c r="AD110" i="3"/>
  <c r="AK110" i="3" s="1"/>
  <c r="R110" i="5" s="1"/>
  <c r="AE110" i="3"/>
  <c r="AL110" i="3" s="1"/>
  <c r="S110" i="5" s="1"/>
  <c r="AF110" i="3"/>
  <c r="AM110" i="3" s="1"/>
  <c r="T110" i="5" s="1"/>
  <c r="AG110" i="3"/>
  <c r="AN110" i="3" s="1"/>
  <c r="U110" i="5" s="1"/>
  <c r="AH110" i="3"/>
  <c r="AO110" i="3" s="1"/>
  <c r="V110" i="5" s="1"/>
  <c r="AD4" i="3"/>
  <c r="AK4" i="3" s="1"/>
  <c r="R4" i="5" s="1"/>
  <c r="AE4" i="3"/>
  <c r="AL4" i="3" s="1"/>
  <c r="S4" i="5" s="1"/>
  <c r="AF4" i="3"/>
  <c r="AM4" i="3" s="1"/>
  <c r="T4" i="5" s="1"/>
  <c r="AG4" i="3"/>
  <c r="AN4" i="3" s="1"/>
  <c r="U4" i="5" s="1"/>
  <c r="AH4" i="3"/>
  <c r="AO4" i="3" s="1"/>
  <c r="V4" i="5" s="1"/>
  <c r="D14" i="4"/>
  <c r="C14" i="4"/>
  <c r="D13" i="4"/>
  <c r="C13" i="4"/>
  <c r="D12" i="4"/>
  <c r="C12" i="4"/>
  <c r="D11" i="4"/>
  <c r="C11" i="4"/>
  <c r="AF7" i="7" l="1"/>
  <c r="AG7" i="7" s="1"/>
  <c r="AH7" i="7" s="1"/>
  <c r="T7" i="7" s="1"/>
  <c r="X10" i="6"/>
  <c r="X18" i="6"/>
  <c r="X26" i="6"/>
  <c r="X34" i="6"/>
  <c r="X42" i="6"/>
  <c r="X50" i="6"/>
  <c r="X58" i="6"/>
  <c r="X66" i="6"/>
  <c r="X74" i="6"/>
  <c r="X82" i="6"/>
  <c r="X90" i="6"/>
  <c r="X98" i="6"/>
  <c r="X21" i="6"/>
  <c r="X29" i="6"/>
  <c r="X61" i="6"/>
  <c r="X85" i="6"/>
  <c r="X79" i="6"/>
  <c r="X72" i="6"/>
  <c r="X65" i="6"/>
  <c r="X11" i="6"/>
  <c r="X19" i="6"/>
  <c r="X27" i="6"/>
  <c r="X35" i="6"/>
  <c r="X43" i="6"/>
  <c r="X51" i="6"/>
  <c r="X59" i="6"/>
  <c r="X67" i="6"/>
  <c r="X75" i="6"/>
  <c r="X83" i="6"/>
  <c r="X91" i="6"/>
  <c r="X99" i="6"/>
  <c r="X45" i="6"/>
  <c r="X77" i="6"/>
  <c r="X101" i="6"/>
  <c r="X95" i="6"/>
  <c r="X32" i="6"/>
  <c r="X96" i="6"/>
  <c r="X41" i="6"/>
  <c r="X12" i="6"/>
  <c r="X20" i="6"/>
  <c r="X28" i="6"/>
  <c r="X36" i="6"/>
  <c r="X44" i="6"/>
  <c r="X52" i="6"/>
  <c r="X60" i="6"/>
  <c r="X68" i="6"/>
  <c r="X76" i="6"/>
  <c r="X84" i="6"/>
  <c r="X92" i="6"/>
  <c r="X100" i="6"/>
  <c r="X53" i="6"/>
  <c r="X93" i="6"/>
  <c r="X24" i="6"/>
  <c r="X80" i="6"/>
  <c r="X81" i="6"/>
  <c r="X13" i="6"/>
  <c r="X37" i="6"/>
  <c r="X69" i="6"/>
  <c r="X56" i="6"/>
  <c r="X73" i="6"/>
  <c r="X6" i="6"/>
  <c r="X14" i="6"/>
  <c r="X22" i="6"/>
  <c r="X30" i="6"/>
  <c r="X38" i="6"/>
  <c r="X46" i="6"/>
  <c r="X54" i="6"/>
  <c r="X62" i="6"/>
  <c r="X70" i="6"/>
  <c r="X78" i="6"/>
  <c r="X86" i="6"/>
  <c r="X94" i="6"/>
  <c r="X102" i="6"/>
  <c r="X31" i="6"/>
  <c r="X55" i="6"/>
  <c r="X71" i="6"/>
  <c r="X103" i="6"/>
  <c r="X8" i="6"/>
  <c r="X48" i="6"/>
  <c r="X104" i="6"/>
  <c r="X33" i="6"/>
  <c r="X89" i="6"/>
  <c r="X7" i="6"/>
  <c r="X15" i="6"/>
  <c r="X23" i="6"/>
  <c r="X39" i="6"/>
  <c r="X47" i="6"/>
  <c r="X63" i="6"/>
  <c r="X87" i="6"/>
  <c r="X40" i="6"/>
  <c r="X88" i="6"/>
  <c r="X49" i="6"/>
  <c r="X5" i="6"/>
  <c r="X16" i="6"/>
  <c r="X64" i="6"/>
  <c r="X57" i="6"/>
  <c r="X9" i="6"/>
  <c r="X17" i="6"/>
  <c r="X25" i="6"/>
  <c r="X97" i="6"/>
  <c r="AA6" i="6"/>
  <c r="AA14" i="6"/>
  <c r="AA22" i="6"/>
  <c r="AA30" i="6"/>
  <c r="AA38" i="6"/>
  <c r="AA46" i="6"/>
  <c r="AA54" i="6"/>
  <c r="AA62" i="6"/>
  <c r="AA70" i="6"/>
  <c r="AA78" i="6"/>
  <c r="AA86" i="6"/>
  <c r="AA94" i="6"/>
  <c r="AA102" i="6"/>
  <c r="AA5" i="6"/>
  <c r="AA76" i="6"/>
  <c r="AA7" i="6"/>
  <c r="AA15" i="6"/>
  <c r="AA23" i="6"/>
  <c r="AA31" i="6"/>
  <c r="AA39" i="6"/>
  <c r="AA47" i="6"/>
  <c r="AA55" i="6"/>
  <c r="AA63" i="6"/>
  <c r="AA71" i="6"/>
  <c r="AA79" i="6"/>
  <c r="AA87" i="6"/>
  <c r="AA95" i="6"/>
  <c r="AA103" i="6"/>
  <c r="AA89" i="6"/>
  <c r="AA100" i="6"/>
  <c r="AA8" i="6"/>
  <c r="AA16" i="6"/>
  <c r="AA24" i="6"/>
  <c r="AA32" i="6"/>
  <c r="AA40" i="6"/>
  <c r="AA48" i="6"/>
  <c r="AA56" i="6"/>
  <c r="AA64" i="6"/>
  <c r="AA72" i="6"/>
  <c r="AA80" i="6"/>
  <c r="AA88" i="6"/>
  <c r="AA96" i="6"/>
  <c r="AA104" i="6"/>
  <c r="AA81" i="6"/>
  <c r="AA68" i="6"/>
  <c r="AA9" i="6"/>
  <c r="AA17" i="6"/>
  <c r="AA25" i="6"/>
  <c r="AA33" i="6"/>
  <c r="AA41" i="6"/>
  <c r="AA49" i="6"/>
  <c r="AA57" i="6"/>
  <c r="AA65" i="6"/>
  <c r="AA73" i="6"/>
  <c r="AA97" i="6"/>
  <c r="AA84" i="6"/>
  <c r="AA10" i="6"/>
  <c r="AA18" i="6"/>
  <c r="AA26" i="6"/>
  <c r="AA34" i="6"/>
  <c r="AA42" i="6"/>
  <c r="AA50" i="6"/>
  <c r="AA58" i="6"/>
  <c r="AA66" i="6"/>
  <c r="AA74" i="6"/>
  <c r="AA82" i="6"/>
  <c r="AA90" i="6"/>
  <c r="AA98" i="6"/>
  <c r="AA11" i="6"/>
  <c r="AA19" i="6"/>
  <c r="AA27" i="6"/>
  <c r="AA35" i="6"/>
  <c r="AA43" i="6"/>
  <c r="AA51" i="6"/>
  <c r="AA59" i="6"/>
  <c r="AA67" i="6"/>
  <c r="AA75" i="6"/>
  <c r="AA83" i="6"/>
  <c r="AA91" i="6"/>
  <c r="AA99" i="6"/>
  <c r="AA92" i="6"/>
  <c r="AA12" i="6"/>
  <c r="AA20" i="6"/>
  <c r="AA28" i="6"/>
  <c r="AA36" i="6"/>
  <c r="AA44" i="6"/>
  <c r="AA52" i="6"/>
  <c r="AA60" i="6"/>
  <c r="AA13" i="6"/>
  <c r="AA21" i="6"/>
  <c r="AA29" i="6"/>
  <c r="AA37" i="6"/>
  <c r="AA45" i="6"/>
  <c r="AA53" i="6"/>
  <c r="AA61" i="6"/>
  <c r="AA69" i="6"/>
  <c r="AA77" i="6"/>
  <c r="AA85" i="6"/>
  <c r="AA93" i="6"/>
  <c r="AA101" i="6"/>
  <c r="C5" i="5"/>
  <c r="W16" i="1"/>
  <c r="W18" i="1"/>
  <c r="W19" i="1"/>
  <c r="K10" i="4"/>
  <c r="K9" i="4"/>
  <c r="C10" i="1"/>
  <c r="K3" i="4"/>
  <c r="Q8" i="7" l="1"/>
  <c r="W7" i="7"/>
  <c r="AB7" i="7"/>
  <c r="V8" i="7"/>
  <c r="N8" i="7"/>
  <c r="S8" i="7"/>
  <c r="AE1832" i="6"/>
  <c r="AE1835" i="6"/>
  <c r="AE1843" i="6"/>
  <c r="AE1851" i="6"/>
  <c r="AE1859" i="6"/>
  <c r="AE1867" i="6"/>
  <c r="AE1875" i="6"/>
  <c r="AE1883" i="6"/>
  <c r="AE1891" i="6"/>
  <c r="AE1899" i="6"/>
  <c r="AE1907" i="6"/>
  <c r="AE1915" i="6"/>
  <c r="AE1923" i="6"/>
  <c r="AE1931" i="6"/>
  <c r="AE1939" i="6"/>
  <c r="AE1947" i="6"/>
  <c r="AE1955" i="6"/>
  <c r="AE1963" i="6"/>
  <c r="AE1971" i="6"/>
  <c r="AE1979" i="6"/>
  <c r="AE1987" i="6"/>
  <c r="AE1995" i="6"/>
  <c r="AE2003" i="6"/>
  <c r="AE2011" i="6"/>
  <c r="AE2019" i="6"/>
  <c r="AE2027" i="6"/>
  <c r="AE2035" i="6"/>
  <c r="AE2043" i="6"/>
  <c r="AE2051" i="6"/>
  <c r="AE2059" i="6"/>
  <c r="AE2067" i="6"/>
  <c r="AE2075" i="6"/>
  <c r="AE2083" i="6"/>
  <c r="AE2091" i="6"/>
  <c r="AE2099" i="6"/>
  <c r="AE2107" i="6"/>
  <c r="AE2115" i="6"/>
  <c r="AE2123" i="6"/>
  <c r="AE2131" i="6"/>
  <c r="AE2139" i="6"/>
  <c r="AE2147" i="6"/>
  <c r="AE2155" i="6"/>
  <c r="AE2163" i="6"/>
  <c r="AE2171" i="6"/>
  <c r="AE2179" i="6"/>
  <c r="AE2187" i="6"/>
  <c r="AE2195" i="6"/>
  <c r="AE2203" i="6"/>
  <c r="AE2211" i="6"/>
  <c r="AE2219" i="6"/>
  <c r="AE2227" i="6"/>
  <c r="AE2235" i="6"/>
  <c r="AE2243" i="6"/>
  <c r="AE2251" i="6"/>
  <c r="AE2259" i="6"/>
  <c r="AE2267" i="6"/>
  <c r="AE2275" i="6"/>
  <c r="AE2283" i="6"/>
  <c r="AE2291" i="6"/>
  <c r="AE2299" i="6"/>
  <c r="AE2307" i="6"/>
  <c r="AE2315" i="6"/>
  <c r="AE2323" i="6"/>
  <c r="AE2331" i="6"/>
  <c r="AE2339" i="6"/>
  <c r="AE2347" i="6"/>
  <c r="AE1416" i="6"/>
  <c r="AE1424" i="6"/>
  <c r="AE1432" i="6"/>
  <c r="AE1440" i="6"/>
  <c r="AE1448" i="6"/>
  <c r="AE1456" i="6"/>
  <c r="AE1464" i="6"/>
  <c r="AE1472" i="6"/>
  <c r="AE1480" i="6"/>
  <c r="AE1488" i="6"/>
  <c r="AE1496" i="6"/>
  <c r="AE1504" i="6"/>
  <c r="AE1512" i="6"/>
  <c r="AE1520" i="6"/>
  <c r="AE1528" i="6"/>
  <c r="AE1536" i="6"/>
  <c r="AE1544" i="6"/>
  <c r="AE1552" i="6"/>
  <c r="AE1560" i="6"/>
  <c r="AE1568" i="6"/>
  <c r="AE1576" i="6"/>
  <c r="AE1584" i="6"/>
  <c r="AE1592" i="6"/>
  <c r="AE1600" i="6"/>
  <c r="AE1608" i="6"/>
  <c r="AE1616" i="6"/>
  <c r="AE1624" i="6"/>
  <c r="AE1632" i="6"/>
  <c r="AE1640" i="6"/>
  <c r="AE1648" i="6"/>
  <c r="AE1656" i="6"/>
  <c r="AE1664" i="6"/>
  <c r="AE1836" i="6"/>
  <c r="AE1844" i="6"/>
  <c r="AE1852" i="6"/>
  <c r="AE1860" i="6"/>
  <c r="AE1868" i="6"/>
  <c r="AE1876" i="6"/>
  <c r="AE1884" i="6"/>
  <c r="AE1892" i="6"/>
  <c r="AE1900" i="6"/>
  <c r="AE1908" i="6"/>
  <c r="AE1916" i="6"/>
  <c r="AE1924" i="6"/>
  <c r="AE1932" i="6"/>
  <c r="AE1940" i="6"/>
  <c r="AE1948" i="6"/>
  <c r="AE1956" i="6"/>
  <c r="AE1964" i="6"/>
  <c r="AE1972" i="6"/>
  <c r="AE1980" i="6"/>
  <c r="AE1988" i="6"/>
  <c r="AE1996" i="6"/>
  <c r="AE2004" i="6"/>
  <c r="AE2012" i="6"/>
  <c r="AE2020" i="6"/>
  <c r="AE2028" i="6"/>
  <c r="AE2036" i="6"/>
  <c r="AE2044" i="6"/>
  <c r="AE2052" i="6"/>
  <c r="AE2060" i="6"/>
  <c r="AE2068" i="6"/>
  <c r="AE2076" i="6"/>
  <c r="AE2084" i="6"/>
  <c r="AE2092" i="6"/>
  <c r="AE2100" i="6"/>
  <c r="AE2108" i="6"/>
  <c r="AE2116" i="6"/>
  <c r="AE2124" i="6"/>
  <c r="AE2132" i="6"/>
  <c r="AE2140" i="6"/>
  <c r="AE2148" i="6"/>
  <c r="AE2156" i="6"/>
  <c r="AE2164" i="6"/>
  <c r="AE2172" i="6"/>
  <c r="AE2180" i="6"/>
  <c r="AE2188" i="6"/>
  <c r="AE2196" i="6"/>
  <c r="AE2204" i="6"/>
  <c r="AE2212" i="6"/>
  <c r="AE2220" i="6"/>
  <c r="AE2228" i="6"/>
  <c r="AE2236" i="6"/>
  <c r="AE2244" i="6"/>
  <c r="AE2252" i="6"/>
  <c r="AE2260" i="6"/>
  <c r="AE2268" i="6"/>
  <c r="AE2276" i="6"/>
  <c r="AE2284" i="6"/>
  <c r="AE2292" i="6"/>
  <c r="AE2300" i="6"/>
  <c r="AE2308" i="6"/>
  <c r="AE2316" i="6"/>
  <c r="AE2324" i="6"/>
  <c r="AE2332" i="6"/>
  <c r="AE2340" i="6"/>
  <c r="AE2348" i="6"/>
  <c r="AE1417" i="6"/>
  <c r="AE1425" i="6"/>
  <c r="AE1433" i="6"/>
  <c r="AE1441" i="6"/>
  <c r="AE1449" i="6"/>
  <c r="AE1457" i="6"/>
  <c r="AE1465" i="6"/>
  <c r="AE1473" i="6"/>
  <c r="AE1481" i="6"/>
  <c r="AE1489" i="6"/>
  <c r="AE1497" i="6"/>
  <c r="AE1505" i="6"/>
  <c r="AE1513" i="6"/>
  <c r="AE1521" i="6"/>
  <c r="AE1529" i="6"/>
  <c r="AE1537" i="6"/>
  <c r="AE1545" i="6"/>
  <c r="AE1553" i="6"/>
  <c r="AE1561" i="6"/>
  <c r="AE1569" i="6"/>
  <c r="AE1577" i="6"/>
  <c r="AE1585" i="6"/>
  <c r="AE1593" i="6"/>
  <c r="AE1601" i="6"/>
  <c r="AE1609" i="6"/>
  <c r="AE1617" i="6"/>
  <c r="AE1837" i="6"/>
  <c r="AE1845" i="6"/>
  <c r="AE1853" i="6"/>
  <c r="AE1861" i="6"/>
  <c r="AE1869" i="6"/>
  <c r="AE1877" i="6"/>
  <c r="AE1885" i="6"/>
  <c r="AE1893" i="6"/>
  <c r="AE1901" i="6"/>
  <c r="AE1909" i="6"/>
  <c r="AE1917" i="6"/>
  <c r="AE1925" i="6"/>
  <c r="AE1933" i="6"/>
  <c r="AE1941" i="6"/>
  <c r="AE1949" i="6"/>
  <c r="AE1957" i="6"/>
  <c r="AE1965" i="6"/>
  <c r="AE1973" i="6"/>
  <c r="AE1981" i="6"/>
  <c r="AE1989" i="6"/>
  <c r="AE1997" i="6"/>
  <c r="AE2005" i="6"/>
  <c r="AE2013" i="6"/>
  <c r="AE2021" i="6"/>
  <c r="AE2029" i="6"/>
  <c r="AE2037" i="6"/>
  <c r="AE2045" i="6"/>
  <c r="AE2053" i="6"/>
  <c r="AE2061" i="6"/>
  <c r="AE2069" i="6"/>
  <c r="AE2077" i="6"/>
  <c r="AE2085" i="6"/>
  <c r="AE2093" i="6"/>
  <c r="AE2101" i="6"/>
  <c r="AE2109" i="6"/>
  <c r="AE2117" i="6"/>
  <c r="AE2125" i="6"/>
  <c r="AE2133" i="6"/>
  <c r="AE2141" i="6"/>
  <c r="AE2149" i="6"/>
  <c r="AE2157" i="6"/>
  <c r="AE2165" i="6"/>
  <c r="AE2173" i="6"/>
  <c r="AE2181" i="6"/>
  <c r="AE2189" i="6"/>
  <c r="AE2197" i="6"/>
  <c r="AE2205" i="6"/>
  <c r="AE2213" i="6"/>
  <c r="AE2221" i="6"/>
  <c r="AE2229" i="6"/>
  <c r="AE2237" i="6"/>
  <c r="AE2245" i="6"/>
  <c r="AE2253" i="6"/>
  <c r="AE2261" i="6"/>
  <c r="AE2269" i="6"/>
  <c r="AE2277" i="6"/>
  <c r="AE2285" i="6"/>
  <c r="AE2293" i="6"/>
  <c r="AE2301" i="6"/>
  <c r="AE2309" i="6"/>
  <c r="AE2317" i="6"/>
  <c r="AE2325" i="6"/>
  <c r="AE2333" i="6"/>
  <c r="AE2341" i="6"/>
  <c r="AE2349" i="6"/>
  <c r="AE1418" i="6"/>
  <c r="AE1426" i="6"/>
  <c r="AE1434" i="6"/>
  <c r="AE1442" i="6"/>
  <c r="AE1450" i="6"/>
  <c r="AE1458" i="6"/>
  <c r="AE1466" i="6"/>
  <c r="AE1474" i="6"/>
  <c r="AE1482" i="6"/>
  <c r="AE1490" i="6"/>
  <c r="AE1498" i="6"/>
  <c r="AE1506" i="6"/>
  <c r="AE1514" i="6"/>
  <c r="AE1522" i="6"/>
  <c r="AE1530" i="6"/>
  <c r="AE1538" i="6"/>
  <c r="AE1546" i="6"/>
  <c r="AE1554" i="6"/>
  <c r="AE1562" i="6"/>
  <c r="AE1570" i="6"/>
  <c r="AE1578" i="6"/>
  <c r="AE1838" i="6"/>
  <c r="AE1846" i="6"/>
  <c r="AE1854" i="6"/>
  <c r="AE1862" i="6"/>
  <c r="AE1870" i="6"/>
  <c r="AE1878" i="6"/>
  <c r="AE1886" i="6"/>
  <c r="AE1894" i="6"/>
  <c r="AE1902" i="6"/>
  <c r="AE1910" i="6"/>
  <c r="AE1918" i="6"/>
  <c r="AE1926" i="6"/>
  <c r="AE1934" i="6"/>
  <c r="AE1942" i="6"/>
  <c r="AE1950" i="6"/>
  <c r="AE1958" i="6"/>
  <c r="AE1966" i="6"/>
  <c r="AE1974" i="6"/>
  <c r="AE1982" i="6"/>
  <c r="AE1990" i="6"/>
  <c r="AE1998" i="6"/>
  <c r="AE2006" i="6"/>
  <c r="AE2014" i="6"/>
  <c r="AE2022" i="6"/>
  <c r="AE2030" i="6"/>
  <c r="AE2038" i="6"/>
  <c r="AE2046" i="6"/>
  <c r="AE2054" i="6"/>
  <c r="AE2062" i="6"/>
  <c r="AE2070" i="6"/>
  <c r="AE2078" i="6"/>
  <c r="AE2086" i="6"/>
  <c r="AE2094" i="6"/>
  <c r="AE2102" i="6"/>
  <c r="AE2110" i="6"/>
  <c r="AE2118" i="6"/>
  <c r="AE2126" i="6"/>
  <c r="AE2134" i="6"/>
  <c r="AE2142" i="6"/>
  <c r="AE2150" i="6"/>
  <c r="AE2158" i="6"/>
  <c r="AE2166" i="6"/>
  <c r="AE2174" i="6"/>
  <c r="AE2182" i="6"/>
  <c r="AE2190" i="6"/>
  <c r="AE2198" i="6"/>
  <c r="AE2206" i="6"/>
  <c r="AE2214" i="6"/>
  <c r="AE2222" i="6"/>
  <c r="AE2230" i="6"/>
  <c r="AE2238" i="6"/>
  <c r="AE2246" i="6"/>
  <c r="AE2254" i="6"/>
  <c r="AE2262" i="6"/>
  <c r="AE2270" i="6"/>
  <c r="AE2278" i="6"/>
  <c r="AE2286" i="6"/>
  <c r="AE2294" i="6"/>
  <c r="AE2302" i="6"/>
  <c r="AE2310" i="6"/>
  <c r="AE2318" i="6"/>
  <c r="AE2326" i="6"/>
  <c r="AE2334" i="6"/>
  <c r="AE2342" i="6"/>
  <c r="AE2350" i="6"/>
  <c r="AE1419" i="6"/>
  <c r="AE1427" i="6"/>
  <c r="AE1830" i="6"/>
  <c r="AE1839" i="6"/>
  <c r="AE1847" i="6"/>
  <c r="AE1855" i="6"/>
  <c r="AE1863" i="6"/>
  <c r="AE1871" i="6"/>
  <c r="AE1879" i="6"/>
  <c r="AE1887" i="6"/>
  <c r="AE1895" i="6"/>
  <c r="AE1903" i="6"/>
  <c r="AE1911" i="6"/>
  <c r="AE1919" i="6"/>
  <c r="AE1927" i="6"/>
  <c r="AE1935" i="6"/>
  <c r="AE1943" i="6"/>
  <c r="AE1951" i="6"/>
  <c r="AE1959" i="6"/>
  <c r="AE1967" i="6"/>
  <c r="AE1975" i="6"/>
  <c r="AE1983" i="6"/>
  <c r="AE1991" i="6"/>
  <c r="AE1999" i="6"/>
  <c r="AE2007" i="6"/>
  <c r="AE2015" i="6"/>
  <c r="AE2023" i="6"/>
  <c r="AE2031" i="6"/>
  <c r="AE2039" i="6"/>
  <c r="AE2047" i="6"/>
  <c r="AE2055" i="6"/>
  <c r="AE2063" i="6"/>
  <c r="AE2071" i="6"/>
  <c r="AE2079" i="6"/>
  <c r="AE2087" i="6"/>
  <c r="AE2095" i="6"/>
  <c r="AE2103" i="6"/>
  <c r="AE2111" i="6"/>
  <c r="AE2119" i="6"/>
  <c r="AE2127" i="6"/>
  <c r="AE2135" i="6"/>
  <c r="AE2143" i="6"/>
  <c r="AE2151" i="6"/>
  <c r="AE2159" i="6"/>
  <c r="AE2167" i="6"/>
  <c r="AE2175" i="6"/>
  <c r="AE2183" i="6"/>
  <c r="AE2191" i="6"/>
  <c r="AE2199" i="6"/>
  <c r="AE2207" i="6"/>
  <c r="AE2215" i="6"/>
  <c r="AE2223" i="6"/>
  <c r="AE2231" i="6"/>
  <c r="AE2239" i="6"/>
  <c r="AE2247" i="6"/>
  <c r="AE2255" i="6"/>
  <c r="AE2263" i="6"/>
  <c r="AE2271" i="6"/>
  <c r="AE2279" i="6"/>
  <c r="AE2287" i="6"/>
  <c r="AE2295" i="6"/>
  <c r="AE2303" i="6"/>
  <c r="AE2311" i="6"/>
  <c r="AE2319" i="6"/>
  <c r="AE2327" i="6"/>
  <c r="AE2335" i="6"/>
  <c r="AE2343" i="6"/>
  <c r="AE2351" i="6"/>
  <c r="AE1420" i="6"/>
  <c r="AE1428" i="6"/>
  <c r="AE1436" i="6"/>
  <c r="AE1444" i="6"/>
  <c r="AE1452" i="6"/>
  <c r="AE1460" i="6"/>
  <c r="AE1468" i="6"/>
  <c r="AE1476" i="6"/>
  <c r="AE1831" i="6"/>
  <c r="AE1840" i="6"/>
  <c r="AE1848" i="6"/>
  <c r="AE1856" i="6"/>
  <c r="AE1864" i="6"/>
  <c r="AE1872" i="6"/>
  <c r="AE1880" i="6"/>
  <c r="AE1888" i="6"/>
  <c r="AE1896" i="6"/>
  <c r="AE1904" i="6"/>
  <c r="AE1912" i="6"/>
  <c r="AE1920" i="6"/>
  <c r="AE1928" i="6"/>
  <c r="AE1936" i="6"/>
  <c r="AE1944" i="6"/>
  <c r="AE1952" i="6"/>
  <c r="AE1960" i="6"/>
  <c r="AE1968" i="6"/>
  <c r="AE1976" i="6"/>
  <c r="AE1984" i="6"/>
  <c r="AE1992" i="6"/>
  <c r="AE2000" i="6"/>
  <c r="AE2008" i="6"/>
  <c r="AE2016" i="6"/>
  <c r="AE2024" i="6"/>
  <c r="AE2032" i="6"/>
  <c r="AE2040" i="6"/>
  <c r="AE2048" i="6"/>
  <c r="AE2056" i="6"/>
  <c r="AE2064" i="6"/>
  <c r="AE2072" i="6"/>
  <c r="AE2080" i="6"/>
  <c r="AE2088" i="6"/>
  <c r="AE2096" i="6"/>
  <c r="AE2104" i="6"/>
  <c r="AE2112" i="6"/>
  <c r="AE2120" i="6"/>
  <c r="AE2128" i="6"/>
  <c r="AE2136" i="6"/>
  <c r="AE2144" i="6"/>
  <c r="AE2152" i="6"/>
  <c r="AE2160" i="6"/>
  <c r="AE2168" i="6"/>
  <c r="AE2176" i="6"/>
  <c r="AE2184" i="6"/>
  <c r="AE2192" i="6"/>
  <c r="AE2200" i="6"/>
  <c r="AE2208" i="6"/>
  <c r="AE2216" i="6"/>
  <c r="AE2224" i="6"/>
  <c r="AE2232" i="6"/>
  <c r="AE2240" i="6"/>
  <c r="AE2248" i="6"/>
  <c r="AE2256" i="6"/>
  <c r="AE2264" i="6"/>
  <c r="AE2272" i="6"/>
  <c r="AE2280" i="6"/>
  <c r="AE2288" i="6"/>
  <c r="AE2296" i="6"/>
  <c r="AE2304" i="6"/>
  <c r="AE2312" i="6"/>
  <c r="AE2320" i="6"/>
  <c r="AE2328" i="6"/>
  <c r="AE2336" i="6"/>
  <c r="AE2344" i="6"/>
  <c r="AE1833" i="6"/>
  <c r="AE1841" i="6"/>
  <c r="AE1849" i="6"/>
  <c r="AE1857" i="6"/>
  <c r="AE1865" i="6"/>
  <c r="AE1873" i="6"/>
  <c r="AE1881" i="6"/>
  <c r="AE1889" i="6"/>
  <c r="AE1897" i="6"/>
  <c r="AE1905" i="6"/>
  <c r="AE1913" i="6"/>
  <c r="AE1921" i="6"/>
  <c r="AE1929" i="6"/>
  <c r="AE1937" i="6"/>
  <c r="AE1945" i="6"/>
  <c r="AE1953" i="6"/>
  <c r="AE1961" i="6"/>
  <c r="AE1969" i="6"/>
  <c r="AE1977" i="6"/>
  <c r="AE1985" i="6"/>
  <c r="AE1993" i="6"/>
  <c r="AE2001" i="6"/>
  <c r="AE2009" i="6"/>
  <c r="AE2017" i="6"/>
  <c r="AE2025" i="6"/>
  <c r="AE2033" i="6"/>
  <c r="AE2041" i="6"/>
  <c r="AE2049" i="6"/>
  <c r="AE2057" i="6"/>
  <c r="AE2065" i="6"/>
  <c r="AE2073" i="6"/>
  <c r="AE2081" i="6"/>
  <c r="AE2089" i="6"/>
  <c r="AE2097" i="6"/>
  <c r="AE2105" i="6"/>
  <c r="AE2113" i="6"/>
  <c r="AE2121" i="6"/>
  <c r="AE2129" i="6"/>
  <c r="AE2137" i="6"/>
  <c r="AE2145" i="6"/>
  <c r="AE2153" i="6"/>
  <c r="AE2161" i="6"/>
  <c r="AE2169" i="6"/>
  <c r="AE2177" i="6"/>
  <c r="AE2185" i="6"/>
  <c r="AE2193" i="6"/>
  <c r="AE2201" i="6"/>
  <c r="AE2209" i="6"/>
  <c r="AE2217" i="6"/>
  <c r="AE2225" i="6"/>
  <c r="AE2233" i="6"/>
  <c r="AE2241" i="6"/>
  <c r="AE2249" i="6"/>
  <c r="AE1834" i="6"/>
  <c r="AE1842" i="6"/>
  <c r="AE1850" i="6"/>
  <c r="AE1858" i="6"/>
  <c r="AE1866" i="6"/>
  <c r="AE1874" i="6"/>
  <c r="AE1882" i="6"/>
  <c r="AE1890" i="6"/>
  <c r="AE1898" i="6"/>
  <c r="AE1906" i="6"/>
  <c r="AE1914" i="6"/>
  <c r="AE1922" i="6"/>
  <c r="AE1930" i="6"/>
  <c r="AE1938" i="6"/>
  <c r="AE1946" i="6"/>
  <c r="AE1954" i="6"/>
  <c r="AE1962" i="6"/>
  <c r="AE1970" i="6"/>
  <c r="AE1978" i="6"/>
  <c r="AE1986" i="6"/>
  <c r="AE1994" i="6"/>
  <c r="AE2002" i="6"/>
  <c r="AE2010" i="6"/>
  <c r="AE2018" i="6"/>
  <c r="AE2026" i="6"/>
  <c r="AE2034" i="6"/>
  <c r="AE2042" i="6"/>
  <c r="AE2050" i="6"/>
  <c r="AE2058" i="6"/>
  <c r="AE2066" i="6"/>
  <c r="AE2074" i="6"/>
  <c r="AE2082" i="6"/>
  <c r="AE2090" i="6"/>
  <c r="AE2098" i="6"/>
  <c r="AE2106" i="6"/>
  <c r="AE2114" i="6"/>
  <c r="AE2122" i="6"/>
  <c r="AE2130" i="6"/>
  <c r="AE2138" i="6"/>
  <c r="AE2146" i="6"/>
  <c r="AE2154" i="6"/>
  <c r="AE2162" i="6"/>
  <c r="AE2170" i="6"/>
  <c r="AE2178" i="6"/>
  <c r="AE2186" i="6"/>
  <c r="AE2194" i="6"/>
  <c r="AE2202" i="6"/>
  <c r="AE2210" i="6"/>
  <c r="AE2218" i="6"/>
  <c r="AE2226" i="6"/>
  <c r="AE2234" i="6"/>
  <c r="AE2242" i="6"/>
  <c r="AE2250" i="6"/>
  <c r="AE2282" i="6"/>
  <c r="AE2314" i="6"/>
  <c r="AE2346" i="6"/>
  <c r="AE1430" i="6"/>
  <c r="AE1446" i="6"/>
  <c r="AE1462" i="6"/>
  <c r="AE1478" i="6"/>
  <c r="AE1492" i="6"/>
  <c r="AE1503" i="6"/>
  <c r="AE1517" i="6"/>
  <c r="AE1531" i="6"/>
  <c r="AE1542" i="6"/>
  <c r="AE1556" i="6"/>
  <c r="AE1567" i="6"/>
  <c r="AE1581" i="6"/>
  <c r="AE1591" i="6"/>
  <c r="AE1603" i="6"/>
  <c r="AE1613" i="6"/>
  <c r="AE1623" i="6"/>
  <c r="AE1633" i="6"/>
  <c r="AE1642" i="6"/>
  <c r="AE1651" i="6"/>
  <c r="AE1660" i="6"/>
  <c r="AE1669" i="6"/>
  <c r="AE1677" i="6"/>
  <c r="AE1685" i="6"/>
  <c r="AE1693" i="6"/>
  <c r="AE1701" i="6"/>
  <c r="AE1709" i="6"/>
  <c r="AE1717" i="6"/>
  <c r="AE1725" i="6"/>
  <c r="AE1733" i="6"/>
  <c r="AE1741" i="6"/>
  <c r="AE1749" i="6"/>
  <c r="AE1757" i="6"/>
  <c r="AE1765" i="6"/>
  <c r="AE1773" i="6"/>
  <c r="AE1781" i="6"/>
  <c r="AE1789" i="6"/>
  <c r="AE1797" i="6"/>
  <c r="AE1805" i="6"/>
  <c r="AE1813" i="6"/>
  <c r="AE1821" i="6"/>
  <c r="AE1829" i="6"/>
  <c r="AE1412" i="6"/>
  <c r="AE770" i="6"/>
  <c r="AE778" i="6"/>
  <c r="AE786" i="6"/>
  <c r="AE794" i="6"/>
  <c r="AE802" i="6"/>
  <c r="AE810" i="6"/>
  <c r="AE818" i="6"/>
  <c r="AE826" i="6"/>
  <c r="AE834" i="6"/>
  <c r="AE842" i="6"/>
  <c r="AE850" i="6"/>
  <c r="AE858" i="6"/>
  <c r="AE866" i="6"/>
  <c r="AE874" i="6"/>
  <c r="AE882" i="6"/>
  <c r="AE890" i="6"/>
  <c r="AE898" i="6"/>
  <c r="AE906" i="6"/>
  <c r="AE914" i="6"/>
  <c r="AE922" i="6"/>
  <c r="AE930" i="6"/>
  <c r="AE938" i="6"/>
  <c r="AE946" i="6"/>
  <c r="AE954" i="6"/>
  <c r="AE962" i="6"/>
  <c r="AE970" i="6"/>
  <c r="AE978" i="6"/>
  <c r="AE986" i="6"/>
  <c r="AE994" i="6"/>
  <c r="AE1002" i="6"/>
  <c r="AE1010" i="6"/>
  <c r="AE1018" i="6"/>
  <c r="AE1026" i="6"/>
  <c r="AE1034" i="6"/>
  <c r="AE1042" i="6"/>
  <c r="AE1050" i="6"/>
  <c r="AE1058" i="6"/>
  <c r="AE1066" i="6"/>
  <c r="AE1074" i="6"/>
  <c r="AE1082" i="6"/>
  <c r="AE1090" i="6"/>
  <c r="AE1098" i="6"/>
  <c r="AE1106" i="6"/>
  <c r="AE1114" i="6"/>
  <c r="AE1122" i="6"/>
  <c r="AE1130" i="6"/>
  <c r="AE1138" i="6"/>
  <c r="AE1146" i="6"/>
  <c r="AE1154" i="6"/>
  <c r="AE1162" i="6"/>
  <c r="AE1170" i="6"/>
  <c r="AE1178" i="6"/>
  <c r="AE1186" i="6"/>
  <c r="AE1194" i="6"/>
  <c r="AE1202" i="6"/>
  <c r="AE1210" i="6"/>
  <c r="AE1218" i="6"/>
  <c r="AE1226" i="6"/>
  <c r="AE1234" i="6"/>
  <c r="AE1242" i="6"/>
  <c r="AE1250" i="6"/>
  <c r="AE1258" i="6"/>
  <c r="AE1266" i="6"/>
  <c r="AE1274" i="6"/>
  <c r="AE1282" i="6"/>
  <c r="AE1290" i="6"/>
  <c r="AE1298" i="6"/>
  <c r="AE1306" i="6"/>
  <c r="AE1314" i="6"/>
  <c r="AE1322" i="6"/>
  <c r="AE1330" i="6"/>
  <c r="AE1338" i="6"/>
  <c r="AE1346" i="6"/>
  <c r="AE1354" i="6"/>
  <c r="AE1362" i="6"/>
  <c r="AE1370" i="6"/>
  <c r="AE1378" i="6"/>
  <c r="AE1386" i="6"/>
  <c r="AE1394" i="6"/>
  <c r="AE1402" i="6"/>
  <c r="AE11" i="6"/>
  <c r="AE19" i="6"/>
  <c r="AE27" i="6"/>
  <c r="AE35" i="6"/>
  <c r="AE43" i="6"/>
  <c r="AE51" i="6"/>
  <c r="AE59" i="6"/>
  <c r="AE67" i="6"/>
  <c r="AE75" i="6"/>
  <c r="AE83" i="6"/>
  <c r="AE91" i="6"/>
  <c r="AE99" i="6"/>
  <c r="AE107" i="6"/>
  <c r="AE115" i="6"/>
  <c r="AE123" i="6"/>
  <c r="AE131" i="6"/>
  <c r="AE139" i="6"/>
  <c r="AE147" i="6"/>
  <c r="AE155" i="6"/>
  <c r="AE163" i="6"/>
  <c r="AE171" i="6"/>
  <c r="AE179" i="6"/>
  <c r="AE187" i="6"/>
  <c r="AE195" i="6"/>
  <c r="AE203" i="6"/>
  <c r="AE211" i="6"/>
  <c r="AE219" i="6"/>
  <c r="AE227" i="6"/>
  <c r="AE235" i="6"/>
  <c r="AE243" i="6"/>
  <c r="AE251" i="6"/>
  <c r="AE259" i="6"/>
  <c r="AE267" i="6"/>
  <c r="AE275" i="6"/>
  <c r="AE283" i="6"/>
  <c r="AE291" i="6"/>
  <c r="AE299" i="6"/>
  <c r="AE307" i="6"/>
  <c r="AE315" i="6"/>
  <c r="AE323" i="6"/>
  <c r="AE331" i="6"/>
  <c r="AE339" i="6"/>
  <c r="AE347" i="6"/>
  <c r="AE355" i="6"/>
  <c r="AE2257" i="6"/>
  <c r="AE2289" i="6"/>
  <c r="AE2321" i="6"/>
  <c r="AE2352" i="6"/>
  <c r="AE1431" i="6"/>
  <c r="AE1447" i="6"/>
  <c r="AE1463" i="6"/>
  <c r="AE1479" i="6"/>
  <c r="AE1493" i="6"/>
  <c r="AE1507" i="6"/>
  <c r="AE1518" i="6"/>
  <c r="AE1532" i="6"/>
  <c r="AE1543" i="6"/>
  <c r="AE1557" i="6"/>
  <c r="AE1571" i="6"/>
  <c r="AE1582" i="6"/>
  <c r="AE1594" i="6"/>
  <c r="AE1604" i="6"/>
  <c r="AE1614" i="6"/>
  <c r="AE1625" i="6"/>
  <c r="AE1634" i="6"/>
  <c r="AE1643" i="6"/>
  <c r="AE1652" i="6"/>
  <c r="AE1661" i="6"/>
  <c r="AE1670" i="6"/>
  <c r="AE1678" i="6"/>
  <c r="AE1686" i="6"/>
  <c r="AE1694" i="6"/>
  <c r="AE1702" i="6"/>
  <c r="AE1710" i="6"/>
  <c r="AE1718" i="6"/>
  <c r="AE1726" i="6"/>
  <c r="AE1734" i="6"/>
  <c r="AE1742" i="6"/>
  <c r="AE1750" i="6"/>
  <c r="AE1758" i="6"/>
  <c r="AE1766" i="6"/>
  <c r="AE1774" i="6"/>
  <c r="AE1782" i="6"/>
  <c r="AE1790" i="6"/>
  <c r="AE1798" i="6"/>
  <c r="AE1806" i="6"/>
  <c r="AE1814" i="6"/>
  <c r="AE1822" i="6"/>
  <c r="AE1405" i="6"/>
  <c r="AE1413" i="6"/>
  <c r="AE771" i="6"/>
  <c r="AE779" i="6"/>
  <c r="AE787" i="6"/>
  <c r="AE795" i="6"/>
  <c r="AE803" i="6"/>
  <c r="AE811" i="6"/>
  <c r="AE819" i="6"/>
  <c r="AE827" i="6"/>
  <c r="AE835" i="6"/>
  <c r="AE843" i="6"/>
  <c r="AE851" i="6"/>
  <c r="AE859" i="6"/>
  <c r="AE867" i="6"/>
  <c r="AE875" i="6"/>
  <c r="AE883" i="6"/>
  <c r="AE891" i="6"/>
  <c r="AE899" i="6"/>
  <c r="AE907" i="6"/>
  <c r="AE915" i="6"/>
  <c r="AE923" i="6"/>
  <c r="AE931" i="6"/>
  <c r="AE939" i="6"/>
  <c r="AE947" i="6"/>
  <c r="AE955" i="6"/>
  <c r="AE963" i="6"/>
  <c r="AE971" i="6"/>
  <c r="AE979" i="6"/>
  <c r="AE987" i="6"/>
  <c r="AE995" i="6"/>
  <c r="AE1003" i="6"/>
  <c r="AE1011" i="6"/>
  <c r="AE1019" i="6"/>
  <c r="AE1027" i="6"/>
  <c r="AE1035" i="6"/>
  <c r="AE1043" i="6"/>
  <c r="AE1051" i="6"/>
  <c r="AE1059" i="6"/>
  <c r="AE1067" i="6"/>
  <c r="AE1075" i="6"/>
  <c r="AE1083" i="6"/>
  <c r="AE1091" i="6"/>
  <c r="AE1099" i="6"/>
  <c r="AE1107" i="6"/>
  <c r="AE1115" i="6"/>
  <c r="AE1123" i="6"/>
  <c r="AE1131" i="6"/>
  <c r="AE1139" i="6"/>
  <c r="AE1147" i="6"/>
  <c r="AE1155" i="6"/>
  <c r="AE1163" i="6"/>
  <c r="AE1171" i="6"/>
  <c r="AE1179" i="6"/>
  <c r="AE1187" i="6"/>
  <c r="AE1195" i="6"/>
  <c r="AE1203" i="6"/>
  <c r="AE1211" i="6"/>
  <c r="AE1219" i="6"/>
  <c r="AE1227" i="6"/>
  <c r="AE1235" i="6"/>
  <c r="AE1243" i="6"/>
  <c r="AE1251" i="6"/>
  <c r="AE1259" i="6"/>
  <c r="AE1267" i="6"/>
  <c r="AE1275" i="6"/>
  <c r="AE1283" i="6"/>
  <c r="AE1291" i="6"/>
  <c r="AE1299" i="6"/>
  <c r="AE1307" i="6"/>
  <c r="AE1315" i="6"/>
  <c r="AE1323" i="6"/>
  <c r="AE1331" i="6"/>
  <c r="AE1339" i="6"/>
  <c r="AE1347" i="6"/>
  <c r="AE1355" i="6"/>
  <c r="AE1363" i="6"/>
  <c r="AE1371" i="6"/>
  <c r="AE1379" i="6"/>
  <c r="AE1387" i="6"/>
  <c r="AE1395" i="6"/>
  <c r="AE1403" i="6"/>
  <c r="AE12" i="6"/>
  <c r="AE20" i="6"/>
  <c r="AE28" i="6"/>
  <c r="AE36" i="6"/>
  <c r="AE44" i="6"/>
  <c r="AE52" i="6"/>
  <c r="AE60" i="6"/>
  <c r="AE68" i="6"/>
  <c r="AE76" i="6"/>
  <c r="AE84" i="6"/>
  <c r="AE92" i="6"/>
  <c r="AE100" i="6"/>
  <c r="AE108" i="6"/>
  <c r="AE116" i="6"/>
  <c r="AE124" i="6"/>
  <c r="AE132" i="6"/>
  <c r="AE140" i="6"/>
  <c r="AE148" i="6"/>
  <c r="AE156" i="6"/>
  <c r="AE164" i="6"/>
  <c r="AE172" i="6"/>
  <c r="AE180" i="6"/>
  <c r="AE188" i="6"/>
  <c r="AE196" i="6"/>
  <c r="AE204" i="6"/>
  <c r="AE212" i="6"/>
  <c r="AE220" i="6"/>
  <c r="AE228" i="6"/>
  <c r="AE236" i="6"/>
  <c r="AE244" i="6"/>
  <c r="AE252" i="6"/>
  <c r="AE260" i="6"/>
  <c r="AE268" i="6"/>
  <c r="AE276" i="6"/>
  <c r="AE284" i="6"/>
  <c r="AE292" i="6"/>
  <c r="AE2258" i="6"/>
  <c r="AE2290" i="6"/>
  <c r="AE2322" i="6"/>
  <c r="AE2353" i="6"/>
  <c r="AE1435" i="6"/>
  <c r="AE1451" i="6"/>
  <c r="AE1467" i="6"/>
  <c r="AE1483" i="6"/>
  <c r="AE1494" i="6"/>
  <c r="AE1508" i="6"/>
  <c r="AE1519" i="6"/>
  <c r="AE1533" i="6"/>
  <c r="AE1547" i="6"/>
  <c r="AE1558" i="6"/>
  <c r="AE1572" i="6"/>
  <c r="AE1583" i="6"/>
  <c r="AE1595" i="6"/>
  <c r="AE1605" i="6"/>
  <c r="AE1615" i="6"/>
  <c r="AE1626" i="6"/>
  <c r="AE1635" i="6"/>
  <c r="AE1644" i="6"/>
  <c r="AE1653" i="6"/>
  <c r="AE1662" i="6"/>
  <c r="AE1671" i="6"/>
  <c r="AE1679" i="6"/>
  <c r="AE1687" i="6"/>
  <c r="AE1695" i="6"/>
  <c r="AE1703" i="6"/>
  <c r="AE1711" i="6"/>
  <c r="AE1719" i="6"/>
  <c r="AE1727" i="6"/>
  <c r="AE1735" i="6"/>
  <c r="AE1743" i="6"/>
  <c r="AE1751" i="6"/>
  <c r="AE1759" i="6"/>
  <c r="AE1767" i="6"/>
  <c r="AE1775" i="6"/>
  <c r="AE1783" i="6"/>
  <c r="AE1791" i="6"/>
  <c r="AE1799" i="6"/>
  <c r="AE1807" i="6"/>
  <c r="AE1815" i="6"/>
  <c r="AE1823" i="6"/>
  <c r="AE1406" i="6"/>
  <c r="AE1414" i="6"/>
  <c r="AE772" i="6"/>
  <c r="AE780" i="6"/>
  <c r="AE788" i="6"/>
  <c r="AE796" i="6"/>
  <c r="AE804" i="6"/>
  <c r="AE812" i="6"/>
  <c r="AE820" i="6"/>
  <c r="AE828" i="6"/>
  <c r="AE836" i="6"/>
  <c r="AE844" i="6"/>
  <c r="AE852" i="6"/>
  <c r="AE860" i="6"/>
  <c r="AE868" i="6"/>
  <c r="AE876" i="6"/>
  <c r="AE884" i="6"/>
  <c r="AE892" i="6"/>
  <c r="AE900" i="6"/>
  <c r="AE908" i="6"/>
  <c r="AE916" i="6"/>
  <c r="AE924" i="6"/>
  <c r="AE932" i="6"/>
  <c r="AE940" i="6"/>
  <c r="AE948" i="6"/>
  <c r="AE956" i="6"/>
  <c r="AE964" i="6"/>
  <c r="AE972" i="6"/>
  <c r="AE980" i="6"/>
  <c r="AE988" i="6"/>
  <c r="AE996" i="6"/>
  <c r="AE1004" i="6"/>
  <c r="AE1012" i="6"/>
  <c r="AE1020" i="6"/>
  <c r="AE1028" i="6"/>
  <c r="AE1036" i="6"/>
  <c r="AE1044" i="6"/>
  <c r="AE1052" i="6"/>
  <c r="AE1060" i="6"/>
  <c r="AE1068" i="6"/>
  <c r="AE1076" i="6"/>
  <c r="AE1084" i="6"/>
  <c r="AE1092" i="6"/>
  <c r="AE1100" i="6"/>
  <c r="AE1108" i="6"/>
  <c r="AE1116" i="6"/>
  <c r="AE1124" i="6"/>
  <c r="AE1132" i="6"/>
  <c r="AE1140" i="6"/>
  <c r="AE1148" i="6"/>
  <c r="AE1156" i="6"/>
  <c r="AE1164" i="6"/>
  <c r="AE1172" i="6"/>
  <c r="AE1180" i="6"/>
  <c r="AE1188" i="6"/>
  <c r="AE1196" i="6"/>
  <c r="AE1204" i="6"/>
  <c r="AE1212" i="6"/>
  <c r="AE1220" i="6"/>
  <c r="AE1228" i="6"/>
  <c r="AE1236" i="6"/>
  <c r="AE1244" i="6"/>
  <c r="AE1252" i="6"/>
  <c r="AE1260" i="6"/>
  <c r="AE1268" i="6"/>
  <c r="AE1276" i="6"/>
  <c r="AE1284" i="6"/>
  <c r="AE1292" i="6"/>
  <c r="AE1300" i="6"/>
  <c r="AE1308" i="6"/>
  <c r="AE1316" i="6"/>
  <c r="AE1324" i="6"/>
  <c r="AE1332" i="6"/>
  <c r="AE1340" i="6"/>
  <c r="AE1348" i="6"/>
  <c r="AE1356" i="6"/>
  <c r="AE1364" i="6"/>
  <c r="AE1372" i="6"/>
  <c r="AE1380" i="6"/>
  <c r="AE1388" i="6"/>
  <c r="AE1396" i="6"/>
  <c r="AE1404" i="6"/>
  <c r="AE13" i="6"/>
  <c r="AE21" i="6"/>
  <c r="AE29" i="6"/>
  <c r="AE37" i="6"/>
  <c r="AE45" i="6"/>
  <c r="AE53" i="6"/>
  <c r="AE61" i="6"/>
  <c r="AE69" i="6"/>
  <c r="AE77" i="6"/>
  <c r="AE85" i="6"/>
  <c r="AE93" i="6"/>
  <c r="AE101" i="6"/>
  <c r="AE109" i="6"/>
  <c r="AE117" i="6"/>
  <c r="AE125" i="6"/>
  <c r="AE133" i="6"/>
  <c r="AE141" i="6"/>
  <c r="AE149" i="6"/>
  <c r="AE157" i="6"/>
  <c r="AE165" i="6"/>
  <c r="AE173" i="6"/>
  <c r="AE181" i="6"/>
  <c r="AE189" i="6"/>
  <c r="AE197" i="6"/>
  <c r="AE205" i="6"/>
  <c r="AE213" i="6"/>
  <c r="AE221" i="6"/>
  <c r="AE229" i="6"/>
  <c r="AE237" i="6"/>
  <c r="AE245" i="6"/>
  <c r="AE253" i="6"/>
  <c r="AE261" i="6"/>
  <c r="AE2265" i="6"/>
  <c r="AE2297" i="6"/>
  <c r="AE2329" i="6"/>
  <c r="AE2354" i="6"/>
  <c r="AE1437" i="6"/>
  <c r="AE1453" i="6"/>
  <c r="AE1469" i="6"/>
  <c r="AE1484" i="6"/>
  <c r="AE1495" i="6"/>
  <c r="AE1509" i="6"/>
  <c r="AE1523" i="6"/>
  <c r="AE1534" i="6"/>
  <c r="AE1548" i="6"/>
  <c r="AE1559" i="6"/>
  <c r="AE1573" i="6"/>
  <c r="AE1586" i="6"/>
  <c r="AE1596" i="6"/>
  <c r="AE1606" i="6"/>
  <c r="AE1618" i="6"/>
  <c r="AE1627" i="6"/>
  <c r="AE1636" i="6"/>
  <c r="AE1645" i="6"/>
  <c r="AE1654" i="6"/>
  <c r="AE1663" i="6"/>
  <c r="AE1672" i="6"/>
  <c r="AE1680" i="6"/>
  <c r="AE1688" i="6"/>
  <c r="AE1696" i="6"/>
  <c r="AE1704" i="6"/>
  <c r="AE1712" i="6"/>
  <c r="AE1720" i="6"/>
  <c r="AE1728" i="6"/>
  <c r="AE1736" i="6"/>
  <c r="AE1744" i="6"/>
  <c r="AE1752" i="6"/>
  <c r="AE1760" i="6"/>
  <c r="AE1768" i="6"/>
  <c r="AE1776" i="6"/>
  <c r="AE1784" i="6"/>
  <c r="AE1792" i="6"/>
  <c r="AE1800" i="6"/>
  <c r="AE1808" i="6"/>
  <c r="AE1816" i="6"/>
  <c r="AE1824" i="6"/>
  <c r="AE1407" i="6"/>
  <c r="AE1415" i="6"/>
  <c r="AE773" i="6"/>
  <c r="AE781" i="6"/>
  <c r="AE789" i="6"/>
  <c r="AE797" i="6"/>
  <c r="AE805" i="6"/>
  <c r="AE813" i="6"/>
  <c r="AE821" i="6"/>
  <c r="AE829" i="6"/>
  <c r="AE837" i="6"/>
  <c r="AE845" i="6"/>
  <c r="AE853" i="6"/>
  <c r="AE861" i="6"/>
  <c r="AE869" i="6"/>
  <c r="AE877" i="6"/>
  <c r="AE885" i="6"/>
  <c r="AE893" i="6"/>
  <c r="AE901" i="6"/>
  <c r="AE909" i="6"/>
  <c r="AE917" i="6"/>
  <c r="AE925" i="6"/>
  <c r="AE933" i="6"/>
  <c r="AE941" i="6"/>
  <c r="AE949" i="6"/>
  <c r="AE957" i="6"/>
  <c r="AE965" i="6"/>
  <c r="AE973" i="6"/>
  <c r="AE981" i="6"/>
  <c r="AE989" i="6"/>
  <c r="AE997" i="6"/>
  <c r="AE1005" i="6"/>
  <c r="AE1013" i="6"/>
  <c r="AE1021" i="6"/>
  <c r="AE1029" i="6"/>
  <c r="AE1037" i="6"/>
  <c r="AE1045" i="6"/>
  <c r="AE1053" i="6"/>
  <c r="AE1061" i="6"/>
  <c r="AE1069" i="6"/>
  <c r="AE1077" i="6"/>
  <c r="AE1085" i="6"/>
  <c r="AE1093" i="6"/>
  <c r="AE1101" i="6"/>
  <c r="AE1109" i="6"/>
  <c r="AE1117" i="6"/>
  <c r="AE1125" i="6"/>
  <c r="AE1133" i="6"/>
  <c r="AE1141" i="6"/>
  <c r="AE1149" i="6"/>
  <c r="AE1157" i="6"/>
  <c r="AE1165" i="6"/>
  <c r="AE1173" i="6"/>
  <c r="AE1181" i="6"/>
  <c r="AE1189" i="6"/>
  <c r="AE1197" i="6"/>
  <c r="AE1205" i="6"/>
  <c r="AE1213" i="6"/>
  <c r="AE1221" i="6"/>
  <c r="AE1229" i="6"/>
  <c r="AE1237" i="6"/>
  <c r="AE1245" i="6"/>
  <c r="AE1253" i="6"/>
  <c r="AE1261" i="6"/>
  <c r="AE1269" i="6"/>
  <c r="AE1277" i="6"/>
  <c r="AE1285" i="6"/>
  <c r="AE1293" i="6"/>
  <c r="AE1301" i="6"/>
  <c r="AE1309" i="6"/>
  <c r="AE1317" i="6"/>
  <c r="AE1325" i="6"/>
  <c r="AE1333" i="6"/>
  <c r="AE1341" i="6"/>
  <c r="AE1349" i="6"/>
  <c r="AE1357" i="6"/>
  <c r="AE1365" i="6"/>
  <c r="AE1373" i="6"/>
  <c r="AE1381" i="6"/>
  <c r="AE1389" i="6"/>
  <c r="AE1397" i="6"/>
  <c r="AE6" i="6"/>
  <c r="AE14" i="6"/>
  <c r="AE22" i="6"/>
  <c r="AE30" i="6"/>
  <c r="AE38" i="6"/>
  <c r="AE46" i="6"/>
  <c r="AE54" i="6"/>
  <c r="AE62" i="6"/>
  <c r="AE70" i="6"/>
  <c r="AE78" i="6"/>
  <c r="AE86" i="6"/>
  <c r="AE94" i="6"/>
  <c r="AE102" i="6"/>
  <c r="AE110" i="6"/>
  <c r="AE118" i="6"/>
  <c r="AE126" i="6"/>
  <c r="AE134" i="6"/>
  <c r="AE142" i="6"/>
  <c r="AE2266" i="6"/>
  <c r="AE2298" i="6"/>
  <c r="AE2330" i="6"/>
  <c r="AE1421" i="6"/>
  <c r="AE1438" i="6"/>
  <c r="AE1454" i="6"/>
  <c r="AE1470" i="6"/>
  <c r="AE1485" i="6"/>
  <c r="AE1499" i="6"/>
  <c r="AE1510" i="6"/>
  <c r="AE1524" i="6"/>
  <c r="AE1535" i="6"/>
  <c r="AE1549" i="6"/>
  <c r="AE1563" i="6"/>
  <c r="AE1574" i="6"/>
  <c r="AE1587" i="6"/>
  <c r="AE1597" i="6"/>
  <c r="AE1607" i="6"/>
  <c r="AE1619" i="6"/>
  <c r="AE1628" i="6"/>
  <c r="AE1637" i="6"/>
  <c r="AE1646" i="6"/>
  <c r="AE1655" i="6"/>
  <c r="AE1665" i="6"/>
  <c r="AE1673" i="6"/>
  <c r="AE1681" i="6"/>
  <c r="AE1689" i="6"/>
  <c r="AE1697" i="6"/>
  <c r="AE1705" i="6"/>
  <c r="AE1713" i="6"/>
  <c r="AE1721" i="6"/>
  <c r="AE1729" i="6"/>
  <c r="AE1737" i="6"/>
  <c r="AE1745" i="6"/>
  <c r="AE1753" i="6"/>
  <c r="AE1761" i="6"/>
  <c r="AE1769" i="6"/>
  <c r="AE1777" i="6"/>
  <c r="AE1785" i="6"/>
  <c r="AE1793" i="6"/>
  <c r="AE1801" i="6"/>
  <c r="AE1809" i="6"/>
  <c r="AE1817" i="6"/>
  <c r="AE1825" i="6"/>
  <c r="AE1408" i="6"/>
  <c r="AE766" i="6"/>
  <c r="AE774" i="6"/>
  <c r="AE782" i="6"/>
  <c r="AE790" i="6"/>
  <c r="AE798" i="6"/>
  <c r="AE806" i="6"/>
  <c r="AE814" i="6"/>
  <c r="AE822" i="6"/>
  <c r="AE830" i="6"/>
  <c r="AE838" i="6"/>
  <c r="AE846" i="6"/>
  <c r="AE854" i="6"/>
  <c r="AE862" i="6"/>
  <c r="AE870" i="6"/>
  <c r="AE878" i="6"/>
  <c r="AE886" i="6"/>
  <c r="AE894" i="6"/>
  <c r="AE902" i="6"/>
  <c r="AE910" i="6"/>
  <c r="AE918" i="6"/>
  <c r="AE926" i="6"/>
  <c r="AE934" i="6"/>
  <c r="AE942" i="6"/>
  <c r="AE950" i="6"/>
  <c r="AE958" i="6"/>
  <c r="AE966" i="6"/>
  <c r="AE974" i="6"/>
  <c r="AE982" i="6"/>
  <c r="AE990" i="6"/>
  <c r="AE998" i="6"/>
  <c r="AE1006" i="6"/>
  <c r="AE1014" i="6"/>
  <c r="AE1022" i="6"/>
  <c r="AE1030" i="6"/>
  <c r="AE1038" i="6"/>
  <c r="AE1046" i="6"/>
  <c r="AE1054" i="6"/>
  <c r="AE1062" i="6"/>
  <c r="AE1070" i="6"/>
  <c r="AE1078" i="6"/>
  <c r="AE1086" i="6"/>
  <c r="AE1094" i="6"/>
  <c r="AE1102" i="6"/>
  <c r="AE1110" i="6"/>
  <c r="AE1118" i="6"/>
  <c r="AE1126" i="6"/>
  <c r="AE1134" i="6"/>
  <c r="AE1142" i="6"/>
  <c r="AE1150" i="6"/>
  <c r="AE1158" i="6"/>
  <c r="AE1166" i="6"/>
  <c r="AE1174" i="6"/>
  <c r="AE1182" i="6"/>
  <c r="AE1190" i="6"/>
  <c r="AE1198" i="6"/>
  <c r="AE1206" i="6"/>
  <c r="AE1214" i="6"/>
  <c r="AE1222" i="6"/>
  <c r="AE1230" i="6"/>
  <c r="AE1238" i="6"/>
  <c r="AE1246" i="6"/>
  <c r="AE1254" i="6"/>
  <c r="AE1262" i="6"/>
  <c r="AE1270" i="6"/>
  <c r="AE1278" i="6"/>
  <c r="AE1286" i="6"/>
  <c r="AE1294" i="6"/>
  <c r="AE1302" i="6"/>
  <c r="AE1310" i="6"/>
  <c r="AE1318" i="6"/>
  <c r="AE1326" i="6"/>
  <c r="AE1334" i="6"/>
  <c r="AE1342" i="6"/>
  <c r="AE1350" i="6"/>
  <c r="AE1358" i="6"/>
  <c r="AE1366" i="6"/>
  <c r="AE1374" i="6"/>
  <c r="AE1382" i="6"/>
  <c r="AE1390" i="6"/>
  <c r="AE1398" i="6"/>
  <c r="AE7" i="6"/>
  <c r="AE15" i="6"/>
  <c r="AE23" i="6"/>
  <c r="AE31" i="6"/>
  <c r="AE39" i="6"/>
  <c r="AE47" i="6"/>
  <c r="AE55" i="6"/>
  <c r="AE63" i="6"/>
  <c r="AE71" i="6"/>
  <c r="AE79" i="6"/>
  <c r="AE87" i="6"/>
  <c r="AE95" i="6"/>
  <c r="AE103" i="6"/>
  <c r="AE111" i="6"/>
  <c r="AE119" i="6"/>
  <c r="AE127" i="6"/>
  <c r="AE135" i="6"/>
  <c r="AE143" i="6"/>
  <c r="AE151" i="6"/>
  <c r="AE159" i="6"/>
  <c r="AE167" i="6"/>
  <c r="AE175" i="6"/>
  <c r="AE183" i="6"/>
  <c r="AE2273" i="6"/>
  <c r="AE2305" i="6"/>
  <c r="AE2337" i="6"/>
  <c r="AE1422" i="6"/>
  <c r="AE1439" i="6"/>
  <c r="AE1455" i="6"/>
  <c r="AE1471" i="6"/>
  <c r="AE1486" i="6"/>
  <c r="AE1500" i="6"/>
  <c r="AE1511" i="6"/>
  <c r="AE1525" i="6"/>
  <c r="AE1539" i="6"/>
  <c r="AE1550" i="6"/>
  <c r="AE1564" i="6"/>
  <c r="AE1575" i="6"/>
  <c r="AE1588" i="6"/>
  <c r="AE1598" i="6"/>
  <c r="AE1610" i="6"/>
  <c r="AE1620" i="6"/>
  <c r="AE1629" i="6"/>
  <c r="AE1638" i="6"/>
  <c r="AE1647" i="6"/>
  <c r="AE1657" i="6"/>
  <c r="AE1666" i="6"/>
  <c r="AE1674" i="6"/>
  <c r="AE1682" i="6"/>
  <c r="AE1690" i="6"/>
  <c r="AE1698" i="6"/>
  <c r="AE1706" i="6"/>
  <c r="AE1714" i="6"/>
  <c r="AE1722" i="6"/>
  <c r="AE1730" i="6"/>
  <c r="AE1738" i="6"/>
  <c r="AE1746" i="6"/>
  <c r="AE1754" i="6"/>
  <c r="AE1762" i="6"/>
  <c r="AE1770" i="6"/>
  <c r="AE1778" i="6"/>
  <c r="AE1786" i="6"/>
  <c r="AE1794" i="6"/>
  <c r="AE1802" i="6"/>
  <c r="AE1810" i="6"/>
  <c r="AE1818" i="6"/>
  <c r="AE1826" i="6"/>
  <c r="AE1409" i="6"/>
  <c r="AE767" i="6"/>
  <c r="AE775" i="6"/>
  <c r="AE783" i="6"/>
  <c r="AE791" i="6"/>
  <c r="AE799" i="6"/>
  <c r="AE807" i="6"/>
  <c r="AE815" i="6"/>
  <c r="AE823" i="6"/>
  <c r="AE831" i="6"/>
  <c r="AE839" i="6"/>
  <c r="AE847" i="6"/>
  <c r="AE855" i="6"/>
  <c r="AE863" i="6"/>
  <c r="AE871" i="6"/>
  <c r="AE879" i="6"/>
  <c r="AE887" i="6"/>
  <c r="AE895" i="6"/>
  <c r="AE903" i="6"/>
  <c r="AE911" i="6"/>
  <c r="AE919" i="6"/>
  <c r="AE927" i="6"/>
  <c r="AE935" i="6"/>
  <c r="AE943" i="6"/>
  <c r="AE951" i="6"/>
  <c r="AE959" i="6"/>
  <c r="AE967" i="6"/>
  <c r="AE975" i="6"/>
  <c r="AE983" i="6"/>
  <c r="AE991" i="6"/>
  <c r="AE999" i="6"/>
  <c r="AE1007" i="6"/>
  <c r="AE1015" i="6"/>
  <c r="AE1023" i="6"/>
  <c r="AE1031" i="6"/>
  <c r="AE1039" i="6"/>
  <c r="AE1047" i="6"/>
  <c r="AE1055" i="6"/>
  <c r="AE1063" i="6"/>
  <c r="AE1071" i="6"/>
  <c r="AE1079" i="6"/>
  <c r="AE1087" i="6"/>
  <c r="AE1095" i="6"/>
  <c r="AE1103" i="6"/>
  <c r="AE1111" i="6"/>
  <c r="AE1119" i="6"/>
  <c r="AE1127" i="6"/>
  <c r="AE1135" i="6"/>
  <c r="AE1143" i="6"/>
  <c r="AE1151" i="6"/>
  <c r="AE1159" i="6"/>
  <c r="AE1167" i="6"/>
  <c r="AE1175" i="6"/>
  <c r="AE1183" i="6"/>
  <c r="AE1191" i="6"/>
  <c r="AE1199" i="6"/>
  <c r="AE1207" i="6"/>
  <c r="AE1215" i="6"/>
  <c r="AE1223" i="6"/>
  <c r="AE1231" i="6"/>
  <c r="AE1239" i="6"/>
  <c r="AE1247" i="6"/>
  <c r="AE1255" i="6"/>
  <c r="AE1263" i="6"/>
  <c r="AE1271" i="6"/>
  <c r="AE1279" i="6"/>
  <c r="AE1287" i="6"/>
  <c r="AE1295" i="6"/>
  <c r="AE1303" i="6"/>
  <c r="AE1311" i="6"/>
  <c r="AE1319" i="6"/>
  <c r="AE1327" i="6"/>
  <c r="AE1335" i="6"/>
  <c r="AE1343" i="6"/>
  <c r="AE1351" i="6"/>
  <c r="AE1359" i="6"/>
  <c r="AE1367" i="6"/>
  <c r="AE1375" i="6"/>
  <c r="AE1383" i="6"/>
  <c r="AE1391" i="6"/>
  <c r="AE1399" i="6"/>
  <c r="AE8" i="6"/>
  <c r="AE16" i="6"/>
  <c r="AE24" i="6"/>
  <c r="AE32" i="6"/>
  <c r="AE40" i="6"/>
  <c r="AE48" i="6"/>
  <c r="AE56" i="6"/>
  <c r="AE64" i="6"/>
  <c r="AE72" i="6"/>
  <c r="AE80" i="6"/>
  <c r="AE88" i="6"/>
  <c r="AE96" i="6"/>
  <c r="AE104" i="6"/>
  <c r="AE112" i="6"/>
  <c r="AE120" i="6"/>
  <c r="AE128" i="6"/>
  <c r="AE136" i="6"/>
  <c r="AE144" i="6"/>
  <c r="AE152" i="6"/>
  <c r="AE2274" i="6"/>
  <c r="AE2306" i="6"/>
  <c r="AE2338" i="6"/>
  <c r="AE1423" i="6"/>
  <c r="AE1443" i="6"/>
  <c r="AE1459" i="6"/>
  <c r="AE1475" i="6"/>
  <c r="AE1487" i="6"/>
  <c r="AE1501" i="6"/>
  <c r="AE1515" i="6"/>
  <c r="AE1526" i="6"/>
  <c r="AE1540" i="6"/>
  <c r="AE1551" i="6"/>
  <c r="AE1565" i="6"/>
  <c r="AE1579" i="6"/>
  <c r="AE1589" i="6"/>
  <c r="AE1599" i="6"/>
  <c r="AE1611" i="6"/>
  <c r="AE1621" i="6"/>
  <c r="AE1630" i="6"/>
  <c r="AE1639" i="6"/>
  <c r="AE1649" i="6"/>
  <c r="AE1658" i="6"/>
  <c r="AE1667" i="6"/>
  <c r="AE1675" i="6"/>
  <c r="AE1683" i="6"/>
  <c r="AE1691" i="6"/>
  <c r="AE1699" i="6"/>
  <c r="AE1707" i="6"/>
  <c r="AE1715" i="6"/>
  <c r="AE1723" i="6"/>
  <c r="AE1731" i="6"/>
  <c r="AE1739" i="6"/>
  <c r="AE1747" i="6"/>
  <c r="AE1755" i="6"/>
  <c r="AE1763" i="6"/>
  <c r="AE1771" i="6"/>
  <c r="AE1779" i="6"/>
  <c r="AE1787" i="6"/>
  <c r="AE1795" i="6"/>
  <c r="AE1803" i="6"/>
  <c r="AE1811" i="6"/>
  <c r="AE1819" i="6"/>
  <c r="AE1827" i="6"/>
  <c r="AE1410" i="6"/>
  <c r="AE768" i="6"/>
  <c r="AE776" i="6"/>
  <c r="AE784" i="6"/>
  <c r="AE792" i="6"/>
  <c r="AE800" i="6"/>
  <c r="AE808" i="6"/>
  <c r="AE816" i="6"/>
  <c r="AE824" i="6"/>
  <c r="AE832" i="6"/>
  <c r="AE840" i="6"/>
  <c r="AE848" i="6"/>
  <c r="AE856" i="6"/>
  <c r="AE864" i="6"/>
  <c r="AE872" i="6"/>
  <c r="AE880" i="6"/>
  <c r="AE888" i="6"/>
  <c r="AE896" i="6"/>
  <c r="AE904" i="6"/>
  <c r="AE912" i="6"/>
  <c r="AE920" i="6"/>
  <c r="AE928" i="6"/>
  <c r="AE936" i="6"/>
  <c r="AE944" i="6"/>
  <c r="AE952" i="6"/>
  <c r="AE960" i="6"/>
  <c r="AE968" i="6"/>
  <c r="AE976" i="6"/>
  <c r="AE984" i="6"/>
  <c r="AE992" i="6"/>
  <c r="AE1000" i="6"/>
  <c r="AE1008" i="6"/>
  <c r="AE1016" i="6"/>
  <c r="AE1024" i="6"/>
  <c r="AE1032" i="6"/>
  <c r="AE1040" i="6"/>
  <c r="AE1048" i="6"/>
  <c r="AE1056" i="6"/>
  <c r="AE1064" i="6"/>
  <c r="AE1072" i="6"/>
  <c r="AE1080" i="6"/>
  <c r="AE1088" i="6"/>
  <c r="AE1096" i="6"/>
  <c r="AE1104" i="6"/>
  <c r="AE1112" i="6"/>
  <c r="AE1120" i="6"/>
  <c r="AE1128" i="6"/>
  <c r="AE1136" i="6"/>
  <c r="AE1144" i="6"/>
  <c r="AE1152" i="6"/>
  <c r="AE1160" i="6"/>
  <c r="AE1168" i="6"/>
  <c r="AE1176" i="6"/>
  <c r="AE1184" i="6"/>
  <c r="AE1192" i="6"/>
  <c r="AE1200" i="6"/>
  <c r="AE1208" i="6"/>
  <c r="AE1216" i="6"/>
  <c r="AE1224" i="6"/>
  <c r="AE1232" i="6"/>
  <c r="AE1240" i="6"/>
  <c r="AE1248" i="6"/>
  <c r="AE1256" i="6"/>
  <c r="AE1264" i="6"/>
  <c r="AE1272" i="6"/>
  <c r="AE1280" i="6"/>
  <c r="AE1288" i="6"/>
  <c r="AE1296" i="6"/>
  <c r="AE1304" i="6"/>
  <c r="AE1312" i="6"/>
  <c r="AE1320" i="6"/>
  <c r="AE1328" i="6"/>
  <c r="AE1336" i="6"/>
  <c r="AE1344" i="6"/>
  <c r="AE1352" i="6"/>
  <c r="AE1360" i="6"/>
  <c r="AE1368" i="6"/>
  <c r="AE1376" i="6"/>
  <c r="AE1384" i="6"/>
  <c r="AE1392" i="6"/>
  <c r="AE1400" i="6"/>
  <c r="AE9" i="6"/>
  <c r="AE17" i="6"/>
  <c r="AE2281" i="6"/>
  <c r="AE2313" i="6"/>
  <c r="AE2345" i="6"/>
  <c r="AE1429" i="6"/>
  <c r="AE1445" i="6"/>
  <c r="AE1461" i="6"/>
  <c r="AE1477" i="6"/>
  <c r="AE1491" i="6"/>
  <c r="AE1502" i="6"/>
  <c r="AE1516" i="6"/>
  <c r="AE1527" i="6"/>
  <c r="AE1541" i="6"/>
  <c r="AE1555" i="6"/>
  <c r="AE1566" i="6"/>
  <c r="AE1580" i="6"/>
  <c r="AE1590" i="6"/>
  <c r="AE1602" i="6"/>
  <c r="AE1612" i="6"/>
  <c r="AE1622" i="6"/>
  <c r="AE1631" i="6"/>
  <c r="AE1641" i="6"/>
  <c r="AE1650" i="6"/>
  <c r="AE1659" i="6"/>
  <c r="AE1668" i="6"/>
  <c r="AE1676" i="6"/>
  <c r="AE1684" i="6"/>
  <c r="AE1692" i="6"/>
  <c r="AE1700" i="6"/>
  <c r="AE1708" i="6"/>
  <c r="AE1716" i="6"/>
  <c r="AE1724" i="6"/>
  <c r="AE1732" i="6"/>
  <c r="AE1740" i="6"/>
  <c r="AE1748" i="6"/>
  <c r="AE1756" i="6"/>
  <c r="AE1764" i="6"/>
  <c r="AE1772" i="6"/>
  <c r="AE1780" i="6"/>
  <c r="AE1788" i="6"/>
  <c r="AE1796" i="6"/>
  <c r="AE1804" i="6"/>
  <c r="AE1812" i="6"/>
  <c r="AE1820" i="6"/>
  <c r="AE1828" i="6"/>
  <c r="AE1411" i="6"/>
  <c r="AE769" i="6"/>
  <c r="AE777" i="6"/>
  <c r="AE785" i="6"/>
  <c r="AE793" i="6"/>
  <c r="AE801" i="6"/>
  <c r="AE809" i="6"/>
  <c r="AE817" i="6"/>
  <c r="AE825" i="6"/>
  <c r="AE833" i="6"/>
  <c r="AE841" i="6"/>
  <c r="AE849" i="6"/>
  <c r="AE857" i="6"/>
  <c r="AE865" i="6"/>
  <c r="AE873" i="6"/>
  <c r="AE881" i="6"/>
  <c r="AE889" i="6"/>
  <c r="AE897" i="6"/>
  <c r="AE905" i="6"/>
  <c r="AE913" i="6"/>
  <c r="AE921" i="6"/>
  <c r="AE929" i="6"/>
  <c r="AE937" i="6"/>
  <c r="AE945" i="6"/>
  <c r="AE953" i="6"/>
  <c r="AE961" i="6"/>
  <c r="AE969" i="6"/>
  <c r="AE977" i="6"/>
  <c r="AE985" i="6"/>
  <c r="AE993" i="6"/>
  <c r="AE1001" i="6"/>
  <c r="AE1009" i="6"/>
  <c r="AE1017" i="6"/>
  <c r="AE1025" i="6"/>
  <c r="AE1033" i="6"/>
  <c r="AE1041" i="6"/>
  <c r="AE1049" i="6"/>
  <c r="AE1057" i="6"/>
  <c r="AE1065" i="6"/>
  <c r="AE1073" i="6"/>
  <c r="AE1081" i="6"/>
  <c r="AE1089" i="6"/>
  <c r="AE1097" i="6"/>
  <c r="AE1105" i="6"/>
  <c r="AE1113" i="6"/>
  <c r="AE1121" i="6"/>
  <c r="AE1129" i="6"/>
  <c r="AE1137" i="6"/>
  <c r="AE1145" i="6"/>
  <c r="AE1153" i="6"/>
  <c r="AE1161" i="6"/>
  <c r="AE1169" i="6"/>
  <c r="AE1177" i="6"/>
  <c r="AE1185" i="6"/>
  <c r="AE1193" i="6"/>
  <c r="AE1201" i="6"/>
  <c r="AE1209" i="6"/>
  <c r="AE1217" i="6"/>
  <c r="AE1225" i="6"/>
  <c r="AE1233" i="6"/>
  <c r="AE1241" i="6"/>
  <c r="AE1249" i="6"/>
  <c r="AE1257" i="6"/>
  <c r="AE1265" i="6"/>
  <c r="AE1273" i="6"/>
  <c r="AE1281" i="6"/>
  <c r="AE1289" i="6"/>
  <c r="AE1297" i="6"/>
  <c r="AE1305" i="6"/>
  <c r="AE1313" i="6"/>
  <c r="AE1321" i="6"/>
  <c r="AE1329" i="6"/>
  <c r="AE1337" i="6"/>
  <c r="AE1345" i="6"/>
  <c r="AE1353" i="6"/>
  <c r="AE1361" i="6"/>
  <c r="AE1369" i="6"/>
  <c r="AE1377" i="6"/>
  <c r="AE1385" i="6"/>
  <c r="AE1393" i="6"/>
  <c r="AE1401" i="6"/>
  <c r="AE10" i="6"/>
  <c r="AE18" i="6"/>
  <c r="AE25" i="6"/>
  <c r="AE57" i="6"/>
  <c r="AE89" i="6"/>
  <c r="AE121" i="6"/>
  <c r="AE150" i="6"/>
  <c r="AE168" i="6"/>
  <c r="AE184" i="6"/>
  <c r="AE198" i="6"/>
  <c r="AE209" i="6"/>
  <c r="AE223" i="6"/>
  <c r="AE234" i="6"/>
  <c r="AE248" i="6"/>
  <c r="AE262" i="6"/>
  <c r="AE272" i="6"/>
  <c r="AE282" i="6"/>
  <c r="AE294" i="6"/>
  <c r="AE303" i="6"/>
  <c r="AE312" i="6"/>
  <c r="AE321" i="6"/>
  <c r="AE330" i="6"/>
  <c r="AE340" i="6"/>
  <c r="AE349" i="6"/>
  <c r="AE358" i="6"/>
  <c r="AE366" i="6"/>
  <c r="AE374" i="6"/>
  <c r="AE382" i="6"/>
  <c r="AE390" i="6"/>
  <c r="AE398" i="6"/>
  <c r="AE406" i="6"/>
  <c r="AE414" i="6"/>
  <c r="AE422" i="6"/>
  <c r="AE430" i="6"/>
  <c r="AE438" i="6"/>
  <c r="AE446" i="6"/>
  <c r="AE454" i="6"/>
  <c r="AE462" i="6"/>
  <c r="AE470" i="6"/>
  <c r="AE478" i="6"/>
  <c r="AE486" i="6"/>
  <c r="AE494" i="6"/>
  <c r="AE502" i="6"/>
  <c r="AE510" i="6"/>
  <c r="AE518" i="6"/>
  <c r="AE526" i="6"/>
  <c r="AE534" i="6"/>
  <c r="AE542" i="6"/>
  <c r="AE550" i="6"/>
  <c r="AE558" i="6"/>
  <c r="AE566" i="6"/>
  <c r="AE574" i="6"/>
  <c r="AE582" i="6"/>
  <c r="AE590" i="6"/>
  <c r="AE598" i="6"/>
  <c r="AE606" i="6"/>
  <c r="AE614" i="6"/>
  <c r="AE622" i="6"/>
  <c r="AE630" i="6"/>
  <c r="AE638" i="6"/>
  <c r="AE646" i="6"/>
  <c r="AE654" i="6"/>
  <c r="AE662" i="6"/>
  <c r="AE670" i="6"/>
  <c r="AE678" i="6"/>
  <c r="AE686" i="6"/>
  <c r="AE694" i="6"/>
  <c r="AE702" i="6"/>
  <c r="AE710" i="6"/>
  <c r="AE718" i="6"/>
  <c r="AE726" i="6"/>
  <c r="AE734" i="6"/>
  <c r="AE742" i="6"/>
  <c r="AE750" i="6"/>
  <c r="AE758" i="6"/>
  <c r="AE5" i="6"/>
  <c r="AE26" i="6"/>
  <c r="AE58" i="6"/>
  <c r="AE90" i="6"/>
  <c r="AE122" i="6"/>
  <c r="AE153" i="6"/>
  <c r="AE169" i="6"/>
  <c r="AE185" i="6"/>
  <c r="AE199" i="6"/>
  <c r="AE210" i="6"/>
  <c r="AE224" i="6"/>
  <c r="AE238" i="6"/>
  <c r="AE249" i="6"/>
  <c r="AE263" i="6"/>
  <c r="AE273" i="6"/>
  <c r="AE285" i="6"/>
  <c r="AE295" i="6"/>
  <c r="AE304" i="6"/>
  <c r="AE313" i="6"/>
  <c r="AE322" i="6"/>
  <c r="AE332" i="6"/>
  <c r="AE341" i="6"/>
  <c r="AE350" i="6"/>
  <c r="AE359" i="6"/>
  <c r="AE367" i="6"/>
  <c r="AE375" i="6"/>
  <c r="AE383" i="6"/>
  <c r="AE391" i="6"/>
  <c r="AE399" i="6"/>
  <c r="AE407" i="6"/>
  <c r="AE415" i="6"/>
  <c r="AE423" i="6"/>
  <c r="AE431" i="6"/>
  <c r="AE439" i="6"/>
  <c r="AE447" i="6"/>
  <c r="AE455" i="6"/>
  <c r="AE463" i="6"/>
  <c r="AE471" i="6"/>
  <c r="AE479" i="6"/>
  <c r="AE487" i="6"/>
  <c r="AE495" i="6"/>
  <c r="AE503" i="6"/>
  <c r="AE511" i="6"/>
  <c r="AE519" i="6"/>
  <c r="AE527" i="6"/>
  <c r="AE535" i="6"/>
  <c r="AE543" i="6"/>
  <c r="AE551" i="6"/>
  <c r="AE559" i="6"/>
  <c r="AE567" i="6"/>
  <c r="AE575" i="6"/>
  <c r="AE583" i="6"/>
  <c r="AE591" i="6"/>
  <c r="AE599" i="6"/>
  <c r="AE607" i="6"/>
  <c r="AE615" i="6"/>
  <c r="AE623" i="6"/>
  <c r="AE631" i="6"/>
  <c r="AE639" i="6"/>
  <c r="AE647" i="6"/>
  <c r="AE655" i="6"/>
  <c r="AE663" i="6"/>
  <c r="AE671" i="6"/>
  <c r="AE679" i="6"/>
  <c r="AE687" i="6"/>
  <c r="AE695" i="6"/>
  <c r="AE703" i="6"/>
  <c r="AE711" i="6"/>
  <c r="AE719" i="6"/>
  <c r="AE727" i="6"/>
  <c r="AE735" i="6"/>
  <c r="AE743" i="6"/>
  <c r="AE751" i="6"/>
  <c r="AE759" i="6"/>
  <c r="AE33" i="6"/>
  <c r="AE65" i="6"/>
  <c r="AE97" i="6"/>
  <c r="AE129" i="6"/>
  <c r="AE154" i="6"/>
  <c r="AE170" i="6"/>
  <c r="AE186" i="6"/>
  <c r="AE200" i="6"/>
  <c r="AE214" i="6"/>
  <c r="AE225" i="6"/>
  <c r="AE239" i="6"/>
  <c r="AE250" i="6"/>
  <c r="AE264" i="6"/>
  <c r="AE274" i="6"/>
  <c r="AE286" i="6"/>
  <c r="AE296" i="6"/>
  <c r="AE305" i="6"/>
  <c r="AE314" i="6"/>
  <c r="AE324" i="6"/>
  <c r="AE333" i="6"/>
  <c r="AE342" i="6"/>
  <c r="AE351" i="6"/>
  <c r="AE360" i="6"/>
  <c r="AE368" i="6"/>
  <c r="AE376" i="6"/>
  <c r="AE384" i="6"/>
  <c r="AE392" i="6"/>
  <c r="AE400" i="6"/>
  <c r="AE408" i="6"/>
  <c r="AE416" i="6"/>
  <c r="AE424" i="6"/>
  <c r="AE432" i="6"/>
  <c r="AE440" i="6"/>
  <c r="AE448" i="6"/>
  <c r="AE456" i="6"/>
  <c r="AE464" i="6"/>
  <c r="AE472" i="6"/>
  <c r="AE480" i="6"/>
  <c r="AE488" i="6"/>
  <c r="AE496" i="6"/>
  <c r="AE504" i="6"/>
  <c r="AE512" i="6"/>
  <c r="AE520" i="6"/>
  <c r="AE528" i="6"/>
  <c r="AE536" i="6"/>
  <c r="AE544" i="6"/>
  <c r="AE552" i="6"/>
  <c r="AE560" i="6"/>
  <c r="AE568" i="6"/>
  <c r="AE576" i="6"/>
  <c r="AE584" i="6"/>
  <c r="AE592" i="6"/>
  <c r="AE600" i="6"/>
  <c r="AE608" i="6"/>
  <c r="AE616" i="6"/>
  <c r="AE624" i="6"/>
  <c r="AE632" i="6"/>
  <c r="AE640" i="6"/>
  <c r="AE648" i="6"/>
  <c r="AE656" i="6"/>
  <c r="AE664" i="6"/>
  <c r="AE672" i="6"/>
  <c r="AE680" i="6"/>
  <c r="AE688" i="6"/>
  <c r="AE696" i="6"/>
  <c r="AE704" i="6"/>
  <c r="AE712" i="6"/>
  <c r="AE720" i="6"/>
  <c r="AE728" i="6"/>
  <c r="AE736" i="6"/>
  <c r="AE744" i="6"/>
  <c r="AE752" i="6"/>
  <c r="AE760" i="6"/>
  <c r="AE34" i="6"/>
  <c r="AE66" i="6"/>
  <c r="AE98" i="6"/>
  <c r="AE130" i="6"/>
  <c r="AE158" i="6"/>
  <c r="AE174" i="6"/>
  <c r="AE190" i="6"/>
  <c r="AE201" i="6"/>
  <c r="AE215" i="6"/>
  <c r="AE226" i="6"/>
  <c r="AE240" i="6"/>
  <c r="AE254" i="6"/>
  <c r="AE265" i="6"/>
  <c r="AE277" i="6"/>
  <c r="AE287" i="6"/>
  <c r="AE297" i="6"/>
  <c r="AE306" i="6"/>
  <c r="AE316" i="6"/>
  <c r="AE325" i="6"/>
  <c r="AE334" i="6"/>
  <c r="AE343" i="6"/>
  <c r="AE352" i="6"/>
  <c r="AE361" i="6"/>
  <c r="AE369" i="6"/>
  <c r="AE377" i="6"/>
  <c r="AE385" i="6"/>
  <c r="AE393" i="6"/>
  <c r="AE401" i="6"/>
  <c r="AE409" i="6"/>
  <c r="AE417" i="6"/>
  <c r="AE425" i="6"/>
  <c r="AE433" i="6"/>
  <c r="AE441" i="6"/>
  <c r="AE449" i="6"/>
  <c r="AE457" i="6"/>
  <c r="AE465" i="6"/>
  <c r="AE473" i="6"/>
  <c r="AE481" i="6"/>
  <c r="AE489" i="6"/>
  <c r="AE497" i="6"/>
  <c r="AE505" i="6"/>
  <c r="AE513" i="6"/>
  <c r="AE521" i="6"/>
  <c r="AE529" i="6"/>
  <c r="AE537" i="6"/>
  <c r="AE545" i="6"/>
  <c r="AE553" i="6"/>
  <c r="AE561" i="6"/>
  <c r="AE569" i="6"/>
  <c r="AE577" i="6"/>
  <c r="AE585" i="6"/>
  <c r="AE593" i="6"/>
  <c r="AE601" i="6"/>
  <c r="AE609" i="6"/>
  <c r="AE617" i="6"/>
  <c r="AE625" i="6"/>
  <c r="AE633" i="6"/>
  <c r="AE641" i="6"/>
  <c r="AE649" i="6"/>
  <c r="AE657" i="6"/>
  <c r="AE665" i="6"/>
  <c r="AE673" i="6"/>
  <c r="AE681" i="6"/>
  <c r="AE689" i="6"/>
  <c r="AE697" i="6"/>
  <c r="AE705" i="6"/>
  <c r="AE713" i="6"/>
  <c r="AE721" i="6"/>
  <c r="AE729" i="6"/>
  <c r="AE737" i="6"/>
  <c r="AE745" i="6"/>
  <c r="AE753" i="6"/>
  <c r="AE761" i="6"/>
  <c r="AE41" i="6"/>
  <c r="AE73" i="6"/>
  <c r="AE105" i="6"/>
  <c r="AE137" i="6"/>
  <c r="AE160" i="6"/>
  <c r="AE176" i="6"/>
  <c r="AE191" i="6"/>
  <c r="AE202" i="6"/>
  <c r="AE216" i="6"/>
  <c r="AE230" i="6"/>
  <c r="AE241" i="6"/>
  <c r="AE255" i="6"/>
  <c r="AE266" i="6"/>
  <c r="AE278" i="6"/>
  <c r="AE288" i="6"/>
  <c r="AE298" i="6"/>
  <c r="AE308" i="6"/>
  <c r="AE317" i="6"/>
  <c r="AE326" i="6"/>
  <c r="AE335" i="6"/>
  <c r="AE344" i="6"/>
  <c r="AE353" i="6"/>
  <c r="AE362" i="6"/>
  <c r="AE370" i="6"/>
  <c r="AE378" i="6"/>
  <c r="AE386" i="6"/>
  <c r="AE394" i="6"/>
  <c r="AE402" i="6"/>
  <c r="AE410" i="6"/>
  <c r="AE418" i="6"/>
  <c r="AE426" i="6"/>
  <c r="AE434" i="6"/>
  <c r="AE442" i="6"/>
  <c r="AE450" i="6"/>
  <c r="AE458" i="6"/>
  <c r="AE466" i="6"/>
  <c r="AE474" i="6"/>
  <c r="AE482" i="6"/>
  <c r="AE490" i="6"/>
  <c r="AE498" i="6"/>
  <c r="AE506" i="6"/>
  <c r="AE514" i="6"/>
  <c r="AE522" i="6"/>
  <c r="AE530" i="6"/>
  <c r="AE538" i="6"/>
  <c r="AE546" i="6"/>
  <c r="AE554" i="6"/>
  <c r="AE562" i="6"/>
  <c r="AE570" i="6"/>
  <c r="AE578" i="6"/>
  <c r="AE586" i="6"/>
  <c r="AE594" i="6"/>
  <c r="AE602" i="6"/>
  <c r="AE610" i="6"/>
  <c r="AE618" i="6"/>
  <c r="AE626" i="6"/>
  <c r="AE634" i="6"/>
  <c r="AE642" i="6"/>
  <c r="AE650" i="6"/>
  <c r="AE658" i="6"/>
  <c r="AE666" i="6"/>
  <c r="AE674" i="6"/>
  <c r="AE682" i="6"/>
  <c r="AE690" i="6"/>
  <c r="AE698" i="6"/>
  <c r="AE706" i="6"/>
  <c r="AE714" i="6"/>
  <c r="AE722" i="6"/>
  <c r="AE730" i="6"/>
  <c r="AE738" i="6"/>
  <c r="AE746" i="6"/>
  <c r="AE754" i="6"/>
  <c r="AE762" i="6"/>
  <c r="AE42" i="6"/>
  <c r="AE74" i="6"/>
  <c r="AE106" i="6"/>
  <c r="AE138" i="6"/>
  <c r="AE161" i="6"/>
  <c r="AE177" i="6"/>
  <c r="AE192" i="6"/>
  <c r="AE206" i="6"/>
  <c r="AE217" i="6"/>
  <c r="AE231" i="6"/>
  <c r="AE242" i="6"/>
  <c r="AE256" i="6"/>
  <c r="AE269" i="6"/>
  <c r="AE279" i="6"/>
  <c r="AE289" i="6"/>
  <c r="AE300" i="6"/>
  <c r="AE309" i="6"/>
  <c r="AE318" i="6"/>
  <c r="AE327" i="6"/>
  <c r="AE336" i="6"/>
  <c r="AE345" i="6"/>
  <c r="AE354" i="6"/>
  <c r="AE363" i="6"/>
  <c r="AE371" i="6"/>
  <c r="AE379" i="6"/>
  <c r="AE387" i="6"/>
  <c r="AE395" i="6"/>
  <c r="AE403" i="6"/>
  <c r="AE411" i="6"/>
  <c r="AE419" i="6"/>
  <c r="AE427" i="6"/>
  <c r="AE435" i="6"/>
  <c r="AE443" i="6"/>
  <c r="AE451" i="6"/>
  <c r="AE459" i="6"/>
  <c r="AE467" i="6"/>
  <c r="AE475" i="6"/>
  <c r="AE483" i="6"/>
  <c r="AE491" i="6"/>
  <c r="AE499" i="6"/>
  <c r="AE507" i="6"/>
  <c r="AE515" i="6"/>
  <c r="AE523" i="6"/>
  <c r="AE531" i="6"/>
  <c r="AE539" i="6"/>
  <c r="AE547" i="6"/>
  <c r="AE555" i="6"/>
  <c r="AE563" i="6"/>
  <c r="AE571" i="6"/>
  <c r="AE579" i="6"/>
  <c r="AE587" i="6"/>
  <c r="AE595" i="6"/>
  <c r="AE603" i="6"/>
  <c r="AE611" i="6"/>
  <c r="AE619" i="6"/>
  <c r="AE627" i="6"/>
  <c r="AE635" i="6"/>
  <c r="AE643" i="6"/>
  <c r="AE651" i="6"/>
  <c r="AE659" i="6"/>
  <c r="AE667" i="6"/>
  <c r="AE675" i="6"/>
  <c r="AE683" i="6"/>
  <c r="AE691" i="6"/>
  <c r="AE699" i="6"/>
  <c r="AE707" i="6"/>
  <c r="AE715" i="6"/>
  <c r="AE723" i="6"/>
  <c r="AE731" i="6"/>
  <c r="AE739" i="6"/>
  <c r="AE747" i="6"/>
  <c r="AE755" i="6"/>
  <c r="AE763" i="6"/>
  <c r="AE49" i="6"/>
  <c r="AE81" i="6"/>
  <c r="AE113" i="6"/>
  <c r="AE145" i="6"/>
  <c r="AE162" i="6"/>
  <c r="AE178" i="6"/>
  <c r="AE193" i="6"/>
  <c r="AE207" i="6"/>
  <c r="AE218" i="6"/>
  <c r="AE232" i="6"/>
  <c r="AE246" i="6"/>
  <c r="AE257" i="6"/>
  <c r="AE270" i="6"/>
  <c r="AE280" i="6"/>
  <c r="AE290" i="6"/>
  <c r="AE301" i="6"/>
  <c r="AE310" i="6"/>
  <c r="AE319" i="6"/>
  <c r="AE328" i="6"/>
  <c r="AE337" i="6"/>
  <c r="AE346" i="6"/>
  <c r="AE356" i="6"/>
  <c r="AE364" i="6"/>
  <c r="AE372" i="6"/>
  <c r="AE380" i="6"/>
  <c r="AE388" i="6"/>
  <c r="AE396" i="6"/>
  <c r="AE404" i="6"/>
  <c r="AE412" i="6"/>
  <c r="AE420" i="6"/>
  <c r="AE428" i="6"/>
  <c r="AE436" i="6"/>
  <c r="AE444" i="6"/>
  <c r="AE452" i="6"/>
  <c r="AE460" i="6"/>
  <c r="AE468" i="6"/>
  <c r="AE476" i="6"/>
  <c r="AE484" i="6"/>
  <c r="AE492" i="6"/>
  <c r="AE500" i="6"/>
  <c r="AE508" i="6"/>
  <c r="AE516" i="6"/>
  <c r="AE524" i="6"/>
  <c r="AE532" i="6"/>
  <c r="AE540" i="6"/>
  <c r="AE548" i="6"/>
  <c r="AE556" i="6"/>
  <c r="AE564" i="6"/>
  <c r="AE572" i="6"/>
  <c r="AE580" i="6"/>
  <c r="AE588" i="6"/>
  <c r="AE596" i="6"/>
  <c r="AE604" i="6"/>
  <c r="AE612" i="6"/>
  <c r="AE620" i="6"/>
  <c r="AE628" i="6"/>
  <c r="AE636" i="6"/>
  <c r="AE644" i="6"/>
  <c r="AE652" i="6"/>
  <c r="AE660" i="6"/>
  <c r="AE668" i="6"/>
  <c r="AE676" i="6"/>
  <c r="AE684" i="6"/>
  <c r="AE692" i="6"/>
  <c r="AE700" i="6"/>
  <c r="AE708" i="6"/>
  <c r="AE716" i="6"/>
  <c r="AE724" i="6"/>
  <c r="AE732" i="6"/>
  <c r="AE740" i="6"/>
  <c r="AE748" i="6"/>
  <c r="AE756" i="6"/>
  <c r="AE764" i="6"/>
  <c r="AE50" i="6"/>
  <c r="AE82" i="6"/>
  <c r="AE114" i="6"/>
  <c r="AE146" i="6"/>
  <c r="AE166" i="6"/>
  <c r="AE182" i="6"/>
  <c r="AE194" i="6"/>
  <c r="AE208" i="6"/>
  <c r="AE222" i="6"/>
  <c r="AE233" i="6"/>
  <c r="AE247" i="6"/>
  <c r="AE258" i="6"/>
  <c r="AE271" i="6"/>
  <c r="AE281" i="6"/>
  <c r="AE293" i="6"/>
  <c r="AE302" i="6"/>
  <c r="AE311" i="6"/>
  <c r="AE320" i="6"/>
  <c r="AE329" i="6"/>
  <c r="AE338" i="6"/>
  <c r="AE348" i="6"/>
  <c r="AE357" i="6"/>
  <c r="AE365" i="6"/>
  <c r="AE373" i="6"/>
  <c r="AE381" i="6"/>
  <c r="AE389" i="6"/>
  <c r="AE397" i="6"/>
  <c r="AE405" i="6"/>
  <c r="AE413" i="6"/>
  <c r="AE421" i="6"/>
  <c r="AE429" i="6"/>
  <c r="AE437" i="6"/>
  <c r="AE445" i="6"/>
  <c r="AE453" i="6"/>
  <c r="AE461" i="6"/>
  <c r="AE469" i="6"/>
  <c r="AE477" i="6"/>
  <c r="AE485" i="6"/>
  <c r="AE493" i="6"/>
  <c r="AE501" i="6"/>
  <c r="AE509" i="6"/>
  <c r="AE517" i="6"/>
  <c r="AE525" i="6"/>
  <c r="AE533" i="6"/>
  <c r="AE541" i="6"/>
  <c r="AE549" i="6"/>
  <c r="AE557" i="6"/>
  <c r="AE565" i="6"/>
  <c r="AE573" i="6"/>
  <c r="AE581" i="6"/>
  <c r="AE589" i="6"/>
  <c r="AE597" i="6"/>
  <c r="AE605" i="6"/>
  <c r="AE613" i="6"/>
  <c r="AE621" i="6"/>
  <c r="AE629" i="6"/>
  <c r="AE637" i="6"/>
  <c r="AE645" i="6"/>
  <c r="AE653" i="6"/>
  <c r="AE661" i="6"/>
  <c r="AE669" i="6"/>
  <c r="AE677" i="6"/>
  <c r="AE685" i="6"/>
  <c r="AE693" i="6"/>
  <c r="AE701" i="6"/>
  <c r="AE709" i="6"/>
  <c r="AE717" i="6"/>
  <c r="AE725" i="6"/>
  <c r="AE733" i="6"/>
  <c r="AE741" i="6"/>
  <c r="AE749" i="6"/>
  <c r="AE757" i="6"/>
  <c r="AE765" i="6"/>
  <c r="D15" i="6"/>
  <c r="C15" i="6"/>
  <c r="C17" i="6" s="1"/>
  <c r="C6" i="5"/>
  <c r="Z7" i="7" l="1"/>
  <c r="AF8" i="7"/>
  <c r="AG8" i="7" s="1"/>
  <c r="AH8" i="7" s="1"/>
  <c r="T8" i="7" s="1"/>
  <c r="I6" i="6"/>
  <c r="Q6" i="6" s="1"/>
  <c r="K7" i="6"/>
  <c r="S7" i="6" s="1"/>
  <c r="M8" i="6"/>
  <c r="U8" i="6" s="1"/>
  <c r="I10" i="6"/>
  <c r="Q10" i="6" s="1"/>
  <c r="K11" i="6"/>
  <c r="S11" i="6" s="1"/>
  <c r="M12" i="6"/>
  <c r="U12" i="6" s="1"/>
  <c r="I14" i="6"/>
  <c r="Q14" i="6" s="1"/>
  <c r="K15" i="6"/>
  <c r="S15" i="6" s="1"/>
  <c r="M16" i="6"/>
  <c r="U16" i="6" s="1"/>
  <c r="I18" i="6"/>
  <c r="Q18" i="6" s="1"/>
  <c r="K19" i="6"/>
  <c r="S19" i="6" s="1"/>
  <c r="M20" i="6"/>
  <c r="U20" i="6" s="1"/>
  <c r="I22" i="6"/>
  <c r="Q22" i="6" s="1"/>
  <c r="K23" i="6"/>
  <c r="S23" i="6" s="1"/>
  <c r="M24" i="6"/>
  <c r="U24" i="6" s="1"/>
  <c r="I26" i="6"/>
  <c r="Q26" i="6" s="1"/>
  <c r="K27" i="6"/>
  <c r="S27" i="6" s="1"/>
  <c r="M28" i="6"/>
  <c r="U28" i="6" s="1"/>
  <c r="I30" i="6"/>
  <c r="Q30" i="6" s="1"/>
  <c r="K31" i="6"/>
  <c r="S31" i="6" s="1"/>
  <c r="M32" i="6"/>
  <c r="U32" i="6" s="1"/>
  <c r="I34" i="6"/>
  <c r="Q34" i="6" s="1"/>
  <c r="K35" i="6"/>
  <c r="S35" i="6" s="1"/>
  <c r="M36" i="6"/>
  <c r="U36" i="6" s="1"/>
  <c r="I38" i="6"/>
  <c r="Q38" i="6" s="1"/>
  <c r="K39" i="6"/>
  <c r="S39" i="6" s="1"/>
  <c r="M40" i="6"/>
  <c r="U40" i="6" s="1"/>
  <c r="I42" i="6"/>
  <c r="Q42" i="6" s="1"/>
  <c r="K43" i="6"/>
  <c r="S43" i="6" s="1"/>
  <c r="M44" i="6"/>
  <c r="U44" i="6" s="1"/>
  <c r="I46" i="6"/>
  <c r="Q46" i="6" s="1"/>
  <c r="K47" i="6"/>
  <c r="S47" i="6" s="1"/>
  <c r="M48" i="6"/>
  <c r="U48" i="6" s="1"/>
  <c r="I50" i="6"/>
  <c r="Q50" i="6" s="1"/>
  <c r="K51" i="6"/>
  <c r="S51" i="6" s="1"/>
  <c r="M52" i="6"/>
  <c r="U52" i="6" s="1"/>
  <c r="I54" i="6"/>
  <c r="Q54" i="6" s="1"/>
  <c r="K55" i="6"/>
  <c r="S55" i="6" s="1"/>
  <c r="M56" i="6"/>
  <c r="U56" i="6" s="1"/>
  <c r="I58" i="6"/>
  <c r="Q58" i="6" s="1"/>
  <c r="K59" i="6"/>
  <c r="S59" i="6" s="1"/>
  <c r="M60" i="6"/>
  <c r="U60" i="6" s="1"/>
  <c r="I62" i="6"/>
  <c r="Q62" i="6" s="1"/>
  <c r="K63" i="6"/>
  <c r="S63" i="6" s="1"/>
  <c r="M64" i="6"/>
  <c r="U64" i="6" s="1"/>
  <c r="I66" i="6"/>
  <c r="Q66" i="6" s="1"/>
  <c r="K67" i="6"/>
  <c r="S67" i="6" s="1"/>
  <c r="M68" i="6"/>
  <c r="U68" i="6" s="1"/>
  <c r="I70" i="6"/>
  <c r="Q70" i="6" s="1"/>
  <c r="K71" i="6"/>
  <c r="S71" i="6" s="1"/>
  <c r="M72" i="6"/>
  <c r="U72" i="6" s="1"/>
  <c r="I74" i="6"/>
  <c r="Q74" i="6" s="1"/>
  <c r="K75" i="6"/>
  <c r="S75" i="6" s="1"/>
  <c r="M76" i="6"/>
  <c r="U76" i="6" s="1"/>
  <c r="I78" i="6"/>
  <c r="Q78" i="6" s="1"/>
  <c r="K79" i="6"/>
  <c r="S79" i="6" s="1"/>
  <c r="M80" i="6"/>
  <c r="U80" i="6" s="1"/>
  <c r="I82" i="6"/>
  <c r="Q82" i="6" s="1"/>
  <c r="K83" i="6"/>
  <c r="S83" i="6" s="1"/>
  <c r="M84" i="6"/>
  <c r="U84" i="6" s="1"/>
  <c r="I86" i="6"/>
  <c r="Q86" i="6" s="1"/>
  <c r="K87" i="6"/>
  <c r="S87" i="6" s="1"/>
  <c r="M88" i="6"/>
  <c r="U88" i="6" s="1"/>
  <c r="I90" i="6"/>
  <c r="Q90" i="6" s="1"/>
  <c r="K91" i="6"/>
  <c r="S91" i="6" s="1"/>
  <c r="M92" i="6"/>
  <c r="U92" i="6" s="1"/>
  <c r="I94" i="6"/>
  <c r="Q94" i="6" s="1"/>
  <c r="K95" i="6"/>
  <c r="S95" i="6" s="1"/>
  <c r="M96" i="6"/>
  <c r="U96" i="6" s="1"/>
  <c r="I98" i="6"/>
  <c r="Q98" i="6" s="1"/>
  <c r="K99" i="6"/>
  <c r="S99" i="6" s="1"/>
  <c r="M100" i="6"/>
  <c r="U100" i="6" s="1"/>
  <c r="I102" i="6"/>
  <c r="Q102" i="6" s="1"/>
  <c r="K103" i="6"/>
  <c r="S103" i="6" s="1"/>
  <c r="H4" i="6"/>
  <c r="P4" i="6" s="1"/>
  <c r="H5" i="6"/>
  <c r="P5" i="6" s="1"/>
  <c r="J6" i="6"/>
  <c r="R6" i="6" s="1"/>
  <c r="L7" i="6"/>
  <c r="T7" i="6" s="1"/>
  <c r="H9" i="6"/>
  <c r="P9" i="6" s="1"/>
  <c r="J10" i="6"/>
  <c r="R10" i="6" s="1"/>
  <c r="L11" i="6"/>
  <c r="T11" i="6" s="1"/>
  <c r="H13" i="6"/>
  <c r="P13" i="6" s="1"/>
  <c r="J14" i="6"/>
  <c r="R14" i="6" s="1"/>
  <c r="L15" i="6"/>
  <c r="T15" i="6" s="1"/>
  <c r="H17" i="6"/>
  <c r="P17" i="6" s="1"/>
  <c r="J18" i="6"/>
  <c r="R18" i="6" s="1"/>
  <c r="L19" i="6"/>
  <c r="T19" i="6" s="1"/>
  <c r="H21" i="6"/>
  <c r="P21" i="6" s="1"/>
  <c r="J22" i="6"/>
  <c r="R22" i="6" s="1"/>
  <c r="L23" i="6"/>
  <c r="T23" i="6" s="1"/>
  <c r="H25" i="6"/>
  <c r="P25" i="6" s="1"/>
  <c r="J26" i="6"/>
  <c r="R26" i="6" s="1"/>
  <c r="L27" i="6"/>
  <c r="T27" i="6" s="1"/>
  <c r="H29" i="6"/>
  <c r="P29" i="6" s="1"/>
  <c r="J30" i="6"/>
  <c r="R30" i="6" s="1"/>
  <c r="L31" i="6"/>
  <c r="T31" i="6" s="1"/>
  <c r="H33" i="6"/>
  <c r="P33" i="6" s="1"/>
  <c r="J34" i="6"/>
  <c r="R34" i="6" s="1"/>
  <c r="L35" i="6"/>
  <c r="T35" i="6" s="1"/>
  <c r="H37" i="6"/>
  <c r="P37" i="6" s="1"/>
  <c r="J38" i="6"/>
  <c r="R38" i="6" s="1"/>
  <c r="L39" i="6"/>
  <c r="T39" i="6" s="1"/>
  <c r="H41" i="6"/>
  <c r="P41" i="6" s="1"/>
  <c r="J42" i="6"/>
  <c r="R42" i="6" s="1"/>
  <c r="L43" i="6"/>
  <c r="T43" i="6" s="1"/>
  <c r="H45" i="6"/>
  <c r="P45" i="6" s="1"/>
  <c r="J46" i="6"/>
  <c r="R46" i="6" s="1"/>
  <c r="L47" i="6"/>
  <c r="T47" i="6" s="1"/>
  <c r="H49" i="6"/>
  <c r="P49" i="6" s="1"/>
  <c r="J50" i="6"/>
  <c r="R50" i="6" s="1"/>
  <c r="L51" i="6"/>
  <c r="T51" i="6" s="1"/>
  <c r="H53" i="6"/>
  <c r="P53" i="6" s="1"/>
  <c r="J54" i="6"/>
  <c r="R54" i="6" s="1"/>
  <c r="L55" i="6"/>
  <c r="T55" i="6" s="1"/>
  <c r="H57" i="6"/>
  <c r="P57" i="6" s="1"/>
  <c r="J58" i="6"/>
  <c r="R58" i="6" s="1"/>
  <c r="L59" i="6"/>
  <c r="T59" i="6" s="1"/>
  <c r="H61" i="6"/>
  <c r="P61" i="6" s="1"/>
  <c r="J62" i="6"/>
  <c r="R62" i="6" s="1"/>
  <c r="L63" i="6"/>
  <c r="T63" i="6" s="1"/>
  <c r="H65" i="6"/>
  <c r="P65" i="6" s="1"/>
  <c r="J66" i="6"/>
  <c r="R66" i="6" s="1"/>
  <c r="L67" i="6"/>
  <c r="T67" i="6" s="1"/>
  <c r="H69" i="6"/>
  <c r="P69" i="6" s="1"/>
  <c r="J70" i="6"/>
  <c r="R70" i="6" s="1"/>
  <c r="L71" i="6"/>
  <c r="T71" i="6" s="1"/>
  <c r="H73" i="6"/>
  <c r="P73" i="6" s="1"/>
  <c r="J74" i="6"/>
  <c r="R74" i="6" s="1"/>
  <c r="L75" i="6"/>
  <c r="T75" i="6" s="1"/>
  <c r="H77" i="6"/>
  <c r="P77" i="6" s="1"/>
  <c r="J78" i="6"/>
  <c r="R78" i="6" s="1"/>
  <c r="L79" i="6"/>
  <c r="T79" i="6" s="1"/>
  <c r="H81" i="6"/>
  <c r="P81" i="6" s="1"/>
  <c r="J82" i="6"/>
  <c r="R82" i="6" s="1"/>
  <c r="L83" i="6"/>
  <c r="T83" i="6" s="1"/>
  <c r="H85" i="6"/>
  <c r="P85" i="6" s="1"/>
  <c r="J86" i="6"/>
  <c r="R86" i="6" s="1"/>
  <c r="L87" i="6"/>
  <c r="T87" i="6" s="1"/>
  <c r="H89" i="6"/>
  <c r="P89" i="6" s="1"/>
  <c r="J90" i="6"/>
  <c r="R90" i="6" s="1"/>
  <c r="L91" i="6"/>
  <c r="T91" i="6" s="1"/>
  <c r="H93" i="6"/>
  <c r="P93" i="6" s="1"/>
  <c r="J94" i="6"/>
  <c r="R94" i="6" s="1"/>
  <c r="L95" i="6"/>
  <c r="T95" i="6" s="1"/>
  <c r="H97" i="6"/>
  <c r="P97" i="6" s="1"/>
  <c r="J98" i="6"/>
  <c r="R98" i="6" s="1"/>
  <c r="L99" i="6"/>
  <c r="T99" i="6" s="1"/>
  <c r="H101" i="6"/>
  <c r="P101" i="6" s="1"/>
  <c r="J102" i="6"/>
  <c r="R102" i="6" s="1"/>
  <c r="L103" i="6"/>
  <c r="T103" i="6" s="1"/>
  <c r="I5" i="6"/>
  <c r="Q5" i="6" s="1"/>
  <c r="K6" i="6"/>
  <c r="S6" i="6" s="1"/>
  <c r="M7" i="6"/>
  <c r="U7" i="6" s="1"/>
  <c r="I9" i="6"/>
  <c r="Q9" i="6" s="1"/>
  <c r="K10" i="6"/>
  <c r="S10" i="6" s="1"/>
  <c r="M11" i="6"/>
  <c r="U11" i="6" s="1"/>
  <c r="I13" i="6"/>
  <c r="Q13" i="6" s="1"/>
  <c r="K14" i="6"/>
  <c r="S14" i="6" s="1"/>
  <c r="M15" i="6"/>
  <c r="U15" i="6" s="1"/>
  <c r="I17" i="6"/>
  <c r="Q17" i="6" s="1"/>
  <c r="K18" i="6"/>
  <c r="S18" i="6" s="1"/>
  <c r="M19" i="6"/>
  <c r="U19" i="6" s="1"/>
  <c r="I21" i="6"/>
  <c r="Q21" i="6" s="1"/>
  <c r="K22" i="6"/>
  <c r="S22" i="6" s="1"/>
  <c r="M23" i="6"/>
  <c r="U23" i="6" s="1"/>
  <c r="I25" i="6"/>
  <c r="Q25" i="6" s="1"/>
  <c r="K26" i="6"/>
  <c r="S26" i="6" s="1"/>
  <c r="M27" i="6"/>
  <c r="U27" i="6" s="1"/>
  <c r="I29" i="6"/>
  <c r="Q29" i="6" s="1"/>
  <c r="K30" i="6"/>
  <c r="S30" i="6" s="1"/>
  <c r="M31" i="6"/>
  <c r="U31" i="6" s="1"/>
  <c r="I33" i="6"/>
  <c r="Q33" i="6" s="1"/>
  <c r="K34" i="6"/>
  <c r="S34" i="6" s="1"/>
  <c r="M35" i="6"/>
  <c r="U35" i="6" s="1"/>
  <c r="I37" i="6"/>
  <c r="Q37" i="6" s="1"/>
  <c r="K38" i="6"/>
  <c r="S38" i="6" s="1"/>
  <c r="M39" i="6"/>
  <c r="U39" i="6" s="1"/>
  <c r="I41" i="6"/>
  <c r="Q41" i="6" s="1"/>
  <c r="K42" i="6"/>
  <c r="S42" i="6" s="1"/>
  <c r="M43" i="6"/>
  <c r="U43" i="6" s="1"/>
  <c r="I45" i="6"/>
  <c r="Q45" i="6" s="1"/>
  <c r="K46" i="6"/>
  <c r="S46" i="6" s="1"/>
  <c r="M47" i="6"/>
  <c r="U47" i="6" s="1"/>
  <c r="I49" i="6"/>
  <c r="Q49" i="6" s="1"/>
  <c r="K50" i="6"/>
  <c r="S50" i="6" s="1"/>
  <c r="M51" i="6"/>
  <c r="U51" i="6" s="1"/>
  <c r="I53" i="6"/>
  <c r="Q53" i="6" s="1"/>
  <c r="K54" i="6"/>
  <c r="S54" i="6" s="1"/>
  <c r="M55" i="6"/>
  <c r="U55" i="6" s="1"/>
  <c r="I57" i="6"/>
  <c r="Q57" i="6" s="1"/>
  <c r="K58" i="6"/>
  <c r="S58" i="6" s="1"/>
  <c r="M59" i="6"/>
  <c r="U59" i="6" s="1"/>
  <c r="I61" i="6"/>
  <c r="Q61" i="6" s="1"/>
  <c r="K62" i="6"/>
  <c r="S62" i="6" s="1"/>
  <c r="M63" i="6"/>
  <c r="U63" i="6" s="1"/>
  <c r="I65" i="6"/>
  <c r="Q65" i="6" s="1"/>
  <c r="K66" i="6"/>
  <c r="S66" i="6" s="1"/>
  <c r="M67" i="6"/>
  <c r="U67" i="6" s="1"/>
  <c r="I69" i="6"/>
  <c r="Q69" i="6" s="1"/>
  <c r="K70" i="6"/>
  <c r="S70" i="6" s="1"/>
  <c r="M71" i="6"/>
  <c r="U71" i="6" s="1"/>
  <c r="I73" i="6"/>
  <c r="Q73" i="6" s="1"/>
  <c r="K74" i="6"/>
  <c r="S74" i="6" s="1"/>
  <c r="M75" i="6"/>
  <c r="U75" i="6" s="1"/>
  <c r="I77" i="6"/>
  <c r="Q77" i="6" s="1"/>
  <c r="K78" i="6"/>
  <c r="S78" i="6" s="1"/>
  <c r="M79" i="6"/>
  <c r="U79" i="6" s="1"/>
  <c r="I81" i="6"/>
  <c r="Q81" i="6" s="1"/>
  <c r="K82" i="6"/>
  <c r="S82" i="6" s="1"/>
  <c r="M83" i="6"/>
  <c r="U83" i="6" s="1"/>
  <c r="I85" i="6"/>
  <c r="Q85" i="6" s="1"/>
  <c r="K86" i="6"/>
  <c r="S86" i="6" s="1"/>
  <c r="M87" i="6"/>
  <c r="U87" i="6" s="1"/>
  <c r="I89" i="6"/>
  <c r="Q89" i="6" s="1"/>
  <c r="K90" i="6"/>
  <c r="S90" i="6" s="1"/>
  <c r="M91" i="6"/>
  <c r="U91" i="6" s="1"/>
  <c r="I93" i="6"/>
  <c r="Q93" i="6" s="1"/>
  <c r="K94" i="6"/>
  <c r="S94" i="6" s="1"/>
  <c r="M95" i="6"/>
  <c r="U95" i="6" s="1"/>
  <c r="I97" i="6"/>
  <c r="Q97" i="6" s="1"/>
  <c r="K98" i="6"/>
  <c r="S98" i="6" s="1"/>
  <c r="M99" i="6"/>
  <c r="U99" i="6" s="1"/>
  <c r="I101" i="6"/>
  <c r="Q101" i="6" s="1"/>
  <c r="K102" i="6"/>
  <c r="S102" i="6" s="1"/>
  <c r="M103" i="6"/>
  <c r="U103" i="6" s="1"/>
  <c r="J5" i="6"/>
  <c r="R5" i="6" s="1"/>
  <c r="L6" i="6"/>
  <c r="T6" i="6" s="1"/>
  <c r="H8" i="6"/>
  <c r="P8" i="6" s="1"/>
  <c r="J9" i="6"/>
  <c r="R9" i="6" s="1"/>
  <c r="L10" i="6"/>
  <c r="T10" i="6" s="1"/>
  <c r="H12" i="6"/>
  <c r="P12" i="6" s="1"/>
  <c r="J13" i="6"/>
  <c r="R13" i="6" s="1"/>
  <c r="L14" i="6"/>
  <c r="T14" i="6" s="1"/>
  <c r="H16" i="6"/>
  <c r="P16" i="6" s="1"/>
  <c r="J17" i="6"/>
  <c r="R17" i="6" s="1"/>
  <c r="L18" i="6"/>
  <c r="T18" i="6" s="1"/>
  <c r="H20" i="6"/>
  <c r="P20" i="6" s="1"/>
  <c r="J21" i="6"/>
  <c r="R21" i="6" s="1"/>
  <c r="L22" i="6"/>
  <c r="T22" i="6" s="1"/>
  <c r="H24" i="6"/>
  <c r="P24" i="6" s="1"/>
  <c r="J25" i="6"/>
  <c r="R25" i="6" s="1"/>
  <c r="L26" i="6"/>
  <c r="T26" i="6" s="1"/>
  <c r="H28" i="6"/>
  <c r="P28" i="6" s="1"/>
  <c r="J29" i="6"/>
  <c r="R29" i="6" s="1"/>
  <c r="L30" i="6"/>
  <c r="T30" i="6" s="1"/>
  <c r="H32" i="6"/>
  <c r="P32" i="6" s="1"/>
  <c r="J33" i="6"/>
  <c r="R33" i="6" s="1"/>
  <c r="L34" i="6"/>
  <c r="T34" i="6" s="1"/>
  <c r="H36" i="6"/>
  <c r="P36" i="6" s="1"/>
  <c r="J37" i="6"/>
  <c r="R37" i="6" s="1"/>
  <c r="L38" i="6"/>
  <c r="T38" i="6" s="1"/>
  <c r="H40" i="6"/>
  <c r="P40" i="6" s="1"/>
  <c r="J41" i="6"/>
  <c r="R41" i="6" s="1"/>
  <c r="L42" i="6"/>
  <c r="T42" i="6" s="1"/>
  <c r="H44" i="6"/>
  <c r="P44" i="6" s="1"/>
  <c r="J45" i="6"/>
  <c r="R45" i="6" s="1"/>
  <c r="L46" i="6"/>
  <c r="T46" i="6" s="1"/>
  <c r="H48" i="6"/>
  <c r="P48" i="6" s="1"/>
  <c r="J49" i="6"/>
  <c r="R49" i="6" s="1"/>
  <c r="L50" i="6"/>
  <c r="T50" i="6" s="1"/>
  <c r="H52" i="6"/>
  <c r="P52" i="6" s="1"/>
  <c r="J53" i="6"/>
  <c r="R53" i="6" s="1"/>
  <c r="L54" i="6"/>
  <c r="T54" i="6" s="1"/>
  <c r="H56" i="6"/>
  <c r="P56" i="6" s="1"/>
  <c r="J57" i="6"/>
  <c r="R57" i="6" s="1"/>
  <c r="L58" i="6"/>
  <c r="T58" i="6" s="1"/>
  <c r="H60" i="6"/>
  <c r="P60" i="6" s="1"/>
  <c r="J61" i="6"/>
  <c r="R61" i="6" s="1"/>
  <c r="L62" i="6"/>
  <c r="T62" i="6" s="1"/>
  <c r="H64" i="6"/>
  <c r="P64" i="6" s="1"/>
  <c r="J65" i="6"/>
  <c r="R65" i="6" s="1"/>
  <c r="L66" i="6"/>
  <c r="T66" i="6" s="1"/>
  <c r="H68" i="6"/>
  <c r="P68" i="6" s="1"/>
  <c r="J69" i="6"/>
  <c r="R69" i="6" s="1"/>
  <c r="L70" i="6"/>
  <c r="T70" i="6" s="1"/>
  <c r="H72" i="6"/>
  <c r="P72" i="6" s="1"/>
  <c r="J73" i="6"/>
  <c r="R73" i="6" s="1"/>
  <c r="L74" i="6"/>
  <c r="T74" i="6" s="1"/>
  <c r="H76" i="6"/>
  <c r="P76" i="6" s="1"/>
  <c r="J77" i="6"/>
  <c r="R77" i="6" s="1"/>
  <c r="L78" i="6"/>
  <c r="T78" i="6" s="1"/>
  <c r="H80" i="6"/>
  <c r="P80" i="6" s="1"/>
  <c r="J81" i="6"/>
  <c r="R81" i="6" s="1"/>
  <c r="L82" i="6"/>
  <c r="T82" i="6" s="1"/>
  <c r="H84" i="6"/>
  <c r="P84" i="6" s="1"/>
  <c r="J85" i="6"/>
  <c r="R85" i="6" s="1"/>
  <c r="L86" i="6"/>
  <c r="T86" i="6" s="1"/>
  <c r="H88" i="6"/>
  <c r="P88" i="6" s="1"/>
  <c r="J89" i="6"/>
  <c r="R89" i="6" s="1"/>
  <c r="L90" i="6"/>
  <c r="T90" i="6" s="1"/>
  <c r="H92" i="6"/>
  <c r="P92" i="6" s="1"/>
  <c r="J93" i="6"/>
  <c r="R93" i="6" s="1"/>
  <c r="L94" i="6"/>
  <c r="T94" i="6" s="1"/>
  <c r="H96" i="6"/>
  <c r="P96" i="6" s="1"/>
  <c r="J97" i="6"/>
  <c r="R97" i="6" s="1"/>
  <c r="L98" i="6"/>
  <c r="T98" i="6" s="1"/>
  <c r="H100" i="6"/>
  <c r="P100" i="6" s="1"/>
  <c r="J101" i="6"/>
  <c r="R101" i="6" s="1"/>
  <c r="L102" i="6"/>
  <c r="T102" i="6" s="1"/>
  <c r="I4" i="6"/>
  <c r="Q4" i="6" s="1"/>
  <c r="K5" i="6"/>
  <c r="S5" i="6" s="1"/>
  <c r="M6" i="6"/>
  <c r="U6" i="6" s="1"/>
  <c r="I8" i="6"/>
  <c r="Q8" i="6" s="1"/>
  <c r="K9" i="6"/>
  <c r="S9" i="6" s="1"/>
  <c r="M10" i="6"/>
  <c r="U10" i="6" s="1"/>
  <c r="I12" i="6"/>
  <c r="Q12" i="6" s="1"/>
  <c r="K13" i="6"/>
  <c r="S13" i="6" s="1"/>
  <c r="M14" i="6"/>
  <c r="U14" i="6" s="1"/>
  <c r="I16" i="6"/>
  <c r="Q16" i="6" s="1"/>
  <c r="K17" i="6"/>
  <c r="S17" i="6" s="1"/>
  <c r="M18" i="6"/>
  <c r="U18" i="6" s="1"/>
  <c r="I20" i="6"/>
  <c r="Q20" i="6" s="1"/>
  <c r="K21" i="6"/>
  <c r="S21" i="6" s="1"/>
  <c r="M22" i="6"/>
  <c r="U22" i="6" s="1"/>
  <c r="I24" i="6"/>
  <c r="Q24" i="6" s="1"/>
  <c r="K25" i="6"/>
  <c r="S25" i="6" s="1"/>
  <c r="M26" i="6"/>
  <c r="U26" i="6" s="1"/>
  <c r="I28" i="6"/>
  <c r="Q28" i="6" s="1"/>
  <c r="K29" i="6"/>
  <c r="S29" i="6" s="1"/>
  <c r="M30" i="6"/>
  <c r="U30" i="6" s="1"/>
  <c r="I32" i="6"/>
  <c r="Q32" i="6" s="1"/>
  <c r="K33" i="6"/>
  <c r="S33" i="6" s="1"/>
  <c r="M34" i="6"/>
  <c r="U34" i="6" s="1"/>
  <c r="I36" i="6"/>
  <c r="Q36" i="6" s="1"/>
  <c r="K37" i="6"/>
  <c r="S37" i="6" s="1"/>
  <c r="M38" i="6"/>
  <c r="U38" i="6" s="1"/>
  <c r="I40" i="6"/>
  <c r="Q40" i="6" s="1"/>
  <c r="K41" i="6"/>
  <c r="S41" i="6" s="1"/>
  <c r="M42" i="6"/>
  <c r="U42" i="6" s="1"/>
  <c r="I44" i="6"/>
  <c r="Q44" i="6" s="1"/>
  <c r="K45" i="6"/>
  <c r="S45" i="6" s="1"/>
  <c r="M46" i="6"/>
  <c r="U46" i="6" s="1"/>
  <c r="I48" i="6"/>
  <c r="Q48" i="6" s="1"/>
  <c r="K49" i="6"/>
  <c r="S49" i="6" s="1"/>
  <c r="M50" i="6"/>
  <c r="U50" i="6" s="1"/>
  <c r="I52" i="6"/>
  <c r="Q52" i="6" s="1"/>
  <c r="K53" i="6"/>
  <c r="S53" i="6" s="1"/>
  <c r="M54" i="6"/>
  <c r="U54" i="6" s="1"/>
  <c r="I56" i="6"/>
  <c r="Q56" i="6" s="1"/>
  <c r="K57" i="6"/>
  <c r="S57" i="6" s="1"/>
  <c r="M58" i="6"/>
  <c r="U58" i="6" s="1"/>
  <c r="I60" i="6"/>
  <c r="Q60" i="6" s="1"/>
  <c r="K61" i="6"/>
  <c r="S61" i="6" s="1"/>
  <c r="M62" i="6"/>
  <c r="U62" i="6" s="1"/>
  <c r="I64" i="6"/>
  <c r="Q64" i="6" s="1"/>
  <c r="K65" i="6"/>
  <c r="S65" i="6" s="1"/>
  <c r="M66" i="6"/>
  <c r="U66" i="6" s="1"/>
  <c r="I68" i="6"/>
  <c r="Q68" i="6" s="1"/>
  <c r="K69" i="6"/>
  <c r="S69" i="6" s="1"/>
  <c r="M70" i="6"/>
  <c r="U70" i="6" s="1"/>
  <c r="I72" i="6"/>
  <c r="Q72" i="6" s="1"/>
  <c r="K73" i="6"/>
  <c r="S73" i="6" s="1"/>
  <c r="M74" i="6"/>
  <c r="U74" i="6" s="1"/>
  <c r="I76" i="6"/>
  <c r="Q76" i="6" s="1"/>
  <c r="K77" i="6"/>
  <c r="S77" i="6" s="1"/>
  <c r="M78" i="6"/>
  <c r="U78" i="6" s="1"/>
  <c r="I80" i="6"/>
  <c r="Q80" i="6" s="1"/>
  <c r="K81" i="6"/>
  <c r="S81" i="6" s="1"/>
  <c r="M82" i="6"/>
  <c r="U82" i="6" s="1"/>
  <c r="I84" i="6"/>
  <c r="Q84" i="6" s="1"/>
  <c r="K85" i="6"/>
  <c r="S85" i="6" s="1"/>
  <c r="M86" i="6"/>
  <c r="U86" i="6" s="1"/>
  <c r="I88" i="6"/>
  <c r="Q88" i="6" s="1"/>
  <c r="K89" i="6"/>
  <c r="S89" i="6" s="1"/>
  <c r="M90" i="6"/>
  <c r="U90" i="6" s="1"/>
  <c r="I92" i="6"/>
  <c r="Q92" i="6" s="1"/>
  <c r="K93" i="6"/>
  <c r="S93" i="6" s="1"/>
  <c r="M94" i="6"/>
  <c r="U94" i="6" s="1"/>
  <c r="I96" i="6"/>
  <c r="Q96" i="6" s="1"/>
  <c r="K97" i="6"/>
  <c r="S97" i="6" s="1"/>
  <c r="M98" i="6"/>
  <c r="U98" i="6" s="1"/>
  <c r="I100" i="6"/>
  <c r="Q100" i="6" s="1"/>
  <c r="K101" i="6"/>
  <c r="S101" i="6" s="1"/>
  <c r="M102" i="6"/>
  <c r="U102" i="6" s="1"/>
  <c r="J4" i="6"/>
  <c r="R4" i="6" s="1"/>
  <c r="L5" i="6"/>
  <c r="T5" i="6" s="1"/>
  <c r="H7" i="6"/>
  <c r="P7" i="6" s="1"/>
  <c r="J8" i="6"/>
  <c r="R8" i="6" s="1"/>
  <c r="L9" i="6"/>
  <c r="T9" i="6" s="1"/>
  <c r="H11" i="6"/>
  <c r="P11" i="6" s="1"/>
  <c r="J12" i="6"/>
  <c r="R12" i="6" s="1"/>
  <c r="L13" i="6"/>
  <c r="T13" i="6" s="1"/>
  <c r="H15" i="6"/>
  <c r="P15" i="6" s="1"/>
  <c r="J16" i="6"/>
  <c r="R16" i="6" s="1"/>
  <c r="L17" i="6"/>
  <c r="T17" i="6" s="1"/>
  <c r="H19" i="6"/>
  <c r="P19" i="6" s="1"/>
  <c r="J20" i="6"/>
  <c r="R20" i="6" s="1"/>
  <c r="L21" i="6"/>
  <c r="T21" i="6" s="1"/>
  <c r="H23" i="6"/>
  <c r="P23" i="6" s="1"/>
  <c r="J24" i="6"/>
  <c r="R24" i="6" s="1"/>
  <c r="L25" i="6"/>
  <c r="T25" i="6" s="1"/>
  <c r="H27" i="6"/>
  <c r="P27" i="6" s="1"/>
  <c r="J28" i="6"/>
  <c r="R28" i="6" s="1"/>
  <c r="L29" i="6"/>
  <c r="T29" i="6" s="1"/>
  <c r="H31" i="6"/>
  <c r="P31" i="6" s="1"/>
  <c r="J32" i="6"/>
  <c r="R32" i="6" s="1"/>
  <c r="L33" i="6"/>
  <c r="T33" i="6" s="1"/>
  <c r="H35" i="6"/>
  <c r="P35" i="6" s="1"/>
  <c r="J36" i="6"/>
  <c r="R36" i="6" s="1"/>
  <c r="L37" i="6"/>
  <c r="T37" i="6" s="1"/>
  <c r="H39" i="6"/>
  <c r="P39" i="6" s="1"/>
  <c r="J40" i="6"/>
  <c r="R40" i="6" s="1"/>
  <c r="L41" i="6"/>
  <c r="T41" i="6" s="1"/>
  <c r="H43" i="6"/>
  <c r="P43" i="6" s="1"/>
  <c r="J44" i="6"/>
  <c r="R44" i="6" s="1"/>
  <c r="L45" i="6"/>
  <c r="T45" i="6" s="1"/>
  <c r="H47" i="6"/>
  <c r="P47" i="6" s="1"/>
  <c r="J48" i="6"/>
  <c r="R48" i="6" s="1"/>
  <c r="L49" i="6"/>
  <c r="T49" i="6" s="1"/>
  <c r="H51" i="6"/>
  <c r="P51" i="6" s="1"/>
  <c r="J52" i="6"/>
  <c r="R52" i="6" s="1"/>
  <c r="L53" i="6"/>
  <c r="T53" i="6" s="1"/>
  <c r="H55" i="6"/>
  <c r="P55" i="6" s="1"/>
  <c r="J56" i="6"/>
  <c r="R56" i="6" s="1"/>
  <c r="L57" i="6"/>
  <c r="T57" i="6" s="1"/>
  <c r="H59" i="6"/>
  <c r="P59" i="6" s="1"/>
  <c r="J60" i="6"/>
  <c r="R60" i="6" s="1"/>
  <c r="L61" i="6"/>
  <c r="T61" i="6" s="1"/>
  <c r="H63" i="6"/>
  <c r="P63" i="6" s="1"/>
  <c r="J64" i="6"/>
  <c r="R64" i="6" s="1"/>
  <c r="L65" i="6"/>
  <c r="T65" i="6" s="1"/>
  <c r="H67" i="6"/>
  <c r="P67" i="6" s="1"/>
  <c r="J68" i="6"/>
  <c r="R68" i="6" s="1"/>
  <c r="L69" i="6"/>
  <c r="T69" i="6" s="1"/>
  <c r="H71" i="6"/>
  <c r="P71" i="6" s="1"/>
  <c r="J72" i="6"/>
  <c r="R72" i="6" s="1"/>
  <c r="L73" i="6"/>
  <c r="T73" i="6" s="1"/>
  <c r="H75" i="6"/>
  <c r="P75" i="6" s="1"/>
  <c r="J76" i="6"/>
  <c r="R76" i="6" s="1"/>
  <c r="L77" i="6"/>
  <c r="T77" i="6" s="1"/>
  <c r="H79" i="6"/>
  <c r="P79" i="6" s="1"/>
  <c r="J80" i="6"/>
  <c r="R80" i="6" s="1"/>
  <c r="L81" i="6"/>
  <c r="T81" i="6" s="1"/>
  <c r="H83" i="6"/>
  <c r="P83" i="6" s="1"/>
  <c r="J84" i="6"/>
  <c r="R84" i="6" s="1"/>
  <c r="L85" i="6"/>
  <c r="T85" i="6" s="1"/>
  <c r="H87" i="6"/>
  <c r="P87" i="6" s="1"/>
  <c r="J88" i="6"/>
  <c r="R88" i="6" s="1"/>
  <c r="L89" i="6"/>
  <c r="T89" i="6" s="1"/>
  <c r="H91" i="6"/>
  <c r="P91" i="6" s="1"/>
  <c r="J92" i="6"/>
  <c r="R92" i="6" s="1"/>
  <c r="L93" i="6"/>
  <c r="T93" i="6" s="1"/>
  <c r="H95" i="6"/>
  <c r="P95" i="6" s="1"/>
  <c r="J96" i="6"/>
  <c r="R96" i="6" s="1"/>
  <c r="L97" i="6"/>
  <c r="T97" i="6" s="1"/>
  <c r="H99" i="6"/>
  <c r="P99" i="6" s="1"/>
  <c r="J100" i="6"/>
  <c r="R100" i="6" s="1"/>
  <c r="L101" i="6"/>
  <c r="T101" i="6" s="1"/>
  <c r="H103" i="6"/>
  <c r="P103" i="6" s="1"/>
  <c r="K4" i="6"/>
  <c r="S4" i="6" s="1"/>
  <c r="M5" i="6"/>
  <c r="U5" i="6" s="1"/>
  <c r="I7" i="6"/>
  <c r="Q7" i="6" s="1"/>
  <c r="K8" i="6"/>
  <c r="S8" i="6" s="1"/>
  <c r="M9" i="6"/>
  <c r="U9" i="6" s="1"/>
  <c r="I11" i="6"/>
  <c r="Q11" i="6" s="1"/>
  <c r="K12" i="6"/>
  <c r="S12" i="6" s="1"/>
  <c r="M13" i="6"/>
  <c r="U13" i="6" s="1"/>
  <c r="I15" i="6"/>
  <c r="Q15" i="6" s="1"/>
  <c r="K16" i="6"/>
  <c r="S16" i="6" s="1"/>
  <c r="M17" i="6"/>
  <c r="U17" i="6" s="1"/>
  <c r="I19" i="6"/>
  <c r="Q19" i="6" s="1"/>
  <c r="K20" i="6"/>
  <c r="S20" i="6" s="1"/>
  <c r="M21" i="6"/>
  <c r="U21" i="6" s="1"/>
  <c r="I23" i="6"/>
  <c r="Q23" i="6" s="1"/>
  <c r="K24" i="6"/>
  <c r="S24" i="6" s="1"/>
  <c r="M25" i="6"/>
  <c r="U25" i="6" s="1"/>
  <c r="I27" i="6"/>
  <c r="Q27" i="6" s="1"/>
  <c r="K28" i="6"/>
  <c r="S28" i="6" s="1"/>
  <c r="M29" i="6"/>
  <c r="U29" i="6" s="1"/>
  <c r="I31" i="6"/>
  <c r="Q31" i="6" s="1"/>
  <c r="K32" i="6"/>
  <c r="S32" i="6" s="1"/>
  <c r="M33" i="6"/>
  <c r="U33" i="6" s="1"/>
  <c r="I35" i="6"/>
  <c r="Q35" i="6" s="1"/>
  <c r="K36" i="6"/>
  <c r="S36" i="6" s="1"/>
  <c r="M37" i="6"/>
  <c r="U37" i="6" s="1"/>
  <c r="I39" i="6"/>
  <c r="Q39" i="6" s="1"/>
  <c r="K40" i="6"/>
  <c r="S40" i="6" s="1"/>
  <c r="M41" i="6"/>
  <c r="U41" i="6" s="1"/>
  <c r="I43" i="6"/>
  <c r="Q43" i="6" s="1"/>
  <c r="K44" i="6"/>
  <c r="S44" i="6" s="1"/>
  <c r="M45" i="6"/>
  <c r="U45" i="6" s="1"/>
  <c r="I47" i="6"/>
  <c r="Q47" i="6" s="1"/>
  <c r="K48" i="6"/>
  <c r="S48" i="6" s="1"/>
  <c r="M49" i="6"/>
  <c r="U49" i="6" s="1"/>
  <c r="I51" i="6"/>
  <c r="Q51" i="6" s="1"/>
  <c r="K52" i="6"/>
  <c r="S52" i="6" s="1"/>
  <c r="M53" i="6"/>
  <c r="U53" i="6" s="1"/>
  <c r="I55" i="6"/>
  <c r="Q55" i="6" s="1"/>
  <c r="K56" i="6"/>
  <c r="S56" i="6" s="1"/>
  <c r="M57" i="6"/>
  <c r="U57" i="6" s="1"/>
  <c r="I59" i="6"/>
  <c r="Q59" i="6" s="1"/>
  <c r="K60" i="6"/>
  <c r="S60" i="6" s="1"/>
  <c r="M61" i="6"/>
  <c r="U61" i="6" s="1"/>
  <c r="I63" i="6"/>
  <c r="Q63" i="6" s="1"/>
  <c r="K64" i="6"/>
  <c r="S64" i="6" s="1"/>
  <c r="M65" i="6"/>
  <c r="U65" i="6" s="1"/>
  <c r="I67" i="6"/>
  <c r="Q67" i="6" s="1"/>
  <c r="K68" i="6"/>
  <c r="S68" i="6" s="1"/>
  <c r="M69" i="6"/>
  <c r="U69" i="6" s="1"/>
  <c r="I71" i="6"/>
  <c r="Q71" i="6" s="1"/>
  <c r="K72" i="6"/>
  <c r="S72" i="6" s="1"/>
  <c r="M73" i="6"/>
  <c r="U73" i="6" s="1"/>
  <c r="I75" i="6"/>
  <c r="Q75" i="6" s="1"/>
  <c r="K76" i="6"/>
  <c r="S76" i="6" s="1"/>
  <c r="M77" i="6"/>
  <c r="U77" i="6" s="1"/>
  <c r="I79" i="6"/>
  <c r="Q79" i="6" s="1"/>
  <c r="K80" i="6"/>
  <c r="S80" i="6" s="1"/>
  <c r="M81" i="6"/>
  <c r="U81" i="6" s="1"/>
  <c r="I83" i="6"/>
  <c r="Q83" i="6" s="1"/>
  <c r="K84" i="6"/>
  <c r="S84" i="6" s="1"/>
  <c r="M85" i="6"/>
  <c r="U85" i="6" s="1"/>
  <c r="I87" i="6"/>
  <c r="Q87" i="6" s="1"/>
  <c r="K88" i="6"/>
  <c r="S88" i="6" s="1"/>
  <c r="M89" i="6"/>
  <c r="U89" i="6" s="1"/>
  <c r="I91" i="6"/>
  <c r="Q91" i="6" s="1"/>
  <c r="K92" i="6"/>
  <c r="S92" i="6" s="1"/>
  <c r="M93" i="6"/>
  <c r="U93" i="6" s="1"/>
  <c r="I95" i="6"/>
  <c r="Q95" i="6" s="1"/>
  <c r="K96" i="6"/>
  <c r="S96" i="6" s="1"/>
  <c r="M97" i="6"/>
  <c r="U97" i="6" s="1"/>
  <c r="I99" i="6"/>
  <c r="Q99" i="6" s="1"/>
  <c r="K100" i="6"/>
  <c r="S100" i="6" s="1"/>
  <c r="M101" i="6"/>
  <c r="U101" i="6" s="1"/>
  <c r="I103" i="6"/>
  <c r="Q103" i="6" s="1"/>
  <c r="L4" i="6"/>
  <c r="T4" i="6" s="1"/>
  <c r="H6" i="6"/>
  <c r="P6" i="6" s="1"/>
  <c r="J7" i="6"/>
  <c r="R7" i="6" s="1"/>
  <c r="L8" i="6"/>
  <c r="T8" i="6" s="1"/>
  <c r="H10" i="6"/>
  <c r="P10" i="6" s="1"/>
  <c r="J11" i="6"/>
  <c r="R11" i="6" s="1"/>
  <c r="L12" i="6"/>
  <c r="T12" i="6" s="1"/>
  <c r="H14" i="6"/>
  <c r="P14" i="6" s="1"/>
  <c r="J15" i="6"/>
  <c r="R15" i="6" s="1"/>
  <c r="L16" i="6"/>
  <c r="T16" i="6" s="1"/>
  <c r="H18" i="6"/>
  <c r="P18" i="6" s="1"/>
  <c r="J19" i="6"/>
  <c r="R19" i="6" s="1"/>
  <c r="L20" i="6"/>
  <c r="T20" i="6" s="1"/>
  <c r="H22" i="6"/>
  <c r="P22" i="6" s="1"/>
  <c r="J23" i="6"/>
  <c r="R23" i="6" s="1"/>
  <c r="L24" i="6"/>
  <c r="T24" i="6" s="1"/>
  <c r="H26" i="6"/>
  <c r="P26" i="6" s="1"/>
  <c r="J27" i="6"/>
  <c r="R27" i="6" s="1"/>
  <c r="L28" i="6"/>
  <c r="T28" i="6" s="1"/>
  <c r="H30" i="6"/>
  <c r="P30" i="6" s="1"/>
  <c r="J31" i="6"/>
  <c r="R31" i="6" s="1"/>
  <c r="L32" i="6"/>
  <c r="T32" i="6" s="1"/>
  <c r="H34" i="6"/>
  <c r="P34" i="6" s="1"/>
  <c r="J35" i="6"/>
  <c r="R35" i="6" s="1"/>
  <c r="L36" i="6"/>
  <c r="T36" i="6" s="1"/>
  <c r="H38" i="6"/>
  <c r="P38" i="6" s="1"/>
  <c r="J39" i="6"/>
  <c r="R39" i="6" s="1"/>
  <c r="L40" i="6"/>
  <c r="T40" i="6" s="1"/>
  <c r="H42" i="6"/>
  <c r="P42" i="6" s="1"/>
  <c r="J43" i="6"/>
  <c r="R43" i="6" s="1"/>
  <c r="L44" i="6"/>
  <c r="T44" i="6" s="1"/>
  <c r="H46" i="6"/>
  <c r="P46" i="6" s="1"/>
  <c r="J47" i="6"/>
  <c r="R47" i="6" s="1"/>
  <c r="L48" i="6"/>
  <c r="T48" i="6" s="1"/>
  <c r="H50" i="6"/>
  <c r="P50" i="6" s="1"/>
  <c r="J51" i="6"/>
  <c r="R51" i="6" s="1"/>
  <c r="L52" i="6"/>
  <c r="T52" i="6" s="1"/>
  <c r="H54" i="6"/>
  <c r="P54" i="6" s="1"/>
  <c r="J55" i="6"/>
  <c r="R55" i="6" s="1"/>
  <c r="L56" i="6"/>
  <c r="T56" i="6" s="1"/>
  <c r="H58" i="6"/>
  <c r="P58" i="6" s="1"/>
  <c r="J59" i="6"/>
  <c r="R59" i="6" s="1"/>
  <c r="L60" i="6"/>
  <c r="T60" i="6" s="1"/>
  <c r="H62" i="6"/>
  <c r="P62" i="6" s="1"/>
  <c r="J63" i="6"/>
  <c r="R63" i="6" s="1"/>
  <c r="L64" i="6"/>
  <c r="T64" i="6" s="1"/>
  <c r="H66" i="6"/>
  <c r="P66" i="6" s="1"/>
  <c r="J67" i="6"/>
  <c r="R67" i="6" s="1"/>
  <c r="L68" i="6"/>
  <c r="T68" i="6" s="1"/>
  <c r="H70" i="6"/>
  <c r="P70" i="6" s="1"/>
  <c r="J71" i="6"/>
  <c r="R71" i="6" s="1"/>
  <c r="L72" i="6"/>
  <c r="T72" i="6" s="1"/>
  <c r="H74" i="6"/>
  <c r="P74" i="6" s="1"/>
  <c r="J75" i="6"/>
  <c r="R75" i="6" s="1"/>
  <c r="L76" i="6"/>
  <c r="T76" i="6" s="1"/>
  <c r="H78" i="6"/>
  <c r="P78" i="6" s="1"/>
  <c r="J79" i="6"/>
  <c r="R79" i="6" s="1"/>
  <c r="L80" i="6"/>
  <c r="T80" i="6" s="1"/>
  <c r="H82" i="6"/>
  <c r="P82" i="6" s="1"/>
  <c r="J83" i="6"/>
  <c r="R83" i="6" s="1"/>
  <c r="L84" i="6"/>
  <c r="T84" i="6" s="1"/>
  <c r="H86" i="6"/>
  <c r="P86" i="6" s="1"/>
  <c r="J87" i="6"/>
  <c r="R87" i="6" s="1"/>
  <c r="L88" i="6"/>
  <c r="T88" i="6" s="1"/>
  <c r="H90" i="6"/>
  <c r="P90" i="6" s="1"/>
  <c r="J91" i="6"/>
  <c r="R91" i="6" s="1"/>
  <c r="L92" i="6"/>
  <c r="T92" i="6" s="1"/>
  <c r="H94" i="6"/>
  <c r="P94" i="6" s="1"/>
  <c r="J95" i="6"/>
  <c r="R95" i="6" s="1"/>
  <c r="L96" i="6"/>
  <c r="T96" i="6" s="1"/>
  <c r="H98" i="6"/>
  <c r="P98" i="6" s="1"/>
  <c r="J99" i="6"/>
  <c r="R99" i="6" s="1"/>
  <c r="L100" i="6"/>
  <c r="T100" i="6" s="1"/>
  <c r="H102" i="6"/>
  <c r="P102" i="6" s="1"/>
  <c r="J103" i="6"/>
  <c r="R103" i="6" s="1"/>
  <c r="M4" i="6"/>
  <c r="U4" i="6" s="1"/>
  <c r="O5" i="3"/>
  <c r="P5" i="3"/>
  <c r="Q5" i="3"/>
  <c r="R5" i="3"/>
  <c r="S5" i="3"/>
  <c r="T5" i="3"/>
  <c r="O6" i="3"/>
  <c r="P6" i="3"/>
  <c r="Q6" i="3"/>
  <c r="R6" i="3"/>
  <c r="S6" i="3"/>
  <c r="T6" i="3"/>
  <c r="O7" i="3"/>
  <c r="P7" i="3"/>
  <c r="Q7" i="3"/>
  <c r="R7" i="3"/>
  <c r="S7" i="3"/>
  <c r="T7" i="3"/>
  <c r="O8" i="3"/>
  <c r="P8" i="3"/>
  <c r="Q8" i="3"/>
  <c r="R8" i="3"/>
  <c r="S8" i="3"/>
  <c r="T8" i="3"/>
  <c r="O9" i="3"/>
  <c r="P9" i="3"/>
  <c r="Q9" i="3"/>
  <c r="R9" i="3"/>
  <c r="S9" i="3"/>
  <c r="T9" i="3"/>
  <c r="O10" i="3"/>
  <c r="P10" i="3"/>
  <c r="Q10" i="3"/>
  <c r="R10" i="3"/>
  <c r="S10" i="3"/>
  <c r="T10" i="3"/>
  <c r="O11" i="3"/>
  <c r="P11" i="3"/>
  <c r="Q11" i="3"/>
  <c r="R11" i="3"/>
  <c r="S11" i="3"/>
  <c r="T11" i="3"/>
  <c r="O12" i="3"/>
  <c r="P12" i="3"/>
  <c r="Q12" i="3"/>
  <c r="R12" i="3"/>
  <c r="S12" i="3"/>
  <c r="T12" i="3"/>
  <c r="O13" i="3"/>
  <c r="P13" i="3"/>
  <c r="Q13" i="3"/>
  <c r="R13" i="3"/>
  <c r="S13" i="3"/>
  <c r="T13" i="3"/>
  <c r="O14" i="3"/>
  <c r="P14" i="3"/>
  <c r="Q14" i="3"/>
  <c r="R14" i="3"/>
  <c r="S14" i="3"/>
  <c r="T14" i="3"/>
  <c r="O15" i="3"/>
  <c r="P15" i="3"/>
  <c r="Q15" i="3"/>
  <c r="R15" i="3"/>
  <c r="S15" i="3"/>
  <c r="T15" i="3"/>
  <c r="O16" i="3"/>
  <c r="P16" i="3"/>
  <c r="Q16" i="3"/>
  <c r="R16" i="3"/>
  <c r="S16" i="3"/>
  <c r="T16" i="3"/>
  <c r="O17" i="3"/>
  <c r="P17" i="3"/>
  <c r="Q17" i="3"/>
  <c r="R17" i="3"/>
  <c r="S17" i="3"/>
  <c r="T17" i="3"/>
  <c r="O18" i="3"/>
  <c r="P18" i="3"/>
  <c r="Q18" i="3"/>
  <c r="R18" i="3"/>
  <c r="S18" i="3"/>
  <c r="T18" i="3"/>
  <c r="O19" i="3"/>
  <c r="P19" i="3"/>
  <c r="Q19" i="3"/>
  <c r="R19" i="3"/>
  <c r="S19" i="3"/>
  <c r="T19" i="3"/>
  <c r="O20" i="3"/>
  <c r="P20" i="3"/>
  <c r="Q20" i="3"/>
  <c r="R20" i="3"/>
  <c r="S20" i="3"/>
  <c r="T20" i="3"/>
  <c r="O21" i="3"/>
  <c r="P21" i="3"/>
  <c r="Q21" i="3"/>
  <c r="R21" i="3"/>
  <c r="S21" i="3"/>
  <c r="T21" i="3"/>
  <c r="O22" i="3"/>
  <c r="P22" i="3"/>
  <c r="Q22" i="3"/>
  <c r="R22" i="3"/>
  <c r="S22" i="3"/>
  <c r="T22" i="3"/>
  <c r="O23" i="3"/>
  <c r="P23" i="3"/>
  <c r="Q23" i="3"/>
  <c r="R23" i="3"/>
  <c r="S23" i="3"/>
  <c r="T23" i="3"/>
  <c r="O24" i="3"/>
  <c r="P24" i="3"/>
  <c r="Q24" i="3"/>
  <c r="R24" i="3"/>
  <c r="S24" i="3"/>
  <c r="T24" i="3"/>
  <c r="O25" i="3"/>
  <c r="P25" i="3"/>
  <c r="Q25" i="3"/>
  <c r="R25" i="3"/>
  <c r="S25" i="3"/>
  <c r="T25" i="3"/>
  <c r="O26" i="3"/>
  <c r="P26" i="3"/>
  <c r="Q26" i="3"/>
  <c r="R26" i="3"/>
  <c r="S26" i="3"/>
  <c r="T26" i="3"/>
  <c r="O27" i="3"/>
  <c r="P27" i="3"/>
  <c r="Q27" i="3"/>
  <c r="R27" i="3"/>
  <c r="S27" i="3"/>
  <c r="T27" i="3"/>
  <c r="O28" i="3"/>
  <c r="P28" i="3"/>
  <c r="Q28" i="3"/>
  <c r="R28" i="3"/>
  <c r="S28" i="3"/>
  <c r="T28" i="3"/>
  <c r="O29" i="3"/>
  <c r="P29" i="3"/>
  <c r="Q29" i="3"/>
  <c r="R29" i="3"/>
  <c r="S29" i="3"/>
  <c r="T29" i="3"/>
  <c r="O30" i="3"/>
  <c r="P30" i="3"/>
  <c r="Q30" i="3"/>
  <c r="R30" i="3"/>
  <c r="S30" i="3"/>
  <c r="T30" i="3"/>
  <c r="O31" i="3"/>
  <c r="P31" i="3"/>
  <c r="Q31" i="3"/>
  <c r="R31" i="3"/>
  <c r="S31" i="3"/>
  <c r="T31" i="3"/>
  <c r="O32" i="3"/>
  <c r="P32" i="3"/>
  <c r="Q32" i="3"/>
  <c r="R32" i="3"/>
  <c r="S32" i="3"/>
  <c r="T32" i="3"/>
  <c r="O33" i="3"/>
  <c r="P33" i="3"/>
  <c r="Q33" i="3"/>
  <c r="R33" i="3"/>
  <c r="S33" i="3"/>
  <c r="T33" i="3"/>
  <c r="O34" i="3"/>
  <c r="P34" i="3"/>
  <c r="Q34" i="3"/>
  <c r="R34" i="3"/>
  <c r="S34" i="3"/>
  <c r="T34" i="3"/>
  <c r="O35" i="3"/>
  <c r="P35" i="3"/>
  <c r="Q35" i="3"/>
  <c r="R35" i="3"/>
  <c r="S35" i="3"/>
  <c r="T35" i="3"/>
  <c r="O36" i="3"/>
  <c r="P36" i="3"/>
  <c r="Q36" i="3"/>
  <c r="R36" i="3"/>
  <c r="S36" i="3"/>
  <c r="T36" i="3"/>
  <c r="O37" i="3"/>
  <c r="P37" i="3"/>
  <c r="Q37" i="3"/>
  <c r="R37" i="3"/>
  <c r="S37" i="3"/>
  <c r="T37" i="3"/>
  <c r="O38" i="3"/>
  <c r="P38" i="3"/>
  <c r="Q38" i="3"/>
  <c r="R38" i="3"/>
  <c r="S38" i="3"/>
  <c r="T38" i="3"/>
  <c r="O39" i="3"/>
  <c r="P39" i="3"/>
  <c r="Q39" i="3"/>
  <c r="R39" i="3"/>
  <c r="S39" i="3"/>
  <c r="T39" i="3"/>
  <c r="O40" i="3"/>
  <c r="P40" i="3"/>
  <c r="Q40" i="3"/>
  <c r="R40" i="3"/>
  <c r="S40" i="3"/>
  <c r="T40" i="3"/>
  <c r="O41" i="3"/>
  <c r="P41" i="3"/>
  <c r="Q41" i="3"/>
  <c r="R41" i="3"/>
  <c r="S41" i="3"/>
  <c r="T41" i="3"/>
  <c r="O42" i="3"/>
  <c r="P42" i="3"/>
  <c r="Q42" i="3"/>
  <c r="R42" i="3"/>
  <c r="S42" i="3"/>
  <c r="T42" i="3"/>
  <c r="O43" i="3"/>
  <c r="P43" i="3"/>
  <c r="Q43" i="3"/>
  <c r="R43" i="3"/>
  <c r="S43" i="3"/>
  <c r="T43" i="3"/>
  <c r="O44" i="3"/>
  <c r="P44" i="3"/>
  <c r="Q44" i="3"/>
  <c r="R44" i="3"/>
  <c r="S44" i="3"/>
  <c r="T44" i="3"/>
  <c r="O45" i="3"/>
  <c r="P45" i="3"/>
  <c r="Q45" i="3"/>
  <c r="R45" i="3"/>
  <c r="S45" i="3"/>
  <c r="T45" i="3"/>
  <c r="O46" i="3"/>
  <c r="P46" i="3"/>
  <c r="Q46" i="3"/>
  <c r="R46" i="3"/>
  <c r="S46" i="3"/>
  <c r="T46" i="3"/>
  <c r="O47" i="3"/>
  <c r="P47" i="3"/>
  <c r="Q47" i="3"/>
  <c r="R47" i="3"/>
  <c r="S47" i="3"/>
  <c r="T47" i="3"/>
  <c r="O48" i="3"/>
  <c r="P48" i="3"/>
  <c r="Q48" i="3"/>
  <c r="R48" i="3"/>
  <c r="S48" i="3"/>
  <c r="T48" i="3"/>
  <c r="O49" i="3"/>
  <c r="P49" i="3"/>
  <c r="Q49" i="3"/>
  <c r="R49" i="3"/>
  <c r="S49" i="3"/>
  <c r="T49" i="3"/>
  <c r="O50" i="3"/>
  <c r="P50" i="3"/>
  <c r="Q50" i="3"/>
  <c r="R50" i="3"/>
  <c r="S50" i="3"/>
  <c r="T50" i="3"/>
  <c r="O51" i="3"/>
  <c r="P51" i="3"/>
  <c r="Q51" i="3"/>
  <c r="R51" i="3"/>
  <c r="S51" i="3"/>
  <c r="T51" i="3"/>
  <c r="O52" i="3"/>
  <c r="P52" i="3"/>
  <c r="Q52" i="3"/>
  <c r="R52" i="3"/>
  <c r="S52" i="3"/>
  <c r="T52" i="3"/>
  <c r="O53" i="3"/>
  <c r="P53" i="3"/>
  <c r="Q53" i="3"/>
  <c r="R53" i="3"/>
  <c r="S53" i="3"/>
  <c r="T53" i="3"/>
  <c r="O54" i="3"/>
  <c r="P54" i="3"/>
  <c r="Q54" i="3"/>
  <c r="R54" i="3"/>
  <c r="S54" i="3"/>
  <c r="T54" i="3"/>
  <c r="O55" i="3"/>
  <c r="P55" i="3"/>
  <c r="Q55" i="3"/>
  <c r="R55" i="3"/>
  <c r="S55" i="3"/>
  <c r="T55" i="3"/>
  <c r="O56" i="3"/>
  <c r="P56" i="3"/>
  <c r="Q56" i="3"/>
  <c r="R56" i="3"/>
  <c r="S56" i="3"/>
  <c r="T56" i="3"/>
  <c r="O57" i="3"/>
  <c r="P57" i="3"/>
  <c r="Q57" i="3"/>
  <c r="R57" i="3"/>
  <c r="S57" i="3"/>
  <c r="T57" i="3"/>
  <c r="O58" i="3"/>
  <c r="P58" i="3"/>
  <c r="Q58" i="3"/>
  <c r="R58" i="3"/>
  <c r="S58" i="3"/>
  <c r="T58" i="3"/>
  <c r="O59" i="3"/>
  <c r="P59" i="3"/>
  <c r="Q59" i="3"/>
  <c r="R59" i="3"/>
  <c r="S59" i="3"/>
  <c r="T59" i="3"/>
  <c r="O60" i="3"/>
  <c r="P60" i="3"/>
  <c r="Q60" i="3"/>
  <c r="R60" i="3"/>
  <c r="S60" i="3"/>
  <c r="T60" i="3"/>
  <c r="O61" i="3"/>
  <c r="P61" i="3"/>
  <c r="Q61" i="3"/>
  <c r="R61" i="3"/>
  <c r="S61" i="3"/>
  <c r="T61" i="3"/>
  <c r="O62" i="3"/>
  <c r="P62" i="3"/>
  <c r="Q62" i="3"/>
  <c r="R62" i="3"/>
  <c r="S62" i="3"/>
  <c r="T62" i="3"/>
  <c r="O63" i="3"/>
  <c r="P63" i="3"/>
  <c r="Q63" i="3"/>
  <c r="R63" i="3"/>
  <c r="S63" i="3"/>
  <c r="T63" i="3"/>
  <c r="O64" i="3"/>
  <c r="P64" i="3"/>
  <c r="Q64" i="3"/>
  <c r="R64" i="3"/>
  <c r="S64" i="3"/>
  <c r="T64" i="3"/>
  <c r="O65" i="3"/>
  <c r="P65" i="3"/>
  <c r="Q65" i="3"/>
  <c r="R65" i="3"/>
  <c r="S65" i="3"/>
  <c r="T65" i="3"/>
  <c r="O66" i="3"/>
  <c r="P66" i="3"/>
  <c r="Q66" i="3"/>
  <c r="R66" i="3"/>
  <c r="S66" i="3"/>
  <c r="T66" i="3"/>
  <c r="O67" i="3"/>
  <c r="P67" i="3"/>
  <c r="Q67" i="3"/>
  <c r="R67" i="3"/>
  <c r="S67" i="3"/>
  <c r="T67" i="3"/>
  <c r="O68" i="3"/>
  <c r="P68" i="3"/>
  <c r="Q68" i="3"/>
  <c r="R68" i="3"/>
  <c r="S68" i="3"/>
  <c r="T68" i="3"/>
  <c r="O69" i="3"/>
  <c r="P69" i="3"/>
  <c r="Q69" i="3"/>
  <c r="R69" i="3"/>
  <c r="S69" i="3"/>
  <c r="T69" i="3"/>
  <c r="O70" i="3"/>
  <c r="P70" i="3"/>
  <c r="Q70" i="3"/>
  <c r="R70" i="3"/>
  <c r="S70" i="3"/>
  <c r="T70" i="3"/>
  <c r="O71" i="3"/>
  <c r="P71" i="3"/>
  <c r="Q71" i="3"/>
  <c r="R71" i="3"/>
  <c r="S71" i="3"/>
  <c r="T71" i="3"/>
  <c r="O72" i="3"/>
  <c r="P72" i="3"/>
  <c r="Q72" i="3"/>
  <c r="R72" i="3"/>
  <c r="S72" i="3"/>
  <c r="T72" i="3"/>
  <c r="O73" i="3"/>
  <c r="P73" i="3"/>
  <c r="Q73" i="3"/>
  <c r="R73" i="3"/>
  <c r="S73" i="3"/>
  <c r="T73" i="3"/>
  <c r="O74" i="3"/>
  <c r="P74" i="3"/>
  <c r="Q74" i="3"/>
  <c r="R74" i="3"/>
  <c r="S74" i="3"/>
  <c r="T74" i="3"/>
  <c r="O75" i="3"/>
  <c r="P75" i="3"/>
  <c r="Q75" i="3"/>
  <c r="R75" i="3"/>
  <c r="S75" i="3"/>
  <c r="T75" i="3"/>
  <c r="O76" i="3"/>
  <c r="P76" i="3"/>
  <c r="Q76" i="3"/>
  <c r="R76" i="3"/>
  <c r="S76" i="3"/>
  <c r="T76" i="3"/>
  <c r="O77" i="3"/>
  <c r="P77" i="3"/>
  <c r="Q77" i="3"/>
  <c r="R77" i="3"/>
  <c r="S77" i="3"/>
  <c r="T77" i="3"/>
  <c r="O78" i="3"/>
  <c r="P78" i="3"/>
  <c r="Q78" i="3"/>
  <c r="R78" i="3"/>
  <c r="S78" i="3"/>
  <c r="T78" i="3"/>
  <c r="O79" i="3"/>
  <c r="P79" i="3"/>
  <c r="Q79" i="3"/>
  <c r="R79" i="3"/>
  <c r="S79" i="3"/>
  <c r="T79" i="3"/>
  <c r="O80" i="3"/>
  <c r="P80" i="3"/>
  <c r="Q80" i="3"/>
  <c r="R80" i="3"/>
  <c r="S80" i="3"/>
  <c r="T80" i="3"/>
  <c r="O81" i="3"/>
  <c r="P81" i="3"/>
  <c r="Q81" i="3"/>
  <c r="R81" i="3"/>
  <c r="S81" i="3"/>
  <c r="T81" i="3"/>
  <c r="O82" i="3"/>
  <c r="P82" i="3"/>
  <c r="Q82" i="3"/>
  <c r="R82" i="3"/>
  <c r="S82" i="3"/>
  <c r="T82" i="3"/>
  <c r="O83" i="3"/>
  <c r="P83" i="3"/>
  <c r="Q83" i="3"/>
  <c r="R83" i="3"/>
  <c r="S83" i="3"/>
  <c r="T83" i="3"/>
  <c r="O84" i="3"/>
  <c r="P84" i="3"/>
  <c r="Q84" i="3"/>
  <c r="R84" i="3"/>
  <c r="S84" i="3"/>
  <c r="T84" i="3"/>
  <c r="O85" i="3"/>
  <c r="P85" i="3"/>
  <c r="Q85" i="3"/>
  <c r="R85" i="3"/>
  <c r="S85" i="3"/>
  <c r="T85" i="3"/>
  <c r="O86" i="3"/>
  <c r="P86" i="3"/>
  <c r="Q86" i="3"/>
  <c r="R86" i="3"/>
  <c r="S86" i="3"/>
  <c r="T86" i="3"/>
  <c r="O87" i="3"/>
  <c r="P87" i="3"/>
  <c r="Q87" i="3"/>
  <c r="R87" i="3"/>
  <c r="S87" i="3"/>
  <c r="T87" i="3"/>
  <c r="O88" i="3"/>
  <c r="P88" i="3"/>
  <c r="Q88" i="3"/>
  <c r="R88" i="3"/>
  <c r="S88" i="3"/>
  <c r="T88" i="3"/>
  <c r="O89" i="3"/>
  <c r="P89" i="3"/>
  <c r="Q89" i="3"/>
  <c r="R89" i="3"/>
  <c r="S89" i="3"/>
  <c r="T89" i="3"/>
  <c r="O90" i="3"/>
  <c r="P90" i="3"/>
  <c r="Q90" i="3"/>
  <c r="R90" i="3"/>
  <c r="S90" i="3"/>
  <c r="T90" i="3"/>
  <c r="O91" i="3"/>
  <c r="P91" i="3"/>
  <c r="Q91" i="3"/>
  <c r="R91" i="3"/>
  <c r="S91" i="3"/>
  <c r="T91" i="3"/>
  <c r="O92" i="3"/>
  <c r="P92" i="3"/>
  <c r="Q92" i="3"/>
  <c r="R92" i="3"/>
  <c r="S92" i="3"/>
  <c r="T92" i="3"/>
  <c r="O93" i="3"/>
  <c r="P93" i="3"/>
  <c r="Q93" i="3"/>
  <c r="R93" i="3"/>
  <c r="S93" i="3"/>
  <c r="T93" i="3"/>
  <c r="O94" i="3"/>
  <c r="P94" i="3"/>
  <c r="Q94" i="3"/>
  <c r="R94" i="3"/>
  <c r="S94" i="3"/>
  <c r="T94" i="3"/>
  <c r="O95" i="3"/>
  <c r="P95" i="3"/>
  <c r="Q95" i="3"/>
  <c r="R95" i="3"/>
  <c r="S95" i="3"/>
  <c r="T95" i="3"/>
  <c r="O96" i="3"/>
  <c r="P96" i="3"/>
  <c r="Q96" i="3"/>
  <c r="R96" i="3"/>
  <c r="S96" i="3"/>
  <c r="T96" i="3"/>
  <c r="O97" i="3"/>
  <c r="P97" i="3"/>
  <c r="Q97" i="3"/>
  <c r="R97" i="3"/>
  <c r="S97" i="3"/>
  <c r="T97" i="3"/>
  <c r="O98" i="3"/>
  <c r="P98" i="3"/>
  <c r="Q98" i="3"/>
  <c r="R98" i="3"/>
  <c r="S98" i="3"/>
  <c r="T98" i="3"/>
  <c r="O99" i="3"/>
  <c r="P99" i="3"/>
  <c r="Q99" i="3"/>
  <c r="R99" i="3"/>
  <c r="S99" i="3"/>
  <c r="T99" i="3"/>
  <c r="O100" i="3"/>
  <c r="P100" i="3"/>
  <c r="Q100" i="3"/>
  <c r="R100" i="3"/>
  <c r="S100" i="3"/>
  <c r="T100" i="3"/>
  <c r="O101" i="3"/>
  <c r="P101" i="3"/>
  <c r="Q101" i="3"/>
  <c r="R101" i="3"/>
  <c r="S101" i="3"/>
  <c r="T101" i="3"/>
  <c r="O102" i="3"/>
  <c r="P102" i="3"/>
  <c r="Q102" i="3"/>
  <c r="R102" i="3"/>
  <c r="S102" i="3"/>
  <c r="T102" i="3"/>
  <c r="O103" i="3"/>
  <c r="P103" i="3"/>
  <c r="Q103" i="3"/>
  <c r="R103" i="3"/>
  <c r="S103" i="3"/>
  <c r="T103" i="3"/>
  <c r="O104" i="3"/>
  <c r="P104" i="3"/>
  <c r="Q104" i="3"/>
  <c r="R104" i="3"/>
  <c r="S104" i="3"/>
  <c r="T104" i="3"/>
  <c r="O105" i="3"/>
  <c r="P105" i="3"/>
  <c r="Q105" i="3"/>
  <c r="R105" i="3"/>
  <c r="S105" i="3"/>
  <c r="T105" i="3"/>
  <c r="O106" i="3"/>
  <c r="P106" i="3"/>
  <c r="Q106" i="3"/>
  <c r="R106" i="3"/>
  <c r="S106" i="3"/>
  <c r="T106" i="3"/>
  <c r="O107" i="3"/>
  <c r="P107" i="3"/>
  <c r="Q107" i="3"/>
  <c r="R107" i="3"/>
  <c r="S107" i="3"/>
  <c r="T107" i="3"/>
  <c r="O108" i="3"/>
  <c r="P108" i="3"/>
  <c r="Q108" i="3"/>
  <c r="R108" i="3"/>
  <c r="S108" i="3"/>
  <c r="T108" i="3"/>
  <c r="O109" i="3"/>
  <c r="P109" i="3"/>
  <c r="Q109" i="3"/>
  <c r="R109" i="3"/>
  <c r="S109" i="3"/>
  <c r="T109" i="3"/>
  <c r="O110" i="3"/>
  <c r="P110" i="3"/>
  <c r="Q110" i="3"/>
  <c r="R110" i="3"/>
  <c r="S110" i="3"/>
  <c r="T110" i="3"/>
  <c r="P4" i="3"/>
  <c r="Q4" i="3"/>
  <c r="R4" i="3"/>
  <c r="S4" i="3"/>
  <c r="T4" i="3"/>
  <c r="O4" i="3"/>
  <c r="F110" i="3"/>
  <c r="D110" i="3"/>
  <c r="F109" i="3"/>
  <c r="E109" i="3"/>
  <c r="D109" i="3"/>
  <c r="F108" i="3"/>
  <c r="D108" i="3"/>
  <c r="F107" i="3"/>
  <c r="D107" i="3"/>
  <c r="F106" i="3"/>
  <c r="D106" i="3"/>
  <c r="F105" i="3"/>
  <c r="D105" i="3"/>
  <c r="F104" i="3"/>
  <c r="E104" i="3"/>
  <c r="D104" i="3"/>
  <c r="F103" i="3"/>
  <c r="D103" i="3"/>
  <c r="F102" i="3"/>
  <c r="D102" i="3"/>
  <c r="F101" i="3"/>
  <c r="E101" i="3"/>
  <c r="D101" i="3"/>
  <c r="F100" i="3"/>
  <c r="D100" i="3"/>
  <c r="F99" i="3"/>
  <c r="D99" i="3"/>
  <c r="F98" i="3"/>
  <c r="E98" i="3"/>
  <c r="D98" i="3"/>
  <c r="F97" i="3"/>
  <c r="D97" i="3"/>
  <c r="F96" i="3"/>
  <c r="D96" i="3"/>
  <c r="F95" i="3"/>
  <c r="D95" i="3"/>
  <c r="F94" i="3"/>
  <c r="E94" i="3"/>
  <c r="D94" i="3"/>
  <c r="F93" i="3"/>
  <c r="D93" i="3"/>
  <c r="F92" i="3"/>
  <c r="E92" i="3"/>
  <c r="D92" i="3"/>
  <c r="F91" i="3"/>
  <c r="D91" i="3"/>
  <c r="F90" i="3"/>
  <c r="D90" i="3"/>
  <c r="F89" i="3"/>
  <c r="D89" i="3"/>
  <c r="F88" i="3"/>
  <c r="E88" i="3"/>
  <c r="D88" i="3"/>
  <c r="F87" i="3"/>
  <c r="D87" i="3"/>
  <c r="F86" i="3"/>
  <c r="D86" i="3"/>
  <c r="F85" i="3"/>
  <c r="E85" i="3"/>
  <c r="D85" i="3"/>
  <c r="F84" i="3"/>
  <c r="D84" i="3"/>
  <c r="F83" i="3"/>
  <c r="D83" i="3"/>
  <c r="F82" i="3"/>
  <c r="E82" i="3"/>
  <c r="D82" i="3"/>
  <c r="F81" i="3"/>
  <c r="D81" i="3"/>
  <c r="F80" i="3"/>
  <c r="D80" i="3"/>
  <c r="F79" i="3"/>
  <c r="D79" i="3"/>
  <c r="F78" i="3"/>
  <c r="E78" i="3"/>
  <c r="D78" i="3"/>
  <c r="F77" i="3"/>
  <c r="D77" i="3"/>
  <c r="F76" i="3"/>
  <c r="E76" i="3"/>
  <c r="D76" i="3"/>
  <c r="F75" i="3"/>
  <c r="D75" i="3"/>
  <c r="F74" i="3"/>
  <c r="D74" i="3"/>
  <c r="F73" i="3"/>
  <c r="D73" i="3"/>
  <c r="F72" i="3"/>
  <c r="E72" i="3"/>
  <c r="D72" i="3"/>
  <c r="F71" i="3"/>
  <c r="D71" i="3"/>
  <c r="F70" i="3"/>
  <c r="D70" i="3"/>
  <c r="F69" i="3"/>
  <c r="E69" i="3"/>
  <c r="D69" i="3"/>
  <c r="F68" i="3"/>
  <c r="D68" i="3"/>
  <c r="F67" i="3"/>
  <c r="D67" i="3"/>
  <c r="F66" i="3"/>
  <c r="E66" i="3"/>
  <c r="D66" i="3"/>
  <c r="F65" i="3"/>
  <c r="D65" i="3"/>
  <c r="F64" i="3"/>
  <c r="D64" i="3"/>
  <c r="F63" i="3"/>
  <c r="D63" i="3"/>
  <c r="F62" i="3"/>
  <c r="E62" i="3"/>
  <c r="D62" i="3"/>
  <c r="F61" i="3"/>
  <c r="D61" i="3"/>
  <c r="F60" i="3"/>
  <c r="E60" i="3"/>
  <c r="D60" i="3"/>
  <c r="F59" i="3"/>
  <c r="D59" i="3"/>
  <c r="F58" i="3"/>
  <c r="D58" i="3"/>
  <c r="F57" i="3"/>
  <c r="D57" i="3"/>
  <c r="F56" i="3"/>
  <c r="E56" i="3"/>
  <c r="D56" i="3"/>
  <c r="F55" i="3"/>
  <c r="D55" i="3"/>
  <c r="F54" i="3"/>
  <c r="D54" i="3"/>
  <c r="F53" i="3"/>
  <c r="E53" i="3"/>
  <c r="D53" i="3"/>
  <c r="F52" i="3"/>
  <c r="D52" i="3"/>
  <c r="F51" i="3"/>
  <c r="D51" i="3"/>
  <c r="F50" i="3"/>
  <c r="E50" i="3"/>
  <c r="D50" i="3"/>
  <c r="F49" i="3"/>
  <c r="D49" i="3"/>
  <c r="F48" i="3"/>
  <c r="D48" i="3"/>
  <c r="F47" i="3"/>
  <c r="D47" i="3"/>
  <c r="F46" i="3"/>
  <c r="E46" i="3"/>
  <c r="D46" i="3"/>
  <c r="F45" i="3"/>
  <c r="D45" i="3"/>
  <c r="F44" i="3"/>
  <c r="E44" i="3"/>
  <c r="D44" i="3"/>
  <c r="F43" i="3"/>
  <c r="D43" i="3"/>
  <c r="F42" i="3"/>
  <c r="D42" i="3"/>
  <c r="F41" i="3"/>
  <c r="D41" i="3"/>
  <c r="F40" i="3"/>
  <c r="E40" i="3"/>
  <c r="D40" i="3"/>
  <c r="F39" i="3"/>
  <c r="D39" i="3"/>
  <c r="F38" i="3"/>
  <c r="D38" i="3"/>
  <c r="F37" i="3"/>
  <c r="E37" i="3"/>
  <c r="D37" i="3"/>
  <c r="F36" i="3"/>
  <c r="D36" i="3"/>
  <c r="F35" i="3"/>
  <c r="D35" i="3"/>
  <c r="F34" i="3"/>
  <c r="E34" i="3"/>
  <c r="D34" i="3"/>
  <c r="F33" i="3"/>
  <c r="D33" i="3"/>
  <c r="F32" i="3"/>
  <c r="D32" i="3"/>
  <c r="F31" i="3"/>
  <c r="D31" i="3"/>
  <c r="F30" i="3"/>
  <c r="E30" i="3"/>
  <c r="D30" i="3"/>
  <c r="F29" i="3"/>
  <c r="D29" i="3"/>
  <c r="F28" i="3"/>
  <c r="D28" i="3"/>
  <c r="F27" i="3"/>
  <c r="D27" i="3"/>
  <c r="F26" i="3"/>
  <c r="E26" i="3"/>
  <c r="D26" i="3"/>
  <c r="F25" i="3"/>
  <c r="D25" i="3"/>
  <c r="F24" i="3"/>
  <c r="D24" i="3"/>
  <c r="F23" i="3"/>
  <c r="D23" i="3"/>
  <c r="F22" i="3"/>
  <c r="E22" i="3"/>
  <c r="D22" i="3"/>
  <c r="F21" i="3"/>
  <c r="D21" i="3"/>
  <c r="F20" i="3"/>
  <c r="D20" i="3"/>
  <c r="F19" i="3"/>
  <c r="D19" i="3"/>
  <c r="F18" i="3"/>
  <c r="E18" i="3"/>
  <c r="D18" i="3"/>
  <c r="F17" i="3"/>
  <c r="D17" i="3"/>
  <c r="F16" i="3"/>
  <c r="D16" i="3"/>
  <c r="F15" i="3"/>
  <c r="D15" i="3"/>
  <c r="F14" i="3"/>
  <c r="E14" i="3"/>
  <c r="D14" i="3"/>
  <c r="F13" i="3"/>
  <c r="D13" i="3"/>
  <c r="F12" i="3"/>
  <c r="D12" i="3"/>
  <c r="F11" i="3"/>
  <c r="D11" i="3"/>
  <c r="F10" i="3"/>
  <c r="E10" i="3"/>
  <c r="D10" i="3"/>
  <c r="F9" i="3"/>
  <c r="D9" i="3"/>
  <c r="F8" i="3"/>
  <c r="D8" i="3"/>
  <c r="F7" i="3"/>
  <c r="D7" i="3"/>
  <c r="F6" i="3"/>
  <c r="E6" i="3"/>
  <c r="D6" i="3"/>
  <c r="F5" i="3"/>
  <c r="D5" i="3"/>
  <c r="F4" i="3"/>
  <c r="D4" i="3"/>
  <c r="Q9" i="7" l="1"/>
  <c r="AB8" i="7"/>
  <c r="W8" i="7"/>
  <c r="W4" i="3"/>
  <c r="Y4" i="3"/>
  <c r="AA4" i="3"/>
  <c r="X4" i="3"/>
  <c r="V4" i="3"/>
  <c r="Z4" i="3"/>
  <c r="E7" i="3"/>
  <c r="W7" i="3"/>
  <c r="Y7" i="3"/>
  <c r="AA7" i="3"/>
  <c r="V7" i="3"/>
  <c r="Z7" i="3"/>
  <c r="X7" i="3"/>
  <c r="W8" i="3"/>
  <c r="Y8" i="3"/>
  <c r="AA8" i="3"/>
  <c r="X8" i="3"/>
  <c r="V8" i="3"/>
  <c r="Z8" i="3"/>
  <c r="E11" i="3"/>
  <c r="W11" i="3"/>
  <c r="Y11" i="3"/>
  <c r="AA11" i="3"/>
  <c r="V11" i="3"/>
  <c r="Z11" i="3"/>
  <c r="X11" i="3"/>
  <c r="W12" i="3"/>
  <c r="Y12" i="3"/>
  <c r="AA12" i="3"/>
  <c r="X12" i="3"/>
  <c r="V12" i="3"/>
  <c r="Z12" i="3"/>
  <c r="E15" i="3"/>
  <c r="W15" i="3"/>
  <c r="Y15" i="3"/>
  <c r="AA15" i="3"/>
  <c r="V15" i="3"/>
  <c r="Z15" i="3"/>
  <c r="X15" i="3"/>
  <c r="W16" i="3"/>
  <c r="Y16" i="3"/>
  <c r="AA16" i="3"/>
  <c r="X16" i="3"/>
  <c r="V16" i="3"/>
  <c r="Z16" i="3"/>
  <c r="E19" i="3"/>
  <c r="W19" i="3"/>
  <c r="Y19" i="3"/>
  <c r="AA19" i="3"/>
  <c r="V19" i="3"/>
  <c r="Z19" i="3"/>
  <c r="X19" i="3"/>
  <c r="W20" i="3"/>
  <c r="Y20" i="3"/>
  <c r="AA20" i="3"/>
  <c r="X20" i="3"/>
  <c r="V20" i="3"/>
  <c r="Z20" i="3"/>
  <c r="E23" i="3"/>
  <c r="W23" i="3"/>
  <c r="Y23" i="3"/>
  <c r="AA23" i="3"/>
  <c r="V23" i="3"/>
  <c r="Z23" i="3"/>
  <c r="X23" i="3"/>
  <c r="W24" i="3"/>
  <c r="Y24" i="3"/>
  <c r="AA24" i="3"/>
  <c r="X24" i="3"/>
  <c r="V24" i="3"/>
  <c r="Z24" i="3"/>
  <c r="E27" i="3"/>
  <c r="W27" i="3"/>
  <c r="Y27" i="3"/>
  <c r="AA27" i="3"/>
  <c r="V27" i="3"/>
  <c r="Z27" i="3"/>
  <c r="X27" i="3"/>
  <c r="W28" i="3"/>
  <c r="Y28" i="3"/>
  <c r="AA28" i="3"/>
  <c r="X28" i="3"/>
  <c r="V28" i="3"/>
  <c r="Z28" i="3"/>
  <c r="E31" i="3"/>
  <c r="W31" i="3"/>
  <c r="Y31" i="3"/>
  <c r="AA31" i="3"/>
  <c r="V31" i="3"/>
  <c r="Z31" i="3"/>
  <c r="X31" i="3"/>
  <c r="W32" i="3"/>
  <c r="Y32" i="3"/>
  <c r="AA32" i="3"/>
  <c r="X32" i="3"/>
  <c r="V32" i="3"/>
  <c r="Z32" i="3"/>
  <c r="E35" i="3"/>
  <c r="V35" i="3"/>
  <c r="X35" i="3"/>
  <c r="Z35" i="3"/>
  <c r="W35" i="3"/>
  <c r="AA35" i="3"/>
  <c r="Y35" i="3"/>
  <c r="V36" i="3"/>
  <c r="X36" i="3"/>
  <c r="Z36" i="3"/>
  <c r="Y36" i="3"/>
  <c r="W36" i="3"/>
  <c r="AA36" i="3"/>
  <c r="V38" i="3"/>
  <c r="X38" i="3"/>
  <c r="Z38" i="3"/>
  <c r="Y38" i="3"/>
  <c r="W38" i="3"/>
  <c r="AA38" i="3"/>
  <c r="E41" i="3"/>
  <c r="V41" i="3"/>
  <c r="X41" i="3"/>
  <c r="Z41" i="3"/>
  <c r="W41" i="3"/>
  <c r="AA41" i="3"/>
  <c r="Y41" i="3"/>
  <c r="V42" i="3"/>
  <c r="X42" i="3"/>
  <c r="Z42" i="3"/>
  <c r="Y42" i="3"/>
  <c r="W42" i="3"/>
  <c r="AA42" i="3"/>
  <c r="V45" i="3"/>
  <c r="X45" i="3"/>
  <c r="Z45" i="3"/>
  <c r="W45" i="3"/>
  <c r="AA45" i="3"/>
  <c r="Y45" i="3"/>
  <c r="E47" i="3"/>
  <c r="V47" i="3"/>
  <c r="X47" i="3"/>
  <c r="Z47" i="3"/>
  <c r="W47" i="3"/>
  <c r="AA47" i="3"/>
  <c r="Y47" i="3"/>
  <c r="V48" i="3"/>
  <c r="X48" i="3"/>
  <c r="Z48" i="3"/>
  <c r="Y48" i="3"/>
  <c r="W48" i="3"/>
  <c r="AA48" i="3"/>
  <c r="E51" i="3"/>
  <c r="V51" i="3"/>
  <c r="X51" i="3"/>
  <c r="Z51" i="3"/>
  <c r="W51" i="3"/>
  <c r="AA51" i="3"/>
  <c r="Y51" i="3"/>
  <c r="V52" i="3"/>
  <c r="X52" i="3"/>
  <c r="Z52" i="3"/>
  <c r="Y52" i="3"/>
  <c r="W52" i="3"/>
  <c r="AA52" i="3"/>
  <c r="V54" i="3"/>
  <c r="X54" i="3"/>
  <c r="Z54" i="3"/>
  <c r="Y54" i="3"/>
  <c r="W54" i="3"/>
  <c r="AA54" i="3"/>
  <c r="E57" i="3"/>
  <c r="V57" i="3"/>
  <c r="X57" i="3"/>
  <c r="Z57" i="3"/>
  <c r="W57" i="3"/>
  <c r="AA57" i="3"/>
  <c r="Y57" i="3"/>
  <c r="V58" i="3"/>
  <c r="X58" i="3"/>
  <c r="Z58" i="3"/>
  <c r="Y58" i="3"/>
  <c r="W58" i="3"/>
  <c r="AA58" i="3"/>
  <c r="V61" i="3"/>
  <c r="X61" i="3"/>
  <c r="Z61" i="3"/>
  <c r="W61" i="3"/>
  <c r="AA61" i="3"/>
  <c r="Y61" i="3"/>
  <c r="E63" i="3"/>
  <c r="V63" i="3"/>
  <c r="X63" i="3"/>
  <c r="Z63" i="3"/>
  <c r="W63" i="3"/>
  <c r="AA63" i="3"/>
  <c r="Y63" i="3"/>
  <c r="V64" i="3"/>
  <c r="X64" i="3"/>
  <c r="Z64" i="3"/>
  <c r="Y64" i="3"/>
  <c r="W64" i="3"/>
  <c r="AA64" i="3"/>
  <c r="E67" i="3"/>
  <c r="V67" i="3"/>
  <c r="X67" i="3"/>
  <c r="Z67" i="3"/>
  <c r="W67" i="3"/>
  <c r="AA67" i="3"/>
  <c r="Y67" i="3"/>
  <c r="V68" i="3"/>
  <c r="X68" i="3"/>
  <c r="Z68" i="3"/>
  <c r="Y68" i="3"/>
  <c r="W68" i="3"/>
  <c r="AA68" i="3"/>
  <c r="V70" i="3"/>
  <c r="X70" i="3"/>
  <c r="Z70" i="3"/>
  <c r="Y70" i="3"/>
  <c r="W70" i="3"/>
  <c r="AA70" i="3"/>
  <c r="E73" i="3"/>
  <c r="V73" i="3"/>
  <c r="X73" i="3"/>
  <c r="Z73" i="3"/>
  <c r="W73" i="3"/>
  <c r="AA73" i="3"/>
  <c r="Y73" i="3"/>
  <c r="V74" i="3"/>
  <c r="X74" i="3"/>
  <c r="Z74" i="3"/>
  <c r="Y74" i="3"/>
  <c r="W74" i="3"/>
  <c r="AA74" i="3"/>
  <c r="V77" i="3"/>
  <c r="X77" i="3"/>
  <c r="Z77" i="3"/>
  <c r="W77" i="3"/>
  <c r="Y77" i="3"/>
  <c r="AA77" i="3"/>
  <c r="E79" i="3"/>
  <c r="V79" i="3"/>
  <c r="X79" i="3"/>
  <c r="Z79" i="3"/>
  <c r="W79" i="3"/>
  <c r="Y79" i="3"/>
  <c r="AA79" i="3"/>
  <c r="V80" i="3"/>
  <c r="X80" i="3"/>
  <c r="Z80" i="3"/>
  <c r="W80" i="3"/>
  <c r="Y80" i="3"/>
  <c r="AA80" i="3"/>
  <c r="E83" i="3"/>
  <c r="V83" i="3"/>
  <c r="X83" i="3"/>
  <c r="Z83" i="3"/>
  <c r="W83" i="3"/>
  <c r="Y83" i="3"/>
  <c r="AA83" i="3"/>
  <c r="V84" i="3"/>
  <c r="X84" i="3"/>
  <c r="Z84" i="3"/>
  <c r="W84" i="3"/>
  <c r="Y84" i="3"/>
  <c r="AA84" i="3"/>
  <c r="V86" i="3"/>
  <c r="X86" i="3"/>
  <c r="Z86" i="3"/>
  <c r="W86" i="3"/>
  <c r="Y86" i="3"/>
  <c r="AA86" i="3"/>
  <c r="E89" i="3"/>
  <c r="V89" i="3"/>
  <c r="X89" i="3"/>
  <c r="Z89" i="3"/>
  <c r="W89" i="3"/>
  <c r="Y89" i="3"/>
  <c r="AA89" i="3"/>
  <c r="V90" i="3"/>
  <c r="X90" i="3"/>
  <c r="Z90" i="3"/>
  <c r="W90" i="3"/>
  <c r="Y90" i="3"/>
  <c r="AA90" i="3"/>
  <c r="V93" i="3"/>
  <c r="X93" i="3"/>
  <c r="Z93" i="3"/>
  <c r="W93" i="3"/>
  <c r="Y93" i="3"/>
  <c r="AA93" i="3"/>
  <c r="E95" i="3"/>
  <c r="V95" i="3"/>
  <c r="X95" i="3"/>
  <c r="Z95" i="3"/>
  <c r="W95" i="3"/>
  <c r="Y95" i="3"/>
  <c r="AA95" i="3"/>
  <c r="V96" i="3"/>
  <c r="X96" i="3"/>
  <c r="Z96" i="3"/>
  <c r="W96" i="3"/>
  <c r="Y96" i="3"/>
  <c r="AA96" i="3"/>
  <c r="E99" i="3"/>
  <c r="V99" i="3"/>
  <c r="X99" i="3"/>
  <c r="Z99" i="3"/>
  <c r="W99" i="3"/>
  <c r="AA99" i="3"/>
  <c r="Y99" i="3"/>
  <c r="V100" i="3"/>
  <c r="X100" i="3"/>
  <c r="Z100" i="3"/>
  <c r="Y100" i="3"/>
  <c r="W100" i="3"/>
  <c r="AA100" i="3"/>
  <c r="V102" i="3"/>
  <c r="X102" i="3"/>
  <c r="Z102" i="3"/>
  <c r="Y102" i="3"/>
  <c r="W102" i="3"/>
  <c r="AA102" i="3"/>
  <c r="E105" i="3"/>
  <c r="V105" i="3"/>
  <c r="X105" i="3"/>
  <c r="Z105" i="3"/>
  <c r="W105" i="3"/>
  <c r="AA105" i="3"/>
  <c r="Y105" i="3"/>
  <c r="E106" i="3"/>
  <c r="V106" i="3"/>
  <c r="X106" i="3"/>
  <c r="Z106" i="3"/>
  <c r="Y106" i="3"/>
  <c r="W106" i="3"/>
  <c r="AA106" i="3"/>
  <c r="E107" i="3"/>
  <c r="V107" i="3"/>
  <c r="X107" i="3"/>
  <c r="Z107" i="3"/>
  <c r="W107" i="3"/>
  <c r="AA107" i="3"/>
  <c r="Y107" i="3"/>
  <c r="V108" i="3"/>
  <c r="X108" i="3"/>
  <c r="Z108" i="3"/>
  <c r="Y108" i="3"/>
  <c r="W108" i="3"/>
  <c r="AA108" i="3"/>
  <c r="V110" i="3"/>
  <c r="X110" i="3"/>
  <c r="Z110" i="3"/>
  <c r="Y110" i="3"/>
  <c r="W110" i="3"/>
  <c r="AA110" i="3"/>
  <c r="E4" i="3"/>
  <c r="E5" i="3"/>
  <c r="W5" i="3"/>
  <c r="Y5" i="3"/>
  <c r="AA5" i="3"/>
  <c r="V5" i="3"/>
  <c r="Z5" i="3"/>
  <c r="X5" i="3"/>
  <c r="W6" i="3"/>
  <c r="Y6" i="3"/>
  <c r="AA6" i="3"/>
  <c r="X6" i="3"/>
  <c r="Z6" i="3"/>
  <c r="V6" i="3"/>
  <c r="E8" i="3"/>
  <c r="E9" i="3"/>
  <c r="W9" i="3"/>
  <c r="Y9" i="3"/>
  <c r="AA9" i="3"/>
  <c r="V9" i="3"/>
  <c r="Z9" i="3"/>
  <c r="X9" i="3"/>
  <c r="W10" i="3"/>
  <c r="Y10" i="3"/>
  <c r="AA10" i="3"/>
  <c r="X10" i="3"/>
  <c r="Z10" i="3"/>
  <c r="V10" i="3"/>
  <c r="E12" i="3"/>
  <c r="E13" i="3"/>
  <c r="W13" i="3"/>
  <c r="Y13" i="3"/>
  <c r="AA13" i="3"/>
  <c r="V13" i="3"/>
  <c r="Z13" i="3"/>
  <c r="X13" i="3"/>
  <c r="W14" i="3"/>
  <c r="Y14" i="3"/>
  <c r="AA14" i="3"/>
  <c r="X14" i="3"/>
  <c r="Z14" i="3"/>
  <c r="V14" i="3"/>
  <c r="E16" i="3"/>
  <c r="E17" i="3"/>
  <c r="W17" i="3"/>
  <c r="Y17" i="3"/>
  <c r="AA17" i="3"/>
  <c r="V17" i="3"/>
  <c r="Z17" i="3"/>
  <c r="X17" i="3"/>
  <c r="W18" i="3"/>
  <c r="Y18" i="3"/>
  <c r="AA18" i="3"/>
  <c r="X18" i="3"/>
  <c r="Z18" i="3"/>
  <c r="V18" i="3"/>
  <c r="E20" i="3"/>
  <c r="E21" i="3"/>
  <c r="W21" i="3"/>
  <c r="Y21" i="3"/>
  <c r="AA21" i="3"/>
  <c r="V21" i="3"/>
  <c r="Z21" i="3"/>
  <c r="X21" i="3"/>
  <c r="W22" i="3"/>
  <c r="Y22" i="3"/>
  <c r="AA22" i="3"/>
  <c r="X22" i="3"/>
  <c r="Z22" i="3"/>
  <c r="V22" i="3"/>
  <c r="E24" i="3"/>
  <c r="E25" i="3"/>
  <c r="W25" i="3"/>
  <c r="Y25" i="3"/>
  <c r="AA25" i="3"/>
  <c r="V25" i="3"/>
  <c r="Z25" i="3"/>
  <c r="X25" i="3"/>
  <c r="W26" i="3"/>
  <c r="Y26" i="3"/>
  <c r="AA26" i="3"/>
  <c r="X26" i="3"/>
  <c r="Z26" i="3"/>
  <c r="V26" i="3"/>
  <c r="E28" i="3"/>
  <c r="E29" i="3"/>
  <c r="W29" i="3"/>
  <c r="Y29" i="3"/>
  <c r="AA29" i="3"/>
  <c r="V29" i="3"/>
  <c r="Z29" i="3"/>
  <c r="X29" i="3"/>
  <c r="W30" i="3"/>
  <c r="Y30" i="3"/>
  <c r="AA30" i="3"/>
  <c r="X30" i="3"/>
  <c r="Z30" i="3"/>
  <c r="V30" i="3"/>
  <c r="E32" i="3"/>
  <c r="E33" i="3"/>
  <c r="V33" i="3"/>
  <c r="X33" i="3"/>
  <c r="Z33" i="3"/>
  <c r="W33" i="3"/>
  <c r="AA33" i="3"/>
  <c r="Y33" i="3"/>
  <c r="V34" i="3"/>
  <c r="X34" i="3"/>
  <c r="Z34" i="3"/>
  <c r="Y34" i="3"/>
  <c r="W34" i="3"/>
  <c r="AA34" i="3"/>
  <c r="E36" i="3"/>
  <c r="V37" i="3"/>
  <c r="X37" i="3"/>
  <c r="Z37" i="3"/>
  <c r="W37" i="3"/>
  <c r="AA37" i="3"/>
  <c r="Y37" i="3"/>
  <c r="E38" i="3"/>
  <c r="E39" i="3"/>
  <c r="V39" i="3"/>
  <c r="X39" i="3"/>
  <c r="Z39" i="3"/>
  <c r="W39" i="3"/>
  <c r="AA39" i="3"/>
  <c r="Y39" i="3"/>
  <c r="V40" i="3"/>
  <c r="X40" i="3"/>
  <c r="Z40" i="3"/>
  <c r="Y40" i="3"/>
  <c r="W40" i="3"/>
  <c r="AA40" i="3"/>
  <c r="E42" i="3"/>
  <c r="E43" i="3"/>
  <c r="V43" i="3"/>
  <c r="X43" i="3"/>
  <c r="Z43" i="3"/>
  <c r="W43" i="3"/>
  <c r="AA43" i="3"/>
  <c r="Y43" i="3"/>
  <c r="V44" i="3"/>
  <c r="X44" i="3"/>
  <c r="Z44" i="3"/>
  <c r="Y44" i="3"/>
  <c r="W44" i="3"/>
  <c r="AA44" i="3"/>
  <c r="E45" i="3"/>
  <c r="V46" i="3"/>
  <c r="X46" i="3"/>
  <c r="Z46" i="3"/>
  <c r="Y46" i="3"/>
  <c r="W46" i="3"/>
  <c r="AA46" i="3"/>
  <c r="E48" i="3"/>
  <c r="E49" i="3"/>
  <c r="V49" i="3"/>
  <c r="X49" i="3"/>
  <c r="Z49" i="3"/>
  <c r="W49" i="3"/>
  <c r="AA49" i="3"/>
  <c r="Y49" i="3"/>
  <c r="V50" i="3"/>
  <c r="X50" i="3"/>
  <c r="Z50" i="3"/>
  <c r="Y50" i="3"/>
  <c r="W50" i="3"/>
  <c r="AA50" i="3"/>
  <c r="E52" i="3"/>
  <c r="V53" i="3"/>
  <c r="X53" i="3"/>
  <c r="Z53" i="3"/>
  <c r="W53" i="3"/>
  <c r="AA53" i="3"/>
  <c r="Y53" i="3"/>
  <c r="E54" i="3"/>
  <c r="E55" i="3"/>
  <c r="V55" i="3"/>
  <c r="X55" i="3"/>
  <c r="Z55" i="3"/>
  <c r="W55" i="3"/>
  <c r="AA55" i="3"/>
  <c r="Y55" i="3"/>
  <c r="V56" i="3"/>
  <c r="X56" i="3"/>
  <c r="Z56" i="3"/>
  <c r="Y56" i="3"/>
  <c r="W56" i="3"/>
  <c r="AA56" i="3"/>
  <c r="E58" i="3"/>
  <c r="E59" i="3"/>
  <c r="V59" i="3"/>
  <c r="X59" i="3"/>
  <c r="Z59" i="3"/>
  <c r="W59" i="3"/>
  <c r="AA59" i="3"/>
  <c r="Y59" i="3"/>
  <c r="V60" i="3"/>
  <c r="X60" i="3"/>
  <c r="Z60" i="3"/>
  <c r="Y60" i="3"/>
  <c r="W60" i="3"/>
  <c r="AA60" i="3"/>
  <c r="E61" i="3"/>
  <c r="V62" i="3"/>
  <c r="X62" i="3"/>
  <c r="Z62" i="3"/>
  <c r="Y62" i="3"/>
  <c r="W62" i="3"/>
  <c r="AA62" i="3"/>
  <c r="E64" i="3"/>
  <c r="E65" i="3"/>
  <c r="V65" i="3"/>
  <c r="X65" i="3"/>
  <c r="Z65" i="3"/>
  <c r="W65" i="3"/>
  <c r="AA65" i="3"/>
  <c r="Y65" i="3"/>
  <c r="V66" i="3"/>
  <c r="X66" i="3"/>
  <c r="Z66" i="3"/>
  <c r="Y66" i="3"/>
  <c r="W66" i="3"/>
  <c r="AA66" i="3"/>
  <c r="E68" i="3"/>
  <c r="V69" i="3"/>
  <c r="X69" i="3"/>
  <c r="Z69" i="3"/>
  <c r="W69" i="3"/>
  <c r="AA69" i="3"/>
  <c r="Y69" i="3"/>
  <c r="E70" i="3"/>
  <c r="E71" i="3"/>
  <c r="V71" i="3"/>
  <c r="X71" i="3"/>
  <c r="Z71" i="3"/>
  <c r="W71" i="3"/>
  <c r="AA71" i="3"/>
  <c r="Y71" i="3"/>
  <c r="V72" i="3"/>
  <c r="X72" i="3"/>
  <c r="Z72" i="3"/>
  <c r="Y72" i="3"/>
  <c r="W72" i="3"/>
  <c r="AA72" i="3"/>
  <c r="E74" i="3"/>
  <c r="E75" i="3"/>
  <c r="V75" i="3"/>
  <c r="X75" i="3"/>
  <c r="W75" i="3"/>
  <c r="Z75" i="3"/>
  <c r="Y75" i="3"/>
  <c r="AA75" i="3"/>
  <c r="V76" i="3"/>
  <c r="X76" i="3"/>
  <c r="Z76" i="3"/>
  <c r="W76" i="3"/>
  <c r="Y76" i="3"/>
  <c r="AA76" i="3"/>
  <c r="E77" i="3"/>
  <c r="V78" i="3"/>
  <c r="X78" i="3"/>
  <c r="Z78" i="3"/>
  <c r="W78" i="3"/>
  <c r="Y78" i="3"/>
  <c r="AA78" i="3"/>
  <c r="E80" i="3"/>
  <c r="E81" i="3"/>
  <c r="V81" i="3"/>
  <c r="X81" i="3"/>
  <c r="Z81" i="3"/>
  <c r="W81" i="3"/>
  <c r="Y81" i="3"/>
  <c r="AA81" i="3"/>
  <c r="V82" i="3"/>
  <c r="X82" i="3"/>
  <c r="Z82" i="3"/>
  <c r="W82" i="3"/>
  <c r="Y82" i="3"/>
  <c r="AA82" i="3"/>
  <c r="E84" i="3"/>
  <c r="V85" i="3"/>
  <c r="X85" i="3"/>
  <c r="Z85" i="3"/>
  <c r="W85" i="3"/>
  <c r="Y85" i="3"/>
  <c r="AA85" i="3"/>
  <c r="E86" i="3"/>
  <c r="E87" i="3"/>
  <c r="V87" i="3"/>
  <c r="X87" i="3"/>
  <c r="Z87" i="3"/>
  <c r="W87" i="3"/>
  <c r="Y87" i="3"/>
  <c r="AA87" i="3"/>
  <c r="V88" i="3"/>
  <c r="X88" i="3"/>
  <c r="Z88" i="3"/>
  <c r="W88" i="3"/>
  <c r="Y88" i="3"/>
  <c r="AA88" i="3"/>
  <c r="E90" i="3"/>
  <c r="E91" i="3"/>
  <c r="V91" i="3"/>
  <c r="X91" i="3"/>
  <c r="Z91" i="3"/>
  <c r="W91" i="3"/>
  <c r="Y91" i="3"/>
  <c r="AA91" i="3"/>
  <c r="V92" i="3"/>
  <c r="X92" i="3"/>
  <c r="Z92" i="3"/>
  <c r="W92" i="3"/>
  <c r="Y92" i="3"/>
  <c r="AA92" i="3"/>
  <c r="E93" i="3"/>
  <c r="V94" i="3"/>
  <c r="X94" i="3"/>
  <c r="Z94" i="3"/>
  <c r="W94" i="3"/>
  <c r="Y94" i="3"/>
  <c r="AA94" i="3"/>
  <c r="E96" i="3"/>
  <c r="E97" i="3"/>
  <c r="V97" i="3"/>
  <c r="X97" i="3"/>
  <c r="Z97" i="3"/>
  <c r="W97" i="3"/>
  <c r="AA97" i="3"/>
  <c r="Y97" i="3"/>
  <c r="V98" i="3"/>
  <c r="X98" i="3"/>
  <c r="Z98" i="3"/>
  <c r="Y98" i="3"/>
  <c r="W98" i="3"/>
  <c r="AA98" i="3"/>
  <c r="E100" i="3"/>
  <c r="V101" i="3"/>
  <c r="X101" i="3"/>
  <c r="Z101" i="3"/>
  <c r="W101" i="3"/>
  <c r="AA101" i="3"/>
  <c r="Y101" i="3"/>
  <c r="E102" i="3"/>
  <c r="E103" i="3"/>
  <c r="V103" i="3"/>
  <c r="X103" i="3"/>
  <c r="Z103" i="3"/>
  <c r="W103" i="3"/>
  <c r="AA103" i="3"/>
  <c r="Y103" i="3"/>
  <c r="V104" i="3"/>
  <c r="X104" i="3"/>
  <c r="Z104" i="3"/>
  <c r="Y104" i="3"/>
  <c r="W104" i="3"/>
  <c r="AA104" i="3"/>
  <c r="E108" i="3"/>
  <c r="V109" i="3"/>
  <c r="X109" i="3"/>
  <c r="Z109" i="3"/>
  <c r="W109" i="3"/>
  <c r="AA109" i="3"/>
  <c r="Y109" i="3"/>
  <c r="E110" i="3"/>
  <c r="F109" i="2"/>
  <c r="D109" i="2"/>
  <c r="E109" i="2" s="1"/>
  <c r="F108" i="2"/>
  <c r="D108" i="2"/>
  <c r="E108" i="2" s="1"/>
  <c r="F107" i="2"/>
  <c r="E107" i="2"/>
  <c r="D107" i="2"/>
  <c r="F106" i="2"/>
  <c r="D106" i="2"/>
  <c r="E106" i="2" s="1"/>
  <c r="F105" i="2"/>
  <c r="D105" i="2"/>
  <c r="E105" i="2" s="1"/>
  <c r="F104" i="2"/>
  <c r="D104" i="2"/>
  <c r="E104" i="2" s="1"/>
  <c r="F103" i="2"/>
  <c r="D103" i="2"/>
  <c r="E103" i="2" s="1"/>
  <c r="F102" i="2"/>
  <c r="D102" i="2"/>
  <c r="E102" i="2" s="1"/>
  <c r="F101" i="2"/>
  <c r="D101" i="2"/>
  <c r="E101" i="2" s="1"/>
  <c r="F100" i="2"/>
  <c r="D100" i="2"/>
  <c r="E100" i="2" s="1"/>
  <c r="F99" i="2"/>
  <c r="E99" i="2"/>
  <c r="D99" i="2"/>
  <c r="F98" i="2"/>
  <c r="D98" i="2"/>
  <c r="E98" i="2" s="1"/>
  <c r="F97" i="2"/>
  <c r="D97" i="2"/>
  <c r="E97" i="2" s="1"/>
  <c r="F96" i="2"/>
  <c r="D96" i="2"/>
  <c r="E96" i="2" s="1"/>
  <c r="F95" i="2"/>
  <c r="D95" i="2"/>
  <c r="E95" i="2" s="1"/>
  <c r="F94" i="2"/>
  <c r="D94" i="2"/>
  <c r="E94" i="2" s="1"/>
  <c r="F93" i="2"/>
  <c r="D93" i="2"/>
  <c r="E93" i="2" s="1"/>
  <c r="C3" i="5" s="1"/>
  <c r="F92" i="2"/>
  <c r="D92" i="2"/>
  <c r="E92" i="2" s="1"/>
  <c r="F91" i="2"/>
  <c r="E91" i="2"/>
  <c r="D91" i="2"/>
  <c r="F90" i="2"/>
  <c r="D90" i="2"/>
  <c r="E90" i="2" s="1"/>
  <c r="F89" i="2"/>
  <c r="D89" i="2"/>
  <c r="E89" i="2" s="1"/>
  <c r="F88" i="2"/>
  <c r="D88" i="2"/>
  <c r="F87" i="2"/>
  <c r="D87" i="2"/>
  <c r="E87" i="2" s="1"/>
  <c r="F86" i="2"/>
  <c r="D86" i="2"/>
  <c r="E86" i="2" s="1"/>
  <c r="F85" i="2"/>
  <c r="D85" i="2"/>
  <c r="E85" i="2" s="1"/>
  <c r="F84" i="2"/>
  <c r="D84" i="2"/>
  <c r="E84" i="2" s="1"/>
  <c r="F83" i="2"/>
  <c r="E83" i="2"/>
  <c r="D83" i="2"/>
  <c r="F82" i="2"/>
  <c r="D82" i="2"/>
  <c r="E82" i="2" s="1"/>
  <c r="F81" i="2"/>
  <c r="D81" i="2"/>
  <c r="E81" i="2" s="1"/>
  <c r="F80" i="2"/>
  <c r="D80" i="2"/>
  <c r="E80" i="2" s="1"/>
  <c r="F79" i="2"/>
  <c r="D79" i="2"/>
  <c r="E79" i="2" s="1"/>
  <c r="F78" i="2"/>
  <c r="D78" i="2"/>
  <c r="E78" i="2" s="1"/>
  <c r="F77" i="2"/>
  <c r="D77" i="2"/>
  <c r="E77" i="2" s="1"/>
  <c r="F76" i="2"/>
  <c r="D76" i="2"/>
  <c r="E76" i="2" s="1"/>
  <c r="F75" i="2"/>
  <c r="E75" i="2"/>
  <c r="D75" i="2"/>
  <c r="F74" i="2"/>
  <c r="D74" i="2"/>
  <c r="E74" i="2" s="1"/>
  <c r="F73" i="2"/>
  <c r="D73" i="2"/>
  <c r="E73" i="2" s="1"/>
  <c r="F72" i="2"/>
  <c r="D72" i="2"/>
  <c r="E72" i="2" s="1"/>
  <c r="F71" i="2"/>
  <c r="D71" i="2"/>
  <c r="E71" i="2" s="1"/>
  <c r="F70" i="2"/>
  <c r="D70" i="2"/>
  <c r="E70" i="2" s="1"/>
  <c r="F69" i="2"/>
  <c r="D69" i="2"/>
  <c r="E69" i="2" s="1"/>
  <c r="F68" i="2"/>
  <c r="D68" i="2"/>
  <c r="E68" i="2" s="1"/>
  <c r="F67" i="2"/>
  <c r="E67" i="2"/>
  <c r="D67" i="2"/>
  <c r="F66" i="2"/>
  <c r="D66" i="2"/>
  <c r="E66" i="2" s="1"/>
  <c r="F65" i="2"/>
  <c r="D65" i="2"/>
  <c r="E65" i="2" s="1"/>
  <c r="F64" i="2"/>
  <c r="D64" i="2"/>
  <c r="E64" i="2" s="1"/>
  <c r="F63" i="2"/>
  <c r="D63" i="2"/>
  <c r="E63" i="2" s="1"/>
  <c r="F62" i="2"/>
  <c r="D62" i="2"/>
  <c r="E62" i="2" s="1"/>
  <c r="F61" i="2"/>
  <c r="D61" i="2"/>
  <c r="E61" i="2" s="1"/>
  <c r="F60" i="2"/>
  <c r="D60" i="2"/>
  <c r="E60" i="2" s="1"/>
  <c r="F59" i="2"/>
  <c r="E59" i="2"/>
  <c r="D59" i="2"/>
  <c r="F58" i="2"/>
  <c r="D58" i="2"/>
  <c r="E58" i="2" s="1"/>
  <c r="F57" i="2"/>
  <c r="D57" i="2"/>
  <c r="E57" i="2" s="1"/>
  <c r="F56" i="2"/>
  <c r="D56" i="2"/>
  <c r="E56" i="2" s="1"/>
  <c r="F55" i="2"/>
  <c r="D55" i="2"/>
  <c r="E55" i="2" s="1"/>
  <c r="F54" i="2"/>
  <c r="D54" i="2"/>
  <c r="E54" i="2" s="1"/>
  <c r="F53" i="2"/>
  <c r="D53" i="2"/>
  <c r="E53" i="2" s="1"/>
  <c r="F52" i="2"/>
  <c r="D52" i="2"/>
  <c r="E52" i="2" s="1"/>
  <c r="F51" i="2"/>
  <c r="E51" i="2"/>
  <c r="D51" i="2"/>
  <c r="F50" i="2"/>
  <c r="D50" i="2"/>
  <c r="E50" i="2" s="1"/>
  <c r="F49" i="2"/>
  <c r="D49" i="2"/>
  <c r="E49" i="2" s="1"/>
  <c r="F48" i="2"/>
  <c r="D48" i="2"/>
  <c r="E48" i="2" s="1"/>
  <c r="F47" i="2"/>
  <c r="D47" i="2"/>
  <c r="E47" i="2" s="1"/>
  <c r="F46" i="2"/>
  <c r="D46" i="2"/>
  <c r="E46" i="2" s="1"/>
  <c r="F45" i="2"/>
  <c r="D45" i="2"/>
  <c r="E45" i="2" s="1"/>
  <c r="F44" i="2"/>
  <c r="D44" i="2"/>
  <c r="E44" i="2" s="1"/>
  <c r="F43" i="2"/>
  <c r="E43" i="2"/>
  <c r="D43" i="2"/>
  <c r="F42" i="2"/>
  <c r="D42" i="2"/>
  <c r="E42" i="2" s="1"/>
  <c r="F41" i="2"/>
  <c r="D41" i="2"/>
  <c r="E41" i="2" s="1"/>
  <c r="F40" i="2"/>
  <c r="D40" i="2"/>
  <c r="E40" i="2" s="1"/>
  <c r="F39" i="2"/>
  <c r="D39" i="2"/>
  <c r="E39" i="2" s="1"/>
  <c r="F38" i="2"/>
  <c r="D38" i="2"/>
  <c r="E38" i="2" s="1"/>
  <c r="F37" i="2"/>
  <c r="D37" i="2"/>
  <c r="E37" i="2" s="1"/>
  <c r="F36" i="2"/>
  <c r="D36" i="2"/>
  <c r="E36" i="2" s="1"/>
  <c r="F35" i="2"/>
  <c r="E35" i="2"/>
  <c r="D35" i="2"/>
  <c r="F34" i="2"/>
  <c r="D34" i="2"/>
  <c r="E34" i="2" s="1"/>
  <c r="F33" i="2"/>
  <c r="D33" i="2"/>
  <c r="E33" i="2" s="1"/>
  <c r="F32" i="2"/>
  <c r="D32" i="2"/>
  <c r="E32" i="2" s="1"/>
  <c r="F31" i="2"/>
  <c r="D31" i="2"/>
  <c r="E31" i="2" s="1"/>
  <c r="F30" i="2"/>
  <c r="D30" i="2"/>
  <c r="E30" i="2" s="1"/>
  <c r="F29" i="2"/>
  <c r="D29" i="2"/>
  <c r="E29" i="2" s="1"/>
  <c r="F28" i="2"/>
  <c r="D28" i="2"/>
  <c r="E28" i="2" s="1"/>
  <c r="F27" i="2"/>
  <c r="E27" i="2"/>
  <c r="D27" i="2"/>
  <c r="F26" i="2"/>
  <c r="D26" i="2"/>
  <c r="E26" i="2" s="1"/>
  <c r="F25" i="2"/>
  <c r="D25" i="2"/>
  <c r="E25" i="2" s="1"/>
  <c r="F24" i="2"/>
  <c r="D24" i="2"/>
  <c r="E24" i="2" s="1"/>
  <c r="F23" i="2"/>
  <c r="D23" i="2"/>
  <c r="E23" i="2" s="1"/>
  <c r="F22" i="2"/>
  <c r="D22" i="2"/>
  <c r="E22" i="2" s="1"/>
  <c r="F21" i="2"/>
  <c r="D21" i="2"/>
  <c r="E21" i="2" s="1"/>
  <c r="F20" i="2"/>
  <c r="D20" i="2"/>
  <c r="E20" i="2" s="1"/>
  <c r="F19" i="2"/>
  <c r="E19" i="2"/>
  <c r="D19" i="2"/>
  <c r="F18" i="2"/>
  <c r="D18" i="2"/>
  <c r="E18" i="2" s="1"/>
  <c r="F17" i="2"/>
  <c r="D17" i="2"/>
  <c r="E17" i="2" s="1"/>
  <c r="F16" i="2"/>
  <c r="D16" i="2"/>
  <c r="E16" i="2" s="1"/>
  <c r="F15" i="2"/>
  <c r="D15" i="2"/>
  <c r="E15" i="2" s="1"/>
  <c r="F14" i="2"/>
  <c r="D14" i="2"/>
  <c r="E14" i="2" s="1"/>
  <c r="F13" i="2"/>
  <c r="D13" i="2"/>
  <c r="E13" i="2" s="1"/>
  <c r="F12" i="2"/>
  <c r="D12" i="2"/>
  <c r="E12" i="2" s="1"/>
  <c r="F11" i="2"/>
  <c r="E11" i="2"/>
  <c r="D11" i="2"/>
  <c r="F10" i="2"/>
  <c r="D10" i="2"/>
  <c r="E10" i="2" s="1"/>
  <c r="F9" i="2"/>
  <c r="D9" i="2"/>
  <c r="E9" i="2" s="1"/>
  <c r="F8" i="2"/>
  <c r="D8" i="2"/>
  <c r="E8" i="2" s="1"/>
  <c r="F7" i="2"/>
  <c r="D7" i="2"/>
  <c r="E7" i="2" s="1"/>
  <c r="F6" i="2"/>
  <c r="D6" i="2"/>
  <c r="E6" i="2" s="1"/>
  <c r="F5" i="2"/>
  <c r="D5" i="2"/>
  <c r="E5" i="2" s="1"/>
  <c r="F4" i="2"/>
  <c r="D4" i="2"/>
  <c r="E4" i="2" s="1"/>
  <c r="F3" i="2"/>
  <c r="E3" i="2"/>
  <c r="D3" i="2"/>
  <c r="C18" i="1"/>
  <c r="C4" i="5"/>
  <c r="C7" i="5"/>
  <c r="C9" i="5"/>
  <c r="C16" i="1"/>
  <c r="R13" i="1"/>
  <c r="R15" i="1"/>
  <c r="R17" i="1"/>
  <c r="R11" i="1"/>
  <c r="R9" i="1"/>
  <c r="V9" i="7" l="1"/>
  <c r="N9" i="7"/>
  <c r="S9" i="7"/>
  <c r="H7" i="5"/>
  <c r="G7" i="5"/>
  <c r="E88" i="2"/>
  <c r="D14" i="5"/>
  <c r="G2406" i="8"/>
  <c r="H2406" i="8"/>
  <c r="I2406" i="8"/>
  <c r="J2406" i="8"/>
  <c r="G2405" i="8"/>
  <c r="H2405" i="8"/>
  <c r="I2405" i="8"/>
  <c r="J2405" i="8"/>
  <c r="K2406" i="8"/>
  <c r="K2405" i="8"/>
  <c r="F2406" i="8"/>
  <c r="F2405" i="8"/>
  <c r="Z8" i="7" l="1"/>
  <c r="AF9" i="7"/>
  <c r="AG9" i="7" s="1"/>
  <c r="AH9" i="7" s="1"/>
  <c r="T9" i="7" s="1"/>
  <c r="Q10" i="7" s="1"/>
  <c r="AC6" i="1"/>
  <c r="AD6" i="1" s="1"/>
  <c r="AC7" i="1"/>
  <c r="AD7" i="1" s="1"/>
  <c r="AC8" i="1"/>
  <c r="AD8" i="1" s="1"/>
  <c r="AC9" i="1"/>
  <c r="AD9" i="1" s="1"/>
  <c r="AC10" i="1"/>
  <c r="AD10" i="1" s="1"/>
  <c r="AC11" i="1"/>
  <c r="AD11" i="1" s="1"/>
  <c r="AC12" i="1"/>
  <c r="AD12" i="1" s="1"/>
  <c r="AC13" i="1"/>
  <c r="AD13" i="1" s="1"/>
  <c r="AC14" i="1"/>
  <c r="AD14" i="1" s="1"/>
  <c r="AC15" i="1"/>
  <c r="AD15" i="1" s="1"/>
  <c r="AC16" i="1"/>
  <c r="AD16" i="1" s="1"/>
  <c r="AC17" i="1"/>
  <c r="AD17" i="1" s="1"/>
  <c r="AC18" i="1"/>
  <c r="AD18" i="1" s="1"/>
  <c r="AC19" i="1"/>
  <c r="AD19" i="1" s="1"/>
  <c r="AC20" i="1"/>
  <c r="AD20" i="1" s="1"/>
  <c r="AC21" i="1"/>
  <c r="AD21" i="1" s="1"/>
  <c r="AC22" i="1"/>
  <c r="AD22" i="1" s="1"/>
  <c r="AC23" i="1"/>
  <c r="AD23" i="1" s="1"/>
  <c r="AC24" i="1"/>
  <c r="AD24" i="1" s="1"/>
  <c r="AC25" i="1"/>
  <c r="AD25" i="1" s="1"/>
  <c r="AC26" i="1"/>
  <c r="AD26" i="1" s="1"/>
  <c r="AC27" i="1"/>
  <c r="AD27" i="1" s="1"/>
  <c r="AC28" i="1"/>
  <c r="AD28" i="1" s="1"/>
  <c r="AC29" i="1"/>
  <c r="AD29" i="1" s="1"/>
  <c r="AC30" i="1"/>
  <c r="AD30" i="1" s="1"/>
  <c r="AC31" i="1"/>
  <c r="AD31" i="1" s="1"/>
  <c r="AC32" i="1"/>
  <c r="AD32" i="1" s="1"/>
  <c r="AC33" i="1"/>
  <c r="AD33" i="1" s="1"/>
  <c r="AC34" i="1"/>
  <c r="AD34" i="1" s="1"/>
  <c r="AC35" i="1"/>
  <c r="AD35" i="1" s="1"/>
  <c r="AC36" i="1"/>
  <c r="AD36" i="1" s="1"/>
  <c r="AC37" i="1"/>
  <c r="AD37" i="1" s="1"/>
  <c r="AC38" i="1"/>
  <c r="AD38" i="1" s="1"/>
  <c r="AC39" i="1"/>
  <c r="AD39" i="1" s="1"/>
  <c r="AC40" i="1"/>
  <c r="AD40" i="1" s="1"/>
  <c r="AC41" i="1"/>
  <c r="AD41" i="1" s="1"/>
  <c r="AC42" i="1"/>
  <c r="AD42" i="1" s="1"/>
  <c r="AC43" i="1"/>
  <c r="AD43" i="1" s="1"/>
  <c r="AC44" i="1"/>
  <c r="AD44" i="1" s="1"/>
  <c r="AC45" i="1"/>
  <c r="AD45" i="1" s="1"/>
  <c r="AC46" i="1"/>
  <c r="AD46" i="1" s="1"/>
  <c r="AC47" i="1"/>
  <c r="AD47" i="1" s="1"/>
  <c r="AC48" i="1"/>
  <c r="AD48" i="1" s="1"/>
  <c r="AC49" i="1"/>
  <c r="AD49" i="1" s="1"/>
  <c r="AC50" i="1"/>
  <c r="AD50" i="1" s="1"/>
  <c r="AC51" i="1"/>
  <c r="AD51" i="1" s="1"/>
  <c r="AC52" i="1"/>
  <c r="AD52" i="1" s="1"/>
  <c r="AC53" i="1"/>
  <c r="AD53" i="1" s="1"/>
  <c r="AC54" i="1"/>
  <c r="AD54" i="1" s="1"/>
  <c r="AC55" i="1"/>
  <c r="AD55" i="1" s="1"/>
  <c r="AC56" i="1"/>
  <c r="AD56" i="1" s="1"/>
  <c r="AC57" i="1"/>
  <c r="AD57" i="1" s="1"/>
  <c r="AC58" i="1"/>
  <c r="AD58" i="1" s="1"/>
  <c r="AC59" i="1"/>
  <c r="AD59" i="1" s="1"/>
  <c r="AC60" i="1"/>
  <c r="AD60" i="1" s="1"/>
  <c r="AC61" i="1"/>
  <c r="AD61" i="1" s="1"/>
  <c r="AC62" i="1"/>
  <c r="AD62" i="1" s="1"/>
  <c r="AC63" i="1"/>
  <c r="AD63" i="1" s="1"/>
  <c r="AC64" i="1"/>
  <c r="AD64" i="1" s="1"/>
  <c r="AC65" i="1"/>
  <c r="AD65" i="1" s="1"/>
  <c r="AC66" i="1"/>
  <c r="AD66" i="1" s="1"/>
  <c r="AC67" i="1"/>
  <c r="AD67" i="1" s="1"/>
  <c r="AC68" i="1"/>
  <c r="AD68" i="1" s="1"/>
  <c r="AC69" i="1"/>
  <c r="AD69" i="1" s="1"/>
  <c r="AC70" i="1"/>
  <c r="AD70" i="1" s="1"/>
  <c r="AC71" i="1"/>
  <c r="AD71" i="1" s="1"/>
  <c r="AC72" i="1"/>
  <c r="AD72" i="1" s="1"/>
  <c r="AC73" i="1"/>
  <c r="AD73" i="1" s="1"/>
  <c r="AC74" i="1"/>
  <c r="AD74" i="1" s="1"/>
  <c r="AC75" i="1"/>
  <c r="AD75" i="1" s="1"/>
  <c r="AC76" i="1"/>
  <c r="AD76" i="1" s="1"/>
  <c r="AC77" i="1"/>
  <c r="AD77" i="1" s="1"/>
  <c r="AC78" i="1"/>
  <c r="AD78" i="1" s="1"/>
  <c r="AC79" i="1"/>
  <c r="AD79" i="1" s="1"/>
  <c r="AC80" i="1"/>
  <c r="AD80" i="1" s="1"/>
  <c r="AC81" i="1"/>
  <c r="AD81" i="1" s="1"/>
  <c r="AC82" i="1"/>
  <c r="AD82" i="1" s="1"/>
  <c r="AC83" i="1"/>
  <c r="AD83" i="1" s="1"/>
  <c r="AC84" i="1"/>
  <c r="AD84" i="1" s="1"/>
  <c r="AC85" i="1"/>
  <c r="AD85" i="1" s="1"/>
  <c r="AC86" i="1"/>
  <c r="AD86" i="1" s="1"/>
  <c r="AC87" i="1"/>
  <c r="AD87" i="1" s="1"/>
  <c r="AC88" i="1"/>
  <c r="AD88" i="1" s="1"/>
  <c r="AC89" i="1"/>
  <c r="AD89" i="1" s="1"/>
  <c r="AC90" i="1"/>
  <c r="AD90" i="1" s="1"/>
  <c r="AC91" i="1"/>
  <c r="AD91" i="1" s="1"/>
  <c r="AC92" i="1"/>
  <c r="AD92" i="1" s="1"/>
  <c r="AC93" i="1"/>
  <c r="AD93" i="1" s="1"/>
  <c r="AC94" i="1"/>
  <c r="AD94" i="1" s="1"/>
  <c r="AC95" i="1"/>
  <c r="AD95" i="1" s="1"/>
  <c r="AC96" i="1"/>
  <c r="AD96" i="1" s="1"/>
  <c r="AC97" i="1"/>
  <c r="AD97" i="1" s="1"/>
  <c r="AC98" i="1"/>
  <c r="AD98" i="1" s="1"/>
  <c r="AC99" i="1"/>
  <c r="AD99" i="1" s="1"/>
  <c r="AC100" i="1"/>
  <c r="AD100" i="1" s="1"/>
  <c r="AC101" i="1"/>
  <c r="AD101" i="1" s="1"/>
  <c r="AC102" i="1"/>
  <c r="AD102" i="1" s="1"/>
  <c r="AC103" i="1"/>
  <c r="AD103" i="1" s="1"/>
  <c r="AC104" i="1"/>
  <c r="AD104" i="1" s="1"/>
  <c r="AC105" i="1"/>
  <c r="AD105" i="1" s="1"/>
  <c r="AC106" i="1"/>
  <c r="AD106" i="1" s="1"/>
  <c r="AC107" i="1"/>
  <c r="AD107" i="1" s="1"/>
  <c r="AC108" i="1"/>
  <c r="AD108" i="1" s="1"/>
  <c r="AC109" i="1"/>
  <c r="AD109" i="1" s="1"/>
  <c r="AC110" i="1"/>
  <c r="AD110" i="1" s="1"/>
  <c r="AC111" i="1"/>
  <c r="AD111" i="1" s="1"/>
  <c r="AC112" i="1"/>
  <c r="AD112" i="1" s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B9" i="7" l="1"/>
  <c r="W9" i="7"/>
  <c r="U17" i="1"/>
  <c r="V10" i="7" l="1"/>
  <c r="N10" i="7"/>
  <c r="S10" i="7"/>
  <c r="V16" i="1"/>
  <c r="U16" i="1"/>
  <c r="V19" i="1"/>
  <c r="U19" i="1"/>
  <c r="V18" i="1"/>
  <c r="U18" i="1"/>
  <c r="Z9" i="7" l="1"/>
  <c r="AF10" i="7"/>
  <c r="AG10" i="7" s="1"/>
  <c r="AH10" i="7" s="1"/>
  <c r="T10" i="7" s="1"/>
  <c r="Q11" i="7" s="1"/>
  <c r="C23" i="6"/>
  <c r="W10" i="7" l="1"/>
  <c r="AB10" i="7"/>
  <c r="D13" i="5"/>
  <c r="C11" i="5"/>
  <c r="K11" i="4"/>
  <c r="Z10" i="7" l="1"/>
  <c r="V11" i="7"/>
  <c r="N11" i="7"/>
  <c r="S11" i="7"/>
  <c r="L14" i="1"/>
  <c r="K12" i="4" s="1"/>
  <c r="K16" i="4" s="1"/>
  <c r="L7" i="1"/>
  <c r="K13" i="4" s="1"/>
  <c r="K14" i="4" s="1"/>
  <c r="L8" i="1"/>
  <c r="L9" i="1"/>
  <c r="L10" i="1"/>
  <c r="L11" i="1"/>
  <c r="L12" i="1"/>
  <c r="L13" i="1"/>
  <c r="AF11" i="7" l="1"/>
  <c r="AG11" i="7" s="1"/>
  <c r="AH11" i="7" s="1"/>
  <c r="T11" i="7" s="1"/>
  <c r="Q12" i="7" s="1"/>
  <c r="K15" i="4"/>
  <c r="K17" i="4" s="1"/>
  <c r="M8" i="1"/>
  <c r="M13" i="1"/>
  <c r="M11" i="1"/>
  <c r="M9" i="1"/>
  <c r="M12" i="1"/>
  <c r="M10" i="1"/>
  <c r="W11" i="7" l="1"/>
  <c r="AB11" i="7"/>
  <c r="B18" i="5"/>
  <c r="G12" i="5" s="1"/>
  <c r="C21" i="6"/>
  <c r="Z11" i="7" l="1"/>
  <c r="V12" i="7"/>
  <c r="N12" i="7"/>
  <c r="S12" i="7"/>
  <c r="AF12" i="7" s="1"/>
  <c r="D14" i="6"/>
  <c r="D19" i="6" s="1"/>
  <c r="C14" i="6"/>
  <c r="C19" i="6" s="1"/>
  <c r="H12" i="5"/>
  <c r="G8" i="5"/>
  <c r="H8" i="5"/>
  <c r="B20" i="5"/>
  <c r="B19" i="5"/>
  <c r="AG12" i="7" l="1"/>
  <c r="AH12" i="7" s="1"/>
  <c r="T12" i="7" s="1"/>
  <c r="Q13" i="7" s="1"/>
  <c r="G13" i="5"/>
  <c r="G15" i="5" s="1"/>
  <c r="G14" i="5"/>
  <c r="H13" i="5"/>
  <c r="H14" i="5"/>
  <c r="H15" i="5" l="1"/>
  <c r="AB12" i="7"/>
  <c r="W12" i="7"/>
  <c r="S13" i="7"/>
  <c r="V13" i="7"/>
  <c r="N13" i="7"/>
  <c r="H9" i="5"/>
  <c r="H11" i="5" s="1"/>
  <c r="G9" i="5"/>
  <c r="G11" i="5" s="1"/>
  <c r="AF13" i="7" l="1"/>
  <c r="AG13" i="7" s="1"/>
  <c r="AH13" i="7" s="1"/>
  <c r="T13" i="7" s="1"/>
  <c r="Q14" i="7" s="1"/>
  <c r="Z12" i="7"/>
  <c r="C18" i="6"/>
  <c r="D17" i="6"/>
  <c r="D18" i="6" s="1"/>
  <c r="G10" i="5"/>
  <c r="H10" i="5"/>
  <c r="W13" i="7" l="1"/>
  <c r="AB13" i="7"/>
  <c r="Z13" i="7" l="1"/>
  <c r="V14" i="7"/>
  <c r="N14" i="7"/>
  <c r="S14" i="7"/>
  <c r="AF14" i="7" s="1"/>
  <c r="AG14" i="7" l="1"/>
  <c r="AH14" i="7" s="1"/>
  <c r="T14" i="7" s="1"/>
  <c r="Q15" i="7" s="1"/>
  <c r="W14" i="7" l="1"/>
  <c r="AB14" i="7"/>
  <c r="Z14" i="7" s="1"/>
  <c r="S15" i="7"/>
  <c r="V15" i="7"/>
  <c r="N15" i="7"/>
  <c r="AF15" i="7" l="1"/>
  <c r="AG15" i="7" s="1"/>
  <c r="AH15" i="7" s="1"/>
  <c r="T15" i="7" s="1"/>
  <c r="Q16" i="7" s="1"/>
  <c r="V16" i="7" l="1"/>
  <c r="W15" i="7"/>
  <c r="AB15" i="7"/>
  <c r="Z15" i="7" s="1"/>
  <c r="S16" i="7"/>
  <c r="AF16" i="7" s="1"/>
  <c r="N16" i="7" l="1"/>
  <c r="AG16" i="7"/>
  <c r="AH16" i="7" s="1"/>
  <c r="T16" i="7" s="1"/>
  <c r="Q17" i="7" s="1"/>
  <c r="W16" i="7" l="1"/>
  <c r="AB16" i="7"/>
  <c r="Z16" i="7" s="1"/>
  <c r="S17" i="7"/>
  <c r="V17" i="7"/>
  <c r="N17" i="7"/>
  <c r="AF17" i="7" l="1"/>
  <c r="AG17" i="7" s="1"/>
  <c r="AH17" i="7" s="1"/>
  <c r="T17" i="7" s="1"/>
  <c r="Q18" i="7" s="1"/>
  <c r="AB17" i="7" l="1"/>
  <c r="W17" i="7"/>
  <c r="Z17" i="7" l="1"/>
  <c r="V18" i="7"/>
  <c r="N18" i="7"/>
  <c r="S18" i="7"/>
  <c r="AF18" i="7" l="1"/>
  <c r="AG18" i="7" s="1"/>
  <c r="AH18" i="7" s="1"/>
  <c r="T18" i="7" s="1"/>
  <c r="Q19" i="7" s="1"/>
  <c r="W18" i="7" l="1"/>
  <c r="AB18" i="7"/>
  <c r="Z18" i="7" s="1"/>
  <c r="V19" i="7"/>
  <c r="N19" i="7"/>
  <c r="S19" i="7"/>
  <c r="AF19" i="7" l="1"/>
  <c r="AG19" i="7" s="1"/>
  <c r="AH19" i="7" s="1"/>
  <c r="T19" i="7" s="1"/>
  <c r="Q20" i="7" s="1"/>
  <c r="W19" i="7" l="1"/>
  <c r="AB19" i="7"/>
  <c r="V20" i="7"/>
  <c r="N20" i="7"/>
  <c r="S20" i="7"/>
  <c r="AF20" i="7" s="1"/>
  <c r="Z19" i="7" l="1"/>
  <c r="AG20" i="7"/>
  <c r="AH20" i="7" s="1"/>
  <c r="T20" i="7" s="1"/>
  <c r="Q21" i="7" s="1"/>
  <c r="AB20" i="7" l="1"/>
  <c r="W20" i="7"/>
  <c r="S21" i="7"/>
  <c r="V21" i="7"/>
  <c r="N21" i="7"/>
  <c r="AF21" i="7" l="1"/>
  <c r="AG21" i="7" s="1"/>
  <c r="AH21" i="7" s="1"/>
  <c r="T21" i="7" s="1"/>
  <c r="Q22" i="7" s="1"/>
  <c r="Z20" i="7"/>
  <c r="W21" i="7" l="1"/>
  <c r="AB21" i="7"/>
  <c r="Z21" i="7" l="1"/>
  <c r="V22" i="7"/>
  <c r="N22" i="7"/>
  <c r="S22" i="7"/>
  <c r="AF22" i="7" l="1"/>
  <c r="AG22" i="7" s="1"/>
  <c r="AH22" i="7" s="1"/>
  <c r="T22" i="7" s="1"/>
  <c r="Q23" i="7" s="1"/>
  <c r="AB22" i="7" l="1"/>
  <c r="Z22" i="7" s="1"/>
  <c r="W22" i="7"/>
  <c r="V23" i="7"/>
  <c r="N23" i="7"/>
  <c r="S23" i="7"/>
  <c r="AF23" i="7" s="1"/>
  <c r="AG23" i="7" l="1"/>
  <c r="AH23" i="7" s="1"/>
  <c r="T23" i="7" s="1"/>
  <c r="Q24" i="7" s="1"/>
  <c r="W23" i="7" l="1"/>
  <c r="AB23" i="7"/>
  <c r="S24" i="7"/>
  <c r="V24" i="7"/>
  <c r="N24" i="7"/>
  <c r="AF24" i="7" l="1"/>
  <c r="AG24" i="7" s="1"/>
  <c r="AH24" i="7" s="1"/>
  <c r="T24" i="7" s="1"/>
  <c r="Q25" i="7" s="1"/>
  <c r="Z23" i="7"/>
  <c r="AB24" i="7" l="1"/>
  <c r="W24" i="7"/>
  <c r="Z24" i="7" l="1"/>
  <c r="V25" i="7"/>
  <c r="N25" i="7"/>
  <c r="S25" i="7"/>
  <c r="AF25" i="7" s="1"/>
  <c r="AG25" i="7" l="1"/>
  <c r="AH25" i="7" s="1"/>
  <c r="T25" i="7" s="1"/>
  <c r="Q26" i="7" s="1"/>
  <c r="AB25" i="7" l="1"/>
  <c r="W25" i="7"/>
  <c r="S26" i="7"/>
  <c r="V26" i="7"/>
  <c r="N26" i="7"/>
  <c r="AF26" i="7" l="1"/>
  <c r="AG26" i="7" s="1"/>
  <c r="AH26" i="7" s="1"/>
  <c r="T26" i="7" s="1"/>
  <c r="Q27" i="7" s="1"/>
  <c r="Z25" i="7"/>
  <c r="W26" i="7" l="1"/>
  <c r="AB26" i="7"/>
  <c r="Z26" i="7" l="1"/>
  <c r="V27" i="7"/>
  <c r="N27" i="7"/>
  <c r="S27" i="7"/>
  <c r="AF27" i="7" l="1"/>
  <c r="AG27" i="7" s="1"/>
  <c r="AH27" i="7" s="1"/>
  <c r="T27" i="7" s="1"/>
  <c r="Q28" i="7" s="1"/>
  <c r="W27" i="7" l="1"/>
  <c r="AB27" i="7"/>
  <c r="V28" i="7"/>
  <c r="N28" i="7"/>
  <c r="S28" i="7"/>
  <c r="AF28" i="7" s="1"/>
  <c r="Z27" i="7" l="1"/>
  <c r="AG28" i="7"/>
  <c r="AH28" i="7" s="1"/>
  <c r="T28" i="7" s="1"/>
  <c r="Q29" i="7" s="1"/>
  <c r="AB28" i="7" l="1"/>
  <c r="Z28" i="7" s="1"/>
  <c r="W28" i="7"/>
  <c r="S29" i="7"/>
  <c r="V29" i="7"/>
  <c r="N29" i="7"/>
  <c r="AF29" i="7" l="1"/>
  <c r="AG29" i="7" s="1"/>
  <c r="AH29" i="7" s="1"/>
  <c r="T29" i="7" s="1"/>
  <c r="Q30" i="7" s="1"/>
  <c r="AB29" i="7" l="1"/>
  <c r="W29" i="7"/>
  <c r="V30" i="7"/>
  <c r="N30" i="7"/>
  <c r="S30" i="7"/>
  <c r="Z29" i="7" l="1"/>
  <c r="AF30" i="7"/>
  <c r="AG30" i="7" s="1"/>
  <c r="AH30" i="7" s="1"/>
  <c r="T30" i="7" s="1"/>
  <c r="Q31" i="7" s="1"/>
  <c r="V31" i="7" l="1"/>
  <c r="AB30" i="7"/>
  <c r="Z30" i="7" s="1"/>
  <c r="W30" i="7"/>
  <c r="N31" i="7" l="1"/>
  <c r="S31" i="7"/>
  <c r="AF31" i="7" s="1"/>
  <c r="AG31" i="7" s="1"/>
  <c r="AH31" i="7" s="1"/>
  <c r="T31" i="7" s="1"/>
  <c r="Q32" i="7" s="1"/>
  <c r="AB31" i="7" l="1"/>
  <c r="Z31" i="7" s="1"/>
  <c r="W31" i="7"/>
  <c r="V32" i="7"/>
  <c r="N32" i="7"/>
  <c r="S32" i="7"/>
  <c r="AF32" i="7" l="1"/>
  <c r="AG32" i="7" s="1"/>
  <c r="AH32" i="7" s="1"/>
  <c r="T32" i="7" s="1"/>
  <c r="Q33" i="7" s="1"/>
  <c r="W32" i="7" l="1"/>
  <c r="AB32" i="7"/>
  <c r="Z32" i="7" s="1"/>
  <c r="V33" i="7"/>
  <c r="N33" i="7"/>
  <c r="S33" i="7"/>
  <c r="AF33" i="7" s="1"/>
  <c r="AG33" i="7" l="1"/>
  <c r="AH33" i="7" s="1"/>
  <c r="T33" i="7" s="1"/>
  <c r="Q34" i="7" s="1"/>
  <c r="AB33" i="7" l="1"/>
  <c r="Z33" i="7" s="1"/>
  <c r="W33" i="7"/>
  <c r="S34" i="7"/>
  <c r="V34" i="7"/>
  <c r="N34" i="7"/>
  <c r="AF34" i="7" l="1"/>
  <c r="AG34" i="7" s="1"/>
  <c r="AH34" i="7" s="1"/>
  <c r="T34" i="7" s="1"/>
  <c r="Q35" i="7" s="1"/>
  <c r="W34" i="7" l="1"/>
  <c r="AB34" i="7"/>
  <c r="Z34" i="7" s="1"/>
  <c r="V35" i="7"/>
  <c r="N35" i="7"/>
  <c r="S35" i="7"/>
  <c r="AF35" i="7" s="1"/>
  <c r="AG35" i="7" l="1"/>
  <c r="AH35" i="7" s="1"/>
  <c r="T35" i="7" s="1"/>
  <c r="Q36" i="7" s="1"/>
  <c r="AB35" i="7" l="1"/>
  <c r="W35" i="7"/>
  <c r="Z35" i="7"/>
  <c r="S36" i="7"/>
  <c r="V36" i="7"/>
  <c r="N36" i="7"/>
  <c r="AF36" i="7" l="1"/>
  <c r="AG36" i="7" s="1"/>
  <c r="AH36" i="7" s="1"/>
  <c r="T36" i="7" s="1"/>
  <c r="Q37" i="7" s="1"/>
  <c r="W36" i="7" l="1"/>
  <c r="AB36" i="7"/>
  <c r="V37" i="7"/>
  <c r="N37" i="7"/>
  <c r="S37" i="7"/>
  <c r="AF37" i="7" s="1"/>
  <c r="Z36" i="7"/>
  <c r="AG37" i="7" l="1"/>
  <c r="AH37" i="7" s="1"/>
  <c r="T37" i="7" s="1"/>
  <c r="Q38" i="7" s="1"/>
  <c r="W37" i="7" l="1"/>
  <c r="AB37" i="7"/>
  <c r="S38" i="7"/>
  <c r="V38" i="7"/>
  <c r="N38" i="7"/>
  <c r="AF38" i="7" l="1"/>
  <c r="AG38" i="7" s="1"/>
  <c r="AH38" i="7" s="1"/>
  <c r="T38" i="7" s="1"/>
  <c r="Q39" i="7" s="1"/>
  <c r="Z37" i="7"/>
  <c r="AB38" i="7" l="1"/>
  <c r="W38" i="7"/>
  <c r="Z38" i="7" l="1"/>
  <c r="V39" i="7"/>
  <c r="N39" i="7"/>
  <c r="S39" i="7"/>
  <c r="AF39" i="7" s="1"/>
  <c r="AG39" i="7" l="1"/>
  <c r="AH39" i="7" s="1"/>
  <c r="T39" i="7" s="1"/>
  <c r="Q40" i="7" s="1"/>
  <c r="W39" i="7" l="1"/>
  <c r="AB39" i="7"/>
  <c r="Z39" i="7" s="1"/>
  <c r="S40" i="7"/>
  <c r="V40" i="7"/>
  <c r="N40" i="7"/>
  <c r="AF40" i="7" l="1"/>
  <c r="AG40" i="7" s="1"/>
  <c r="AH40" i="7" s="1"/>
  <c r="T40" i="7" s="1"/>
  <c r="Q41" i="7" s="1"/>
  <c r="W40" i="7" l="1"/>
  <c r="AB40" i="7"/>
  <c r="Z40" i="7" l="1"/>
  <c r="V41" i="7"/>
  <c r="N41" i="7"/>
  <c r="S41" i="7"/>
  <c r="AF41" i="7" s="1"/>
  <c r="AG41" i="7" l="1"/>
  <c r="AH41" i="7" s="1"/>
  <c r="T41" i="7" s="1"/>
  <c r="Q42" i="7" s="1"/>
  <c r="W41" i="7" l="1"/>
  <c r="AB41" i="7"/>
  <c r="Z41" i="7" s="1"/>
  <c r="S42" i="7"/>
  <c r="V42" i="7"/>
  <c r="N42" i="7"/>
  <c r="AF42" i="7" l="1"/>
  <c r="AG42" i="7" s="1"/>
  <c r="AH42" i="7" s="1"/>
  <c r="T42" i="7" s="1"/>
  <c r="Q43" i="7" s="1"/>
  <c r="W42" i="7" l="1"/>
  <c r="AB42" i="7"/>
  <c r="Z42" i="7" l="1"/>
  <c r="V43" i="7"/>
  <c r="N43" i="7"/>
  <c r="S43" i="7"/>
  <c r="AF43" i="7" s="1"/>
  <c r="AG43" i="7" l="1"/>
  <c r="AH43" i="7" s="1"/>
  <c r="T43" i="7" s="1"/>
  <c r="Q44" i="7" s="1"/>
  <c r="AB43" i="7" l="1"/>
  <c r="Z43" i="7" s="1"/>
  <c r="W43" i="7"/>
  <c r="S44" i="7"/>
  <c r="V44" i="7"/>
  <c r="N44" i="7"/>
  <c r="AF44" i="7" l="1"/>
  <c r="AG44" i="7" s="1"/>
  <c r="AH44" i="7" s="1"/>
  <c r="T44" i="7" s="1"/>
  <c r="Q45" i="7" s="1"/>
  <c r="W44" i="7" l="1"/>
  <c r="AB44" i="7"/>
  <c r="Z44" i="7" l="1"/>
  <c r="V45" i="7"/>
  <c r="N45" i="7"/>
  <c r="S45" i="7"/>
  <c r="AF45" i="7" s="1"/>
  <c r="AG45" i="7" l="1"/>
  <c r="AH45" i="7" s="1"/>
  <c r="T45" i="7" s="1"/>
  <c r="Q46" i="7" s="1"/>
  <c r="W45" i="7" l="1"/>
  <c r="AB45" i="7"/>
  <c r="S46" i="7"/>
  <c r="V46" i="7"/>
  <c r="N46" i="7"/>
  <c r="AF46" i="7" l="1"/>
  <c r="AG46" i="7" s="1"/>
  <c r="AH46" i="7" s="1"/>
  <c r="T46" i="7" s="1"/>
  <c r="Q47" i="7" s="1"/>
  <c r="Z45" i="7"/>
  <c r="W46" i="7" l="1"/>
  <c r="AB46" i="7"/>
  <c r="Z46" i="7" l="1"/>
  <c r="V47" i="7"/>
  <c r="N47" i="7"/>
  <c r="S47" i="7"/>
  <c r="AF47" i="7" l="1"/>
  <c r="AG47" i="7" s="1"/>
  <c r="AH47" i="7" s="1"/>
  <c r="T47" i="7" s="1"/>
  <c r="Q48" i="7" s="1"/>
  <c r="W47" i="7" l="1"/>
  <c r="AB47" i="7"/>
  <c r="Z47" i="7" s="1"/>
  <c r="V48" i="7"/>
  <c r="N48" i="7"/>
  <c r="S48" i="7"/>
  <c r="AF48" i="7" l="1"/>
  <c r="AG48" i="7" s="1"/>
  <c r="AH48" i="7" s="1"/>
  <c r="T48" i="7" s="1"/>
  <c r="Q49" i="7" s="1"/>
  <c r="W48" i="7" l="1"/>
  <c r="AB48" i="7"/>
  <c r="Z48" i="7" s="1"/>
  <c r="V49" i="7"/>
  <c r="N49" i="7"/>
  <c r="S49" i="7"/>
  <c r="AF49" i="7" l="1"/>
  <c r="AG49" i="7" s="1"/>
  <c r="AH49" i="7" s="1"/>
  <c r="T49" i="7" s="1"/>
  <c r="Q50" i="7" s="1"/>
  <c r="AB49" i="7" l="1"/>
  <c r="Z49" i="7" s="1"/>
  <c r="W49" i="7"/>
  <c r="V50" i="7"/>
  <c r="N50" i="7"/>
  <c r="S50" i="7"/>
  <c r="AF50" i="7" s="1"/>
  <c r="AG50" i="7" l="1"/>
  <c r="AH50" i="7" s="1"/>
  <c r="T50" i="7" s="1"/>
  <c r="Q51" i="7" s="1"/>
  <c r="AB50" i="7" l="1"/>
  <c r="W50" i="7"/>
  <c r="S51" i="7"/>
  <c r="V51" i="7"/>
  <c r="N51" i="7"/>
  <c r="AF51" i="7" l="1"/>
  <c r="AG51" i="7" s="1"/>
  <c r="AH51" i="7" s="1"/>
  <c r="T51" i="7" s="1"/>
  <c r="Q52" i="7" s="1"/>
  <c r="Z50" i="7"/>
  <c r="W51" i="7" l="1"/>
  <c r="AB51" i="7"/>
  <c r="Z51" i="7" l="1"/>
  <c r="V52" i="7"/>
  <c r="N52" i="7"/>
  <c r="S52" i="7"/>
  <c r="AF52" i="7" s="1"/>
  <c r="AG52" i="7" l="1"/>
  <c r="AH52" i="7" s="1"/>
  <c r="T52" i="7" s="1"/>
  <c r="Q53" i="7" s="1"/>
  <c r="W52" i="7" l="1"/>
  <c r="AB52" i="7"/>
  <c r="Z52" i="7" s="1"/>
  <c r="S53" i="7"/>
  <c r="V53" i="7"/>
  <c r="N53" i="7"/>
  <c r="AF53" i="7" l="1"/>
  <c r="AG53" i="7" s="1"/>
  <c r="AH53" i="7" s="1"/>
  <c r="T53" i="7" s="1"/>
  <c r="Q54" i="7" s="1"/>
  <c r="AB53" i="7" l="1"/>
  <c r="W53" i="7"/>
  <c r="Z53" i="7" l="1"/>
  <c r="V54" i="7"/>
  <c r="N54" i="7"/>
  <c r="S54" i="7"/>
  <c r="AF54" i="7" s="1"/>
  <c r="AG54" i="7" l="1"/>
  <c r="AH54" i="7" s="1"/>
  <c r="T54" i="7" s="1"/>
  <c r="Q55" i="7" s="1"/>
  <c r="AB54" i="7" l="1"/>
  <c r="Z54" i="7" s="1"/>
  <c r="W54" i="7"/>
  <c r="S55" i="7"/>
  <c r="V55" i="7"/>
  <c r="N55" i="7"/>
  <c r="AF55" i="7" l="1"/>
  <c r="AG55" i="7" s="1"/>
  <c r="AH55" i="7" s="1"/>
  <c r="T55" i="7" s="1"/>
  <c r="Q56" i="7" s="1"/>
  <c r="W55" i="7" l="1"/>
  <c r="AB55" i="7"/>
  <c r="Z55" i="7" l="1"/>
  <c r="V56" i="7"/>
  <c r="N56" i="7"/>
  <c r="S56" i="7"/>
  <c r="AF56" i="7" s="1"/>
  <c r="AG56" i="7" l="1"/>
  <c r="AH56" i="7" s="1"/>
  <c r="T56" i="7" s="1"/>
  <c r="Q57" i="7" s="1"/>
  <c r="W56" i="7" l="1"/>
  <c r="AB56" i="7"/>
  <c r="Z56" i="7" s="1"/>
  <c r="S57" i="7"/>
  <c r="V57" i="7"/>
  <c r="N57" i="7"/>
  <c r="AF57" i="7" l="1"/>
  <c r="AG57" i="7" s="1"/>
  <c r="AH57" i="7" s="1"/>
  <c r="T57" i="7" s="1"/>
  <c r="Q58" i="7" s="1"/>
  <c r="AB57" i="7" l="1"/>
  <c r="W57" i="7"/>
  <c r="Z57" i="7" l="1"/>
  <c r="V58" i="7"/>
  <c r="N58" i="7"/>
  <c r="S58" i="7"/>
  <c r="AF58" i="7" l="1"/>
  <c r="AG58" i="7" s="1"/>
  <c r="AH58" i="7" s="1"/>
  <c r="T58" i="7" s="1"/>
  <c r="Q59" i="7" s="1"/>
  <c r="W58" i="7" l="1"/>
  <c r="AB58" i="7"/>
  <c r="Z58" i="7" s="1"/>
  <c r="V59" i="7"/>
  <c r="N59" i="7"/>
  <c r="S59" i="7"/>
  <c r="AF59" i="7" s="1"/>
  <c r="AG59" i="7" l="1"/>
  <c r="AH59" i="7" s="1"/>
  <c r="T59" i="7" s="1"/>
  <c r="Q60" i="7" s="1"/>
  <c r="AB59" i="7" l="1"/>
  <c r="Z59" i="7" s="1"/>
  <c r="W59" i="7"/>
  <c r="S60" i="7"/>
  <c r="V60" i="7"/>
  <c r="N60" i="7"/>
  <c r="AF60" i="7" l="1"/>
  <c r="AG60" i="7" s="1"/>
  <c r="AH60" i="7" s="1"/>
  <c r="T60" i="7" s="1"/>
  <c r="Q61" i="7" s="1"/>
  <c r="AB60" i="7" l="1"/>
  <c r="W60" i="7"/>
  <c r="Z60" i="7" l="1"/>
  <c r="V61" i="7"/>
  <c r="N61" i="7"/>
  <c r="S61" i="7"/>
  <c r="AF61" i="7" l="1"/>
  <c r="AG61" i="7" s="1"/>
  <c r="AH61" i="7" s="1"/>
  <c r="T61" i="7" s="1"/>
  <c r="Q62" i="7" s="1"/>
  <c r="N62" i="7" l="1"/>
  <c r="AB61" i="7"/>
  <c r="W61" i="7"/>
  <c r="Z61" i="7"/>
  <c r="V62" i="7" l="1"/>
  <c r="S62" i="7"/>
  <c r="AF62" i="7" s="1"/>
  <c r="AG62" i="7" s="1"/>
  <c r="AH62" i="7" s="1"/>
  <c r="T62" i="7" s="1"/>
  <c r="Q63" i="7" s="1"/>
  <c r="W62" i="7" l="1"/>
  <c r="AB62" i="7"/>
  <c r="Z62" i="7" s="1"/>
  <c r="V63" i="7"/>
  <c r="N63" i="7"/>
  <c r="S63" i="7"/>
  <c r="AF63" i="7" l="1"/>
  <c r="AG63" i="7" s="1"/>
  <c r="AH63" i="7" s="1"/>
  <c r="T63" i="7" s="1"/>
  <c r="Q64" i="7" s="1"/>
  <c r="N64" i="7" l="1"/>
  <c r="W63" i="7"/>
  <c r="AB63" i="7"/>
  <c r="Z63" i="7" s="1"/>
  <c r="V64" i="7" l="1"/>
  <c r="S64" i="7"/>
  <c r="AF64" i="7" s="1"/>
  <c r="AG64" i="7" s="1"/>
  <c r="AH64" i="7" s="1"/>
  <c r="T64" i="7" s="1"/>
  <c r="Q65" i="7" s="1"/>
  <c r="W64" i="7" l="1"/>
  <c r="AB64" i="7"/>
  <c r="Z64" i="7" s="1"/>
  <c r="S65" i="7"/>
  <c r="V65" i="7"/>
  <c r="N65" i="7"/>
  <c r="AF65" i="7" l="1"/>
  <c r="AG65" i="7" s="1"/>
  <c r="AH65" i="7" s="1"/>
  <c r="T65" i="7" s="1"/>
  <c r="Q66" i="7" s="1"/>
  <c r="AB65" i="7" l="1"/>
  <c r="W65" i="7"/>
  <c r="Z65" i="7" l="1"/>
  <c r="V66" i="7"/>
  <c r="N66" i="7"/>
  <c r="S66" i="7"/>
  <c r="AF66" i="7" s="1"/>
  <c r="AG66" i="7" l="1"/>
  <c r="AH66" i="7" s="1"/>
  <c r="T66" i="7" s="1"/>
  <c r="Q67" i="7" s="1"/>
  <c r="AB66" i="7" l="1"/>
  <c r="Z66" i="7" s="1"/>
  <c r="W66" i="7"/>
  <c r="S67" i="7"/>
  <c r="V67" i="7"/>
  <c r="N67" i="7"/>
  <c r="AF67" i="7" l="1"/>
  <c r="AG67" i="7" s="1"/>
  <c r="AH67" i="7" s="1"/>
  <c r="T67" i="7" s="1"/>
  <c r="Q68" i="7" s="1"/>
  <c r="V68" i="7" l="1"/>
  <c r="W67" i="7"/>
  <c r="AB67" i="7"/>
  <c r="Z67" i="7" l="1"/>
  <c r="S68" i="7"/>
  <c r="AF68" i="7" s="1"/>
  <c r="AG68" i="7" s="1"/>
  <c r="AH68" i="7" s="1"/>
  <c r="T68" i="7" s="1"/>
  <c r="Q69" i="7" s="1"/>
  <c r="N68" i="7"/>
  <c r="AB68" i="7" l="1"/>
  <c r="Z68" i="7" s="1"/>
  <c r="W68" i="7"/>
  <c r="V69" i="7"/>
  <c r="N69" i="7"/>
  <c r="S69" i="7"/>
  <c r="AF69" i="7" l="1"/>
  <c r="AG69" i="7" s="1"/>
  <c r="AH69" i="7" s="1"/>
  <c r="T69" i="7" s="1"/>
  <c r="Q70" i="7" s="1"/>
  <c r="W69" i="7" l="1"/>
  <c r="AB69" i="7"/>
  <c r="V70" i="7"/>
  <c r="N70" i="7"/>
  <c r="S70" i="7"/>
  <c r="Z69" i="7" l="1"/>
  <c r="AF70" i="7"/>
  <c r="AG70" i="7" s="1"/>
  <c r="AH70" i="7" s="1"/>
  <c r="T70" i="7" s="1"/>
  <c r="Q71" i="7" s="1"/>
  <c r="W70" i="7" l="1"/>
  <c r="AB70" i="7"/>
  <c r="V71" i="7"/>
  <c r="N71" i="7"/>
  <c r="S71" i="7"/>
  <c r="Z70" i="7" l="1"/>
  <c r="AF71" i="7"/>
  <c r="AG71" i="7" s="1"/>
  <c r="AH71" i="7" s="1"/>
  <c r="T71" i="7" s="1"/>
  <c r="Q72" i="7" s="1"/>
  <c r="W71" i="7" l="1"/>
  <c r="AB71" i="7"/>
  <c r="Z71" i="7" s="1"/>
  <c r="V72" i="7"/>
  <c r="N72" i="7"/>
  <c r="S72" i="7"/>
  <c r="AF72" i="7" l="1"/>
  <c r="AG72" i="7" s="1"/>
  <c r="AH72" i="7" s="1"/>
  <c r="T72" i="7" s="1"/>
  <c r="Q73" i="7" s="1"/>
  <c r="N73" i="7" l="1"/>
  <c r="AB72" i="7"/>
  <c r="W72" i="7"/>
  <c r="Z72" i="7"/>
  <c r="V73" i="7" l="1"/>
  <c r="S73" i="7"/>
  <c r="AF73" i="7" s="1"/>
  <c r="AG73" i="7" s="1"/>
  <c r="AH73" i="7" s="1"/>
  <c r="T73" i="7" s="1"/>
  <c r="Q74" i="7" s="1"/>
  <c r="AB73" i="7" l="1"/>
  <c r="Z73" i="7" s="1"/>
  <c r="W73" i="7"/>
  <c r="V74" i="7"/>
  <c r="N74" i="7"/>
  <c r="S74" i="7"/>
  <c r="AF74" i="7" s="1"/>
  <c r="AG74" i="7" l="1"/>
  <c r="AH74" i="7" s="1"/>
  <c r="T74" i="7" s="1"/>
  <c r="Q75" i="7" s="1"/>
  <c r="AB74" i="7" l="1"/>
  <c r="W74" i="7"/>
  <c r="Z74" i="7"/>
  <c r="S75" i="7"/>
  <c r="V75" i="7"/>
  <c r="N75" i="7"/>
  <c r="AF75" i="7" l="1"/>
  <c r="AG75" i="7" s="1"/>
  <c r="AH75" i="7" s="1"/>
  <c r="T75" i="7" s="1"/>
  <c r="Q76" i="7" s="1"/>
  <c r="W75" i="7" l="1"/>
  <c r="AB75" i="7"/>
  <c r="V76" i="7"/>
  <c r="N76" i="7"/>
  <c r="S76" i="7"/>
  <c r="AF76" i="7" s="1"/>
  <c r="Z75" i="7" l="1"/>
  <c r="AG76" i="7"/>
  <c r="AH76" i="7" s="1"/>
  <c r="T76" i="7" s="1"/>
  <c r="Q77" i="7" s="1"/>
  <c r="W76" i="7" l="1"/>
  <c r="AB76" i="7"/>
  <c r="Z76" i="7" s="1"/>
  <c r="S77" i="7"/>
  <c r="V77" i="7"/>
  <c r="N77" i="7"/>
  <c r="AF77" i="7" l="1"/>
  <c r="AG77" i="7" s="1"/>
  <c r="AH77" i="7" s="1"/>
  <c r="T77" i="7" s="1"/>
  <c r="Q78" i="7" s="1"/>
  <c r="W77" i="7" l="1"/>
  <c r="AB77" i="7"/>
  <c r="Z77" i="7" l="1"/>
  <c r="V78" i="7"/>
  <c r="N78" i="7"/>
  <c r="S78" i="7"/>
  <c r="AF78" i="7" l="1"/>
  <c r="AG78" i="7" s="1"/>
  <c r="AH78" i="7" s="1"/>
  <c r="T78" i="7" s="1"/>
  <c r="Q79" i="7" s="1"/>
  <c r="W78" i="7" l="1"/>
  <c r="AB78" i="7"/>
  <c r="V79" i="7"/>
  <c r="N79" i="7"/>
  <c r="S79" i="7"/>
  <c r="Z78" i="7" l="1"/>
  <c r="AF79" i="7"/>
  <c r="AG79" i="7" s="1"/>
  <c r="AH79" i="7" s="1"/>
  <c r="T79" i="7" s="1"/>
  <c r="Q80" i="7" s="1"/>
  <c r="W79" i="7" l="1"/>
  <c r="AB79" i="7"/>
  <c r="Z79" i="7" s="1"/>
  <c r="V80" i="7"/>
  <c r="N80" i="7"/>
  <c r="S80" i="7"/>
  <c r="AF80" i="7" l="1"/>
  <c r="AG80" i="7" s="1"/>
  <c r="AH80" i="7" s="1"/>
  <c r="T80" i="7" s="1"/>
  <c r="Q81" i="7" s="1"/>
  <c r="AB80" i="7" l="1"/>
  <c r="Z80" i="7" s="1"/>
  <c r="W80" i="7"/>
  <c r="V81" i="7"/>
  <c r="N81" i="7"/>
  <c r="S81" i="7"/>
  <c r="AF81" i="7" l="1"/>
  <c r="AG81" i="7" s="1"/>
  <c r="AH81" i="7" s="1"/>
  <c r="T81" i="7" s="1"/>
  <c r="Q82" i="7" s="1"/>
  <c r="AB81" i="7" l="1"/>
  <c r="Z81" i="7" s="1"/>
  <c r="W81" i="7"/>
  <c r="V82" i="7"/>
  <c r="N82" i="7"/>
  <c r="S82" i="7"/>
  <c r="AF82" i="7" s="1"/>
  <c r="AG82" i="7" l="1"/>
  <c r="AH82" i="7" s="1"/>
  <c r="T82" i="7" s="1"/>
  <c r="Q83" i="7" s="1"/>
  <c r="AB82" i="7" l="1"/>
  <c r="W82" i="7"/>
  <c r="S83" i="7"/>
  <c r="V83" i="7"/>
  <c r="N83" i="7"/>
  <c r="Z82" i="7" l="1"/>
  <c r="AF83" i="7"/>
  <c r="AG83" i="7" s="1"/>
  <c r="AH83" i="7" s="1"/>
  <c r="T83" i="7" s="1"/>
  <c r="Q84" i="7" s="1"/>
  <c r="W83" i="7" l="1"/>
  <c r="AB83" i="7"/>
  <c r="V84" i="7"/>
  <c r="N84" i="7"/>
  <c r="S84" i="7"/>
  <c r="AF84" i="7" s="1"/>
  <c r="Z83" i="7" l="1"/>
  <c r="AG84" i="7"/>
  <c r="AH84" i="7" s="1"/>
  <c r="T84" i="7" s="1"/>
  <c r="Q85" i="7" s="1"/>
  <c r="W84" i="7" l="1"/>
  <c r="AB84" i="7"/>
  <c r="Z84" i="7" s="1"/>
  <c r="S85" i="7"/>
  <c r="V85" i="7"/>
  <c r="N85" i="7"/>
  <c r="AF85" i="7" l="1"/>
  <c r="AG85" i="7" s="1"/>
  <c r="AH85" i="7" s="1"/>
  <c r="T85" i="7" s="1"/>
  <c r="Q86" i="7" s="1"/>
  <c r="W85" i="7" l="1"/>
  <c r="AB85" i="7"/>
  <c r="Z85" i="7" l="1"/>
  <c r="V86" i="7"/>
  <c r="N86" i="7"/>
  <c r="S86" i="7"/>
  <c r="AF86" i="7" l="1"/>
  <c r="AG86" i="7" s="1"/>
  <c r="AH86" i="7" s="1"/>
  <c r="T86" i="7" s="1"/>
  <c r="Q87" i="7" s="1"/>
  <c r="W86" i="7" l="1"/>
  <c r="AB86" i="7"/>
  <c r="V87" i="7"/>
  <c r="N87" i="7"/>
  <c r="S87" i="7"/>
  <c r="Z86" i="7" l="1"/>
  <c r="AF87" i="7"/>
  <c r="AG87" i="7" s="1"/>
  <c r="AH87" i="7" s="1"/>
  <c r="T87" i="7" s="1"/>
  <c r="Q88" i="7" s="1"/>
  <c r="W87" i="7" l="1"/>
  <c r="AB87" i="7"/>
  <c r="Z87" i="7" s="1"/>
  <c r="V88" i="7"/>
  <c r="N88" i="7"/>
  <c r="S88" i="7"/>
  <c r="AF88" i="7" s="1"/>
  <c r="AG88" i="7" l="1"/>
  <c r="AH88" i="7" s="1"/>
  <c r="T88" i="7" s="1"/>
  <c r="Q89" i="7" s="1"/>
  <c r="W88" i="7" l="1"/>
  <c r="AB88" i="7"/>
  <c r="Z88" i="7" s="1"/>
  <c r="S89" i="7"/>
  <c r="V89" i="7"/>
  <c r="N89" i="7"/>
  <c r="AF89" i="7" l="1"/>
  <c r="AG89" i="7" s="1"/>
  <c r="AH89" i="7" s="1"/>
  <c r="T89" i="7" s="1"/>
  <c r="Q90" i="7" s="1"/>
  <c r="AB89" i="7" l="1"/>
  <c r="W89" i="7"/>
  <c r="Z89" i="7" l="1"/>
  <c r="V90" i="7"/>
  <c r="N90" i="7"/>
  <c r="S90" i="7"/>
  <c r="AF90" i="7" s="1"/>
  <c r="AG90" i="7" l="1"/>
  <c r="AH90" i="7" s="1"/>
  <c r="T90" i="7" s="1"/>
  <c r="Q91" i="7" s="1"/>
  <c r="AB90" i="7" l="1"/>
  <c r="Z90" i="7" s="1"/>
  <c r="W90" i="7"/>
  <c r="S91" i="7"/>
  <c r="V91" i="7"/>
  <c r="N91" i="7"/>
  <c r="AF91" i="7" l="1"/>
  <c r="AG91" i="7" s="1"/>
  <c r="AH91" i="7" s="1"/>
  <c r="T91" i="7" s="1"/>
  <c r="Q92" i="7" s="1"/>
  <c r="W91" i="7" l="1"/>
  <c r="AB91" i="7"/>
  <c r="V92" i="7"/>
  <c r="N92" i="7"/>
  <c r="S92" i="7"/>
  <c r="AF92" i="7" s="1"/>
  <c r="Z91" i="7" l="1"/>
  <c r="AG92" i="7"/>
  <c r="AH92" i="7" s="1"/>
  <c r="T92" i="7" s="1"/>
  <c r="Q93" i="7" s="1"/>
  <c r="AB92" i="7" l="1"/>
  <c r="W92" i="7"/>
  <c r="Z92" i="7"/>
  <c r="S93" i="7"/>
  <c r="V93" i="7"/>
  <c r="N93" i="7"/>
  <c r="AF93" i="7" l="1"/>
  <c r="AG93" i="7" s="1"/>
  <c r="AH93" i="7" s="1"/>
  <c r="T93" i="7" s="1"/>
  <c r="Q94" i="7" s="1"/>
  <c r="W93" i="7" l="1"/>
  <c r="AB93" i="7"/>
  <c r="V94" i="7"/>
  <c r="N94" i="7"/>
  <c r="S94" i="7"/>
  <c r="Z93" i="7" l="1"/>
  <c r="AF94" i="7"/>
  <c r="AG94" i="7" s="1"/>
  <c r="AH94" i="7" s="1"/>
  <c r="T94" i="7" s="1"/>
  <c r="Q95" i="7" s="1"/>
  <c r="W94" i="7" l="1"/>
  <c r="AB94" i="7"/>
  <c r="Z94" i="7" s="1"/>
  <c r="V95" i="7"/>
  <c r="N95" i="7"/>
  <c r="S95" i="7"/>
  <c r="AF95" i="7" l="1"/>
  <c r="AG95" i="7" s="1"/>
  <c r="AH95" i="7" s="1"/>
  <c r="T95" i="7" s="1"/>
  <c r="Q96" i="7" s="1"/>
  <c r="AB95" i="7" l="1"/>
  <c r="Z95" i="7" s="1"/>
  <c r="W95" i="7"/>
  <c r="V96" i="7"/>
  <c r="N96" i="7"/>
  <c r="S96" i="7"/>
  <c r="AF96" i="7" s="1"/>
  <c r="AG96" i="7" l="1"/>
  <c r="AH96" i="7" s="1"/>
  <c r="T96" i="7" s="1"/>
  <c r="Q97" i="7" s="1"/>
  <c r="W96" i="7" l="1"/>
  <c r="AB96" i="7"/>
  <c r="Z96" i="7" s="1"/>
  <c r="S97" i="7"/>
  <c r="V97" i="7"/>
  <c r="N97" i="7"/>
  <c r="AF97" i="7" l="1"/>
  <c r="AG97" i="7" s="1"/>
  <c r="AH97" i="7" s="1"/>
  <c r="T97" i="7" s="1"/>
  <c r="Q98" i="7" s="1"/>
  <c r="W97" i="7" l="1"/>
  <c r="AB97" i="7"/>
  <c r="Z97" i="7" l="1"/>
  <c r="V98" i="7"/>
  <c r="N98" i="7"/>
  <c r="S98" i="7"/>
  <c r="AF98" i="7" s="1"/>
  <c r="AG98" i="7" l="1"/>
  <c r="AH98" i="7" s="1"/>
  <c r="T98" i="7" s="1"/>
  <c r="Q99" i="7" s="1"/>
  <c r="W98" i="7" l="1"/>
  <c r="AB98" i="7"/>
  <c r="Z98" i="7" s="1"/>
  <c r="S99" i="7"/>
  <c r="V99" i="7"/>
  <c r="N99" i="7"/>
  <c r="AF99" i="7" l="1"/>
  <c r="AG99" i="7" s="1"/>
  <c r="AH99" i="7" s="1"/>
  <c r="T99" i="7" s="1"/>
  <c r="Q100" i="7" s="1"/>
  <c r="W99" i="7" l="1"/>
  <c r="AB99" i="7"/>
  <c r="Z99" i="7" l="1"/>
  <c r="V100" i="7"/>
  <c r="N100" i="7"/>
  <c r="S100" i="7"/>
  <c r="AF100" i="7" l="1"/>
  <c r="AG100" i="7" s="1"/>
  <c r="AH100" i="7" s="1"/>
  <c r="T100" i="7" s="1"/>
  <c r="Q101" i="7" s="1"/>
  <c r="W100" i="7" l="1"/>
  <c r="AB100" i="7"/>
  <c r="Z100" i="7" s="1"/>
  <c r="V101" i="7"/>
  <c r="N101" i="7"/>
  <c r="S101" i="7"/>
  <c r="AF101" i="7" l="1"/>
  <c r="AG101" i="7" s="1"/>
  <c r="AH101" i="7" s="1"/>
  <c r="T101" i="7" s="1"/>
  <c r="Q102" i="7" s="1"/>
  <c r="W101" i="7" l="1"/>
  <c r="AB101" i="7"/>
  <c r="V102" i="7"/>
  <c r="N102" i="7"/>
  <c r="S102" i="7"/>
  <c r="AF102" i="7" s="1"/>
  <c r="Z101" i="7" l="1"/>
  <c r="AG102" i="7"/>
  <c r="AH102" i="7" s="1"/>
  <c r="T102" i="7" s="1"/>
  <c r="Q103" i="7" s="1"/>
  <c r="W102" i="7" l="1"/>
  <c r="AB102" i="7"/>
  <c r="Z102" i="7" s="1"/>
  <c r="S103" i="7"/>
  <c r="V103" i="7"/>
  <c r="N103" i="7"/>
  <c r="AF103" i="7" l="1"/>
  <c r="AG103" i="7" s="1"/>
  <c r="AH103" i="7" s="1"/>
  <c r="T103" i="7" s="1"/>
  <c r="Q104" i="7" s="1"/>
  <c r="AB103" i="7" l="1"/>
  <c r="W103" i="7"/>
  <c r="Z103" i="7" l="1"/>
  <c r="V104" i="7"/>
  <c r="N104" i="7"/>
  <c r="S104" i="7"/>
  <c r="AF104" i="7" l="1"/>
  <c r="AG104" i="7" s="1"/>
  <c r="AH104" i="7" s="1"/>
  <c r="T104" i="7" s="1"/>
  <c r="Q105" i="7" s="1"/>
  <c r="W104" i="7" l="1"/>
  <c r="AB104" i="7"/>
  <c r="V105" i="7"/>
  <c r="N105" i="7"/>
  <c r="S105" i="7"/>
  <c r="Z104" i="7" l="1"/>
  <c r="AF105" i="7"/>
  <c r="AG105" i="7" s="1"/>
  <c r="AH105" i="7" s="1"/>
  <c r="T105" i="7" s="1"/>
  <c r="Q106" i="7" s="1"/>
  <c r="W105" i="7" l="1"/>
  <c r="AB105" i="7"/>
  <c r="V106" i="7"/>
  <c r="N106" i="7"/>
  <c r="S106" i="7"/>
  <c r="AF106" i="7" s="1"/>
  <c r="Z105" i="7" l="1"/>
  <c r="AG106" i="7"/>
  <c r="AH106" i="7" s="1"/>
  <c r="T106" i="7" s="1"/>
  <c r="Q107" i="7" s="1"/>
  <c r="AB106" i="7" l="1"/>
  <c r="W106" i="7"/>
  <c r="S107" i="7"/>
  <c r="V107" i="7"/>
  <c r="N107" i="7"/>
  <c r="Z106" i="7" l="1"/>
  <c r="AF107" i="7"/>
  <c r="AG107" i="7" s="1"/>
  <c r="AH107" i="7" s="1"/>
  <c r="T107" i="7" s="1"/>
  <c r="Q108" i="7" s="1"/>
  <c r="W107" i="7" l="1"/>
  <c r="AB107" i="7"/>
  <c r="V108" i="7"/>
  <c r="N108" i="7"/>
  <c r="S108" i="7"/>
  <c r="AF108" i="7" s="1"/>
  <c r="Z107" i="7" l="1"/>
  <c r="AG108" i="7"/>
  <c r="AH108" i="7" s="1"/>
  <c r="T108" i="7" s="1"/>
  <c r="Q109" i="7" s="1"/>
  <c r="AB108" i="7" l="1"/>
  <c r="W108" i="7"/>
  <c r="Z108" i="7"/>
  <c r="S109" i="7"/>
  <c r="V109" i="7"/>
  <c r="N109" i="7"/>
  <c r="AF109" i="7" l="1"/>
  <c r="AG109" i="7" s="1"/>
  <c r="AH109" i="7" s="1"/>
  <c r="T109" i="7" s="1"/>
  <c r="Q110" i="7" s="1"/>
  <c r="W109" i="7" l="1"/>
  <c r="AB109" i="7"/>
  <c r="V110" i="7"/>
  <c r="N110" i="7"/>
  <c r="S110" i="7"/>
  <c r="Z109" i="7" l="1"/>
  <c r="AF110" i="7"/>
  <c r="AG110" i="7" s="1"/>
  <c r="AH110" i="7" s="1"/>
  <c r="T110" i="7" s="1"/>
  <c r="Q111" i="7" s="1"/>
  <c r="AB110" i="7" l="1"/>
  <c r="Z110" i="7" s="1"/>
  <c r="W110" i="7"/>
  <c r="V111" i="7"/>
  <c r="N111" i="7"/>
  <c r="S111" i="7"/>
  <c r="AF111" i="7" l="1"/>
  <c r="AG111" i="7" s="1"/>
  <c r="AH111" i="7" s="1"/>
  <c r="T111" i="7" s="1"/>
  <c r="Q112" i="7" s="1"/>
  <c r="W111" i="7" l="1"/>
  <c r="AB111" i="7"/>
  <c r="V112" i="7"/>
  <c r="N112" i="7"/>
  <c r="S112" i="7"/>
  <c r="AF112" i="7" s="1"/>
  <c r="Z111" i="7" l="1"/>
  <c r="AG112" i="7"/>
  <c r="AH112" i="7" s="1"/>
  <c r="T112" i="7" s="1"/>
  <c r="Q113" i="7" s="1"/>
  <c r="AB112" i="7" l="1"/>
  <c r="W112" i="7"/>
  <c r="S113" i="7"/>
  <c r="V113" i="7"/>
  <c r="N113" i="7"/>
  <c r="Z112" i="7" l="1"/>
  <c r="AF113" i="7"/>
  <c r="AG113" i="7" s="1"/>
  <c r="AH113" i="7" s="1"/>
  <c r="T113" i="7" s="1"/>
  <c r="Q114" i="7" s="1"/>
  <c r="W113" i="7" l="1"/>
  <c r="AB113" i="7"/>
  <c r="V114" i="7"/>
  <c r="N114" i="7"/>
  <c r="S114" i="7"/>
  <c r="AF114" i="7" s="1"/>
  <c r="Z113" i="7" l="1"/>
  <c r="AG114" i="7"/>
  <c r="AH114" i="7" s="1"/>
  <c r="T114" i="7" s="1"/>
  <c r="Q115" i="7" s="1"/>
  <c r="AB114" i="7" l="1"/>
  <c r="Z114" i="7" s="1"/>
  <c r="W114" i="7"/>
  <c r="S115" i="7"/>
  <c r="V115" i="7"/>
  <c r="N115" i="7"/>
  <c r="AF115" i="7" l="1"/>
  <c r="AG115" i="7" s="1"/>
  <c r="AH115" i="7" s="1"/>
  <c r="T115" i="7" s="1"/>
  <c r="Q116" i="7" s="1"/>
  <c r="W115" i="7" l="1"/>
  <c r="AB115" i="7"/>
  <c r="V116" i="7"/>
  <c r="N116" i="7"/>
  <c r="S116" i="7"/>
  <c r="AF116" i="7" s="1"/>
  <c r="Z115" i="7" l="1"/>
  <c r="AG116" i="7"/>
  <c r="AH116" i="7" s="1"/>
  <c r="T116" i="7" s="1"/>
  <c r="Q117" i="7" s="1"/>
  <c r="AB116" i="7" l="1"/>
  <c r="W116" i="7"/>
  <c r="S117" i="7"/>
  <c r="V117" i="7"/>
  <c r="N117" i="7"/>
  <c r="Z116" i="7" l="1"/>
  <c r="AF117" i="7"/>
  <c r="AG117" i="7" s="1"/>
  <c r="AH117" i="7" s="1"/>
  <c r="T117" i="7" s="1"/>
  <c r="Q118" i="7" s="1"/>
  <c r="W117" i="7" l="1"/>
  <c r="AB117" i="7"/>
  <c r="V118" i="7"/>
  <c r="N118" i="7"/>
  <c r="S118" i="7"/>
  <c r="AF118" i="7" s="1"/>
  <c r="Z117" i="7" l="1"/>
  <c r="AG118" i="7"/>
  <c r="AH118" i="7" s="1"/>
  <c r="T118" i="7" s="1"/>
  <c r="Q119" i="7" s="1"/>
  <c r="AB118" i="7" l="1"/>
  <c r="Z118" i="7" s="1"/>
  <c r="W118" i="7"/>
  <c r="S119" i="7"/>
  <c r="V119" i="7"/>
  <c r="N119" i="7"/>
  <c r="AF119" i="7" l="1"/>
  <c r="AG119" i="7" s="1"/>
  <c r="AH119" i="7" s="1"/>
  <c r="T119" i="7" s="1"/>
  <c r="Q120" i="7" s="1"/>
  <c r="W119" i="7" l="1"/>
  <c r="AB119" i="7"/>
  <c r="Z119" i="7" s="1"/>
  <c r="V120" i="7"/>
  <c r="N120" i="7"/>
  <c r="S120" i="7"/>
  <c r="AF120" i="7" l="1"/>
  <c r="AG120" i="7" s="1"/>
  <c r="AH120" i="7" s="1"/>
  <c r="T120" i="7" s="1"/>
  <c r="Q121" i="7" s="1"/>
  <c r="W120" i="7" l="1"/>
  <c r="AB120" i="7"/>
  <c r="Z120" i="7" s="1"/>
  <c r="V121" i="7"/>
  <c r="N121" i="7"/>
  <c r="S121" i="7"/>
  <c r="AF121" i="7" l="1"/>
  <c r="AG121" i="7" s="1"/>
  <c r="AH121" i="7" s="1"/>
  <c r="T121" i="7" s="1"/>
  <c r="Q122" i="7" s="1"/>
  <c r="AB121" i="7" l="1"/>
  <c r="W121" i="7"/>
  <c r="V122" i="7"/>
  <c r="N122" i="7"/>
  <c r="S122" i="7"/>
  <c r="Z121" i="7" l="1"/>
  <c r="AF122" i="7"/>
  <c r="AG122" i="7" s="1"/>
  <c r="AH122" i="7" s="1"/>
  <c r="T122" i="7" s="1"/>
  <c r="Q123" i="7" s="1"/>
  <c r="W122" i="7" l="1"/>
  <c r="AB122" i="7"/>
  <c r="Z122" i="7" s="1"/>
  <c r="V123" i="7"/>
  <c r="N123" i="7"/>
  <c r="S123" i="7"/>
  <c r="AF123" i="7" s="1"/>
  <c r="AG123" i="7" l="1"/>
  <c r="AH123" i="7" s="1"/>
  <c r="T123" i="7" s="1"/>
  <c r="Q124" i="7" s="1"/>
  <c r="AB123" i="7" l="1"/>
  <c r="Z123" i="7" s="1"/>
  <c r="W123" i="7"/>
  <c r="S124" i="7"/>
  <c r="V124" i="7"/>
  <c r="N124" i="7"/>
  <c r="AF124" i="7" l="1"/>
  <c r="AG124" i="7" s="1"/>
  <c r="AH124" i="7" s="1"/>
  <c r="T124" i="7" s="1"/>
  <c r="Q125" i="7" s="1"/>
  <c r="W124" i="7" l="1"/>
  <c r="AB124" i="7"/>
  <c r="Z124" i="7" l="1"/>
  <c r="V125" i="7"/>
  <c r="N125" i="7"/>
  <c r="S125" i="7"/>
  <c r="AF125" i="7" l="1"/>
  <c r="AG125" i="7" s="1"/>
  <c r="AH125" i="7" s="1"/>
  <c r="T125" i="7" s="1"/>
  <c r="Q126" i="7" s="1"/>
  <c r="W125" i="7" l="1"/>
  <c r="AB125" i="7"/>
  <c r="V126" i="7"/>
  <c r="N126" i="7"/>
  <c r="S126" i="7"/>
  <c r="Z125" i="7" l="1"/>
  <c r="AF126" i="7"/>
  <c r="AG126" i="7" s="1"/>
  <c r="AH126" i="7" s="1"/>
  <c r="T126" i="7" s="1"/>
  <c r="Q127" i="7" s="1"/>
  <c r="W126" i="7" l="1"/>
  <c r="AB126" i="7"/>
  <c r="V127" i="7"/>
  <c r="N127" i="7"/>
  <c r="S127" i="7"/>
  <c r="Z126" i="7" l="1"/>
  <c r="AF127" i="7"/>
  <c r="AG127" i="7" s="1"/>
  <c r="AH127" i="7" s="1"/>
  <c r="T127" i="7" s="1"/>
  <c r="Q128" i="7" s="1"/>
  <c r="W127" i="7" l="1"/>
  <c r="AB127" i="7"/>
  <c r="V128" i="7"/>
  <c r="N128" i="7"/>
  <c r="S128" i="7"/>
  <c r="Z127" i="7" l="1"/>
  <c r="AF128" i="7"/>
  <c r="AG128" i="7" s="1"/>
  <c r="AH128" i="7" s="1"/>
  <c r="T128" i="7" s="1"/>
  <c r="Q129" i="7" s="1"/>
  <c r="W128" i="7" l="1"/>
  <c r="AB128" i="7"/>
  <c r="Z128" i="7" s="1"/>
  <c r="V129" i="7"/>
  <c r="N129" i="7"/>
  <c r="S129" i="7"/>
  <c r="AF129" i="7" l="1"/>
  <c r="AG129" i="7" s="1"/>
  <c r="AH129" i="7" s="1"/>
  <c r="T129" i="7" s="1"/>
  <c r="Q130" i="7" s="1"/>
  <c r="AB129" i="7" l="1"/>
  <c r="W129" i="7"/>
  <c r="V130" i="7"/>
  <c r="N130" i="7"/>
  <c r="S130" i="7"/>
  <c r="Z129" i="7" l="1"/>
  <c r="AF130" i="7"/>
  <c r="AG130" i="7" s="1"/>
  <c r="AH130" i="7" s="1"/>
  <c r="T130" i="7" s="1"/>
  <c r="Q131" i="7" s="1"/>
  <c r="W130" i="7" l="1"/>
  <c r="AB130" i="7"/>
  <c r="Z130" i="7" s="1"/>
  <c r="V131" i="7"/>
  <c r="N131" i="7"/>
  <c r="S131" i="7"/>
  <c r="AF131" i="7" s="1"/>
  <c r="AG131" i="7" l="1"/>
  <c r="AH131" i="7" s="1"/>
  <c r="T131" i="7" s="1"/>
  <c r="Q132" i="7" s="1"/>
  <c r="AB131" i="7" l="1"/>
  <c r="Z131" i="7" s="1"/>
  <c r="W131" i="7"/>
  <c r="S132" i="7"/>
  <c r="V132" i="7"/>
  <c r="N132" i="7"/>
  <c r="AF132" i="7" l="1"/>
  <c r="AG132" i="7" s="1"/>
  <c r="AH132" i="7" s="1"/>
  <c r="T132" i="7" s="1"/>
  <c r="Q133" i="7" s="1"/>
  <c r="W132" i="7" l="1"/>
  <c r="AB132" i="7"/>
  <c r="Z132" i="7" l="1"/>
  <c r="V133" i="7"/>
  <c r="N133" i="7"/>
  <c r="S133" i="7"/>
  <c r="AF133" i="7" l="1"/>
  <c r="AG133" i="7" s="1"/>
  <c r="AH133" i="7" s="1"/>
  <c r="T133" i="7" s="1"/>
  <c r="Q134" i="7" s="1"/>
  <c r="W133" i="7" l="1"/>
  <c r="AB133" i="7"/>
  <c r="V134" i="7"/>
  <c r="N134" i="7"/>
  <c r="S134" i="7"/>
  <c r="Z133" i="7" l="1"/>
  <c r="AF134" i="7"/>
  <c r="AG134" i="7" s="1"/>
  <c r="AH134" i="7" s="1"/>
  <c r="T134" i="7" s="1"/>
  <c r="Q135" i="7" s="1"/>
  <c r="W134" i="7" l="1"/>
  <c r="AB134" i="7"/>
  <c r="Z134" i="7" s="1"/>
  <c r="V135" i="7"/>
  <c r="N135" i="7"/>
  <c r="S135" i="7"/>
  <c r="AF135" i="7" l="1"/>
  <c r="AG135" i="7" s="1"/>
  <c r="AH135" i="7" s="1"/>
  <c r="T135" i="7" s="1"/>
  <c r="Q136" i="7" s="1"/>
  <c r="W135" i="7" l="1"/>
  <c r="AB135" i="7"/>
  <c r="V136" i="7"/>
  <c r="N136" i="7"/>
  <c r="S136" i="7"/>
  <c r="Z135" i="7" l="1"/>
  <c r="AF136" i="7"/>
  <c r="AG136" i="7" s="1"/>
  <c r="AH136" i="7" s="1"/>
  <c r="T136" i="7" s="1"/>
  <c r="Q137" i="7" s="1"/>
  <c r="W136" i="7" l="1"/>
  <c r="AB136" i="7"/>
  <c r="V137" i="7"/>
  <c r="N137" i="7"/>
  <c r="S137" i="7"/>
  <c r="AF137" i="7" s="1"/>
  <c r="Z136" i="7" l="1"/>
  <c r="AG137" i="7"/>
  <c r="AH137" i="7" s="1"/>
  <c r="T137" i="7" s="1"/>
  <c r="Q138" i="7" s="1"/>
  <c r="W137" i="7" l="1"/>
  <c r="AB137" i="7"/>
  <c r="S138" i="7"/>
  <c r="V138" i="7"/>
  <c r="N138" i="7"/>
  <c r="AF138" i="7" l="1"/>
  <c r="AG138" i="7" s="1"/>
  <c r="AH138" i="7" s="1"/>
  <c r="T138" i="7" s="1"/>
  <c r="Q139" i="7" s="1"/>
  <c r="Z137" i="7"/>
  <c r="W138" i="7" l="1"/>
  <c r="AB138" i="7"/>
  <c r="Z138" i="7" l="1"/>
  <c r="V139" i="7"/>
  <c r="N139" i="7"/>
  <c r="S139" i="7"/>
  <c r="AF139" i="7" s="1"/>
  <c r="AG139" i="7" l="1"/>
  <c r="AH139" i="7" s="1"/>
  <c r="T139" i="7" s="1"/>
  <c r="Q140" i="7" s="1"/>
  <c r="AB139" i="7" l="1"/>
  <c r="W139" i="7"/>
  <c r="Z139" i="7"/>
  <c r="S140" i="7"/>
  <c r="V140" i="7"/>
  <c r="N140" i="7"/>
  <c r="AF140" i="7" l="1"/>
  <c r="AG140" i="7" s="1"/>
  <c r="AH140" i="7" s="1"/>
  <c r="T140" i="7" s="1"/>
  <c r="Q141" i="7" s="1"/>
  <c r="S141" i="7" l="1"/>
  <c r="W140" i="7"/>
  <c r="AB140" i="7"/>
  <c r="Z140" i="7" s="1"/>
  <c r="V141" i="7"/>
  <c r="N141" i="7"/>
  <c r="AF141" i="7" l="1"/>
  <c r="AG141" i="7" s="1"/>
  <c r="AH141" i="7" s="1"/>
  <c r="T141" i="7" s="1"/>
  <c r="Q142" i="7" s="1"/>
  <c r="S142" i="7" l="1"/>
  <c r="AB141" i="7"/>
  <c r="W141" i="7"/>
  <c r="AF142" i="7" l="1"/>
  <c r="AG142" i="7" s="1"/>
  <c r="AH142" i="7" s="1"/>
  <c r="T142" i="7" s="1"/>
  <c r="Q143" i="7" s="1"/>
  <c r="Z141" i="7"/>
  <c r="V142" i="7"/>
  <c r="N142" i="7"/>
  <c r="V143" i="7" l="1"/>
  <c r="N143" i="7"/>
  <c r="AB142" i="7"/>
  <c r="W142" i="7"/>
  <c r="S143" i="7" l="1"/>
  <c r="AF143" i="7" s="1"/>
  <c r="AG143" i="7" s="1"/>
  <c r="AH143" i="7" s="1"/>
  <c r="T143" i="7" s="1"/>
  <c r="Z142" i="7"/>
  <c r="AB143" i="7" l="1"/>
  <c r="Q144" i="7"/>
  <c r="W143" i="7"/>
  <c r="Z143" i="7" l="1"/>
  <c r="N144" i="7"/>
  <c r="V144" i="7"/>
  <c r="S144" i="7"/>
  <c r="AF144" i="7" s="1"/>
  <c r="AG144" i="7" s="1"/>
  <c r="AH144" i="7" s="1"/>
  <c r="T144" i="7" s="1"/>
  <c r="Q145" i="7" s="1"/>
  <c r="W144" i="7" l="1"/>
  <c r="AB144" i="7"/>
  <c r="V145" i="7" l="1"/>
  <c r="N145" i="7"/>
  <c r="Z144" i="7"/>
  <c r="S145" i="7"/>
  <c r="AF145" i="7" s="1"/>
  <c r="AG145" i="7" s="1"/>
  <c r="AH145" i="7" s="1"/>
  <c r="T145" i="7" s="1"/>
  <c r="Q146" i="7" s="1"/>
  <c r="W145" i="7" l="1"/>
  <c r="AB145" i="7"/>
  <c r="V146" i="7" l="1"/>
  <c r="N146" i="7"/>
  <c r="Z145" i="7"/>
  <c r="S146" i="7"/>
  <c r="AF146" i="7" s="1"/>
  <c r="AG146" i="7" s="1"/>
  <c r="AH146" i="7" s="1"/>
  <c r="T146" i="7" s="1"/>
  <c r="Q147" i="7" s="1"/>
  <c r="AB146" i="7" l="1"/>
  <c r="W146" i="7"/>
  <c r="N147" i="7" l="1"/>
  <c r="V147" i="7"/>
  <c r="Z146" i="7"/>
  <c r="S147" i="7"/>
  <c r="AF147" i="7" s="1"/>
  <c r="AG147" i="7" s="1"/>
  <c r="AH147" i="7" s="1"/>
  <c r="T147" i="7" s="1"/>
  <c r="Q148" i="7" s="1"/>
  <c r="W147" i="7" l="1"/>
  <c r="AB147" i="7"/>
  <c r="V148" i="7" l="1"/>
  <c r="N148" i="7"/>
  <c r="Z147" i="7"/>
  <c r="S148" i="7"/>
  <c r="AF148" i="7" s="1"/>
  <c r="AG148" i="7" s="1"/>
  <c r="AH148" i="7" s="1"/>
  <c r="T148" i="7" s="1"/>
  <c r="Q149" i="7" s="1"/>
  <c r="W148" i="7" l="1"/>
  <c r="AB148" i="7"/>
  <c r="N149" i="7" l="1"/>
  <c r="V149" i="7"/>
  <c r="Z148" i="7"/>
  <c r="S149" i="7"/>
  <c r="AF149" i="7" s="1"/>
  <c r="AG149" i="7" s="1"/>
  <c r="AH149" i="7" s="1"/>
  <c r="T149" i="7" s="1"/>
  <c r="Q150" i="7" s="1"/>
  <c r="AB149" i="7" l="1"/>
  <c r="W149" i="7"/>
  <c r="N150" i="7" l="1"/>
  <c r="V150" i="7"/>
  <c r="Z149" i="7"/>
  <c r="S150" i="7"/>
  <c r="AF150" i="7" s="1"/>
  <c r="AG150" i="7" s="1"/>
  <c r="AH150" i="7" s="1"/>
  <c r="T150" i="7" s="1"/>
  <c r="Q151" i="7" s="1"/>
  <c r="AB150" i="7" l="1"/>
  <c r="W150" i="7"/>
  <c r="Z150" i="7" l="1"/>
  <c r="N151" i="7"/>
  <c r="V151" i="7"/>
  <c r="S151" i="7"/>
  <c r="AF151" i="7" s="1"/>
  <c r="AG151" i="7" s="1"/>
  <c r="AH151" i="7" s="1"/>
  <c r="T151" i="7" s="1"/>
  <c r="Q152" i="7" s="1"/>
  <c r="V152" i="7" l="1"/>
  <c r="N152" i="7"/>
  <c r="S152" i="7"/>
  <c r="AF152" i="7" s="1"/>
  <c r="AG152" i="7" s="1"/>
  <c r="AH152" i="7" s="1"/>
  <c r="T152" i="7" s="1"/>
  <c r="Q153" i="7" s="1"/>
  <c r="W151" i="7"/>
  <c r="AB151" i="7"/>
  <c r="Z151" i="7" l="1"/>
  <c r="AB152" i="7"/>
  <c r="W152" i="7"/>
  <c r="S153" i="7"/>
  <c r="AF153" i="7" s="1"/>
  <c r="AG153" i="7" s="1"/>
  <c r="AH153" i="7" s="1"/>
  <c r="T153" i="7" s="1"/>
  <c r="Q154" i="7" s="1"/>
  <c r="N153" i="7" l="1"/>
  <c r="V153" i="7"/>
  <c r="W153" i="7" s="1"/>
  <c r="Z152" i="7"/>
  <c r="V154" i="7" l="1"/>
  <c r="N154" i="7"/>
  <c r="AB153" i="7"/>
  <c r="S154" i="7"/>
  <c r="AF154" i="7" s="1"/>
  <c r="AG154" i="7" s="1"/>
  <c r="AH154" i="7" s="1"/>
  <c r="T154" i="7" s="1"/>
  <c r="Q155" i="7" s="1"/>
  <c r="Z153" i="7" l="1"/>
  <c r="AB154" i="7"/>
  <c r="W154" i="7"/>
  <c r="V155" i="7" l="1"/>
  <c r="N155" i="7"/>
  <c r="S155" i="7"/>
  <c r="AF155" i="7" s="1"/>
  <c r="AG155" i="7" s="1"/>
  <c r="AH155" i="7" s="1"/>
  <c r="T155" i="7" s="1"/>
  <c r="Q156" i="7" s="1"/>
  <c r="Z154" i="7"/>
  <c r="AB155" i="7" l="1"/>
  <c r="W155" i="7"/>
  <c r="Z155" i="7" l="1"/>
  <c r="V156" i="7"/>
  <c r="N156" i="7"/>
  <c r="S156" i="7"/>
  <c r="AF156" i="7" s="1"/>
  <c r="AG156" i="7" s="1"/>
  <c r="AH156" i="7" s="1"/>
  <c r="T156" i="7" s="1"/>
  <c r="Q157" i="7" s="1"/>
  <c r="N157" i="7" l="1"/>
  <c r="V157" i="7"/>
  <c r="S157" i="7"/>
  <c r="AF157" i="7" s="1"/>
  <c r="AG157" i="7" s="1"/>
  <c r="AH157" i="7" s="1"/>
  <c r="T157" i="7" s="1"/>
  <c r="Q158" i="7" s="1"/>
  <c r="W156" i="7"/>
  <c r="AB156" i="7"/>
  <c r="Z156" i="7" l="1"/>
  <c r="AB157" i="7"/>
  <c r="W157" i="7"/>
  <c r="V158" i="7" l="1"/>
  <c r="N158" i="7"/>
  <c r="S158" i="7"/>
  <c r="AF158" i="7" s="1"/>
  <c r="AG158" i="7" s="1"/>
  <c r="AH158" i="7" s="1"/>
  <c r="T158" i="7" s="1"/>
  <c r="Q159" i="7" s="1"/>
  <c r="Z157" i="7"/>
  <c r="AB158" i="7" l="1"/>
  <c r="W158" i="7"/>
  <c r="Z158" i="7" l="1"/>
  <c r="N159" i="7"/>
  <c r="V159" i="7"/>
  <c r="S159" i="7"/>
  <c r="AF159" i="7" s="1"/>
  <c r="AG159" i="7" s="1"/>
  <c r="AH159" i="7" s="1"/>
  <c r="T159" i="7" s="1"/>
  <c r="Q160" i="7" s="1"/>
  <c r="W159" i="7" l="1"/>
  <c r="AB159" i="7"/>
  <c r="V160" i="7" l="1"/>
  <c r="N160" i="7"/>
  <c r="Z159" i="7"/>
  <c r="S160" i="7"/>
  <c r="AF160" i="7" s="1"/>
  <c r="AG160" i="7" s="1"/>
  <c r="AH160" i="7" s="1"/>
  <c r="T160" i="7" s="1"/>
  <c r="Q161" i="7" s="1"/>
  <c r="AB160" i="7" l="1"/>
  <c r="W160" i="7"/>
  <c r="S161" i="7"/>
  <c r="AF161" i="7" s="1"/>
  <c r="AG161" i="7" s="1"/>
  <c r="AH161" i="7" s="1"/>
  <c r="T161" i="7" s="1"/>
  <c r="Q162" i="7" s="1"/>
  <c r="N161" i="7" l="1"/>
  <c r="V161" i="7"/>
  <c r="W161" i="7" s="1"/>
  <c r="Z160" i="7"/>
  <c r="AB161" i="7" l="1"/>
  <c r="N162" i="7"/>
  <c r="V162" i="7"/>
  <c r="S162" i="7"/>
  <c r="AF162" i="7" s="1"/>
  <c r="AG162" i="7" s="1"/>
  <c r="AH162" i="7" s="1"/>
  <c r="T162" i="7" s="1"/>
  <c r="Q163" i="7" s="1"/>
  <c r="Z161" i="7" l="1"/>
  <c r="W162" i="7"/>
  <c r="AB162" i="7"/>
  <c r="V163" i="7" l="1"/>
  <c r="N163" i="7"/>
  <c r="S163" i="7"/>
  <c r="AF163" i="7" s="1"/>
  <c r="AG163" i="7" s="1"/>
  <c r="AH163" i="7" s="1"/>
  <c r="T163" i="7" s="1"/>
  <c r="Q164" i="7" s="1"/>
  <c r="Z162" i="7"/>
  <c r="W163" i="7" l="1"/>
  <c r="AB163" i="7"/>
  <c r="V164" i="7" l="1"/>
  <c r="N164" i="7"/>
  <c r="S164" i="7"/>
  <c r="AF164" i="7" s="1"/>
  <c r="AG164" i="7" s="1"/>
  <c r="AH164" i="7" s="1"/>
  <c r="T164" i="7" s="1"/>
  <c r="Q165" i="7" s="1"/>
  <c r="Z163" i="7"/>
  <c r="AB164" i="7" l="1"/>
  <c r="W164" i="7"/>
  <c r="V165" i="7" l="1"/>
  <c r="N165" i="7"/>
  <c r="S165" i="7"/>
  <c r="AF165" i="7" s="1"/>
  <c r="AG165" i="7" s="1"/>
  <c r="AH165" i="7" s="1"/>
  <c r="T165" i="7" s="1"/>
  <c r="Q166" i="7" s="1"/>
  <c r="Z164" i="7"/>
  <c r="AB165" i="7" l="1"/>
  <c r="W165" i="7"/>
  <c r="V166" i="7" l="1"/>
  <c r="N166" i="7"/>
  <c r="Z165" i="7"/>
  <c r="S166" i="7"/>
  <c r="AF166" i="7" s="1"/>
  <c r="AG166" i="7" s="1"/>
  <c r="AH166" i="7" s="1"/>
  <c r="T166" i="7" s="1"/>
  <c r="Q167" i="7" s="1"/>
  <c r="W166" i="7" l="1"/>
  <c r="AB166" i="7"/>
  <c r="N167" i="7" l="1"/>
  <c r="V167" i="7"/>
  <c r="Z166" i="7"/>
  <c r="S167" i="7"/>
  <c r="AF167" i="7" s="1"/>
  <c r="AG167" i="7" s="1"/>
  <c r="AH167" i="7" s="1"/>
  <c r="T167" i="7" s="1"/>
  <c r="Q168" i="7" s="1"/>
  <c r="W167" i="7" l="1"/>
  <c r="AB167" i="7"/>
  <c r="N168" i="7" l="1"/>
  <c r="V168" i="7"/>
  <c r="Z167" i="7"/>
  <c r="S168" i="7"/>
  <c r="AF168" i="7" s="1"/>
  <c r="AG168" i="7" s="1"/>
  <c r="AH168" i="7" s="1"/>
  <c r="T168" i="7" s="1"/>
  <c r="Q169" i="7" s="1"/>
  <c r="AB168" i="7" l="1"/>
  <c r="W168" i="7"/>
  <c r="Z168" i="7" l="1"/>
  <c r="V169" i="7"/>
  <c r="N169" i="7"/>
  <c r="S169" i="7"/>
  <c r="AF169" i="7" s="1"/>
  <c r="AG169" i="7" s="1"/>
  <c r="AH169" i="7" s="1"/>
  <c r="T169" i="7" s="1"/>
  <c r="Q170" i="7" s="1"/>
  <c r="AB169" i="7" l="1"/>
  <c r="W169" i="7"/>
  <c r="Z169" i="7" l="1"/>
  <c r="N170" i="7"/>
  <c r="V170" i="7"/>
  <c r="S170" i="7"/>
  <c r="AF170" i="7" s="1"/>
  <c r="AG170" i="7" s="1"/>
  <c r="AH170" i="7" s="1"/>
  <c r="T170" i="7" s="1"/>
  <c r="Q171" i="7" s="1"/>
  <c r="AB170" i="7" l="1"/>
  <c r="W170" i="7"/>
  <c r="Z170" i="7" l="1"/>
  <c r="V171" i="7"/>
  <c r="N171" i="7"/>
  <c r="S171" i="7"/>
  <c r="AF171" i="7" s="1"/>
  <c r="AG171" i="7" s="1"/>
  <c r="AH171" i="7" s="1"/>
  <c r="T171" i="7" s="1"/>
  <c r="Q172" i="7" s="1"/>
  <c r="AB171" i="7" l="1"/>
  <c r="W171" i="7"/>
  <c r="Z171" i="7" l="1"/>
  <c r="N172" i="7"/>
  <c r="V172" i="7"/>
  <c r="S172" i="7"/>
  <c r="AF172" i="7" s="1"/>
  <c r="AG172" i="7" s="1"/>
  <c r="AH172" i="7" s="1"/>
  <c r="T172" i="7" s="1"/>
  <c r="Q173" i="7" s="1"/>
  <c r="AB172" i="7" l="1"/>
  <c r="W172" i="7"/>
  <c r="V173" i="7" l="1"/>
  <c r="N173" i="7"/>
  <c r="Z172" i="7"/>
  <c r="S173" i="7"/>
  <c r="AF173" i="7" s="1"/>
  <c r="AG173" i="7" s="1"/>
  <c r="AH173" i="7" s="1"/>
  <c r="T173" i="7" s="1"/>
  <c r="Q174" i="7" s="1"/>
  <c r="W173" i="7" l="1"/>
  <c r="AB173" i="7"/>
  <c r="V174" i="7" l="1"/>
  <c r="N174" i="7"/>
  <c r="Z173" i="7"/>
  <c r="S174" i="7"/>
  <c r="AF174" i="7" s="1"/>
  <c r="AG174" i="7" s="1"/>
  <c r="AH174" i="7" s="1"/>
  <c r="T174" i="7" s="1"/>
  <c r="Q175" i="7" s="1"/>
  <c r="W174" i="7" l="1"/>
  <c r="AB174" i="7"/>
  <c r="N175" i="7" l="1"/>
  <c r="V175" i="7"/>
  <c r="Z174" i="7"/>
  <c r="S175" i="7"/>
  <c r="AF175" i="7" l="1"/>
  <c r="AG175" i="7" s="1"/>
  <c r="AH175" i="7" s="1"/>
  <c r="T175" i="7" s="1"/>
  <c r="Q176" i="7" s="1"/>
  <c r="S176" i="7" s="1"/>
  <c r="AF176" i="7" s="1"/>
  <c r="AG176" i="7" s="1"/>
  <c r="AH176" i="7" s="1"/>
  <c r="T176" i="7" s="1"/>
  <c r="Q177" i="7" s="1"/>
  <c r="W175" i="7" l="1"/>
  <c r="V176" i="7"/>
  <c r="N176" i="7"/>
  <c r="AB175" i="7"/>
  <c r="Z175" i="7" s="1"/>
  <c r="W176" i="7"/>
  <c r="AB176" i="7"/>
  <c r="N177" i="7"/>
  <c r="V177" i="7"/>
  <c r="S177" i="7"/>
  <c r="AF177" i="7" l="1"/>
  <c r="AG177" i="7" s="1"/>
  <c r="AH177" i="7" s="1"/>
  <c r="T177" i="7" s="1"/>
  <c r="Q178" i="7" s="1"/>
  <c r="V178" i="7" s="1"/>
  <c r="Z176" i="7"/>
  <c r="N178" i="7" l="1"/>
  <c r="AB177" i="7"/>
  <c r="W177" i="7"/>
  <c r="S178" i="7"/>
  <c r="AF178" i="7" s="1"/>
  <c r="AG178" i="7" s="1"/>
  <c r="AH178" i="7" s="1"/>
  <c r="T178" i="7" s="1"/>
  <c r="W178" i="7" s="1"/>
  <c r="Z177" i="7"/>
  <c r="AB178" i="7" l="1"/>
  <c r="Q179" i="7"/>
  <c r="Z178" i="7" l="1"/>
  <c r="N179" i="7"/>
  <c r="V179" i="7"/>
  <c r="S179" i="7"/>
  <c r="AF179" i="7" l="1"/>
  <c r="AG179" i="7" s="1"/>
  <c r="AH179" i="7" s="1"/>
  <c r="T179" i="7" s="1"/>
  <c r="W179" i="7" l="1"/>
  <c r="AB179" i="7"/>
  <c r="Q180" i="7"/>
  <c r="Z179" i="7" l="1"/>
  <c r="N180" i="7"/>
  <c r="V180" i="7"/>
  <c r="S180" i="7"/>
  <c r="AF180" i="7" l="1"/>
  <c r="AG180" i="7" s="1"/>
  <c r="AH180" i="7" s="1"/>
  <c r="T180" i="7" s="1"/>
  <c r="AB180" i="7" l="1"/>
  <c r="W180" i="7"/>
  <c r="Q181" i="7"/>
  <c r="Z180" i="7" l="1"/>
  <c r="N181" i="7"/>
  <c r="V181" i="7"/>
  <c r="S181" i="7"/>
  <c r="AF181" i="7" l="1"/>
  <c r="AG181" i="7" s="1"/>
  <c r="AH181" i="7" s="1"/>
  <c r="T181" i="7" s="1"/>
  <c r="AB181" i="7" l="1"/>
  <c r="W181" i="7"/>
  <c r="Q182" i="7"/>
  <c r="N182" i="7" l="1"/>
  <c r="V182" i="7"/>
  <c r="S182" i="7"/>
  <c r="Z181" i="7"/>
  <c r="AF182" i="7" l="1"/>
  <c r="AG182" i="7" s="1"/>
  <c r="AH182" i="7" s="1"/>
  <c r="T182" i="7" s="1"/>
  <c r="W182" i="7" l="1"/>
  <c r="AB182" i="7"/>
  <c r="Q183" i="7"/>
  <c r="Z182" i="7" l="1"/>
  <c r="N183" i="7"/>
  <c r="V183" i="7"/>
  <c r="S183" i="7"/>
  <c r="AF183" i="7" l="1"/>
  <c r="AG183" i="7" s="1"/>
  <c r="AH183" i="7" s="1"/>
  <c r="T183" i="7" s="1"/>
  <c r="W183" i="7" l="1"/>
  <c r="AB183" i="7"/>
  <c r="Q184" i="7"/>
  <c r="Q185" i="7" l="1"/>
  <c r="V184" i="7"/>
  <c r="N184" i="7"/>
  <c r="S184" i="7"/>
  <c r="Z183" i="7"/>
  <c r="S185" i="7" l="1"/>
  <c r="AF185" i="7" s="1"/>
  <c r="AG185" i="7" s="1"/>
  <c r="AH185" i="7" s="1"/>
  <c r="T185" i="7" s="1"/>
  <c r="Q186" i="7" s="1"/>
  <c r="AB184" i="7"/>
  <c r="W184" i="7"/>
  <c r="N185" i="7"/>
  <c r="V185" i="7"/>
  <c r="W185" i="7" l="1"/>
  <c r="AB185" i="7"/>
  <c r="N186" i="7"/>
  <c r="V186" i="7"/>
  <c r="S186" i="7"/>
  <c r="Z184" i="7"/>
  <c r="AF186" i="7" l="1"/>
  <c r="AG186" i="7" s="1"/>
  <c r="AH186" i="7" s="1"/>
  <c r="T186" i="7" s="1"/>
  <c r="Q187" i="7" s="1"/>
  <c r="S187" i="7" s="1"/>
  <c r="AF187" i="7" s="1"/>
  <c r="AG187" i="7" s="1"/>
  <c r="AH187" i="7" s="1"/>
  <c r="T187" i="7" s="1"/>
  <c r="Z185" i="7"/>
  <c r="W186" i="7" l="1"/>
  <c r="V187" i="7"/>
  <c r="W187" i="7" s="1"/>
  <c r="N187" i="7"/>
  <c r="Q188" i="7"/>
  <c r="AB186" i="7"/>
  <c r="AB187" i="7"/>
  <c r="Z186" i="7" l="1"/>
  <c r="S188" i="7"/>
  <c r="N188" i="7"/>
  <c r="V188" i="7"/>
  <c r="Z187" i="7"/>
  <c r="AF188" i="7" l="1"/>
  <c r="AG188" i="7" s="1"/>
  <c r="AH188" i="7" s="1"/>
  <c r="T188" i="7" s="1"/>
  <c r="Q189" i="7" l="1"/>
  <c r="AB188" i="7"/>
  <c r="W188" i="7"/>
  <c r="Z188" i="7" l="1"/>
  <c r="V189" i="7"/>
  <c r="N189" i="7"/>
  <c r="S189" i="7"/>
  <c r="AF189" i="7" l="1"/>
  <c r="AG189" i="7" s="1"/>
  <c r="AH189" i="7" s="1"/>
  <c r="T189" i="7" s="1"/>
  <c r="AB189" i="7" l="1"/>
  <c r="W189" i="7"/>
  <c r="Q190" i="7"/>
  <c r="V190" i="7" l="1"/>
  <c r="N190" i="7"/>
  <c r="S190" i="7"/>
  <c r="AF190" i="7" s="1"/>
  <c r="AG190" i="7" s="1"/>
  <c r="AH190" i="7" s="1"/>
  <c r="T190" i="7" s="1"/>
  <c r="Q191" i="7" s="1"/>
  <c r="Z189" i="7"/>
  <c r="S191" i="7" l="1"/>
  <c r="V191" i="7"/>
  <c r="N191" i="7"/>
  <c r="AB190" i="7"/>
  <c r="W190" i="7"/>
  <c r="Z190" i="7" l="1"/>
  <c r="AF191" i="7"/>
  <c r="AG191" i="7" s="1"/>
  <c r="AH191" i="7" s="1"/>
  <c r="T191" i="7" s="1"/>
  <c r="AB191" i="7" l="1"/>
  <c r="W191" i="7"/>
  <c r="Q192" i="7"/>
  <c r="V192" i="7" l="1"/>
  <c r="N192" i="7"/>
  <c r="S192" i="7"/>
  <c r="Z191" i="7"/>
  <c r="AF192" i="7" l="1"/>
  <c r="AG192" i="7" s="1"/>
  <c r="AH192" i="7" s="1"/>
  <c r="T192" i="7" s="1"/>
  <c r="AB192" i="7" l="1"/>
  <c r="W192" i="7"/>
  <c r="Q193" i="7"/>
  <c r="N193" i="7" l="1"/>
  <c r="V193" i="7"/>
  <c r="S193" i="7"/>
  <c r="Z192" i="7"/>
  <c r="AF193" i="7" l="1"/>
  <c r="AG193" i="7" s="1"/>
  <c r="AH193" i="7" s="1"/>
  <c r="T193" i="7" s="1"/>
  <c r="AB193" i="7" l="1"/>
  <c r="W193" i="7"/>
  <c r="Q194" i="7"/>
  <c r="V194" i="7" l="1"/>
  <c r="N194" i="7"/>
  <c r="S194" i="7"/>
  <c r="Z193" i="7"/>
  <c r="AF194" i="7" l="1"/>
  <c r="AG194" i="7" s="1"/>
  <c r="AH194" i="7" s="1"/>
  <c r="T194" i="7" s="1"/>
  <c r="AB194" i="7" l="1"/>
  <c r="W194" i="7"/>
  <c r="Q195" i="7"/>
  <c r="N195" i="7" l="1"/>
  <c r="V195" i="7"/>
  <c r="S195" i="7"/>
  <c r="Z194" i="7"/>
  <c r="AF195" i="7" l="1"/>
  <c r="AG195" i="7" s="1"/>
  <c r="AH195" i="7" s="1"/>
  <c r="T195" i="7" s="1"/>
  <c r="W195" i="7" l="1"/>
  <c r="AB195" i="7"/>
  <c r="Q196" i="7"/>
  <c r="V196" i="7" l="1"/>
  <c r="N196" i="7"/>
  <c r="S196" i="7"/>
  <c r="Z195" i="7"/>
  <c r="AF196" i="7" l="1"/>
  <c r="AG196" i="7" s="1"/>
  <c r="AH196" i="7" s="1"/>
  <c r="T196" i="7" s="1"/>
  <c r="W196" i="7" l="1"/>
  <c r="AB196" i="7"/>
  <c r="Q197" i="7"/>
  <c r="N197" i="7" l="1"/>
  <c r="V197" i="7"/>
  <c r="S197" i="7"/>
  <c r="AF197" i="7" s="1"/>
  <c r="AG197" i="7" s="1"/>
  <c r="AH197" i="7" s="1"/>
  <c r="T197" i="7" s="1"/>
  <c r="Z196" i="7"/>
  <c r="W197" i="7" l="1"/>
  <c r="AB197" i="7"/>
  <c r="Q198" i="7"/>
  <c r="Z197" i="7" l="1"/>
  <c r="S198" i="7"/>
  <c r="V198" i="7"/>
  <c r="Q199" i="7"/>
  <c r="N198" i="7"/>
  <c r="N199" i="7" l="1"/>
  <c r="V199" i="7"/>
  <c r="Q200" i="7"/>
  <c r="W198" i="7"/>
  <c r="AB198" i="7"/>
  <c r="S199" i="7"/>
  <c r="S200" i="7" s="1"/>
  <c r="Z198" i="7" l="1"/>
  <c r="V200" i="7"/>
  <c r="Q201" i="7"/>
  <c r="N200" i="7"/>
  <c r="W199" i="7"/>
  <c r="AB199" i="7"/>
  <c r="Z199" i="7" l="1"/>
  <c r="S201" i="7"/>
  <c r="N201" i="7"/>
  <c r="Q202" i="7"/>
  <c r="V201" i="7"/>
  <c r="W200" i="7"/>
  <c r="AB200" i="7"/>
  <c r="W201" i="7" l="1"/>
  <c r="AB201" i="7"/>
  <c r="Z200" i="7"/>
  <c r="Q203" i="7"/>
  <c r="N202" i="7"/>
  <c r="V202" i="7"/>
  <c r="S202" i="7"/>
  <c r="S203" i="7" s="1"/>
  <c r="AB202" i="7" l="1"/>
  <c r="W202" i="7"/>
  <c r="N203" i="7"/>
  <c r="Q204" i="7"/>
  <c r="S204" i="7" s="1"/>
  <c r="V203" i="7"/>
  <c r="Z201" i="7"/>
  <c r="AB203" i="7" l="1"/>
  <c r="W203" i="7"/>
  <c r="N204" i="7"/>
  <c r="V204" i="7"/>
  <c r="Q205" i="7"/>
  <c r="Z202" i="7"/>
  <c r="W204" i="7" l="1"/>
  <c r="AB204" i="7"/>
  <c r="N205" i="7"/>
  <c r="Q206" i="7"/>
  <c r="V205" i="7"/>
  <c r="S205" i="7"/>
  <c r="S206" i="7" s="1"/>
  <c r="Z203" i="7"/>
  <c r="W205" i="7" l="1"/>
  <c r="AB205" i="7"/>
  <c r="N206" i="7"/>
  <c r="Q207" i="7"/>
  <c r="V206" i="7"/>
  <c r="Z204" i="7"/>
  <c r="S207" i="7"/>
  <c r="W206" i="7" l="1"/>
  <c r="AB206" i="7"/>
  <c r="Q208" i="7"/>
  <c r="V207" i="7"/>
  <c r="N207" i="7"/>
  <c r="Z205" i="7"/>
  <c r="S208" i="7"/>
  <c r="Q209" i="7" l="1"/>
  <c r="V208" i="7"/>
  <c r="N208" i="7"/>
  <c r="W207" i="7"/>
  <c r="AB207" i="7"/>
  <c r="Z206" i="7"/>
  <c r="Z207" i="7" l="1"/>
  <c r="V209" i="7"/>
  <c r="Q210" i="7"/>
  <c r="N209" i="7"/>
  <c r="AB208" i="7"/>
  <c r="W208" i="7"/>
  <c r="S209" i="7"/>
  <c r="S210" i="7" s="1"/>
  <c r="W209" i="7" l="1"/>
  <c r="AB209" i="7"/>
  <c r="Z208" i="7"/>
  <c r="V210" i="7"/>
  <c r="Q211" i="7"/>
  <c r="N210" i="7"/>
  <c r="N211" i="7" l="1"/>
  <c r="Q212" i="7"/>
  <c r="V211" i="7"/>
  <c r="W210" i="7"/>
  <c r="AB210" i="7"/>
  <c r="Z209" i="7"/>
  <c r="S211" i="7"/>
  <c r="S212" i="7" s="1"/>
  <c r="Z210" i="7" l="1"/>
  <c r="W211" i="7"/>
  <c r="AB211" i="7"/>
  <c r="Q213" i="7"/>
  <c r="V212" i="7"/>
  <c r="N212" i="7"/>
  <c r="V213" i="7" l="1"/>
  <c r="N213" i="7"/>
  <c r="Q214" i="7"/>
  <c r="AB212" i="7"/>
  <c r="W212" i="7"/>
  <c r="Z211" i="7"/>
  <c r="S213" i="7"/>
  <c r="S214" i="7" s="1"/>
  <c r="Z212" i="7" l="1"/>
  <c r="Q215" i="7"/>
  <c r="N214" i="7"/>
  <c r="V214" i="7"/>
  <c r="AB213" i="7"/>
  <c r="W213" i="7"/>
  <c r="AB214" i="7" l="1"/>
  <c r="W214" i="7"/>
  <c r="Z213" i="7"/>
  <c r="S215" i="7"/>
  <c r="V215" i="7"/>
  <c r="N215" i="7"/>
  <c r="Q216" i="7"/>
  <c r="Q217" i="7" l="1"/>
  <c r="N216" i="7"/>
  <c r="V216" i="7"/>
  <c r="AB215" i="7"/>
  <c r="W215" i="7"/>
  <c r="S216" i="7"/>
  <c r="S217" i="7" s="1"/>
  <c r="Z214" i="7"/>
  <c r="W216" i="7" l="1"/>
  <c r="AB216" i="7"/>
  <c r="Z215" i="7"/>
  <c r="V217" i="7"/>
  <c r="N217" i="7"/>
  <c r="Q218" i="7"/>
  <c r="Q219" i="7" l="1"/>
  <c r="V218" i="7"/>
  <c r="N218" i="7"/>
  <c r="Z216" i="7"/>
  <c r="W217" i="7"/>
  <c r="AB217" i="7"/>
  <c r="S218" i="7"/>
  <c r="S219" i="7" s="1"/>
  <c r="Z217" i="7" l="1"/>
  <c r="W218" i="7"/>
  <c r="AB218" i="7"/>
  <c r="V219" i="7"/>
  <c r="Q220" i="7"/>
  <c r="N219" i="7"/>
  <c r="V220" i="7" l="1"/>
  <c r="Q221" i="7"/>
  <c r="N220" i="7"/>
  <c r="AB219" i="7"/>
  <c r="W219" i="7"/>
  <c r="Z218" i="7"/>
  <c r="S220" i="7"/>
  <c r="S221" i="7" s="1"/>
  <c r="Z219" i="7" l="1"/>
  <c r="Q222" i="7"/>
  <c r="N221" i="7"/>
  <c r="V221" i="7"/>
  <c r="AB220" i="7"/>
  <c r="W220" i="7"/>
  <c r="Z220" i="7" l="1"/>
  <c r="W221" i="7"/>
  <c r="AB221" i="7"/>
  <c r="Q223" i="7"/>
  <c r="N222" i="7"/>
  <c r="V222" i="7"/>
  <c r="S222" i="7"/>
  <c r="S223" i="7" s="1"/>
  <c r="Z221" i="7" l="1"/>
  <c r="W222" i="7"/>
  <c r="AB222" i="7"/>
  <c r="Q224" i="7"/>
  <c r="N223" i="7"/>
  <c r="V223" i="7"/>
  <c r="Z222" i="7" l="1"/>
  <c r="W223" i="7"/>
  <c r="AB223" i="7"/>
  <c r="Q225" i="7"/>
  <c r="N224" i="7"/>
  <c r="V224" i="7"/>
  <c r="S224" i="7"/>
  <c r="S225" i="7" l="1"/>
  <c r="Q226" i="7"/>
  <c r="V225" i="7"/>
  <c r="N225" i="7"/>
  <c r="AB224" i="7"/>
  <c r="W224" i="7"/>
  <c r="Z223" i="7"/>
  <c r="AB225" i="7" l="1"/>
  <c r="W225" i="7"/>
  <c r="S226" i="7"/>
  <c r="Q227" i="7"/>
  <c r="N226" i="7"/>
  <c r="V226" i="7"/>
  <c r="Z224" i="7"/>
  <c r="W226" i="7" l="1"/>
  <c r="AB226" i="7"/>
  <c r="S227" i="7"/>
  <c r="N227" i="7"/>
  <c r="Q228" i="7"/>
  <c r="V227" i="7"/>
  <c r="Z225" i="7"/>
  <c r="Q229" i="7" l="1"/>
  <c r="N228" i="7"/>
  <c r="V228" i="7"/>
  <c r="Z226" i="7"/>
  <c r="AB227" i="7"/>
  <c r="W227" i="7"/>
  <c r="S228" i="7"/>
  <c r="S229" i="7" s="1"/>
  <c r="W228" i="7" l="1"/>
  <c r="AB228" i="7"/>
  <c r="Z227" i="7"/>
  <c r="Q230" i="7"/>
  <c r="S230" i="7" s="1"/>
  <c r="V229" i="7"/>
  <c r="N229" i="7"/>
  <c r="AB229" i="7" l="1"/>
  <c r="W229" i="7"/>
  <c r="Z228" i="7"/>
  <c r="Q231" i="7"/>
  <c r="N230" i="7"/>
  <c r="V230" i="7"/>
  <c r="AB230" i="7" l="1"/>
  <c r="W230" i="7"/>
  <c r="Q232" i="7"/>
  <c r="N231" i="7"/>
  <c r="V231" i="7"/>
  <c r="Z229" i="7"/>
  <c r="S231" i="7"/>
  <c r="S232" i="7" s="1"/>
  <c r="W231" i="7" l="1"/>
  <c r="AB231" i="7"/>
  <c r="Q233" i="7"/>
  <c r="V232" i="7"/>
  <c r="N232" i="7"/>
  <c r="Z230" i="7"/>
  <c r="AB232" i="7" l="1"/>
  <c r="W232" i="7"/>
  <c r="Z231" i="7"/>
  <c r="V233" i="7"/>
  <c r="Q234" i="7"/>
  <c r="N233" i="7"/>
  <c r="S233" i="7"/>
  <c r="S234" i="7" s="1"/>
  <c r="Q235" i="7" l="1"/>
  <c r="V234" i="7"/>
  <c r="N234" i="7"/>
  <c r="AB233" i="7"/>
  <c r="W233" i="7"/>
  <c r="S235" i="7"/>
  <c r="Z232" i="7"/>
  <c r="W234" i="7" l="1"/>
  <c r="AB234" i="7"/>
  <c r="Z233" i="7"/>
  <c r="N235" i="7"/>
  <c r="Q236" i="7"/>
  <c r="V235" i="7"/>
  <c r="AB235" i="7" l="1"/>
  <c r="W235" i="7"/>
  <c r="Q237" i="7"/>
  <c r="N236" i="7"/>
  <c r="V236" i="7"/>
  <c r="Z234" i="7"/>
  <c r="S236" i="7"/>
  <c r="AB236" i="7" l="1"/>
  <c r="W236" i="7"/>
  <c r="S237" i="7"/>
  <c r="Q238" i="7"/>
  <c r="V237" i="7"/>
  <c r="N237" i="7"/>
  <c r="Z235" i="7"/>
  <c r="W237" i="7" l="1"/>
  <c r="AB237" i="7"/>
  <c r="S238" i="7"/>
  <c r="Q239" i="7"/>
  <c r="N238" i="7"/>
  <c r="V238" i="7"/>
  <c r="Z236" i="7"/>
  <c r="S239" i="7" l="1"/>
  <c r="AB238" i="7"/>
  <c r="W238" i="7"/>
  <c r="Q240" i="7"/>
  <c r="S240" i="7" s="1"/>
  <c r="N239" i="7"/>
  <c r="V239" i="7"/>
  <c r="Z237" i="7"/>
  <c r="W239" i="7" l="1"/>
  <c r="AB239" i="7"/>
  <c r="Q241" i="7"/>
  <c r="N240" i="7"/>
  <c r="V240" i="7"/>
  <c r="Z238" i="7"/>
  <c r="S241" i="7" l="1"/>
  <c r="Q242" i="7"/>
  <c r="V241" i="7"/>
  <c r="N241" i="7"/>
  <c r="Z239" i="7"/>
  <c r="AB240" i="7"/>
  <c r="W240" i="7"/>
  <c r="S242" i="7" l="1"/>
  <c r="AB241" i="7"/>
  <c r="W241" i="7"/>
  <c r="Z240" i="7"/>
  <c r="Q243" i="7"/>
  <c r="S243" i="7" s="1"/>
  <c r="V242" i="7"/>
  <c r="N242" i="7"/>
  <c r="Q244" i="7" l="1"/>
  <c r="N243" i="7"/>
  <c r="V243" i="7"/>
  <c r="W242" i="7"/>
  <c r="AB242" i="7"/>
  <c r="Z241" i="7"/>
  <c r="Z242" i="7" l="1"/>
  <c r="AB243" i="7"/>
  <c r="W243" i="7"/>
  <c r="S244" i="7"/>
  <c r="Q245" i="7"/>
  <c r="V244" i="7"/>
  <c r="N244" i="7"/>
  <c r="S245" i="7" l="1"/>
  <c r="N245" i="7"/>
  <c r="V245" i="7"/>
  <c r="Q246" i="7"/>
  <c r="Z243" i="7"/>
  <c r="AB244" i="7"/>
  <c r="W244" i="7"/>
  <c r="Q247" i="7" l="1"/>
  <c r="N246" i="7"/>
  <c r="V246" i="7"/>
  <c r="W245" i="7"/>
  <c r="AB245" i="7"/>
  <c r="Z244" i="7"/>
  <c r="S246" i="7"/>
  <c r="S247" i="7" s="1"/>
  <c r="Z245" i="7" l="1"/>
  <c r="AB246" i="7"/>
  <c r="W246" i="7"/>
  <c r="Q248" i="7"/>
  <c r="V247" i="7"/>
  <c r="N247" i="7"/>
  <c r="AB247" i="7" l="1"/>
  <c r="W247" i="7"/>
  <c r="Z246" i="7"/>
  <c r="Q249" i="7"/>
  <c r="V248" i="7"/>
  <c r="N248" i="7"/>
  <c r="S248" i="7"/>
  <c r="S249" i="7" s="1"/>
  <c r="W248" i="7" l="1"/>
  <c r="AB248" i="7"/>
  <c r="Q250" i="7"/>
  <c r="V249" i="7"/>
  <c r="N249" i="7"/>
  <c r="Z247" i="7"/>
  <c r="W249" i="7" l="1"/>
  <c r="AB249" i="7"/>
  <c r="Z248" i="7"/>
  <c r="Q251" i="7"/>
  <c r="V250" i="7"/>
  <c r="N250" i="7"/>
  <c r="S250" i="7"/>
  <c r="S251" i="7" s="1"/>
  <c r="Q252" i="7" l="1"/>
  <c r="V251" i="7"/>
  <c r="N251" i="7"/>
  <c r="S252" i="7"/>
  <c r="Z249" i="7"/>
  <c r="AB250" i="7"/>
  <c r="W250" i="7"/>
  <c r="Z250" i="7" l="1"/>
  <c r="AB251" i="7"/>
  <c r="W251" i="7"/>
  <c r="Q253" i="7"/>
  <c r="S253" i="7" s="1"/>
  <c r="N252" i="7"/>
  <c r="V252" i="7"/>
  <c r="Z251" i="7" l="1"/>
  <c r="Q254" i="7"/>
  <c r="V253" i="7"/>
  <c r="N253" i="7"/>
  <c r="AB252" i="7"/>
  <c r="W252" i="7"/>
  <c r="W253" i="7" l="1"/>
  <c r="AB253" i="7"/>
  <c r="Q255" i="7"/>
  <c r="N254" i="7"/>
  <c r="V254" i="7"/>
  <c r="Z252" i="7"/>
  <c r="S254" i="7"/>
  <c r="S255" i="7" s="1"/>
  <c r="AB254" i="7" l="1"/>
  <c r="W254" i="7"/>
  <c r="V255" i="7"/>
  <c r="Q256" i="7"/>
  <c r="N255" i="7"/>
  <c r="Z253" i="7"/>
  <c r="S256" i="7"/>
  <c r="Q257" i="7" l="1"/>
  <c r="N256" i="7"/>
  <c r="V256" i="7"/>
  <c r="AB255" i="7"/>
  <c r="W255" i="7"/>
  <c r="Z254" i="7"/>
  <c r="AB256" i="7" l="1"/>
  <c r="W256" i="7"/>
  <c r="Q258" i="7"/>
  <c r="N257" i="7"/>
  <c r="V257" i="7"/>
  <c r="Z255" i="7"/>
  <c r="S257" i="7"/>
  <c r="S258" i="7" s="1"/>
  <c r="Q259" i="7" l="1"/>
  <c r="S259" i="7" s="1"/>
  <c r="N258" i="7"/>
  <c r="V258" i="7"/>
  <c r="AB257" i="7"/>
  <c r="W257" i="7"/>
  <c r="Z256" i="7"/>
  <c r="Z257" i="7" l="1"/>
  <c r="AB258" i="7"/>
  <c r="W258" i="7"/>
  <c r="Q260" i="7"/>
  <c r="S260" i="7" s="1"/>
  <c r="N259" i="7"/>
  <c r="V259" i="7"/>
  <c r="Q261" i="7" l="1"/>
  <c r="V260" i="7"/>
  <c r="N260" i="7"/>
  <c r="S261" i="7"/>
  <c r="Z258" i="7"/>
  <c r="AB259" i="7"/>
  <c r="W259" i="7"/>
  <c r="Z259" i="7" l="1"/>
  <c r="W260" i="7"/>
  <c r="AB260" i="7"/>
  <c r="Q262" i="7"/>
  <c r="S262" i="7" s="1"/>
  <c r="N261" i="7"/>
  <c r="V261" i="7"/>
  <c r="AB261" i="7" l="1"/>
  <c r="W261" i="7"/>
  <c r="Q263" i="7"/>
  <c r="V262" i="7"/>
  <c r="N262" i="7"/>
  <c r="Z260" i="7"/>
  <c r="W262" i="7" l="1"/>
  <c r="AB262" i="7"/>
  <c r="Z261" i="7"/>
  <c r="N263" i="7"/>
  <c r="V263" i="7"/>
  <c r="Q264" i="7"/>
  <c r="S263" i="7"/>
  <c r="S264" i="7" s="1"/>
  <c r="Q265" i="7" l="1"/>
  <c r="S265" i="7" s="1"/>
  <c r="N264" i="7"/>
  <c r="V264" i="7"/>
  <c r="AB263" i="7"/>
  <c r="W263" i="7"/>
  <c r="Z262" i="7"/>
  <c r="Z263" i="7" l="1"/>
  <c r="W264" i="7"/>
  <c r="AB264" i="7"/>
  <c r="Q266" i="7"/>
  <c r="N265" i="7"/>
  <c r="V265" i="7"/>
  <c r="W265" i="7" l="1"/>
  <c r="AB265" i="7"/>
  <c r="S266" i="7"/>
  <c r="Q267" i="7"/>
  <c r="N266" i="7"/>
  <c r="V266" i="7"/>
  <c r="Z264" i="7"/>
  <c r="S267" i="7" l="1"/>
  <c r="Q268" i="7"/>
  <c r="V267" i="7"/>
  <c r="N267" i="7"/>
  <c r="Z265" i="7"/>
  <c r="AB266" i="7"/>
  <c r="W266" i="7"/>
  <c r="Z266" i="7" l="1"/>
  <c r="AB267" i="7"/>
  <c r="W267" i="7"/>
  <c r="Q269" i="7"/>
  <c r="V268" i="7"/>
  <c r="N268" i="7"/>
  <c r="S268" i="7"/>
  <c r="S269" i="7" s="1"/>
  <c r="Q270" i="7" l="1"/>
  <c r="V269" i="7"/>
  <c r="N269" i="7"/>
  <c r="Z267" i="7"/>
  <c r="AB268" i="7"/>
  <c r="W268" i="7"/>
  <c r="Z268" i="7" l="1"/>
  <c r="AB269" i="7"/>
  <c r="W269" i="7"/>
  <c r="S270" i="7"/>
  <c r="N270" i="7"/>
  <c r="Q271" i="7"/>
  <c r="V270" i="7"/>
  <c r="Q272" i="7" l="1"/>
  <c r="V271" i="7"/>
  <c r="N271" i="7"/>
  <c r="AB270" i="7"/>
  <c r="W270" i="7"/>
  <c r="S271" i="7"/>
  <c r="S272" i="7" s="1"/>
  <c r="Z269" i="7"/>
  <c r="Z270" i="7" l="1"/>
  <c r="W271" i="7"/>
  <c r="AB271" i="7"/>
  <c r="Q273" i="7"/>
  <c r="V272" i="7"/>
  <c r="N272" i="7"/>
  <c r="Z271" i="7" l="1"/>
  <c r="AB272" i="7"/>
  <c r="W272" i="7"/>
  <c r="S273" i="7"/>
  <c r="Q274" i="7"/>
  <c r="N273" i="7"/>
  <c r="V273" i="7"/>
  <c r="S274" i="7" l="1"/>
  <c r="N274" i="7"/>
  <c r="Q275" i="7"/>
  <c r="V274" i="7"/>
  <c r="Z272" i="7"/>
  <c r="W273" i="7"/>
  <c r="AB273" i="7"/>
  <c r="Q276" i="7" l="1"/>
  <c r="N275" i="7"/>
  <c r="V275" i="7"/>
  <c r="Z273" i="7"/>
  <c r="W274" i="7"/>
  <c r="AB274" i="7"/>
  <c r="S275" i="7"/>
  <c r="S276" i="7" s="1"/>
  <c r="Z274" i="7" l="1"/>
  <c r="W275" i="7"/>
  <c r="AB275" i="7"/>
  <c r="N276" i="7"/>
  <c r="V276" i="7"/>
  <c r="Q277" i="7"/>
  <c r="AB276" i="7" l="1"/>
  <c r="W276" i="7"/>
  <c r="V277" i="7"/>
  <c r="N277" i="7"/>
  <c r="Q278" i="7"/>
  <c r="Z275" i="7"/>
  <c r="S277" i="7"/>
  <c r="S278" i="7" s="1"/>
  <c r="V278" i="7" l="1"/>
  <c r="Q279" i="7"/>
  <c r="N278" i="7"/>
  <c r="W277" i="7"/>
  <c r="AB277" i="7"/>
  <c r="Z276" i="7"/>
  <c r="Z277" i="7" l="1"/>
  <c r="Q280" i="7"/>
  <c r="V279" i="7"/>
  <c r="N279" i="7"/>
  <c r="AB278" i="7"/>
  <c r="W278" i="7"/>
  <c r="S279" i="7"/>
  <c r="S280" i="7" s="1"/>
  <c r="Z278" i="7" l="1"/>
  <c r="W279" i="7"/>
  <c r="AB279" i="7"/>
  <c r="Q281" i="7"/>
  <c r="S281" i="7" s="1"/>
  <c r="N280" i="7"/>
  <c r="V280" i="7"/>
  <c r="Q282" i="7" l="1"/>
  <c r="N281" i="7"/>
  <c r="V281" i="7"/>
  <c r="Z279" i="7"/>
  <c r="W280" i="7"/>
  <c r="AB280" i="7"/>
  <c r="AB281" i="7" l="1"/>
  <c r="W281" i="7"/>
  <c r="Z280" i="7"/>
  <c r="Q283" i="7"/>
  <c r="N282" i="7"/>
  <c r="V282" i="7"/>
  <c r="S282" i="7"/>
  <c r="S283" i="7" s="1"/>
  <c r="AB282" i="7" l="1"/>
  <c r="W282" i="7"/>
  <c r="Q284" i="7"/>
  <c r="N283" i="7"/>
  <c r="V283" i="7"/>
  <c r="Z281" i="7"/>
  <c r="Q285" i="7" l="1"/>
  <c r="N284" i="7"/>
  <c r="V284" i="7"/>
  <c r="AB283" i="7"/>
  <c r="W283" i="7"/>
  <c r="Z282" i="7"/>
  <c r="S284" i="7"/>
  <c r="S285" i="7" s="1"/>
  <c r="Z283" i="7" l="1"/>
  <c r="W284" i="7"/>
  <c r="AB284" i="7"/>
  <c r="V285" i="7"/>
  <c r="N285" i="7"/>
  <c r="Q286" i="7"/>
  <c r="Q287" i="7" l="1"/>
  <c r="N286" i="7"/>
  <c r="V286" i="7"/>
  <c r="Z284" i="7"/>
  <c r="AB285" i="7"/>
  <c r="W285" i="7"/>
  <c r="S286" i="7"/>
  <c r="S287" i="7" s="1"/>
  <c r="Z285" i="7" l="1"/>
  <c r="W286" i="7"/>
  <c r="AB286" i="7"/>
  <c r="V287" i="7"/>
  <c r="Q288" i="7"/>
  <c r="N287" i="7"/>
  <c r="V288" i="7" l="1"/>
  <c r="N288" i="7"/>
  <c r="Q289" i="7"/>
  <c r="Z286" i="7"/>
  <c r="S288" i="7"/>
  <c r="S289" i="7" s="1"/>
  <c r="AB287" i="7"/>
  <c r="W287" i="7"/>
  <c r="Z287" i="7" l="1"/>
  <c r="N289" i="7"/>
  <c r="Q290" i="7"/>
  <c r="S290" i="7" s="1"/>
  <c r="V289" i="7"/>
  <c r="AB288" i="7"/>
  <c r="W288" i="7"/>
  <c r="W289" i="7" l="1"/>
  <c r="AB289" i="7"/>
  <c r="Z288" i="7"/>
  <c r="N290" i="7"/>
  <c r="V290" i="7"/>
  <c r="Q291" i="7"/>
  <c r="N291" i="7" l="1"/>
  <c r="Q292" i="7"/>
  <c r="V291" i="7"/>
  <c r="AB290" i="7"/>
  <c r="W290" i="7"/>
  <c r="Z289" i="7"/>
  <c r="S291" i="7"/>
  <c r="S292" i="7" s="1"/>
  <c r="Q293" i="7" l="1"/>
  <c r="S293" i="7" s="1"/>
  <c r="V292" i="7"/>
  <c r="N292" i="7"/>
  <c r="Z290" i="7"/>
  <c r="AB291" i="7"/>
  <c r="W291" i="7"/>
  <c r="Z291" i="7" l="1"/>
  <c r="W292" i="7"/>
  <c r="AB292" i="7"/>
  <c r="N293" i="7"/>
  <c r="Q294" i="7"/>
  <c r="S294" i="7" s="1"/>
  <c r="V293" i="7"/>
  <c r="AB293" i="7" l="1"/>
  <c r="W293" i="7"/>
  <c r="Z292" i="7"/>
  <c r="Q295" i="7"/>
  <c r="V294" i="7"/>
  <c r="N294" i="7"/>
  <c r="W294" i="7" l="1"/>
  <c r="AB294" i="7"/>
  <c r="Z293" i="7"/>
  <c r="Q296" i="7"/>
  <c r="N295" i="7"/>
  <c r="V295" i="7"/>
  <c r="S295" i="7"/>
  <c r="S296" i="7" s="1"/>
  <c r="Q297" i="7" l="1"/>
  <c r="S297" i="7" s="1"/>
  <c r="V296" i="7"/>
  <c r="N296" i="7"/>
  <c r="AB295" i="7"/>
  <c r="W295" i="7"/>
  <c r="Z294" i="7"/>
  <c r="Z295" i="7" l="1"/>
  <c r="AB296" i="7"/>
  <c r="W296" i="7"/>
  <c r="Q298" i="7"/>
  <c r="N297" i="7"/>
  <c r="V297" i="7"/>
  <c r="Q299" i="7" l="1"/>
  <c r="V298" i="7"/>
  <c r="N298" i="7"/>
  <c r="AB297" i="7"/>
  <c r="W297" i="7"/>
  <c r="Z296" i="7"/>
  <c r="S298" i="7"/>
  <c r="S299" i="7" s="1"/>
  <c r="Z297" i="7" l="1"/>
  <c r="W298" i="7"/>
  <c r="AB298" i="7"/>
  <c r="Q300" i="7"/>
  <c r="V299" i="7"/>
  <c r="N299" i="7"/>
  <c r="AB299" i="7" l="1"/>
  <c r="W299" i="7"/>
  <c r="N300" i="7"/>
  <c r="Q301" i="7"/>
  <c r="V300" i="7"/>
  <c r="Z298" i="7"/>
  <c r="S300" i="7"/>
  <c r="S301" i="7" s="1"/>
  <c r="W300" i="7" l="1"/>
  <c r="AB300" i="7"/>
  <c r="Q302" i="7"/>
  <c r="N301" i="7"/>
  <c r="V301" i="7"/>
  <c r="Z299" i="7"/>
  <c r="AB301" i="7" l="1"/>
  <c r="W301" i="7"/>
  <c r="Z300" i="7"/>
  <c r="Q303" i="7"/>
  <c r="N302" i="7"/>
  <c r="V302" i="7"/>
  <c r="S302" i="7"/>
  <c r="S303" i="7" s="1"/>
  <c r="AB302" i="7" l="1"/>
  <c r="W302" i="7"/>
  <c r="Q304" i="7"/>
  <c r="V303" i="7"/>
  <c r="N303" i="7"/>
  <c r="Z301" i="7"/>
  <c r="Z302" i="7" l="1"/>
  <c r="W303" i="7"/>
  <c r="AB303" i="7"/>
  <c r="Q305" i="7"/>
  <c r="V304" i="7"/>
  <c r="N304" i="7"/>
  <c r="S304" i="7"/>
  <c r="S305" i="7" s="1"/>
  <c r="Q306" i="7" l="1"/>
  <c r="V305" i="7"/>
  <c r="N305" i="7"/>
  <c r="W304" i="7"/>
  <c r="AB304" i="7"/>
  <c r="Z303" i="7"/>
  <c r="Z304" i="7" l="1"/>
  <c r="AB305" i="7"/>
  <c r="W305" i="7"/>
  <c r="S306" i="7"/>
  <c r="Q307" i="7"/>
  <c r="V306" i="7"/>
  <c r="N306" i="7"/>
  <c r="AB306" i="7" l="1"/>
  <c r="W306" i="7"/>
  <c r="S307" i="7"/>
  <c r="Q308" i="7"/>
  <c r="V307" i="7"/>
  <c r="N307" i="7"/>
  <c r="Z305" i="7"/>
  <c r="AB307" i="7" l="1"/>
  <c r="W307" i="7"/>
  <c r="S308" i="7"/>
  <c r="N308" i="7"/>
  <c r="V308" i="7"/>
  <c r="Q309" i="7"/>
  <c r="Q310" i="7" s="1"/>
  <c r="Q311" i="7" s="1"/>
  <c r="Z306" i="7"/>
  <c r="W308" i="7" l="1"/>
  <c r="AB308" i="7"/>
  <c r="N309" i="7"/>
  <c r="V309" i="7"/>
  <c r="S309" i="7"/>
  <c r="S310" i="7" s="1"/>
  <c r="Z307" i="7"/>
  <c r="AH310" i="7" l="1"/>
  <c r="T310" i="7" s="1"/>
  <c r="Z308" i="7"/>
  <c r="AB309" i="7"/>
  <c r="W309" i="7"/>
  <c r="N310" i="7"/>
  <c r="V310" i="7"/>
  <c r="Q312" i="7" l="1"/>
  <c r="N311" i="7"/>
  <c r="V311" i="7"/>
  <c r="Z309" i="7"/>
  <c r="S311" i="7"/>
  <c r="AB310" i="7"/>
  <c r="W310" i="7"/>
  <c r="AH311" i="7" l="1"/>
  <c r="T311" i="7" s="1"/>
  <c r="S312" i="7"/>
  <c r="Z310" i="7"/>
  <c r="N312" i="7"/>
  <c r="V312" i="7"/>
  <c r="Q313" i="7"/>
  <c r="V313" i="7" l="1"/>
  <c r="N313" i="7"/>
  <c r="Q314" i="7"/>
  <c r="AH312" i="7"/>
  <c r="T312" i="7" s="1"/>
  <c r="S313" i="7"/>
  <c r="AB311" i="7"/>
  <c r="W311" i="7"/>
  <c r="Z311" i="7" l="1"/>
  <c r="AH313" i="7"/>
  <c r="T313" i="7" s="1"/>
  <c r="S314" i="7"/>
  <c r="Q315" i="7"/>
  <c r="N314" i="7"/>
  <c r="V314" i="7"/>
  <c r="AB312" i="7"/>
  <c r="W312" i="7"/>
  <c r="AH314" i="7" l="1"/>
  <c r="T314" i="7" s="1"/>
  <c r="S315" i="7"/>
  <c r="W313" i="7"/>
  <c r="AB313" i="7"/>
  <c r="Z312" i="7"/>
  <c r="Q316" i="7"/>
  <c r="V315" i="7"/>
  <c r="N315" i="7"/>
  <c r="Z313" i="7" l="1"/>
  <c r="S316" i="7"/>
  <c r="AH315" i="7"/>
  <c r="T315" i="7" s="1"/>
  <c r="Q317" i="7"/>
  <c r="V316" i="7"/>
  <c r="N316" i="7"/>
  <c r="AB314" i="7"/>
  <c r="W314" i="7"/>
  <c r="Q318" i="7" l="1"/>
  <c r="V317" i="7"/>
  <c r="N317" i="7"/>
  <c r="AH316" i="7"/>
  <c r="T316" i="7" s="1"/>
  <c r="S317" i="7"/>
  <c r="Z314" i="7"/>
  <c r="AB315" i="7"/>
  <c r="W315" i="7"/>
  <c r="Z315" i="7" l="1"/>
  <c r="W316" i="7"/>
  <c r="AB316" i="7"/>
  <c r="AH317" i="7"/>
  <c r="T317" i="7" s="1"/>
  <c r="S318" i="7"/>
  <c r="Q319" i="7"/>
  <c r="N318" i="7"/>
  <c r="V318" i="7"/>
  <c r="AH318" i="7" l="1"/>
  <c r="T318" i="7" s="1"/>
  <c r="S319" i="7"/>
  <c r="Q320" i="7"/>
  <c r="V319" i="7"/>
  <c r="N319" i="7"/>
  <c r="W317" i="7"/>
  <c r="AB317" i="7"/>
  <c r="Z316" i="7"/>
  <c r="Z317" i="7" l="1"/>
  <c r="V320" i="7"/>
  <c r="Q321" i="7"/>
  <c r="N320" i="7"/>
  <c r="AH319" i="7"/>
  <c r="T319" i="7" s="1"/>
  <c r="S320" i="7"/>
  <c r="AB318" i="7"/>
  <c r="W318" i="7"/>
  <c r="S321" i="7" l="1"/>
  <c r="AH320" i="7"/>
  <c r="T320" i="7" s="1"/>
  <c r="W319" i="7"/>
  <c r="AB319" i="7"/>
  <c r="Z318" i="7"/>
  <c r="Q322" i="7"/>
  <c r="N321" i="7"/>
  <c r="V321" i="7"/>
  <c r="N322" i="7" l="1"/>
  <c r="Q323" i="7"/>
  <c r="V322" i="7"/>
  <c r="W320" i="7"/>
  <c r="AB320" i="7"/>
  <c r="Z319" i="7"/>
  <c r="AH321" i="7"/>
  <c r="T321" i="7" s="1"/>
  <c r="S322" i="7"/>
  <c r="Q324" i="7" l="1"/>
  <c r="V323" i="7"/>
  <c r="N323" i="7"/>
  <c r="AB321" i="7"/>
  <c r="W321" i="7"/>
  <c r="Z320" i="7"/>
  <c r="AH322" i="7"/>
  <c r="T322" i="7" s="1"/>
  <c r="S323" i="7"/>
  <c r="W322" i="7" l="1"/>
  <c r="AB322" i="7"/>
  <c r="Z321" i="7"/>
  <c r="S324" i="7"/>
  <c r="AH323" i="7"/>
  <c r="T323" i="7" s="1"/>
  <c r="Q325" i="7"/>
  <c r="V324" i="7"/>
  <c r="N324" i="7"/>
  <c r="W323" i="7" l="1"/>
  <c r="AB323" i="7"/>
  <c r="AH324" i="7"/>
  <c r="T324" i="7" s="1"/>
  <c r="S325" i="7"/>
  <c r="Z322" i="7"/>
  <c r="Q326" i="7"/>
  <c r="V325" i="7"/>
  <c r="N325" i="7"/>
  <c r="AH325" i="7" l="1"/>
  <c r="T325" i="7" s="1"/>
  <c r="S326" i="7"/>
  <c r="Q327" i="7"/>
  <c r="V326" i="7"/>
  <c r="N326" i="7"/>
  <c r="Z323" i="7"/>
  <c r="W324" i="7"/>
  <c r="AB324" i="7"/>
  <c r="Q328" i="7" l="1"/>
  <c r="V327" i="7"/>
  <c r="N327" i="7"/>
  <c r="AH326" i="7"/>
  <c r="T326" i="7" s="1"/>
  <c r="S327" i="7"/>
  <c r="Z324" i="7"/>
  <c r="AB325" i="7"/>
  <c r="W325" i="7"/>
  <c r="AH327" i="7" l="1"/>
  <c r="T327" i="7" s="1"/>
  <c r="S328" i="7"/>
  <c r="Z325" i="7"/>
  <c r="W326" i="7"/>
  <c r="AB326" i="7"/>
  <c r="Q329" i="7"/>
  <c r="V328" i="7"/>
  <c r="N328" i="7"/>
  <c r="V329" i="7" l="1"/>
  <c r="Q330" i="7"/>
  <c r="N329" i="7"/>
  <c r="S329" i="7"/>
  <c r="AH328" i="7"/>
  <c r="T328" i="7" s="1"/>
  <c r="Z326" i="7"/>
  <c r="AB327" i="7"/>
  <c r="W327" i="7"/>
  <c r="Z327" i="7" l="1"/>
  <c r="S330" i="7"/>
  <c r="AH329" i="7"/>
  <c r="T329" i="7" s="1"/>
  <c r="W328" i="7"/>
  <c r="AB328" i="7"/>
  <c r="Q331" i="7"/>
  <c r="N330" i="7"/>
  <c r="V330" i="7"/>
  <c r="S331" i="7" l="1"/>
  <c r="AH330" i="7"/>
  <c r="T330" i="7" s="1"/>
  <c r="N331" i="7"/>
  <c r="V331" i="7"/>
  <c r="Q332" i="7"/>
  <c r="Z328" i="7"/>
  <c r="W329" i="7"/>
  <c r="AB329" i="7"/>
  <c r="W330" i="7" l="1"/>
  <c r="AB330" i="7"/>
  <c r="Q333" i="7"/>
  <c r="N332" i="7"/>
  <c r="V332" i="7"/>
  <c r="Z329" i="7"/>
  <c r="AH331" i="7"/>
  <c r="T331" i="7" s="1"/>
  <c r="S332" i="7"/>
  <c r="W331" i="7" l="1"/>
  <c r="AB331" i="7"/>
  <c r="Q334" i="7"/>
  <c r="V333" i="7"/>
  <c r="N333" i="7"/>
  <c r="Z330" i="7"/>
  <c r="AH332" i="7"/>
  <c r="T332" i="7" s="1"/>
  <c r="S333" i="7"/>
  <c r="W332" i="7" l="1"/>
  <c r="AB332" i="7"/>
  <c r="Q335" i="7"/>
  <c r="N334" i="7"/>
  <c r="V334" i="7"/>
  <c r="Z331" i="7"/>
  <c r="AH333" i="7"/>
  <c r="T333" i="7" s="1"/>
  <c r="S334" i="7"/>
  <c r="Q336" i="7" l="1"/>
  <c r="N335" i="7"/>
  <c r="V335" i="7"/>
  <c r="Z332" i="7"/>
  <c r="W333" i="7"/>
  <c r="AB333" i="7"/>
  <c r="AH334" i="7"/>
  <c r="T334" i="7" s="1"/>
  <c r="S335" i="7"/>
  <c r="Z333" i="7" l="1"/>
  <c r="AB334" i="7"/>
  <c r="W334" i="7"/>
  <c r="AH335" i="7"/>
  <c r="T335" i="7" s="1"/>
  <c r="S336" i="7"/>
  <c r="Q337" i="7"/>
  <c r="V336" i="7"/>
  <c r="N336" i="7"/>
  <c r="Q338" i="7" l="1"/>
  <c r="N337" i="7"/>
  <c r="V337" i="7"/>
  <c r="Z334" i="7"/>
  <c r="AH336" i="7"/>
  <c r="T336" i="7" s="1"/>
  <c r="S337" i="7"/>
  <c r="AB335" i="7"/>
  <c r="W335" i="7"/>
  <c r="AB336" i="7" l="1"/>
  <c r="W336" i="7"/>
  <c r="AH337" i="7"/>
  <c r="T337" i="7" s="1"/>
  <c r="S338" i="7"/>
  <c r="Z335" i="7"/>
  <c r="Q339" i="7"/>
  <c r="V338" i="7"/>
  <c r="N338" i="7"/>
  <c r="Q340" i="7" l="1"/>
  <c r="N339" i="7"/>
  <c r="V339" i="7"/>
  <c r="AH338" i="7"/>
  <c r="T338" i="7" s="1"/>
  <c r="S339" i="7"/>
  <c r="AB337" i="7"/>
  <c r="W337" i="7"/>
  <c r="Z336" i="7"/>
  <c r="W338" i="7" l="1"/>
  <c r="AB338" i="7"/>
  <c r="Z337" i="7"/>
  <c r="AH339" i="7"/>
  <c r="T339" i="7" s="1"/>
  <c r="S340" i="7"/>
  <c r="AH340" i="7" s="1"/>
  <c r="T340" i="7" s="1"/>
  <c r="Q341" i="7"/>
  <c r="Q342" i="7" s="1"/>
  <c r="Q343" i="7" s="1"/>
  <c r="Q344" i="7" s="1"/>
  <c r="Q345" i="7" s="1"/>
  <c r="Q346" i="7" s="1"/>
  <c r="Q347" i="7" s="1"/>
  <c r="Q348" i="7" s="1"/>
  <c r="Q349" i="7" s="1"/>
  <c r="Q350" i="7" s="1"/>
  <c r="Q351" i="7" s="1"/>
  <c r="Q352" i="7" s="1"/>
  <c r="Q353" i="7" s="1"/>
  <c r="Q354" i="7" s="1"/>
  <c r="Q355" i="7" s="1"/>
  <c r="Q356" i="7" s="1"/>
  <c r="Q357" i="7" s="1"/>
  <c r="Q358" i="7" s="1"/>
  <c r="Q359" i="7" s="1"/>
  <c r="Q360" i="7" s="1"/>
  <c r="Q361" i="7" s="1"/>
  <c r="Q362" i="7" s="1"/>
  <c r="Q363" i="7" s="1"/>
  <c r="Q364" i="7" s="1"/>
  <c r="Q365" i="7" s="1"/>
  <c r="Q366" i="7" s="1"/>
  <c r="Q367" i="7" s="1"/>
  <c r="Q368" i="7" s="1"/>
  <c r="V340" i="7"/>
  <c r="N340" i="7"/>
  <c r="AB340" i="7" l="1"/>
  <c r="AB339" i="7"/>
  <c r="W339" i="7"/>
  <c r="W340" i="7"/>
  <c r="Z338" i="7"/>
  <c r="S341" i="7"/>
  <c r="AH341" i="7" s="1"/>
  <c r="N341" i="7"/>
  <c r="V341" i="7"/>
  <c r="Z340" i="7" l="1"/>
  <c r="Z339" i="7"/>
  <c r="T341" i="7"/>
  <c r="W341" i="7" l="1"/>
  <c r="AB341" i="7"/>
  <c r="Z341" i="7" l="1"/>
  <c r="S342" i="7"/>
  <c r="AH342" i="7" s="1"/>
  <c r="N342" i="7"/>
  <c r="V342" i="7"/>
  <c r="T342" i="7" l="1"/>
  <c r="AB342" i="7" l="1"/>
  <c r="W342" i="7"/>
  <c r="S343" i="7" l="1"/>
  <c r="AH343" i="7" s="1"/>
  <c r="N343" i="7"/>
  <c r="V343" i="7"/>
  <c r="Z342" i="7"/>
  <c r="T343" i="7" l="1"/>
  <c r="AB343" i="7" l="1"/>
  <c r="W343" i="7"/>
  <c r="S344" i="7" l="1"/>
  <c r="AH344" i="7" s="1"/>
  <c r="V344" i="7"/>
  <c r="N344" i="7"/>
  <c r="Z343" i="7"/>
  <c r="T344" i="7" l="1"/>
  <c r="W344" i="7" l="1"/>
  <c r="AB344" i="7"/>
  <c r="Z344" i="7" l="1"/>
  <c r="S345" i="7"/>
  <c r="AH345" i="7" s="1"/>
  <c r="N345" i="7"/>
  <c r="V345" i="7"/>
  <c r="T345" i="7" l="1"/>
  <c r="AB345" i="7" l="1"/>
  <c r="W345" i="7"/>
  <c r="S346" i="7" l="1"/>
  <c r="AH346" i="7" s="1"/>
  <c r="N346" i="7"/>
  <c r="V346" i="7"/>
  <c r="Z345" i="7"/>
  <c r="T346" i="7" l="1"/>
  <c r="AB346" i="7" l="1"/>
  <c r="W346" i="7"/>
  <c r="S347" i="7" l="1"/>
  <c r="AH347" i="7" s="1"/>
  <c r="V347" i="7"/>
  <c r="N347" i="7"/>
  <c r="Z346" i="7"/>
  <c r="T347" i="7" l="1"/>
  <c r="W347" i="7" l="1"/>
  <c r="AB347" i="7"/>
  <c r="Z347" i="7" l="1"/>
  <c r="S348" i="7"/>
  <c r="AH348" i="7" s="1"/>
  <c r="N348" i="7"/>
  <c r="V348" i="7"/>
  <c r="T348" i="7" l="1"/>
  <c r="W348" i="7" l="1"/>
  <c r="AB348" i="7"/>
  <c r="Z348" i="7" l="1"/>
  <c r="S349" i="7"/>
  <c r="AH349" i="7" s="1"/>
  <c r="N349" i="7"/>
  <c r="V349" i="7"/>
  <c r="T349" i="7" l="1"/>
  <c r="AB349" i="7" l="1"/>
  <c r="W349" i="7"/>
  <c r="S350" i="7" l="1"/>
  <c r="AH350" i="7" s="1"/>
  <c r="V350" i="7"/>
  <c r="N350" i="7"/>
  <c r="Z349" i="7"/>
  <c r="T350" i="7" l="1"/>
  <c r="AB350" i="7" l="1"/>
  <c r="W350" i="7"/>
  <c r="S351" i="7" l="1"/>
  <c r="AH351" i="7" s="1"/>
  <c r="N351" i="7"/>
  <c r="V351" i="7"/>
  <c r="Z350" i="7"/>
  <c r="T351" i="7" l="1"/>
  <c r="AB351" i="7" l="1"/>
  <c r="W351" i="7"/>
  <c r="S352" i="7" l="1"/>
  <c r="AH352" i="7" s="1"/>
  <c r="V352" i="7"/>
  <c r="N352" i="7"/>
  <c r="Z351" i="7"/>
  <c r="T352" i="7" l="1"/>
  <c r="W352" i="7" l="1"/>
  <c r="AB352" i="7"/>
  <c r="Z352" i="7" l="1"/>
  <c r="S353" i="7"/>
  <c r="AH353" i="7" s="1"/>
  <c r="N353" i="7"/>
  <c r="V353" i="7"/>
  <c r="T353" i="7" l="1"/>
  <c r="W353" i="7" l="1"/>
  <c r="AB353" i="7"/>
  <c r="S354" i="7" l="1"/>
  <c r="AH354" i="7" s="1"/>
  <c r="V354" i="7"/>
  <c r="N354" i="7"/>
  <c r="Z353" i="7"/>
  <c r="T354" i="7" l="1"/>
  <c r="AB354" i="7" l="1"/>
  <c r="W354" i="7"/>
  <c r="S355" i="7" l="1"/>
  <c r="AH355" i="7" s="1"/>
  <c r="N355" i="7"/>
  <c r="V355" i="7"/>
  <c r="Z354" i="7"/>
  <c r="T355" i="7" l="1"/>
  <c r="W355" i="7" l="1"/>
  <c r="AB355" i="7"/>
  <c r="Z355" i="7" l="1"/>
  <c r="S356" i="7"/>
  <c r="AH356" i="7" s="1"/>
  <c r="V356" i="7"/>
  <c r="N356" i="7"/>
  <c r="T356" i="7" l="1"/>
  <c r="AB356" i="7" l="1"/>
  <c r="W356" i="7"/>
  <c r="S357" i="7" l="1"/>
  <c r="AH357" i="7" s="1"/>
  <c r="N357" i="7"/>
  <c r="V357" i="7"/>
  <c r="Z356" i="7"/>
  <c r="T357" i="7" l="1"/>
  <c r="W357" i="7" l="1"/>
  <c r="AB357" i="7"/>
  <c r="S358" i="7" l="1"/>
  <c r="AH358" i="7" s="1"/>
  <c r="V358" i="7"/>
  <c r="N358" i="7"/>
  <c r="Z357" i="7"/>
  <c r="T358" i="7" l="1"/>
  <c r="AB358" i="7" l="1"/>
  <c r="W358" i="7"/>
  <c r="S359" i="7" l="1"/>
  <c r="AH359" i="7" s="1"/>
  <c r="N359" i="7"/>
  <c r="V359" i="7"/>
  <c r="Z358" i="7"/>
  <c r="T359" i="7" l="1"/>
  <c r="AB359" i="7" l="1"/>
  <c r="W359" i="7"/>
  <c r="S360" i="7" l="1"/>
  <c r="AH360" i="7" s="1"/>
  <c r="N360" i="7"/>
  <c r="V360" i="7"/>
  <c r="Z359" i="7"/>
  <c r="T360" i="7" l="1"/>
  <c r="AB360" i="7" l="1"/>
  <c r="W360" i="7"/>
  <c r="S361" i="7" l="1"/>
  <c r="AH361" i="7" s="1"/>
  <c r="V361" i="7"/>
  <c r="N361" i="7"/>
  <c r="Z360" i="7"/>
  <c r="T361" i="7" l="1"/>
  <c r="W361" i="7" l="1"/>
  <c r="AB361" i="7"/>
  <c r="Z361" i="7" l="1"/>
  <c r="S362" i="7"/>
  <c r="AH362" i="7" s="1"/>
  <c r="N362" i="7"/>
  <c r="V362" i="7"/>
  <c r="T362" i="7" l="1"/>
  <c r="W362" i="7" l="1"/>
  <c r="AB362" i="7"/>
  <c r="S363" i="7" l="1"/>
  <c r="AH363" i="7" s="1"/>
  <c r="V363" i="7"/>
  <c r="N363" i="7"/>
  <c r="Z362" i="7"/>
  <c r="T363" i="7" l="1"/>
  <c r="W363" i="7" l="1"/>
  <c r="AB363" i="7"/>
  <c r="S364" i="7" l="1"/>
  <c r="AH364" i="7" s="1"/>
  <c r="N364" i="7"/>
  <c r="V364" i="7"/>
  <c r="Z363" i="7"/>
  <c r="T364" i="7" l="1"/>
  <c r="AB364" i="7" l="1"/>
  <c r="W364" i="7"/>
  <c r="S365" i="7" l="1"/>
  <c r="AH365" i="7" s="1"/>
  <c r="N365" i="7"/>
  <c r="V365" i="7"/>
  <c r="Z364" i="7"/>
  <c r="T365" i="7" l="1"/>
  <c r="W365" i="7" l="1"/>
  <c r="AB365" i="7"/>
  <c r="Z365" i="7" l="1"/>
  <c r="S366" i="7"/>
  <c r="AH366" i="7" s="1"/>
  <c r="V366" i="7"/>
  <c r="N366" i="7"/>
  <c r="T366" i="7" l="1"/>
  <c r="W366" i="7" l="1"/>
  <c r="AB366" i="7"/>
  <c r="Z366" i="7" l="1"/>
  <c r="S367" i="7"/>
  <c r="AH367" i="7" s="1"/>
  <c r="V367" i="7"/>
  <c r="N367" i="7"/>
  <c r="T367" i="7" l="1"/>
  <c r="W367" i="7" l="1"/>
  <c r="AB367" i="7"/>
  <c r="Z367" i="7" l="1"/>
  <c r="S368" i="7"/>
  <c r="AH368" i="7" s="1"/>
  <c r="T368" i="7" s="1"/>
  <c r="Q369" i="7" s="1"/>
  <c r="N368" i="7"/>
  <c r="V368" i="7"/>
  <c r="W368" i="7" l="1"/>
  <c r="AB368" i="7"/>
  <c r="Z368" i="7" l="1"/>
  <c r="S369" i="7"/>
  <c r="AH369" i="7" s="1"/>
  <c r="T369" i="7" s="1"/>
  <c r="Q370" i="7" s="1"/>
  <c r="N369" i="7"/>
  <c r="V369" i="7"/>
  <c r="W369" i="7" l="1"/>
  <c r="AB369" i="7"/>
  <c r="Z369" i="7" l="1"/>
  <c r="S370" i="7"/>
  <c r="AH370" i="7" s="1"/>
  <c r="T370" i="7" s="1"/>
  <c r="Q371" i="7" s="1"/>
  <c r="V370" i="7"/>
  <c r="N370" i="7"/>
  <c r="W370" i="7" l="1"/>
  <c r="AB370" i="7"/>
  <c r="Z370" i="7" l="1"/>
  <c r="S371" i="7"/>
  <c r="AH371" i="7" s="1"/>
  <c r="T371" i="7" s="1"/>
  <c r="Q372" i="7" s="1"/>
  <c r="N371" i="7"/>
  <c r="V371" i="7"/>
  <c r="W371" i="7" l="1"/>
  <c r="AB371" i="7"/>
  <c r="Z371" i="7" l="1"/>
  <c r="S372" i="7"/>
  <c r="AH372" i="7" s="1"/>
  <c r="T372" i="7" s="1"/>
  <c r="Q373" i="7" s="1"/>
  <c r="N372" i="7"/>
  <c r="V372" i="7"/>
  <c r="W372" i="7" l="1"/>
  <c r="AB372" i="7"/>
  <c r="Z372" i="7" l="1"/>
  <c r="S373" i="7"/>
  <c r="AH373" i="7" s="1"/>
  <c r="T373" i="7" s="1"/>
  <c r="Q374" i="7" s="1"/>
  <c r="V373" i="7"/>
  <c r="N373" i="7"/>
  <c r="AB373" i="7" l="1"/>
  <c r="W373" i="7"/>
  <c r="Z373" i="7" l="1"/>
  <c r="S374" i="7"/>
  <c r="AH374" i="7" s="1"/>
  <c r="T374" i="7" s="1"/>
  <c r="Q375" i="7" s="1"/>
  <c r="N374" i="7"/>
  <c r="V374" i="7"/>
  <c r="AB374" i="7" l="1"/>
  <c r="W374" i="7"/>
  <c r="Z374" i="7" l="1"/>
  <c r="S375" i="7"/>
  <c r="N375" i="7"/>
  <c r="V375" i="7"/>
  <c r="AG375" i="7" l="1"/>
  <c r="AH375" i="7"/>
  <c r="T375" i="7" s="1"/>
  <c r="Q376" i="7" s="1"/>
  <c r="AB375" i="7" l="1"/>
  <c r="W375" i="7"/>
  <c r="Z375" i="7" l="1"/>
  <c r="S376" i="7"/>
  <c r="N376" i="7"/>
  <c r="V376" i="7"/>
  <c r="AG376" i="7" l="1"/>
  <c r="AH376" i="7"/>
  <c r="T376" i="7" s="1"/>
  <c r="Q377" i="7" s="1"/>
  <c r="W376" i="7" l="1"/>
  <c r="AB376" i="7"/>
  <c r="Z376" i="7" l="1"/>
  <c r="S377" i="7"/>
  <c r="V377" i="7"/>
  <c r="N377" i="7"/>
  <c r="AG377" i="7" l="1"/>
  <c r="AH377" i="7"/>
  <c r="T377" i="7" s="1"/>
  <c r="Q378" i="7" s="1"/>
  <c r="W377" i="7" l="1"/>
  <c r="AB377" i="7"/>
  <c r="Z377" i="7" l="1"/>
  <c r="S378" i="7"/>
  <c r="V378" i="7"/>
  <c r="N378" i="7"/>
  <c r="AG378" i="7" l="1"/>
  <c r="AH378" i="7"/>
  <c r="T378" i="7" s="1"/>
  <c r="Q379" i="7" s="1"/>
  <c r="AB378" i="7" l="1"/>
  <c r="W378" i="7"/>
  <c r="Z378" i="7" l="1"/>
  <c r="S379" i="7"/>
  <c r="V379" i="7"/>
  <c r="N379" i="7"/>
  <c r="AG379" i="7" l="1"/>
  <c r="AH379" i="7"/>
  <c r="T379" i="7" s="1"/>
  <c r="Q380" i="7" s="1"/>
  <c r="W379" i="7" l="1"/>
  <c r="AB379" i="7"/>
  <c r="Z379" i="7" l="1"/>
  <c r="S380" i="7"/>
  <c r="V380" i="7"/>
  <c r="N380" i="7"/>
  <c r="AG380" i="7" l="1"/>
  <c r="AH380" i="7"/>
  <c r="T380" i="7" s="1"/>
  <c r="Q381" i="7" s="1"/>
  <c r="W380" i="7" l="1"/>
  <c r="AB380" i="7"/>
  <c r="Z380" i="7" l="1"/>
  <c r="S381" i="7"/>
  <c r="N381" i="7"/>
  <c r="V381" i="7"/>
  <c r="AG381" i="7" l="1"/>
  <c r="AH381" i="7"/>
  <c r="T381" i="7" s="1"/>
  <c r="Q382" i="7" s="1"/>
  <c r="W381" i="7" l="1"/>
  <c r="AB381" i="7"/>
  <c r="Z381" i="7" l="1"/>
  <c r="S382" i="7"/>
  <c r="N382" i="7"/>
  <c r="V382" i="7"/>
  <c r="AG382" i="7" l="1"/>
  <c r="AH382" i="7"/>
  <c r="T382" i="7" s="1"/>
  <c r="Q383" i="7" s="1"/>
  <c r="AB382" i="7" l="1"/>
  <c r="W382" i="7"/>
  <c r="Z382" i="7" l="1"/>
  <c r="S383" i="7"/>
  <c r="V383" i="7"/>
  <c r="N383" i="7"/>
  <c r="AG383" i="7" l="1"/>
  <c r="AH383" i="7"/>
  <c r="T383" i="7" s="1"/>
  <c r="Q384" i="7" s="1"/>
  <c r="W383" i="7" l="1"/>
  <c r="AB383" i="7"/>
  <c r="Z383" i="7" l="1"/>
  <c r="S384" i="7"/>
  <c r="N384" i="7"/>
  <c r="V384" i="7"/>
  <c r="AG384" i="7" l="1"/>
  <c r="AH384" i="7"/>
  <c r="T384" i="7" s="1"/>
  <c r="Q385" i="7" s="1"/>
  <c r="AB384" i="7" l="1"/>
  <c r="W384" i="7"/>
  <c r="Z384" i="7" l="1"/>
  <c r="S385" i="7"/>
  <c r="V385" i="7"/>
  <c r="N385" i="7"/>
  <c r="AG385" i="7" l="1"/>
  <c r="AH385" i="7"/>
  <c r="T385" i="7" s="1"/>
  <c r="Q386" i="7" s="1"/>
  <c r="W385" i="7" l="1"/>
  <c r="AB385" i="7"/>
  <c r="Z385" i="7" l="1"/>
  <c r="S386" i="7"/>
  <c r="N386" i="7"/>
  <c r="V386" i="7"/>
  <c r="AG386" i="7" l="1"/>
  <c r="AH386" i="7"/>
  <c r="T386" i="7" s="1"/>
  <c r="Q387" i="7" s="1"/>
  <c r="W386" i="7" l="1"/>
  <c r="AB386" i="7"/>
  <c r="Z386" i="7" l="1"/>
  <c r="S387" i="7"/>
  <c r="V387" i="7"/>
  <c r="N387" i="7"/>
  <c r="AG387" i="7" l="1"/>
  <c r="AH387" i="7"/>
  <c r="T387" i="7" s="1"/>
  <c r="Q388" i="7" s="1"/>
  <c r="AB387" i="7" l="1"/>
  <c r="W387" i="7"/>
  <c r="Z387" i="7" l="1"/>
  <c r="S388" i="7"/>
  <c r="N388" i="7"/>
  <c r="V388" i="7"/>
  <c r="AG388" i="7" l="1"/>
  <c r="AH388" i="7"/>
  <c r="T388" i="7" s="1"/>
  <c r="Q389" i="7" s="1"/>
  <c r="AB388" i="7" l="1"/>
  <c r="W388" i="7"/>
  <c r="Z388" i="7" l="1"/>
  <c r="S389" i="7"/>
  <c r="N389" i="7"/>
  <c r="V389" i="7"/>
  <c r="AG389" i="7" l="1"/>
  <c r="AH389" i="7"/>
  <c r="T389" i="7" s="1"/>
  <c r="Q390" i="7" s="1"/>
  <c r="W389" i="7" l="1"/>
  <c r="AB389" i="7"/>
  <c r="Z389" i="7" l="1"/>
  <c r="S390" i="7"/>
  <c r="N390" i="7"/>
  <c r="V390" i="7"/>
  <c r="AG390" i="7" l="1"/>
  <c r="AH390" i="7"/>
  <c r="T390" i="7" s="1"/>
  <c r="Q391" i="7" s="1"/>
  <c r="AB390" i="7" l="1"/>
  <c r="W390" i="7"/>
  <c r="Z390" i="7" l="1"/>
  <c r="S391" i="7"/>
  <c r="N391" i="7"/>
  <c r="V391" i="7"/>
  <c r="AG391" i="7" l="1"/>
  <c r="AH391" i="7"/>
  <c r="T391" i="7" s="1"/>
  <c r="Q392" i="7" s="1"/>
  <c r="AB391" i="7" l="1"/>
  <c r="W391" i="7"/>
  <c r="Z391" i="7" l="1"/>
  <c r="S392" i="7"/>
  <c r="V392" i="7"/>
  <c r="N392" i="7"/>
  <c r="AG392" i="7" l="1"/>
  <c r="AH392" i="7"/>
  <c r="T392" i="7" s="1"/>
  <c r="Q393" i="7" s="1"/>
  <c r="W392" i="7" l="1"/>
  <c r="AB392" i="7"/>
  <c r="Z392" i="7" l="1"/>
  <c r="S393" i="7"/>
  <c r="V393" i="7"/>
  <c r="N393" i="7"/>
  <c r="AG393" i="7" l="1"/>
  <c r="AH393" i="7"/>
  <c r="T393" i="7" s="1"/>
  <c r="Q394" i="7" s="1"/>
  <c r="AB393" i="7" l="1"/>
  <c r="W393" i="7"/>
  <c r="Z393" i="7" l="1"/>
  <c r="S394" i="7"/>
  <c r="N394" i="7"/>
  <c r="V394" i="7"/>
  <c r="AG394" i="7" l="1"/>
  <c r="AH394" i="7"/>
  <c r="T394" i="7" s="1"/>
  <c r="Q395" i="7" s="1"/>
  <c r="AB394" i="7" l="1"/>
  <c r="W394" i="7"/>
  <c r="Z394" i="7" l="1"/>
  <c r="S395" i="7"/>
  <c r="N395" i="7"/>
  <c r="V395" i="7"/>
  <c r="AG395" i="7" l="1"/>
  <c r="AH395" i="7"/>
  <c r="T395" i="7" s="1"/>
  <c r="Q396" i="7" s="1"/>
  <c r="AB395" i="7" l="1"/>
  <c r="W395" i="7"/>
  <c r="Z395" i="7" l="1"/>
  <c r="S396" i="7"/>
  <c r="N396" i="7"/>
  <c r="V396" i="7"/>
  <c r="AG396" i="7" l="1"/>
  <c r="AH396" i="7"/>
  <c r="T396" i="7" s="1"/>
  <c r="Q397" i="7" s="1"/>
  <c r="W396" i="7" l="1"/>
  <c r="AB396" i="7"/>
  <c r="Z396" i="7" l="1"/>
  <c r="S397" i="7"/>
  <c r="N397" i="7"/>
  <c r="V397" i="7"/>
  <c r="AG397" i="7" l="1"/>
  <c r="AH397" i="7"/>
  <c r="T397" i="7" s="1"/>
  <c r="Q398" i="7" s="1"/>
  <c r="AB397" i="7" l="1"/>
  <c r="W397" i="7"/>
  <c r="Z397" i="7" l="1"/>
  <c r="S398" i="7"/>
  <c r="V398" i="7"/>
  <c r="N398" i="7"/>
  <c r="AG398" i="7" l="1"/>
  <c r="AH398" i="7"/>
  <c r="T398" i="7" s="1"/>
  <c r="Q399" i="7" s="1"/>
  <c r="AB398" i="7" l="1"/>
  <c r="W398" i="7"/>
  <c r="Z398" i="7" l="1"/>
  <c r="S399" i="7"/>
  <c r="N399" i="7"/>
  <c r="V399" i="7"/>
  <c r="AG399" i="7" l="1"/>
  <c r="AH399" i="7"/>
  <c r="T399" i="7" s="1"/>
  <c r="Q400" i="7" s="1"/>
  <c r="AB399" i="7" l="1"/>
  <c r="W399" i="7"/>
  <c r="Z399" i="7" l="1"/>
  <c r="S400" i="7"/>
  <c r="N400" i="7"/>
  <c r="V400" i="7"/>
  <c r="AG400" i="7" l="1"/>
  <c r="AH400" i="7"/>
  <c r="T400" i="7" s="1"/>
  <c r="Q401" i="7" s="1"/>
  <c r="W400" i="7" l="1"/>
  <c r="AB400" i="7"/>
  <c r="Z400" i="7" l="1"/>
  <c r="S401" i="7"/>
  <c r="N401" i="7"/>
  <c r="V401" i="7"/>
  <c r="AG401" i="7" l="1"/>
  <c r="AH401" i="7"/>
  <c r="T401" i="7" s="1"/>
  <c r="Q402" i="7" s="1"/>
  <c r="W401" i="7" l="1"/>
  <c r="AB401" i="7"/>
  <c r="Z401" i="7" l="1"/>
  <c r="S402" i="7"/>
  <c r="V402" i="7"/>
  <c r="N402" i="7"/>
  <c r="AG402" i="7" l="1"/>
  <c r="AH402" i="7"/>
  <c r="T402" i="7" s="1"/>
  <c r="Q403" i="7" s="1"/>
  <c r="AB402" i="7" l="1"/>
  <c r="W402" i="7"/>
  <c r="Z402" i="7" l="1"/>
  <c r="S403" i="7"/>
  <c r="AH403" i="7" s="1"/>
  <c r="T403" i="7" s="1"/>
  <c r="Q404" i="7" s="1"/>
  <c r="V403" i="7"/>
  <c r="N403" i="7"/>
  <c r="S404" i="7" l="1"/>
  <c r="AH404" i="7" s="1"/>
  <c r="T404" i="7" s="1"/>
  <c r="Q405" i="7" s="1"/>
  <c r="N404" i="7"/>
  <c r="V404" i="7"/>
  <c r="AB403" i="7"/>
  <c r="W403" i="7"/>
  <c r="AB404" i="7" l="1"/>
  <c r="W404" i="7"/>
  <c r="Z403" i="7"/>
  <c r="S405" i="7"/>
  <c r="AH405" i="7" s="1"/>
  <c r="T405" i="7" s="1"/>
  <c r="Q406" i="7" s="1"/>
  <c r="V405" i="7"/>
  <c r="N405" i="7"/>
  <c r="S406" i="7" l="1"/>
  <c r="AH406" i="7" s="1"/>
  <c r="T406" i="7" s="1"/>
  <c r="Q407" i="7" s="1"/>
  <c r="N406" i="7"/>
  <c r="V406" i="7"/>
  <c r="W405" i="7"/>
  <c r="AB405" i="7"/>
  <c r="Z404" i="7"/>
  <c r="Z405" i="7" l="1"/>
  <c r="W406" i="7"/>
  <c r="AB406" i="7"/>
  <c r="S407" i="7"/>
  <c r="AH407" i="7" s="1"/>
  <c r="T407" i="7" s="1"/>
  <c r="Q408" i="7" s="1"/>
  <c r="V407" i="7"/>
  <c r="N407" i="7"/>
  <c r="W407" i="7" l="1"/>
  <c r="AB407" i="7"/>
  <c r="Z406" i="7"/>
  <c r="S408" i="7"/>
  <c r="AH408" i="7" s="1"/>
  <c r="T408" i="7" s="1"/>
  <c r="Q409" i="7" s="1"/>
  <c r="V408" i="7"/>
  <c r="N408" i="7"/>
  <c r="AB408" i="7" l="1"/>
  <c r="W408" i="7"/>
  <c r="Z407" i="7"/>
  <c r="S409" i="7"/>
  <c r="AH409" i="7" s="1"/>
  <c r="T409" i="7" s="1"/>
  <c r="Q410" i="7" s="1"/>
  <c r="N409" i="7"/>
  <c r="V409" i="7"/>
  <c r="W409" i="7" l="1"/>
  <c r="AB409" i="7"/>
  <c r="S410" i="7"/>
  <c r="AH410" i="7" s="1"/>
  <c r="T410" i="7" s="1"/>
  <c r="Q411" i="7" s="1"/>
  <c r="V410" i="7"/>
  <c r="N410" i="7"/>
  <c r="Z408" i="7"/>
  <c r="S411" i="7" l="1"/>
  <c r="AH411" i="7" s="1"/>
  <c r="T411" i="7" s="1"/>
  <c r="Q412" i="7" s="1"/>
  <c r="N411" i="7"/>
  <c r="V411" i="7"/>
  <c r="W410" i="7"/>
  <c r="AB410" i="7"/>
  <c r="Z409" i="7"/>
  <c r="Z410" i="7" l="1"/>
  <c r="W411" i="7"/>
  <c r="AB411" i="7"/>
  <c r="S412" i="7"/>
  <c r="AH412" i="7" s="1"/>
  <c r="T412" i="7" s="1"/>
  <c r="Q413" i="7" s="1"/>
  <c r="V412" i="7"/>
  <c r="N412" i="7"/>
  <c r="Z411" i="7" l="1"/>
  <c r="W412" i="7"/>
  <c r="AB412" i="7"/>
  <c r="S413" i="7"/>
  <c r="AH413" i="7" s="1"/>
  <c r="T413" i="7" s="1"/>
  <c r="Q414" i="7" s="1"/>
  <c r="N413" i="7"/>
  <c r="V413" i="7"/>
  <c r="S414" i="7" l="1"/>
  <c r="AH414" i="7" s="1"/>
  <c r="T414" i="7" s="1"/>
  <c r="Q415" i="7" s="1"/>
  <c r="N414" i="7"/>
  <c r="V414" i="7"/>
  <c r="Z412" i="7"/>
  <c r="W413" i="7"/>
  <c r="AB413" i="7"/>
  <c r="AB414" i="7" l="1"/>
  <c r="W414" i="7"/>
  <c r="S415" i="7"/>
  <c r="AH415" i="7" s="1"/>
  <c r="T415" i="7" s="1"/>
  <c r="Q416" i="7" s="1"/>
  <c r="N415" i="7"/>
  <c r="V415" i="7"/>
  <c r="Z413" i="7"/>
  <c r="AB415" i="7" l="1"/>
  <c r="W415" i="7"/>
  <c r="S416" i="7"/>
  <c r="AH416" i="7" s="1"/>
  <c r="T416" i="7" s="1"/>
  <c r="Q417" i="7" s="1"/>
  <c r="N416" i="7"/>
  <c r="V416" i="7"/>
  <c r="Z414" i="7"/>
  <c r="AB416" i="7" l="1"/>
  <c r="W416" i="7"/>
  <c r="S417" i="7"/>
  <c r="AH417" i="7" s="1"/>
  <c r="T417" i="7" s="1"/>
  <c r="Q418" i="7" s="1"/>
  <c r="N417" i="7"/>
  <c r="V417" i="7"/>
  <c r="Z415" i="7"/>
  <c r="W417" i="7" l="1"/>
  <c r="AB417" i="7"/>
  <c r="S418" i="7"/>
  <c r="AH418" i="7" s="1"/>
  <c r="T418" i="7" s="1"/>
  <c r="Q419" i="7" s="1"/>
  <c r="V418" i="7"/>
  <c r="N418" i="7"/>
  <c r="Z416" i="7"/>
  <c r="AB418" i="7" l="1"/>
  <c r="W418" i="7"/>
  <c r="Z417" i="7"/>
  <c r="S419" i="7"/>
  <c r="AH419" i="7" s="1"/>
  <c r="T419" i="7" s="1"/>
  <c r="Q420" i="7" s="1"/>
  <c r="N419" i="7"/>
  <c r="V419" i="7"/>
  <c r="W419" i="7" l="1"/>
  <c r="AB419" i="7"/>
  <c r="S420" i="7"/>
  <c r="AH420" i="7" s="1"/>
  <c r="T420" i="7" s="1"/>
  <c r="Q421" i="7" s="1"/>
  <c r="N420" i="7"/>
  <c r="V420" i="7"/>
  <c r="Z418" i="7"/>
  <c r="W420" i="7" l="1"/>
  <c r="AB420" i="7"/>
  <c r="S421" i="7"/>
  <c r="AH421" i="7" s="1"/>
  <c r="T421" i="7" s="1"/>
  <c r="Q422" i="7" s="1"/>
  <c r="N421" i="7"/>
  <c r="V421" i="7"/>
  <c r="Z419" i="7"/>
  <c r="AB421" i="7" l="1"/>
  <c r="W421" i="7"/>
  <c r="Z420" i="7"/>
  <c r="S422" i="7"/>
  <c r="AH422" i="7" s="1"/>
  <c r="T422" i="7" s="1"/>
  <c r="Q423" i="7" s="1"/>
  <c r="N422" i="7"/>
  <c r="V422" i="7"/>
  <c r="S423" i="7" l="1"/>
  <c r="AH423" i="7" s="1"/>
  <c r="T423" i="7" s="1"/>
  <c r="Q424" i="7" s="1"/>
  <c r="V423" i="7"/>
  <c r="N423" i="7"/>
  <c r="W422" i="7"/>
  <c r="AB422" i="7"/>
  <c r="Z421" i="7"/>
  <c r="Z422" i="7" l="1"/>
  <c r="S424" i="7"/>
  <c r="AH424" i="7" s="1"/>
  <c r="T424" i="7" s="1"/>
  <c r="Q425" i="7" s="1"/>
  <c r="Q426" i="7" s="1"/>
  <c r="Q427" i="7" s="1"/>
  <c r="Q428" i="7" s="1"/>
  <c r="Q429" i="7" s="1"/>
  <c r="Q430" i="7" s="1"/>
  <c r="Q431" i="7" s="1"/>
  <c r="Q432" i="7" s="1"/>
  <c r="Q433" i="7" s="1"/>
  <c r="Q434" i="7" s="1"/>
  <c r="Q435" i="7" s="1"/>
  <c r="Q436" i="7" s="1"/>
  <c r="Q437" i="7" s="1"/>
  <c r="Q438" i="7" s="1"/>
  <c r="Q439" i="7" s="1"/>
  <c r="Q440" i="7" s="1"/>
  <c r="Q441" i="7" s="1"/>
  <c r="Q442" i="7" s="1"/>
  <c r="Q443" i="7" s="1"/>
  <c r="Q444" i="7" s="1"/>
  <c r="Q445" i="7" s="1"/>
  <c r="Q446" i="7" s="1"/>
  <c r="Q447" i="7" s="1"/>
  <c r="Q448" i="7" s="1"/>
  <c r="Q449" i="7" s="1"/>
  <c r="Q450" i="7" s="1"/>
  <c r="Q451" i="7" s="1"/>
  <c r="Q452" i="7" s="1"/>
  <c r="Q453" i="7" s="1"/>
  <c r="Q454" i="7" s="1"/>
  <c r="Q455" i="7" s="1"/>
  <c r="Q456" i="7" s="1"/>
  <c r="Q457" i="7" s="1"/>
  <c r="Q458" i="7" s="1"/>
  <c r="Q459" i="7" s="1"/>
  <c r="Q460" i="7" s="1"/>
  <c r="Q461" i="7" s="1"/>
  <c r="Q462" i="7" s="1"/>
  <c r="Q463" i="7" s="1"/>
  <c r="Q464" i="7" s="1"/>
  <c r="Q465" i="7" s="1"/>
  <c r="Q466" i="7" s="1"/>
  <c r="Q467" i="7" s="1"/>
  <c r="Q468" i="7" s="1"/>
  <c r="Q469" i="7" s="1"/>
  <c r="Q470" i="7" s="1"/>
  <c r="Q471" i="7" s="1"/>
  <c r="Q472" i="7" s="1"/>
  <c r="Q473" i="7" s="1"/>
  <c r="Q474" i="7" s="1"/>
  <c r="Q475" i="7" s="1"/>
  <c r="Q476" i="7" s="1"/>
  <c r="Q477" i="7" s="1"/>
  <c r="Q478" i="7" s="1"/>
  <c r="Q479" i="7" s="1"/>
  <c r="Q480" i="7" s="1"/>
  <c r="Q481" i="7" s="1"/>
  <c r="Q482" i="7" s="1"/>
  <c r="Q483" i="7" s="1"/>
  <c r="Q484" i="7" s="1"/>
  <c r="Q485" i="7" s="1"/>
  <c r="Q486" i="7" s="1"/>
  <c r="Q487" i="7" s="1"/>
  <c r="Q488" i="7" s="1"/>
  <c r="Q489" i="7" s="1"/>
  <c r="Q490" i="7" s="1"/>
  <c r="Q491" i="7" s="1"/>
  <c r="Q492" i="7" s="1"/>
  <c r="Q493" i="7" s="1"/>
  <c r="Q494" i="7" s="1"/>
  <c r="Q495" i="7" s="1"/>
  <c r="Q496" i="7" s="1"/>
  <c r="Q497" i="7" s="1"/>
  <c r="Q498" i="7" s="1"/>
  <c r="Q499" i="7" s="1"/>
  <c r="Q500" i="7" s="1"/>
  <c r="Q501" i="7" s="1"/>
  <c r="Q502" i="7" s="1"/>
  <c r="Q503" i="7" s="1"/>
  <c r="Q504" i="7" s="1"/>
  <c r="Q505" i="7" s="1"/>
  <c r="Q506" i="7" s="1"/>
  <c r="Q507" i="7" s="1"/>
  <c r="Q508" i="7" s="1"/>
  <c r="Q509" i="7" s="1"/>
  <c r="Q510" i="7" s="1"/>
  <c r="Q511" i="7" s="1"/>
  <c r="Q512" i="7" s="1"/>
  <c r="Q513" i="7" s="1"/>
  <c r="Q514" i="7" s="1"/>
  <c r="Q515" i="7" s="1"/>
  <c r="Q516" i="7" s="1"/>
  <c r="Q517" i="7" s="1"/>
  <c r="Q518" i="7" s="1"/>
  <c r="Q519" i="7" s="1"/>
  <c r="Q520" i="7" s="1"/>
  <c r="Q521" i="7" s="1"/>
  <c r="Q522" i="7" s="1"/>
  <c r="Q523" i="7" s="1"/>
  <c r="Q524" i="7" s="1"/>
  <c r="Q525" i="7" s="1"/>
  <c r="V424" i="7"/>
  <c r="N424" i="7"/>
  <c r="W423" i="7"/>
  <c r="AB423" i="7"/>
  <c r="W424" i="7" l="1"/>
  <c r="AB424" i="7"/>
  <c r="Z423" i="7"/>
  <c r="S425" i="7"/>
  <c r="V425" i="7"/>
  <c r="N425" i="7"/>
  <c r="AG425" i="7" l="1"/>
  <c r="AH425" i="7" s="1"/>
  <c r="T425" i="7" s="1"/>
  <c r="Z424" i="7"/>
  <c r="AB425" i="7" l="1"/>
  <c r="W425" i="7"/>
  <c r="Z425" i="7" l="1"/>
  <c r="S426" i="7"/>
  <c r="AG426" i="7" s="1"/>
  <c r="AH426" i="7" s="1"/>
  <c r="T426" i="7" s="1"/>
  <c r="V426" i="7"/>
  <c r="N426" i="7"/>
  <c r="AB426" i="7" l="1"/>
  <c r="W426" i="7"/>
  <c r="Z426" i="7" l="1"/>
  <c r="S427" i="7"/>
  <c r="AG427" i="7" s="1"/>
  <c r="AH427" i="7" s="1"/>
  <c r="T427" i="7" s="1"/>
  <c r="N427" i="7"/>
  <c r="V427" i="7"/>
  <c r="W427" i="7" l="1"/>
  <c r="AB427" i="7"/>
  <c r="Z427" i="7" l="1"/>
  <c r="S428" i="7"/>
  <c r="AG428" i="7" s="1"/>
  <c r="AH428" i="7" s="1"/>
  <c r="T428" i="7" s="1"/>
  <c r="V428" i="7"/>
  <c r="N428" i="7"/>
  <c r="W428" i="7" l="1"/>
  <c r="AB428" i="7"/>
  <c r="Z428" i="7" l="1"/>
  <c r="S429" i="7"/>
  <c r="AG429" i="7" s="1"/>
  <c r="AH429" i="7" s="1"/>
  <c r="T429" i="7" s="1"/>
  <c r="V429" i="7"/>
  <c r="N429" i="7"/>
  <c r="W429" i="7" l="1"/>
  <c r="AB429" i="7"/>
  <c r="Z429" i="7" l="1"/>
  <c r="S430" i="7"/>
  <c r="AG430" i="7" s="1"/>
  <c r="AH430" i="7" s="1"/>
  <c r="T430" i="7" s="1"/>
  <c r="N430" i="7"/>
  <c r="V430" i="7"/>
  <c r="AB430" i="7" l="1"/>
  <c r="W430" i="7"/>
  <c r="Z430" i="7" l="1"/>
  <c r="S431" i="7"/>
  <c r="AG431" i="7" s="1"/>
  <c r="AH431" i="7" s="1"/>
  <c r="T431" i="7" s="1"/>
  <c r="N431" i="7"/>
  <c r="V431" i="7"/>
  <c r="AB431" i="7" l="1"/>
  <c r="W431" i="7"/>
  <c r="Z431" i="7" l="1"/>
  <c r="S432" i="7"/>
  <c r="AG432" i="7" s="1"/>
  <c r="AH432" i="7" s="1"/>
  <c r="T432" i="7" s="1"/>
  <c r="V432" i="7"/>
  <c r="N432" i="7"/>
  <c r="AB432" i="7" l="1"/>
  <c r="W432" i="7"/>
  <c r="Z432" i="7" l="1"/>
  <c r="S433" i="7"/>
  <c r="AG433" i="7" s="1"/>
  <c r="AH433" i="7" s="1"/>
  <c r="T433" i="7" s="1"/>
  <c r="V433" i="7"/>
  <c r="N433" i="7"/>
  <c r="W433" i="7" l="1"/>
  <c r="AB433" i="7"/>
  <c r="Z433" i="7" l="1"/>
  <c r="S434" i="7"/>
  <c r="AG434" i="7" s="1"/>
  <c r="AH434" i="7" s="1"/>
  <c r="T434" i="7" s="1"/>
  <c r="N434" i="7"/>
  <c r="V434" i="7"/>
  <c r="W434" i="7" l="1"/>
  <c r="AB434" i="7"/>
  <c r="Z434" i="7" l="1"/>
  <c r="S435" i="7"/>
  <c r="AG435" i="7" s="1"/>
  <c r="AH435" i="7" s="1"/>
  <c r="T435" i="7" s="1"/>
  <c r="V435" i="7"/>
  <c r="N435" i="7"/>
  <c r="AB435" i="7" l="1"/>
  <c r="W435" i="7"/>
  <c r="Z435" i="7" l="1"/>
  <c r="S436" i="7"/>
  <c r="AG436" i="7" s="1"/>
  <c r="AH436" i="7" s="1"/>
  <c r="T436" i="7" s="1"/>
  <c r="N436" i="7"/>
  <c r="V436" i="7"/>
  <c r="W436" i="7" l="1"/>
  <c r="AB436" i="7"/>
  <c r="Z436" i="7" l="1"/>
  <c r="S437" i="7"/>
  <c r="AG437" i="7" s="1"/>
  <c r="AH437" i="7" s="1"/>
  <c r="T437" i="7" s="1"/>
  <c r="V437" i="7"/>
  <c r="N437" i="7"/>
  <c r="W437" i="7" l="1"/>
  <c r="AB437" i="7"/>
  <c r="Z437" i="7" l="1"/>
  <c r="S438" i="7"/>
  <c r="AG438" i="7" s="1"/>
  <c r="AH438" i="7" s="1"/>
  <c r="T438" i="7" s="1"/>
  <c r="N438" i="7"/>
  <c r="V438" i="7"/>
  <c r="AB438" i="7" l="1"/>
  <c r="W438" i="7"/>
  <c r="Z438" i="7" l="1"/>
  <c r="S439" i="7"/>
  <c r="AG439" i="7" s="1"/>
  <c r="AH439" i="7" s="1"/>
  <c r="T439" i="7" s="1"/>
  <c r="N439" i="7"/>
  <c r="V439" i="7"/>
  <c r="AB439" i="7" l="1"/>
  <c r="W439" i="7"/>
  <c r="Z439" i="7" l="1"/>
  <c r="S440" i="7"/>
  <c r="AG440" i="7" s="1"/>
  <c r="AH440" i="7" s="1"/>
  <c r="T440" i="7" s="1"/>
  <c r="N440" i="7"/>
  <c r="V440" i="7"/>
  <c r="AB440" i="7" l="1"/>
  <c r="W440" i="7"/>
  <c r="Z440" i="7" l="1"/>
  <c r="S441" i="7"/>
  <c r="AG441" i="7" s="1"/>
  <c r="AH441" i="7" s="1"/>
  <c r="T441" i="7" s="1"/>
  <c r="N441" i="7"/>
  <c r="V441" i="7"/>
  <c r="AB441" i="7" l="1"/>
  <c r="W441" i="7"/>
  <c r="Z441" i="7" l="1"/>
  <c r="S442" i="7"/>
  <c r="AG442" i="7" s="1"/>
  <c r="AH442" i="7" s="1"/>
  <c r="T442" i="7" s="1"/>
  <c r="V442" i="7"/>
  <c r="N442" i="7"/>
  <c r="AB442" i="7" l="1"/>
  <c r="W442" i="7"/>
  <c r="Z442" i="7" l="1"/>
  <c r="S443" i="7"/>
  <c r="AG443" i="7" s="1"/>
  <c r="AH443" i="7" s="1"/>
  <c r="T443" i="7" s="1"/>
  <c r="N443" i="7"/>
  <c r="V443" i="7"/>
  <c r="W443" i="7" l="1"/>
  <c r="AB443" i="7"/>
  <c r="Z443" i="7" l="1"/>
  <c r="S444" i="7"/>
  <c r="AG444" i="7" s="1"/>
  <c r="AH444" i="7" s="1"/>
  <c r="T444" i="7" s="1"/>
  <c r="V444" i="7"/>
  <c r="N444" i="7"/>
  <c r="AB444" i="7" l="1"/>
  <c r="W444" i="7"/>
  <c r="Z444" i="7" l="1"/>
  <c r="S445" i="7"/>
  <c r="AG445" i="7" s="1"/>
  <c r="AH445" i="7" s="1"/>
  <c r="T445" i="7" s="1"/>
  <c r="N445" i="7"/>
  <c r="V445" i="7"/>
  <c r="W445" i="7" l="1"/>
  <c r="AB445" i="7"/>
  <c r="Z445" i="7" l="1"/>
  <c r="S446" i="7"/>
  <c r="AG446" i="7" s="1"/>
  <c r="AH446" i="7" s="1"/>
  <c r="T446" i="7" s="1"/>
  <c r="N446" i="7"/>
  <c r="V446" i="7"/>
  <c r="AB446" i="7" l="1"/>
  <c r="W446" i="7"/>
  <c r="Z446" i="7" l="1"/>
  <c r="S447" i="7"/>
  <c r="AG447" i="7" s="1"/>
  <c r="AH447" i="7" s="1"/>
  <c r="T447" i="7" s="1"/>
  <c r="N447" i="7"/>
  <c r="V447" i="7"/>
  <c r="W447" i="7" l="1"/>
  <c r="AB447" i="7"/>
  <c r="Z447" i="7" l="1"/>
  <c r="S448" i="7"/>
  <c r="AG448" i="7" s="1"/>
  <c r="AH448" i="7" s="1"/>
  <c r="T448" i="7" s="1"/>
  <c r="V448" i="7"/>
  <c r="N448" i="7"/>
  <c r="AB448" i="7" l="1"/>
  <c r="W448" i="7"/>
  <c r="Z448" i="7" l="1"/>
  <c r="S449" i="7"/>
  <c r="AG449" i="7" s="1"/>
  <c r="AH449" i="7" s="1"/>
  <c r="T449" i="7" s="1"/>
  <c r="V449" i="7"/>
  <c r="N449" i="7"/>
  <c r="AB449" i="7" l="1"/>
  <c r="W449" i="7"/>
  <c r="Z449" i="7" l="1"/>
  <c r="S450" i="7"/>
  <c r="AG450" i="7" s="1"/>
  <c r="AH450" i="7" s="1"/>
  <c r="T450" i="7" s="1"/>
  <c r="N450" i="7"/>
  <c r="V450" i="7"/>
  <c r="AB450" i="7" l="1"/>
  <c r="W450" i="7"/>
  <c r="Z450" i="7" l="1"/>
  <c r="S451" i="7"/>
  <c r="AG451" i="7" s="1"/>
  <c r="AH451" i="7" s="1"/>
  <c r="T451" i="7" s="1"/>
  <c r="N451" i="7"/>
  <c r="V451" i="7"/>
  <c r="AB451" i="7" l="1"/>
  <c r="W451" i="7"/>
  <c r="Z451" i="7" l="1"/>
  <c r="S452" i="7"/>
  <c r="AG452" i="7" s="1"/>
  <c r="AH452" i="7" s="1"/>
  <c r="T452" i="7" s="1"/>
  <c r="V452" i="7"/>
  <c r="N452" i="7"/>
  <c r="W452" i="7" l="1"/>
  <c r="AB452" i="7"/>
  <c r="Z452" i="7" l="1"/>
  <c r="S453" i="7"/>
  <c r="AG453" i="7" s="1"/>
  <c r="AH453" i="7" s="1"/>
  <c r="T453" i="7" s="1"/>
  <c r="V453" i="7"/>
  <c r="N453" i="7"/>
  <c r="AB453" i="7" l="1"/>
  <c r="W453" i="7"/>
  <c r="Z453" i="7" l="1"/>
  <c r="S454" i="7"/>
  <c r="AG454" i="7" s="1"/>
  <c r="AH454" i="7" s="1"/>
  <c r="T454" i="7" s="1"/>
  <c r="N454" i="7"/>
  <c r="V454" i="7"/>
  <c r="AB454" i="7" l="1"/>
  <c r="W454" i="7"/>
  <c r="Z454" i="7" l="1"/>
  <c r="S455" i="7"/>
  <c r="AG455" i="7" s="1"/>
  <c r="AH455" i="7" s="1"/>
  <c r="T455" i="7" s="1"/>
  <c r="N455" i="7"/>
  <c r="V455" i="7"/>
  <c r="W455" i="7" l="1"/>
  <c r="AB455" i="7"/>
  <c r="Z455" i="7" l="1"/>
  <c r="S456" i="7"/>
  <c r="AG456" i="7" s="1"/>
  <c r="AH456" i="7" s="1"/>
  <c r="T456" i="7" s="1"/>
  <c r="N456" i="7"/>
  <c r="V456" i="7"/>
  <c r="AB456" i="7" l="1"/>
  <c r="W456" i="7"/>
  <c r="Z456" i="7" l="1"/>
  <c r="S457" i="7"/>
  <c r="AG457" i="7" s="1"/>
  <c r="AH457" i="7" s="1"/>
  <c r="T457" i="7" s="1"/>
  <c r="V457" i="7"/>
  <c r="N457" i="7"/>
  <c r="AB457" i="7" l="1"/>
  <c r="W457" i="7"/>
  <c r="Z457" i="7" l="1"/>
  <c r="S458" i="7"/>
  <c r="AG458" i="7" s="1"/>
  <c r="AH458" i="7" s="1"/>
  <c r="T458" i="7" s="1"/>
  <c r="V458" i="7"/>
  <c r="N458" i="7"/>
  <c r="AB458" i="7" l="1"/>
  <c r="W458" i="7"/>
  <c r="Z458" i="7" l="1"/>
  <c r="S459" i="7"/>
  <c r="AG459" i="7" s="1"/>
  <c r="AH459" i="7" s="1"/>
  <c r="T459" i="7" s="1"/>
  <c r="N459" i="7"/>
  <c r="V459" i="7"/>
  <c r="W459" i="7" l="1"/>
  <c r="AB459" i="7"/>
  <c r="Z459" i="7" l="1"/>
  <c r="S460" i="7"/>
  <c r="AG460" i="7" s="1"/>
  <c r="AH460" i="7" s="1"/>
  <c r="T460" i="7" s="1"/>
  <c r="N460" i="7"/>
  <c r="V460" i="7"/>
  <c r="AB460" i="7" l="1"/>
  <c r="W460" i="7"/>
  <c r="Z460" i="7" l="1"/>
  <c r="S461" i="7"/>
  <c r="AG461" i="7" s="1"/>
  <c r="AH461" i="7" s="1"/>
  <c r="T461" i="7" s="1"/>
  <c r="N461" i="7"/>
  <c r="V461" i="7"/>
  <c r="W461" i="7" l="1"/>
  <c r="AB461" i="7"/>
  <c r="Z461" i="7" l="1"/>
  <c r="S462" i="7"/>
  <c r="AG462" i="7" s="1"/>
  <c r="AH462" i="7" s="1"/>
  <c r="T462" i="7" s="1"/>
  <c r="V462" i="7"/>
  <c r="N462" i="7"/>
  <c r="AB462" i="7" l="1"/>
  <c r="W462" i="7"/>
  <c r="Z462" i="7" l="1"/>
  <c r="S463" i="7"/>
  <c r="AG463" i="7" s="1"/>
  <c r="AH463" i="7" s="1"/>
  <c r="T463" i="7" s="1"/>
  <c r="N463" i="7"/>
  <c r="V463" i="7"/>
  <c r="AB463" i="7" l="1"/>
  <c r="W463" i="7"/>
  <c r="Z463" i="7" l="1"/>
  <c r="S464" i="7"/>
  <c r="AG464" i="7" s="1"/>
  <c r="AH464" i="7" s="1"/>
  <c r="T464" i="7" s="1"/>
  <c r="V464" i="7"/>
  <c r="N464" i="7"/>
  <c r="AB464" i="7" l="1"/>
  <c r="W464" i="7"/>
  <c r="Z464" i="7" l="1"/>
  <c r="S465" i="7"/>
  <c r="AG465" i="7" s="1"/>
  <c r="AH465" i="7" s="1"/>
  <c r="T465" i="7" s="1"/>
  <c r="V465" i="7"/>
  <c r="N465" i="7"/>
  <c r="AB465" i="7" l="1"/>
  <c r="W465" i="7"/>
  <c r="Z465" i="7" l="1"/>
  <c r="S466" i="7"/>
  <c r="AG466" i="7" s="1"/>
  <c r="AH466" i="7" s="1"/>
  <c r="T466" i="7" s="1"/>
  <c r="V466" i="7"/>
  <c r="N466" i="7"/>
  <c r="AB466" i="7" l="1"/>
  <c r="W466" i="7"/>
  <c r="Z466" i="7" l="1"/>
  <c r="S467" i="7"/>
  <c r="AG467" i="7" s="1"/>
  <c r="AH467" i="7" s="1"/>
  <c r="T467" i="7" s="1"/>
  <c r="N467" i="7"/>
  <c r="V467" i="7"/>
  <c r="W467" i="7" l="1"/>
  <c r="AB467" i="7"/>
  <c r="Z467" i="7" l="1"/>
  <c r="S468" i="7"/>
  <c r="AG468" i="7" s="1"/>
  <c r="AH468" i="7" s="1"/>
  <c r="T468" i="7" s="1"/>
  <c r="N468" i="7"/>
  <c r="V468" i="7"/>
  <c r="W468" i="7" l="1"/>
  <c r="AB468" i="7"/>
  <c r="Z468" i="7" l="1"/>
  <c r="S469" i="7"/>
  <c r="AG469" i="7" s="1"/>
  <c r="AH469" i="7" s="1"/>
  <c r="T469" i="7" s="1"/>
  <c r="V469" i="7"/>
  <c r="N469" i="7"/>
  <c r="W469" i="7" l="1"/>
  <c r="AB469" i="7"/>
  <c r="Z469" i="7" l="1"/>
  <c r="S470" i="7"/>
  <c r="AG470" i="7" s="1"/>
  <c r="AH470" i="7" s="1"/>
  <c r="T470" i="7" s="1"/>
  <c r="N470" i="7"/>
  <c r="V470" i="7"/>
  <c r="AB470" i="7" l="1"/>
  <c r="W470" i="7"/>
  <c r="Z470" i="7" l="1"/>
  <c r="S471" i="7"/>
  <c r="AG471" i="7" s="1"/>
  <c r="AH471" i="7" s="1"/>
  <c r="T471" i="7" s="1"/>
  <c r="N471" i="7"/>
  <c r="V471" i="7"/>
  <c r="AB471" i="7" l="1"/>
  <c r="W471" i="7"/>
  <c r="Z471" i="7" l="1"/>
  <c r="S472" i="7"/>
  <c r="AG472" i="7" s="1"/>
  <c r="AH472" i="7" s="1"/>
  <c r="T472" i="7" s="1"/>
  <c r="N472" i="7"/>
  <c r="V472" i="7"/>
  <c r="W472" i="7" l="1"/>
  <c r="AB472" i="7"/>
  <c r="Z472" i="7" l="1"/>
  <c r="S473" i="7"/>
  <c r="AG473" i="7" s="1"/>
  <c r="AH473" i="7" s="1"/>
  <c r="T473" i="7" s="1"/>
  <c r="N473" i="7"/>
  <c r="V473" i="7"/>
  <c r="W473" i="7" l="1"/>
  <c r="AB473" i="7"/>
  <c r="Z473" i="7" l="1"/>
  <c r="S474" i="7"/>
  <c r="AG474" i="7" s="1"/>
  <c r="AH474" i="7" s="1"/>
  <c r="T474" i="7" s="1"/>
  <c r="N474" i="7"/>
  <c r="V474" i="7"/>
  <c r="AB474" i="7" l="1"/>
  <c r="W474" i="7"/>
  <c r="Z474" i="7" l="1"/>
  <c r="S475" i="7"/>
  <c r="AG475" i="7" s="1"/>
  <c r="AH475" i="7" s="1"/>
  <c r="T475" i="7" s="1"/>
  <c r="N475" i="7"/>
  <c r="V475" i="7"/>
  <c r="AB475" i="7" l="1"/>
  <c r="W475" i="7"/>
  <c r="Z475" i="7" l="1"/>
  <c r="S476" i="7"/>
  <c r="AG476" i="7" s="1"/>
  <c r="AH476" i="7" s="1"/>
  <c r="T476" i="7" s="1"/>
  <c r="V476" i="7"/>
  <c r="N476" i="7"/>
  <c r="W476" i="7" l="1"/>
  <c r="AB476" i="7"/>
  <c r="Z476" i="7" l="1"/>
  <c r="S477" i="7"/>
  <c r="AG477" i="7" s="1"/>
  <c r="AH477" i="7" s="1"/>
  <c r="T477" i="7" s="1"/>
  <c r="V477" i="7"/>
  <c r="N477" i="7"/>
  <c r="AB477" i="7" l="1"/>
  <c r="W477" i="7"/>
  <c r="Z477" i="7" l="1"/>
  <c r="S478" i="7"/>
  <c r="AG478" i="7" s="1"/>
  <c r="AH478" i="7" s="1"/>
  <c r="T478" i="7" s="1"/>
  <c r="N478" i="7"/>
  <c r="V478" i="7"/>
  <c r="W478" i="7" l="1"/>
  <c r="AB478" i="7"/>
  <c r="Z478" i="7" l="1"/>
  <c r="S479" i="7"/>
  <c r="AG479" i="7" s="1"/>
  <c r="AH479" i="7" s="1"/>
  <c r="T479" i="7" s="1"/>
  <c r="V479" i="7"/>
  <c r="N479" i="7"/>
  <c r="AB479" i="7" l="1"/>
  <c r="W479" i="7"/>
  <c r="Z479" i="7" l="1"/>
  <c r="S480" i="7"/>
  <c r="AG480" i="7" s="1"/>
  <c r="AH480" i="7" s="1"/>
  <c r="T480" i="7" s="1"/>
  <c r="N480" i="7"/>
  <c r="V480" i="7"/>
  <c r="AB480" i="7" l="1"/>
  <c r="W480" i="7"/>
  <c r="Z480" i="7" l="1"/>
  <c r="S481" i="7"/>
  <c r="AG481" i="7" s="1"/>
  <c r="AH481" i="7" s="1"/>
  <c r="T481" i="7" s="1"/>
  <c r="N481" i="7"/>
  <c r="V481" i="7"/>
  <c r="AB481" i="7" l="1"/>
  <c r="W481" i="7"/>
  <c r="Z481" i="7" l="1"/>
  <c r="S482" i="7"/>
  <c r="AG482" i="7" s="1"/>
  <c r="AH482" i="7" s="1"/>
  <c r="T482" i="7" s="1"/>
  <c r="V482" i="7"/>
  <c r="N482" i="7"/>
  <c r="W482" i="7" l="1"/>
  <c r="AB482" i="7"/>
  <c r="Z482" i="7" l="1"/>
  <c r="S483" i="7"/>
  <c r="AG483" i="7" s="1"/>
  <c r="AH483" i="7" s="1"/>
  <c r="T483" i="7" s="1"/>
  <c r="N483" i="7"/>
  <c r="V483" i="7"/>
  <c r="W483" i="7" l="1"/>
  <c r="AB483" i="7"/>
  <c r="Z483" i="7" l="1"/>
  <c r="S484" i="7"/>
  <c r="AG484" i="7" s="1"/>
  <c r="AH484" i="7" s="1"/>
  <c r="T484" i="7" s="1"/>
  <c r="V484" i="7"/>
  <c r="N484" i="7"/>
  <c r="W484" i="7" l="1"/>
  <c r="AB484" i="7"/>
  <c r="Z484" i="7" l="1"/>
  <c r="S485" i="7"/>
  <c r="AG485" i="7" s="1"/>
  <c r="AH485" i="7" s="1"/>
  <c r="T485" i="7" s="1"/>
  <c r="N485" i="7"/>
  <c r="V485" i="7"/>
  <c r="AB485" i="7" l="1"/>
  <c r="W485" i="7"/>
  <c r="Z485" i="7" l="1"/>
  <c r="S486" i="7"/>
  <c r="AG486" i="7" s="1"/>
  <c r="AH486" i="7" s="1"/>
  <c r="T486" i="7" s="1"/>
  <c r="N486" i="7"/>
  <c r="V486" i="7"/>
  <c r="AB486" i="7" l="1"/>
  <c r="W486" i="7"/>
  <c r="Z486" i="7" l="1"/>
  <c r="S487" i="7"/>
  <c r="AG487" i="7" s="1"/>
  <c r="AH487" i="7" s="1"/>
  <c r="T487" i="7" s="1"/>
  <c r="N487" i="7"/>
  <c r="V487" i="7"/>
  <c r="W487" i="7" l="1"/>
  <c r="AB487" i="7"/>
  <c r="Z487" i="7" l="1"/>
  <c r="S488" i="7"/>
  <c r="AG488" i="7" s="1"/>
  <c r="AH488" i="7" s="1"/>
  <c r="T488" i="7" s="1"/>
  <c r="N488" i="7"/>
  <c r="V488" i="7"/>
  <c r="W488" i="7" l="1"/>
  <c r="AB488" i="7"/>
  <c r="Z488" i="7" l="1"/>
  <c r="S489" i="7"/>
  <c r="AG489" i="7" s="1"/>
  <c r="AH489" i="7" s="1"/>
  <c r="T489" i="7" s="1"/>
  <c r="N489" i="7"/>
  <c r="V489" i="7"/>
  <c r="AB489" i="7" l="1"/>
  <c r="W489" i="7"/>
  <c r="Z489" i="7" l="1"/>
  <c r="S490" i="7"/>
  <c r="AG490" i="7" s="1"/>
  <c r="AH490" i="7" s="1"/>
  <c r="T490" i="7" s="1"/>
  <c r="V490" i="7"/>
  <c r="N490" i="7"/>
  <c r="AB490" i="7" l="1"/>
  <c r="W490" i="7"/>
  <c r="Z490" i="7" l="1"/>
  <c r="S491" i="7"/>
  <c r="AG491" i="7" s="1"/>
  <c r="AH491" i="7" s="1"/>
  <c r="T491" i="7" s="1"/>
  <c r="N491" i="7"/>
  <c r="V491" i="7"/>
  <c r="W491" i="7" l="1"/>
  <c r="AB491" i="7"/>
  <c r="Z491" i="7" l="1"/>
  <c r="S492" i="7"/>
  <c r="AG492" i="7" s="1"/>
  <c r="AH492" i="7" s="1"/>
  <c r="T492" i="7" s="1"/>
  <c r="N492" i="7"/>
  <c r="V492" i="7"/>
  <c r="W492" i="7" l="1"/>
  <c r="AB492" i="7"/>
  <c r="Z492" i="7" l="1"/>
  <c r="S493" i="7"/>
  <c r="AG493" i="7" s="1"/>
  <c r="AH493" i="7" s="1"/>
  <c r="T493" i="7" s="1"/>
  <c r="N493" i="7"/>
  <c r="V493" i="7"/>
  <c r="AB493" i="7" l="1"/>
  <c r="W493" i="7"/>
  <c r="Z493" i="7" l="1"/>
  <c r="S494" i="7"/>
  <c r="AG494" i="7" s="1"/>
  <c r="AH494" i="7" s="1"/>
  <c r="T494" i="7" s="1"/>
  <c r="N494" i="7"/>
  <c r="V494" i="7"/>
  <c r="AB494" i="7" l="1"/>
  <c r="W494" i="7"/>
  <c r="Z494" i="7" l="1"/>
  <c r="S495" i="7"/>
  <c r="AG495" i="7" s="1"/>
  <c r="AH495" i="7" s="1"/>
  <c r="T495" i="7" s="1"/>
  <c r="N495" i="7"/>
  <c r="V495" i="7"/>
  <c r="W495" i="7" l="1"/>
  <c r="AB495" i="7"/>
  <c r="Z495" i="7" l="1"/>
  <c r="S496" i="7"/>
  <c r="AG496" i="7" s="1"/>
  <c r="AH496" i="7" s="1"/>
  <c r="T496" i="7" s="1"/>
  <c r="N496" i="7"/>
  <c r="V496" i="7"/>
  <c r="W496" i="7" l="1"/>
  <c r="AB496" i="7"/>
  <c r="Z496" i="7" l="1"/>
  <c r="S497" i="7"/>
  <c r="AG497" i="7" s="1"/>
  <c r="AH497" i="7" s="1"/>
  <c r="T497" i="7" s="1"/>
  <c r="V497" i="7"/>
  <c r="N497" i="7"/>
  <c r="W497" i="7" l="1"/>
  <c r="AB497" i="7"/>
  <c r="Z497" i="7" l="1"/>
  <c r="S498" i="7"/>
  <c r="AG498" i="7" s="1"/>
  <c r="AH498" i="7" s="1"/>
  <c r="T498" i="7" s="1"/>
  <c r="N498" i="7"/>
  <c r="V498" i="7"/>
  <c r="AB498" i="7" l="1"/>
  <c r="W498" i="7"/>
  <c r="Z498" i="7" l="1"/>
  <c r="S499" i="7"/>
  <c r="AG499" i="7" s="1"/>
  <c r="AH499" i="7" s="1"/>
  <c r="T499" i="7" s="1"/>
  <c r="N499" i="7"/>
  <c r="V499" i="7"/>
  <c r="W499" i="7" l="1"/>
  <c r="AB499" i="7"/>
  <c r="Z499" i="7" l="1"/>
  <c r="S500" i="7"/>
  <c r="AG500" i="7" s="1"/>
  <c r="AH500" i="7" s="1"/>
  <c r="T500" i="7" s="1"/>
  <c r="N500" i="7"/>
  <c r="V500" i="7"/>
  <c r="AB500" i="7" l="1"/>
  <c r="W500" i="7"/>
  <c r="Z500" i="7" l="1"/>
  <c r="S501" i="7"/>
  <c r="AG501" i="7" s="1"/>
  <c r="AH501" i="7" s="1"/>
  <c r="T501" i="7" s="1"/>
  <c r="N501" i="7"/>
  <c r="V501" i="7"/>
  <c r="AB501" i="7" l="1"/>
  <c r="W501" i="7"/>
  <c r="Z501" i="7" l="1"/>
  <c r="S502" i="7"/>
  <c r="AG502" i="7" s="1"/>
  <c r="AH502" i="7" s="1"/>
  <c r="T502" i="7" s="1"/>
  <c r="N502" i="7"/>
  <c r="V502" i="7"/>
  <c r="W502" i="7" l="1"/>
  <c r="AB502" i="7"/>
  <c r="Z502" i="7" l="1"/>
  <c r="S503" i="7"/>
  <c r="AG503" i="7" s="1"/>
  <c r="AH503" i="7" s="1"/>
  <c r="T503" i="7" s="1"/>
  <c r="N503" i="7"/>
  <c r="V503" i="7"/>
  <c r="W503" i="7" l="1"/>
  <c r="AB503" i="7"/>
  <c r="Z503" i="7" l="1"/>
  <c r="S504" i="7"/>
  <c r="AG504" i="7" s="1"/>
  <c r="AH504" i="7" s="1"/>
  <c r="T504" i="7" s="1"/>
  <c r="V504" i="7"/>
  <c r="N504" i="7"/>
  <c r="W504" i="7" l="1"/>
  <c r="AB504" i="7"/>
  <c r="Z504" i="7" l="1"/>
  <c r="S505" i="7"/>
  <c r="AG505" i="7" s="1"/>
  <c r="AH505" i="7" s="1"/>
  <c r="T505" i="7" s="1"/>
  <c r="N505" i="7"/>
  <c r="V505" i="7"/>
  <c r="W505" i="7" l="1"/>
  <c r="AB505" i="7"/>
  <c r="Z505" i="7" l="1"/>
  <c r="S506" i="7"/>
  <c r="AG506" i="7" s="1"/>
  <c r="AH506" i="7" s="1"/>
  <c r="T506" i="7" s="1"/>
  <c r="N506" i="7"/>
  <c r="V506" i="7"/>
  <c r="AB506" i="7" l="1"/>
  <c r="W506" i="7"/>
  <c r="Z506" i="7" l="1"/>
  <c r="S507" i="7"/>
  <c r="AG507" i="7" s="1"/>
  <c r="AH507" i="7" s="1"/>
  <c r="T507" i="7" s="1"/>
  <c r="V507" i="7"/>
  <c r="N507" i="7"/>
  <c r="AB507" i="7" l="1"/>
  <c r="W507" i="7"/>
  <c r="Z507" i="7" l="1"/>
  <c r="S508" i="7"/>
  <c r="AG508" i="7" s="1"/>
  <c r="AH508" i="7" s="1"/>
  <c r="T508" i="7" s="1"/>
  <c r="N508" i="7"/>
  <c r="V508" i="7"/>
  <c r="AB508" i="7" l="1"/>
  <c r="W508" i="7"/>
  <c r="Z508" i="7" l="1"/>
  <c r="S509" i="7"/>
  <c r="AG509" i="7" s="1"/>
  <c r="AH509" i="7" s="1"/>
  <c r="T509" i="7" s="1"/>
  <c r="N509" i="7"/>
  <c r="V509" i="7"/>
  <c r="AB509" i="7" l="1"/>
  <c r="W509" i="7"/>
  <c r="Z509" i="7" l="1"/>
  <c r="S510" i="7"/>
  <c r="AG510" i="7" s="1"/>
  <c r="AH510" i="7" s="1"/>
  <c r="T510" i="7" s="1"/>
  <c r="N510" i="7"/>
  <c r="V510" i="7"/>
  <c r="W510" i="7" l="1"/>
  <c r="AB510" i="7"/>
  <c r="Z510" i="7" l="1"/>
  <c r="S511" i="7"/>
  <c r="AG511" i="7" s="1"/>
  <c r="AH511" i="7" s="1"/>
  <c r="T511" i="7" s="1"/>
  <c r="V511" i="7"/>
  <c r="N511" i="7"/>
  <c r="W511" i="7" l="1"/>
  <c r="AB511" i="7"/>
  <c r="Z511" i="7" l="1"/>
  <c r="S512" i="7"/>
  <c r="AG512" i="7" s="1"/>
  <c r="AH512" i="7" s="1"/>
  <c r="T512" i="7" s="1"/>
  <c r="N512" i="7"/>
  <c r="V512" i="7"/>
  <c r="W512" i="7" l="1"/>
  <c r="AB512" i="7"/>
  <c r="Z512" i="7" l="1"/>
  <c r="S513" i="7"/>
  <c r="AG513" i="7" s="1"/>
  <c r="AH513" i="7" s="1"/>
  <c r="T513" i="7" s="1"/>
  <c r="V513" i="7"/>
  <c r="N513" i="7"/>
  <c r="AB513" i="7" l="1"/>
  <c r="W513" i="7"/>
  <c r="Z513" i="7" l="1"/>
  <c r="S514" i="7"/>
  <c r="AG514" i="7" s="1"/>
  <c r="AH514" i="7" s="1"/>
  <c r="T514" i="7" s="1"/>
  <c r="N514" i="7"/>
  <c r="V514" i="7"/>
  <c r="W514" i="7" l="1"/>
  <c r="AB514" i="7"/>
  <c r="Z514" i="7" l="1"/>
  <c r="S515" i="7"/>
  <c r="AG515" i="7" s="1"/>
  <c r="AH515" i="7" s="1"/>
  <c r="T515" i="7" s="1"/>
  <c r="N515" i="7"/>
  <c r="V515" i="7"/>
  <c r="AB515" i="7" l="1"/>
  <c r="W515" i="7"/>
  <c r="Z515" i="7" l="1"/>
  <c r="S516" i="7"/>
  <c r="AG516" i="7" s="1"/>
  <c r="AH516" i="7" s="1"/>
  <c r="T516" i="7" s="1"/>
  <c r="V516" i="7"/>
  <c r="N516" i="7"/>
  <c r="AB516" i="7" l="1"/>
  <c r="W516" i="7"/>
  <c r="Z516" i="7" l="1"/>
  <c r="S517" i="7"/>
  <c r="AG517" i="7" s="1"/>
  <c r="AH517" i="7" s="1"/>
  <c r="T517" i="7" s="1"/>
  <c r="V517" i="7"/>
  <c r="N517" i="7"/>
  <c r="W517" i="7" l="1"/>
  <c r="AB517" i="7"/>
  <c r="Z517" i="7" l="1"/>
  <c r="S518" i="7"/>
  <c r="AG518" i="7" s="1"/>
  <c r="AH518" i="7" s="1"/>
  <c r="T518" i="7" s="1"/>
  <c r="N518" i="7"/>
  <c r="V518" i="7"/>
  <c r="AB518" i="7" l="1"/>
  <c r="W518" i="7"/>
  <c r="Z518" i="7" l="1"/>
  <c r="S519" i="7"/>
  <c r="AG519" i="7" s="1"/>
  <c r="AH519" i="7" s="1"/>
  <c r="T519" i="7" s="1"/>
  <c r="V519" i="7"/>
  <c r="N519" i="7"/>
  <c r="AB519" i="7" l="1"/>
  <c r="W519" i="7"/>
  <c r="Z519" i="7" l="1"/>
  <c r="S520" i="7"/>
  <c r="AG520" i="7" s="1"/>
  <c r="AH520" i="7" s="1"/>
  <c r="T520" i="7" s="1"/>
  <c r="V520" i="7"/>
  <c r="N520" i="7"/>
  <c r="W520" i="7" l="1"/>
  <c r="AB520" i="7"/>
  <c r="Z520" i="7" l="1"/>
  <c r="S521" i="7"/>
  <c r="AG521" i="7" s="1"/>
  <c r="AH521" i="7" s="1"/>
  <c r="T521" i="7" s="1"/>
  <c r="V521" i="7"/>
  <c r="N521" i="7"/>
  <c r="W521" i="7" l="1"/>
  <c r="AB521" i="7"/>
  <c r="Z521" i="7" l="1"/>
  <c r="S522" i="7"/>
  <c r="AG522" i="7" s="1"/>
  <c r="AH522" i="7" s="1"/>
  <c r="T522" i="7" s="1"/>
  <c r="N522" i="7"/>
  <c r="V522" i="7"/>
  <c r="AB522" i="7" l="1"/>
  <c r="W522" i="7"/>
  <c r="Z522" i="7" l="1"/>
  <c r="S523" i="7"/>
  <c r="AG523" i="7" s="1"/>
  <c r="AH523" i="7" s="1"/>
  <c r="T523" i="7" s="1"/>
  <c r="V523" i="7"/>
  <c r="N523" i="7"/>
  <c r="AB523" i="7" l="1"/>
  <c r="W523" i="7"/>
  <c r="Z523" i="7" l="1"/>
  <c r="S524" i="7"/>
  <c r="AG524" i="7" s="1"/>
  <c r="AH524" i="7" s="1"/>
  <c r="T524" i="7" s="1"/>
  <c r="V524" i="7"/>
  <c r="N524" i="7"/>
  <c r="AB524" i="7" l="1"/>
  <c r="W524" i="7"/>
  <c r="Z524" i="7" l="1"/>
  <c r="S525" i="7"/>
  <c r="AG525" i="7" s="1"/>
  <c r="AH525" i="7" s="1"/>
  <c r="T525" i="7" s="1"/>
  <c r="Q526" i="7" s="1"/>
  <c r="N525" i="7"/>
  <c r="V525" i="7"/>
  <c r="AB525" i="7" l="1"/>
  <c r="W525" i="7"/>
  <c r="Z525" i="7" l="1"/>
  <c r="S526" i="7"/>
  <c r="AG526" i="7" s="1"/>
  <c r="AH526" i="7" s="1"/>
  <c r="T526" i="7" s="1"/>
  <c r="Q527" i="7" s="1"/>
  <c r="V526" i="7"/>
  <c r="N526" i="7"/>
  <c r="W526" i="7" l="1"/>
  <c r="AB526" i="7"/>
  <c r="Z526" i="7" l="1"/>
  <c r="S527" i="7"/>
  <c r="AG527" i="7" s="1"/>
  <c r="AH527" i="7" s="1"/>
  <c r="T527" i="7" s="1"/>
  <c r="Q528" i="7" s="1"/>
  <c r="N527" i="7"/>
  <c r="V527" i="7"/>
  <c r="AB527" i="7" l="1"/>
  <c r="W527" i="7"/>
  <c r="Z527" i="7" l="1"/>
  <c r="S528" i="7"/>
  <c r="AG528" i="7" s="1"/>
  <c r="AH528" i="7" s="1"/>
  <c r="T528" i="7" s="1"/>
  <c r="Q529" i="7" s="1"/>
  <c r="N528" i="7"/>
  <c r="V528" i="7"/>
  <c r="AB528" i="7" l="1"/>
  <c r="W528" i="7"/>
  <c r="Z528" i="7" l="1"/>
  <c r="S529" i="7"/>
  <c r="AG529" i="7" s="1"/>
  <c r="AH529" i="7" s="1"/>
  <c r="T529" i="7" s="1"/>
  <c r="Q530" i="7" s="1"/>
  <c r="V529" i="7"/>
  <c r="N529" i="7"/>
  <c r="AB529" i="7" l="1"/>
  <c r="W529" i="7"/>
  <c r="Z529" i="7" l="1"/>
  <c r="S530" i="7"/>
  <c r="AG530" i="7" s="1"/>
  <c r="AH530" i="7" s="1"/>
  <c r="T530" i="7" s="1"/>
  <c r="Q531" i="7" s="1"/>
  <c r="N530" i="7"/>
  <c r="V530" i="7"/>
  <c r="W530" i="7" l="1"/>
  <c r="AB530" i="7"/>
  <c r="Z530" i="7" l="1"/>
  <c r="S531" i="7"/>
  <c r="AG531" i="7" s="1"/>
  <c r="AH531" i="7" s="1"/>
  <c r="T531" i="7" s="1"/>
  <c r="Q532" i="7" s="1"/>
  <c r="N531" i="7"/>
  <c r="V531" i="7"/>
  <c r="W531" i="7" l="1"/>
  <c r="AB531" i="7"/>
  <c r="Z531" i="7" l="1"/>
  <c r="S532" i="7"/>
  <c r="AG532" i="7" s="1"/>
  <c r="AH532" i="7" s="1"/>
  <c r="T532" i="7" s="1"/>
  <c r="Q533" i="7" s="1"/>
  <c r="V532" i="7"/>
  <c r="N532" i="7"/>
  <c r="AB532" i="7" l="1"/>
  <c r="W532" i="7"/>
  <c r="Z532" i="7" l="1"/>
  <c r="S533" i="7"/>
  <c r="AG533" i="7" s="1"/>
  <c r="AH533" i="7" s="1"/>
  <c r="T533" i="7" s="1"/>
  <c r="Q534" i="7" s="1"/>
  <c r="N533" i="7"/>
  <c r="V533" i="7"/>
  <c r="AB533" i="7" l="1"/>
  <c r="W533" i="7"/>
  <c r="Z533" i="7" l="1"/>
  <c r="S534" i="7"/>
  <c r="AG534" i="7" s="1"/>
  <c r="AH534" i="7" s="1"/>
  <c r="T534" i="7" s="1"/>
  <c r="Q535" i="7" s="1"/>
  <c r="V534" i="7"/>
  <c r="N534" i="7"/>
  <c r="AB534" i="7" l="1"/>
  <c r="W534" i="7"/>
  <c r="Z534" i="7" l="1"/>
  <c r="S535" i="7"/>
  <c r="AG535" i="7" s="1"/>
  <c r="AH535" i="7" s="1"/>
  <c r="T535" i="7" s="1"/>
  <c r="Q536" i="7" s="1"/>
  <c r="V535" i="7"/>
  <c r="N535" i="7"/>
  <c r="AB535" i="7" l="1"/>
  <c r="W535" i="7"/>
  <c r="Z535" i="7" l="1"/>
  <c r="S536" i="7"/>
  <c r="AG536" i="7" s="1"/>
  <c r="AH536" i="7" s="1"/>
  <c r="T536" i="7" s="1"/>
  <c r="Q537" i="7" s="1"/>
  <c r="N536" i="7"/>
  <c r="V536" i="7"/>
  <c r="W536" i="7" l="1"/>
  <c r="AB536" i="7"/>
  <c r="Z536" i="7" l="1"/>
  <c r="S537" i="7"/>
  <c r="AG537" i="7" s="1"/>
  <c r="AH537" i="7" s="1"/>
  <c r="T537" i="7" s="1"/>
  <c r="Q538" i="7" s="1"/>
  <c r="V537" i="7"/>
  <c r="N537" i="7"/>
  <c r="AB537" i="7" l="1"/>
  <c r="W537" i="7"/>
  <c r="Z537" i="7" l="1"/>
  <c r="S538" i="7"/>
  <c r="AG538" i="7" s="1"/>
  <c r="AH538" i="7" s="1"/>
  <c r="T538" i="7" s="1"/>
  <c r="Q539" i="7" s="1"/>
  <c r="V538" i="7"/>
  <c r="N538" i="7"/>
  <c r="AB538" i="7" l="1"/>
  <c r="W538" i="7"/>
  <c r="Z538" i="7" l="1"/>
  <c r="S539" i="7"/>
  <c r="AG539" i="7" s="1"/>
  <c r="AH539" i="7" s="1"/>
  <c r="T539" i="7" s="1"/>
  <c r="Q540" i="7" s="1"/>
  <c r="V539" i="7"/>
  <c r="N539" i="7"/>
  <c r="AB539" i="7" l="1"/>
  <c r="W539" i="7"/>
  <c r="Z539" i="7" l="1"/>
  <c r="S540" i="7"/>
  <c r="AG540" i="7" s="1"/>
  <c r="AH540" i="7" s="1"/>
  <c r="T540" i="7" s="1"/>
  <c r="Q541" i="7" s="1"/>
  <c r="N540" i="7"/>
  <c r="V540" i="7"/>
  <c r="W540" i="7" l="1"/>
  <c r="AB540" i="7"/>
  <c r="Z540" i="7" l="1"/>
  <c r="S541" i="7"/>
  <c r="AG541" i="7" s="1"/>
  <c r="AH541" i="7" s="1"/>
  <c r="T541" i="7" s="1"/>
  <c r="Q542" i="7" s="1"/>
  <c r="V541" i="7"/>
  <c r="N541" i="7"/>
  <c r="AB541" i="7" l="1"/>
  <c r="W541" i="7"/>
  <c r="Z541" i="7" l="1"/>
  <c r="S542" i="7"/>
  <c r="AG542" i="7" s="1"/>
  <c r="AH542" i="7" s="1"/>
  <c r="T542" i="7" s="1"/>
  <c r="Q543" i="7" s="1"/>
  <c r="N542" i="7"/>
  <c r="V542" i="7"/>
  <c r="AB542" i="7" l="1"/>
  <c r="W542" i="7"/>
  <c r="Z542" i="7" l="1"/>
  <c r="S543" i="7"/>
  <c r="AG543" i="7" s="1"/>
  <c r="AH543" i="7" s="1"/>
  <c r="T543" i="7" s="1"/>
  <c r="Q544" i="7" s="1"/>
  <c r="V543" i="7"/>
  <c r="N543" i="7"/>
  <c r="W543" i="7" l="1"/>
  <c r="AB543" i="7"/>
  <c r="Z543" i="7" l="1"/>
  <c r="S544" i="7"/>
  <c r="AG544" i="7" s="1"/>
  <c r="AH544" i="7" s="1"/>
  <c r="T544" i="7" s="1"/>
  <c r="Q545" i="7" s="1"/>
  <c r="V544" i="7"/>
  <c r="N544" i="7"/>
  <c r="AB544" i="7" l="1"/>
  <c r="W544" i="7"/>
  <c r="Z544" i="7" l="1"/>
  <c r="S545" i="7"/>
  <c r="AG545" i="7" s="1"/>
  <c r="AH545" i="7" s="1"/>
  <c r="T545" i="7" s="1"/>
  <c r="Q546" i="7" s="1"/>
  <c r="N545" i="7"/>
  <c r="V545" i="7"/>
  <c r="AB545" i="7" l="1"/>
  <c r="W545" i="7"/>
  <c r="Z545" i="7" l="1"/>
  <c r="S546" i="7"/>
  <c r="AH546" i="7" s="1"/>
  <c r="T546" i="7" s="1"/>
  <c r="Q547" i="7" s="1"/>
  <c r="N546" i="7"/>
  <c r="V546" i="7"/>
  <c r="W546" i="7" l="1"/>
  <c r="AB546" i="7"/>
  <c r="S547" i="7"/>
  <c r="AH547" i="7" s="1"/>
  <c r="T547" i="7" s="1"/>
  <c r="Q548" i="7" s="1"/>
  <c r="N547" i="7"/>
  <c r="V547" i="7"/>
  <c r="W547" i="7" l="1"/>
  <c r="AB547" i="7"/>
  <c r="Z546" i="7"/>
  <c r="S548" i="7"/>
  <c r="AH548" i="7" s="1"/>
  <c r="T548" i="7" s="1"/>
  <c r="Q549" i="7" s="1"/>
  <c r="V548" i="7"/>
  <c r="N548" i="7"/>
  <c r="S549" i="7" l="1"/>
  <c r="N549" i="7"/>
  <c r="V549" i="7"/>
  <c r="W548" i="7"/>
  <c r="AB548" i="7"/>
  <c r="Z547" i="7"/>
  <c r="AG549" i="7" l="1"/>
  <c r="AH549" i="7" s="1"/>
  <c r="T549" i="7" s="1"/>
  <c r="Z548" i="7"/>
  <c r="Q550" i="7" l="1"/>
  <c r="W549" i="7"/>
  <c r="AB549" i="7"/>
  <c r="Z549" i="7" s="1"/>
  <c r="V550" i="7" l="1"/>
  <c r="S550" i="7"/>
  <c r="AG550" i="7" s="1"/>
  <c r="N550" i="7"/>
  <c r="AH550" i="7" l="1"/>
  <c r="T550" i="7" s="1"/>
  <c r="Q551" i="7" l="1"/>
  <c r="AB550" i="7"/>
  <c r="W550" i="7"/>
  <c r="Z550" i="7" l="1"/>
  <c r="N551" i="7"/>
  <c r="V551" i="7"/>
  <c r="S551" i="7"/>
  <c r="AG551" i="7" s="1"/>
  <c r="AH551" i="7" l="1"/>
  <c r="T551" i="7" s="1"/>
  <c r="Q552" i="7" l="1"/>
  <c r="W551" i="7"/>
  <c r="AB551" i="7"/>
  <c r="Z551" i="7" l="1"/>
  <c r="N552" i="7"/>
  <c r="V552" i="7"/>
  <c r="S552" i="7"/>
  <c r="AG552" i="7" s="1"/>
  <c r="AH552" i="7" l="1"/>
  <c r="T552" i="7" s="1"/>
  <c r="W552" i="7" l="1"/>
  <c r="AB552" i="7"/>
  <c r="Q553" i="7"/>
  <c r="N553" i="7" l="1"/>
  <c r="V553" i="7"/>
  <c r="S553" i="7"/>
  <c r="Z552" i="7"/>
  <c r="AG553" i="7" l="1"/>
  <c r="AH553" i="7" s="1"/>
  <c r="T553" i="7" s="1"/>
  <c r="AB553" i="7" l="1"/>
  <c r="W553" i="7"/>
  <c r="Q554" i="7"/>
  <c r="N554" i="7" l="1"/>
  <c r="V554" i="7"/>
  <c r="S554" i="7"/>
  <c r="Z553" i="7"/>
  <c r="AG554" i="7" l="1"/>
  <c r="AH554" i="7" s="1"/>
  <c r="T554" i="7" s="1"/>
  <c r="W554" i="7" l="1"/>
  <c r="AB554" i="7"/>
  <c r="Q555" i="7"/>
  <c r="V555" i="7" l="1"/>
  <c r="N555" i="7"/>
  <c r="S555" i="7"/>
  <c r="Z554" i="7"/>
  <c r="AG555" i="7" l="1"/>
  <c r="AH555" i="7" s="1"/>
  <c r="T555" i="7" s="1"/>
  <c r="AB555" i="7" l="1"/>
  <c r="W555" i="7"/>
  <c r="Q556" i="7"/>
  <c r="Z555" i="7" l="1"/>
  <c r="N556" i="7"/>
  <c r="V556" i="7"/>
  <c r="S556" i="7"/>
  <c r="AG556" i="7" l="1"/>
  <c r="AH556" i="7" s="1"/>
  <c r="T556" i="7" s="1"/>
  <c r="AB556" i="7" l="1"/>
  <c r="W556" i="7"/>
  <c r="Q557" i="7"/>
  <c r="N557" i="7" l="1"/>
  <c r="V557" i="7"/>
  <c r="S557" i="7"/>
  <c r="AG557" i="7" s="1"/>
  <c r="Z556" i="7"/>
  <c r="AH557" i="7" l="1"/>
  <c r="T557" i="7" s="1"/>
  <c r="W557" i="7" l="1"/>
  <c r="AB557" i="7"/>
  <c r="Q558" i="7"/>
  <c r="Z557" i="7" l="1"/>
  <c r="N558" i="7"/>
  <c r="V558" i="7"/>
  <c r="S558" i="7"/>
  <c r="AG558" i="7" l="1"/>
  <c r="AH558" i="7" s="1"/>
  <c r="T558" i="7" s="1"/>
  <c r="AB558" i="7" l="1"/>
  <c r="W558" i="7"/>
  <c r="Q559" i="7"/>
  <c r="N559" i="7" l="1"/>
  <c r="V559" i="7"/>
  <c r="S559" i="7"/>
  <c r="Z558" i="7"/>
  <c r="AG559" i="7" l="1"/>
  <c r="AH559" i="7" s="1"/>
  <c r="T559" i="7" s="1"/>
  <c r="W559" i="7" l="1"/>
  <c r="AB559" i="7"/>
  <c r="Q560" i="7"/>
  <c r="Z559" i="7" l="1"/>
  <c r="V560" i="7"/>
  <c r="N560" i="7"/>
  <c r="S560" i="7"/>
  <c r="AG560" i="7" l="1"/>
  <c r="AH560" i="7" s="1"/>
  <c r="T560" i="7" s="1"/>
  <c r="W560" i="7" l="1"/>
  <c r="AB560" i="7"/>
  <c r="Q561" i="7"/>
  <c r="Z560" i="7" l="1"/>
  <c r="N561" i="7"/>
  <c r="V561" i="7"/>
  <c r="S561" i="7"/>
  <c r="AG561" i="7" l="1"/>
  <c r="AH561" i="7" s="1"/>
  <c r="T561" i="7" s="1"/>
  <c r="AB561" i="7" l="1"/>
  <c r="W561" i="7"/>
  <c r="Q562" i="7"/>
  <c r="N562" i="7" l="1"/>
  <c r="V562" i="7"/>
  <c r="S562" i="7"/>
  <c r="Z561" i="7"/>
  <c r="AG562" i="7" l="1"/>
  <c r="AH562" i="7" s="1"/>
  <c r="T562" i="7" s="1"/>
  <c r="W562" i="7" l="1"/>
  <c r="AB562" i="7"/>
  <c r="Q563" i="7"/>
  <c r="Z562" i="7" l="1"/>
  <c r="V563" i="7"/>
  <c r="N563" i="7"/>
  <c r="S563" i="7"/>
  <c r="AG563" i="7" l="1"/>
  <c r="AH563" i="7" s="1"/>
  <c r="T563" i="7" s="1"/>
  <c r="AB563" i="7" l="1"/>
  <c r="W563" i="7"/>
  <c r="Q564" i="7"/>
  <c r="V564" i="7" l="1"/>
  <c r="N564" i="7"/>
  <c r="S564" i="7"/>
  <c r="Z563" i="7"/>
  <c r="AG564" i="7" l="1"/>
  <c r="AH564" i="7" s="1"/>
  <c r="T564" i="7" s="1"/>
  <c r="AB564" i="7" l="1"/>
  <c r="W564" i="7"/>
  <c r="Q565" i="7"/>
  <c r="V565" i="7" l="1"/>
  <c r="N565" i="7"/>
  <c r="S565" i="7"/>
  <c r="Z564" i="7"/>
  <c r="AG565" i="7" l="1"/>
  <c r="AH565" i="7" s="1"/>
  <c r="T565" i="7" s="1"/>
  <c r="W565" i="7" l="1"/>
  <c r="AB565" i="7"/>
  <c r="Q566" i="7"/>
  <c r="Z565" i="7" l="1"/>
  <c r="N566" i="7"/>
  <c r="V566" i="7"/>
  <c r="S566" i="7"/>
  <c r="AG566" i="7" l="1"/>
  <c r="AH566" i="7" s="1"/>
  <c r="T566" i="7" s="1"/>
  <c r="W566" i="7" l="1"/>
  <c r="AB566" i="7"/>
  <c r="Q567" i="7"/>
  <c r="Z566" i="7" l="1"/>
  <c r="N567" i="7"/>
  <c r="V567" i="7"/>
  <c r="S567" i="7"/>
  <c r="AG567" i="7" l="1"/>
  <c r="AH567" i="7" s="1"/>
  <c r="T567" i="7" s="1"/>
  <c r="AB567" i="7" l="1"/>
  <c r="W567" i="7"/>
  <c r="Q568" i="7"/>
  <c r="V568" i="7" l="1"/>
  <c r="N568" i="7"/>
  <c r="Q569" i="7"/>
  <c r="S568" i="7"/>
  <c r="Z567" i="7"/>
  <c r="Q570" i="7" l="1"/>
  <c r="N569" i="7"/>
  <c r="V569" i="7"/>
  <c r="AG568" i="7"/>
  <c r="AH568" i="7" s="1"/>
  <c r="T568" i="7" s="1"/>
  <c r="S569" i="7"/>
  <c r="S570" i="7" l="1"/>
  <c r="AG569" i="7"/>
  <c r="AH569" i="7" s="1"/>
  <c r="T569" i="7" s="1"/>
  <c r="W568" i="7"/>
  <c r="AB568" i="7"/>
  <c r="V570" i="7"/>
  <c r="N570" i="7"/>
  <c r="Q571" i="7"/>
  <c r="Z568" i="7" l="1"/>
  <c r="W569" i="7"/>
  <c r="AB569" i="7"/>
  <c r="Q572" i="7"/>
  <c r="V571" i="7"/>
  <c r="N571" i="7"/>
  <c r="S571" i="7"/>
  <c r="AG570" i="7"/>
  <c r="AH570" i="7" s="1"/>
  <c r="T570" i="7" s="1"/>
  <c r="W570" i="7" l="1"/>
  <c r="AB570" i="7"/>
  <c r="Z569" i="7"/>
  <c r="AG571" i="7"/>
  <c r="AH571" i="7" s="1"/>
  <c r="T571" i="7" s="1"/>
  <c r="S572" i="7"/>
  <c r="V572" i="7"/>
  <c r="N572" i="7"/>
  <c r="Q573" i="7"/>
  <c r="AG572" i="7" l="1"/>
  <c r="AH572" i="7" s="1"/>
  <c r="T572" i="7" s="1"/>
  <c r="S573" i="7"/>
  <c r="W571" i="7"/>
  <c r="AB571" i="7"/>
  <c r="Z570" i="7"/>
  <c r="Q574" i="7"/>
  <c r="V573" i="7"/>
  <c r="N573" i="7"/>
  <c r="Z571" i="7" l="1"/>
  <c r="N574" i="7"/>
  <c r="Q575" i="7"/>
  <c r="V574" i="7"/>
  <c r="AG573" i="7"/>
  <c r="AH573" i="7" s="1"/>
  <c r="T573" i="7" s="1"/>
  <c r="S574" i="7"/>
  <c r="W572" i="7"/>
  <c r="AB572" i="7"/>
  <c r="S575" i="7" l="1"/>
  <c r="AG574" i="7"/>
  <c r="AH574" i="7" s="1"/>
  <c r="T574" i="7" s="1"/>
  <c r="Q576" i="7"/>
  <c r="N575" i="7"/>
  <c r="V575" i="7"/>
  <c r="W573" i="7"/>
  <c r="AB573" i="7"/>
  <c r="Z572" i="7"/>
  <c r="Z573" i="7" l="1"/>
  <c r="Q577" i="7"/>
  <c r="V576" i="7"/>
  <c r="N576" i="7"/>
  <c r="AB574" i="7"/>
  <c r="W574" i="7"/>
  <c r="AG575" i="7"/>
  <c r="AH575" i="7" s="1"/>
  <c r="T575" i="7" s="1"/>
  <c r="S576" i="7"/>
  <c r="S577" i="7" l="1"/>
  <c r="AG576" i="7"/>
  <c r="AH576" i="7" s="1"/>
  <c r="T576" i="7" s="1"/>
  <c r="W575" i="7"/>
  <c r="AB575" i="7"/>
  <c r="Z574" i="7"/>
  <c r="N577" i="7"/>
  <c r="Q578" i="7"/>
  <c r="V577" i="7"/>
  <c r="Q579" i="7" l="1"/>
  <c r="N578" i="7"/>
  <c r="V578" i="7"/>
  <c r="Z575" i="7"/>
  <c r="W576" i="7"/>
  <c r="AB576" i="7"/>
  <c r="AG577" i="7"/>
  <c r="AH577" i="7" s="1"/>
  <c r="T577" i="7" s="1"/>
  <c r="S578" i="7"/>
  <c r="Z576" i="7" l="1"/>
  <c r="W577" i="7"/>
  <c r="AB577" i="7"/>
  <c r="S579" i="7"/>
  <c r="AG578" i="7"/>
  <c r="AH578" i="7" s="1"/>
  <c r="T578" i="7" s="1"/>
  <c r="N579" i="7"/>
  <c r="Q580" i="7"/>
  <c r="V579" i="7"/>
  <c r="W578" i="7" l="1"/>
  <c r="AB578" i="7"/>
  <c r="Z577" i="7"/>
  <c r="AG579" i="7"/>
  <c r="AH579" i="7" s="1"/>
  <c r="T579" i="7" s="1"/>
  <c r="S580" i="7"/>
  <c r="Q581" i="7"/>
  <c r="V580" i="7"/>
  <c r="N580" i="7"/>
  <c r="V581" i="7" l="1"/>
  <c r="N581" i="7"/>
  <c r="Q582" i="7"/>
  <c r="AB579" i="7"/>
  <c r="W579" i="7"/>
  <c r="Z578" i="7"/>
  <c r="AG580" i="7"/>
  <c r="AH580" i="7" s="1"/>
  <c r="T580" i="7" s="1"/>
  <c r="S581" i="7"/>
  <c r="Z579" i="7" l="1"/>
  <c r="Q583" i="7"/>
  <c r="V582" i="7"/>
  <c r="N582" i="7"/>
  <c r="AB580" i="7"/>
  <c r="W580" i="7"/>
  <c r="AG581" i="7"/>
  <c r="AH581" i="7" s="1"/>
  <c r="T581" i="7" s="1"/>
  <c r="S582" i="7"/>
  <c r="AB581" i="7" l="1"/>
  <c r="W581" i="7"/>
  <c r="Z580" i="7"/>
  <c r="N583" i="7"/>
  <c r="V583" i="7"/>
  <c r="Q584" i="7"/>
  <c r="AG582" i="7"/>
  <c r="AH582" i="7" s="1"/>
  <c r="T582" i="7" s="1"/>
  <c r="S583" i="7"/>
  <c r="W582" i="7" l="1"/>
  <c r="AB582" i="7"/>
  <c r="V584" i="7"/>
  <c r="N584" i="7"/>
  <c r="Q585" i="7"/>
  <c r="AG583" i="7"/>
  <c r="AH583" i="7" s="1"/>
  <c r="T583" i="7" s="1"/>
  <c r="S584" i="7"/>
  <c r="Z581" i="7"/>
  <c r="AG584" i="7" l="1"/>
  <c r="AH584" i="7" s="1"/>
  <c r="T584" i="7" s="1"/>
  <c r="S585" i="7"/>
  <c r="Z582" i="7"/>
  <c r="AB583" i="7"/>
  <c r="W583" i="7"/>
  <c r="V585" i="7"/>
  <c r="Q586" i="7"/>
  <c r="N585" i="7"/>
  <c r="Q587" i="7" l="1"/>
  <c r="V586" i="7"/>
  <c r="N586" i="7"/>
  <c r="Z583" i="7"/>
  <c r="AG585" i="7"/>
  <c r="AH585" i="7" s="1"/>
  <c r="T585" i="7" s="1"/>
  <c r="S586" i="7"/>
  <c r="AB584" i="7"/>
  <c r="W584" i="7"/>
  <c r="S587" i="7" l="1"/>
  <c r="AG586" i="7"/>
  <c r="AH586" i="7" s="1"/>
  <c r="T586" i="7" s="1"/>
  <c r="AB585" i="7"/>
  <c r="W585" i="7"/>
  <c r="Z584" i="7"/>
  <c r="N587" i="7"/>
  <c r="V587" i="7"/>
  <c r="Q588" i="7"/>
  <c r="Z585" i="7" l="1"/>
  <c r="AB586" i="7"/>
  <c r="W586" i="7"/>
  <c r="N588" i="7"/>
  <c r="Q589" i="7"/>
  <c r="V588" i="7"/>
  <c r="AG587" i="7"/>
  <c r="AH587" i="7" s="1"/>
  <c r="T587" i="7" s="1"/>
  <c r="S588" i="7"/>
  <c r="Q590" i="7" l="1"/>
  <c r="N589" i="7"/>
  <c r="V589" i="7"/>
  <c r="Z586" i="7"/>
  <c r="W587" i="7"/>
  <c r="AB587" i="7"/>
  <c r="AG588" i="7"/>
  <c r="AH588" i="7" s="1"/>
  <c r="T588" i="7" s="1"/>
  <c r="S589" i="7"/>
  <c r="AB588" i="7" l="1"/>
  <c r="W588" i="7"/>
  <c r="Z587" i="7"/>
  <c r="AG589" i="7"/>
  <c r="AH589" i="7" s="1"/>
  <c r="T589" i="7" s="1"/>
  <c r="S590" i="7"/>
  <c r="N590" i="7"/>
  <c r="V590" i="7"/>
  <c r="Q591" i="7"/>
  <c r="AG590" i="7" l="1"/>
  <c r="AH590" i="7" s="1"/>
  <c r="T590" i="7" s="1"/>
  <c r="S591" i="7"/>
  <c r="W589" i="7"/>
  <c r="AB589" i="7"/>
  <c r="Q592" i="7"/>
  <c r="N591" i="7"/>
  <c r="V591" i="7"/>
  <c r="Z588" i="7"/>
  <c r="V592" i="7" l="1"/>
  <c r="N592" i="7"/>
  <c r="Q593" i="7"/>
  <c r="Z589" i="7"/>
  <c r="S592" i="7"/>
  <c r="AG591" i="7"/>
  <c r="AH591" i="7" s="1"/>
  <c r="T591" i="7" s="1"/>
  <c r="W590" i="7"/>
  <c r="AB590" i="7"/>
  <c r="AB591" i="7" l="1"/>
  <c r="W591" i="7"/>
  <c r="Q594" i="7"/>
  <c r="N593" i="7"/>
  <c r="V593" i="7"/>
  <c r="S593" i="7"/>
  <c r="AG592" i="7"/>
  <c r="AH592" i="7" s="1"/>
  <c r="T592" i="7" s="1"/>
  <c r="Z590" i="7"/>
  <c r="AG593" i="7" l="1"/>
  <c r="AH593" i="7" s="1"/>
  <c r="T593" i="7" s="1"/>
  <c r="S594" i="7"/>
  <c r="V594" i="7"/>
  <c r="N594" i="7"/>
  <c r="Q595" i="7"/>
  <c r="AB592" i="7"/>
  <c r="W592" i="7"/>
  <c r="Z591" i="7"/>
  <c r="Z592" i="7" l="1"/>
  <c r="Q596" i="7"/>
  <c r="V595" i="7"/>
  <c r="N595" i="7"/>
  <c r="AG594" i="7"/>
  <c r="AH594" i="7" s="1"/>
  <c r="T594" i="7" s="1"/>
  <c r="S595" i="7"/>
  <c r="AB593" i="7"/>
  <c r="W593" i="7"/>
  <c r="Z593" i="7" l="1"/>
  <c r="V596" i="7"/>
  <c r="N596" i="7"/>
  <c r="Q597" i="7"/>
  <c r="S596" i="7"/>
  <c r="AG595" i="7"/>
  <c r="AH595" i="7" s="1"/>
  <c r="T595" i="7" s="1"/>
  <c r="AB594" i="7"/>
  <c r="W594" i="7"/>
  <c r="W595" i="7" l="1"/>
  <c r="AB595" i="7"/>
  <c r="S597" i="7"/>
  <c r="AG596" i="7"/>
  <c r="AH596" i="7" s="1"/>
  <c r="T596" i="7" s="1"/>
  <c r="Z594" i="7"/>
  <c r="Q598" i="7"/>
  <c r="V597" i="7"/>
  <c r="N597" i="7"/>
  <c r="AB596" i="7" l="1"/>
  <c r="W596" i="7"/>
  <c r="N598" i="7"/>
  <c r="V598" i="7"/>
  <c r="Q599" i="7"/>
  <c r="Z595" i="7"/>
  <c r="AG597" i="7"/>
  <c r="AH597" i="7" s="1"/>
  <c r="T597" i="7" s="1"/>
  <c r="S598" i="7"/>
  <c r="W597" i="7" l="1"/>
  <c r="AB597" i="7"/>
  <c r="Q600" i="7"/>
  <c r="V599" i="7"/>
  <c r="N599" i="7"/>
  <c r="AG598" i="7"/>
  <c r="AH598" i="7" s="1"/>
  <c r="T598" i="7" s="1"/>
  <c r="S599" i="7"/>
  <c r="Z596" i="7"/>
  <c r="Q601" i="7" l="1"/>
  <c r="V600" i="7"/>
  <c r="N600" i="7"/>
  <c r="AB598" i="7"/>
  <c r="W598" i="7"/>
  <c r="Z597" i="7"/>
  <c r="AG599" i="7"/>
  <c r="AH599" i="7" s="1"/>
  <c r="T599" i="7" s="1"/>
  <c r="S600" i="7"/>
  <c r="AB599" i="7" l="1"/>
  <c r="W599" i="7"/>
  <c r="Z598" i="7"/>
  <c r="AG600" i="7"/>
  <c r="AH600" i="7" s="1"/>
  <c r="T600" i="7" s="1"/>
  <c r="S601" i="7"/>
  <c r="Q602" i="7"/>
  <c r="N601" i="7"/>
  <c r="V601" i="7"/>
  <c r="Q603" i="7" l="1"/>
  <c r="V602" i="7"/>
  <c r="N602" i="7"/>
  <c r="AB600" i="7"/>
  <c r="W600" i="7"/>
  <c r="AG601" i="7"/>
  <c r="AH601" i="7" s="1"/>
  <c r="T601" i="7" s="1"/>
  <c r="S602" i="7"/>
  <c r="Z599" i="7"/>
  <c r="AB601" i="7" l="1"/>
  <c r="W601" i="7"/>
  <c r="AG602" i="7"/>
  <c r="AH602" i="7" s="1"/>
  <c r="T602" i="7" s="1"/>
  <c r="S603" i="7"/>
  <c r="Z600" i="7"/>
  <c r="Q604" i="7"/>
  <c r="N603" i="7"/>
  <c r="V603" i="7"/>
  <c r="Q605" i="7" l="1"/>
  <c r="Q606" i="7" s="1"/>
  <c r="Q607" i="7" s="1"/>
  <c r="Q608" i="7" s="1"/>
  <c r="Q609" i="7" s="1"/>
  <c r="Q610" i="7" s="1"/>
  <c r="Q611" i="7" s="1"/>
  <c r="Q612" i="7" s="1"/>
  <c r="Q613" i="7" s="1"/>
  <c r="Q614" i="7" s="1"/>
  <c r="Q615" i="7" s="1"/>
  <c r="Q616" i="7" s="1"/>
  <c r="Q617" i="7" s="1"/>
  <c r="Q618" i="7" s="1"/>
  <c r="Q619" i="7" s="1"/>
  <c r="Q620" i="7" s="1"/>
  <c r="Q621" i="7" s="1"/>
  <c r="Q622" i="7" s="1"/>
  <c r="Q623" i="7" s="1"/>
  <c r="Q624" i="7" s="1"/>
  <c r="Q625" i="7" s="1"/>
  <c r="Q626" i="7" s="1"/>
  <c r="Q627" i="7" s="1"/>
  <c r="Q628" i="7" s="1"/>
  <c r="Q629" i="7" s="1"/>
  <c r="Q630" i="7" s="1"/>
  <c r="Q631" i="7" s="1"/>
  <c r="Q632" i="7" s="1"/>
  <c r="Q633" i="7" s="1"/>
  <c r="Q634" i="7" s="1"/>
  <c r="Q635" i="7" s="1"/>
  <c r="Q636" i="7" s="1"/>
  <c r="Q637" i="7" s="1"/>
  <c r="Q638" i="7" s="1"/>
  <c r="Q639" i="7" s="1"/>
  <c r="Q640" i="7" s="1"/>
  <c r="Q641" i="7" s="1"/>
  <c r="Q642" i="7" s="1"/>
  <c r="Q643" i="7" s="1"/>
  <c r="Q644" i="7" s="1"/>
  <c r="Q645" i="7" s="1"/>
  <c r="Q646" i="7" s="1"/>
  <c r="Q647" i="7" s="1"/>
  <c r="Q648" i="7" s="1"/>
  <c r="Q649" i="7" s="1"/>
  <c r="Q650" i="7" s="1"/>
  <c r="Q651" i="7" s="1"/>
  <c r="Q652" i="7" s="1"/>
  <c r="Q653" i="7" s="1"/>
  <c r="Q654" i="7" s="1"/>
  <c r="Q655" i="7" s="1"/>
  <c r="Q656" i="7" s="1"/>
  <c r="Q657" i="7" s="1"/>
  <c r="Q658" i="7" s="1"/>
  <c r="Q659" i="7" s="1"/>
  <c r="Q660" i="7" s="1"/>
  <c r="Q661" i="7" s="1"/>
  <c r="Q662" i="7" s="1"/>
  <c r="Q663" i="7" s="1"/>
  <c r="Q664" i="7" s="1"/>
  <c r="Q665" i="7" s="1"/>
  <c r="Q666" i="7" s="1"/>
  <c r="Q667" i="7" s="1"/>
  <c r="Q668" i="7" s="1"/>
  <c r="Q669" i="7" s="1"/>
  <c r="Q670" i="7" s="1"/>
  <c r="Q671" i="7" s="1"/>
  <c r="Q672" i="7" s="1"/>
  <c r="Q673" i="7" s="1"/>
  <c r="Q674" i="7" s="1"/>
  <c r="Q675" i="7" s="1"/>
  <c r="Q676" i="7" s="1"/>
  <c r="Q677" i="7" s="1"/>
  <c r="Q678" i="7" s="1"/>
  <c r="Q679" i="7" s="1"/>
  <c r="Q680" i="7" s="1"/>
  <c r="Q681" i="7" s="1"/>
  <c r="Q682" i="7" s="1"/>
  <c r="Q683" i="7" s="1"/>
  <c r="Q684" i="7" s="1"/>
  <c r="Q685" i="7" s="1"/>
  <c r="Q686" i="7" s="1"/>
  <c r="Q687" i="7" s="1"/>
  <c r="Q688" i="7" s="1"/>
  <c r="Q689" i="7" s="1"/>
  <c r="Q690" i="7" s="1"/>
  <c r="Q691" i="7" s="1"/>
  <c r="Q692" i="7" s="1"/>
  <c r="Q693" i="7" s="1"/>
  <c r="Q694" i="7" s="1"/>
  <c r="Q695" i="7" s="1"/>
  <c r="Q696" i="7" s="1"/>
  <c r="V604" i="7"/>
  <c r="N604" i="7"/>
  <c r="W602" i="7"/>
  <c r="AB602" i="7"/>
  <c r="AG603" i="7"/>
  <c r="AH603" i="7" s="1"/>
  <c r="T603" i="7" s="1"/>
  <c r="S604" i="7"/>
  <c r="AG604" i="7" s="1"/>
  <c r="AH604" i="7" s="1"/>
  <c r="T604" i="7" s="1"/>
  <c r="Z601" i="7"/>
  <c r="N605" i="7"/>
  <c r="V605" i="7" l="1"/>
  <c r="S605" i="7"/>
  <c r="AG605" i="7" s="1"/>
  <c r="AH605" i="7" s="1"/>
  <c r="T605" i="7" s="1"/>
  <c r="AB605" i="7" s="1"/>
  <c r="W604" i="7"/>
  <c r="AB604" i="7"/>
  <c r="W603" i="7"/>
  <c r="AB603" i="7"/>
  <c r="Z602" i="7"/>
  <c r="W605" i="7" l="1"/>
  <c r="Z603" i="7"/>
  <c r="Z604" i="7"/>
  <c r="Z605" i="7"/>
  <c r="S606" i="7"/>
  <c r="AG606" i="7" s="1"/>
  <c r="AH606" i="7" s="1"/>
  <c r="T606" i="7" s="1"/>
  <c r="N606" i="7"/>
  <c r="V606" i="7"/>
  <c r="W606" i="7" l="1"/>
  <c r="AB606" i="7"/>
  <c r="Z606" i="7" l="1"/>
  <c r="S607" i="7"/>
  <c r="AG607" i="7" s="1"/>
  <c r="AH607" i="7" s="1"/>
  <c r="T607" i="7" s="1"/>
  <c r="N607" i="7"/>
  <c r="V607" i="7"/>
  <c r="AB607" i="7" l="1"/>
  <c r="W607" i="7"/>
  <c r="Z607" i="7" l="1"/>
  <c r="S608" i="7"/>
  <c r="AG608" i="7" s="1"/>
  <c r="AH608" i="7" s="1"/>
  <c r="T608" i="7" s="1"/>
  <c r="V608" i="7"/>
  <c r="N608" i="7"/>
  <c r="W608" i="7" l="1"/>
  <c r="AB608" i="7"/>
  <c r="Z608" i="7" l="1"/>
  <c r="S609" i="7"/>
  <c r="AG609" i="7" s="1"/>
  <c r="AH609" i="7" s="1"/>
  <c r="T609" i="7" s="1"/>
  <c r="N609" i="7"/>
  <c r="V609" i="7"/>
  <c r="AB609" i="7" l="1"/>
  <c r="W609" i="7"/>
  <c r="Z609" i="7" l="1"/>
  <c r="S610" i="7"/>
  <c r="AG610" i="7" s="1"/>
  <c r="AH610" i="7" s="1"/>
  <c r="T610" i="7" s="1"/>
  <c r="V610" i="7"/>
  <c r="N610" i="7"/>
  <c r="AB610" i="7" l="1"/>
  <c r="W610" i="7"/>
  <c r="Z610" i="7" l="1"/>
  <c r="S611" i="7"/>
  <c r="AG611" i="7" s="1"/>
  <c r="AH611" i="7" s="1"/>
  <c r="T611" i="7" s="1"/>
  <c r="N611" i="7"/>
  <c r="V611" i="7"/>
  <c r="W611" i="7" l="1"/>
  <c r="AB611" i="7"/>
  <c r="Z611" i="7" l="1"/>
  <c r="S612" i="7"/>
  <c r="AG612" i="7" s="1"/>
  <c r="AH612" i="7" s="1"/>
  <c r="T612" i="7" s="1"/>
  <c r="V612" i="7"/>
  <c r="N612" i="7"/>
  <c r="W612" i="7" l="1"/>
  <c r="AB612" i="7"/>
  <c r="Z612" i="7" l="1"/>
  <c r="S613" i="7"/>
  <c r="AG613" i="7" s="1"/>
  <c r="AH613" i="7" s="1"/>
  <c r="T613" i="7" s="1"/>
  <c r="N613" i="7"/>
  <c r="V613" i="7"/>
  <c r="AB613" i="7" l="1"/>
  <c r="W613" i="7"/>
  <c r="Z613" i="7" l="1"/>
  <c r="S614" i="7"/>
  <c r="AG614" i="7" s="1"/>
  <c r="AH614" i="7" s="1"/>
  <c r="T614" i="7" s="1"/>
  <c r="N614" i="7"/>
  <c r="V614" i="7"/>
  <c r="W614" i="7" l="1"/>
  <c r="AB614" i="7"/>
  <c r="Z614" i="7" l="1"/>
  <c r="S615" i="7"/>
  <c r="AG615" i="7" s="1"/>
  <c r="AH615" i="7" s="1"/>
  <c r="T615" i="7" s="1"/>
  <c r="N615" i="7"/>
  <c r="V615" i="7"/>
  <c r="AB615" i="7" l="1"/>
  <c r="W615" i="7"/>
  <c r="Z615" i="7" l="1"/>
  <c r="S616" i="7"/>
  <c r="AG616" i="7" s="1"/>
  <c r="AH616" i="7" s="1"/>
  <c r="T616" i="7" s="1"/>
  <c r="V616" i="7"/>
  <c r="N616" i="7"/>
  <c r="W616" i="7" l="1"/>
  <c r="AB616" i="7"/>
  <c r="Z616" i="7" l="1"/>
  <c r="S617" i="7"/>
  <c r="AG617" i="7" s="1"/>
  <c r="AH617" i="7" s="1"/>
  <c r="T617" i="7" s="1"/>
  <c r="N617" i="7"/>
  <c r="V617" i="7"/>
  <c r="AB617" i="7" l="1"/>
  <c r="W617" i="7"/>
  <c r="Z617" i="7" l="1"/>
  <c r="S618" i="7"/>
  <c r="AG618" i="7" s="1"/>
  <c r="AH618" i="7" s="1"/>
  <c r="T618" i="7" s="1"/>
  <c r="N618" i="7"/>
  <c r="V618" i="7"/>
  <c r="AB618" i="7" l="1"/>
  <c r="W618" i="7"/>
  <c r="Z618" i="7" l="1"/>
  <c r="S619" i="7"/>
  <c r="AG619" i="7" s="1"/>
  <c r="AH619" i="7" s="1"/>
  <c r="T619" i="7" s="1"/>
  <c r="N619" i="7"/>
  <c r="V619" i="7"/>
  <c r="AB619" i="7" l="1"/>
  <c r="W619" i="7"/>
  <c r="Z619" i="7" l="1"/>
  <c r="S620" i="7"/>
  <c r="AG620" i="7" s="1"/>
  <c r="AH620" i="7" s="1"/>
  <c r="T620" i="7" s="1"/>
  <c r="N620" i="7"/>
  <c r="V620" i="7"/>
  <c r="AB620" i="7" l="1"/>
  <c r="W620" i="7"/>
  <c r="Z620" i="7" l="1"/>
  <c r="S621" i="7"/>
  <c r="AG621" i="7" s="1"/>
  <c r="AH621" i="7" s="1"/>
  <c r="T621" i="7" s="1"/>
  <c r="V621" i="7"/>
  <c r="N621" i="7"/>
  <c r="AB621" i="7" l="1"/>
  <c r="W621" i="7"/>
  <c r="Z621" i="7" l="1"/>
  <c r="S622" i="7"/>
  <c r="AG622" i="7" s="1"/>
  <c r="AH622" i="7" s="1"/>
  <c r="T622" i="7" s="1"/>
  <c r="V622" i="7"/>
  <c r="N622" i="7"/>
  <c r="AB622" i="7" l="1"/>
  <c r="W622" i="7"/>
  <c r="Z622" i="7" l="1"/>
  <c r="S623" i="7"/>
  <c r="AG623" i="7" s="1"/>
  <c r="AH623" i="7" s="1"/>
  <c r="T623" i="7" s="1"/>
  <c r="N623" i="7"/>
  <c r="V623" i="7"/>
  <c r="AB623" i="7" l="1"/>
  <c r="W623" i="7"/>
  <c r="Z623" i="7" l="1"/>
  <c r="S624" i="7"/>
  <c r="AG624" i="7" s="1"/>
  <c r="AH624" i="7" s="1"/>
  <c r="T624" i="7" s="1"/>
  <c r="N624" i="7"/>
  <c r="V624" i="7"/>
  <c r="AB624" i="7" l="1"/>
  <c r="W624" i="7"/>
  <c r="Z624" i="7" l="1"/>
  <c r="S625" i="7"/>
  <c r="AG625" i="7" s="1"/>
  <c r="AH625" i="7" s="1"/>
  <c r="T625" i="7" s="1"/>
  <c r="N625" i="7"/>
  <c r="V625" i="7"/>
  <c r="W625" i="7" l="1"/>
  <c r="AB625" i="7"/>
  <c r="Z625" i="7" l="1"/>
  <c r="S626" i="7"/>
  <c r="AG626" i="7" s="1"/>
  <c r="AH626" i="7" s="1"/>
  <c r="T626" i="7" s="1"/>
  <c r="V626" i="7"/>
  <c r="N626" i="7"/>
  <c r="AB626" i="7" l="1"/>
  <c r="W626" i="7"/>
  <c r="Z626" i="7" l="1"/>
  <c r="S627" i="7"/>
  <c r="AG627" i="7" s="1"/>
  <c r="AH627" i="7" s="1"/>
  <c r="T627" i="7" s="1"/>
  <c r="V627" i="7"/>
  <c r="N627" i="7"/>
  <c r="AB627" i="7" l="1"/>
  <c r="W627" i="7"/>
  <c r="Z627" i="7" l="1"/>
  <c r="S628" i="7"/>
  <c r="AG628" i="7" s="1"/>
  <c r="AH628" i="7" s="1"/>
  <c r="T628" i="7" s="1"/>
  <c r="V628" i="7"/>
  <c r="N628" i="7"/>
  <c r="W628" i="7" l="1"/>
  <c r="AB628" i="7"/>
  <c r="Z628" i="7" l="1"/>
  <c r="S629" i="7"/>
  <c r="AG629" i="7" s="1"/>
  <c r="AH629" i="7" s="1"/>
  <c r="T629" i="7" s="1"/>
  <c r="N629" i="7"/>
  <c r="V629" i="7"/>
  <c r="W629" i="7" l="1"/>
  <c r="AB629" i="7"/>
  <c r="Z629" i="7" l="1"/>
  <c r="S630" i="7"/>
  <c r="AG630" i="7" s="1"/>
  <c r="AH630" i="7" s="1"/>
  <c r="T630" i="7" s="1"/>
  <c r="V630" i="7"/>
  <c r="N630" i="7"/>
  <c r="AB630" i="7" l="1"/>
  <c r="W630" i="7"/>
  <c r="Z630" i="7" l="1"/>
  <c r="S631" i="7"/>
  <c r="AG631" i="7" s="1"/>
  <c r="AH631" i="7" s="1"/>
  <c r="T631" i="7" s="1"/>
  <c r="V631" i="7"/>
  <c r="N631" i="7"/>
  <c r="AB631" i="7" l="1"/>
  <c r="W631" i="7"/>
  <c r="Z631" i="7" l="1"/>
  <c r="S632" i="7"/>
  <c r="AG632" i="7" s="1"/>
  <c r="AH632" i="7" s="1"/>
  <c r="T632" i="7" s="1"/>
  <c r="N632" i="7"/>
  <c r="V632" i="7"/>
  <c r="W632" i="7" l="1"/>
  <c r="AB632" i="7"/>
  <c r="Z632" i="7" l="1"/>
  <c r="S633" i="7"/>
  <c r="AG633" i="7" s="1"/>
  <c r="AH633" i="7" s="1"/>
  <c r="T633" i="7" s="1"/>
  <c r="V633" i="7"/>
  <c r="N633" i="7"/>
  <c r="W633" i="7" l="1"/>
  <c r="AB633" i="7"/>
  <c r="Z633" i="7" l="1"/>
  <c r="S634" i="7"/>
  <c r="AG634" i="7" s="1"/>
  <c r="AH634" i="7" s="1"/>
  <c r="T634" i="7" s="1"/>
  <c r="N634" i="7"/>
  <c r="V634" i="7"/>
  <c r="W634" i="7" l="1"/>
  <c r="AB634" i="7"/>
  <c r="Z634" i="7" l="1"/>
  <c r="S635" i="7"/>
  <c r="AG635" i="7" s="1"/>
  <c r="AH635" i="7" s="1"/>
  <c r="T635" i="7" s="1"/>
  <c r="V635" i="7"/>
  <c r="N635" i="7"/>
  <c r="W635" i="7" l="1"/>
  <c r="AB635" i="7"/>
  <c r="Z635" i="7" l="1"/>
  <c r="S636" i="7"/>
  <c r="AG636" i="7" s="1"/>
  <c r="AH636" i="7" s="1"/>
  <c r="T636" i="7" s="1"/>
  <c r="N636" i="7"/>
  <c r="V636" i="7"/>
  <c r="AB636" i="7" l="1"/>
  <c r="W636" i="7"/>
  <c r="Z636" i="7" l="1"/>
  <c r="S637" i="7"/>
  <c r="AG637" i="7" s="1"/>
  <c r="AH637" i="7" s="1"/>
  <c r="T637" i="7" s="1"/>
  <c r="V637" i="7"/>
  <c r="N637" i="7"/>
  <c r="W637" i="7" l="1"/>
  <c r="AB637" i="7"/>
  <c r="Z637" i="7" l="1"/>
  <c r="S638" i="7"/>
  <c r="AG638" i="7" s="1"/>
  <c r="AH638" i="7" s="1"/>
  <c r="T638" i="7" s="1"/>
  <c r="N638" i="7"/>
  <c r="V638" i="7"/>
  <c r="W638" i="7" l="1"/>
  <c r="AB638" i="7"/>
  <c r="Z638" i="7" l="1"/>
  <c r="S639" i="7"/>
  <c r="AG639" i="7" s="1"/>
  <c r="AH639" i="7" s="1"/>
  <c r="T639" i="7" s="1"/>
  <c r="N639" i="7"/>
  <c r="V639" i="7"/>
  <c r="W639" i="7" l="1"/>
  <c r="AB639" i="7"/>
  <c r="Z639" i="7" l="1"/>
  <c r="S640" i="7"/>
  <c r="AG640" i="7" s="1"/>
  <c r="AH640" i="7" s="1"/>
  <c r="T640" i="7" s="1"/>
  <c r="N640" i="7"/>
  <c r="V640" i="7"/>
  <c r="AB640" i="7" l="1"/>
  <c r="W640" i="7"/>
  <c r="Z640" i="7" l="1"/>
  <c r="S641" i="7"/>
  <c r="AG641" i="7" s="1"/>
  <c r="AH641" i="7" s="1"/>
  <c r="T641" i="7" s="1"/>
  <c r="N641" i="7"/>
  <c r="V641" i="7"/>
  <c r="W641" i="7" l="1"/>
  <c r="AB641" i="7"/>
  <c r="Z641" i="7" l="1"/>
  <c r="S642" i="7"/>
  <c r="AG642" i="7" s="1"/>
  <c r="AH642" i="7" s="1"/>
  <c r="T642" i="7" s="1"/>
  <c r="N642" i="7"/>
  <c r="V642" i="7"/>
  <c r="AB642" i="7" l="1"/>
  <c r="W642" i="7"/>
  <c r="Z642" i="7" l="1"/>
  <c r="S643" i="7"/>
  <c r="AG643" i="7" s="1"/>
  <c r="AH643" i="7" s="1"/>
  <c r="T643" i="7" s="1"/>
  <c r="V643" i="7"/>
  <c r="N643" i="7"/>
  <c r="W643" i="7" l="1"/>
  <c r="AB643" i="7"/>
  <c r="Z643" i="7" l="1"/>
  <c r="S644" i="7"/>
  <c r="AG644" i="7" s="1"/>
  <c r="AH644" i="7" s="1"/>
  <c r="T644" i="7" s="1"/>
  <c r="N644" i="7"/>
  <c r="V644" i="7"/>
  <c r="W644" i="7" l="1"/>
  <c r="AB644" i="7"/>
  <c r="Z644" i="7" l="1"/>
  <c r="S645" i="7"/>
  <c r="AG645" i="7" s="1"/>
  <c r="AH645" i="7" s="1"/>
  <c r="T645" i="7" s="1"/>
  <c r="V645" i="7"/>
  <c r="N645" i="7"/>
  <c r="W645" i="7" l="1"/>
  <c r="AB645" i="7"/>
  <c r="Z645" i="7" l="1"/>
  <c r="S646" i="7"/>
  <c r="AG646" i="7" s="1"/>
  <c r="AH646" i="7" s="1"/>
  <c r="T646" i="7" s="1"/>
  <c r="N646" i="7"/>
  <c r="V646" i="7"/>
  <c r="W646" i="7" l="1"/>
  <c r="AB646" i="7"/>
  <c r="Z646" i="7" l="1"/>
  <c r="S647" i="7"/>
  <c r="AG647" i="7" s="1"/>
  <c r="AH647" i="7" s="1"/>
  <c r="T647" i="7" s="1"/>
  <c r="N647" i="7"/>
  <c r="V647" i="7"/>
  <c r="W647" i="7" l="1"/>
  <c r="AB647" i="7"/>
  <c r="Z647" i="7" l="1"/>
  <c r="S648" i="7"/>
  <c r="AG648" i="7" s="1"/>
  <c r="AH648" i="7" s="1"/>
  <c r="T648" i="7" s="1"/>
  <c r="N648" i="7"/>
  <c r="V648" i="7"/>
  <c r="AB648" i="7" l="1"/>
  <c r="W648" i="7"/>
  <c r="Z648" i="7" l="1"/>
  <c r="S649" i="7"/>
  <c r="AG649" i="7" s="1"/>
  <c r="AH649" i="7" s="1"/>
  <c r="T649" i="7" s="1"/>
  <c r="N649" i="7"/>
  <c r="V649" i="7"/>
  <c r="W649" i="7" l="1"/>
  <c r="AB649" i="7"/>
  <c r="Z649" i="7" l="1"/>
  <c r="S650" i="7"/>
  <c r="AG650" i="7" s="1"/>
  <c r="AH650" i="7" s="1"/>
  <c r="T650" i="7" s="1"/>
  <c r="N650" i="7"/>
  <c r="V650" i="7"/>
  <c r="W650" i="7" l="1"/>
  <c r="AB650" i="7"/>
  <c r="Z650" i="7" l="1"/>
  <c r="S651" i="7"/>
  <c r="AG651" i="7" s="1"/>
  <c r="AH651" i="7" s="1"/>
  <c r="T651" i="7" s="1"/>
  <c r="N651" i="7"/>
  <c r="V651" i="7"/>
  <c r="W651" i="7" l="1"/>
  <c r="AB651" i="7"/>
  <c r="Z651" i="7" l="1"/>
  <c r="S652" i="7"/>
  <c r="AG652" i="7" s="1"/>
  <c r="AH652" i="7" s="1"/>
  <c r="T652" i="7" s="1"/>
  <c r="N652" i="7"/>
  <c r="V652" i="7"/>
  <c r="AB652" i="7" l="1"/>
  <c r="W652" i="7"/>
  <c r="Z652" i="7" l="1"/>
  <c r="S653" i="7"/>
  <c r="AG653" i="7" s="1"/>
  <c r="AH653" i="7" s="1"/>
  <c r="T653" i="7" s="1"/>
  <c r="N653" i="7"/>
  <c r="V653" i="7"/>
  <c r="W653" i="7" l="1"/>
  <c r="AB653" i="7"/>
  <c r="Z653" i="7" l="1"/>
  <c r="S654" i="7"/>
  <c r="AG654" i="7" s="1"/>
  <c r="AH654" i="7" s="1"/>
  <c r="T654" i="7" s="1"/>
  <c r="N654" i="7"/>
  <c r="V654" i="7"/>
  <c r="AB654" i="7" l="1"/>
  <c r="W654" i="7"/>
  <c r="Z654" i="7" l="1"/>
  <c r="S655" i="7"/>
  <c r="AG655" i="7" s="1"/>
  <c r="AH655" i="7" s="1"/>
  <c r="T655" i="7" s="1"/>
  <c r="N655" i="7"/>
  <c r="V655" i="7"/>
  <c r="W655" i="7" l="1"/>
  <c r="AB655" i="7"/>
  <c r="Z655" i="7" l="1"/>
  <c r="S656" i="7"/>
  <c r="AG656" i="7" s="1"/>
  <c r="AH656" i="7" s="1"/>
  <c r="T656" i="7" s="1"/>
  <c r="N656" i="7"/>
  <c r="V656" i="7"/>
  <c r="AB656" i="7" l="1"/>
  <c r="W656" i="7"/>
  <c r="Z656" i="7" l="1"/>
  <c r="S657" i="7"/>
  <c r="AG657" i="7" s="1"/>
  <c r="AH657" i="7" s="1"/>
  <c r="T657" i="7" s="1"/>
  <c r="V657" i="7"/>
  <c r="N657" i="7"/>
  <c r="AB657" i="7" l="1"/>
  <c r="W657" i="7"/>
  <c r="Z657" i="7" l="1"/>
  <c r="S658" i="7"/>
  <c r="AG658" i="7" s="1"/>
  <c r="AH658" i="7" s="1"/>
  <c r="T658" i="7" s="1"/>
  <c r="N658" i="7"/>
  <c r="V658" i="7"/>
  <c r="W658" i="7" l="1"/>
  <c r="AB658" i="7"/>
  <c r="Z658" i="7" l="1"/>
  <c r="S659" i="7"/>
  <c r="AG659" i="7" s="1"/>
  <c r="AH659" i="7" s="1"/>
  <c r="T659" i="7" s="1"/>
  <c r="N659" i="7"/>
  <c r="V659" i="7"/>
  <c r="AB659" i="7" l="1"/>
  <c r="W659" i="7"/>
  <c r="Z659" i="7" l="1"/>
  <c r="S660" i="7"/>
  <c r="AG660" i="7" s="1"/>
  <c r="AH660" i="7" s="1"/>
  <c r="T660" i="7" s="1"/>
  <c r="N660" i="7"/>
  <c r="V660" i="7"/>
  <c r="AB660" i="7" l="1"/>
  <c r="W660" i="7"/>
  <c r="Z660" i="7" l="1"/>
  <c r="S661" i="7"/>
  <c r="AG661" i="7" s="1"/>
  <c r="AH661" i="7" s="1"/>
  <c r="T661" i="7" s="1"/>
  <c r="V661" i="7"/>
  <c r="N661" i="7"/>
  <c r="AB661" i="7" l="1"/>
  <c r="W661" i="7"/>
  <c r="Z661" i="7" l="1"/>
  <c r="S662" i="7"/>
  <c r="AG662" i="7" s="1"/>
  <c r="AH662" i="7" s="1"/>
  <c r="T662" i="7" s="1"/>
  <c r="N662" i="7"/>
  <c r="V662" i="7"/>
  <c r="W662" i="7" l="1"/>
  <c r="AB662" i="7"/>
  <c r="Z662" i="7" l="1"/>
  <c r="S663" i="7"/>
  <c r="AG663" i="7" s="1"/>
  <c r="AH663" i="7" s="1"/>
  <c r="T663" i="7" s="1"/>
  <c r="N663" i="7"/>
  <c r="V663" i="7"/>
  <c r="W663" i="7" l="1"/>
  <c r="AB663" i="7"/>
  <c r="Z663" i="7" l="1"/>
  <c r="S664" i="7"/>
  <c r="AG664" i="7" s="1"/>
  <c r="AH664" i="7" s="1"/>
  <c r="T664" i="7" s="1"/>
  <c r="N664" i="7"/>
  <c r="V664" i="7"/>
  <c r="W664" i="7" l="1"/>
  <c r="AB664" i="7"/>
  <c r="Z664" i="7" l="1"/>
  <c r="S665" i="7"/>
  <c r="AG665" i="7" s="1"/>
  <c r="AH665" i="7" s="1"/>
  <c r="T665" i="7" s="1"/>
  <c r="V665" i="7"/>
  <c r="N665" i="7"/>
  <c r="AB665" i="7" l="1"/>
  <c r="W665" i="7"/>
  <c r="Z665" i="7" l="1"/>
  <c r="S666" i="7"/>
  <c r="AG666" i="7" s="1"/>
  <c r="AH666" i="7" s="1"/>
  <c r="T666" i="7" s="1"/>
  <c r="N666" i="7"/>
  <c r="V666" i="7"/>
  <c r="AB666" i="7" l="1"/>
  <c r="W666" i="7"/>
  <c r="Z666" i="7" l="1"/>
  <c r="S667" i="7"/>
  <c r="AG667" i="7" s="1"/>
  <c r="AH667" i="7" s="1"/>
  <c r="T667" i="7" s="1"/>
  <c r="V667" i="7"/>
  <c r="N667" i="7"/>
  <c r="W667" i="7" l="1"/>
  <c r="AB667" i="7"/>
  <c r="Z667" i="7" l="1"/>
  <c r="S668" i="7"/>
  <c r="AG668" i="7" s="1"/>
  <c r="AH668" i="7" s="1"/>
  <c r="T668" i="7" s="1"/>
  <c r="N668" i="7"/>
  <c r="V668" i="7"/>
  <c r="W668" i="7" l="1"/>
  <c r="AB668" i="7"/>
  <c r="Z668" i="7" l="1"/>
  <c r="S669" i="7"/>
  <c r="AG669" i="7" s="1"/>
  <c r="AH669" i="7" s="1"/>
  <c r="T669" i="7" s="1"/>
  <c r="N669" i="7"/>
  <c r="V669" i="7"/>
  <c r="W669" i="7" l="1"/>
  <c r="AB669" i="7"/>
  <c r="Z669" i="7" l="1"/>
  <c r="S670" i="7"/>
  <c r="AG670" i="7" s="1"/>
  <c r="AH670" i="7" s="1"/>
  <c r="T670" i="7" s="1"/>
  <c r="N670" i="7"/>
  <c r="V670" i="7"/>
  <c r="AB670" i="7" l="1"/>
  <c r="W670" i="7"/>
  <c r="Z670" i="7" l="1"/>
  <c r="S671" i="7"/>
  <c r="AG671" i="7" s="1"/>
  <c r="AH671" i="7" s="1"/>
  <c r="T671" i="7" s="1"/>
  <c r="V671" i="7"/>
  <c r="N671" i="7"/>
  <c r="AB671" i="7" l="1"/>
  <c r="W671" i="7"/>
  <c r="Z671" i="7" l="1"/>
  <c r="S672" i="7"/>
  <c r="AG672" i="7" s="1"/>
  <c r="AH672" i="7" s="1"/>
  <c r="T672" i="7" s="1"/>
  <c r="V672" i="7"/>
  <c r="N672" i="7"/>
  <c r="AB672" i="7" l="1"/>
  <c r="W672" i="7"/>
  <c r="Z672" i="7" l="1"/>
  <c r="S673" i="7"/>
  <c r="AG673" i="7" s="1"/>
  <c r="AH673" i="7" s="1"/>
  <c r="T673" i="7" s="1"/>
  <c r="V673" i="7"/>
  <c r="N673" i="7"/>
  <c r="W673" i="7" l="1"/>
  <c r="AB673" i="7"/>
  <c r="Z673" i="7" l="1"/>
  <c r="S674" i="7"/>
  <c r="AG674" i="7" s="1"/>
  <c r="AH674" i="7" s="1"/>
  <c r="T674" i="7" s="1"/>
  <c r="N674" i="7"/>
  <c r="V674" i="7"/>
  <c r="AB674" i="7" l="1"/>
  <c r="W674" i="7"/>
  <c r="Z674" i="7" l="1"/>
  <c r="S675" i="7"/>
  <c r="AG675" i="7" s="1"/>
  <c r="AH675" i="7" s="1"/>
  <c r="T675" i="7" s="1"/>
  <c r="V675" i="7"/>
  <c r="N675" i="7"/>
  <c r="AB675" i="7" l="1"/>
  <c r="W675" i="7"/>
  <c r="Z675" i="7" l="1"/>
  <c r="S676" i="7"/>
  <c r="AG676" i="7" s="1"/>
  <c r="AH676" i="7" s="1"/>
  <c r="T676" i="7" s="1"/>
  <c r="V676" i="7"/>
  <c r="N676" i="7"/>
  <c r="W676" i="7" l="1"/>
  <c r="AB676" i="7"/>
  <c r="Z676" i="7" l="1"/>
  <c r="S677" i="7"/>
  <c r="AG677" i="7" s="1"/>
  <c r="AH677" i="7" s="1"/>
  <c r="T677" i="7" s="1"/>
  <c r="N677" i="7"/>
  <c r="V677" i="7"/>
  <c r="W677" i="7" l="1"/>
  <c r="AB677" i="7"/>
  <c r="Z677" i="7" l="1"/>
  <c r="S678" i="7"/>
  <c r="AG678" i="7" s="1"/>
  <c r="AH678" i="7" s="1"/>
  <c r="T678" i="7" s="1"/>
  <c r="N678" i="7"/>
  <c r="V678" i="7"/>
  <c r="AB678" i="7" l="1"/>
  <c r="W678" i="7"/>
  <c r="Z678" i="7" l="1"/>
  <c r="S679" i="7"/>
  <c r="AG679" i="7" s="1"/>
  <c r="AH679" i="7" s="1"/>
  <c r="T679" i="7" s="1"/>
  <c r="V679" i="7"/>
  <c r="N679" i="7"/>
  <c r="AB679" i="7" l="1"/>
  <c r="W679" i="7"/>
  <c r="Z679" i="7" l="1"/>
  <c r="S680" i="7"/>
  <c r="N680" i="7"/>
  <c r="V680" i="7"/>
  <c r="AG680" i="7" l="1"/>
  <c r="AH680" i="7" s="1"/>
  <c r="T680" i="7" s="1"/>
  <c r="S681" i="7"/>
  <c r="S682" i="7" l="1"/>
  <c r="AG681" i="7"/>
  <c r="AH681" i="7" s="1"/>
  <c r="T681" i="7" s="1"/>
  <c r="W680" i="7"/>
  <c r="AB680" i="7"/>
  <c r="V681" i="7" l="1"/>
  <c r="W681" i="7" s="1"/>
  <c r="N681" i="7"/>
  <c r="Z680" i="7"/>
  <c r="S683" i="7"/>
  <c r="AG682" i="7"/>
  <c r="AH682" i="7" s="1"/>
  <c r="T682" i="7" s="1"/>
  <c r="AB681" i="7" l="1"/>
  <c r="Z681" i="7" s="1"/>
  <c r="S684" i="7"/>
  <c r="AG683" i="7"/>
  <c r="AH683" i="7" s="1"/>
  <c r="T683" i="7" s="1"/>
  <c r="N682" i="7"/>
  <c r="V682" i="7"/>
  <c r="W682" i="7" s="1"/>
  <c r="AB682" i="7" l="1"/>
  <c r="V683" i="7"/>
  <c r="W683" i="7" s="1"/>
  <c r="N683" i="7"/>
  <c r="S685" i="7"/>
  <c r="AG684" i="7"/>
  <c r="AH684" i="7" s="1"/>
  <c r="T684" i="7" s="1"/>
  <c r="Z682" i="7" l="1"/>
  <c r="AB683" i="7"/>
  <c r="Z683" i="7" s="1"/>
  <c r="S686" i="7"/>
  <c r="AG685" i="7"/>
  <c r="AH685" i="7" s="1"/>
  <c r="T685" i="7" s="1"/>
  <c r="N684" i="7"/>
  <c r="V684" i="7"/>
  <c r="AB684" i="7" s="1"/>
  <c r="W684" i="7" l="1"/>
  <c r="Z684" i="7"/>
  <c r="V685" i="7"/>
  <c r="AB685" i="7" s="1"/>
  <c r="N685" i="7"/>
  <c r="AG686" i="7"/>
  <c r="AH686" i="7" s="1"/>
  <c r="T686" i="7" s="1"/>
  <c r="S687" i="7"/>
  <c r="W685" i="7" l="1"/>
  <c r="Z685" i="7"/>
  <c r="V686" i="7"/>
  <c r="W686" i="7" s="1"/>
  <c r="N686" i="7"/>
  <c r="S688" i="7"/>
  <c r="AG687" i="7"/>
  <c r="AH687" i="7" s="1"/>
  <c r="T687" i="7" s="1"/>
  <c r="AB686" i="7" l="1"/>
  <c r="AG688" i="7"/>
  <c r="AH688" i="7" s="1"/>
  <c r="T688" i="7" s="1"/>
  <c r="S689" i="7"/>
  <c r="Z686" i="7"/>
  <c r="V687" i="7"/>
  <c r="W687" i="7" s="1"/>
  <c r="N687" i="7"/>
  <c r="AB687" i="7" l="1"/>
  <c r="V688" i="7"/>
  <c r="AB688" i="7" s="1"/>
  <c r="N688" i="7"/>
  <c r="S690" i="7"/>
  <c r="AG689" i="7"/>
  <c r="AH689" i="7" s="1"/>
  <c r="T689" i="7" s="1"/>
  <c r="Z687" i="7" l="1"/>
  <c r="W688" i="7"/>
  <c r="Z688" i="7"/>
  <c r="S691" i="7"/>
  <c r="AG690" i="7"/>
  <c r="AH690" i="7" s="1"/>
  <c r="T690" i="7" s="1"/>
  <c r="W689" i="7"/>
  <c r="AB689" i="7"/>
  <c r="N689" i="7"/>
  <c r="V689" i="7"/>
  <c r="Z689" i="7" l="1"/>
  <c r="S692" i="7"/>
  <c r="AG691" i="7"/>
  <c r="AH691" i="7" s="1"/>
  <c r="T691" i="7" s="1"/>
  <c r="V690" i="7"/>
  <c r="AB690" i="7" s="1"/>
  <c r="N690" i="7"/>
  <c r="W690" i="7" l="1"/>
  <c r="Z690" i="7"/>
  <c r="AG692" i="7"/>
  <c r="AH692" i="7" s="1"/>
  <c r="T692" i="7" s="1"/>
  <c r="S693" i="7"/>
  <c r="V691" i="7"/>
  <c r="AB691" i="7" s="1"/>
  <c r="N691" i="7"/>
  <c r="Z691" i="7" l="1"/>
  <c r="W691" i="7"/>
  <c r="V692" i="7"/>
  <c r="W692" i="7" s="1"/>
  <c r="N692" i="7"/>
  <c r="AG693" i="7"/>
  <c r="AH693" i="7" s="1"/>
  <c r="T693" i="7" s="1"/>
  <c r="S694" i="7"/>
  <c r="AB692" i="7" l="1"/>
  <c r="Z692" i="7" s="1"/>
  <c r="N693" i="7"/>
  <c r="V693" i="7"/>
  <c r="AB693" i="7" s="1"/>
  <c r="S695" i="7"/>
  <c r="AG694" i="7"/>
  <c r="AH694" i="7" s="1"/>
  <c r="T694" i="7" s="1"/>
  <c r="W693" i="7" l="1"/>
  <c r="Z693" i="7"/>
  <c r="N694" i="7"/>
  <c r="V694" i="7"/>
  <c r="AB694" i="7" s="1"/>
  <c r="AG695" i="7"/>
  <c r="AH695" i="7" s="1"/>
  <c r="T695" i="7" s="1"/>
  <c r="S696" i="7"/>
  <c r="W694" i="7" l="1"/>
  <c r="Z694" i="7"/>
  <c r="N695" i="7"/>
  <c r="V695" i="7"/>
  <c r="AB695" i="7" s="1"/>
  <c r="AG696" i="7"/>
  <c r="AH696" i="7" s="1"/>
  <c r="T696" i="7" s="1"/>
  <c r="Q697" i="7" s="1"/>
  <c r="S697" i="7" s="1"/>
  <c r="Z695" i="7" l="1"/>
  <c r="W695" i="7"/>
  <c r="V696" i="7"/>
  <c r="W696" i="7" s="1"/>
  <c r="N696" i="7"/>
  <c r="AF697" i="7"/>
  <c r="AG697" i="7"/>
  <c r="AH697" i="7" s="1"/>
  <c r="T697" i="7" s="1"/>
  <c r="Q698" i="7" s="1"/>
  <c r="S698" i="7" s="1"/>
  <c r="AB696" i="7" l="1"/>
  <c r="Z696" i="7" s="1"/>
  <c r="N697" i="7"/>
  <c r="V697" i="7"/>
  <c r="W697" i="7" s="1"/>
  <c r="AG698" i="7"/>
  <c r="AH698" i="7" s="1"/>
  <c r="T698" i="7" s="1"/>
  <c r="Q699" i="7" s="1"/>
  <c r="S699" i="7" s="1"/>
  <c r="AB697" i="7" l="1"/>
  <c r="Z697" i="7" s="1"/>
  <c r="AG699" i="7"/>
  <c r="AH699" i="7" s="1"/>
  <c r="T699" i="7" s="1"/>
  <c r="Q700" i="7" s="1"/>
  <c r="S700" i="7" s="1"/>
  <c r="V698" i="7"/>
  <c r="W698" i="7" s="1"/>
  <c r="N698" i="7"/>
  <c r="AG700" i="7" l="1"/>
  <c r="AH700" i="7" s="1"/>
  <c r="T700" i="7" s="1"/>
  <c r="Q701" i="7" s="1"/>
  <c r="S701" i="7" s="1"/>
  <c r="AB698" i="7"/>
  <c r="V699" i="7"/>
  <c r="AB699" i="7" s="1"/>
  <c r="N699" i="7"/>
  <c r="Z699" i="7" l="1"/>
  <c r="W699" i="7"/>
  <c r="N700" i="7"/>
  <c r="V700" i="7"/>
  <c r="AB700" i="7" s="1"/>
  <c r="Z698" i="7"/>
  <c r="AG701" i="7"/>
  <c r="AH701" i="7" s="1"/>
  <c r="T701" i="7" s="1"/>
  <c r="Q702" i="7" s="1"/>
  <c r="S702" i="7" s="1"/>
  <c r="W700" i="7" l="1"/>
  <c r="Z700" i="7"/>
  <c r="AG702" i="7"/>
  <c r="AH702" i="7" s="1"/>
  <c r="T702" i="7" s="1"/>
  <c r="Q703" i="7" s="1"/>
  <c r="S703" i="7" s="1"/>
  <c r="V701" i="7"/>
  <c r="AB701" i="7" s="1"/>
  <c r="N701" i="7"/>
  <c r="Z701" i="7" l="1"/>
  <c r="W701" i="7"/>
  <c r="AG703" i="7"/>
  <c r="AH703" i="7" s="1"/>
  <c r="T703" i="7" s="1"/>
  <c r="Q704" i="7" s="1"/>
  <c r="S704" i="7" s="1"/>
  <c r="V702" i="7"/>
  <c r="AB702" i="7" s="1"/>
  <c r="N702" i="7"/>
  <c r="Z702" i="7" l="1"/>
  <c r="V703" i="7"/>
  <c r="W703" i="7" s="1"/>
  <c r="N703" i="7"/>
  <c r="AG704" i="7"/>
  <c r="AH704" i="7" s="1"/>
  <c r="T704" i="7" s="1"/>
  <c r="Q705" i="7" s="1"/>
  <c r="S705" i="7" s="1"/>
  <c r="W702" i="7"/>
  <c r="AB703" i="7" l="1"/>
  <c r="AG705" i="7"/>
  <c r="AH705" i="7" s="1"/>
  <c r="T705" i="7" s="1"/>
  <c r="Q706" i="7" s="1"/>
  <c r="S706" i="7" s="1"/>
  <c r="N704" i="7"/>
  <c r="V704" i="7"/>
  <c r="AB704" i="7" s="1"/>
  <c r="W704" i="7" l="1"/>
  <c r="Z704" i="7"/>
  <c r="V705" i="7"/>
  <c r="W705" i="7" s="1"/>
  <c r="N705" i="7"/>
  <c r="AG706" i="7"/>
  <c r="AH706" i="7" s="1"/>
  <c r="T706" i="7" s="1"/>
  <c r="Q707" i="7" s="1"/>
  <c r="S707" i="7" s="1"/>
  <c r="Z703" i="7"/>
  <c r="AB705" i="7" l="1"/>
  <c r="N706" i="7"/>
  <c r="V706" i="7"/>
  <c r="AB706" i="7" s="1"/>
  <c r="AG707" i="7"/>
  <c r="AH707" i="7" s="1"/>
  <c r="T707" i="7" s="1"/>
  <c r="Q708" i="7" s="1"/>
  <c r="S708" i="7" s="1"/>
  <c r="W706" i="7" l="1"/>
  <c r="AG708" i="7"/>
  <c r="AH708" i="7" s="1"/>
  <c r="T708" i="7" s="1"/>
  <c r="Q709" i="7" s="1"/>
  <c r="S709" i="7" s="1"/>
  <c r="Z706" i="7"/>
  <c r="V707" i="7"/>
  <c r="W707" i="7" s="1"/>
  <c r="N707" i="7"/>
  <c r="Z705" i="7"/>
  <c r="AG709" i="7" l="1"/>
  <c r="AH709" i="7" s="1"/>
  <c r="T709" i="7" s="1"/>
  <c r="Q710" i="7" s="1"/>
  <c r="S710" i="7" s="1"/>
  <c r="AB707" i="7"/>
  <c r="V708" i="7"/>
  <c r="AB708" i="7" s="1"/>
  <c r="N708" i="7"/>
  <c r="Z708" i="7" l="1"/>
  <c r="V709" i="7"/>
  <c r="W709" i="7" s="1"/>
  <c r="N709" i="7"/>
  <c r="W708" i="7"/>
  <c r="Z707" i="7"/>
  <c r="AG710" i="7"/>
  <c r="AH710" i="7" s="1"/>
  <c r="T710" i="7" s="1"/>
  <c r="Q711" i="7" s="1"/>
  <c r="S711" i="7" s="1"/>
  <c r="AB709" i="7" l="1"/>
  <c r="Z709" i="7" s="1"/>
  <c r="V710" i="7"/>
  <c r="N710" i="7"/>
  <c r="AG711" i="7"/>
  <c r="AH711" i="7" s="1"/>
  <c r="T711" i="7" s="1"/>
  <c r="Q712" i="7" s="1"/>
  <c r="S712" i="7" s="1"/>
  <c r="W710" i="7"/>
  <c r="AB710" i="7"/>
  <c r="AG712" i="7" l="1"/>
  <c r="AH712" i="7" s="1"/>
  <c r="T712" i="7" s="1"/>
  <c r="Q713" i="7" s="1"/>
  <c r="S713" i="7" s="1"/>
  <c r="Z710" i="7"/>
  <c r="V711" i="7"/>
  <c r="AB711" i="7" s="1"/>
  <c r="N711" i="7"/>
  <c r="Z711" i="7" l="1"/>
  <c r="W711" i="7"/>
  <c r="AG713" i="7"/>
  <c r="AH713" i="7" s="1"/>
  <c r="T713" i="7" s="1"/>
  <c r="Q714" i="7" s="1"/>
  <c r="S714" i="7" s="1"/>
  <c r="N712" i="7"/>
  <c r="V712" i="7"/>
  <c r="W712" i="7" s="1"/>
  <c r="AB712" i="7" l="1"/>
  <c r="Z712" i="7" s="1"/>
  <c r="N713" i="7"/>
  <c r="V713" i="7"/>
  <c r="AB713" i="7" s="1"/>
  <c r="AG714" i="7"/>
  <c r="AH714" i="7" s="1"/>
  <c r="T714" i="7" s="1"/>
  <c r="Q715" i="7" s="1"/>
  <c r="S715" i="7" s="1"/>
  <c r="Z713" i="7" l="1"/>
  <c r="W713" i="7"/>
  <c r="AG715" i="7"/>
  <c r="AH715" i="7" s="1"/>
  <c r="T715" i="7" s="1"/>
  <c r="Q716" i="7" s="1"/>
  <c r="S716" i="7" s="1"/>
  <c r="N714" i="7"/>
  <c r="V714" i="7"/>
  <c r="AB714" i="7" s="1"/>
  <c r="W714" i="7" l="1"/>
  <c r="V715" i="7"/>
  <c r="AB715" i="7" s="1"/>
  <c r="N715" i="7"/>
  <c r="Z714" i="7"/>
  <c r="AG716" i="7"/>
  <c r="AH716" i="7" s="1"/>
  <c r="T716" i="7" s="1"/>
  <c r="Q717" i="7" s="1"/>
  <c r="S717" i="7" s="1"/>
  <c r="W715" i="7" l="1"/>
  <c r="AG717" i="7"/>
  <c r="AH717" i="7" s="1"/>
  <c r="T717" i="7" s="1"/>
  <c r="Q718" i="7" s="1"/>
  <c r="S718" i="7" s="1"/>
  <c r="Z715" i="7"/>
  <c r="V716" i="7"/>
  <c r="W716" i="7" s="1"/>
  <c r="N716" i="7"/>
  <c r="AB716" i="7" l="1"/>
  <c r="V717" i="7"/>
  <c r="W717" i="7" s="1"/>
  <c r="N717" i="7"/>
  <c r="AG718" i="7"/>
  <c r="AH718" i="7" s="1"/>
  <c r="T718" i="7" s="1"/>
  <c r="Q719" i="7" s="1"/>
  <c r="S719" i="7" s="1"/>
  <c r="AB717" i="7" l="1"/>
  <c r="Z717" i="7" s="1"/>
  <c r="Z716" i="7"/>
  <c r="V718" i="7"/>
  <c r="W718" i="7" s="1"/>
  <c r="N718" i="7"/>
  <c r="AG719" i="7"/>
  <c r="AH719" i="7" s="1"/>
  <c r="T719" i="7" s="1"/>
  <c r="Q720" i="7" s="1"/>
  <c r="S720" i="7" s="1"/>
  <c r="AB718" i="7" l="1"/>
  <c r="AG720" i="7"/>
  <c r="AH720" i="7" s="1"/>
  <c r="T720" i="7" s="1"/>
  <c r="Q721" i="7" s="1"/>
  <c r="S721" i="7" s="1"/>
  <c r="V719" i="7"/>
  <c r="W719" i="7" s="1"/>
  <c r="N719" i="7"/>
  <c r="AB719" i="7" l="1"/>
  <c r="Z719" i="7" s="1"/>
  <c r="V720" i="7"/>
  <c r="AB720" i="7" s="1"/>
  <c r="N720" i="7"/>
  <c r="AG721" i="7"/>
  <c r="AH721" i="7" s="1"/>
  <c r="T721" i="7" s="1"/>
  <c r="Q722" i="7" s="1"/>
  <c r="S722" i="7" s="1"/>
  <c r="Z718" i="7"/>
  <c r="Z720" i="7" l="1"/>
  <c r="AG722" i="7"/>
  <c r="AH722" i="7" s="1"/>
  <c r="T722" i="7" s="1"/>
  <c r="Q723" i="7" s="1"/>
  <c r="S723" i="7" s="1"/>
  <c r="W720" i="7"/>
  <c r="V721" i="7"/>
  <c r="W721" i="7" s="1"/>
  <c r="N721" i="7"/>
  <c r="AB721" i="7" l="1"/>
  <c r="AG723" i="7"/>
  <c r="AH723" i="7" s="1"/>
  <c r="T723" i="7" s="1"/>
  <c r="Q724" i="7" s="1"/>
  <c r="S724" i="7" s="1"/>
  <c r="N722" i="7"/>
  <c r="V722" i="7"/>
  <c r="W722" i="7" s="1"/>
  <c r="Z721" i="7" l="1"/>
  <c r="AB722" i="7"/>
  <c r="AG724" i="7"/>
  <c r="AH724" i="7" s="1"/>
  <c r="T724" i="7" s="1"/>
  <c r="Q725" i="7" s="1"/>
  <c r="S725" i="7" s="1"/>
  <c r="N723" i="7"/>
  <c r="V723" i="7"/>
  <c r="W723" i="7" s="1"/>
  <c r="Z722" i="7" l="1"/>
  <c r="AB723" i="7"/>
  <c r="N724" i="7"/>
  <c r="V724" i="7"/>
  <c r="AB724" i="7" s="1"/>
  <c r="AG725" i="7"/>
  <c r="AH725" i="7" s="1"/>
  <c r="T725" i="7" s="1"/>
  <c r="Q726" i="7" s="1"/>
  <c r="S726" i="7" s="1"/>
  <c r="Z723" i="7"/>
  <c r="Z724" i="7" l="1"/>
  <c r="W724" i="7"/>
  <c r="AG726" i="7"/>
  <c r="AH726" i="7" s="1"/>
  <c r="T726" i="7" s="1"/>
  <c r="Q727" i="7" s="1"/>
  <c r="S727" i="7" s="1"/>
  <c r="N725" i="7"/>
  <c r="V725" i="7"/>
  <c r="W725" i="7" s="1"/>
  <c r="AB725" i="7" l="1"/>
  <c r="AG727" i="7"/>
  <c r="AH727" i="7" s="1"/>
  <c r="T727" i="7" s="1"/>
  <c r="Q728" i="7" s="1"/>
  <c r="S728" i="7" s="1"/>
  <c r="V726" i="7"/>
  <c r="AB726" i="7" s="1"/>
  <c r="N726" i="7"/>
  <c r="Z725" i="7" l="1"/>
  <c r="W726" i="7"/>
  <c r="Z726" i="7"/>
  <c r="V727" i="7"/>
  <c r="W727" i="7" s="1"/>
  <c r="N727" i="7"/>
  <c r="AG728" i="7"/>
  <c r="AH728" i="7" s="1"/>
  <c r="T728" i="7" s="1"/>
  <c r="Q729" i="7" s="1"/>
  <c r="S729" i="7" s="1"/>
  <c r="AB727" i="7" l="1"/>
  <c r="Z727" i="7" s="1"/>
  <c r="AG729" i="7"/>
  <c r="AH729" i="7" s="1"/>
  <c r="T729" i="7" s="1"/>
  <c r="Q730" i="7" s="1"/>
  <c r="S730" i="7" s="1"/>
  <c r="V728" i="7"/>
  <c r="AB728" i="7" s="1"/>
  <c r="N728" i="7"/>
  <c r="Z728" i="7" l="1"/>
  <c r="W728" i="7"/>
  <c r="AG730" i="7"/>
  <c r="AH730" i="7" s="1"/>
  <c r="T730" i="7" s="1"/>
  <c r="Q731" i="7" s="1"/>
  <c r="S731" i="7" s="1"/>
  <c r="V729" i="7"/>
  <c r="AB729" i="7" s="1"/>
  <c r="N729" i="7"/>
  <c r="Z729" i="7" l="1"/>
  <c r="AG731" i="7"/>
  <c r="AH731" i="7" s="1"/>
  <c r="T731" i="7" s="1"/>
  <c r="Q732" i="7" s="1"/>
  <c r="S732" i="7" s="1"/>
  <c r="V730" i="7"/>
  <c r="AB730" i="7" s="1"/>
  <c r="N730" i="7"/>
  <c r="W729" i="7"/>
  <c r="W730" i="7" l="1"/>
  <c r="Z730" i="7"/>
  <c r="AG732" i="7"/>
  <c r="AH732" i="7" s="1"/>
  <c r="T732" i="7" s="1"/>
  <c r="Q733" i="7" s="1"/>
  <c r="S733" i="7" s="1"/>
  <c r="V731" i="7"/>
  <c r="AB731" i="7" s="1"/>
  <c r="N731" i="7"/>
  <c r="Z731" i="7" l="1"/>
  <c r="W731" i="7"/>
  <c r="N732" i="7"/>
  <c r="V732" i="7"/>
  <c r="W732" i="7" s="1"/>
  <c r="AG733" i="7"/>
  <c r="AH733" i="7" s="1"/>
  <c r="T733" i="7" s="1"/>
  <c r="Q734" i="7" s="1"/>
  <c r="S734" i="7" s="1"/>
  <c r="V733" i="7" l="1"/>
  <c r="N733" i="7"/>
  <c r="AG734" i="7"/>
  <c r="AH734" i="7" s="1"/>
  <c r="T734" i="7" s="1"/>
  <c r="Q735" i="7" s="1"/>
  <c r="S735" i="7" s="1"/>
  <c r="W733" i="7"/>
  <c r="AB733" i="7"/>
  <c r="AB732" i="7"/>
  <c r="Z732" i="7" l="1"/>
  <c r="Z733" i="7"/>
  <c r="N734" i="7"/>
  <c r="V734" i="7"/>
  <c r="W734" i="7" s="1"/>
  <c r="AG735" i="7"/>
  <c r="AH735" i="7" s="1"/>
  <c r="T735" i="7" s="1"/>
  <c r="Q736" i="7" s="1"/>
  <c r="S736" i="7" s="1"/>
  <c r="AB734" i="7" l="1"/>
  <c r="Z734" i="7" s="1"/>
  <c r="AG736" i="7"/>
  <c r="AH736" i="7" s="1"/>
  <c r="T736" i="7" s="1"/>
  <c r="Q737" i="7" s="1"/>
  <c r="S737" i="7" s="1"/>
  <c r="V735" i="7"/>
  <c r="AB735" i="7" s="1"/>
  <c r="N735" i="7"/>
  <c r="Z735" i="7" l="1"/>
  <c r="W735" i="7"/>
  <c r="N736" i="7"/>
  <c r="V736" i="7"/>
  <c r="AB736" i="7" s="1"/>
  <c r="AG737" i="7"/>
  <c r="AH737" i="7" s="1"/>
  <c r="T737" i="7" s="1"/>
  <c r="Q738" i="7" s="1"/>
  <c r="S738" i="7" s="1"/>
  <c r="Z736" i="7" l="1"/>
  <c r="AG738" i="7"/>
  <c r="AH738" i="7" s="1"/>
  <c r="T738" i="7" s="1"/>
  <c r="Q739" i="7" s="1"/>
  <c r="S739" i="7" s="1"/>
  <c r="V737" i="7"/>
  <c r="AB737" i="7" s="1"/>
  <c r="N737" i="7"/>
  <c r="W736" i="7"/>
  <c r="Z737" i="7" l="1"/>
  <c r="AG739" i="7"/>
  <c r="AH739" i="7" s="1"/>
  <c r="T739" i="7" s="1"/>
  <c r="Q740" i="7" s="1"/>
  <c r="S740" i="7" s="1"/>
  <c r="N738" i="7"/>
  <c r="V738" i="7"/>
  <c r="AB738" i="7" s="1"/>
  <c r="W737" i="7"/>
  <c r="W738" i="7" l="1"/>
  <c r="V739" i="7"/>
  <c r="AB739" i="7" s="1"/>
  <c r="N739" i="7"/>
  <c r="AG740" i="7"/>
  <c r="AH740" i="7" s="1"/>
  <c r="T740" i="7" s="1"/>
  <c r="Q741" i="7" s="1"/>
  <c r="S741" i="7" s="1"/>
  <c r="Z738" i="7"/>
  <c r="Z739" i="7" l="1"/>
  <c r="AG741" i="7"/>
  <c r="AH741" i="7" s="1"/>
  <c r="T741" i="7" s="1"/>
  <c r="Q742" i="7" s="1"/>
  <c r="S742" i="7" s="1"/>
  <c r="W739" i="7"/>
  <c r="V740" i="7"/>
  <c r="AB740" i="7" s="1"/>
  <c r="N740" i="7"/>
  <c r="W740" i="7" l="1"/>
  <c r="AG742" i="7"/>
  <c r="AH742" i="7" s="1"/>
  <c r="T742" i="7" s="1"/>
  <c r="Q743" i="7" s="1"/>
  <c r="S743" i="7" s="1"/>
  <c r="Z740" i="7"/>
  <c r="V741" i="7"/>
  <c r="AB741" i="7" s="1"/>
  <c r="N741" i="7"/>
  <c r="Z741" i="7" l="1"/>
  <c r="W741" i="7"/>
  <c r="AG743" i="7"/>
  <c r="AH743" i="7" s="1"/>
  <c r="T743" i="7" s="1"/>
  <c r="Q744" i="7" s="1"/>
  <c r="S744" i="7" s="1"/>
  <c r="V742" i="7"/>
  <c r="W742" i="7" s="1"/>
  <c r="N742" i="7"/>
  <c r="AB742" i="7" l="1"/>
  <c r="V743" i="7"/>
  <c r="AB743" i="7" s="1"/>
  <c r="N743" i="7"/>
  <c r="AG744" i="7"/>
  <c r="AH744" i="7" s="1"/>
  <c r="T744" i="7" s="1"/>
  <c r="Q745" i="7" s="1"/>
  <c r="S745" i="7" s="1"/>
  <c r="Z742" i="7" l="1"/>
  <c r="Z743" i="7"/>
  <c r="AG745" i="7"/>
  <c r="AH745" i="7" s="1"/>
  <c r="T745" i="7" s="1"/>
  <c r="Q746" i="7" s="1"/>
  <c r="S746" i="7" s="1"/>
  <c r="W743" i="7"/>
  <c r="N744" i="7"/>
  <c r="V744" i="7"/>
  <c r="W744" i="7" s="1"/>
  <c r="AB744" i="7" l="1"/>
  <c r="Z744" i="7" s="1"/>
  <c r="AG746" i="7"/>
  <c r="AH746" i="7" s="1"/>
  <c r="T746" i="7" s="1"/>
  <c r="Q747" i="7" s="1"/>
  <c r="S747" i="7" s="1"/>
  <c r="V745" i="7"/>
  <c r="W745" i="7" s="1"/>
  <c r="N745" i="7"/>
  <c r="AB745" i="7" l="1"/>
  <c r="V746" i="7"/>
  <c r="AB746" i="7" s="1"/>
  <c r="N746" i="7"/>
  <c r="AG747" i="7"/>
  <c r="AH747" i="7" s="1"/>
  <c r="T747" i="7" s="1"/>
  <c r="Q748" i="7" s="1"/>
  <c r="S748" i="7" s="1"/>
  <c r="W746" i="7" l="1"/>
  <c r="V747" i="7"/>
  <c r="W747" i="7" s="1"/>
  <c r="N747" i="7"/>
  <c r="AG748" i="7"/>
  <c r="AH748" i="7" s="1"/>
  <c r="T748" i="7" s="1"/>
  <c r="Q749" i="7" s="1"/>
  <c r="S749" i="7" s="1"/>
  <c r="Z746" i="7"/>
  <c r="Z745" i="7"/>
  <c r="AB747" i="7" l="1"/>
  <c r="Z747" i="7" s="1"/>
  <c r="AG749" i="7"/>
  <c r="AH749" i="7" s="1"/>
  <c r="T749" i="7" s="1"/>
  <c r="Q750" i="7" s="1"/>
  <c r="S750" i="7" s="1"/>
  <c r="V748" i="7"/>
  <c r="AB748" i="7" s="1"/>
  <c r="N748" i="7"/>
  <c r="Z748" i="7" l="1"/>
  <c r="AG750" i="7"/>
  <c r="AH750" i="7" s="1"/>
  <c r="T750" i="7" s="1"/>
  <c r="Q751" i="7" s="1"/>
  <c r="W748" i="7"/>
  <c r="N749" i="7"/>
  <c r="V749" i="7"/>
  <c r="AB749" i="7" s="1"/>
  <c r="W749" i="7" l="1"/>
  <c r="S751" i="7"/>
  <c r="N750" i="7"/>
  <c r="V750" i="7"/>
  <c r="AB750" i="7" s="1"/>
  <c r="Z749" i="7"/>
  <c r="W750" i="7" l="1"/>
  <c r="AG751" i="7"/>
  <c r="AH751" i="7" s="1"/>
  <c r="T751" i="7" s="1"/>
  <c r="Q752" i="7" s="1"/>
  <c r="S752" i="7" s="1"/>
  <c r="AG752" i="7" s="1"/>
  <c r="AH752" i="7" s="1"/>
  <c r="T752" i="7" s="1"/>
  <c r="Q753" i="7" s="1"/>
  <c r="Z750" i="7"/>
  <c r="N751" i="7"/>
  <c r="V751" i="7"/>
  <c r="S753" i="7" l="1"/>
  <c r="W751" i="7"/>
  <c r="AB751" i="7"/>
  <c r="N752" i="7"/>
  <c r="V752" i="7"/>
  <c r="AG753" i="7" l="1"/>
  <c r="AH753" i="7" s="1"/>
  <c r="T753" i="7" s="1"/>
  <c r="Q754" i="7" s="1"/>
  <c r="W752" i="7"/>
  <c r="AB752" i="7"/>
  <c r="Z751" i="7"/>
  <c r="V753" i="7"/>
  <c r="N753" i="7"/>
  <c r="S754" i="7" l="1"/>
  <c r="AB753" i="7"/>
  <c r="W753" i="7"/>
  <c r="N754" i="7"/>
  <c r="V754" i="7"/>
  <c r="Z752" i="7"/>
  <c r="AG754" i="7" l="1"/>
  <c r="AH754" i="7" s="1"/>
  <c r="T754" i="7" s="1"/>
  <c r="Q755" i="7" s="1"/>
  <c r="N755" i="7" s="1"/>
  <c r="Z753" i="7"/>
  <c r="V755" i="7" l="1"/>
  <c r="W754" i="7"/>
  <c r="AB754" i="7"/>
  <c r="S755" i="7"/>
  <c r="Z754" i="7" l="1"/>
  <c r="AG755" i="7"/>
  <c r="AH755" i="7" s="1"/>
  <c r="T755" i="7" s="1"/>
  <c r="AB755" i="7" l="1"/>
  <c r="Q756" i="7"/>
  <c r="W755" i="7"/>
  <c r="N756" i="7" l="1"/>
  <c r="V756" i="7"/>
  <c r="S756" i="7"/>
  <c r="Z755" i="7"/>
  <c r="AG756" i="7" l="1"/>
  <c r="AH756" i="7" s="1"/>
  <c r="T756" i="7" s="1"/>
  <c r="AB756" i="7" l="1"/>
  <c r="W756" i="7"/>
  <c r="Q757" i="7"/>
  <c r="V757" i="7" l="1"/>
  <c r="N757" i="7"/>
  <c r="S757" i="7"/>
  <c r="Z756" i="7"/>
  <c r="AG757" i="7" l="1"/>
  <c r="AH757" i="7" s="1"/>
  <c r="T757" i="7" s="1"/>
  <c r="AB757" i="7" l="1"/>
  <c r="W757" i="7"/>
  <c r="Q758" i="7"/>
  <c r="V758" i="7" l="1"/>
  <c r="N758" i="7"/>
  <c r="S758" i="7"/>
  <c r="Z757" i="7"/>
  <c r="AG758" i="7" l="1"/>
  <c r="AH758" i="7" s="1"/>
  <c r="T758" i="7" s="1"/>
  <c r="AB758" i="7" l="1"/>
  <c r="W758" i="7"/>
  <c r="Q759" i="7"/>
  <c r="N759" i="7" l="1"/>
  <c r="V759" i="7"/>
  <c r="S759" i="7"/>
  <c r="Z758" i="7"/>
  <c r="AG759" i="7" l="1"/>
  <c r="AH759" i="7" s="1"/>
  <c r="T759" i="7" s="1"/>
  <c r="W759" i="7" l="1"/>
  <c r="AB759" i="7"/>
  <c r="Q760" i="7"/>
  <c r="Z759" i="7" l="1"/>
  <c r="N760" i="7"/>
  <c r="V760" i="7"/>
  <c r="S760" i="7"/>
  <c r="AG760" i="7" l="1"/>
  <c r="AH760" i="7" s="1"/>
  <c r="T760" i="7" s="1"/>
  <c r="AB760" i="7" l="1"/>
  <c r="W760" i="7"/>
  <c r="Q761" i="7"/>
  <c r="N761" i="7" l="1"/>
  <c r="V761" i="7"/>
  <c r="S761" i="7"/>
  <c r="Z760" i="7"/>
  <c r="AG761" i="7" l="1"/>
  <c r="AH761" i="7" s="1"/>
  <c r="T761" i="7" s="1"/>
  <c r="W761" i="7" l="1"/>
  <c r="AB761" i="7"/>
  <c r="Q762" i="7"/>
  <c r="Z761" i="7" l="1"/>
  <c r="V762" i="7"/>
  <c r="N762" i="7"/>
  <c r="S762" i="7"/>
  <c r="AG762" i="7" l="1"/>
  <c r="AH762" i="7" s="1"/>
  <c r="T762" i="7" s="1"/>
  <c r="AB762" i="7" l="1"/>
  <c r="W762" i="7"/>
  <c r="Q763" i="7"/>
  <c r="V763" i="7" l="1"/>
  <c r="N763" i="7"/>
  <c r="S763" i="7"/>
  <c r="Z762" i="7"/>
  <c r="AG763" i="7" l="1"/>
  <c r="AH763" i="7" s="1"/>
  <c r="T763" i="7" s="1"/>
  <c r="AB763" i="7" l="1"/>
  <c r="W763" i="7"/>
  <c r="Q764" i="7"/>
  <c r="V764" i="7" l="1"/>
  <c r="N764" i="7"/>
  <c r="S764" i="7"/>
  <c r="Z763" i="7"/>
  <c r="AG764" i="7" l="1"/>
  <c r="AH764" i="7" s="1"/>
  <c r="T764" i="7" s="1"/>
  <c r="W764" i="7" l="1"/>
  <c r="AB764" i="7"/>
  <c r="Q765" i="7"/>
  <c r="Z764" i="7" l="1"/>
  <c r="V765" i="7"/>
  <c r="N765" i="7"/>
  <c r="S765" i="7"/>
  <c r="AG765" i="7" l="1"/>
  <c r="AH765" i="7" s="1"/>
  <c r="T765" i="7" s="1"/>
  <c r="AB765" i="7" l="1"/>
  <c r="W765" i="7"/>
  <c r="Q766" i="7"/>
  <c r="N766" i="7" l="1"/>
  <c r="V766" i="7"/>
  <c r="S766" i="7"/>
  <c r="Z765" i="7"/>
  <c r="AG766" i="7" l="1"/>
  <c r="AH766" i="7" s="1"/>
  <c r="T766" i="7" s="1"/>
  <c r="W766" i="7" l="1"/>
  <c r="AB766" i="7"/>
  <c r="Q767" i="7"/>
  <c r="Z766" i="7" l="1"/>
  <c r="V767" i="7"/>
  <c r="N767" i="7"/>
  <c r="S767" i="7"/>
  <c r="AG767" i="7" l="1"/>
  <c r="AH767" i="7" s="1"/>
  <c r="T767" i="7" s="1"/>
  <c r="W767" i="7" l="1"/>
  <c r="AB767" i="7"/>
  <c r="Q768" i="7"/>
  <c r="Z767" i="7" l="1"/>
  <c r="V768" i="7"/>
  <c r="N768" i="7"/>
  <c r="S768" i="7"/>
  <c r="AG768" i="7" l="1"/>
  <c r="AH768" i="7" s="1"/>
  <c r="T768" i="7" s="1"/>
  <c r="W768" i="7" l="1"/>
  <c r="AB768" i="7"/>
  <c r="Q769" i="7"/>
  <c r="Z768" i="7" l="1"/>
  <c r="V769" i="7"/>
  <c r="N769" i="7"/>
  <c r="S769" i="7"/>
  <c r="AG769" i="7" l="1"/>
  <c r="AH769" i="7" s="1"/>
  <c r="T769" i="7" s="1"/>
  <c r="AB769" i="7" l="1"/>
  <c r="W769" i="7"/>
  <c r="Q770" i="7"/>
  <c r="N770" i="7" l="1"/>
  <c r="V770" i="7"/>
  <c r="S770" i="7"/>
  <c r="Z769" i="7"/>
  <c r="AG770" i="7" l="1"/>
  <c r="AH770" i="7" s="1"/>
  <c r="T770" i="7" s="1"/>
  <c r="W770" i="7" l="1"/>
  <c r="AB770" i="7"/>
  <c r="Q771" i="7"/>
  <c r="Z770" i="7" l="1"/>
  <c r="V771" i="7"/>
  <c r="N771" i="7"/>
  <c r="S771" i="7"/>
  <c r="AG771" i="7" l="1"/>
  <c r="AH771" i="7" s="1"/>
  <c r="T771" i="7" s="1"/>
  <c r="AB771" i="7" l="1"/>
  <c r="W771" i="7"/>
  <c r="Q772" i="7"/>
  <c r="V772" i="7" l="1"/>
  <c r="N772" i="7"/>
  <c r="S772" i="7"/>
  <c r="Z771" i="7"/>
  <c r="AG772" i="7" l="1"/>
  <c r="AH772" i="7" s="1"/>
  <c r="T772" i="7" s="1"/>
  <c r="AB772" i="7" l="1"/>
  <c r="W772" i="7"/>
  <c r="Q773" i="7"/>
  <c r="N773" i="7" l="1"/>
  <c r="V773" i="7"/>
  <c r="S773" i="7"/>
  <c r="Z772" i="7"/>
  <c r="AG773" i="7" l="1"/>
  <c r="AH773" i="7" s="1"/>
  <c r="T773" i="7" s="1"/>
  <c r="AB773" i="7" l="1"/>
  <c r="W773" i="7"/>
  <c r="Q774" i="7"/>
  <c r="V774" i="7" l="1"/>
  <c r="N774" i="7"/>
  <c r="S774" i="7"/>
  <c r="Z773" i="7"/>
  <c r="AG774" i="7" l="1"/>
  <c r="AH774" i="7" s="1"/>
  <c r="T774" i="7" s="1"/>
  <c r="AB774" i="7" l="1"/>
  <c r="W774" i="7"/>
  <c r="Q775" i="7"/>
  <c r="N775" i="7" l="1"/>
  <c r="V775" i="7"/>
  <c r="S775" i="7"/>
  <c r="Z774" i="7"/>
  <c r="AG775" i="7" l="1"/>
  <c r="AH775" i="7" s="1"/>
  <c r="T775" i="7" s="1"/>
  <c r="AB775" i="7" l="1"/>
  <c r="W775" i="7"/>
  <c r="Q776" i="7"/>
  <c r="V776" i="7" l="1"/>
  <c r="N776" i="7"/>
  <c r="S776" i="7"/>
  <c r="Z775" i="7"/>
  <c r="AG776" i="7" l="1"/>
  <c r="AH776" i="7" s="1"/>
  <c r="T776" i="7" s="1"/>
  <c r="W776" i="7" l="1"/>
  <c r="AB776" i="7"/>
  <c r="Q777" i="7"/>
  <c r="Z776" i="7" l="1"/>
  <c r="N777" i="7"/>
  <c r="V777" i="7"/>
  <c r="S777" i="7"/>
  <c r="AG777" i="7" l="1"/>
  <c r="AH777" i="7" s="1"/>
  <c r="T777" i="7" s="1"/>
  <c r="W777" i="7" l="1"/>
  <c r="AB777" i="7"/>
  <c r="Q778" i="7"/>
  <c r="Z777" i="7" l="1"/>
  <c r="V778" i="7"/>
  <c r="N778" i="7"/>
  <c r="S778" i="7"/>
  <c r="AG778" i="7" l="1"/>
  <c r="AH778" i="7" s="1"/>
  <c r="T778" i="7" s="1"/>
  <c r="W778" i="7" l="1"/>
  <c r="AB778" i="7"/>
  <c r="Q779" i="7"/>
  <c r="V779" i="7" l="1"/>
  <c r="N779" i="7"/>
  <c r="S779" i="7"/>
  <c r="Z778" i="7"/>
  <c r="AG779" i="7" l="1"/>
  <c r="AH779" i="7" s="1"/>
  <c r="T779" i="7" s="1"/>
  <c r="AB779" i="7" l="1"/>
  <c r="W779" i="7"/>
  <c r="Q780" i="7"/>
  <c r="V780" i="7" l="1"/>
  <c r="N780" i="7"/>
  <c r="S780" i="7"/>
  <c r="Z779" i="7"/>
  <c r="AG780" i="7" l="1"/>
  <c r="AH780" i="7" s="1"/>
  <c r="T780" i="7" s="1"/>
  <c r="AB780" i="7" l="1"/>
  <c r="W780" i="7"/>
  <c r="Q781" i="7"/>
  <c r="V781" i="7" l="1"/>
  <c r="N781" i="7"/>
  <c r="S781" i="7"/>
  <c r="Z780" i="7"/>
  <c r="AG781" i="7" l="1"/>
  <c r="AH781" i="7" s="1"/>
  <c r="T781" i="7" s="1"/>
  <c r="AB781" i="7" l="1"/>
  <c r="W781" i="7"/>
  <c r="Q782" i="7"/>
  <c r="N782" i="7" l="1"/>
  <c r="V782" i="7"/>
  <c r="S782" i="7"/>
  <c r="Z781" i="7"/>
  <c r="AG782" i="7" l="1"/>
  <c r="AH782" i="7" s="1"/>
  <c r="T782" i="7" s="1"/>
  <c r="W782" i="7" l="1"/>
  <c r="AB782" i="7"/>
  <c r="Q783" i="7"/>
  <c r="Z782" i="7" l="1"/>
  <c r="V783" i="7"/>
  <c r="N783" i="7"/>
  <c r="S783" i="7"/>
  <c r="AG783" i="7" l="1"/>
  <c r="AH783" i="7" s="1"/>
  <c r="T783" i="7" s="1"/>
  <c r="W783" i="7" l="1"/>
  <c r="AB783" i="7"/>
  <c r="Q784" i="7"/>
  <c r="V784" i="7" l="1"/>
  <c r="N784" i="7"/>
  <c r="S784" i="7"/>
  <c r="Z783" i="7"/>
  <c r="AG784" i="7" l="1"/>
  <c r="AH784" i="7" s="1"/>
  <c r="T784" i="7" s="1"/>
  <c r="AB784" i="7" l="1"/>
  <c r="W784" i="7"/>
  <c r="Q785" i="7"/>
  <c r="N785" i="7" l="1"/>
  <c r="V785" i="7"/>
  <c r="S785" i="7"/>
  <c r="Z784" i="7"/>
  <c r="AG785" i="7" l="1"/>
  <c r="AH785" i="7" s="1"/>
  <c r="T785" i="7" s="1"/>
  <c r="W785" i="7" l="1"/>
  <c r="AB785" i="7"/>
  <c r="Q786" i="7"/>
  <c r="Z785" i="7" l="1"/>
  <c r="N786" i="7"/>
  <c r="V786" i="7"/>
  <c r="S786" i="7"/>
  <c r="AG786" i="7" l="1"/>
  <c r="AH786" i="7" s="1"/>
  <c r="T786" i="7" s="1"/>
  <c r="W786" i="7" l="1"/>
  <c r="AB786" i="7"/>
  <c r="Q787" i="7"/>
  <c r="Z786" i="7" l="1"/>
  <c r="N787" i="7"/>
  <c r="V787" i="7"/>
  <c r="S787" i="7"/>
  <c r="AG787" i="7" l="1"/>
  <c r="AH787" i="7" s="1"/>
  <c r="T787" i="7" s="1"/>
  <c r="W787" i="7" l="1"/>
  <c r="AB787" i="7"/>
  <c r="Q788" i="7"/>
  <c r="Z787" i="7" l="1"/>
  <c r="V788" i="7"/>
  <c r="N788" i="7"/>
  <c r="S788" i="7"/>
  <c r="AG788" i="7" l="1"/>
  <c r="AH788" i="7" s="1"/>
  <c r="T788" i="7" s="1"/>
  <c r="AB788" i="7" l="1"/>
  <c r="W788" i="7"/>
  <c r="Q789" i="7"/>
  <c r="N789" i="7" l="1"/>
  <c r="V789" i="7"/>
  <c r="S789" i="7"/>
  <c r="Z788" i="7"/>
  <c r="AG789" i="7" l="1"/>
  <c r="AH789" i="7" s="1"/>
  <c r="T789" i="7" s="1"/>
  <c r="W789" i="7" l="1"/>
  <c r="AB789" i="7"/>
  <c r="Q790" i="7"/>
  <c r="Z789" i="7" l="1"/>
  <c r="N790" i="7"/>
  <c r="V790" i="7"/>
  <c r="S790" i="7"/>
  <c r="AG790" i="7" l="1"/>
  <c r="AH790" i="7" s="1"/>
  <c r="T790" i="7" s="1"/>
  <c r="AB790" i="7" l="1"/>
  <c r="W790" i="7"/>
  <c r="Q791" i="7"/>
  <c r="N791" i="7" l="1"/>
  <c r="V791" i="7"/>
  <c r="S791" i="7"/>
  <c r="Z790" i="7"/>
  <c r="AG791" i="7" l="1"/>
  <c r="AH791" i="7" s="1"/>
  <c r="T791" i="7" s="1"/>
  <c r="AB791" i="7" l="1"/>
  <c r="W791" i="7"/>
  <c r="Q792" i="7"/>
  <c r="N792" i="7" l="1"/>
  <c r="V792" i="7"/>
  <c r="S792" i="7"/>
  <c r="Z791" i="7"/>
  <c r="AG792" i="7" l="1"/>
  <c r="AH792" i="7" s="1"/>
  <c r="T792" i="7" s="1"/>
  <c r="AB792" i="7" l="1"/>
  <c r="W792" i="7"/>
  <c r="Q793" i="7"/>
  <c r="N793" i="7" l="1"/>
  <c r="V793" i="7"/>
  <c r="S793" i="7"/>
  <c r="Z792" i="7"/>
  <c r="AG793" i="7" l="1"/>
  <c r="AH793" i="7" s="1"/>
  <c r="T793" i="7" s="1"/>
  <c r="W793" i="7" l="1"/>
  <c r="AB793" i="7"/>
  <c r="Q794" i="7"/>
  <c r="N794" i="7" l="1"/>
  <c r="V794" i="7"/>
  <c r="S794" i="7"/>
  <c r="Z793" i="7"/>
  <c r="AG794" i="7" l="1"/>
  <c r="AH794" i="7" s="1"/>
  <c r="T794" i="7" s="1"/>
  <c r="AB794" i="7" l="1"/>
  <c r="W794" i="7"/>
  <c r="Q795" i="7"/>
  <c r="N795" i="7" l="1"/>
  <c r="V795" i="7"/>
  <c r="S795" i="7"/>
  <c r="Z794" i="7"/>
  <c r="AG795" i="7" l="1"/>
  <c r="AH795" i="7" s="1"/>
  <c r="T795" i="7" s="1"/>
  <c r="AB795" i="7" l="1"/>
  <c r="W795" i="7"/>
  <c r="Q796" i="7"/>
  <c r="V796" i="7" l="1"/>
  <c r="N796" i="7"/>
  <c r="S796" i="7"/>
  <c r="Z795" i="7"/>
  <c r="AG796" i="7" l="1"/>
  <c r="AH796" i="7" s="1"/>
  <c r="T796" i="7" s="1"/>
  <c r="AB796" i="7" l="1"/>
  <c r="W796" i="7"/>
  <c r="Q797" i="7"/>
  <c r="N797" i="7" l="1"/>
  <c r="V797" i="7"/>
  <c r="S797" i="7"/>
  <c r="Z796" i="7"/>
  <c r="AG797" i="7" l="1"/>
  <c r="AH797" i="7" s="1"/>
  <c r="T797" i="7" s="1"/>
  <c r="W797" i="7" l="1"/>
  <c r="AB797" i="7"/>
  <c r="Q798" i="7"/>
  <c r="V798" i="7" l="1"/>
  <c r="N798" i="7"/>
  <c r="S798" i="7"/>
  <c r="Z797" i="7"/>
  <c r="AG798" i="7" l="1"/>
  <c r="AH798" i="7" s="1"/>
  <c r="T798" i="7" s="1"/>
  <c r="AB798" i="7" l="1"/>
  <c r="W798" i="7"/>
  <c r="Q799" i="7"/>
  <c r="N799" i="7" l="1"/>
  <c r="V799" i="7"/>
  <c r="S799" i="7"/>
  <c r="Z798" i="7"/>
  <c r="AG799" i="7" l="1"/>
  <c r="AH799" i="7" s="1"/>
  <c r="T799" i="7" s="1"/>
  <c r="AB799" i="7" l="1"/>
  <c r="W799" i="7"/>
  <c r="Q800" i="7"/>
  <c r="V800" i="7" l="1"/>
  <c r="N800" i="7"/>
  <c r="S800" i="7"/>
  <c r="Z799" i="7"/>
  <c r="AG800" i="7" l="1"/>
  <c r="AH800" i="7" s="1"/>
  <c r="T800" i="7" s="1"/>
  <c r="W800" i="7" l="1"/>
  <c r="AB800" i="7"/>
  <c r="Q801" i="7"/>
  <c r="N801" i="7" l="1"/>
  <c r="V801" i="7"/>
  <c r="S801" i="7"/>
  <c r="Z800" i="7"/>
  <c r="AG801" i="7" l="1"/>
  <c r="AH801" i="7" s="1"/>
  <c r="T801" i="7" s="1"/>
  <c r="AB801" i="7" l="1"/>
  <c r="W801" i="7"/>
  <c r="Q802" i="7"/>
  <c r="N802" i="7" l="1"/>
  <c r="V802" i="7"/>
  <c r="S802" i="7"/>
  <c r="Z801" i="7"/>
  <c r="AG802" i="7" l="1"/>
  <c r="AH802" i="7" s="1"/>
  <c r="T802" i="7" s="1"/>
  <c r="W802" i="7" l="1"/>
  <c r="AB802" i="7"/>
  <c r="Q803" i="7"/>
  <c r="N803" i="7" l="1"/>
  <c r="V803" i="7"/>
  <c r="S803" i="7"/>
  <c r="Z802" i="7"/>
  <c r="AG803" i="7" l="1"/>
  <c r="AH803" i="7" s="1"/>
  <c r="T803" i="7" s="1"/>
  <c r="AB803" i="7" l="1"/>
  <c r="W803" i="7"/>
  <c r="Q804" i="7"/>
  <c r="N804" i="7" l="1"/>
  <c r="V804" i="7"/>
  <c r="S804" i="7"/>
  <c r="Z803" i="7"/>
  <c r="AG804" i="7" l="1"/>
  <c r="AH804" i="7" s="1"/>
  <c r="T804" i="7" s="1"/>
  <c r="AB804" i="7" l="1"/>
  <c r="W804" i="7"/>
  <c r="Q805" i="7"/>
  <c r="N805" i="7" l="1"/>
  <c r="V805" i="7"/>
  <c r="S805" i="7"/>
  <c r="Z804" i="7"/>
  <c r="AG805" i="7" l="1"/>
  <c r="AH805" i="7" s="1"/>
  <c r="T805" i="7" s="1"/>
  <c r="AB805" i="7" l="1"/>
  <c r="W805" i="7"/>
  <c r="Q806" i="7"/>
  <c r="V806" i="7" l="1"/>
  <c r="N806" i="7"/>
  <c r="S806" i="7"/>
  <c r="Z805" i="7"/>
  <c r="AG806" i="7" l="1"/>
  <c r="AH806" i="7" s="1"/>
  <c r="T806" i="7" s="1"/>
  <c r="AB806" i="7" l="1"/>
  <c r="W806" i="7"/>
  <c r="Q807" i="7"/>
  <c r="V807" i="7" l="1"/>
  <c r="N807" i="7"/>
  <c r="S807" i="7"/>
  <c r="Z806" i="7"/>
  <c r="AG807" i="7" l="1"/>
  <c r="AH807" i="7" s="1"/>
  <c r="T807" i="7" s="1"/>
  <c r="W807" i="7" l="1"/>
  <c r="AB807" i="7"/>
  <c r="Q808" i="7"/>
  <c r="V808" i="7" l="1"/>
  <c r="N808" i="7"/>
  <c r="S808" i="7"/>
  <c r="Z807" i="7"/>
  <c r="AG808" i="7" l="1"/>
  <c r="AH808" i="7" s="1"/>
  <c r="T808" i="7" s="1"/>
  <c r="AB808" i="7" l="1"/>
  <c r="W808" i="7"/>
  <c r="Q809" i="7"/>
  <c r="N809" i="7" l="1"/>
  <c r="V809" i="7"/>
  <c r="S809" i="7"/>
  <c r="Z808" i="7"/>
  <c r="AG809" i="7" l="1"/>
  <c r="AH809" i="7" s="1"/>
  <c r="T809" i="7" s="1"/>
  <c r="AB809" i="7" l="1"/>
  <c r="W809" i="7"/>
  <c r="Q810" i="7"/>
  <c r="N810" i="7" l="1"/>
  <c r="V810" i="7"/>
  <c r="S810" i="7"/>
  <c r="Z809" i="7"/>
  <c r="AG810" i="7" l="1"/>
  <c r="AH810" i="7" s="1"/>
  <c r="T810" i="7" s="1"/>
  <c r="AB810" i="7" l="1"/>
  <c r="W810" i="7"/>
  <c r="Q811" i="7"/>
  <c r="N811" i="7" l="1"/>
  <c r="V811" i="7"/>
  <c r="S811" i="7"/>
  <c r="Z810" i="7"/>
  <c r="AG811" i="7" l="1"/>
  <c r="AH811" i="7" s="1"/>
  <c r="T811" i="7" s="1"/>
  <c r="W811" i="7" l="1"/>
  <c r="AB811" i="7"/>
  <c r="Q812" i="7"/>
  <c r="N812" i="7" l="1"/>
  <c r="V812" i="7"/>
  <c r="S812" i="7"/>
  <c r="Z811" i="7"/>
  <c r="AG812" i="7" l="1"/>
  <c r="AH812" i="7" s="1"/>
  <c r="T812" i="7" s="1"/>
  <c r="W812" i="7" l="1"/>
  <c r="AB812" i="7"/>
  <c r="Q813" i="7"/>
  <c r="V813" i="7" l="1"/>
  <c r="N813" i="7"/>
  <c r="S813" i="7"/>
  <c r="Z812" i="7"/>
  <c r="AG813" i="7" l="1"/>
  <c r="AH813" i="7" s="1"/>
  <c r="T813" i="7" s="1"/>
  <c r="W813" i="7" l="1"/>
  <c r="AB813" i="7"/>
  <c r="Q814" i="7"/>
  <c r="N814" i="7" l="1"/>
  <c r="V814" i="7"/>
  <c r="S814" i="7"/>
  <c r="Z813" i="7"/>
  <c r="AG814" i="7" l="1"/>
  <c r="AH814" i="7" s="1"/>
  <c r="T814" i="7" s="1"/>
  <c r="W814" i="7" l="1"/>
  <c r="AB814" i="7"/>
  <c r="Q815" i="7"/>
  <c r="Z814" i="7" l="1"/>
  <c r="V815" i="7"/>
  <c r="N815" i="7"/>
  <c r="S815" i="7"/>
  <c r="AG815" i="7" l="1"/>
  <c r="AH815" i="7" s="1"/>
  <c r="T815" i="7" s="1"/>
  <c r="AB815" i="7" l="1"/>
  <c r="W815" i="7"/>
  <c r="Q816" i="7"/>
  <c r="Z815" i="7" l="1"/>
  <c r="V816" i="7"/>
  <c r="N816" i="7"/>
  <c r="S816" i="7"/>
  <c r="AG816" i="7" l="1"/>
  <c r="AH816" i="7" s="1"/>
  <c r="T816" i="7" s="1"/>
  <c r="W816" i="7" l="1"/>
  <c r="AB816" i="7"/>
  <c r="Q817" i="7"/>
  <c r="N817" i="7" l="1"/>
  <c r="V817" i="7"/>
  <c r="S817" i="7"/>
  <c r="Z816" i="7"/>
  <c r="AG817" i="7" l="1"/>
  <c r="AH817" i="7" s="1"/>
  <c r="T817" i="7" s="1"/>
  <c r="AB817" i="7" l="1"/>
  <c r="W817" i="7"/>
  <c r="Q818" i="7"/>
  <c r="V818" i="7" l="1"/>
  <c r="N818" i="7"/>
  <c r="S818" i="7"/>
  <c r="Z817" i="7"/>
  <c r="AG818" i="7" l="1"/>
  <c r="AH818" i="7" s="1"/>
  <c r="T818" i="7" s="1"/>
  <c r="W818" i="7" l="1"/>
  <c r="AB818" i="7"/>
  <c r="Q819" i="7"/>
  <c r="V819" i="7" l="1"/>
  <c r="N819" i="7"/>
  <c r="S819" i="7"/>
  <c r="Z818" i="7"/>
  <c r="AG819" i="7" l="1"/>
  <c r="AH819" i="7" s="1"/>
  <c r="T819" i="7" s="1"/>
  <c r="AB819" i="7" l="1"/>
  <c r="W819" i="7"/>
  <c r="Q820" i="7"/>
  <c r="N820" i="7" l="1"/>
  <c r="V820" i="7"/>
  <c r="S820" i="7"/>
  <c r="Z819" i="7"/>
  <c r="AG820" i="7" l="1"/>
  <c r="AH820" i="7" s="1"/>
  <c r="T820" i="7" s="1"/>
  <c r="W820" i="7" l="1"/>
  <c r="AB820" i="7"/>
  <c r="Q821" i="7"/>
  <c r="N821" i="7" l="1"/>
  <c r="V821" i="7"/>
  <c r="S821" i="7"/>
  <c r="Z820" i="7"/>
  <c r="AG821" i="7" l="1"/>
  <c r="AH821" i="7" s="1"/>
  <c r="T821" i="7" s="1"/>
  <c r="AB821" i="7" l="1"/>
  <c r="W821" i="7"/>
  <c r="Q822" i="7"/>
  <c r="V822" i="7" l="1"/>
  <c r="N822" i="7"/>
  <c r="S822" i="7"/>
  <c r="Z821" i="7"/>
  <c r="AG822" i="7" l="1"/>
  <c r="AH822" i="7" s="1"/>
  <c r="T822" i="7" s="1"/>
  <c r="W822" i="7" l="1"/>
  <c r="AB822" i="7"/>
  <c r="Q823" i="7"/>
  <c r="Z822" i="7" l="1"/>
  <c r="N823" i="7"/>
  <c r="V823" i="7"/>
  <c r="S823" i="7"/>
  <c r="AG823" i="7" l="1"/>
  <c r="AH823" i="7" s="1"/>
  <c r="T823" i="7" s="1"/>
  <c r="W823" i="7" l="1"/>
  <c r="AB823" i="7"/>
  <c r="Q824" i="7"/>
  <c r="N824" i="7" l="1"/>
  <c r="V824" i="7"/>
  <c r="S824" i="7"/>
  <c r="Z823" i="7"/>
  <c r="AG824" i="7" l="1"/>
  <c r="AH824" i="7" s="1"/>
  <c r="T824" i="7" s="1"/>
  <c r="AB824" i="7" l="1"/>
  <c r="W824" i="7"/>
  <c r="Q825" i="7"/>
  <c r="N825" i="7" l="1"/>
  <c r="V825" i="7"/>
  <c r="S825" i="7"/>
  <c r="Z824" i="7"/>
  <c r="AG825" i="7" l="1"/>
  <c r="AH825" i="7" s="1"/>
  <c r="T825" i="7" s="1"/>
  <c r="AB825" i="7" l="1"/>
  <c r="W825" i="7"/>
  <c r="Q826" i="7"/>
  <c r="N826" i="7" l="1"/>
  <c r="V826" i="7"/>
  <c r="S826" i="7"/>
  <c r="Z825" i="7"/>
  <c r="AG826" i="7" l="1"/>
  <c r="AH826" i="7" s="1"/>
  <c r="T826" i="7" s="1"/>
  <c r="W826" i="7" l="1"/>
  <c r="AB826" i="7"/>
  <c r="Q827" i="7"/>
  <c r="V827" i="7" l="1"/>
  <c r="N827" i="7"/>
  <c r="S827" i="7"/>
  <c r="Z826" i="7"/>
  <c r="AG827" i="7" l="1"/>
  <c r="AH827" i="7" s="1"/>
  <c r="T827" i="7" s="1"/>
  <c r="AB827" i="7" l="1"/>
  <c r="W827" i="7"/>
  <c r="Q828" i="7"/>
  <c r="N828" i="7" l="1"/>
  <c r="V828" i="7"/>
  <c r="S828" i="7"/>
  <c r="Z827" i="7"/>
  <c r="AG828" i="7" l="1"/>
  <c r="AH828" i="7" s="1"/>
  <c r="T828" i="7" s="1"/>
  <c r="AB828" i="7" l="1"/>
  <c r="W828" i="7"/>
  <c r="Q829" i="7"/>
  <c r="N829" i="7" l="1"/>
  <c r="V829" i="7"/>
  <c r="S829" i="7"/>
  <c r="Z828" i="7"/>
  <c r="AG829" i="7" l="1"/>
  <c r="AH829" i="7" s="1"/>
  <c r="T829" i="7" s="1"/>
  <c r="W829" i="7" l="1"/>
  <c r="AB829" i="7"/>
  <c r="Q830" i="7"/>
  <c r="Z829" i="7" l="1"/>
  <c r="Q831" i="7"/>
  <c r="N830" i="7"/>
  <c r="V830" i="7"/>
  <c r="S830" i="7"/>
  <c r="S831" i="7" l="1"/>
  <c r="AG830" i="7"/>
  <c r="AH830" i="7" s="1"/>
  <c r="T830" i="7" s="1"/>
  <c r="Q832" i="7"/>
  <c r="N831" i="7"/>
  <c r="V831" i="7"/>
  <c r="Q833" i="7" l="1"/>
  <c r="V832" i="7"/>
  <c r="N832" i="7"/>
  <c r="AB830" i="7"/>
  <c r="W830" i="7"/>
  <c r="S832" i="7"/>
  <c r="AG831" i="7"/>
  <c r="AH831" i="7" s="1"/>
  <c r="T831" i="7" s="1"/>
  <c r="W831" i="7" l="1"/>
  <c r="AB831" i="7"/>
  <c r="S833" i="7"/>
  <c r="AG832" i="7"/>
  <c r="AH832" i="7" s="1"/>
  <c r="T832" i="7" s="1"/>
  <c r="Z830" i="7"/>
  <c r="Q834" i="7"/>
  <c r="N833" i="7"/>
  <c r="V833" i="7"/>
  <c r="Q835" i="7" l="1"/>
  <c r="V834" i="7"/>
  <c r="N834" i="7"/>
  <c r="AG833" i="7"/>
  <c r="AH833" i="7" s="1"/>
  <c r="T833" i="7" s="1"/>
  <c r="S834" i="7"/>
  <c r="Z831" i="7"/>
  <c r="W832" i="7"/>
  <c r="AB832" i="7"/>
  <c r="S835" i="7" l="1"/>
  <c r="AG834" i="7"/>
  <c r="AH834" i="7" s="1"/>
  <c r="T834" i="7" s="1"/>
  <c r="AB833" i="7"/>
  <c r="W833" i="7"/>
  <c r="Z832" i="7"/>
  <c r="Q836" i="7"/>
  <c r="N835" i="7"/>
  <c r="V835" i="7"/>
  <c r="Q837" i="7" l="1"/>
  <c r="V836" i="7"/>
  <c r="N836" i="7"/>
  <c r="Z833" i="7"/>
  <c r="AB834" i="7"/>
  <c r="W834" i="7"/>
  <c r="S836" i="7"/>
  <c r="AG835" i="7"/>
  <c r="AH835" i="7" s="1"/>
  <c r="T835" i="7" s="1"/>
  <c r="Z834" i="7" l="1"/>
  <c r="S837" i="7"/>
  <c r="AG836" i="7"/>
  <c r="AH836" i="7" s="1"/>
  <c r="T836" i="7" s="1"/>
  <c r="W835" i="7"/>
  <c r="AB835" i="7"/>
  <c r="Q838" i="7"/>
  <c r="V837" i="7"/>
  <c r="N837" i="7"/>
  <c r="Z835" i="7" l="1"/>
  <c r="AB836" i="7"/>
  <c r="W836" i="7"/>
  <c r="Q839" i="7"/>
  <c r="V838" i="7"/>
  <c r="N838" i="7"/>
  <c r="AG837" i="7"/>
  <c r="AH837" i="7" s="1"/>
  <c r="T837" i="7" s="1"/>
  <c r="S838" i="7"/>
  <c r="Q840" i="7" l="1"/>
  <c r="N839" i="7"/>
  <c r="V839" i="7"/>
  <c r="AB837" i="7"/>
  <c r="W837" i="7"/>
  <c r="Z836" i="7"/>
  <c r="AG838" i="7"/>
  <c r="AH838" i="7" s="1"/>
  <c r="T838" i="7" s="1"/>
  <c r="S839" i="7"/>
  <c r="Z837" i="7" l="1"/>
  <c r="W838" i="7"/>
  <c r="AB838" i="7"/>
  <c r="AG839" i="7"/>
  <c r="AH839" i="7" s="1"/>
  <c r="T839" i="7" s="1"/>
  <c r="S840" i="7"/>
  <c r="Q841" i="7"/>
  <c r="N840" i="7"/>
  <c r="V840" i="7"/>
  <c r="AB839" i="7" l="1"/>
  <c r="W839" i="7"/>
  <c r="Q842" i="7"/>
  <c r="N841" i="7"/>
  <c r="V841" i="7"/>
  <c r="Z838" i="7"/>
  <c r="AG840" i="7"/>
  <c r="AH840" i="7" s="1"/>
  <c r="T840" i="7" s="1"/>
  <c r="S841" i="7"/>
  <c r="W840" i="7" l="1"/>
  <c r="AB840" i="7"/>
  <c r="Q843" i="7"/>
  <c r="N842" i="7"/>
  <c r="V842" i="7"/>
  <c r="S842" i="7"/>
  <c r="AG841" i="7"/>
  <c r="AH841" i="7" s="1"/>
  <c r="T841" i="7" s="1"/>
  <c r="Z839" i="7"/>
  <c r="S843" i="7" l="1"/>
  <c r="AG842" i="7"/>
  <c r="AH842" i="7" s="1"/>
  <c r="T842" i="7" s="1"/>
  <c r="W841" i="7"/>
  <c r="AB841" i="7"/>
  <c r="Q844" i="7"/>
  <c r="V843" i="7"/>
  <c r="N843" i="7"/>
  <c r="Z840" i="7"/>
  <c r="Q845" i="7" l="1"/>
  <c r="V844" i="7"/>
  <c r="N844" i="7"/>
  <c r="Z841" i="7"/>
  <c r="W842" i="7"/>
  <c r="AB842" i="7"/>
  <c r="AG843" i="7"/>
  <c r="AH843" i="7" s="1"/>
  <c r="T843" i="7" s="1"/>
  <c r="S844" i="7"/>
  <c r="AB843" i="7" l="1"/>
  <c r="W843" i="7"/>
  <c r="Z842" i="7"/>
  <c r="S845" i="7"/>
  <c r="AG844" i="7"/>
  <c r="AH844" i="7" s="1"/>
  <c r="T844" i="7" s="1"/>
  <c r="Q846" i="7"/>
  <c r="N845" i="7"/>
  <c r="V845" i="7"/>
  <c r="Q847" i="7" l="1"/>
  <c r="N846" i="7"/>
  <c r="V846" i="7"/>
  <c r="AG845" i="7"/>
  <c r="AH845" i="7" s="1"/>
  <c r="T845" i="7" s="1"/>
  <c r="S846" i="7"/>
  <c r="W844" i="7"/>
  <c r="AB844" i="7"/>
  <c r="Z843" i="7"/>
  <c r="Z844" i="7" l="1"/>
  <c r="AG846" i="7"/>
  <c r="AH846" i="7" s="1"/>
  <c r="T846" i="7" s="1"/>
  <c r="S847" i="7"/>
  <c r="W845" i="7"/>
  <c r="AB845" i="7"/>
  <c r="Q848" i="7"/>
  <c r="N847" i="7"/>
  <c r="V847" i="7"/>
  <c r="Z845" i="7" l="1"/>
  <c r="AG847" i="7"/>
  <c r="AH847" i="7" s="1"/>
  <c r="T847" i="7" s="1"/>
  <c r="S848" i="7"/>
  <c r="W846" i="7"/>
  <c r="AB846" i="7"/>
  <c r="Q849" i="7"/>
  <c r="N848" i="7"/>
  <c r="V848" i="7"/>
  <c r="AG848" i="7" l="1"/>
  <c r="AH848" i="7" s="1"/>
  <c r="T848" i="7" s="1"/>
  <c r="S849" i="7"/>
  <c r="W847" i="7"/>
  <c r="AB847" i="7"/>
  <c r="Q850" i="7"/>
  <c r="V849" i="7"/>
  <c r="N849" i="7"/>
  <c r="Z846" i="7"/>
  <c r="Q851" i="7" l="1"/>
  <c r="N850" i="7"/>
  <c r="V850" i="7"/>
  <c r="Z847" i="7"/>
  <c r="AG849" i="7"/>
  <c r="AH849" i="7" s="1"/>
  <c r="T849" i="7" s="1"/>
  <c r="S850" i="7"/>
  <c r="AB848" i="7"/>
  <c r="W848" i="7"/>
  <c r="W849" i="7" l="1"/>
  <c r="AB849" i="7"/>
  <c r="Z848" i="7"/>
  <c r="S851" i="7"/>
  <c r="AG850" i="7"/>
  <c r="AH850" i="7" s="1"/>
  <c r="T850" i="7" s="1"/>
  <c r="Q852" i="7"/>
  <c r="N851" i="7"/>
  <c r="V851" i="7"/>
  <c r="Q853" i="7" l="1"/>
  <c r="V852" i="7"/>
  <c r="N852" i="7"/>
  <c r="AB850" i="7"/>
  <c r="W850" i="7"/>
  <c r="Z849" i="7"/>
  <c r="AG851" i="7"/>
  <c r="AH851" i="7" s="1"/>
  <c r="T851" i="7" s="1"/>
  <c r="S852" i="7"/>
  <c r="Z850" i="7" l="1"/>
  <c r="AB851" i="7"/>
  <c r="W851" i="7"/>
  <c r="AG852" i="7"/>
  <c r="AH852" i="7" s="1"/>
  <c r="T852" i="7" s="1"/>
  <c r="S853" i="7"/>
  <c r="Q854" i="7"/>
  <c r="N853" i="7"/>
  <c r="V853" i="7"/>
  <c r="W852" i="7" l="1"/>
  <c r="AB852" i="7"/>
  <c r="AG853" i="7"/>
  <c r="AH853" i="7" s="1"/>
  <c r="T853" i="7" s="1"/>
  <c r="S854" i="7"/>
  <c r="Z851" i="7"/>
  <c r="Q855" i="7"/>
  <c r="V854" i="7"/>
  <c r="N854" i="7"/>
  <c r="Q856" i="7" l="1"/>
  <c r="N855" i="7"/>
  <c r="V855" i="7"/>
  <c r="S855" i="7"/>
  <c r="AG854" i="7"/>
  <c r="AH854" i="7" s="1"/>
  <c r="T854" i="7" s="1"/>
  <c r="AB853" i="7"/>
  <c r="W853" i="7"/>
  <c r="Z852" i="7"/>
  <c r="S856" i="7" l="1"/>
  <c r="AG855" i="7"/>
  <c r="AH855" i="7" s="1"/>
  <c r="T855" i="7" s="1"/>
  <c r="Z853" i="7"/>
  <c r="AB854" i="7"/>
  <c r="W854" i="7"/>
  <c r="Q857" i="7"/>
  <c r="N856" i="7"/>
  <c r="V856" i="7"/>
  <c r="Z854" i="7" l="1"/>
  <c r="W855" i="7"/>
  <c r="AB855" i="7"/>
  <c r="Q858" i="7"/>
  <c r="V857" i="7"/>
  <c r="N857" i="7"/>
  <c r="S857" i="7"/>
  <c r="AG856" i="7"/>
  <c r="AH856" i="7" s="1"/>
  <c r="T856" i="7" s="1"/>
  <c r="S858" i="7" l="1"/>
  <c r="AG857" i="7"/>
  <c r="AH857" i="7" s="1"/>
  <c r="T857" i="7" s="1"/>
  <c r="Q859" i="7"/>
  <c r="N858" i="7"/>
  <c r="V858" i="7"/>
  <c r="Z855" i="7"/>
  <c r="W856" i="7"/>
  <c r="AB856" i="7"/>
  <c r="Q860" i="7" l="1"/>
  <c r="V859" i="7"/>
  <c r="N859" i="7"/>
  <c r="AB857" i="7"/>
  <c r="W857" i="7"/>
  <c r="Z856" i="7"/>
  <c r="AG858" i="7"/>
  <c r="AH858" i="7" s="1"/>
  <c r="T858" i="7" s="1"/>
  <c r="S859" i="7"/>
  <c r="Z857" i="7" l="1"/>
  <c r="W858" i="7"/>
  <c r="AB858" i="7"/>
  <c r="AG859" i="7"/>
  <c r="AH859" i="7" s="1"/>
  <c r="T859" i="7" s="1"/>
  <c r="S860" i="7"/>
  <c r="Q861" i="7"/>
  <c r="V860" i="7"/>
  <c r="N860" i="7"/>
  <c r="Q862" i="7" l="1"/>
  <c r="V861" i="7"/>
  <c r="N861" i="7"/>
  <c r="Z858" i="7"/>
  <c r="S861" i="7"/>
  <c r="AG860" i="7"/>
  <c r="AH860" i="7" s="1"/>
  <c r="T860" i="7" s="1"/>
  <c r="W859" i="7"/>
  <c r="AB859" i="7"/>
  <c r="W860" i="7" l="1"/>
  <c r="AB860" i="7"/>
  <c r="AG861" i="7"/>
  <c r="AH861" i="7" s="1"/>
  <c r="T861" i="7" s="1"/>
  <c r="S862" i="7"/>
  <c r="Z859" i="7"/>
  <c r="Q863" i="7"/>
  <c r="N862" i="7"/>
  <c r="V862" i="7"/>
  <c r="Q864" i="7" l="1"/>
  <c r="N863" i="7"/>
  <c r="V863" i="7"/>
  <c r="W861" i="7"/>
  <c r="AB861" i="7"/>
  <c r="S863" i="7"/>
  <c r="AG862" i="7"/>
  <c r="AH862" i="7" s="1"/>
  <c r="T862" i="7" s="1"/>
  <c r="Z860" i="7"/>
  <c r="AB862" i="7" l="1"/>
  <c r="W862" i="7"/>
  <c r="S864" i="7"/>
  <c r="AG863" i="7"/>
  <c r="AH863" i="7" s="1"/>
  <c r="T863" i="7" s="1"/>
  <c r="Z861" i="7"/>
  <c r="Q865" i="7"/>
  <c r="N864" i="7"/>
  <c r="V864" i="7"/>
  <c r="Q866" i="7" l="1"/>
  <c r="V865" i="7"/>
  <c r="N865" i="7"/>
  <c r="AB863" i="7"/>
  <c r="W863" i="7"/>
  <c r="S865" i="7"/>
  <c r="AG864" i="7"/>
  <c r="AH864" i="7" s="1"/>
  <c r="T864" i="7" s="1"/>
  <c r="Z862" i="7"/>
  <c r="Z863" i="7" l="1"/>
  <c r="AB864" i="7"/>
  <c r="W864" i="7"/>
  <c r="AG865" i="7"/>
  <c r="AH865" i="7" s="1"/>
  <c r="T865" i="7" s="1"/>
  <c r="S866" i="7"/>
  <c r="Q867" i="7"/>
  <c r="N866" i="7"/>
  <c r="V866" i="7"/>
  <c r="W865" i="7" l="1"/>
  <c r="AB865" i="7"/>
  <c r="Q868" i="7"/>
  <c r="N867" i="7"/>
  <c r="V867" i="7"/>
  <c r="Z864" i="7"/>
  <c r="S867" i="7"/>
  <c r="AG866" i="7"/>
  <c r="AH866" i="7" s="1"/>
  <c r="T866" i="7" s="1"/>
  <c r="S868" i="7" l="1"/>
  <c r="AG867" i="7"/>
  <c r="AH867" i="7" s="1"/>
  <c r="T867" i="7" s="1"/>
  <c r="Q869" i="7"/>
  <c r="V868" i="7"/>
  <c r="N868" i="7"/>
  <c r="Z865" i="7"/>
  <c r="W866" i="7"/>
  <c r="AB866" i="7"/>
  <c r="Q870" i="7" l="1"/>
  <c r="N869" i="7"/>
  <c r="V869" i="7"/>
  <c r="W867" i="7"/>
  <c r="AB867" i="7"/>
  <c r="Z866" i="7"/>
  <c r="S869" i="7"/>
  <c r="AG868" i="7"/>
  <c r="AH868" i="7" s="1"/>
  <c r="T868" i="7" s="1"/>
  <c r="AG869" i="7" l="1"/>
  <c r="AH869" i="7" s="1"/>
  <c r="T869" i="7" s="1"/>
  <c r="S870" i="7"/>
  <c r="Z867" i="7"/>
  <c r="W868" i="7"/>
  <c r="AB868" i="7"/>
  <c r="Q871" i="7"/>
  <c r="N870" i="7"/>
  <c r="V870" i="7"/>
  <c r="Z868" i="7" l="1"/>
  <c r="Q872" i="7"/>
  <c r="V871" i="7"/>
  <c r="N871" i="7"/>
  <c r="AG870" i="7"/>
  <c r="AH870" i="7" s="1"/>
  <c r="T870" i="7" s="1"/>
  <c r="S871" i="7"/>
  <c r="W869" i="7"/>
  <c r="AB869" i="7"/>
  <c r="W870" i="7" l="1"/>
  <c r="AB870" i="7"/>
  <c r="Q873" i="7"/>
  <c r="N872" i="7"/>
  <c r="V872" i="7"/>
  <c r="S872" i="7"/>
  <c r="AG871" i="7"/>
  <c r="AH871" i="7" s="1"/>
  <c r="T871" i="7" s="1"/>
  <c r="Z869" i="7"/>
  <c r="AB871" i="7" l="1"/>
  <c r="W871" i="7"/>
  <c r="Q874" i="7"/>
  <c r="V873" i="7"/>
  <c r="N873" i="7"/>
  <c r="S873" i="7"/>
  <c r="AG872" i="7"/>
  <c r="AH872" i="7" s="1"/>
  <c r="T872" i="7" s="1"/>
  <c r="Z870" i="7"/>
  <c r="Q875" i="7" l="1"/>
  <c r="V874" i="7"/>
  <c r="N874" i="7"/>
  <c r="AB872" i="7"/>
  <c r="W872" i="7"/>
  <c r="S874" i="7"/>
  <c r="AG873" i="7"/>
  <c r="AH873" i="7" s="1"/>
  <c r="T873" i="7" s="1"/>
  <c r="Z871" i="7"/>
  <c r="W873" i="7" l="1"/>
  <c r="AB873" i="7"/>
  <c r="Z872" i="7"/>
  <c r="S875" i="7"/>
  <c r="AG874" i="7"/>
  <c r="AH874" i="7" s="1"/>
  <c r="T874" i="7" s="1"/>
  <c r="Q876" i="7"/>
  <c r="V875" i="7"/>
  <c r="N875" i="7"/>
  <c r="W874" i="7" l="1"/>
  <c r="AB874" i="7"/>
  <c r="Z873" i="7"/>
  <c r="Q877" i="7"/>
  <c r="N876" i="7"/>
  <c r="V876" i="7"/>
  <c r="S876" i="7"/>
  <c r="AG875" i="7"/>
  <c r="AH875" i="7" s="1"/>
  <c r="T875" i="7" s="1"/>
  <c r="Q878" i="7" l="1"/>
  <c r="N877" i="7"/>
  <c r="V877" i="7"/>
  <c r="AG876" i="7"/>
  <c r="AH876" i="7" s="1"/>
  <c r="T876" i="7" s="1"/>
  <c r="S877" i="7"/>
  <c r="Z874" i="7"/>
  <c r="W875" i="7"/>
  <c r="AB875" i="7"/>
  <c r="W876" i="7" l="1"/>
  <c r="AB876" i="7"/>
  <c r="S878" i="7"/>
  <c r="AG877" i="7"/>
  <c r="AH877" i="7" s="1"/>
  <c r="T877" i="7" s="1"/>
  <c r="Z875" i="7"/>
  <c r="Q879" i="7"/>
  <c r="N878" i="7"/>
  <c r="V878" i="7"/>
  <c r="Q880" i="7" l="1"/>
  <c r="N879" i="7"/>
  <c r="V879" i="7"/>
  <c r="AB877" i="7"/>
  <c r="W877" i="7"/>
  <c r="S879" i="7"/>
  <c r="AG878" i="7"/>
  <c r="AH878" i="7" s="1"/>
  <c r="T878" i="7" s="1"/>
  <c r="Z876" i="7"/>
  <c r="S880" i="7" l="1"/>
  <c r="AG879" i="7"/>
  <c r="AH879" i="7" s="1"/>
  <c r="T879" i="7" s="1"/>
  <c r="Z877" i="7"/>
  <c r="W878" i="7"/>
  <c r="AB878" i="7"/>
  <c r="Q881" i="7"/>
  <c r="V880" i="7"/>
  <c r="N880" i="7"/>
  <c r="Z878" i="7" l="1"/>
  <c r="Q882" i="7"/>
  <c r="N881" i="7"/>
  <c r="V881" i="7"/>
  <c r="W879" i="7"/>
  <c r="AB879" i="7"/>
  <c r="S881" i="7"/>
  <c r="AG880" i="7"/>
  <c r="AH880" i="7" s="1"/>
  <c r="T880" i="7" s="1"/>
  <c r="S882" i="7" l="1"/>
  <c r="AG881" i="7"/>
  <c r="AH881" i="7" s="1"/>
  <c r="T881" i="7" s="1"/>
  <c r="Z879" i="7"/>
  <c r="Q883" i="7"/>
  <c r="N882" i="7"/>
  <c r="V882" i="7"/>
  <c r="AB880" i="7"/>
  <c r="W880" i="7"/>
  <c r="Z880" i="7" l="1"/>
  <c r="Q884" i="7"/>
  <c r="N883" i="7"/>
  <c r="V883" i="7"/>
  <c r="AB881" i="7"/>
  <c r="W881" i="7"/>
  <c r="AG882" i="7"/>
  <c r="AH882" i="7" s="1"/>
  <c r="T882" i="7" s="1"/>
  <c r="S883" i="7"/>
  <c r="Z881" i="7" l="1"/>
  <c r="Q885" i="7"/>
  <c r="N884" i="7"/>
  <c r="V884" i="7"/>
  <c r="W882" i="7"/>
  <c r="AB882" i="7"/>
  <c r="S884" i="7"/>
  <c r="AG883" i="7"/>
  <c r="AH883" i="7" s="1"/>
  <c r="T883" i="7" s="1"/>
  <c r="Z882" i="7" l="1"/>
  <c r="Q886" i="7"/>
  <c r="V885" i="7"/>
  <c r="N885" i="7"/>
  <c r="AG884" i="7"/>
  <c r="AH884" i="7" s="1"/>
  <c r="T884" i="7" s="1"/>
  <c r="S885" i="7"/>
  <c r="AB883" i="7"/>
  <c r="W883" i="7"/>
  <c r="AG885" i="7" l="1"/>
  <c r="AH885" i="7" s="1"/>
  <c r="T885" i="7" s="1"/>
  <c r="S886" i="7"/>
  <c r="W884" i="7"/>
  <c r="AB884" i="7"/>
  <c r="Q887" i="7"/>
  <c r="V886" i="7"/>
  <c r="N886" i="7"/>
  <c r="Z883" i="7"/>
  <c r="Q888" i="7" l="1"/>
  <c r="N887" i="7"/>
  <c r="V887" i="7"/>
  <c r="Z884" i="7"/>
  <c r="S887" i="7"/>
  <c r="AG886" i="7"/>
  <c r="AH886" i="7" s="1"/>
  <c r="T886" i="7" s="1"/>
  <c r="W885" i="7"/>
  <c r="AB885" i="7"/>
  <c r="AB886" i="7" l="1"/>
  <c r="W886" i="7"/>
  <c r="AG887" i="7"/>
  <c r="AH887" i="7" s="1"/>
  <c r="T887" i="7" s="1"/>
  <c r="S888" i="7"/>
  <c r="Z885" i="7"/>
  <c r="Q889" i="7"/>
  <c r="N888" i="7"/>
  <c r="V888" i="7"/>
  <c r="W887" i="7" l="1"/>
  <c r="AB887" i="7"/>
  <c r="Q890" i="7"/>
  <c r="N889" i="7"/>
  <c r="V889" i="7"/>
  <c r="S889" i="7"/>
  <c r="AG888" i="7"/>
  <c r="AH888" i="7" s="1"/>
  <c r="T888" i="7" s="1"/>
  <c r="Z886" i="7"/>
  <c r="W888" i="7" l="1"/>
  <c r="AB888" i="7"/>
  <c r="Q891" i="7"/>
  <c r="V890" i="7"/>
  <c r="N890" i="7"/>
  <c r="Z887" i="7"/>
  <c r="AG889" i="7"/>
  <c r="AH889" i="7" s="1"/>
  <c r="T889" i="7" s="1"/>
  <c r="S890" i="7"/>
  <c r="W889" i="7" l="1"/>
  <c r="AB889" i="7"/>
  <c r="Q892" i="7"/>
  <c r="V891" i="7"/>
  <c r="N891" i="7"/>
  <c r="Z888" i="7"/>
  <c r="AG890" i="7"/>
  <c r="AH890" i="7" s="1"/>
  <c r="T890" i="7" s="1"/>
  <c r="S891" i="7"/>
  <c r="W890" i="7" l="1"/>
  <c r="AB890" i="7"/>
  <c r="Q893" i="7"/>
  <c r="N892" i="7"/>
  <c r="V892" i="7"/>
  <c r="Z889" i="7"/>
  <c r="S892" i="7"/>
  <c r="AG891" i="7"/>
  <c r="AH891" i="7" s="1"/>
  <c r="T891" i="7" s="1"/>
  <c r="AG892" i="7" l="1"/>
  <c r="AH892" i="7" s="1"/>
  <c r="T892" i="7" s="1"/>
  <c r="S893" i="7"/>
  <c r="Q894" i="7"/>
  <c r="N893" i="7"/>
  <c r="V893" i="7"/>
  <c r="Z890" i="7"/>
  <c r="AB891" i="7"/>
  <c r="W891" i="7"/>
  <c r="Z891" i="7" l="1"/>
  <c r="Q895" i="7"/>
  <c r="V894" i="7"/>
  <c r="N894" i="7"/>
  <c r="AG893" i="7"/>
  <c r="AH893" i="7" s="1"/>
  <c r="T893" i="7" s="1"/>
  <c r="S894" i="7"/>
  <c r="AB892" i="7"/>
  <c r="W892" i="7"/>
  <c r="W893" i="7" l="1"/>
  <c r="AB893" i="7"/>
  <c r="Q896" i="7"/>
  <c r="V895" i="7"/>
  <c r="N895" i="7"/>
  <c r="AG894" i="7"/>
  <c r="AH894" i="7" s="1"/>
  <c r="T894" i="7" s="1"/>
  <c r="S895" i="7"/>
  <c r="Z892" i="7"/>
  <c r="S896" i="7" l="1"/>
  <c r="AG895" i="7"/>
  <c r="AH895" i="7" s="1"/>
  <c r="T895" i="7" s="1"/>
  <c r="AB894" i="7"/>
  <c r="W894" i="7"/>
  <c r="Q897" i="7"/>
  <c r="V896" i="7"/>
  <c r="N896" i="7"/>
  <c r="Z893" i="7"/>
  <c r="Q898" i="7" l="1"/>
  <c r="V897" i="7"/>
  <c r="N897" i="7"/>
  <c r="Z894" i="7"/>
  <c r="AB895" i="7"/>
  <c r="W895" i="7"/>
  <c r="S897" i="7"/>
  <c r="AG896" i="7"/>
  <c r="AH896" i="7" s="1"/>
  <c r="T896" i="7" s="1"/>
  <c r="Z895" i="7" l="1"/>
  <c r="AG897" i="7"/>
  <c r="AH897" i="7" s="1"/>
  <c r="T897" i="7" s="1"/>
  <c r="S898" i="7"/>
  <c r="AB896" i="7"/>
  <c r="W896" i="7"/>
  <c r="Q899" i="7"/>
  <c r="N898" i="7"/>
  <c r="V898" i="7"/>
  <c r="Z896" i="7" l="1"/>
  <c r="S899" i="7"/>
  <c r="AG898" i="7"/>
  <c r="AH898" i="7" s="1"/>
  <c r="T898" i="7" s="1"/>
  <c r="AB897" i="7"/>
  <c r="W897" i="7"/>
  <c r="Q900" i="7"/>
  <c r="N899" i="7"/>
  <c r="V899" i="7"/>
  <c r="Z897" i="7" l="1"/>
  <c r="W898" i="7"/>
  <c r="AB898" i="7"/>
  <c r="AG899" i="7"/>
  <c r="AH899" i="7" s="1"/>
  <c r="T899" i="7" s="1"/>
  <c r="S900" i="7"/>
  <c r="Q901" i="7"/>
  <c r="V900" i="7"/>
  <c r="N900" i="7"/>
  <c r="AG900" i="7" l="1"/>
  <c r="AH900" i="7" s="1"/>
  <c r="T900" i="7" s="1"/>
  <c r="S901" i="7"/>
  <c r="Q902" i="7"/>
  <c r="V901" i="7"/>
  <c r="N901" i="7"/>
  <c r="Z898" i="7"/>
  <c r="W899" i="7"/>
  <c r="AB899" i="7"/>
  <c r="Q903" i="7" l="1"/>
  <c r="N902" i="7"/>
  <c r="V902" i="7"/>
  <c r="AG901" i="7"/>
  <c r="AH901" i="7" s="1"/>
  <c r="T901" i="7" s="1"/>
  <c r="S902" i="7"/>
  <c r="Z899" i="7"/>
  <c r="W900" i="7"/>
  <c r="AB900" i="7"/>
  <c r="AB901" i="7" l="1"/>
  <c r="W901" i="7"/>
  <c r="AG902" i="7"/>
  <c r="AH902" i="7" s="1"/>
  <c r="T902" i="7" s="1"/>
  <c r="S903" i="7"/>
  <c r="Z900" i="7"/>
  <c r="Q904" i="7"/>
  <c r="N903" i="7"/>
  <c r="V903" i="7"/>
  <c r="W902" i="7" l="1"/>
  <c r="AB902" i="7"/>
  <c r="Q905" i="7"/>
  <c r="N904" i="7"/>
  <c r="V904" i="7"/>
  <c r="AG903" i="7"/>
  <c r="AH903" i="7" s="1"/>
  <c r="T903" i="7" s="1"/>
  <c r="S904" i="7"/>
  <c r="Z901" i="7"/>
  <c r="W903" i="7" l="1"/>
  <c r="AB903" i="7"/>
  <c r="Q906" i="7"/>
  <c r="N905" i="7"/>
  <c r="V905" i="7"/>
  <c r="Z902" i="7"/>
  <c r="S905" i="7"/>
  <c r="AG904" i="7"/>
  <c r="AH904" i="7" s="1"/>
  <c r="T904" i="7" s="1"/>
  <c r="Q907" i="7" l="1"/>
  <c r="V906" i="7"/>
  <c r="N906" i="7"/>
  <c r="AG905" i="7"/>
  <c r="AH905" i="7" s="1"/>
  <c r="T905" i="7" s="1"/>
  <c r="S906" i="7"/>
  <c r="Z903" i="7"/>
  <c r="W904" i="7"/>
  <c r="AB904" i="7"/>
  <c r="S907" i="7" l="1"/>
  <c r="AG906" i="7"/>
  <c r="AH906" i="7" s="1"/>
  <c r="T906" i="7" s="1"/>
  <c r="AB905" i="7"/>
  <c r="W905" i="7"/>
  <c r="Z904" i="7"/>
  <c r="Q908" i="7"/>
  <c r="N907" i="7"/>
  <c r="V907" i="7"/>
  <c r="Q909" i="7" l="1"/>
  <c r="V908" i="7"/>
  <c r="N908" i="7"/>
  <c r="Z905" i="7"/>
  <c r="AB906" i="7"/>
  <c r="W906" i="7"/>
  <c r="AG907" i="7"/>
  <c r="AH907" i="7" s="1"/>
  <c r="T907" i="7" s="1"/>
  <c r="S908" i="7"/>
  <c r="W907" i="7" l="1"/>
  <c r="AB907" i="7"/>
  <c r="Z906" i="7"/>
  <c r="AG908" i="7"/>
  <c r="AH908" i="7" s="1"/>
  <c r="T908" i="7" s="1"/>
  <c r="S909" i="7"/>
  <c r="Q910" i="7"/>
  <c r="V909" i="7"/>
  <c r="N909" i="7"/>
  <c r="Q911" i="7" l="1"/>
  <c r="V910" i="7"/>
  <c r="N910" i="7"/>
  <c r="W908" i="7"/>
  <c r="AB908" i="7"/>
  <c r="Z907" i="7"/>
  <c r="S910" i="7"/>
  <c r="AG909" i="7"/>
  <c r="AH909" i="7" s="1"/>
  <c r="T909" i="7" s="1"/>
  <c r="Z908" i="7" l="1"/>
  <c r="AG910" i="7"/>
  <c r="AH910" i="7" s="1"/>
  <c r="T910" i="7" s="1"/>
  <c r="S911" i="7"/>
  <c r="W909" i="7"/>
  <c r="AB909" i="7"/>
  <c r="Q912" i="7"/>
  <c r="V911" i="7"/>
  <c r="N911" i="7"/>
  <c r="Z909" i="7" l="1"/>
  <c r="AG911" i="7"/>
  <c r="AH911" i="7" s="1"/>
  <c r="T911" i="7" s="1"/>
  <c r="S912" i="7"/>
  <c r="AB910" i="7"/>
  <c r="W910" i="7"/>
  <c r="Q913" i="7"/>
  <c r="V912" i="7"/>
  <c r="N912" i="7"/>
  <c r="AG912" i="7" l="1"/>
  <c r="AH912" i="7" s="1"/>
  <c r="T912" i="7" s="1"/>
  <c r="S913" i="7"/>
  <c r="AB911" i="7"/>
  <c r="W911" i="7"/>
  <c r="Q914" i="7"/>
  <c r="V913" i="7"/>
  <c r="N913" i="7"/>
  <c r="Z910" i="7"/>
  <c r="Q915" i="7" l="1"/>
  <c r="N914" i="7"/>
  <c r="V914" i="7"/>
  <c r="Z911" i="7"/>
  <c r="AG913" i="7"/>
  <c r="AH913" i="7" s="1"/>
  <c r="T913" i="7" s="1"/>
  <c r="S914" i="7"/>
  <c r="W912" i="7"/>
  <c r="AB912" i="7"/>
  <c r="S915" i="7" l="1"/>
  <c r="AG914" i="7"/>
  <c r="AH914" i="7" s="1"/>
  <c r="T914" i="7" s="1"/>
  <c r="W913" i="7"/>
  <c r="AB913" i="7"/>
  <c r="Z912" i="7"/>
  <c r="Q916" i="7"/>
  <c r="N915" i="7"/>
  <c r="V915" i="7"/>
  <c r="Q917" i="7" l="1"/>
  <c r="N916" i="7"/>
  <c r="V916" i="7"/>
  <c r="Z913" i="7"/>
  <c r="AB914" i="7"/>
  <c r="W914" i="7"/>
  <c r="AG915" i="7"/>
  <c r="AH915" i="7" s="1"/>
  <c r="T915" i="7" s="1"/>
  <c r="S916" i="7"/>
  <c r="W915" i="7" l="1"/>
  <c r="AB915" i="7"/>
  <c r="Z914" i="7"/>
  <c r="AG916" i="7"/>
  <c r="AH916" i="7" s="1"/>
  <c r="T916" i="7" s="1"/>
  <c r="S917" i="7"/>
  <c r="Q918" i="7"/>
  <c r="N917" i="7"/>
  <c r="V917" i="7"/>
  <c r="AB916" i="7" l="1"/>
  <c r="W916" i="7"/>
  <c r="Q919" i="7"/>
  <c r="N918" i="7"/>
  <c r="V918" i="7"/>
  <c r="Z915" i="7"/>
  <c r="AG917" i="7"/>
  <c r="AH917" i="7" s="1"/>
  <c r="T917" i="7" s="1"/>
  <c r="S918" i="7"/>
  <c r="Q920" i="7" l="1"/>
  <c r="V919" i="7"/>
  <c r="N919" i="7"/>
  <c r="W917" i="7"/>
  <c r="AB917" i="7"/>
  <c r="S919" i="7"/>
  <c r="AG918" i="7"/>
  <c r="AH918" i="7" s="1"/>
  <c r="T918" i="7" s="1"/>
  <c r="Z916" i="7"/>
  <c r="AG919" i="7" l="1"/>
  <c r="AH919" i="7" s="1"/>
  <c r="T919" i="7" s="1"/>
  <c r="S920" i="7"/>
  <c r="AB918" i="7"/>
  <c r="W918" i="7"/>
  <c r="Z917" i="7"/>
  <c r="Q921" i="7"/>
  <c r="V920" i="7"/>
  <c r="N920" i="7"/>
  <c r="Q922" i="7" l="1"/>
  <c r="V921" i="7"/>
  <c r="N921" i="7"/>
  <c r="Z918" i="7"/>
  <c r="AG920" i="7"/>
  <c r="AH920" i="7" s="1"/>
  <c r="T920" i="7" s="1"/>
  <c r="S921" i="7"/>
  <c r="W919" i="7"/>
  <c r="AB919" i="7"/>
  <c r="S922" i="7" l="1"/>
  <c r="AG921" i="7"/>
  <c r="AH921" i="7" s="1"/>
  <c r="T921" i="7" s="1"/>
  <c r="AB920" i="7"/>
  <c r="W920" i="7"/>
  <c r="Z919" i="7"/>
  <c r="Q923" i="7"/>
  <c r="N922" i="7"/>
  <c r="V922" i="7"/>
  <c r="Q924" i="7" l="1"/>
  <c r="N923" i="7"/>
  <c r="V923" i="7"/>
  <c r="Z920" i="7"/>
  <c r="W921" i="7"/>
  <c r="AB921" i="7"/>
  <c r="AG922" i="7"/>
  <c r="AH922" i="7" s="1"/>
  <c r="T922" i="7" s="1"/>
  <c r="S923" i="7"/>
  <c r="AB922" i="7" l="1"/>
  <c r="W922" i="7"/>
  <c r="Z921" i="7"/>
  <c r="AG923" i="7"/>
  <c r="AH923" i="7" s="1"/>
  <c r="T923" i="7" s="1"/>
  <c r="S924" i="7"/>
  <c r="Q925" i="7"/>
  <c r="N924" i="7"/>
  <c r="V924" i="7"/>
  <c r="W923" i="7" l="1"/>
  <c r="AB923" i="7"/>
  <c r="AG924" i="7"/>
  <c r="AH924" i="7" s="1"/>
  <c r="T924" i="7" s="1"/>
  <c r="S925" i="7"/>
  <c r="Q926" i="7"/>
  <c r="N925" i="7"/>
  <c r="V925" i="7"/>
  <c r="Z922" i="7"/>
  <c r="W924" i="7" l="1"/>
  <c r="AB924" i="7"/>
  <c r="AG925" i="7"/>
  <c r="AH925" i="7" s="1"/>
  <c r="T925" i="7" s="1"/>
  <c r="S926" i="7"/>
  <c r="Z923" i="7"/>
  <c r="Q927" i="7"/>
  <c r="V926" i="7"/>
  <c r="N926" i="7"/>
  <c r="Q928" i="7" l="1"/>
  <c r="N927" i="7"/>
  <c r="V927" i="7"/>
  <c r="W925" i="7"/>
  <c r="AB925" i="7"/>
  <c r="Z924" i="7"/>
  <c r="S927" i="7"/>
  <c r="AG926" i="7"/>
  <c r="AH926" i="7" s="1"/>
  <c r="T926" i="7" s="1"/>
  <c r="Z925" i="7" l="1"/>
  <c r="S928" i="7"/>
  <c r="AG927" i="7"/>
  <c r="AH927" i="7" s="1"/>
  <c r="T927" i="7" s="1"/>
  <c r="W926" i="7"/>
  <c r="AB926" i="7"/>
  <c r="Q929" i="7"/>
  <c r="N928" i="7"/>
  <c r="V928" i="7"/>
  <c r="Z926" i="7" l="1"/>
  <c r="AB927" i="7"/>
  <c r="W927" i="7"/>
  <c r="AG928" i="7"/>
  <c r="AH928" i="7" s="1"/>
  <c r="T928" i="7" s="1"/>
  <c r="S929" i="7"/>
  <c r="Q930" i="7"/>
  <c r="V929" i="7"/>
  <c r="N929" i="7"/>
  <c r="Q931" i="7" l="1"/>
  <c r="V930" i="7"/>
  <c r="N930" i="7"/>
  <c r="Z927" i="7"/>
  <c r="S930" i="7"/>
  <c r="AG929" i="7"/>
  <c r="AH929" i="7" s="1"/>
  <c r="T929" i="7" s="1"/>
  <c r="AB928" i="7"/>
  <c r="W928" i="7"/>
  <c r="AB929" i="7" l="1"/>
  <c r="W929" i="7"/>
  <c r="Z928" i="7"/>
  <c r="AG930" i="7"/>
  <c r="AH930" i="7" s="1"/>
  <c r="T930" i="7" s="1"/>
  <c r="S931" i="7"/>
  <c r="Q932" i="7"/>
  <c r="N931" i="7"/>
  <c r="V931" i="7"/>
  <c r="S932" i="7" l="1"/>
  <c r="AG931" i="7"/>
  <c r="AH931" i="7" s="1"/>
  <c r="T931" i="7" s="1"/>
  <c r="W930" i="7"/>
  <c r="AB930" i="7"/>
  <c r="Q933" i="7"/>
  <c r="N932" i="7"/>
  <c r="V932" i="7"/>
  <c r="Z929" i="7"/>
  <c r="Q934" i="7" l="1"/>
  <c r="V933" i="7"/>
  <c r="N933" i="7"/>
  <c r="Z930" i="7"/>
  <c r="W931" i="7"/>
  <c r="AB931" i="7"/>
  <c r="AG932" i="7"/>
  <c r="AH932" i="7" s="1"/>
  <c r="T932" i="7" s="1"/>
  <c r="S933" i="7"/>
  <c r="Z931" i="7" l="1"/>
  <c r="AB932" i="7"/>
  <c r="W932" i="7"/>
  <c r="AG933" i="7"/>
  <c r="AH933" i="7" s="1"/>
  <c r="T933" i="7" s="1"/>
  <c r="S934" i="7"/>
  <c r="Q935" i="7"/>
  <c r="V934" i="7"/>
  <c r="N934" i="7"/>
  <c r="Q936" i="7" l="1"/>
  <c r="V935" i="7"/>
  <c r="N935" i="7"/>
  <c r="W933" i="7"/>
  <c r="AB933" i="7"/>
  <c r="Z932" i="7"/>
  <c r="S935" i="7"/>
  <c r="AG934" i="7"/>
  <c r="AH934" i="7" s="1"/>
  <c r="T934" i="7" s="1"/>
  <c r="S936" i="7" l="1"/>
  <c r="AG935" i="7"/>
  <c r="AH935" i="7" s="1"/>
  <c r="T935" i="7" s="1"/>
  <c r="Z933" i="7"/>
  <c r="AB934" i="7"/>
  <c r="W934" i="7"/>
  <c r="Q937" i="7"/>
  <c r="V936" i="7"/>
  <c r="N936" i="7"/>
  <c r="AB935" i="7" l="1"/>
  <c r="W935" i="7"/>
  <c r="Q938" i="7"/>
  <c r="V937" i="7"/>
  <c r="N937" i="7"/>
  <c r="Z934" i="7"/>
  <c r="S937" i="7"/>
  <c r="AG936" i="7"/>
  <c r="AH936" i="7" s="1"/>
  <c r="T936" i="7" s="1"/>
  <c r="Q939" i="7" l="1"/>
  <c r="V938" i="7"/>
  <c r="N938" i="7"/>
  <c r="AG937" i="7"/>
  <c r="AH937" i="7" s="1"/>
  <c r="T937" i="7" s="1"/>
  <c r="S938" i="7"/>
  <c r="W936" i="7"/>
  <c r="AB936" i="7"/>
  <c r="Z935" i="7"/>
  <c r="Z936" i="7" l="1"/>
  <c r="AB937" i="7"/>
  <c r="W937" i="7"/>
  <c r="S939" i="7"/>
  <c r="AG938" i="7"/>
  <c r="AH938" i="7" s="1"/>
  <c r="T938" i="7" s="1"/>
  <c r="Q940" i="7"/>
  <c r="N939" i="7"/>
  <c r="V939" i="7"/>
  <c r="Q941" i="7" l="1"/>
  <c r="V940" i="7"/>
  <c r="N940" i="7"/>
  <c r="AB938" i="7"/>
  <c r="W938" i="7"/>
  <c r="Z937" i="7"/>
  <c r="S940" i="7"/>
  <c r="AG939" i="7"/>
  <c r="AH939" i="7" s="1"/>
  <c r="T939" i="7" s="1"/>
  <c r="S941" i="7" l="1"/>
  <c r="AG940" i="7"/>
  <c r="AH940" i="7" s="1"/>
  <c r="T940" i="7" s="1"/>
  <c r="Z938" i="7"/>
  <c r="W939" i="7"/>
  <c r="AB939" i="7"/>
  <c r="Q942" i="7"/>
  <c r="N941" i="7"/>
  <c r="V941" i="7"/>
  <c r="Z939" i="7" l="1"/>
  <c r="Q943" i="7"/>
  <c r="N942" i="7"/>
  <c r="V942" i="7"/>
  <c r="W940" i="7"/>
  <c r="AB940" i="7"/>
  <c r="S942" i="7"/>
  <c r="AG941" i="7"/>
  <c r="AH941" i="7" s="1"/>
  <c r="T941" i="7" s="1"/>
  <c r="Z940" i="7" l="1"/>
  <c r="Q944" i="7"/>
  <c r="V943" i="7"/>
  <c r="N943" i="7"/>
  <c r="S943" i="7"/>
  <c r="AG942" i="7"/>
  <c r="AH942" i="7" s="1"/>
  <c r="T942" i="7" s="1"/>
  <c r="W941" i="7"/>
  <c r="AB941" i="7"/>
  <c r="AB942" i="7" l="1"/>
  <c r="W942" i="7"/>
  <c r="Q945" i="7"/>
  <c r="V944" i="7"/>
  <c r="N944" i="7"/>
  <c r="AG943" i="7"/>
  <c r="AH943" i="7" s="1"/>
  <c r="T943" i="7" s="1"/>
  <c r="S944" i="7"/>
  <c r="Z941" i="7"/>
  <c r="AG944" i="7" l="1"/>
  <c r="AH944" i="7" s="1"/>
  <c r="T944" i="7" s="1"/>
  <c r="S945" i="7"/>
  <c r="Q946" i="7"/>
  <c r="N945" i="7"/>
  <c r="V945" i="7"/>
  <c r="W943" i="7"/>
  <c r="AB943" i="7"/>
  <c r="Z942" i="7"/>
  <c r="Z943" i="7" l="1"/>
  <c r="Q947" i="7"/>
  <c r="N946" i="7"/>
  <c r="V946" i="7"/>
  <c r="S946" i="7"/>
  <c r="AG945" i="7"/>
  <c r="AH945" i="7" s="1"/>
  <c r="T945" i="7" s="1"/>
  <c r="W944" i="7"/>
  <c r="AB944" i="7"/>
  <c r="S947" i="7" l="1"/>
  <c r="AG946" i="7"/>
  <c r="AH946" i="7" s="1"/>
  <c r="T946" i="7" s="1"/>
  <c r="W945" i="7"/>
  <c r="AB945" i="7"/>
  <c r="Q948" i="7"/>
  <c r="V947" i="7"/>
  <c r="N947" i="7"/>
  <c r="Z944" i="7"/>
  <c r="Z945" i="7" l="1"/>
  <c r="Q949" i="7"/>
  <c r="N948" i="7"/>
  <c r="V948" i="7"/>
  <c r="W946" i="7"/>
  <c r="AB946" i="7"/>
  <c r="S948" i="7"/>
  <c r="AG947" i="7"/>
  <c r="AH947" i="7" s="1"/>
  <c r="T947" i="7" s="1"/>
  <c r="S949" i="7" l="1"/>
  <c r="AG948" i="7"/>
  <c r="AH948" i="7" s="1"/>
  <c r="T948" i="7" s="1"/>
  <c r="Q950" i="7"/>
  <c r="N949" i="7"/>
  <c r="V949" i="7"/>
  <c r="Z946" i="7"/>
  <c r="W947" i="7"/>
  <c r="AB947" i="7"/>
  <c r="Q951" i="7" l="1"/>
  <c r="V950" i="7"/>
  <c r="N950" i="7"/>
  <c r="W948" i="7"/>
  <c r="AB948" i="7"/>
  <c r="Z947" i="7"/>
  <c r="AG949" i="7"/>
  <c r="AH949" i="7" s="1"/>
  <c r="T949" i="7" s="1"/>
  <c r="S950" i="7"/>
  <c r="AB949" i="7" l="1"/>
  <c r="W949" i="7"/>
  <c r="Z948" i="7"/>
  <c r="S951" i="7"/>
  <c r="AG950" i="7"/>
  <c r="AH950" i="7" s="1"/>
  <c r="T950" i="7" s="1"/>
  <c r="Q952" i="7"/>
  <c r="V951" i="7"/>
  <c r="N951" i="7"/>
  <c r="AB950" i="7" l="1"/>
  <c r="W950" i="7"/>
  <c r="Q953" i="7"/>
  <c r="V952" i="7"/>
  <c r="N952" i="7"/>
  <c r="S952" i="7"/>
  <c r="AG951" i="7"/>
  <c r="AH951" i="7" s="1"/>
  <c r="T951" i="7" s="1"/>
  <c r="Z949" i="7"/>
  <c r="Q954" i="7" l="1"/>
  <c r="V953" i="7"/>
  <c r="N953" i="7"/>
  <c r="W951" i="7"/>
  <c r="AB951" i="7"/>
  <c r="AG952" i="7"/>
  <c r="AH952" i="7" s="1"/>
  <c r="T952" i="7" s="1"/>
  <c r="S953" i="7"/>
  <c r="Z950" i="7"/>
  <c r="AG953" i="7" l="1"/>
  <c r="AH953" i="7" s="1"/>
  <c r="T953" i="7" s="1"/>
  <c r="S954" i="7"/>
  <c r="W952" i="7"/>
  <c r="AB952" i="7"/>
  <c r="Z951" i="7"/>
  <c r="Q955" i="7"/>
  <c r="V954" i="7"/>
  <c r="N954" i="7"/>
  <c r="Z952" i="7" l="1"/>
  <c r="Q956" i="7"/>
  <c r="V955" i="7"/>
  <c r="N955" i="7"/>
  <c r="AG954" i="7"/>
  <c r="AH954" i="7" s="1"/>
  <c r="T954" i="7" s="1"/>
  <c r="S955" i="7"/>
  <c r="W953" i="7"/>
  <c r="AB953" i="7"/>
  <c r="Q957" i="7" l="1"/>
  <c r="N956" i="7"/>
  <c r="V956" i="7"/>
  <c r="AB954" i="7"/>
  <c r="W954" i="7"/>
  <c r="AG955" i="7"/>
  <c r="AH955" i="7" s="1"/>
  <c r="T955" i="7" s="1"/>
  <c r="S956" i="7"/>
  <c r="Z953" i="7"/>
  <c r="Z954" i="7" l="1"/>
  <c r="W955" i="7"/>
  <c r="AB955" i="7"/>
  <c r="S957" i="7"/>
  <c r="AG956" i="7"/>
  <c r="AH956" i="7" s="1"/>
  <c r="T956" i="7" s="1"/>
  <c r="Q958" i="7"/>
  <c r="N957" i="7"/>
  <c r="V957" i="7"/>
  <c r="Q959" i="7" l="1"/>
  <c r="V958" i="7"/>
  <c r="N958" i="7"/>
  <c r="W956" i="7"/>
  <c r="AB956" i="7"/>
  <c r="Z955" i="7"/>
  <c r="AG957" i="7"/>
  <c r="AH957" i="7" s="1"/>
  <c r="T957" i="7" s="1"/>
  <c r="S958" i="7"/>
  <c r="W957" i="7" l="1"/>
  <c r="AB957" i="7"/>
  <c r="Z956" i="7"/>
  <c r="S959" i="7"/>
  <c r="AG958" i="7"/>
  <c r="AH958" i="7" s="1"/>
  <c r="T958" i="7" s="1"/>
  <c r="Q960" i="7"/>
  <c r="V959" i="7"/>
  <c r="N959" i="7"/>
  <c r="Q961" i="7" l="1"/>
  <c r="V960" i="7"/>
  <c r="N960" i="7"/>
  <c r="AB958" i="7"/>
  <c r="W958" i="7"/>
  <c r="Z957" i="7"/>
  <c r="AG959" i="7"/>
  <c r="AH959" i="7" s="1"/>
  <c r="T959" i="7" s="1"/>
  <c r="S960" i="7"/>
  <c r="W959" i="7" l="1"/>
  <c r="AB959" i="7"/>
  <c r="Z958" i="7"/>
  <c r="AG960" i="7"/>
  <c r="AH960" i="7" s="1"/>
  <c r="T960" i="7" s="1"/>
  <c r="S961" i="7"/>
  <c r="Q962" i="7"/>
  <c r="N961" i="7"/>
  <c r="V961" i="7"/>
  <c r="Q963" i="7" l="1"/>
  <c r="N962" i="7"/>
  <c r="V962" i="7"/>
  <c r="AG961" i="7"/>
  <c r="AH961" i="7" s="1"/>
  <c r="T961" i="7" s="1"/>
  <c r="S962" i="7"/>
  <c r="Z959" i="7"/>
  <c r="W960" i="7"/>
  <c r="AB960" i="7"/>
  <c r="AG962" i="7" l="1"/>
  <c r="AH962" i="7" s="1"/>
  <c r="T962" i="7" s="1"/>
  <c r="S963" i="7"/>
  <c r="AB961" i="7"/>
  <c r="W961" i="7"/>
  <c r="Z960" i="7"/>
  <c r="Q964" i="7"/>
  <c r="V963" i="7"/>
  <c r="N963" i="7"/>
  <c r="Q965" i="7" l="1"/>
  <c r="N964" i="7"/>
  <c r="V964" i="7"/>
  <c r="Z961" i="7"/>
  <c r="AG963" i="7"/>
  <c r="AH963" i="7" s="1"/>
  <c r="T963" i="7" s="1"/>
  <c r="S964" i="7"/>
  <c r="W962" i="7"/>
  <c r="AB962" i="7"/>
  <c r="S965" i="7" l="1"/>
  <c r="AG964" i="7"/>
  <c r="AH964" i="7" s="1"/>
  <c r="T964" i="7" s="1"/>
  <c r="W963" i="7"/>
  <c r="AB963" i="7"/>
  <c r="Z962" i="7"/>
  <c r="Q966" i="7"/>
  <c r="V965" i="7"/>
  <c r="N965" i="7"/>
  <c r="Q967" i="7" l="1"/>
  <c r="V966" i="7"/>
  <c r="N966" i="7"/>
  <c r="Z963" i="7"/>
  <c r="W964" i="7"/>
  <c r="AB964" i="7"/>
  <c r="AG965" i="7"/>
  <c r="AH965" i="7" s="1"/>
  <c r="T965" i="7" s="1"/>
  <c r="S966" i="7"/>
  <c r="W965" i="7" l="1"/>
  <c r="AB965" i="7"/>
  <c r="Z964" i="7"/>
  <c r="S967" i="7"/>
  <c r="AG966" i="7"/>
  <c r="AH966" i="7" s="1"/>
  <c r="T966" i="7" s="1"/>
  <c r="Q968" i="7"/>
  <c r="N967" i="7"/>
  <c r="V967" i="7"/>
  <c r="Q969" i="7" l="1"/>
  <c r="N968" i="7"/>
  <c r="V968" i="7"/>
  <c r="AB966" i="7"/>
  <c r="W966" i="7"/>
  <c r="Z965" i="7"/>
  <c r="S968" i="7"/>
  <c r="AG967" i="7"/>
  <c r="AH967" i="7" s="1"/>
  <c r="T967" i="7" s="1"/>
  <c r="AG968" i="7" l="1"/>
  <c r="AH968" i="7" s="1"/>
  <c r="T968" i="7" s="1"/>
  <c r="S969" i="7"/>
  <c r="Z966" i="7"/>
  <c r="W967" i="7"/>
  <c r="AB967" i="7"/>
  <c r="Q970" i="7"/>
  <c r="V969" i="7"/>
  <c r="N969" i="7"/>
  <c r="Z967" i="7" l="1"/>
  <c r="Q971" i="7"/>
  <c r="V970" i="7"/>
  <c r="N970" i="7"/>
  <c r="S970" i="7"/>
  <c r="AG969" i="7"/>
  <c r="AH969" i="7" s="1"/>
  <c r="T969" i="7" s="1"/>
  <c r="AB968" i="7"/>
  <c r="W968" i="7"/>
  <c r="S971" i="7" l="1"/>
  <c r="AG970" i="7"/>
  <c r="AH970" i="7" s="1"/>
  <c r="T970" i="7" s="1"/>
  <c r="Z968" i="7"/>
  <c r="Q972" i="7"/>
  <c r="V971" i="7"/>
  <c r="N971" i="7"/>
  <c r="AB969" i="7"/>
  <c r="W969" i="7"/>
  <c r="Z969" i="7" l="1"/>
  <c r="Q973" i="7"/>
  <c r="V972" i="7"/>
  <c r="N972" i="7"/>
  <c r="AB970" i="7"/>
  <c r="W970" i="7"/>
  <c r="AG971" i="7"/>
  <c r="AH971" i="7" s="1"/>
  <c r="T971" i="7" s="1"/>
  <c r="S972" i="7"/>
  <c r="Z970" i="7" l="1"/>
  <c r="Q974" i="7"/>
  <c r="N973" i="7"/>
  <c r="V973" i="7"/>
  <c r="AB971" i="7"/>
  <c r="W971" i="7"/>
  <c r="AG972" i="7"/>
  <c r="AH972" i="7" s="1"/>
  <c r="T972" i="7" s="1"/>
  <c r="S973" i="7"/>
  <c r="V974" i="7" l="1"/>
  <c r="N974" i="7"/>
  <c r="W972" i="7"/>
  <c r="AB972" i="7"/>
  <c r="Z971" i="7"/>
  <c r="S974" i="7"/>
  <c r="AG973" i="7"/>
  <c r="AH973" i="7" s="1"/>
  <c r="T973" i="7" s="1"/>
  <c r="AG974" i="7" l="1"/>
  <c r="AH974" i="7" s="1"/>
  <c r="T974" i="7" s="1"/>
  <c r="AB973" i="7"/>
  <c r="W973" i="7"/>
  <c r="Z972" i="7"/>
  <c r="Z973" i="7" l="1"/>
  <c r="Q975" i="7"/>
  <c r="AB974" i="7"/>
  <c r="W974" i="7"/>
  <c r="Z974" i="7" l="1"/>
  <c r="V975" i="7"/>
  <c r="N975" i="7"/>
  <c r="S975" i="7"/>
  <c r="AG975" i="7" l="1"/>
  <c r="AH975" i="7" s="1"/>
  <c r="T975" i="7" s="1"/>
  <c r="Q976" i="7" l="1"/>
  <c r="S976" i="7" s="1"/>
  <c r="AB975" i="7"/>
  <c r="W975" i="7"/>
  <c r="AG976" i="7" l="1"/>
  <c r="AH976" i="7" s="1"/>
  <c r="T976" i="7" s="1"/>
  <c r="Q977" i="7" s="1"/>
  <c r="S977" i="7" s="1"/>
  <c r="Z975" i="7"/>
  <c r="V976" i="7"/>
  <c r="N976" i="7"/>
  <c r="AG977" i="7" l="1"/>
  <c r="AH977" i="7" s="1"/>
  <c r="T977" i="7" s="1"/>
  <c r="Q978" i="7" s="1"/>
  <c r="S978" i="7" s="1"/>
  <c r="AB976" i="7"/>
  <c r="Z976" i="7"/>
  <c r="W976" i="7"/>
  <c r="N977" i="7"/>
  <c r="V977" i="7"/>
  <c r="AG978" i="7" l="1"/>
  <c r="AH978" i="7" s="1"/>
  <c r="T978" i="7" s="1"/>
  <c r="AB978" i="7" s="1"/>
  <c r="W977" i="7"/>
  <c r="V978" i="7"/>
  <c r="N978" i="7"/>
  <c r="AB977" i="7"/>
  <c r="Q979" i="7" l="1"/>
  <c r="S979" i="7" s="1"/>
  <c r="W978" i="7"/>
  <c r="Z978" i="7"/>
  <c r="Z977" i="7"/>
  <c r="V979" i="7" l="1"/>
  <c r="N979" i="7"/>
  <c r="AG979" i="7"/>
  <c r="AH979" i="7" s="1"/>
  <c r="T979" i="7" s="1"/>
  <c r="Q980" i="7" l="1"/>
  <c r="AB979" i="7"/>
  <c r="W979" i="7"/>
  <c r="Z979" i="7" l="1"/>
  <c r="S980" i="7"/>
  <c r="N980" i="7"/>
  <c r="V980" i="7"/>
  <c r="AG980" i="7" l="1"/>
  <c r="AH980" i="7" s="1"/>
  <c r="T980" i="7" s="1"/>
  <c r="W980" i="7" s="1"/>
  <c r="AB980" i="7" l="1"/>
  <c r="Q981" i="7"/>
  <c r="N981" i="7" l="1"/>
  <c r="V981" i="7"/>
  <c r="S981" i="7"/>
  <c r="Z980" i="7"/>
  <c r="AG981" i="7" l="1"/>
  <c r="AH981" i="7" s="1"/>
  <c r="T981" i="7" s="1"/>
  <c r="W981" i="7" l="1"/>
  <c r="Q982" i="7"/>
  <c r="S982" i="7" s="1"/>
  <c r="AG982" i="7" s="1"/>
  <c r="AH982" i="7" s="1"/>
  <c r="T982" i="7" s="1"/>
  <c r="AB981" i="7"/>
  <c r="V982" i="7" l="1"/>
  <c r="W982" i="7" s="1"/>
  <c r="Q983" i="7"/>
  <c r="S983" i="7" s="1"/>
  <c r="N982" i="7"/>
  <c r="Z981" i="7"/>
  <c r="AB982" i="7"/>
  <c r="AG983" i="7" l="1"/>
  <c r="AH983" i="7" s="1"/>
  <c r="T983" i="7" s="1"/>
  <c r="Q984" i="7" s="1"/>
  <c r="S984" i="7" s="1"/>
  <c r="Z982" i="7"/>
  <c r="V983" i="7"/>
  <c r="N983" i="7"/>
  <c r="AG984" i="7" l="1"/>
  <c r="AH984" i="7" s="1"/>
  <c r="T984" i="7" s="1"/>
  <c r="Q985" i="7" s="1"/>
  <c r="S985" i="7" s="1"/>
  <c r="W983" i="7"/>
  <c r="AB983" i="7"/>
  <c r="N984" i="7"/>
  <c r="V984" i="7"/>
  <c r="AG985" i="7" l="1"/>
  <c r="AH985" i="7" s="1"/>
  <c r="T985" i="7" s="1"/>
  <c r="Q986" i="7" s="1"/>
  <c r="S986" i="7" s="1"/>
  <c r="W984" i="7"/>
  <c r="N985" i="7"/>
  <c r="V985" i="7"/>
  <c r="Z983" i="7"/>
  <c r="AB984" i="7"/>
  <c r="AG986" i="7" l="1"/>
  <c r="AH986" i="7" s="1"/>
  <c r="T986" i="7" s="1"/>
  <c r="Q987" i="7" s="1"/>
  <c r="S987" i="7" s="1"/>
  <c r="AB985" i="7"/>
  <c r="Z985" i="7"/>
  <c r="Z984" i="7"/>
  <c r="N986" i="7"/>
  <c r="V986" i="7"/>
  <c r="W985" i="7"/>
  <c r="AG987" i="7" l="1"/>
  <c r="AH987" i="7" s="1"/>
  <c r="T987" i="7" s="1"/>
  <c r="AB986" i="7"/>
  <c r="Z986" i="7"/>
  <c r="V987" i="7"/>
  <c r="N987" i="7"/>
  <c r="W986" i="7"/>
  <c r="W987" i="7" l="1"/>
  <c r="Q988" i="7"/>
  <c r="S988" i="7" s="1"/>
  <c r="AB987" i="7"/>
  <c r="Z987" i="7" s="1"/>
  <c r="V988" i="7" l="1"/>
  <c r="N988" i="7"/>
  <c r="AG988" i="7"/>
  <c r="AH988" i="7" s="1"/>
  <c r="T988" i="7" s="1"/>
  <c r="AB988" i="7" l="1"/>
  <c r="Q989" i="7"/>
  <c r="W988" i="7"/>
  <c r="V989" i="7" l="1"/>
  <c r="S989" i="7"/>
  <c r="N989" i="7"/>
  <c r="Z988" i="7"/>
  <c r="AG989" i="7" l="1"/>
  <c r="AH989" i="7" s="1"/>
  <c r="T989" i="7" s="1"/>
  <c r="AB989" i="7" s="1"/>
  <c r="Z989" i="7" l="1"/>
  <c r="W989" i="7"/>
  <c r="Q990" i="7"/>
  <c r="V990" i="7" l="1"/>
  <c r="N990" i="7"/>
  <c r="S990" i="7"/>
  <c r="AG990" i="7" l="1"/>
  <c r="AH990" i="7" s="1"/>
  <c r="T990" i="7" s="1"/>
  <c r="AB990" i="7" s="1"/>
  <c r="Z990" i="7" l="1"/>
  <c r="W990" i="7"/>
  <c r="Q991" i="7"/>
  <c r="N991" i="7" l="1"/>
  <c r="V991" i="7"/>
  <c r="S991" i="7"/>
  <c r="AG991" i="7" l="1"/>
  <c r="AH991" i="7" s="1"/>
  <c r="T991" i="7" s="1"/>
  <c r="AB991" i="7" l="1"/>
  <c r="Q992" i="7"/>
  <c r="W991" i="7"/>
  <c r="N992" i="7" l="1"/>
  <c r="V992" i="7"/>
  <c r="S992" i="7"/>
  <c r="Z991" i="7"/>
  <c r="AG992" i="7" l="1"/>
  <c r="AH992" i="7" s="1"/>
  <c r="T992" i="7" s="1"/>
  <c r="AB992" i="7" l="1"/>
  <c r="Q993" i="7"/>
  <c r="W992" i="7"/>
  <c r="N993" i="7" l="1"/>
  <c r="V993" i="7"/>
  <c r="S993" i="7"/>
  <c r="Z992" i="7"/>
  <c r="AG993" i="7" l="1"/>
  <c r="AH993" i="7" s="1"/>
  <c r="T993" i="7" s="1"/>
  <c r="W993" i="7" l="1"/>
  <c r="Q994" i="7"/>
  <c r="AB993" i="7"/>
  <c r="Z993" i="7" l="1"/>
  <c r="N994" i="7"/>
  <c r="V994" i="7"/>
  <c r="S994" i="7"/>
  <c r="AG994" i="7" l="1"/>
  <c r="AH994" i="7" s="1"/>
  <c r="T994" i="7" s="1"/>
  <c r="W994" i="7" l="1"/>
  <c r="Q995" i="7"/>
  <c r="S995" i="7" s="1"/>
  <c r="AB994" i="7"/>
  <c r="AG995" i="7" l="1"/>
  <c r="AH995" i="7" s="1"/>
  <c r="T995" i="7" s="1"/>
  <c r="Q996" i="7" s="1"/>
  <c r="S996" i="7" s="1"/>
  <c r="Z994" i="7"/>
  <c r="N995" i="7"/>
  <c r="V995" i="7"/>
  <c r="AG996" i="7" l="1"/>
  <c r="AH996" i="7" s="1"/>
  <c r="T996" i="7" s="1"/>
  <c r="W996" i="7" s="1"/>
  <c r="W995" i="7"/>
  <c r="V996" i="7"/>
  <c r="N996" i="7"/>
  <c r="AB995" i="7"/>
  <c r="Q997" i="7" l="1"/>
  <c r="S997" i="7" s="1"/>
  <c r="AB996" i="7"/>
  <c r="Z995" i="7"/>
  <c r="Z996" i="7"/>
  <c r="V997" i="7" l="1"/>
  <c r="N997" i="7"/>
  <c r="AG997" i="7"/>
  <c r="AH997" i="7" s="1"/>
  <c r="T997" i="7" s="1"/>
  <c r="Q998" i="7" s="1"/>
  <c r="W997" i="7" l="1"/>
  <c r="N998" i="7"/>
  <c r="V998" i="7"/>
  <c r="S998" i="7"/>
  <c r="AB997" i="7"/>
  <c r="Z997" i="7" l="1"/>
  <c r="AG998" i="7"/>
  <c r="AH998" i="7" s="1"/>
  <c r="T998" i="7" s="1"/>
  <c r="Q999" i="7" l="1"/>
  <c r="W998" i="7"/>
  <c r="AB998" i="7"/>
  <c r="Z998" i="7" l="1"/>
  <c r="N999" i="7"/>
  <c r="V999" i="7"/>
  <c r="S999" i="7"/>
  <c r="AG999" i="7" l="1"/>
  <c r="AH999" i="7" s="1"/>
  <c r="T999" i="7" s="1"/>
  <c r="AB999" i="7" l="1"/>
  <c r="Q1000" i="7"/>
  <c r="W999" i="7"/>
  <c r="N1000" i="7" l="1"/>
  <c r="V1000" i="7"/>
  <c r="S1000" i="7"/>
  <c r="Z999" i="7"/>
  <c r="AG1000" i="7" l="1"/>
  <c r="AH1000" i="7" s="1"/>
  <c r="T1000" i="7" s="1"/>
  <c r="W1000" i="7" l="1"/>
  <c r="Q1001" i="7"/>
  <c r="AB1000" i="7"/>
  <c r="V1001" i="7" l="1"/>
  <c r="N1001" i="7"/>
  <c r="S1001" i="7"/>
  <c r="Z1000" i="7"/>
  <c r="AG1001" i="7" l="1"/>
  <c r="AH1001" i="7" s="1"/>
  <c r="T1001" i="7" s="1"/>
  <c r="W1001" i="7" s="1"/>
  <c r="AB1001" i="7" l="1"/>
  <c r="Q1002" i="7"/>
  <c r="V1002" i="7" l="1"/>
  <c r="N1002" i="7"/>
  <c r="S1002" i="7"/>
  <c r="Z1001" i="7"/>
  <c r="AG1002" i="7" l="1"/>
  <c r="AH1002" i="7" s="1"/>
  <c r="T1002" i="7" s="1"/>
  <c r="AB1002" i="7" s="1"/>
  <c r="Z1002" i="7" l="1"/>
  <c r="W1002" i="7"/>
  <c r="Q1003" i="7"/>
  <c r="N1003" i="7" l="1"/>
  <c r="V1003" i="7"/>
  <c r="S1003" i="7"/>
  <c r="AG1003" i="7" l="1"/>
  <c r="AH1003" i="7" s="1"/>
  <c r="T1003" i="7" s="1"/>
  <c r="AB1003" i="7" l="1"/>
  <c r="Q1004" i="7"/>
  <c r="W1003" i="7"/>
  <c r="V1004" i="7" l="1"/>
  <c r="N1004" i="7"/>
  <c r="S1004" i="7"/>
  <c r="Z1003" i="7"/>
  <c r="AG1004" i="7" l="1"/>
  <c r="AH1004" i="7" s="1"/>
  <c r="T1004" i="7" s="1"/>
  <c r="AB1004" i="7" s="1"/>
  <c r="Z1004" i="7" l="1"/>
  <c r="W1004" i="7"/>
  <c r="Q1005" i="7"/>
  <c r="V1005" i="7" l="1"/>
  <c r="N1005" i="7"/>
  <c r="S1005" i="7"/>
  <c r="AG1005" i="7" l="1"/>
  <c r="AH1005" i="7" s="1"/>
  <c r="T1005" i="7" s="1"/>
  <c r="AB1005" i="7" s="1"/>
  <c r="Z1005" i="7" l="1"/>
  <c r="W1005" i="7"/>
  <c r="Q1006" i="7"/>
  <c r="V1006" i="7" l="1"/>
  <c r="N1006" i="7"/>
  <c r="S1006" i="7"/>
  <c r="AG1006" i="7" l="1"/>
  <c r="AH1006" i="7" s="1"/>
  <c r="T1006" i="7" s="1"/>
  <c r="W1006" i="7" l="1"/>
  <c r="Q1007" i="7"/>
  <c r="AB1006" i="7"/>
  <c r="Z1006" i="7" l="1"/>
  <c r="V1007" i="7"/>
  <c r="N1007" i="7"/>
  <c r="S1007" i="7"/>
  <c r="AG1007" i="7" l="1"/>
  <c r="AH1007" i="7" s="1"/>
  <c r="T1007" i="7" s="1"/>
  <c r="AB1007" i="7" l="1"/>
  <c r="Q1008" i="7"/>
  <c r="W1007" i="7"/>
  <c r="N1008" i="7" l="1"/>
  <c r="V1008" i="7"/>
  <c r="S1008" i="7"/>
  <c r="Z1007" i="7"/>
  <c r="AG1008" i="7" l="1"/>
  <c r="AH1008" i="7" s="1"/>
  <c r="T1008" i="7" s="1"/>
  <c r="W1008" i="7" l="1"/>
  <c r="Q1009" i="7"/>
  <c r="AB1008" i="7"/>
  <c r="V1009" i="7" l="1"/>
  <c r="N1009" i="7"/>
  <c r="S1009" i="7"/>
  <c r="Z1008" i="7"/>
  <c r="AG1009" i="7" l="1"/>
  <c r="AH1009" i="7" s="1"/>
  <c r="T1009" i="7" s="1"/>
  <c r="W1009" i="7" s="1"/>
  <c r="AB1009" i="7" l="1"/>
  <c r="Q1010" i="7"/>
  <c r="V1010" i="7" l="1"/>
  <c r="N1010" i="7"/>
  <c r="S1010" i="7"/>
  <c r="Z1009" i="7"/>
  <c r="AG1010" i="7" l="1"/>
  <c r="AH1010" i="7" s="1"/>
  <c r="T1010" i="7" s="1"/>
  <c r="W1010" i="7" l="1"/>
  <c r="Q1011" i="7"/>
  <c r="AB1010" i="7"/>
  <c r="Z1010" i="7" l="1"/>
  <c r="N1011" i="7"/>
  <c r="V1011" i="7"/>
  <c r="S1011" i="7"/>
  <c r="AG1011" i="7" l="1"/>
  <c r="AH1011" i="7" s="1"/>
  <c r="T1011" i="7" s="1"/>
  <c r="AB1011" i="7" s="1"/>
  <c r="Z1011" i="7" l="1"/>
  <c r="W1011" i="7"/>
  <c r="Q1012" i="7"/>
  <c r="S1012" i="7" s="1"/>
  <c r="AG1012" i="7" l="1"/>
  <c r="AH1012" i="7" s="1"/>
  <c r="T1012" i="7" s="1"/>
  <c r="Q1013" i="7" s="1"/>
  <c r="S1013" i="7" s="1"/>
  <c r="V1012" i="7"/>
  <c r="N1012" i="7"/>
  <c r="AG1013" i="7" l="1"/>
  <c r="AH1013" i="7" s="1"/>
  <c r="T1013" i="7" s="1"/>
  <c r="Q1014" i="7" s="1"/>
  <c r="S1014" i="7" s="1"/>
  <c r="W1012" i="7"/>
  <c r="AB1012" i="7"/>
  <c r="Z1012" i="7" s="1"/>
  <c r="N1013" i="7"/>
  <c r="V1013" i="7"/>
  <c r="AG1014" i="7" l="1"/>
  <c r="AH1014" i="7" s="1"/>
  <c r="T1014" i="7" s="1"/>
  <c r="Q1015" i="7" s="1"/>
  <c r="S1015" i="7" s="1"/>
  <c r="W1013" i="7"/>
  <c r="AB1013" i="7"/>
  <c r="N1014" i="7"/>
  <c r="V1014" i="7"/>
  <c r="AG1015" i="7" l="1"/>
  <c r="AH1015" i="7" s="1"/>
  <c r="T1015" i="7" s="1"/>
  <c r="W1014" i="7"/>
  <c r="V1015" i="7"/>
  <c r="N1015" i="7"/>
  <c r="Z1013" i="7"/>
  <c r="AB1014" i="7"/>
  <c r="AB1015" i="7" l="1"/>
  <c r="Q1016" i="7"/>
  <c r="S1016" i="7" s="1"/>
  <c r="W1015" i="7"/>
  <c r="Z1014" i="7"/>
  <c r="Z1015" i="7" l="1"/>
  <c r="N1016" i="7"/>
  <c r="V1016" i="7"/>
  <c r="AG1016" i="7"/>
  <c r="AH1016" i="7" s="1"/>
  <c r="T1016" i="7" s="1"/>
  <c r="Q1017" i="7" l="1"/>
  <c r="AB1016" i="7"/>
  <c r="W1016" i="7"/>
  <c r="Z1016" i="7" l="1"/>
  <c r="S1017" i="7"/>
  <c r="N1017" i="7"/>
  <c r="V1017" i="7"/>
  <c r="AG1017" i="7" l="1"/>
  <c r="AH1017" i="7" s="1"/>
  <c r="T1017" i="7" s="1"/>
  <c r="W1017" i="7" l="1"/>
  <c r="Q1018" i="7"/>
  <c r="AB1017" i="7"/>
  <c r="Z1017" i="7" l="1"/>
  <c r="V1018" i="7"/>
  <c r="N1018" i="7"/>
  <c r="S1018" i="7"/>
  <c r="AG1018" i="7" l="1"/>
  <c r="AH1018" i="7" s="1"/>
  <c r="T1018" i="7" s="1"/>
  <c r="AB1018" i="7" s="1"/>
  <c r="Z1018" i="7" l="1"/>
  <c r="W1018" i="7"/>
  <c r="Q1019" i="7"/>
  <c r="V1019" i="7" l="1"/>
  <c r="N1019" i="7"/>
  <c r="S1019" i="7"/>
  <c r="AG1019" i="7" l="1"/>
  <c r="AH1019" i="7" s="1"/>
  <c r="T1019" i="7" s="1"/>
  <c r="AB1019" i="7" s="1"/>
  <c r="Z1019" i="7" l="1"/>
  <c r="W1019" i="7"/>
  <c r="Q1020" i="7"/>
  <c r="S1020" i="7" s="1"/>
  <c r="AG1020" i="7" s="1"/>
  <c r="AH1020" i="7" s="1"/>
  <c r="T1020" i="7" s="1"/>
  <c r="V1020" i="7" l="1"/>
  <c r="AB1020" i="7" s="1"/>
  <c r="N1020" i="7"/>
  <c r="Q1021" i="7"/>
  <c r="S1021" i="7" s="1"/>
  <c r="AG1021" i="7" l="1"/>
  <c r="AH1021" i="7" s="1"/>
  <c r="T1021" i="7" s="1"/>
  <c r="AB1021" i="7" s="1"/>
  <c r="V1021" i="7"/>
  <c r="N1021" i="7"/>
  <c r="Z1020" i="7"/>
  <c r="W1020" i="7"/>
  <c r="W1021" i="7" l="1"/>
  <c r="Q1022" i="7"/>
  <c r="S1022" i="7" s="1"/>
  <c r="Z1021" i="7"/>
  <c r="V1022" i="7"/>
  <c r="N1022" i="7"/>
  <c r="AG1022" i="7" l="1"/>
  <c r="AH1022" i="7" s="1"/>
  <c r="T1022" i="7" s="1"/>
  <c r="W1022" i="7" s="1"/>
  <c r="AB1022" i="7" l="1"/>
  <c r="Q1023" i="7"/>
  <c r="S1023" i="7" l="1"/>
  <c r="V1023" i="7"/>
  <c r="N1023" i="7"/>
  <c r="Z1022" i="7"/>
  <c r="AG1023" i="7" l="1"/>
  <c r="AH1023" i="7" s="1"/>
  <c r="T1023" i="7" s="1"/>
  <c r="AB1023" i="7" l="1"/>
  <c r="Q1024" i="7"/>
  <c r="S1024" i="7" s="1"/>
  <c r="W1023" i="7"/>
  <c r="AG1024" i="7" l="1"/>
  <c r="AH1024" i="7" s="1"/>
  <c r="T1024" i="7" s="1"/>
  <c r="Q1025" i="7" s="1"/>
  <c r="S1025" i="7" s="1"/>
  <c r="V1024" i="7"/>
  <c r="N1024" i="7"/>
  <c r="Z1023" i="7"/>
  <c r="AG1025" i="7" l="1"/>
  <c r="AH1025" i="7" s="1"/>
  <c r="T1025" i="7" s="1"/>
  <c r="Q1026" i="7" s="1"/>
  <c r="S1026" i="7" s="1"/>
  <c r="AB1024" i="7"/>
  <c r="W1024" i="7"/>
  <c r="N1025" i="7"/>
  <c r="V1025" i="7"/>
  <c r="Z1024" i="7"/>
  <c r="AG1026" i="7" l="1"/>
  <c r="AH1026" i="7" s="1"/>
  <c r="T1026" i="7" s="1"/>
  <c r="Q1027" i="7" s="1"/>
  <c r="S1027" i="7" s="1"/>
  <c r="AB1025" i="7"/>
  <c r="Z1025" i="7"/>
  <c r="W1025" i="7"/>
  <c r="V1026" i="7"/>
  <c r="N1026" i="7"/>
  <c r="AG1027" i="7" l="1"/>
  <c r="AH1027" i="7" s="1"/>
  <c r="T1027" i="7" s="1"/>
  <c r="Q1028" i="7" s="1"/>
  <c r="S1028" i="7" s="1"/>
  <c r="AB1026" i="7"/>
  <c r="N1027" i="7"/>
  <c r="V1027" i="7"/>
  <c r="Z1026" i="7"/>
  <c r="W1026" i="7"/>
  <c r="AG1028" i="7" l="1"/>
  <c r="AH1028" i="7" s="1"/>
  <c r="T1028" i="7" s="1"/>
  <c r="Q1029" i="7" s="1"/>
  <c r="S1029" i="7" s="1"/>
  <c r="W1027" i="7"/>
  <c r="AB1027" i="7"/>
  <c r="Z1027" i="7" s="1"/>
  <c r="N1028" i="7"/>
  <c r="V1028" i="7"/>
  <c r="AG1029" i="7" l="1"/>
  <c r="AH1029" i="7" s="1"/>
  <c r="T1029" i="7" s="1"/>
  <c r="W1029" i="7" s="1"/>
  <c r="AB1028" i="7"/>
  <c r="V1029" i="7"/>
  <c r="N1029" i="7"/>
  <c r="Z1028" i="7"/>
  <c r="W1028" i="7"/>
  <c r="AB1029" i="7" l="1"/>
  <c r="Q1030" i="7"/>
  <c r="S1030" i="7" s="1"/>
  <c r="Z1029" i="7" l="1"/>
  <c r="N1030" i="7"/>
  <c r="V1030" i="7"/>
  <c r="AG1030" i="7"/>
  <c r="AH1030" i="7" s="1"/>
  <c r="T1030" i="7" s="1"/>
  <c r="AB1030" i="7" s="1"/>
  <c r="Z1030" i="7" l="1"/>
  <c r="W1030" i="7"/>
  <c r="Q1031" i="7"/>
  <c r="S1031" i="7" s="1"/>
  <c r="AG1031" i="7" l="1"/>
  <c r="AH1031" i="7" s="1"/>
  <c r="T1031" i="7" s="1"/>
  <c r="Q1032" i="7" s="1"/>
  <c r="S1032" i="7" s="1"/>
  <c r="V1031" i="7"/>
  <c r="N1031" i="7"/>
  <c r="AG1032" i="7" l="1"/>
  <c r="AH1032" i="7" s="1"/>
  <c r="T1032" i="7" s="1"/>
  <c r="Q1033" i="7" s="1"/>
  <c r="S1033" i="7" s="1"/>
  <c r="AG1033" i="7" s="1"/>
  <c r="AH1033" i="7" s="1"/>
  <c r="T1033" i="7" s="1"/>
  <c r="W1031" i="7"/>
  <c r="AB1031" i="7"/>
  <c r="Z1031" i="7" s="1"/>
  <c r="N1032" i="7"/>
  <c r="V1032" i="7"/>
  <c r="W1032" i="7" l="1"/>
  <c r="V1033" i="7"/>
  <c r="Q1034" i="7"/>
  <c r="S1034" i="7" s="1"/>
  <c r="AG1034" i="7" s="1"/>
  <c r="AH1034" i="7" s="1"/>
  <c r="T1034" i="7" s="1"/>
  <c r="N1033" i="7"/>
  <c r="AB1032" i="7"/>
  <c r="Z1032" i="7" l="1"/>
  <c r="V1034" i="7"/>
  <c r="N1034" i="7"/>
  <c r="Q1035" i="7"/>
  <c r="S1035" i="7" s="1"/>
  <c r="AG1035" i="7" s="1"/>
  <c r="AH1035" i="7" s="1"/>
  <c r="T1035" i="7" s="1"/>
  <c r="W1033" i="7"/>
  <c r="AB1033" i="7"/>
  <c r="V1035" i="7" l="1"/>
  <c r="N1035" i="7"/>
  <c r="Q1036" i="7"/>
  <c r="S1036" i="7" s="1"/>
  <c r="AG1036" i="7" s="1"/>
  <c r="AH1036" i="7" s="1"/>
  <c r="T1036" i="7" s="1"/>
  <c r="AB1034" i="7"/>
  <c r="W1034" i="7"/>
  <c r="Z1033" i="7"/>
  <c r="N1036" i="7" l="1"/>
  <c r="Q1037" i="7"/>
  <c r="S1037" i="7" s="1"/>
  <c r="AG1037" i="7" s="1"/>
  <c r="AH1037" i="7" s="1"/>
  <c r="T1037" i="7" s="1"/>
  <c r="V1036" i="7"/>
  <c r="W1035" i="7"/>
  <c r="AB1035" i="7"/>
  <c r="Z1034" i="7"/>
  <c r="Z1035" i="7" l="1"/>
  <c r="AB1036" i="7"/>
  <c r="W1036" i="7"/>
  <c r="N1037" i="7"/>
  <c r="V1037" i="7"/>
  <c r="Q1038" i="7"/>
  <c r="S1038" i="7" s="1"/>
  <c r="AG1038" i="7" s="1"/>
  <c r="AH1038" i="7" s="1"/>
  <c r="T1038" i="7" s="1"/>
  <c r="W1037" i="7" l="1"/>
  <c r="AB1037" i="7"/>
  <c r="Z1036" i="7"/>
  <c r="V1038" i="7"/>
  <c r="Q1039" i="7"/>
  <c r="S1039" i="7" s="1"/>
  <c r="AG1039" i="7" s="1"/>
  <c r="AH1039" i="7" s="1"/>
  <c r="T1039" i="7" s="1"/>
  <c r="N1038" i="7"/>
  <c r="V1039" i="7" l="1"/>
  <c r="N1039" i="7"/>
  <c r="Q1040" i="7"/>
  <c r="S1040" i="7" s="1"/>
  <c r="AG1040" i="7" s="1"/>
  <c r="AH1040" i="7" s="1"/>
  <c r="T1040" i="7" s="1"/>
  <c r="W1038" i="7"/>
  <c r="AB1038" i="7"/>
  <c r="Z1037" i="7"/>
  <c r="Z1038" i="7" l="1"/>
  <c r="Q1041" i="7"/>
  <c r="S1041" i="7" s="1"/>
  <c r="AG1041" i="7" s="1"/>
  <c r="AH1041" i="7" s="1"/>
  <c r="T1041" i="7" s="1"/>
  <c r="V1040" i="7"/>
  <c r="N1040" i="7"/>
  <c r="AB1039" i="7"/>
  <c r="W1039" i="7"/>
  <c r="AB1040" i="7" l="1"/>
  <c r="W1040" i="7"/>
  <c r="N1041" i="7"/>
  <c r="Q1042" i="7"/>
  <c r="S1042" i="7" s="1"/>
  <c r="AG1042" i="7" s="1"/>
  <c r="AH1042" i="7" s="1"/>
  <c r="T1042" i="7" s="1"/>
  <c r="V1041" i="7"/>
  <c r="Z1039" i="7"/>
  <c r="W1041" i="7" l="1"/>
  <c r="AB1041" i="7"/>
  <c r="N1042" i="7"/>
  <c r="Q1043" i="7"/>
  <c r="S1043" i="7" s="1"/>
  <c r="AG1043" i="7" s="1"/>
  <c r="AH1043" i="7" s="1"/>
  <c r="T1043" i="7" s="1"/>
  <c r="V1042" i="7"/>
  <c r="Z1040" i="7"/>
  <c r="AB1042" i="7" l="1"/>
  <c r="W1042" i="7"/>
  <c r="Z1041" i="7"/>
  <c r="Q1044" i="7"/>
  <c r="S1044" i="7" s="1"/>
  <c r="AG1044" i="7" s="1"/>
  <c r="AH1044" i="7" s="1"/>
  <c r="T1044" i="7" s="1"/>
  <c r="V1043" i="7"/>
  <c r="N1043" i="7"/>
  <c r="W1043" i="7" l="1"/>
  <c r="AB1043" i="7"/>
  <c r="V1044" i="7"/>
  <c r="N1044" i="7"/>
  <c r="Q1045" i="7"/>
  <c r="S1045" i="7" s="1"/>
  <c r="AG1045" i="7" s="1"/>
  <c r="AH1045" i="7" s="1"/>
  <c r="T1045" i="7" s="1"/>
  <c r="Z1042" i="7"/>
  <c r="AB1044" i="7" l="1"/>
  <c r="W1044" i="7"/>
  <c r="Q1046" i="7"/>
  <c r="S1046" i="7" s="1"/>
  <c r="AG1046" i="7" s="1"/>
  <c r="AH1046" i="7" s="1"/>
  <c r="T1046" i="7" s="1"/>
  <c r="N1045" i="7"/>
  <c r="V1045" i="7"/>
  <c r="Z1043" i="7"/>
  <c r="N1046" i="7" l="1"/>
  <c r="Q1047" i="7"/>
  <c r="S1047" i="7" s="1"/>
  <c r="AG1047" i="7" s="1"/>
  <c r="AH1047" i="7" s="1"/>
  <c r="T1047" i="7" s="1"/>
  <c r="V1046" i="7"/>
  <c r="AB1045" i="7"/>
  <c r="W1045" i="7"/>
  <c r="Z1044" i="7"/>
  <c r="W1046" i="7" l="1"/>
  <c r="AB1046" i="7"/>
  <c r="Q1048" i="7"/>
  <c r="S1048" i="7" s="1"/>
  <c r="AG1048" i="7" s="1"/>
  <c r="AH1048" i="7" s="1"/>
  <c r="T1048" i="7" s="1"/>
  <c r="V1047" i="7"/>
  <c r="N1047" i="7"/>
  <c r="Z1045" i="7"/>
  <c r="W1047" i="7" l="1"/>
  <c r="AB1047" i="7"/>
  <c r="N1048" i="7"/>
  <c r="Q1049" i="7"/>
  <c r="S1049" i="7" s="1"/>
  <c r="AG1049" i="7" s="1"/>
  <c r="AH1049" i="7" s="1"/>
  <c r="T1049" i="7" s="1"/>
  <c r="V1048" i="7"/>
  <c r="Z1046" i="7"/>
  <c r="AB1048" i="7" l="1"/>
  <c r="W1048" i="7"/>
  <c r="Q1050" i="7"/>
  <c r="S1050" i="7" s="1"/>
  <c r="AG1050" i="7" s="1"/>
  <c r="AH1050" i="7" s="1"/>
  <c r="T1050" i="7" s="1"/>
  <c r="V1049" i="7"/>
  <c r="N1049" i="7"/>
  <c r="Z1047" i="7"/>
  <c r="Q1051" i="7" l="1"/>
  <c r="S1051" i="7" s="1"/>
  <c r="AG1051" i="7" s="1"/>
  <c r="AH1051" i="7" s="1"/>
  <c r="T1051" i="7" s="1"/>
  <c r="V1050" i="7"/>
  <c r="N1050" i="7"/>
  <c r="W1049" i="7"/>
  <c r="AB1049" i="7"/>
  <c r="Z1048" i="7"/>
  <c r="Z1049" i="7" l="1"/>
  <c r="W1050" i="7"/>
  <c r="AB1050" i="7"/>
  <c r="V1051" i="7"/>
  <c r="Q1052" i="7"/>
  <c r="S1052" i="7" s="1"/>
  <c r="AG1052" i="7" s="1"/>
  <c r="AH1052" i="7" s="1"/>
  <c r="T1052" i="7" s="1"/>
  <c r="N1051" i="7"/>
  <c r="Z1050" i="7" l="1"/>
  <c r="N1052" i="7"/>
  <c r="V1052" i="7"/>
  <c r="Q1053" i="7"/>
  <c r="S1053" i="7" s="1"/>
  <c r="AG1053" i="7" s="1"/>
  <c r="AH1053" i="7" s="1"/>
  <c r="T1053" i="7" s="1"/>
  <c r="AB1051" i="7"/>
  <c r="W1051" i="7"/>
  <c r="Z1051" i="7" l="1"/>
  <c r="Q1054" i="7"/>
  <c r="S1054" i="7" s="1"/>
  <c r="AG1054" i="7" s="1"/>
  <c r="AH1054" i="7" s="1"/>
  <c r="T1054" i="7" s="1"/>
  <c r="V1053" i="7"/>
  <c r="N1053" i="7"/>
  <c r="AB1052" i="7"/>
  <c r="W1052" i="7"/>
  <c r="W1053" i="7" l="1"/>
  <c r="AB1053" i="7"/>
  <c r="Z1052" i="7"/>
  <c r="N1054" i="7"/>
  <c r="V1054" i="7"/>
  <c r="Q1055" i="7"/>
  <c r="S1055" i="7" s="1"/>
  <c r="AG1055" i="7" s="1"/>
  <c r="AH1055" i="7" s="1"/>
  <c r="T1055" i="7" s="1"/>
  <c r="W1054" i="7" l="1"/>
  <c r="AB1054" i="7"/>
  <c r="N1055" i="7"/>
  <c r="Q1056" i="7"/>
  <c r="S1056" i="7" s="1"/>
  <c r="AG1056" i="7" s="1"/>
  <c r="AH1056" i="7" s="1"/>
  <c r="T1056" i="7" s="1"/>
  <c r="V1055" i="7"/>
  <c r="Z1053" i="7"/>
  <c r="W1055" i="7" l="1"/>
  <c r="AB1055" i="7"/>
  <c r="N1056" i="7"/>
  <c r="Q1057" i="7"/>
  <c r="S1057" i="7" s="1"/>
  <c r="V1056" i="7"/>
  <c r="Z1054" i="7"/>
  <c r="N1057" i="7" l="1"/>
  <c r="Q1058" i="7"/>
  <c r="S1058" i="7" s="1"/>
  <c r="AG1058" i="7" s="1"/>
  <c r="AH1058" i="7" s="1"/>
  <c r="T1058" i="7" s="1"/>
  <c r="V1057" i="7"/>
  <c r="W1056" i="7"/>
  <c r="AB1056" i="7"/>
  <c r="Z1055" i="7"/>
  <c r="W1057" i="7" l="1"/>
  <c r="AB1057" i="7"/>
  <c r="Z1056" i="7"/>
  <c r="V1058" i="7"/>
  <c r="N1058" i="7"/>
  <c r="Q1059" i="7"/>
  <c r="S1059" i="7" s="1"/>
  <c r="AG1059" i="7" s="1"/>
  <c r="AH1059" i="7" s="1"/>
  <c r="T1059" i="7" s="1"/>
  <c r="V1059" i="7" l="1"/>
  <c r="N1059" i="7"/>
  <c r="Q1060" i="7"/>
  <c r="S1060" i="7" s="1"/>
  <c r="AG1060" i="7" s="1"/>
  <c r="AH1060" i="7" s="1"/>
  <c r="T1060" i="7" s="1"/>
  <c r="AB1058" i="7"/>
  <c r="W1058" i="7"/>
  <c r="Z1057" i="7"/>
  <c r="N1060" i="7" l="1"/>
  <c r="V1060" i="7"/>
  <c r="Q1061" i="7"/>
  <c r="S1061" i="7" s="1"/>
  <c r="AG1061" i="7" s="1"/>
  <c r="AH1061" i="7" s="1"/>
  <c r="T1061" i="7" s="1"/>
  <c r="Z1058" i="7"/>
  <c r="W1059" i="7"/>
  <c r="AB1059" i="7"/>
  <c r="AB1060" i="7" l="1"/>
  <c r="W1060" i="7"/>
  <c r="Z1059" i="7"/>
  <c r="Q1062" i="7"/>
  <c r="S1062" i="7" s="1"/>
  <c r="AG1062" i="7" s="1"/>
  <c r="AH1062" i="7" s="1"/>
  <c r="T1062" i="7" s="1"/>
  <c r="N1061" i="7"/>
  <c r="V1061" i="7"/>
  <c r="Q1063" i="7" l="1"/>
  <c r="S1063" i="7" s="1"/>
  <c r="AG1063" i="7" s="1"/>
  <c r="AH1063" i="7" s="1"/>
  <c r="T1063" i="7" s="1"/>
  <c r="V1062" i="7"/>
  <c r="N1062" i="7"/>
  <c r="AB1061" i="7"/>
  <c r="W1061" i="7"/>
  <c r="Z1060" i="7"/>
  <c r="AB1062" i="7" l="1"/>
  <c r="W1062" i="7"/>
  <c r="Z1061" i="7"/>
  <c r="Q1064" i="7"/>
  <c r="S1064" i="7" s="1"/>
  <c r="AG1064" i="7" s="1"/>
  <c r="AH1064" i="7" s="1"/>
  <c r="T1064" i="7" s="1"/>
  <c r="N1063" i="7"/>
  <c r="V1063" i="7"/>
  <c r="N1064" i="7" l="1"/>
  <c r="V1064" i="7"/>
  <c r="Q1065" i="7"/>
  <c r="S1065" i="7" s="1"/>
  <c r="AG1065" i="7" s="1"/>
  <c r="AH1065" i="7" s="1"/>
  <c r="T1065" i="7" s="1"/>
  <c r="Z1062" i="7"/>
  <c r="AB1063" i="7"/>
  <c r="W1063" i="7"/>
  <c r="Z1063" i="7" l="1"/>
  <c r="N1065" i="7"/>
  <c r="Q1066" i="7"/>
  <c r="S1066" i="7" s="1"/>
  <c r="AG1066" i="7" s="1"/>
  <c r="AH1066" i="7" s="1"/>
  <c r="T1066" i="7" s="1"/>
  <c r="V1065" i="7"/>
  <c r="AB1064" i="7"/>
  <c r="W1064" i="7"/>
  <c r="Q1067" i="7" l="1"/>
  <c r="S1067" i="7" s="1"/>
  <c r="AG1067" i="7" s="1"/>
  <c r="AH1067" i="7" s="1"/>
  <c r="T1067" i="7" s="1"/>
  <c r="N1066" i="7"/>
  <c r="V1066" i="7"/>
  <c r="Z1064" i="7"/>
  <c r="W1065" i="7"/>
  <c r="AB1065" i="7"/>
  <c r="W1066" i="7" l="1"/>
  <c r="AB1066" i="7"/>
  <c r="Z1065" i="7"/>
  <c r="V1067" i="7"/>
  <c r="Q1068" i="7"/>
  <c r="S1068" i="7" s="1"/>
  <c r="N1067" i="7"/>
  <c r="N1068" i="7" l="1"/>
  <c r="Q1069" i="7"/>
  <c r="S1069" i="7" s="1"/>
  <c r="V1068" i="7"/>
  <c r="W1067" i="7"/>
  <c r="AB1067" i="7"/>
  <c r="Z1066" i="7"/>
  <c r="AB1068" i="7" l="1"/>
  <c r="W1068" i="7"/>
  <c r="Z1067" i="7"/>
  <c r="Q1070" i="7"/>
  <c r="S1070" i="7" s="1"/>
  <c r="N1069" i="7"/>
  <c r="V1069" i="7"/>
  <c r="Q1071" i="7" l="1"/>
  <c r="S1071" i="7" s="1"/>
  <c r="N1070" i="7"/>
  <c r="V1070" i="7"/>
  <c r="W1069" i="7"/>
  <c r="AB1069" i="7"/>
  <c r="Z1068" i="7"/>
  <c r="W1070" i="7" l="1"/>
  <c r="AB1070" i="7"/>
  <c r="Z1069" i="7"/>
  <c r="N1071" i="7"/>
  <c r="Q1072" i="7"/>
  <c r="S1072" i="7" s="1"/>
  <c r="V1071" i="7"/>
  <c r="Q1073" i="7" l="1"/>
  <c r="S1073" i="7" s="1"/>
  <c r="V1072" i="7"/>
  <c r="N1072" i="7"/>
  <c r="Z1070" i="7"/>
  <c r="W1071" i="7"/>
  <c r="AB1071" i="7"/>
  <c r="Z1071" i="7" l="1"/>
  <c r="W1072" i="7"/>
  <c r="AB1072" i="7"/>
  <c r="V1073" i="7"/>
  <c r="Q1074" i="7"/>
  <c r="S1074" i="7" s="1"/>
  <c r="N1073" i="7"/>
  <c r="N1074" i="7" l="1"/>
  <c r="Q1075" i="7"/>
  <c r="S1075" i="7" s="1"/>
  <c r="V1074" i="7"/>
  <c r="AB1073" i="7"/>
  <c r="W1073" i="7"/>
  <c r="Z1072" i="7"/>
  <c r="AB1074" i="7" l="1"/>
  <c r="W1074" i="7"/>
  <c r="Z1073" i="7"/>
  <c r="V1075" i="7"/>
  <c r="N1075" i="7"/>
  <c r="Q1076" i="7"/>
  <c r="S1076" i="7" s="1"/>
  <c r="W1075" i="7" l="1"/>
  <c r="AB1075" i="7"/>
  <c r="N1076" i="7"/>
  <c r="Q1077" i="7"/>
  <c r="S1077" i="7" s="1"/>
  <c r="V1076" i="7"/>
  <c r="Z1074" i="7"/>
  <c r="AB1076" i="7" l="1"/>
  <c r="W1076" i="7"/>
  <c r="Z1075" i="7"/>
  <c r="N1077" i="7"/>
  <c r="V1077" i="7"/>
  <c r="Q1078" i="7"/>
  <c r="S1078" i="7" s="1"/>
  <c r="W1077" i="7" l="1"/>
  <c r="AB1077" i="7"/>
  <c r="V1078" i="7"/>
  <c r="N1078" i="7"/>
  <c r="Q1079" i="7"/>
  <c r="S1079" i="7" s="1"/>
  <c r="Z1076" i="7"/>
  <c r="N1079" i="7" l="1"/>
  <c r="V1079" i="7"/>
  <c r="Q1080" i="7"/>
  <c r="S1080" i="7" s="1"/>
  <c r="AB1078" i="7"/>
  <c r="W1078" i="7"/>
  <c r="Z1077" i="7"/>
  <c r="AG1080" i="7" l="1"/>
  <c r="AH1080" i="7" s="1"/>
  <c r="T1080" i="7" s="1"/>
  <c r="Z1078" i="7"/>
  <c r="V1080" i="7"/>
  <c r="Q1081" i="7"/>
  <c r="S1081" i="7" s="1"/>
  <c r="N1080" i="7"/>
  <c r="W1079" i="7"/>
  <c r="AB1079" i="7"/>
  <c r="AG1081" i="7" l="1"/>
  <c r="AH1081" i="7" s="1"/>
  <c r="T1081" i="7" s="1"/>
  <c r="AB1080" i="7"/>
  <c r="W1080" i="7"/>
  <c r="V1081" i="7"/>
  <c r="N1081" i="7"/>
  <c r="Q1082" i="7"/>
  <c r="S1082" i="7" s="1"/>
  <c r="Z1079" i="7"/>
  <c r="AG1082" i="7" l="1"/>
  <c r="AH1082" i="7" s="1"/>
  <c r="T1082" i="7" s="1"/>
  <c r="AB1081" i="7"/>
  <c r="W1081" i="7"/>
  <c r="Z1080" i="7"/>
  <c r="N1082" i="7"/>
  <c r="Q1083" i="7"/>
  <c r="S1083" i="7" s="1"/>
  <c r="V1082" i="7"/>
  <c r="AG1083" i="7" l="1"/>
  <c r="AH1083" i="7" s="1"/>
  <c r="T1083" i="7" s="1"/>
  <c r="V1083" i="7"/>
  <c r="N1083" i="7"/>
  <c r="Q1084" i="7"/>
  <c r="S1084" i="7" s="1"/>
  <c r="AB1082" i="7"/>
  <c r="W1082" i="7"/>
  <c r="Z1081" i="7"/>
  <c r="AG1084" i="7" l="1"/>
  <c r="AH1084" i="7" s="1"/>
  <c r="T1084" i="7" s="1"/>
  <c r="Z1082" i="7"/>
  <c r="AB1083" i="7"/>
  <c r="W1083" i="7"/>
  <c r="V1084" i="7"/>
  <c r="Q1085" i="7"/>
  <c r="S1085" i="7" s="1"/>
  <c r="N1084" i="7"/>
  <c r="AG1085" i="7" l="1"/>
  <c r="AH1085" i="7" s="1"/>
  <c r="T1085" i="7" s="1"/>
  <c r="N1085" i="7"/>
  <c r="Q1086" i="7"/>
  <c r="S1086" i="7" s="1"/>
  <c r="V1085" i="7"/>
  <c r="Z1083" i="7"/>
  <c r="AB1084" i="7"/>
  <c r="W1084" i="7"/>
  <c r="AG1086" i="7" l="1"/>
  <c r="AH1086" i="7" s="1"/>
  <c r="T1086" i="7" s="1"/>
  <c r="Z1084" i="7"/>
  <c r="AB1085" i="7"/>
  <c r="W1085" i="7"/>
  <c r="Q1087" i="7"/>
  <c r="S1087" i="7" s="1"/>
  <c r="V1086" i="7"/>
  <c r="N1086" i="7"/>
  <c r="AG1087" i="7" l="1"/>
  <c r="AH1087" i="7" s="1"/>
  <c r="T1087" i="7" s="1"/>
  <c r="AB1086" i="7"/>
  <c r="W1086" i="7"/>
  <c r="N1087" i="7"/>
  <c r="V1087" i="7"/>
  <c r="Q1088" i="7"/>
  <c r="S1088" i="7" s="1"/>
  <c r="Z1085" i="7"/>
  <c r="AG1088" i="7" l="1"/>
  <c r="AH1088" i="7" s="1"/>
  <c r="T1088" i="7" s="1"/>
  <c r="N1088" i="7"/>
  <c r="V1088" i="7"/>
  <c r="Q1089" i="7"/>
  <c r="S1089" i="7" s="1"/>
  <c r="AB1087" i="7"/>
  <c r="W1087" i="7"/>
  <c r="Z1086" i="7"/>
  <c r="AG1089" i="7" l="1"/>
  <c r="AH1089" i="7" s="1"/>
  <c r="T1089" i="7" s="1"/>
  <c r="V1089" i="7"/>
  <c r="N1089" i="7"/>
  <c r="Q1090" i="7"/>
  <c r="S1090" i="7" s="1"/>
  <c r="Z1087" i="7"/>
  <c r="W1088" i="7"/>
  <c r="AB1088" i="7"/>
  <c r="AG1090" i="7" l="1"/>
  <c r="AH1090" i="7" s="1"/>
  <c r="T1090" i="7" s="1"/>
  <c r="N1090" i="7"/>
  <c r="Q1091" i="7"/>
  <c r="S1091" i="7" s="1"/>
  <c r="V1090" i="7"/>
  <c r="W1089" i="7"/>
  <c r="AB1089" i="7"/>
  <c r="Z1088" i="7"/>
  <c r="AG1091" i="7" l="1"/>
  <c r="AH1091" i="7" s="1"/>
  <c r="T1091" i="7" s="1"/>
  <c r="W1090" i="7"/>
  <c r="AB1090" i="7"/>
  <c r="Z1089" i="7"/>
  <c r="N1091" i="7"/>
  <c r="V1091" i="7"/>
  <c r="Q1092" i="7"/>
  <c r="S1092" i="7" s="1"/>
  <c r="AG1092" i="7" l="1"/>
  <c r="AH1092" i="7" s="1"/>
  <c r="T1092" i="7" s="1"/>
  <c r="Z1090" i="7"/>
  <c r="AB1091" i="7"/>
  <c r="W1091" i="7"/>
  <c r="Q1093" i="7"/>
  <c r="S1093" i="7" s="1"/>
  <c r="N1092" i="7"/>
  <c r="V1092" i="7"/>
  <c r="AG1093" i="7" l="1"/>
  <c r="AH1093" i="7" s="1"/>
  <c r="T1093" i="7" s="1"/>
  <c r="AB1092" i="7"/>
  <c r="W1092" i="7"/>
  <c r="V1093" i="7"/>
  <c r="N1093" i="7"/>
  <c r="Q1094" i="7"/>
  <c r="S1094" i="7" s="1"/>
  <c r="Z1091" i="7"/>
  <c r="AG1094" i="7" l="1"/>
  <c r="AH1094" i="7" s="1"/>
  <c r="T1094" i="7" s="1"/>
  <c r="N1094" i="7"/>
  <c r="V1094" i="7"/>
  <c r="Q1095" i="7"/>
  <c r="S1095" i="7" s="1"/>
  <c r="W1093" i="7"/>
  <c r="AB1093" i="7"/>
  <c r="Z1092" i="7"/>
  <c r="AG1095" i="7" l="1"/>
  <c r="AH1095" i="7" s="1"/>
  <c r="T1095" i="7" s="1"/>
  <c r="Z1093" i="7"/>
  <c r="V1095" i="7"/>
  <c r="Q1096" i="7"/>
  <c r="S1096" i="7" s="1"/>
  <c r="N1095" i="7"/>
  <c r="W1094" i="7"/>
  <c r="AB1094" i="7"/>
  <c r="AG1096" i="7" l="1"/>
  <c r="AH1096" i="7" s="1"/>
  <c r="T1096" i="7" s="1"/>
  <c r="Z1094" i="7"/>
  <c r="N1096" i="7"/>
  <c r="V1096" i="7"/>
  <c r="Q1097" i="7"/>
  <c r="S1097" i="7" s="1"/>
  <c r="AB1095" i="7"/>
  <c r="W1095" i="7"/>
  <c r="AG1097" i="7" l="1"/>
  <c r="AH1097" i="7" s="1"/>
  <c r="T1097" i="7" s="1"/>
  <c r="W1096" i="7"/>
  <c r="AB1096" i="7"/>
  <c r="V1097" i="7"/>
  <c r="N1097" i="7"/>
  <c r="Q1098" i="7"/>
  <c r="S1098" i="7" s="1"/>
  <c r="Z1095" i="7"/>
  <c r="AG1098" i="7" l="1"/>
  <c r="AH1098" i="7" s="1"/>
  <c r="T1098" i="7" s="1"/>
  <c r="W1097" i="7"/>
  <c r="AB1097" i="7"/>
  <c r="V1098" i="7"/>
  <c r="Q1099" i="7"/>
  <c r="S1099" i="7" s="1"/>
  <c r="N1098" i="7"/>
  <c r="Z1096" i="7"/>
  <c r="AG1099" i="7" l="1"/>
  <c r="AH1099" i="7" s="1"/>
  <c r="T1099" i="7" s="1"/>
  <c r="W1098" i="7"/>
  <c r="AB1098" i="7"/>
  <c r="V1099" i="7"/>
  <c r="Q1100" i="7"/>
  <c r="S1100" i="7" s="1"/>
  <c r="N1099" i="7"/>
  <c r="Z1097" i="7"/>
  <c r="AG1100" i="7" l="1"/>
  <c r="AH1100" i="7" s="1"/>
  <c r="T1100" i="7" s="1"/>
  <c r="AB1099" i="7"/>
  <c r="W1099" i="7"/>
  <c r="N1100" i="7"/>
  <c r="Q1101" i="7"/>
  <c r="S1101" i="7" s="1"/>
  <c r="V1100" i="7"/>
  <c r="Z1098" i="7"/>
  <c r="AG1101" i="7" l="1"/>
  <c r="AH1101" i="7" s="1"/>
  <c r="T1101" i="7" s="1"/>
  <c r="W1100" i="7"/>
  <c r="AB1100" i="7"/>
  <c r="Q1102" i="7"/>
  <c r="S1102" i="7" s="1"/>
  <c r="N1101" i="7"/>
  <c r="V1101" i="7"/>
  <c r="Z1099" i="7"/>
  <c r="AG1102" i="7" l="1"/>
  <c r="AH1102" i="7" s="1"/>
  <c r="T1102" i="7" s="1"/>
  <c r="V1102" i="7"/>
  <c r="N1102" i="7"/>
  <c r="Q1103" i="7"/>
  <c r="S1103" i="7" s="1"/>
  <c r="W1101" i="7"/>
  <c r="AB1101" i="7"/>
  <c r="Z1100" i="7"/>
  <c r="AG1103" i="7" l="1"/>
  <c r="AH1103" i="7" s="1"/>
  <c r="T1103" i="7" s="1"/>
  <c r="Z1101" i="7"/>
  <c r="N1103" i="7"/>
  <c r="Q1104" i="7"/>
  <c r="S1104" i="7" s="1"/>
  <c r="V1103" i="7"/>
  <c r="W1102" i="7"/>
  <c r="AB1102" i="7"/>
  <c r="AG1104" i="7" l="1"/>
  <c r="AH1104" i="7" s="1"/>
  <c r="T1104" i="7" s="1"/>
  <c r="V1104" i="7"/>
  <c r="N1104" i="7"/>
  <c r="Q1105" i="7"/>
  <c r="S1105" i="7" s="1"/>
  <c r="Z1102" i="7"/>
  <c r="W1103" i="7"/>
  <c r="AB1103" i="7"/>
  <c r="AG1105" i="7" l="1"/>
  <c r="AH1105" i="7" s="1"/>
  <c r="T1105" i="7" s="1"/>
  <c r="Q1106" i="7"/>
  <c r="S1106" i="7" s="1"/>
  <c r="N1105" i="7"/>
  <c r="V1105" i="7"/>
  <c r="Z1103" i="7"/>
  <c r="W1104" i="7"/>
  <c r="AB1104" i="7"/>
  <c r="AG1106" i="7" l="1"/>
  <c r="AH1106" i="7" s="1"/>
  <c r="T1106" i="7" s="1"/>
  <c r="Z1104" i="7"/>
  <c r="Q1107" i="7"/>
  <c r="S1107" i="7" s="1"/>
  <c r="N1106" i="7"/>
  <c r="V1106" i="7"/>
  <c r="AB1105" i="7"/>
  <c r="W1105" i="7"/>
  <c r="AG1107" i="7" l="1"/>
  <c r="AH1107" i="7" s="1"/>
  <c r="T1107" i="7" s="1"/>
  <c r="Z1105" i="7"/>
  <c r="W1106" i="7"/>
  <c r="AB1106" i="7"/>
  <c r="N1107" i="7"/>
  <c r="V1107" i="7"/>
  <c r="Q1108" i="7"/>
  <c r="S1108" i="7" s="1"/>
  <c r="AG1108" i="7" l="1"/>
  <c r="AH1108" i="7" s="1"/>
  <c r="T1108" i="7" s="1"/>
  <c r="W1107" i="7"/>
  <c r="AB1107" i="7"/>
  <c r="Z1106" i="7"/>
  <c r="Q1109" i="7"/>
  <c r="S1109" i="7" s="1"/>
  <c r="V1108" i="7"/>
  <c r="N1108" i="7"/>
  <c r="AG1109" i="7" l="1"/>
  <c r="AH1109" i="7" s="1"/>
  <c r="T1109" i="7" s="1"/>
  <c r="N1109" i="7"/>
  <c r="V1109" i="7"/>
  <c r="Q1110" i="7"/>
  <c r="S1110" i="7" s="1"/>
  <c r="W1108" i="7"/>
  <c r="AB1108" i="7"/>
  <c r="Z1107" i="7"/>
  <c r="AG1110" i="7" l="1"/>
  <c r="AH1110" i="7" s="1"/>
  <c r="T1110" i="7" s="1"/>
  <c r="Q1111" i="7"/>
  <c r="S1111" i="7" s="1"/>
  <c r="V1110" i="7"/>
  <c r="N1110" i="7"/>
  <c r="Z1108" i="7"/>
  <c r="W1109" i="7"/>
  <c r="AB1109" i="7"/>
  <c r="AG1111" i="7" l="1"/>
  <c r="AH1111" i="7" s="1"/>
  <c r="T1111" i="7" s="1"/>
  <c r="Z1109" i="7"/>
  <c r="AB1110" i="7"/>
  <c r="W1110" i="7"/>
  <c r="Q1112" i="7"/>
  <c r="S1112" i="7" s="1"/>
  <c r="N1111" i="7"/>
  <c r="V1111" i="7"/>
  <c r="AG1112" i="7" l="1"/>
  <c r="AH1112" i="7" s="1"/>
  <c r="T1112" i="7" s="1"/>
  <c r="Z1110" i="7"/>
  <c r="Q1113" i="7"/>
  <c r="S1113" i="7" s="1"/>
  <c r="V1112" i="7"/>
  <c r="N1112" i="7"/>
  <c r="W1111" i="7"/>
  <c r="AB1111" i="7"/>
  <c r="AG1113" i="7" l="1"/>
  <c r="AH1113" i="7" s="1"/>
  <c r="T1113" i="7" s="1"/>
  <c r="AB1112" i="7"/>
  <c r="W1112" i="7"/>
  <c r="N1113" i="7"/>
  <c r="V1113" i="7"/>
  <c r="Q1114" i="7"/>
  <c r="S1114" i="7" s="1"/>
  <c r="Z1111" i="7"/>
  <c r="AG1114" i="7" l="1"/>
  <c r="AH1114" i="7" s="1"/>
  <c r="T1114" i="7" s="1"/>
  <c r="AB1113" i="7"/>
  <c r="W1113" i="7"/>
  <c r="Q1115" i="7"/>
  <c r="S1115" i="7" s="1"/>
  <c r="V1114" i="7"/>
  <c r="N1114" i="7"/>
  <c r="Z1112" i="7"/>
  <c r="AG1115" i="7" l="1"/>
  <c r="AH1115" i="7" s="1"/>
  <c r="T1115" i="7" s="1"/>
  <c r="V1115" i="7"/>
  <c r="N1115" i="7"/>
  <c r="Q1116" i="7"/>
  <c r="S1116" i="7" s="1"/>
  <c r="Z1113" i="7"/>
  <c r="AB1114" i="7"/>
  <c r="W1114" i="7"/>
  <c r="AG1116" i="7" l="1"/>
  <c r="AH1116" i="7" s="1"/>
  <c r="T1116" i="7" s="1"/>
  <c r="Z1114" i="7"/>
  <c r="V1116" i="7"/>
  <c r="N1116" i="7"/>
  <c r="Q1117" i="7"/>
  <c r="S1117" i="7" s="1"/>
  <c r="W1115" i="7"/>
  <c r="AB1115" i="7"/>
  <c r="AG1117" i="7" l="1"/>
  <c r="AH1117" i="7" s="1"/>
  <c r="T1117" i="7" s="1"/>
  <c r="AB1116" i="7"/>
  <c r="W1116" i="7"/>
  <c r="N1117" i="7"/>
  <c r="Q1118" i="7"/>
  <c r="S1118" i="7" s="1"/>
  <c r="V1117" i="7"/>
  <c r="Z1115" i="7"/>
  <c r="AG1118" i="7" l="1"/>
  <c r="AH1118" i="7" s="1"/>
  <c r="T1118" i="7" s="1"/>
  <c r="V1118" i="7"/>
  <c r="Q1119" i="7"/>
  <c r="S1119" i="7" s="1"/>
  <c r="N1118" i="7"/>
  <c r="Z1116" i="7"/>
  <c r="W1117" i="7"/>
  <c r="AB1117" i="7"/>
  <c r="AG1119" i="7" l="1"/>
  <c r="AH1119" i="7" s="1"/>
  <c r="T1119" i="7" s="1"/>
  <c r="Z1117" i="7"/>
  <c r="N1119" i="7"/>
  <c r="Q1120" i="7"/>
  <c r="S1120" i="7" s="1"/>
  <c r="V1119" i="7"/>
  <c r="AB1118" i="7"/>
  <c r="W1118" i="7"/>
  <c r="AG1120" i="7" l="1"/>
  <c r="AH1120" i="7" s="1"/>
  <c r="T1120" i="7" s="1"/>
  <c r="Z1118" i="7"/>
  <c r="AB1119" i="7"/>
  <c r="W1119" i="7"/>
  <c r="N1120" i="7"/>
  <c r="V1120" i="7"/>
  <c r="Q1121" i="7"/>
  <c r="S1121" i="7" s="1"/>
  <c r="AG1121" i="7" l="1"/>
  <c r="AH1121" i="7" s="1"/>
  <c r="T1121" i="7" s="1"/>
  <c r="AB1120" i="7"/>
  <c r="W1120" i="7"/>
  <c r="Z1119" i="7"/>
  <c r="V1121" i="7"/>
  <c r="Q1122" i="7"/>
  <c r="S1122" i="7" s="1"/>
  <c r="N1121" i="7"/>
  <c r="AG1122" i="7" l="1"/>
  <c r="AH1122" i="7" s="1"/>
  <c r="T1122" i="7" s="1"/>
  <c r="V1122" i="7"/>
  <c r="N1122" i="7"/>
  <c r="Q1123" i="7"/>
  <c r="S1123" i="7" s="1"/>
  <c r="AB1121" i="7"/>
  <c r="W1121" i="7"/>
  <c r="Z1120" i="7"/>
  <c r="AG1123" i="7" l="1"/>
  <c r="AH1123" i="7" s="1"/>
  <c r="T1123" i="7" s="1"/>
  <c r="V1123" i="7"/>
  <c r="Q1124" i="7"/>
  <c r="S1124" i="7" s="1"/>
  <c r="N1123" i="7"/>
  <c r="Z1121" i="7"/>
  <c r="AB1122" i="7"/>
  <c r="W1122" i="7"/>
  <c r="AG1124" i="7" l="1"/>
  <c r="AH1124" i="7" s="1"/>
  <c r="T1124" i="7" s="1"/>
  <c r="Q1125" i="7"/>
  <c r="S1125" i="7" s="1"/>
  <c r="N1124" i="7"/>
  <c r="V1124" i="7"/>
  <c r="Z1122" i="7"/>
  <c r="W1123" i="7"/>
  <c r="AB1123" i="7"/>
  <c r="AG1125" i="7" l="1"/>
  <c r="AH1125" i="7" s="1"/>
  <c r="T1125" i="7" s="1"/>
  <c r="N1125" i="7"/>
  <c r="V1125" i="7"/>
  <c r="Q1126" i="7"/>
  <c r="S1126" i="7" s="1"/>
  <c r="AB1124" i="7"/>
  <c r="W1124" i="7"/>
  <c r="Z1123" i="7"/>
  <c r="AG1126" i="7" l="1"/>
  <c r="AH1126" i="7" s="1"/>
  <c r="T1126" i="7" s="1"/>
  <c r="Q1127" i="7"/>
  <c r="S1127" i="7" s="1"/>
  <c r="V1126" i="7"/>
  <c r="N1126" i="7"/>
  <c r="W1125" i="7"/>
  <c r="AB1125" i="7"/>
  <c r="Z1124" i="7"/>
  <c r="AG1127" i="7" l="1"/>
  <c r="AH1127" i="7" s="1"/>
  <c r="T1127" i="7" s="1"/>
  <c r="Z1125" i="7"/>
  <c r="W1126" i="7"/>
  <c r="AB1126" i="7"/>
  <c r="V1127" i="7"/>
  <c r="N1127" i="7"/>
  <c r="Q1128" i="7"/>
  <c r="S1128" i="7" s="1"/>
  <c r="AG1128" i="7" l="1"/>
  <c r="AH1128" i="7" s="1"/>
  <c r="T1128" i="7" s="1"/>
  <c r="AB1127" i="7"/>
  <c r="W1127" i="7"/>
  <c r="Z1126" i="7"/>
  <c r="V1128" i="7"/>
  <c r="N1128" i="7"/>
  <c r="Q1129" i="7"/>
  <c r="S1129" i="7" s="1"/>
  <c r="AG1129" i="7" l="1"/>
  <c r="AH1129" i="7" s="1"/>
  <c r="T1129" i="7" s="1"/>
  <c r="N1129" i="7"/>
  <c r="V1129" i="7"/>
  <c r="Q1130" i="7"/>
  <c r="S1130" i="7" s="1"/>
  <c r="W1128" i="7"/>
  <c r="AB1128" i="7"/>
  <c r="Z1127" i="7"/>
  <c r="AG1130" i="7" l="1"/>
  <c r="AH1130" i="7" s="1"/>
  <c r="T1130" i="7" s="1"/>
  <c r="Z1128" i="7"/>
  <c r="Q1131" i="7"/>
  <c r="S1131" i="7" s="1"/>
  <c r="N1130" i="7"/>
  <c r="V1130" i="7"/>
  <c r="W1129" i="7"/>
  <c r="AB1129" i="7"/>
  <c r="AG1131" i="7" l="1"/>
  <c r="AH1131" i="7" s="1"/>
  <c r="T1131" i="7" s="1"/>
  <c r="Z1129" i="7"/>
  <c r="AB1130" i="7"/>
  <c r="W1130" i="7"/>
  <c r="V1131" i="7"/>
  <c r="Q1132" i="7"/>
  <c r="S1132" i="7" s="1"/>
  <c r="N1131" i="7"/>
  <c r="AG1132" i="7" l="1"/>
  <c r="AH1132" i="7" s="1"/>
  <c r="T1132" i="7" s="1"/>
  <c r="Z1130" i="7"/>
  <c r="AB1131" i="7"/>
  <c r="W1131" i="7"/>
  <c r="V1132" i="7"/>
  <c r="Q1133" i="7"/>
  <c r="S1133" i="7" s="1"/>
  <c r="N1132" i="7"/>
  <c r="AG1133" i="7" l="1"/>
  <c r="AH1133" i="7" s="1"/>
  <c r="T1133" i="7" s="1"/>
  <c r="AB1132" i="7"/>
  <c r="W1132" i="7"/>
  <c r="Z1131" i="7"/>
  <c r="N1133" i="7"/>
  <c r="Q1134" i="7"/>
  <c r="S1134" i="7" s="1"/>
  <c r="V1133" i="7"/>
  <c r="AG1134" i="7" l="1"/>
  <c r="AH1134" i="7" s="1"/>
  <c r="T1134" i="7" s="1"/>
  <c r="W1133" i="7"/>
  <c r="AB1133" i="7"/>
  <c r="N1134" i="7"/>
  <c r="V1134" i="7"/>
  <c r="Q1135" i="7"/>
  <c r="S1135" i="7" s="1"/>
  <c r="Z1132" i="7"/>
  <c r="AG1135" i="7" l="1"/>
  <c r="AH1135" i="7" s="1"/>
  <c r="T1135" i="7" s="1"/>
  <c r="V1135" i="7"/>
  <c r="Q1136" i="7"/>
  <c r="S1136" i="7" s="1"/>
  <c r="N1135" i="7"/>
  <c r="W1134" i="7"/>
  <c r="AB1134" i="7"/>
  <c r="Z1133" i="7"/>
  <c r="AG1136" i="7" l="1"/>
  <c r="AH1136" i="7" s="1"/>
  <c r="T1136" i="7" s="1"/>
  <c r="Z1134" i="7"/>
  <c r="Q1137" i="7"/>
  <c r="S1137" i="7" s="1"/>
  <c r="V1136" i="7"/>
  <c r="N1136" i="7"/>
  <c r="W1135" i="7"/>
  <c r="AB1135" i="7"/>
  <c r="AG1137" i="7" l="1"/>
  <c r="AH1137" i="7" s="1"/>
  <c r="T1137" i="7" s="1"/>
  <c r="AB1136" i="7"/>
  <c r="W1136" i="7"/>
  <c r="N1137" i="7"/>
  <c r="Q1138" i="7"/>
  <c r="S1138" i="7" s="1"/>
  <c r="V1137" i="7"/>
  <c r="Z1135" i="7"/>
  <c r="AG1138" i="7" l="1"/>
  <c r="AH1138" i="7" s="1"/>
  <c r="T1138" i="7" s="1"/>
  <c r="W1137" i="7"/>
  <c r="AB1137" i="7"/>
  <c r="V1138" i="7"/>
  <c r="Q1139" i="7"/>
  <c r="S1139" i="7" s="1"/>
  <c r="N1138" i="7"/>
  <c r="Z1136" i="7"/>
  <c r="AG1139" i="7" l="1"/>
  <c r="AH1139" i="7" s="1"/>
  <c r="T1139" i="7" s="1"/>
  <c r="W1138" i="7"/>
  <c r="AB1138" i="7"/>
  <c r="V1139" i="7"/>
  <c r="N1139" i="7"/>
  <c r="Q1140" i="7"/>
  <c r="S1140" i="7" s="1"/>
  <c r="Z1137" i="7"/>
  <c r="AG1140" i="7" l="1"/>
  <c r="AH1140" i="7" s="1"/>
  <c r="T1140" i="7" s="1"/>
  <c r="W1139" i="7"/>
  <c r="AB1139" i="7"/>
  <c r="Z1138" i="7"/>
  <c r="N1140" i="7"/>
  <c r="V1140" i="7"/>
  <c r="Q1141" i="7"/>
  <c r="S1141" i="7" s="1"/>
  <c r="AG1141" i="7" l="1"/>
  <c r="AH1141" i="7" s="1"/>
  <c r="T1141" i="7" s="1"/>
  <c r="AB1140" i="7"/>
  <c r="W1140" i="7"/>
  <c r="Z1139" i="7"/>
  <c r="V1141" i="7"/>
  <c r="N1141" i="7"/>
  <c r="Q1142" i="7"/>
  <c r="S1142" i="7" s="1"/>
  <c r="AG1142" i="7" l="1"/>
  <c r="AH1142" i="7" s="1"/>
  <c r="T1142" i="7" s="1"/>
  <c r="V1142" i="7"/>
  <c r="N1142" i="7"/>
  <c r="Q1143" i="7"/>
  <c r="S1143" i="7" s="1"/>
  <c r="W1141" i="7"/>
  <c r="AB1141" i="7"/>
  <c r="Z1140" i="7"/>
  <c r="AG1143" i="7" l="1"/>
  <c r="AH1143" i="7" s="1"/>
  <c r="T1143" i="7" s="1"/>
  <c r="Z1141" i="7"/>
  <c r="AB1142" i="7"/>
  <c r="W1142" i="7"/>
  <c r="V1143" i="7"/>
  <c r="Q1144" i="7"/>
  <c r="S1144" i="7" s="1"/>
  <c r="N1143" i="7"/>
  <c r="AG1144" i="7" l="1"/>
  <c r="AH1144" i="7" s="1"/>
  <c r="T1144" i="7" s="1"/>
  <c r="AB1143" i="7"/>
  <c r="W1143" i="7"/>
  <c r="Z1142" i="7"/>
  <c r="Q1145" i="7"/>
  <c r="S1145" i="7" s="1"/>
  <c r="V1144" i="7"/>
  <c r="N1144" i="7"/>
  <c r="AG1145" i="7" l="1"/>
  <c r="AH1145" i="7" s="1"/>
  <c r="T1145" i="7" s="1"/>
  <c r="W1144" i="7"/>
  <c r="AB1144" i="7"/>
  <c r="N1145" i="7"/>
  <c r="Q1146" i="7"/>
  <c r="S1146" i="7" s="1"/>
  <c r="V1145" i="7"/>
  <c r="Z1143" i="7"/>
  <c r="AG1146" i="7" l="1"/>
  <c r="AH1146" i="7" s="1"/>
  <c r="T1146" i="7" s="1"/>
  <c r="W1145" i="7"/>
  <c r="AB1145" i="7"/>
  <c r="Z1144" i="7"/>
  <c r="Q1147" i="7"/>
  <c r="S1147" i="7" s="1"/>
  <c r="N1146" i="7"/>
  <c r="V1146" i="7"/>
  <c r="AG1147" i="7" l="1"/>
  <c r="AH1147" i="7" s="1"/>
  <c r="T1147" i="7" s="1"/>
  <c r="Q1148" i="7"/>
  <c r="S1148" i="7" s="1"/>
  <c r="V1147" i="7"/>
  <c r="N1147" i="7"/>
  <c r="Z1145" i="7"/>
  <c r="W1146" i="7"/>
  <c r="AB1146" i="7"/>
  <c r="AG1148" i="7" l="1"/>
  <c r="AH1148" i="7" s="1"/>
  <c r="T1148" i="7" s="1"/>
  <c r="W1147" i="7"/>
  <c r="AB1147" i="7"/>
  <c r="Z1146" i="7"/>
  <c r="V1148" i="7"/>
  <c r="N1148" i="7"/>
  <c r="Q1149" i="7"/>
  <c r="S1149" i="7" s="1"/>
  <c r="AG1149" i="7" l="1"/>
  <c r="AH1149" i="7" s="1"/>
  <c r="T1149" i="7" s="1"/>
  <c r="Z1147" i="7"/>
  <c r="AB1148" i="7"/>
  <c r="W1148" i="7"/>
  <c r="V1149" i="7"/>
  <c r="Q1150" i="7"/>
  <c r="S1150" i="7" s="1"/>
  <c r="N1149" i="7"/>
  <c r="AG1150" i="7" l="1"/>
  <c r="AH1150" i="7" s="1"/>
  <c r="T1150" i="7" s="1"/>
  <c r="AB1149" i="7"/>
  <c r="W1149" i="7"/>
  <c r="Z1148" i="7"/>
  <c r="V1150" i="7"/>
  <c r="Q1151" i="7"/>
  <c r="S1151" i="7" s="1"/>
  <c r="N1150" i="7"/>
  <c r="AG1151" i="7" l="1"/>
  <c r="AH1151" i="7" s="1"/>
  <c r="T1151" i="7" s="1"/>
  <c r="V1151" i="7"/>
  <c r="N1151" i="7"/>
  <c r="Q1152" i="7"/>
  <c r="S1152" i="7" s="1"/>
  <c r="AB1150" i="7"/>
  <c r="W1150" i="7"/>
  <c r="Z1149" i="7"/>
  <c r="AG1152" i="7" l="1"/>
  <c r="AH1152" i="7" s="1"/>
  <c r="T1152" i="7" s="1"/>
  <c r="V1152" i="7"/>
  <c r="N1152" i="7"/>
  <c r="Q1153" i="7"/>
  <c r="S1153" i="7" s="1"/>
  <c r="Z1150" i="7"/>
  <c r="AB1151" i="7"/>
  <c r="W1151" i="7"/>
  <c r="AG1153" i="7" l="1"/>
  <c r="AH1153" i="7" s="1"/>
  <c r="T1153" i="7" s="1"/>
  <c r="Z1151" i="7"/>
  <c r="Q1154" i="7"/>
  <c r="S1154" i="7" s="1"/>
  <c r="V1153" i="7"/>
  <c r="N1153" i="7"/>
  <c r="AB1152" i="7"/>
  <c r="W1152" i="7"/>
  <c r="AG1154" i="7" l="1"/>
  <c r="AH1154" i="7" s="1"/>
  <c r="T1154" i="7" s="1"/>
  <c r="Z1152" i="7"/>
  <c r="N1154" i="7"/>
  <c r="V1154" i="7"/>
  <c r="Q1155" i="7"/>
  <c r="S1155" i="7" s="1"/>
  <c r="W1153" i="7"/>
  <c r="AB1153" i="7"/>
  <c r="AG1155" i="7" l="1"/>
  <c r="AH1155" i="7" s="1"/>
  <c r="T1155" i="7" s="1"/>
  <c r="AB1154" i="7"/>
  <c r="W1154" i="7"/>
  <c r="Q1156" i="7"/>
  <c r="S1156" i="7" s="1"/>
  <c r="N1155" i="7"/>
  <c r="V1155" i="7"/>
  <c r="Z1153" i="7"/>
  <c r="AG1156" i="7" l="1"/>
  <c r="AH1156" i="7" s="1"/>
  <c r="T1156" i="7" s="1"/>
  <c r="AB1155" i="7"/>
  <c r="W1155" i="7"/>
  <c r="V1156" i="7"/>
  <c r="N1156" i="7"/>
  <c r="Q1157" i="7"/>
  <c r="S1157" i="7" s="1"/>
  <c r="Z1154" i="7"/>
  <c r="AG1157" i="7" l="1"/>
  <c r="AH1157" i="7" s="1"/>
  <c r="T1157" i="7" s="1"/>
  <c r="W1156" i="7"/>
  <c r="AB1156" i="7"/>
  <c r="N1157" i="7"/>
  <c r="V1157" i="7"/>
  <c r="Q1158" i="7"/>
  <c r="S1158" i="7" s="1"/>
  <c r="Z1155" i="7"/>
  <c r="AG1158" i="7" l="1"/>
  <c r="AH1158" i="7" s="1"/>
  <c r="T1158" i="7" s="1"/>
  <c r="W1157" i="7"/>
  <c r="AB1157" i="7"/>
  <c r="Z1156" i="7"/>
  <c r="N1158" i="7"/>
  <c r="V1158" i="7"/>
  <c r="Q1159" i="7"/>
  <c r="S1159" i="7" s="1"/>
  <c r="AG1159" i="7" l="1"/>
  <c r="AH1159" i="7" s="1"/>
  <c r="T1159" i="7" s="1"/>
  <c r="W1158" i="7"/>
  <c r="AB1158" i="7"/>
  <c r="Q1160" i="7"/>
  <c r="S1160" i="7" s="1"/>
  <c r="N1159" i="7"/>
  <c r="V1159" i="7"/>
  <c r="Z1157" i="7"/>
  <c r="AG1160" i="7" l="1"/>
  <c r="AH1160" i="7" s="1"/>
  <c r="T1160" i="7" s="1"/>
  <c r="Z1158" i="7"/>
  <c r="W1159" i="7"/>
  <c r="AB1159" i="7"/>
  <c r="V1160" i="7"/>
  <c r="N1160" i="7"/>
  <c r="Q1161" i="7"/>
  <c r="S1161" i="7" s="1"/>
  <c r="AG1161" i="7" l="1"/>
  <c r="AH1161" i="7" s="1"/>
  <c r="T1161" i="7" s="1"/>
  <c r="Z1159" i="7"/>
  <c r="N1161" i="7"/>
  <c r="V1161" i="7"/>
  <c r="Q1162" i="7"/>
  <c r="S1162" i="7" s="1"/>
  <c r="AB1160" i="7"/>
  <c r="W1160" i="7"/>
  <c r="AG1162" i="7" l="1"/>
  <c r="AH1162" i="7" s="1"/>
  <c r="T1162" i="7" s="1"/>
  <c r="Z1160" i="7"/>
  <c r="V1162" i="7"/>
  <c r="Q1163" i="7"/>
  <c r="S1163" i="7" s="1"/>
  <c r="N1162" i="7"/>
  <c r="AB1161" i="7"/>
  <c r="W1161" i="7"/>
  <c r="AG1163" i="7" l="1"/>
  <c r="AH1163" i="7" s="1"/>
  <c r="T1163" i="7" s="1"/>
  <c r="W1162" i="7"/>
  <c r="AB1162" i="7"/>
  <c r="Z1161" i="7"/>
  <c r="Q1164" i="7"/>
  <c r="S1164" i="7" s="1"/>
  <c r="N1163" i="7"/>
  <c r="V1163" i="7"/>
  <c r="AG1164" i="7" l="1"/>
  <c r="AH1164" i="7" s="1"/>
  <c r="T1164" i="7" s="1"/>
  <c r="Z1162" i="7"/>
  <c r="AB1163" i="7"/>
  <c r="W1163" i="7"/>
  <c r="N1164" i="7"/>
  <c r="Q1165" i="7"/>
  <c r="S1165" i="7" s="1"/>
  <c r="V1164" i="7"/>
  <c r="AG1165" i="7" l="1"/>
  <c r="AH1165" i="7" s="1"/>
  <c r="T1165" i="7" s="1"/>
  <c r="W1164" i="7"/>
  <c r="AB1164" i="7"/>
  <c r="Z1163" i="7"/>
  <c r="N1165" i="7"/>
  <c r="V1165" i="7"/>
  <c r="Q1166" i="7"/>
  <c r="S1166" i="7" s="1"/>
  <c r="AG1166" i="7" l="1"/>
  <c r="AH1166" i="7" s="1"/>
  <c r="T1166" i="7" s="1"/>
  <c r="Z1164" i="7"/>
  <c r="AB1165" i="7"/>
  <c r="W1165" i="7"/>
  <c r="N1166" i="7"/>
  <c r="Q1167" i="7"/>
  <c r="S1167" i="7" s="1"/>
  <c r="V1166" i="7"/>
  <c r="AG1167" i="7" l="1"/>
  <c r="AH1167" i="7" s="1"/>
  <c r="T1167" i="7" s="1"/>
  <c r="Q1168" i="7"/>
  <c r="S1168" i="7" s="1"/>
  <c r="N1167" i="7"/>
  <c r="V1167" i="7"/>
  <c r="Z1165" i="7"/>
  <c r="AB1166" i="7"/>
  <c r="W1166" i="7"/>
  <c r="AG1168" i="7" l="1"/>
  <c r="AH1168" i="7" s="1"/>
  <c r="T1168" i="7" s="1"/>
  <c r="W1167" i="7"/>
  <c r="AB1167" i="7"/>
  <c r="Z1166" i="7"/>
  <c r="Q1169" i="7"/>
  <c r="S1169" i="7" s="1"/>
  <c r="N1168" i="7"/>
  <c r="V1168" i="7"/>
  <c r="AG1169" i="7" l="1"/>
  <c r="AH1169" i="7" s="1"/>
  <c r="T1169" i="7" s="1"/>
  <c r="Q1170" i="7"/>
  <c r="S1170" i="7" s="1"/>
  <c r="V1169" i="7"/>
  <c r="N1169" i="7"/>
  <c r="Z1167" i="7"/>
  <c r="W1168" i="7"/>
  <c r="AB1168" i="7"/>
  <c r="AG1170" i="7" l="1"/>
  <c r="AH1170" i="7" s="1"/>
  <c r="T1170" i="7" s="1"/>
  <c r="Z1168" i="7"/>
  <c r="AB1169" i="7"/>
  <c r="W1169" i="7"/>
  <c r="Q1171" i="7"/>
  <c r="S1171" i="7" s="1"/>
  <c r="N1170" i="7"/>
  <c r="V1170" i="7"/>
  <c r="AG1171" i="7" l="1"/>
  <c r="AH1171" i="7" s="1"/>
  <c r="T1171" i="7" s="1"/>
  <c r="V1171" i="7"/>
  <c r="N1171" i="7"/>
  <c r="Q1172" i="7"/>
  <c r="S1172" i="7" s="1"/>
  <c r="Z1169" i="7"/>
  <c r="AB1170" i="7"/>
  <c r="W1170" i="7"/>
  <c r="AG1172" i="7" l="1"/>
  <c r="AH1172" i="7" s="1"/>
  <c r="T1172" i="7" s="1"/>
  <c r="Q1173" i="7"/>
  <c r="S1173" i="7" s="1"/>
  <c r="V1172" i="7"/>
  <c r="N1172" i="7"/>
  <c r="Z1170" i="7"/>
  <c r="AB1171" i="7"/>
  <c r="W1171" i="7"/>
  <c r="AG1173" i="7" l="1"/>
  <c r="AH1173" i="7" s="1"/>
  <c r="T1173" i="7" s="1"/>
  <c r="N1173" i="7"/>
  <c r="Q1174" i="7"/>
  <c r="S1174" i="7" s="1"/>
  <c r="V1173" i="7"/>
  <c r="Z1171" i="7"/>
  <c r="AB1172" i="7"/>
  <c r="W1172" i="7"/>
  <c r="AG1174" i="7" l="1"/>
  <c r="AH1174" i="7" s="1"/>
  <c r="T1174" i="7" s="1"/>
  <c r="Z1172" i="7"/>
  <c r="AB1173" i="7"/>
  <c r="W1173" i="7"/>
  <c r="V1174" i="7"/>
  <c r="N1174" i="7"/>
  <c r="Q1175" i="7"/>
  <c r="S1175" i="7" s="1"/>
  <c r="AG1175" i="7" l="1"/>
  <c r="AH1175" i="7" s="1"/>
  <c r="T1175" i="7" s="1"/>
  <c r="V1175" i="7"/>
  <c r="N1175" i="7"/>
  <c r="Q1176" i="7"/>
  <c r="S1176" i="7" s="1"/>
  <c r="AB1174" i="7"/>
  <c r="W1174" i="7"/>
  <c r="Z1173" i="7"/>
  <c r="AG1176" i="7" l="1"/>
  <c r="AH1176" i="7" s="1"/>
  <c r="T1176" i="7" s="1"/>
  <c r="Q1177" i="7"/>
  <c r="S1177" i="7" s="1"/>
  <c r="V1176" i="7"/>
  <c r="N1176" i="7"/>
  <c r="Z1174" i="7"/>
  <c r="AB1175" i="7"/>
  <c r="W1175" i="7"/>
  <c r="AG1177" i="7" l="1"/>
  <c r="AH1177" i="7" s="1"/>
  <c r="T1177" i="7" s="1"/>
  <c r="AB1176" i="7"/>
  <c r="W1176" i="7"/>
  <c r="N1177" i="7"/>
  <c r="Q1178" i="7"/>
  <c r="S1178" i="7" s="1"/>
  <c r="V1177" i="7"/>
  <c r="Z1175" i="7"/>
  <c r="AG1178" i="7" l="1"/>
  <c r="AH1178" i="7" s="1"/>
  <c r="T1178" i="7" s="1"/>
  <c r="W1177" i="7"/>
  <c r="AB1177" i="7"/>
  <c r="V1178" i="7"/>
  <c r="Q1179" i="7"/>
  <c r="S1179" i="7" s="1"/>
  <c r="N1178" i="7"/>
  <c r="Z1176" i="7"/>
  <c r="AG1179" i="7" l="1"/>
  <c r="AH1179" i="7" s="1"/>
  <c r="T1179" i="7" s="1"/>
  <c r="Q1180" i="7"/>
  <c r="S1180" i="7" s="1"/>
  <c r="N1179" i="7"/>
  <c r="V1179" i="7"/>
  <c r="AB1178" i="7"/>
  <c r="W1178" i="7"/>
  <c r="Z1177" i="7"/>
  <c r="AG1180" i="7" l="1"/>
  <c r="AH1180" i="7" s="1"/>
  <c r="T1180" i="7" s="1"/>
  <c r="AB1179" i="7"/>
  <c r="W1179" i="7"/>
  <c r="Z1178" i="7"/>
  <c r="V1180" i="7"/>
  <c r="Q1181" i="7"/>
  <c r="S1181" i="7" s="1"/>
  <c r="N1180" i="7"/>
  <c r="AG1181" i="7" l="1"/>
  <c r="AH1181" i="7" s="1"/>
  <c r="T1181" i="7" s="1"/>
  <c r="N1181" i="7"/>
  <c r="Q1182" i="7"/>
  <c r="S1182" i="7" s="1"/>
  <c r="V1181" i="7"/>
  <c r="AB1180" i="7"/>
  <c r="W1180" i="7"/>
  <c r="Z1179" i="7"/>
  <c r="AG1182" i="7" l="1"/>
  <c r="AH1182" i="7" s="1"/>
  <c r="T1182" i="7" s="1"/>
  <c r="AB1181" i="7"/>
  <c r="W1181" i="7"/>
  <c r="Z1180" i="7"/>
  <c r="Q1183" i="7"/>
  <c r="S1183" i="7" s="1"/>
  <c r="V1182" i="7"/>
  <c r="N1182" i="7"/>
  <c r="AG1183" i="7" l="1"/>
  <c r="AH1183" i="7" s="1"/>
  <c r="T1183" i="7" s="1"/>
  <c r="W1182" i="7"/>
  <c r="AB1182" i="7"/>
  <c r="N1183" i="7"/>
  <c r="V1183" i="7"/>
  <c r="Q1184" i="7"/>
  <c r="S1184" i="7" s="1"/>
  <c r="Z1181" i="7"/>
  <c r="AG1184" i="7" l="1"/>
  <c r="AH1184" i="7" s="1"/>
  <c r="T1184" i="7" s="1"/>
  <c r="W1183" i="7"/>
  <c r="AB1183" i="7"/>
  <c r="N1184" i="7"/>
  <c r="Q1185" i="7"/>
  <c r="S1185" i="7" s="1"/>
  <c r="V1184" i="7"/>
  <c r="Z1182" i="7"/>
  <c r="AG1185" i="7" l="1"/>
  <c r="AH1185" i="7" s="1"/>
  <c r="T1185" i="7" s="1"/>
  <c r="W1184" i="7"/>
  <c r="AB1184" i="7"/>
  <c r="N1185" i="7"/>
  <c r="Q1186" i="7"/>
  <c r="S1186" i="7" s="1"/>
  <c r="V1185" i="7"/>
  <c r="Z1183" i="7"/>
  <c r="AG1186" i="7" l="1"/>
  <c r="AH1186" i="7" s="1"/>
  <c r="T1186" i="7" s="1"/>
  <c r="AB1185" i="7"/>
  <c r="W1185" i="7"/>
  <c r="N1186" i="7"/>
  <c r="V1186" i="7"/>
  <c r="Q1187" i="7"/>
  <c r="S1187" i="7" s="1"/>
  <c r="Z1184" i="7"/>
  <c r="AG1187" i="7" l="1"/>
  <c r="AH1187" i="7" s="1"/>
  <c r="T1187" i="7" s="1"/>
  <c r="Q1188" i="7"/>
  <c r="S1188" i="7" s="1"/>
  <c r="N1187" i="7"/>
  <c r="V1187" i="7"/>
  <c r="AB1186" i="7"/>
  <c r="W1186" i="7"/>
  <c r="Z1185" i="7"/>
  <c r="AG1188" i="7" l="1"/>
  <c r="AH1188" i="7" s="1"/>
  <c r="T1188" i="7" s="1"/>
  <c r="AB1187" i="7"/>
  <c r="W1187" i="7"/>
  <c r="Z1186" i="7"/>
  <c r="N1188" i="7"/>
  <c r="V1188" i="7"/>
  <c r="Q1189" i="7"/>
  <c r="S1189" i="7" s="1"/>
  <c r="AG1189" i="7" l="1"/>
  <c r="AH1189" i="7" s="1"/>
  <c r="T1189" i="7" s="1"/>
  <c r="W1188" i="7"/>
  <c r="AB1188" i="7"/>
  <c r="N1189" i="7"/>
  <c r="Q1190" i="7"/>
  <c r="S1190" i="7" s="1"/>
  <c r="V1189" i="7"/>
  <c r="Z1187" i="7"/>
  <c r="AG1190" i="7" l="1"/>
  <c r="AH1190" i="7" s="1"/>
  <c r="T1190" i="7" s="1"/>
  <c r="N1190" i="7"/>
  <c r="V1190" i="7"/>
  <c r="Q1191" i="7"/>
  <c r="S1191" i="7" s="1"/>
  <c r="W1189" i="7"/>
  <c r="AB1189" i="7"/>
  <c r="Z1188" i="7"/>
  <c r="AG1191" i="7" l="1"/>
  <c r="AH1191" i="7" s="1"/>
  <c r="T1191" i="7" s="1"/>
  <c r="Q1192" i="7"/>
  <c r="S1192" i="7" s="1"/>
  <c r="V1191" i="7"/>
  <c r="N1191" i="7"/>
  <c r="Z1189" i="7"/>
  <c r="AB1190" i="7"/>
  <c r="W1190" i="7"/>
  <c r="AG1192" i="7" l="1"/>
  <c r="AH1192" i="7" s="1"/>
  <c r="T1192" i="7" s="1"/>
  <c r="Z1190" i="7"/>
  <c r="AB1191" i="7"/>
  <c r="W1191" i="7"/>
  <c r="N1192" i="7"/>
  <c r="Q1193" i="7"/>
  <c r="S1193" i="7" s="1"/>
  <c r="V1192" i="7"/>
  <c r="AG1193" i="7" l="1"/>
  <c r="AH1193" i="7" s="1"/>
  <c r="T1193" i="7" s="1"/>
  <c r="N1193" i="7"/>
  <c r="V1193" i="7"/>
  <c r="Q1194" i="7"/>
  <c r="S1194" i="7" s="1"/>
  <c r="Z1191" i="7"/>
  <c r="W1192" i="7"/>
  <c r="AB1192" i="7"/>
  <c r="AG1194" i="7" l="1"/>
  <c r="AH1194" i="7" s="1"/>
  <c r="T1194" i="7" s="1"/>
  <c r="Z1192" i="7"/>
  <c r="N1194" i="7"/>
  <c r="Q1195" i="7"/>
  <c r="S1195" i="7" s="1"/>
  <c r="V1194" i="7"/>
  <c r="W1193" i="7"/>
  <c r="AB1193" i="7"/>
  <c r="AG1195" i="7" l="1"/>
  <c r="AH1195" i="7" s="1"/>
  <c r="T1195" i="7" s="1"/>
  <c r="W1194" i="7"/>
  <c r="AB1194" i="7"/>
  <c r="V1195" i="7"/>
  <c r="N1195" i="7"/>
  <c r="Q1196" i="7"/>
  <c r="S1196" i="7" s="1"/>
  <c r="Z1193" i="7"/>
  <c r="AG1196" i="7" l="1"/>
  <c r="AH1196" i="7" s="1"/>
  <c r="T1196" i="7" s="1"/>
  <c r="W1195" i="7"/>
  <c r="AB1195" i="7"/>
  <c r="Z1194" i="7"/>
  <c r="N1196" i="7"/>
  <c r="Q1197" i="7"/>
  <c r="S1197" i="7" s="1"/>
  <c r="V1196" i="7"/>
  <c r="AG1197" i="7" l="1"/>
  <c r="AH1197" i="7" s="1"/>
  <c r="T1197" i="7" s="1"/>
  <c r="Q1198" i="7"/>
  <c r="S1198" i="7" s="1"/>
  <c r="V1197" i="7"/>
  <c r="N1197" i="7"/>
  <c r="Z1195" i="7"/>
  <c r="AB1196" i="7"/>
  <c r="W1196" i="7"/>
  <c r="AG1198" i="7" l="1"/>
  <c r="AH1198" i="7" s="1"/>
  <c r="T1198" i="7" s="1"/>
  <c r="Z1196" i="7"/>
  <c r="AB1197" i="7"/>
  <c r="W1197" i="7"/>
  <c r="Q1199" i="7"/>
  <c r="S1199" i="7" s="1"/>
  <c r="V1198" i="7"/>
  <c r="N1198" i="7"/>
  <c r="AG1199" i="7" l="1"/>
  <c r="AH1199" i="7" s="1"/>
  <c r="T1199" i="7" s="1"/>
  <c r="N1199" i="7"/>
  <c r="V1199" i="7"/>
  <c r="Q1200" i="7"/>
  <c r="S1200" i="7" s="1"/>
  <c r="Z1197" i="7"/>
  <c r="W1198" i="7"/>
  <c r="AB1198" i="7"/>
  <c r="AG1200" i="7" l="1"/>
  <c r="AH1200" i="7" s="1"/>
  <c r="T1200" i="7" s="1"/>
  <c r="V1200" i="7"/>
  <c r="N1200" i="7"/>
  <c r="Q1201" i="7"/>
  <c r="S1201" i="7" s="1"/>
  <c r="W1199" i="7"/>
  <c r="AB1199" i="7"/>
  <c r="Z1198" i="7"/>
  <c r="AG1201" i="7" l="1"/>
  <c r="AH1201" i="7" s="1"/>
  <c r="T1201" i="7" s="1"/>
  <c r="Q1202" i="7"/>
  <c r="S1202" i="7" s="1"/>
  <c r="N1201" i="7"/>
  <c r="V1201" i="7"/>
  <c r="Z1199" i="7"/>
  <c r="W1200" i="7"/>
  <c r="AB1200" i="7"/>
  <c r="AG1202" i="7" l="1"/>
  <c r="AH1202" i="7" s="1"/>
  <c r="T1202" i="7" s="1"/>
  <c r="AB1201" i="7"/>
  <c r="W1201" i="7"/>
  <c r="Z1200" i="7"/>
  <c r="N1202" i="7"/>
  <c r="V1202" i="7"/>
  <c r="Q1203" i="7"/>
  <c r="S1203" i="7" s="1"/>
  <c r="AG1203" i="7" l="1"/>
  <c r="AH1203" i="7" s="1"/>
  <c r="T1203" i="7" s="1"/>
  <c r="AB1202" i="7"/>
  <c r="W1202" i="7"/>
  <c r="Z1201" i="7"/>
  <c r="N1203" i="7"/>
  <c r="V1203" i="7"/>
  <c r="Q1204" i="7"/>
  <c r="S1204" i="7" s="1"/>
  <c r="AG1204" i="7" l="1"/>
  <c r="AH1204" i="7" s="1"/>
  <c r="T1204" i="7" s="1"/>
  <c r="W1203" i="7"/>
  <c r="AB1203" i="7"/>
  <c r="V1204" i="7"/>
  <c r="N1204" i="7"/>
  <c r="Q1205" i="7"/>
  <c r="S1205" i="7" s="1"/>
  <c r="Z1202" i="7"/>
  <c r="AG1205" i="7" l="1"/>
  <c r="AH1205" i="7" s="1"/>
  <c r="T1205" i="7" s="1"/>
  <c r="Q1206" i="7"/>
  <c r="S1206" i="7" s="1"/>
  <c r="V1205" i="7"/>
  <c r="N1205" i="7"/>
  <c r="W1204" i="7"/>
  <c r="AB1204" i="7"/>
  <c r="Z1203" i="7"/>
  <c r="AG1206" i="7" l="1"/>
  <c r="AH1206" i="7" s="1"/>
  <c r="T1206" i="7" s="1"/>
  <c r="W1205" i="7"/>
  <c r="AB1205" i="7"/>
  <c r="Z1204" i="7"/>
  <c r="V1206" i="7"/>
  <c r="Q1207" i="7"/>
  <c r="S1207" i="7" s="1"/>
  <c r="N1206" i="7"/>
  <c r="AG1207" i="7" l="1"/>
  <c r="AH1207" i="7" s="1"/>
  <c r="T1207" i="7" s="1"/>
  <c r="Q1208" i="7"/>
  <c r="S1208" i="7" s="1"/>
  <c r="V1207" i="7"/>
  <c r="N1207" i="7"/>
  <c r="W1206" i="7"/>
  <c r="AB1206" i="7"/>
  <c r="Z1205" i="7"/>
  <c r="AG1208" i="7" l="1"/>
  <c r="AH1208" i="7" s="1"/>
  <c r="T1208" i="7" s="1"/>
  <c r="Z1206" i="7"/>
  <c r="AB1207" i="7"/>
  <c r="W1207" i="7"/>
  <c r="N1208" i="7"/>
  <c r="V1208" i="7"/>
  <c r="Q1209" i="7"/>
  <c r="S1209" i="7" s="1"/>
  <c r="AG1209" i="7" l="1"/>
  <c r="AH1209" i="7" s="1"/>
  <c r="T1209" i="7" s="1"/>
  <c r="Z1207" i="7"/>
  <c r="AB1208" i="7"/>
  <c r="W1208" i="7"/>
  <c r="N1209" i="7"/>
  <c r="V1209" i="7"/>
  <c r="Q1210" i="7"/>
  <c r="S1210" i="7" s="1"/>
  <c r="AG1210" i="7" l="1"/>
  <c r="AH1210" i="7" s="1"/>
  <c r="T1210" i="7" s="1"/>
  <c r="W1209" i="7"/>
  <c r="AB1209" i="7"/>
  <c r="Z1208" i="7"/>
  <c r="N1210" i="7"/>
  <c r="Q1211" i="7"/>
  <c r="S1211" i="7" s="1"/>
  <c r="V1210" i="7"/>
  <c r="AG1211" i="7" l="1"/>
  <c r="AH1211" i="7" s="1"/>
  <c r="T1211" i="7" s="1"/>
  <c r="Z1209" i="7"/>
  <c r="N1211" i="7"/>
  <c r="Q1212" i="7"/>
  <c r="S1212" i="7" s="1"/>
  <c r="V1211" i="7"/>
  <c r="AB1210" i="7"/>
  <c r="W1210" i="7"/>
  <c r="AG1212" i="7" l="1"/>
  <c r="AH1212" i="7" s="1"/>
  <c r="T1212" i="7" s="1"/>
  <c r="Z1210" i="7"/>
  <c r="Q1213" i="7"/>
  <c r="S1213" i="7" s="1"/>
  <c r="N1212" i="7"/>
  <c r="V1212" i="7"/>
  <c r="W1211" i="7"/>
  <c r="AB1211" i="7"/>
  <c r="AG1213" i="7" l="1"/>
  <c r="AH1213" i="7" s="1"/>
  <c r="T1213" i="7" s="1"/>
  <c r="V1213" i="7"/>
  <c r="N1213" i="7"/>
  <c r="Q1214" i="7"/>
  <c r="S1214" i="7" s="1"/>
  <c r="Z1211" i="7"/>
  <c r="AB1212" i="7"/>
  <c r="W1212" i="7"/>
  <c r="AG1214" i="7" l="1"/>
  <c r="AH1214" i="7" s="1"/>
  <c r="T1214" i="7" s="1"/>
  <c r="Z1212" i="7"/>
  <c r="N1214" i="7"/>
  <c r="Q1215" i="7"/>
  <c r="S1215" i="7" s="1"/>
  <c r="V1214" i="7"/>
  <c r="AB1213" i="7"/>
  <c r="W1213" i="7"/>
  <c r="AG1215" i="7" l="1"/>
  <c r="AH1215" i="7" s="1"/>
  <c r="T1215" i="7" s="1"/>
  <c r="Z1213" i="7"/>
  <c r="Q1216" i="7"/>
  <c r="S1216" i="7" s="1"/>
  <c r="N1215" i="7"/>
  <c r="V1215" i="7"/>
  <c r="AB1214" i="7"/>
  <c r="W1214" i="7"/>
  <c r="AG1216" i="7" l="1"/>
  <c r="AH1216" i="7" s="1"/>
  <c r="T1216" i="7" s="1"/>
  <c r="W1215" i="7"/>
  <c r="AB1215" i="7"/>
  <c r="Z1214" i="7"/>
  <c r="N1216" i="7"/>
  <c r="Q1217" i="7"/>
  <c r="S1217" i="7" s="1"/>
  <c r="V1216" i="7"/>
  <c r="AG1217" i="7" l="1"/>
  <c r="AH1217" i="7" s="1"/>
  <c r="T1217" i="7" s="1"/>
  <c r="W1216" i="7"/>
  <c r="AB1216" i="7"/>
  <c r="Q1218" i="7"/>
  <c r="S1218" i="7" s="1"/>
  <c r="N1217" i="7"/>
  <c r="V1217" i="7"/>
  <c r="Z1215" i="7"/>
  <c r="AG1218" i="7" l="1"/>
  <c r="AH1218" i="7" s="1"/>
  <c r="T1218" i="7" s="1"/>
  <c r="V1218" i="7"/>
  <c r="N1218" i="7"/>
  <c r="Q1219" i="7"/>
  <c r="S1219" i="7" s="1"/>
  <c r="Z1216" i="7"/>
  <c r="W1217" i="7"/>
  <c r="AB1217" i="7"/>
  <c r="AG1219" i="7" l="1"/>
  <c r="AH1219" i="7" s="1"/>
  <c r="T1219" i="7" s="1"/>
  <c r="Q1220" i="7"/>
  <c r="S1220" i="7" s="1"/>
  <c r="V1219" i="7"/>
  <c r="N1219" i="7"/>
  <c r="Z1217" i="7"/>
  <c r="W1218" i="7"/>
  <c r="AB1218" i="7"/>
  <c r="AG1220" i="7" l="1"/>
  <c r="AH1220" i="7" s="1"/>
  <c r="T1220" i="7" s="1"/>
  <c r="AB1219" i="7"/>
  <c r="W1219" i="7"/>
  <c r="Z1218" i="7"/>
  <c r="V1220" i="7"/>
  <c r="Q1221" i="7"/>
  <c r="S1221" i="7" s="1"/>
  <c r="N1220" i="7"/>
  <c r="AG1221" i="7" l="1"/>
  <c r="AH1221" i="7" s="1"/>
  <c r="T1221" i="7" s="1"/>
  <c r="AB1220" i="7"/>
  <c r="W1220" i="7"/>
  <c r="V1221" i="7"/>
  <c r="Q1222" i="7"/>
  <c r="S1222" i="7" s="1"/>
  <c r="N1221" i="7"/>
  <c r="Z1219" i="7"/>
  <c r="AG1222" i="7" l="1"/>
  <c r="AH1222" i="7" s="1"/>
  <c r="T1222" i="7" s="1"/>
  <c r="AB1221" i="7"/>
  <c r="W1221" i="7"/>
  <c r="N1222" i="7"/>
  <c r="V1222" i="7"/>
  <c r="Q1223" i="7"/>
  <c r="S1223" i="7" s="1"/>
  <c r="Z1220" i="7"/>
  <c r="AG1223" i="7" l="1"/>
  <c r="AH1223" i="7" s="1"/>
  <c r="T1223" i="7" s="1"/>
  <c r="V1223" i="7"/>
  <c r="Q1224" i="7"/>
  <c r="S1224" i="7" s="1"/>
  <c r="N1223" i="7"/>
  <c r="Z1221" i="7"/>
  <c r="W1222" i="7"/>
  <c r="AB1222" i="7"/>
  <c r="AG1224" i="7" l="1"/>
  <c r="AH1224" i="7" s="1"/>
  <c r="T1224" i="7" s="1"/>
  <c r="Z1222" i="7"/>
  <c r="Q1225" i="7"/>
  <c r="S1225" i="7" s="1"/>
  <c r="V1224" i="7"/>
  <c r="N1224" i="7"/>
  <c r="W1223" i="7"/>
  <c r="AB1223" i="7"/>
  <c r="AG1225" i="7" l="1"/>
  <c r="AH1225" i="7" s="1"/>
  <c r="T1225" i="7" s="1"/>
  <c r="W1224" i="7"/>
  <c r="AB1224" i="7"/>
  <c r="N1225" i="7"/>
  <c r="V1225" i="7"/>
  <c r="Q1226" i="7"/>
  <c r="S1226" i="7" s="1"/>
  <c r="Z1223" i="7"/>
  <c r="AG1226" i="7" l="1"/>
  <c r="AH1226" i="7" s="1"/>
  <c r="T1226" i="7" s="1"/>
  <c r="V1226" i="7"/>
  <c r="N1226" i="7"/>
  <c r="Q1227" i="7"/>
  <c r="S1227" i="7" s="1"/>
  <c r="Z1224" i="7"/>
  <c r="AB1225" i="7"/>
  <c r="W1225" i="7"/>
  <c r="AG1227" i="7" l="1"/>
  <c r="AH1227" i="7" s="1"/>
  <c r="T1227" i="7" s="1"/>
  <c r="Z1225" i="7"/>
  <c r="N1227" i="7"/>
  <c r="Q1228" i="7"/>
  <c r="S1228" i="7" s="1"/>
  <c r="V1227" i="7"/>
  <c r="AB1226" i="7"/>
  <c r="W1226" i="7"/>
  <c r="AG1228" i="7" l="1"/>
  <c r="AH1228" i="7" s="1"/>
  <c r="T1228" i="7" s="1"/>
  <c r="Q1229" i="7"/>
  <c r="S1229" i="7" s="1"/>
  <c r="V1228" i="7"/>
  <c r="N1228" i="7"/>
  <c r="Z1226" i="7"/>
  <c r="AB1227" i="7"/>
  <c r="W1227" i="7"/>
  <c r="AG1229" i="7" l="1"/>
  <c r="AH1229" i="7" s="1"/>
  <c r="T1229" i="7" s="1"/>
  <c r="W1228" i="7"/>
  <c r="AB1228" i="7"/>
  <c r="Z1227" i="7"/>
  <c r="Q1230" i="7"/>
  <c r="S1230" i="7" s="1"/>
  <c r="V1229" i="7"/>
  <c r="N1229" i="7"/>
  <c r="AG1230" i="7" l="1"/>
  <c r="AH1230" i="7" s="1"/>
  <c r="T1230" i="7" s="1"/>
  <c r="AB1229" i="7"/>
  <c r="W1229" i="7"/>
  <c r="N1230" i="7"/>
  <c r="Q1231" i="7"/>
  <c r="S1231" i="7" s="1"/>
  <c r="V1230" i="7"/>
  <c r="Z1228" i="7"/>
  <c r="AG1231" i="7" l="1"/>
  <c r="AH1231" i="7" s="1"/>
  <c r="T1231" i="7" s="1"/>
  <c r="AB1230" i="7"/>
  <c r="W1230" i="7"/>
  <c r="Q1232" i="7"/>
  <c r="S1232" i="7" s="1"/>
  <c r="N1231" i="7"/>
  <c r="V1231" i="7"/>
  <c r="Z1229" i="7"/>
  <c r="AG1232" i="7" l="1"/>
  <c r="AH1232" i="7" s="1"/>
  <c r="T1232" i="7" s="1"/>
  <c r="Q1233" i="7" s="1"/>
  <c r="S1233" i="7" s="1"/>
  <c r="N1232" i="7"/>
  <c r="V1232" i="7"/>
  <c r="W1231" i="7"/>
  <c r="AB1231" i="7"/>
  <c r="Z1230" i="7"/>
  <c r="AG1233" i="7" l="1"/>
  <c r="AH1233" i="7" s="1"/>
  <c r="T1233" i="7" s="1"/>
  <c r="Q1234" i="7" s="1"/>
  <c r="S1234" i="7" s="1"/>
  <c r="W1232" i="7"/>
  <c r="AB1232" i="7"/>
  <c r="Z1231" i="7"/>
  <c r="V1233" i="7"/>
  <c r="N1233" i="7"/>
  <c r="AG1234" i="7" l="1"/>
  <c r="AH1234" i="7" s="1"/>
  <c r="T1234" i="7" s="1"/>
  <c r="Q1235" i="7" s="1"/>
  <c r="S1235" i="7" s="1"/>
  <c r="Z1232" i="7"/>
  <c r="W1233" i="7"/>
  <c r="AB1233" i="7"/>
  <c r="N1234" i="7"/>
  <c r="V1234" i="7"/>
  <c r="AG1235" i="7" l="1"/>
  <c r="AH1235" i="7" s="1"/>
  <c r="T1235" i="7" s="1"/>
  <c r="Q1236" i="7" s="1"/>
  <c r="S1236" i="7" s="1"/>
  <c r="Z1233" i="7"/>
  <c r="AB1234" i="7"/>
  <c r="W1234" i="7"/>
  <c r="V1235" i="7"/>
  <c r="N1235" i="7"/>
  <c r="AG1236" i="7" l="1"/>
  <c r="AH1236" i="7" s="1"/>
  <c r="T1236" i="7" s="1"/>
  <c r="Q1237" i="7" s="1"/>
  <c r="S1237" i="7" s="1"/>
  <c r="AB1235" i="7"/>
  <c r="W1235" i="7"/>
  <c r="V1236" i="7"/>
  <c r="N1236" i="7"/>
  <c r="Z1234" i="7"/>
  <c r="AG1237" i="7" l="1"/>
  <c r="AH1237" i="7" s="1"/>
  <c r="T1237" i="7" s="1"/>
  <c r="Q1238" i="7" s="1"/>
  <c r="S1238" i="7" s="1"/>
  <c r="W1236" i="7"/>
  <c r="AB1236" i="7"/>
  <c r="N1237" i="7"/>
  <c r="V1237" i="7"/>
  <c r="Z1235" i="7"/>
  <c r="AG1238" i="7" l="1"/>
  <c r="AH1238" i="7" s="1"/>
  <c r="T1238" i="7" s="1"/>
  <c r="Q1239" i="7" s="1"/>
  <c r="S1239" i="7" s="1"/>
  <c r="V1238" i="7"/>
  <c r="N1238" i="7"/>
  <c r="Z1236" i="7"/>
  <c r="AB1237" i="7"/>
  <c r="W1237" i="7"/>
  <c r="AG1239" i="7" l="1"/>
  <c r="AH1239" i="7" s="1"/>
  <c r="T1239" i="7" s="1"/>
  <c r="Q1240" i="7" s="1"/>
  <c r="S1240" i="7" s="1"/>
  <c r="N1239" i="7"/>
  <c r="V1239" i="7"/>
  <c r="Z1237" i="7"/>
  <c r="W1238" i="7"/>
  <c r="AB1238" i="7"/>
  <c r="AG1240" i="7" l="1"/>
  <c r="AH1240" i="7" s="1"/>
  <c r="T1240" i="7" s="1"/>
  <c r="Q1241" i="7" s="1"/>
  <c r="S1241" i="7" s="1"/>
  <c r="N1240" i="7"/>
  <c r="V1240" i="7"/>
  <c r="W1239" i="7"/>
  <c r="AB1239" i="7"/>
  <c r="Z1238" i="7"/>
  <c r="AG1241" i="7" l="1"/>
  <c r="AH1241" i="7" s="1"/>
  <c r="T1241" i="7" s="1"/>
  <c r="Q1242" i="7" s="1"/>
  <c r="S1242" i="7" s="1"/>
  <c r="Z1239" i="7"/>
  <c r="AB1240" i="7"/>
  <c r="W1240" i="7"/>
  <c r="V1241" i="7"/>
  <c r="N1241" i="7"/>
  <c r="AG1242" i="7" l="1"/>
  <c r="AH1242" i="7" s="1"/>
  <c r="T1242" i="7" s="1"/>
  <c r="Q1243" i="7" s="1"/>
  <c r="S1243" i="7" s="1"/>
  <c r="V1242" i="7"/>
  <c r="N1242" i="7"/>
  <c r="Z1240" i="7"/>
  <c r="AB1241" i="7"/>
  <c r="W1241" i="7"/>
  <c r="AG1243" i="7" l="1"/>
  <c r="AH1243" i="7" s="1"/>
  <c r="T1243" i="7" s="1"/>
  <c r="Q1244" i="7" s="1"/>
  <c r="S1244" i="7" s="1"/>
  <c r="Z1241" i="7"/>
  <c r="V1243" i="7"/>
  <c r="N1243" i="7"/>
  <c r="AB1242" i="7"/>
  <c r="W1242" i="7"/>
  <c r="AG1244" i="7" l="1"/>
  <c r="AH1244" i="7" s="1"/>
  <c r="T1244" i="7" s="1"/>
  <c r="Q1245" i="7" s="1"/>
  <c r="S1245" i="7" s="1"/>
  <c r="Z1242" i="7"/>
  <c r="V1244" i="7"/>
  <c r="N1244" i="7"/>
  <c r="W1243" i="7"/>
  <c r="AB1243" i="7"/>
  <c r="AG1245" i="7" l="1"/>
  <c r="AH1245" i="7" s="1"/>
  <c r="T1245" i="7" s="1"/>
  <c r="Q1246" i="7" s="1"/>
  <c r="S1246" i="7" s="1"/>
  <c r="AB1244" i="7"/>
  <c r="W1244" i="7"/>
  <c r="N1245" i="7"/>
  <c r="V1245" i="7"/>
  <c r="Z1243" i="7"/>
  <c r="AG1246" i="7" l="1"/>
  <c r="AH1246" i="7" s="1"/>
  <c r="T1246" i="7" s="1"/>
  <c r="Q1247" i="7" s="1"/>
  <c r="S1247" i="7" s="1"/>
  <c r="N1246" i="7"/>
  <c r="V1246" i="7"/>
  <c r="AB1245" i="7"/>
  <c r="W1245" i="7"/>
  <c r="Z1244" i="7"/>
  <c r="AG1247" i="7" l="1"/>
  <c r="AH1247" i="7" s="1"/>
  <c r="T1247" i="7" s="1"/>
  <c r="Q1248" i="7" s="1"/>
  <c r="S1248" i="7" s="1"/>
  <c r="V1247" i="7"/>
  <c r="N1247" i="7"/>
  <c r="AB1246" i="7"/>
  <c r="W1246" i="7"/>
  <c r="Z1245" i="7"/>
  <c r="AG1248" i="7" l="1"/>
  <c r="AH1248" i="7" s="1"/>
  <c r="T1248" i="7" s="1"/>
  <c r="Q1249" i="7" s="1"/>
  <c r="S1249" i="7" s="1"/>
  <c r="V1248" i="7"/>
  <c r="N1248" i="7"/>
  <c r="W1247" i="7"/>
  <c r="AB1247" i="7"/>
  <c r="Z1246" i="7"/>
  <c r="AG1249" i="7" l="1"/>
  <c r="AH1249" i="7" s="1"/>
  <c r="T1249" i="7" s="1"/>
  <c r="Q1250" i="7" s="1"/>
  <c r="S1250" i="7" s="1"/>
  <c r="Z1247" i="7"/>
  <c r="W1248" i="7"/>
  <c r="AB1248" i="7"/>
  <c r="V1249" i="7"/>
  <c r="N1249" i="7"/>
  <c r="AG1250" i="7" l="1"/>
  <c r="AH1250" i="7" s="1"/>
  <c r="T1250" i="7" s="1"/>
  <c r="Q1251" i="7" s="1"/>
  <c r="S1251" i="7" s="1"/>
  <c r="AB1249" i="7"/>
  <c r="W1249" i="7"/>
  <c r="Z1248" i="7"/>
  <c r="V1250" i="7"/>
  <c r="N1250" i="7"/>
  <c r="AG1251" i="7" l="1"/>
  <c r="AH1251" i="7" s="1"/>
  <c r="T1251" i="7" s="1"/>
  <c r="Q1252" i="7" s="1"/>
  <c r="S1252" i="7" s="1"/>
  <c r="N1251" i="7"/>
  <c r="V1251" i="7"/>
  <c r="AB1250" i="7"/>
  <c r="W1250" i="7"/>
  <c r="Z1249" i="7"/>
  <c r="AG1252" i="7" l="1"/>
  <c r="AH1252" i="7" s="1"/>
  <c r="T1252" i="7" s="1"/>
  <c r="Q1253" i="7" s="1"/>
  <c r="S1253" i="7" s="1"/>
  <c r="AB1251" i="7"/>
  <c r="W1251" i="7"/>
  <c r="Z1250" i="7"/>
  <c r="V1252" i="7"/>
  <c r="N1252" i="7"/>
  <c r="AG1253" i="7" l="1"/>
  <c r="AH1253" i="7" s="1"/>
  <c r="T1253" i="7" s="1"/>
  <c r="Q1254" i="7" s="1"/>
  <c r="S1254" i="7" s="1"/>
  <c r="V1253" i="7"/>
  <c r="N1253" i="7"/>
  <c r="W1252" i="7"/>
  <c r="AB1252" i="7"/>
  <c r="Z1251" i="7"/>
  <c r="AG1254" i="7" l="1"/>
  <c r="AH1254" i="7" s="1"/>
  <c r="T1254" i="7" s="1"/>
  <c r="Q1255" i="7" s="1"/>
  <c r="S1255" i="7" s="1"/>
  <c r="Z1252" i="7"/>
  <c r="V1254" i="7"/>
  <c r="N1254" i="7"/>
  <c r="W1253" i="7"/>
  <c r="AB1253" i="7"/>
  <c r="AG1255" i="7" l="1"/>
  <c r="AH1255" i="7" s="1"/>
  <c r="T1255" i="7" s="1"/>
  <c r="Q1256" i="7" s="1"/>
  <c r="S1256" i="7" s="1"/>
  <c r="AB1254" i="7"/>
  <c r="W1254" i="7"/>
  <c r="N1255" i="7"/>
  <c r="V1255" i="7"/>
  <c r="Z1253" i="7"/>
  <c r="AG1256" i="7" l="1"/>
  <c r="AH1256" i="7" s="1"/>
  <c r="T1256" i="7" s="1"/>
  <c r="Q1257" i="7" s="1"/>
  <c r="S1257" i="7" s="1"/>
  <c r="W1255" i="7"/>
  <c r="AB1255" i="7"/>
  <c r="V1256" i="7"/>
  <c r="N1256" i="7"/>
  <c r="Z1254" i="7"/>
  <c r="AG1257" i="7" l="1"/>
  <c r="AH1257" i="7" s="1"/>
  <c r="T1257" i="7" s="1"/>
  <c r="Q1258" i="7" s="1"/>
  <c r="S1258" i="7" s="1"/>
  <c r="W1256" i="7"/>
  <c r="AB1256" i="7"/>
  <c r="N1257" i="7"/>
  <c r="V1257" i="7"/>
  <c r="Z1255" i="7"/>
  <c r="AG1258" i="7" l="1"/>
  <c r="AH1258" i="7" s="1"/>
  <c r="T1258" i="7" s="1"/>
  <c r="Q1259" i="7" s="1"/>
  <c r="S1259" i="7" s="1"/>
  <c r="W1257" i="7"/>
  <c r="AB1257" i="7"/>
  <c r="V1258" i="7"/>
  <c r="N1258" i="7"/>
  <c r="Z1256" i="7"/>
  <c r="AG1259" i="7" l="1"/>
  <c r="AH1259" i="7" s="1"/>
  <c r="T1259" i="7" s="1"/>
  <c r="Q1260" i="7" s="1"/>
  <c r="S1260" i="7" s="1"/>
  <c r="Z1257" i="7"/>
  <c r="V1259" i="7"/>
  <c r="N1259" i="7"/>
  <c r="AB1258" i="7"/>
  <c r="W1258" i="7"/>
  <c r="AG1260" i="7" l="1"/>
  <c r="AH1260" i="7" s="1"/>
  <c r="T1260" i="7" s="1"/>
  <c r="Q1261" i="7" s="1"/>
  <c r="S1261" i="7" s="1"/>
  <c r="N1260" i="7"/>
  <c r="V1260" i="7"/>
  <c r="W1259" i="7"/>
  <c r="AB1259" i="7"/>
  <c r="Z1258" i="7"/>
  <c r="AG1261" i="7" l="1"/>
  <c r="AH1261" i="7" s="1"/>
  <c r="T1261" i="7" s="1"/>
  <c r="Q1262" i="7" s="1"/>
  <c r="S1262" i="7" s="1"/>
  <c r="V1261" i="7"/>
  <c r="N1261" i="7"/>
  <c r="Z1259" i="7"/>
  <c r="AB1260" i="7"/>
  <c r="W1260" i="7"/>
  <c r="AG1262" i="7" l="1"/>
  <c r="AH1262" i="7" s="1"/>
  <c r="T1262" i="7" s="1"/>
  <c r="Q1263" i="7" s="1"/>
  <c r="S1263" i="7" s="1"/>
  <c r="V1262" i="7"/>
  <c r="N1262" i="7"/>
  <c r="Z1260" i="7"/>
  <c r="AB1261" i="7"/>
  <c r="W1261" i="7"/>
  <c r="AG1263" i="7" l="1"/>
  <c r="AH1263" i="7" s="1"/>
  <c r="T1263" i="7" s="1"/>
  <c r="Q1264" i="7" s="1"/>
  <c r="S1264" i="7" s="1"/>
  <c r="N1263" i="7"/>
  <c r="V1263" i="7"/>
  <c r="Z1261" i="7"/>
  <c r="AB1262" i="7"/>
  <c r="W1262" i="7"/>
  <c r="AG1264" i="7" l="1"/>
  <c r="AH1264" i="7" s="1"/>
  <c r="T1264" i="7" s="1"/>
  <c r="Q1265" i="7" s="1"/>
  <c r="S1265" i="7" s="1"/>
  <c r="Z1262" i="7"/>
  <c r="AB1263" i="7"/>
  <c r="W1263" i="7"/>
  <c r="V1264" i="7"/>
  <c r="N1264" i="7"/>
  <c r="AG1265" i="7" l="1"/>
  <c r="AH1265" i="7" s="1"/>
  <c r="T1265" i="7" s="1"/>
  <c r="Q1266" i="7" s="1"/>
  <c r="S1266" i="7" s="1"/>
  <c r="W1264" i="7"/>
  <c r="AB1264" i="7"/>
  <c r="Z1263" i="7"/>
  <c r="V1265" i="7"/>
  <c r="N1265" i="7"/>
  <c r="AG1266" i="7" l="1"/>
  <c r="AH1266" i="7" s="1"/>
  <c r="T1266" i="7" s="1"/>
  <c r="Q1267" i="7" s="1"/>
  <c r="S1267" i="7" s="1"/>
  <c r="AB1265" i="7"/>
  <c r="W1265" i="7"/>
  <c r="N1266" i="7"/>
  <c r="V1266" i="7"/>
  <c r="Z1264" i="7"/>
  <c r="AG1267" i="7" l="1"/>
  <c r="AH1267" i="7" s="1"/>
  <c r="T1267" i="7" s="1"/>
  <c r="Q1268" i="7" s="1"/>
  <c r="S1268" i="7" s="1"/>
  <c r="W1266" i="7"/>
  <c r="AB1266" i="7"/>
  <c r="Z1265" i="7"/>
  <c r="V1267" i="7"/>
  <c r="N1267" i="7"/>
  <c r="AG1268" i="7" l="1"/>
  <c r="AH1268" i="7" s="1"/>
  <c r="T1268" i="7" s="1"/>
  <c r="Q1269" i="7" s="1"/>
  <c r="S1269" i="7" s="1"/>
  <c r="V1268" i="7"/>
  <c r="N1268" i="7"/>
  <c r="W1267" i="7"/>
  <c r="AB1267" i="7"/>
  <c r="Z1266" i="7"/>
  <c r="AG1269" i="7" l="1"/>
  <c r="AH1269" i="7" s="1"/>
  <c r="T1269" i="7" s="1"/>
  <c r="Q1270" i="7" s="1"/>
  <c r="S1270" i="7" s="1"/>
  <c r="Z1267" i="7"/>
  <c r="AB1268" i="7"/>
  <c r="W1268" i="7"/>
  <c r="V1269" i="7"/>
  <c r="N1269" i="7"/>
  <c r="AG1270" i="7" l="1"/>
  <c r="AH1270" i="7" s="1"/>
  <c r="T1270" i="7" s="1"/>
  <c r="Q1271" i="7" s="1"/>
  <c r="S1271" i="7" s="1"/>
  <c r="V1270" i="7"/>
  <c r="N1270" i="7"/>
  <c r="AB1269" i="7"/>
  <c r="W1269" i="7"/>
  <c r="Z1268" i="7"/>
  <c r="AG1271" i="7" l="1"/>
  <c r="AH1271" i="7" s="1"/>
  <c r="T1271" i="7" s="1"/>
  <c r="Q1272" i="7" s="1"/>
  <c r="S1272" i="7" s="1"/>
  <c r="N1271" i="7"/>
  <c r="V1271" i="7"/>
  <c r="Z1269" i="7"/>
  <c r="W1270" i="7"/>
  <c r="AB1270" i="7"/>
  <c r="AG1272" i="7" l="1"/>
  <c r="AH1272" i="7" s="1"/>
  <c r="T1272" i="7" s="1"/>
  <c r="Q1273" i="7" s="1"/>
  <c r="S1273" i="7" s="1"/>
  <c r="V1272" i="7"/>
  <c r="N1272" i="7"/>
  <c r="W1271" i="7"/>
  <c r="AB1271" i="7"/>
  <c r="Z1270" i="7"/>
  <c r="AG1273" i="7" l="1"/>
  <c r="AH1273" i="7" s="1"/>
  <c r="T1273" i="7" s="1"/>
  <c r="Q1274" i="7" s="1"/>
  <c r="S1274" i="7" s="1"/>
  <c r="V1273" i="7"/>
  <c r="N1273" i="7"/>
  <c r="Z1271" i="7"/>
  <c r="AB1272" i="7"/>
  <c r="W1272" i="7"/>
  <c r="AG1274" i="7" l="1"/>
  <c r="AH1274" i="7" s="1"/>
  <c r="T1274" i="7" s="1"/>
  <c r="Q1275" i="7" s="1"/>
  <c r="S1275" i="7" s="1"/>
  <c r="Z1272" i="7"/>
  <c r="V1274" i="7"/>
  <c r="N1274" i="7"/>
  <c r="W1273" i="7"/>
  <c r="AB1273" i="7"/>
  <c r="AG1275" i="7" l="1"/>
  <c r="AH1275" i="7" s="1"/>
  <c r="T1275" i="7" s="1"/>
  <c r="Q1276" i="7" s="1"/>
  <c r="S1276" i="7" s="1"/>
  <c r="N1275" i="7"/>
  <c r="V1275" i="7"/>
  <c r="W1274" i="7"/>
  <c r="AB1274" i="7"/>
  <c r="Z1273" i="7"/>
  <c r="AG1276" i="7" l="1"/>
  <c r="AH1276" i="7" s="1"/>
  <c r="T1276" i="7" s="1"/>
  <c r="Q1277" i="7" s="1"/>
  <c r="S1277" i="7" s="1"/>
  <c r="Z1274" i="7"/>
  <c r="AB1275" i="7"/>
  <c r="W1275" i="7"/>
  <c r="V1276" i="7"/>
  <c r="N1276" i="7"/>
  <c r="AG1277" i="7" l="1"/>
  <c r="AH1277" i="7" s="1"/>
  <c r="T1277" i="7" s="1"/>
  <c r="Q1278" i="7" s="1"/>
  <c r="S1278" i="7" s="1"/>
  <c r="N1277" i="7"/>
  <c r="V1277" i="7"/>
  <c r="Z1275" i="7"/>
  <c r="AB1276" i="7"/>
  <c r="W1276" i="7"/>
  <c r="AG1278" i="7" l="1"/>
  <c r="AH1278" i="7" s="1"/>
  <c r="T1278" i="7" s="1"/>
  <c r="Q1279" i="7" s="1"/>
  <c r="S1279" i="7" s="1"/>
  <c r="AB1277" i="7"/>
  <c r="W1277" i="7"/>
  <c r="Z1276" i="7"/>
  <c r="V1278" i="7"/>
  <c r="N1278" i="7"/>
  <c r="AG1279" i="7" l="1"/>
  <c r="AH1279" i="7" s="1"/>
  <c r="T1279" i="7" s="1"/>
  <c r="Q1280" i="7" s="1"/>
  <c r="S1280" i="7" s="1"/>
  <c r="AB1278" i="7"/>
  <c r="W1278" i="7"/>
  <c r="N1279" i="7"/>
  <c r="V1279" i="7"/>
  <c r="Z1277" i="7"/>
  <c r="AG1280" i="7" l="1"/>
  <c r="AH1280" i="7" s="1"/>
  <c r="T1280" i="7" s="1"/>
  <c r="Q1281" i="7" s="1"/>
  <c r="S1281" i="7" s="1"/>
  <c r="V1280" i="7"/>
  <c r="N1280" i="7"/>
  <c r="AB1279" i="7"/>
  <c r="W1279" i="7"/>
  <c r="Z1278" i="7"/>
  <c r="AG1281" i="7" l="1"/>
  <c r="AH1281" i="7" s="1"/>
  <c r="T1281" i="7" s="1"/>
  <c r="Q1282" i="7" s="1"/>
  <c r="S1282" i="7" s="1"/>
  <c r="Z1279" i="7"/>
  <c r="AB1280" i="7"/>
  <c r="W1280" i="7"/>
  <c r="V1281" i="7"/>
  <c r="N1281" i="7"/>
  <c r="AG1282" i="7" l="1"/>
  <c r="AH1282" i="7" s="1"/>
  <c r="T1282" i="7" s="1"/>
  <c r="Q1283" i="7" s="1"/>
  <c r="S1283" i="7" s="1"/>
  <c r="W1281" i="7"/>
  <c r="AB1281" i="7"/>
  <c r="V1282" i="7"/>
  <c r="N1282" i="7"/>
  <c r="Z1280" i="7"/>
  <c r="AG1283" i="7" l="1"/>
  <c r="AH1283" i="7" s="1"/>
  <c r="T1283" i="7" s="1"/>
  <c r="Q1284" i="7" s="1"/>
  <c r="S1284" i="7" s="1"/>
  <c r="W1282" i="7"/>
  <c r="AB1282" i="7"/>
  <c r="N1283" i="7"/>
  <c r="V1283" i="7"/>
  <c r="Z1281" i="7"/>
  <c r="AG1284" i="7" l="1"/>
  <c r="AH1284" i="7" s="1"/>
  <c r="T1284" i="7" s="1"/>
  <c r="Q1285" i="7" s="1"/>
  <c r="S1285" i="7" s="1"/>
  <c r="V1284" i="7"/>
  <c r="N1284" i="7"/>
  <c r="Z1282" i="7"/>
  <c r="W1283" i="7"/>
  <c r="AB1283" i="7"/>
  <c r="AG1285" i="7" l="1"/>
  <c r="AH1285" i="7" s="1"/>
  <c r="T1285" i="7" s="1"/>
  <c r="Q1286" i="7" s="1"/>
  <c r="S1286" i="7" s="1"/>
  <c r="Z1283" i="7"/>
  <c r="AB1284" i="7"/>
  <c r="W1284" i="7"/>
  <c r="N1285" i="7"/>
  <c r="V1285" i="7"/>
  <c r="AG1286" i="7" l="1"/>
  <c r="AH1286" i="7" s="1"/>
  <c r="T1286" i="7" s="1"/>
  <c r="Q1287" i="7" s="1"/>
  <c r="S1287" i="7" s="1"/>
  <c r="V1286" i="7"/>
  <c r="N1286" i="7"/>
  <c r="Z1284" i="7"/>
  <c r="W1285" i="7"/>
  <c r="AB1285" i="7"/>
  <c r="AG1287" i="7" l="1"/>
  <c r="AH1287" i="7" s="1"/>
  <c r="T1287" i="7" s="1"/>
  <c r="Q1288" i="7" s="1"/>
  <c r="S1288" i="7" s="1"/>
  <c r="W1286" i="7"/>
  <c r="AB1286" i="7"/>
  <c r="Z1285" i="7"/>
  <c r="V1287" i="7"/>
  <c r="N1287" i="7"/>
  <c r="AG1288" i="7" l="1"/>
  <c r="AH1288" i="7" s="1"/>
  <c r="T1288" i="7" s="1"/>
  <c r="Q1289" i="7" s="1"/>
  <c r="S1289" i="7" s="1"/>
  <c r="W1287" i="7"/>
  <c r="AB1287" i="7"/>
  <c r="V1288" i="7"/>
  <c r="N1288" i="7"/>
  <c r="Z1286" i="7"/>
  <c r="AG1289" i="7" l="1"/>
  <c r="AH1289" i="7" s="1"/>
  <c r="T1289" i="7" s="1"/>
  <c r="Q1290" i="7" s="1"/>
  <c r="S1290" i="7" s="1"/>
  <c r="W1288" i="7"/>
  <c r="AB1288" i="7"/>
  <c r="Z1287" i="7"/>
  <c r="V1289" i="7"/>
  <c r="N1289" i="7"/>
  <c r="AG1290" i="7" l="1"/>
  <c r="AH1290" i="7" s="1"/>
  <c r="T1290" i="7" s="1"/>
  <c r="Q1291" i="7" s="1"/>
  <c r="S1291" i="7" s="1"/>
  <c r="AB1289" i="7"/>
  <c r="W1289" i="7"/>
  <c r="Z1288" i="7"/>
  <c r="N1290" i="7"/>
  <c r="V1290" i="7"/>
  <c r="AG1291" i="7" l="1"/>
  <c r="AH1291" i="7" s="1"/>
  <c r="T1291" i="7" s="1"/>
  <c r="Q1292" i="7" s="1"/>
  <c r="S1292" i="7" s="1"/>
  <c r="AB1290" i="7"/>
  <c r="W1290" i="7"/>
  <c r="N1291" i="7"/>
  <c r="V1291" i="7"/>
  <c r="Z1289" i="7"/>
  <c r="AG1292" i="7" l="1"/>
  <c r="AH1292" i="7" s="1"/>
  <c r="T1292" i="7" s="1"/>
  <c r="Q1293" i="7" s="1"/>
  <c r="S1293" i="7" s="1"/>
  <c r="AB1291" i="7"/>
  <c r="W1291" i="7"/>
  <c r="V1292" i="7"/>
  <c r="N1292" i="7"/>
  <c r="Z1290" i="7"/>
  <c r="AG1293" i="7" l="1"/>
  <c r="AH1293" i="7" s="1"/>
  <c r="T1293" i="7" s="1"/>
  <c r="Q1294" i="7" s="1"/>
  <c r="S1294" i="7" s="1"/>
  <c r="W1292" i="7"/>
  <c r="AB1292" i="7"/>
  <c r="V1293" i="7"/>
  <c r="N1293" i="7"/>
  <c r="Z1291" i="7"/>
  <c r="AG1294" i="7" l="1"/>
  <c r="AH1294" i="7" s="1"/>
  <c r="T1294" i="7" s="1"/>
  <c r="Q1295" i="7" s="1"/>
  <c r="S1295" i="7" s="1"/>
  <c r="V1294" i="7"/>
  <c r="N1294" i="7"/>
  <c r="W1293" i="7"/>
  <c r="AB1293" i="7"/>
  <c r="Z1292" i="7"/>
  <c r="AG1295" i="7" l="1"/>
  <c r="AH1295" i="7" s="1"/>
  <c r="T1295" i="7" s="1"/>
  <c r="Q1296" i="7" s="1"/>
  <c r="S1296" i="7" s="1"/>
  <c r="Z1293" i="7"/>
  <c r="N1295" i="7"/>
  <c r="V1295" i="7"/>
  <c r="AB1294" i="7"/>
  <c r="W1294" i="7"/>
  <c r="AG1296" i="7" l="1"/>
  <c r="AH1296" i="7" s="1"/>
  <c r="T1296" i="7" s="1"/>
  <c r="Q1297" i="7" s="1"/>
  <c r="S1297" i="7" s="1"/>
  <c r="N1296" i="7"/>
  <c r="V1296" i="7"/>
  <c r="Z1294" i="7"/>
  <c r="AB1295" i="7"/>
  <c r="W1295" i="7"/>
  <c r="AG1297" i="7" l="1"/>
  <c r="AH1297" i="7" s="1"/>
  <c r="T1297" i="7" s="1"/>
  <c r="Q1298" i="7" s="1"/>
  <c r="S1298" i="7" s="1"/>
  <c r="Z1295" i="7"/>
  <c r="W1296" i="7"/>
  <c r="AB1296" i="7"/>
  <c r="V1297" i="7"/>
  <c r="N1297" i="7"/>
  <c r="AG1298" i="7" l="1"/>
  <c r="AH1298" i="7" s="1"/>
  <c r="T1298" i="7" s="1"/>
  <c r="Q1299" i="7" s="1"/>
  <c r="S1299" i="7" s="1"/>
  <c r="AB1297" i="7"/>
  <c r="W1297" i="7"/>
  <c r="Z1296" i="7"/>
  <c r="V1298" i="7"/>
  <c r="N1298" i="7"/>
  <c r="AG1299" i="7" l="1"/>
  <c r="AH1299" i="7" s="1"/>
  <c r="T1299" i="7" s="1"/>
  <c r="Q1300" i="7" s="1"/>
  <c r="S1300" i="7" s="1"/>
  <c r="W1298" i="7"/>
  <c r="AB1298" i="7"/>
  <c r="N1299" i="7"/>
  <c r="V1299" i="7"/>
  <c r="Z1297" i="7"/>
  <c r="AG1300" i="7" l="1"/>
  <c r="AH1300" i="7" s="1"/>
  <c r="T1300" i="7" s="1"/>
  <c r="Q1301" i="7" s="1"/>
  <c r="S1301" i="7" s="1"/>
  <c r="W1299" i="7"/>
  <c r="AB1299" i="7"/>
  <c r="N1300" i="7"/>
  <c r="V1300" i="7"/>
  <c r="Z1298" i="7"/>
  <c r="AG1301" i="7" l="1"/>
  <c r="AH1301" i="7" s="1"/>
  <c r="T1301" i="7" s="1"/>
  <c r="Q1302" i="7" s="1"/>
  <c r="S1302" i="7" s="1"/>
  <c r="AF1302" i="7" s="1"/>
  <c r="N1301" i="7"/>
  <c r="V1301" i="7"/>
  <c r="Z1299" i="7"/>
  <c r="AB1300" i="7"/>
  <c r="W1300" i="7"/>
  <c r="AG1302" i="7" l="1"/>
  <c r="AH1302" i="7" s="1"/>
  <c r="T1302" i="7" s="1"/>
  <c r="Q1303" i="7" s="1"/>
  <c r="S1303" i="7" s="1"/>
  <c r="AF1303" i="7" s="1"/>
  <c r="Z1300" i="7"/>
  <c r="N1302" i="7"/>
  <c r="V1302" i="7"/>
  <c r="AB1301" i="7"/>
  <c r="W1301" i="7"/>
  <c r="AG1303" i="7" l="1"/>
  <c r="AH1303" i="7" s="1"/>
  <c r="T1303" i="7" s="1"/>
  <c r="Q1304" i="7" s="1"/>
  <c r="S1304" i="7" s="1"/>
  <c r="AF1304" i="7" s="1"/>
  <c r="Z1301" i="7"/>
  <c r="W1302" i="7"/>
  <c r="AB1302" i="7"/>
  <c r="V1303" i="7"/>
  <c r="N1303" i="7"/>
  <c r="AG1304" i="7" l="1"/>
  <c r="AH1304" i="7" s="1"/>
  <c r="T1304" i="7" s="1"/>
  <c r="Q1305" i="7" s="1"/>
  <c r="S1305" i="7" s="1"/>
  <c r="AF1305" i="7" s="1"/>
  <c r="V1304" i="7"/>
  <c r="N1304" i="7"/>
  <c r="W1303" i="7"/>
  <c r="AB1303" i="7"/>
  <c r="Z1302" i="7"/>
  <c r="AG1305" i="7" l="1"/>
  <c r="AH1305" i="7" s="1"/>
  <c r="T1305" i="7" s="1"/>
  <c r="Q1306" i="7" s="1"/>
  <c r="S1306" i="7" s="1"/>
  <c r="AF1306" i="7" s="1"/>
  <c r="Z1303" i="7"/>
  <c r="AB1304" i="7"/>
  <c r="W1304" i="7"/>
  <c r="V1305" i="7"/>
  <c r="N1305" i="7"/>
  <c r="AG1306" i="7" l="1"/>
  <c r="AH1306" i="7" s="1"/>
  <c r="T1306" i="7" s="1"/>
  <c r="Q1307" i="7" s="1"/>
  <c r="S1307" i="7" s="1"/>
  <c r="AF1307" i="7" s="1"/>
  <c r="W1305" i="7"/>
  <c r="AB1305" i="7"/>
  <c r="Z1304" i="7"/>
  <c r="V1306" i="7"/>
  <c r="N1306" i="7"/>
  <c r="AG1307" i="7" l="1"/>
  <c r="AH1307" i="7" s="1"/>
  <c r="T1307" i="7" s="1"/>
  <c r="Q1308" i="7" s="1"/>
  <c r="S1308" i="7" s="1"/>
  <c r="AF1308" i="7" s="1"/>
  <c r="W1306" i="7"/>
  <c r="AB1306" i="7"/>
  <c r="Z1305" i="7"/>
  <c r="V1307" i="7"/>
  <c r="N1307" i="7"/>
  <c r="AG1308" i="7" l="1"/>
  <c r="AH1308" i="7" s="1"/>
  <c r="T1308" i="7" s="1"/>
  <c r="Q1309" i="7" s="1"/>
  <c r="S1309" i="7" s="1"/>
  <c r="AF1309" i="7" s="1"/>
  <c r="AB1307" i="7"/>
  <c r="W1307" i="7"/>
  <c r="V1308" i="7"/>
  <c r="N1308" i="7"/>
  <c r="Z1306" i="7"/>
  <c r="AG1309" i="7" l="1"/>
  <c r="AH1309" i="7" s="1"/>
  <c r="T1309" i="7" s="1"/>
  <c r="Q1310" i="7" s="1"/>
  <c r="S1310" i="7" s="1"/>
  <c r="AF1310" i="7" s="1"/>
  <c r="N1309" i="7"/>
  <c r="V1309" i="7"/>
  <c r="AB1308" i="7"/>
  <c r="W1308" i="7"/>
  <c r="Z1307" i="7"/>
  <c r="AG1310" i="7" l="1"/>
  <c r="AH1310" i="7" s="1"/>
  <c r="T1310" i="7" s="1"/>
  <c r="Q1311" i="7" s="1"/>
  <c r="S1311" i="7" s="1"/>
  <c r="AF1311" i="7" s="1"/>
  <c r="Z1308" i="7"/>
  <c r="AB1309" i="7"/>
  <c r="W1309" i="7"/>
  <c r="N1310" i="7"/>
  <c r="V1310" i="7"/>
  <c r="AG1311" i="7" l="1"/>
  <c r="AH1311" i="7" s="1"/>
  <c r="T1311" i="7" s="1"/>
  <c r="Q1312" i="7" s="1"/>
  <c r="S1312" i="7" s="1"/>
  <c r="AG1312" i="7" s="1"/>
  <c r="AH1312" i="7" s="1"/>
  <c r="T1312" i="7" s="1"/>
  <c r="V1311" i="7"/>
  <c r="N1311" i="7"/>
  <c r="Z1309" i="7"/>
  <c r="AB1310" i="7"/>
  <c r="W1310" i="7"/>
  <c r="W1311" i="7" l="1"/>
  <c r="AB1311" i="7"/>
  <c r="Q1313" i="7"/>
  <c r="S1313" i="7" s="1"/>
  <c r="AG1313" i="7" s="1"/>
  <c r="AH1313" i="7" s="1"/>
  <c r="T1313" i="7" s="1"/>
  <c r="V1312" i="7"/>
  <c r="N1312" i="7"/>
  <c r="Z1310" i="7"/>
  <c r="W1312" i="7" l="1"/>
  <c r="AB1312" i="7"/>
  <c r="Q1314" i="7"/>
  <c r="S1314" i="7" s="1"/>
  <c r="AG1314" i="7" s="1"/>
  <c r="AH1314" i="7" s="1"/>
  <c r="T1314" i="7" s="1"/>
  <c r="N1313" i="7"/>
  <c r="V1313" i="7"/>
  <c r="Z1311" i="7"/>
  <c r="AB1313" i="7" l="1"/>
  <c r="W1313" i="7"/>
  <c r="N1314" i="7"/>
  <c r="Q1315" i="7"/>
  <c r="S1315" i="7" s="1"/>
  <c r="V1314" i="7"/>
  <c r="Z1312" i="7"/>
  <c r="W1314" i="7" l="1"/>
  <c r="AB1314" i="7"/>
  <c r="V1315" i="7"/>
  <c r="N1315" i="7"/>
  <c r="Q1316" i="7"/>
  <c r="S1316" i="7" s="1"/>
  <c r="Z1313" i="7"/>
  <c r="Q1317" i="7" l="1"/>
  <c r="S1317" i="7" s="1"/>
  <c r="N1316" i="7"/>
  <c r="V1316" i="7"/>
  <c r="AB1315" i="7"/>
  <c r="W1315" i="7"/>
  <c r="Z1314" i="7"/>
  <c r="AB1316" i="7" l="1"/>
  <c r="W1316" i="7"/>
  <c r="Z1315" i="7"/>
  <c r="V1317" i="7"/>
  <c r="Q1318" i="7"/>
  <c r="S1318" i="7" s="1"/>
  <c r="N1317" i="7"/>
  <c r="N1318" i="7" l="1"/>
  <c r="Q1319" i="7"/>
  <c r="S1319" i="7" s="1"/>
  <c r="V1318" i="7"/>
  <c r="AB1317" i="7"/>
  <c r="W1317" i="7"/>
  <c r="Z1316" i="7"/>
  <c r="Z1317" i="7" l="1"/>
  <c r="W1318" i="7"/>
  <c r="AB1318" i="7"/>
  <c r="N1319" i="7"/>
  <c r="V1319" i="7"/>
  <c r="Q1320" i="7"/>
  <c r="S1320" i="7" s="1"/>
  <c r="AB1319" i="7" l="1"/>
  <c r="W1319" i="7"/>
  <c r="Z1318" i="7"/>
  <c r="N1320" i="7"/>
  <c r="V1320" i="7"/>
  <c r="Q1321" i="7"/>
  <c r="S1321" i="7" s="1"/>
  <c r="V1321" i="7" l="1"/>
  <c r="Q1322" i="7"/>
  <c r="S1322" i="7" s="1"/>
  <c r="N1321" i="7"/>
  <c r="W1320" i="7"/>
  <c r="AB1320" i="7"/>
  <c r="Z1319" i="7"/>
  <c r="Z1320" i="7" l="1"/>
  <c r="V1322" i="7"/>
  <c r="Q1323" i="7"/>
  <c r="S1323" i="7" s="1"/>
  <c r="N1322" i="7"/>
  <c r="AB1321" i="7"/>
  <c r="W1321" i="7"/>
  <c r="Z1321" i="7" l="1"/>
  <c r="AB1322" i="7"/>
  <c r="W1322" i="7"/>
  <c r="Q1324" i="7"/>
  <c r="S1324" i="7" s="1"/>
  <c r="V1323" i="7"/>
  <c r="N1323" i="7"/>
  <c r="Q1325" i="7" l="1"/>
  <c r="S1325" i="7" s="1"/>
  <c r="N1324" i="7"/>
  <c r="V1324" i="7"/>
  <c r="Z1322" i="7"/>
  <c r="W1323" i="7"/>
  <c r="AB1323" i="7"/>
  <c r="AB1324" i="7" l="1"/>
  <c r="W1324" i="7"/>
  <c r="Z1323" i="7"/>
  <c r="N1325" i="7"/>
  <c r="V1325" i="7"/>
  <c r="Q1326" i="7"/>
  <c r="S1326" i="7" s="1"/>
  <c r="W1325" i="7" l="1"/>
  <c r="AB1325" i="7"/>
  <c r="Q1327" i="7"/>
  <c r="S1327" i="7" s="1"/>
  <c r="N1326" i="7"/>
  <c r="V1326" i="7"/>
  <c r="Z1324" i="7"/>
  <c r="W1326" i="7" l="1"/>
  <c r="AB1326" i="7"/>
  <c r="N1327" i="7"/>
  <c r="V1327" i="7"/>
  <c r="Q1328" i="7"/>
  <c r="S1328" i="7" s="1"/>
  <c r="Z1325" i="7"/>
  <c r="N1328" i="7" l="1"/>
  <c r="Q1329" i="7"/>
  <c r="S1329" i="7" s="1"/>
  <c r="V1328" i="7"/>
  <c r="Z1326" i="7"/>
  <c r="W1327" i="7"/>
  <c r="AB1327" i="7"/>
  <c r="AB1328" i="7" l="1"/>
  <c r="W1328" i="7"/>
  <c r="Z1327" i="7"/>
  <c r="V1329" i="7"/>
  <c r="Q1330" i="7"/>
  <c r="S1330" i="7" s="1"/>
  <c r="N1329" i="7"/>
  <c r="V1330" i="7" l="1"/>
  <c r="N1330" i="7"/>
  <c r="Q1331" i="7"/>
  <c r="S1331" i="7" s="1"/>
  <c r="AB1329" i="7"/>
  <c r="W1329" i="7"/>
  <c r="Z1328" i="7"/>
  <c r="Q1332" i="7" l="1"/>
  <c r="S1332" i="7" s="1"/>
  <c r="V1331" i="7"/>
  <c r="N1331" i="7"/>
  <c r="Z1329" i="7"/>
  <c r="W1330" i="7"/>
  <c r="AB1330" i="7"/>
  <c r="W1331" i="7" l="1"/>
  <c r="AB1331" i="7"/>
  <c r="V1332" i="7"/>
  <c r="Q1333" i="7"/>
  <c r="S1333" i="7" s="1"/>
  <c r="N1332" i="7"/>
  <c r="Z1330" i="7"/>
  <c r="AB1332" i="7" l="1"/>
  <c r="W1332" i="7"/>
  <c r="Q1334" i="7"/>
  <c r="S1334" i="7" s="1"/>
  <c r="V1333" i="7"/>
  <c r="N1333" i="7"/>
  <c r="Z1331" i="7"/>
  <c r="Q1335" i="7" l="1"/>
  <c r="S1335" i="7" s="1"/>
  <c r="N1334" i="7"/>
  <c r="V1334" i="7"/>
  <c r="Z1332" i="7"/>
  <c r="AB1333" i="7"/>
  <c r="W1333" i="7"/>
  <c r="Z1333" i="7" l="1"/>
  <c r="AB1334" i="7"/>
  <c r="W1334" i="7"/>
  <c r="V1335" i="7"/>
  <c r="Q1336" i="7"/>
  <c r="S1336" i="7" s="1"/>
  <c r="N1335" i="7"/>
  <c r="Z1334" i="7" l="1"/>
  <c r="W1335" i="7"/>
  <c r="AB1335" i="7"/>
  <c r="N1336" i="7"/>
  <c r="Q1337" i="7"/>
  <c r="S1337" i="7" s="1"/>
  <c r="V1336" i="7"/>
  <c r="Q1338" i="7" l="1"/>
  <c r="S1338" i="7" s="1"/>
  <c r="N1337" i="7"/>
  <c r="V1337" i="7"/>
  <c r="Z1335" i="7"/>
  <c r="W1336" i="7"/>
  <c r="AB1336" i="7"/>
  <c r="N1338" i="7" l="1"/>
  <c r="Q1339" i="7"/>
  <c r="S1339" i="7" s="1"/>
  <c r="V1338" i="7"/>
  <c r="W1337" i="7"/>
  <c r="AB1337" i="7"/>
  <c r="Z1336" i="7"/>
  <c r="Z1337" i="7" l="1"/>
  <c r="AB1338" i="7"/>
  <c r="W1338" i="7"/>
  <c r="V1339" i="7"/>
  <c r="N1339" i="7"/>
  <c r="Q1340" i="7"/>
  <c r="S1340" i="7" s="1"/>
  <c r="N1340" i="7" l="1"/>
  <c r="Q1341" i="7"/>
  <c r="S1341" i="7" s="1"/>
  <c r="V1340" i="7"/>
  <c r="Z1338" i="7"/>
  <c r="AB1339" i="7"/>
  <c r="W1339" i="7"/>
  <c r="W1340" i="7" l="1"/>
  <c r="AB1340" i="7"/>
  <c r="Z1339" i="7"/>
  <c r="V1341" i="7"/>
  <c r="N1341" i="7"/>
  <c r="Q1342" i="7"/>
  <c r="S1342" i="7" s="1"/>
  <c r="N1342" i="7" l="1"/>
  <c r="Q1343" i="7"/>
  <c r="S1343" i="7" s="1"/>
  <c r="V1342" i="7"/>
  <c r="AB1341" i="7"/>
  <c r="W1341" i="7"/>
  <c r="Z1340" i="7"/>
  <c r="W1342" i="7" l="1"/>
  <c r="AB1342" i="7"/>
  <c r="V1343" i="7"/>
  <c r="N1343" i="7"/>
  <c r="Q1344" i="7"/>
  <c r="S1344" i="7" s="1"/>
  <c r="Z1341" i="7"/>
  <c r="AB1343" i="7" l="1"/>
  <c r="W1343" i="7"/>
  <c r="V1344" i="7"/>
  <c r="N1344" i="7"/>
  <c r="Q1345" i="7"/>
  <c r="S1345" i="7" s="1"/>
  <c r="Z1342" i="7"/>
  <c r="AB1344" i="7" l="1"/>
  <c r="W1344" i="7"/>
  <c r="Q1346" i="7"/>
  <c r="S1346" i="7" s="1"/>
  <c r="N1345" i="7"/>
  <c r="V1345" i="7"/>
  <c r="Z1343" i="7"/>
  <c r="V1346" i="7" l="1"/>
  <c r="N1346" i="7"/>
  <c r="Q1347" i="7"/>
  <c r="S1347" i="7" s="1"/>
  <c r="W1345" i="7"/>
  <c r="AB1345" i="7"/>
  <c r="Z1344" i="7"/>
  <c r="V1347" i="7" l="1"/>
  <c r="Q1348" i="7"/>
  <c r="S1348" i="7" s="1"/>
  <c r="N1347" i="7"/>
  <c r="W1346" i="7"/>
  <c r="AB1346" i="7"/>
  <c r="Z1345" i="7"/>
  <c r="Z1346" i="7" l="1"/>
  <c r="N1348" i="7"/>
  <c r="Q1349" i="7"/>
  <c r="S1349" i="7" s="1"/>
  <c r="V1348" i="7"/>
  <c r="AB1347" i="7"/>
  <c r="W1347" i="7"/>
  <c r="AG1349" i="7" l="1"/>
  <c r="AH1349" i="7" s="1"/>
  <c r="T1349" i="7" s="1"/>
  <c r="AB1348" i="7"/>
  <c r="W1348" i="7"/>
  <c r="Z1347" i="7"/>
  <c r="N1349" i="7"/>
  <c r="Q1350" i="7"/>
  <c r="S1350" i="7" s="1"/>
  <c r="V1349" i="7"/>
  <c r="AG1350" i="7" l="1"/>
  <c r="AH1350" i="7" s="1"/>
  <c r="T1350" i="7" s="1"/>
  <c r="N1350" i="7"/>
  <c r="Q1351" i="7"/>
  <c r="S1351" i="7" s="1"/>
  <c r="V1350" i="7"/>
  <c r="W1349" i="7"/>
  <c r="AB1349" i="7"/>
  <c r="Z1348" i="7"/>
  <c r="AG1351" i="7" l="1"/>
  <c r="AH1351" i="7" s="1"/>
  <c r="T1351" i="7" s="1"/>
  <c r="Z1349" i="7"/>
  <c r="W1350" i="7"/>
  <c r="AB1350" i="7"/>
  <c r="Q1352" i="7"/>
  <c r="S1352" i="7" s="1"/>
  <c r="V1351" i="7"/>
  <c r="N1351" i="7"/>
  <c r="AG1352" i="7" l="1"/>
  <c r="AH1352" i="7" s="1"/>
  <c r="T1352" i="7" s="1"/>
  <c r="AB1351" i="7"/>
  <c r="W1351" i="7"/>
  <c r="Q1353" i="7"/>
  <c r="S1353" i="7" s="1"/>
  <c r="N1352" i="7"/>
  <c r="V1352" i="7"/>
  <c r="Z1350" i="7"/>
  <c r="AG1353" i="7" l="1"/>
  <c r="AH1353" i="7" s="1"/>
  <c r="T1353" i="7" s="1"/>
  <c r="W1352" i="7"/>
  <c r="AB1352" i="7"/>
  <c r="N1353" i="7"/>
  <c r="Q1354" i="7"/>
  <c r="S1354" i="7" s="1"/>
  <c r="V1353" i="7"/>
  <c r="Z1351" i="7"/>
  <c r="AG1354" i="7" l="1"/>
  <c r="AH1354" i="7" s="1"/>
  <c r="T1354" i="7" s="1"/>
  <c r="AB1353" i="7"/>
  <c r="W1353" i="7"/>
  <c r="N1354" i="7"/>
  <c r="V1354" i="7"/>
  <c r="Q1355" i="7"/>
  <c r="S1355" i="7" s="1"/>
  <c r="Z1352" i="7"/>
  <c r="AG1355" i="7" l="1"/>
  <c r="AH1355" i="7" s="1"/>
  <c r="T1355" i="7" s="1"/>
  <c r="AB1354" i="7"/>
  <c r="W1354" i="7"/>
  <c r="Q1356" i="7"/>
  <c r="S1356" i="7" s="1"/>
  <c r="N1355" i="7"/>
  <c r="V1355" i="7"/>
  <c r="Z1353" i="7"/>
  <c r="AG1356" i="7" l="1"/>
  <c r="AH1356" i="7" s="1"/>
  <c r="T1356" i="7" s="1"/>
  <c r="V1356" i="7"/>
  <c r="N1356" i="7"/>
  <c r="Q1357" i="7"/>
  <c r="S1357" i="7" s="1"/>
  <c r="W1355" i="7"/>
  <c r="AB1355" i="7"/>
  <c r="Z1354" i="7"/>
  <c r="AG1357" i="7" l="1"/>
  <c r="AH1357" i="7" s="1"/>
  <c r="T1357" i="7" s="1"/>
  <c r="N1357" i="7"/>
  <c r="Q1358" i="7"/>
  <c r="S1358" i="7" s="1"/>
  <c r="V1357" i="7"/>
  <c r="Z1355" i="7"/>
  <c r="W1356" i="7"/>
  <c r="AB1356" i="7"/>
  <c r="AG1358" i="7" l="1"/>
  <c r="AH1358" i="7" s="1"/>
  <c r="T1358" i="7" s="1"/>
  <c r="Z1356" i="7"/>
  <c r="AB1357" i="7"/>
  <c r="W1357" i="7"/>
  <c r="N1358" i="7"/>
  <c r="V1358" i="7"/>
  <c r="Q1359" i="7"/>
  <c r="S1359" i="7" s="1"/>
  <c r="AG1359" i="7" l="1"/>
  <c r="AH1359" i="7" s="1"/>
  <c r="T1359" i="7" s="1"/>
  <c r="V1359" i="7"/>
  <c r="N1359" i="7"/>
  <c r="Q1360" i="7"/>
  <c r="S1360" i="7" s="1"/>
  <c r="Z1357" i="7"/>
  <c r="AB1358" i="7"/>
  <c r="W1358" i="7"/>
  <c r="AG1360" i="7" l="1"/>
  <c r="AH1360" i="7" s="1"/>
  <c r="T1360" i="7" s="1"/>
  <c r="N1360" i="7"/>
  <c r="V1360" i="7"/>
  <c r="Q1361" i="7"/>
  <c r="S1361" i="7" s="1"/>
  <c r="Z1358" i="7"/>
  <c r="W1359" i="7"/>
  <c r="AB1359" i="7"/>
  <c r="AG1361" i="7" l="1"/>
  <c r="AH1361" i="7" s="1"/>
  <c r="T1361" i="7" s="1"/>
  <c r="N1361" i="7"/>
  <c r="V1361" i="7"/>
  <c r="Q1362" i="7"/>
  <c r="S1362" i="7" s="1"/>
  <c r="AB1360" i="7"/>
  <c r="W1360" i="7"/>
  <c r="Z1359" i="7"/>
  <c r="AG1362" i="7" l="1"/>
  <c r="AH1362" i="7" s="1"/>
  <c r="T1362" i="7" s="1"/>
  <c r="Z1360" i="7"/>
  <c r="N1362" i="7"/>
  <c r="Q1363" i="7"/>
  <c r="S1363" i="7" s="1"/>
  <c r="V1362" i="7"/>
  <c r="W1361" i="7"/>
  <c r="AB1361" i="7"/>
  <c r="AG1363" i="7" l="1"/>
  <c r="AH1363" i="7" s="1"/>
  <c r="T1363" i="7" s="1"/>
  <c r="AB1362" i="7"/>
  <c r="W1362" i="7"/>
  <c r="Q1364" i="7"/>
  <c r="S1364" i="7" s="1"/>
  <c r="V1363" i="7"/>
  <c r="N1363" i="7"/>
  <c r="Z1361" i="7"/>
  <c r="AG1364" i="7" l="1"/>
  <c r="AH1364" i="7" s="1"/>
  <c r="T1364" i="7" s="1"/>
  <c r="AB1363" i="7"/>
  <c r="W1363" i="7"/>
  <c r="N1364" i="7"/>
  <c r="V1364" i="7"/>
  <c r="Q1365" i="7"/>
  <c r="S1365" i="7" s="1"/>
  <c r="Z1362" i="7"/>
  <c r="AG1365" i="7" l="1"/>
  <c r="AH1365" i="7" s="1"/>
  <c r="T1365" i="7" s="1"/>
  <c r="W1364" i="7"/>
  <c r="AB1364" i="7"/>
  <c r="Z1363" i="7"/>
  <c r="V1365" i="7"/>
  <c r="Q1366" i="7"/>
  <c r="S1366" i="7" s="1"/>
  <c r="N1365" i="7"/>
  <c r="AG1366" i="7" l="1"/>
  <c r="AH1366" i="7" s="1"/>
  <c r="T1366" i="7" s="1"/>
  <c r="N1366" i="7"/>
  <c r="V1366" i="7"/>
  <c r="Q1367" i="7"/>
  <c r="S1367" i="7" s="1"/>
  <c r="Z1364" i="7"/>
  <c r="W1365" i="7"/>
  <c r="AB1365" i="7"/>
  <c r="AG1367" i="7" l="1"/>
  <c r="AH1367" i="7" s="1"/>
  <c r="T1367" i="7" s="1"/>
  <c r="Z1365" i="7"/>
  <c r="Q1368" i="7"/>
  <c r="S1368" i="7" s="1"/>
  <c r="N1367" i="7"/>
  <c r="V1367" i="7"/>
  <c r="W1366" i="7"/>
  <c r="AB1366" i="7"/>
  <c r="AG1368" i="7" l="1"/>
  <c r="AH1368" i="7" s="1"/>
  <c r="T1368" i="7" s="1"/>
  <c r="V1368" i="7"/>
  <c r="N1368" i="7"/>
  <c r="Q1369" i="7"/>
  <c r="S1369" i="7" s="1"/>
  <c r="AB1367" i="7"/>
  <c r="W1367" i="7"/>
  <c r="Z1366" i="7"/>
  <c r="AG1369" i="7" l="1"/>
  <c r="AH1369" i="7" s="1"/>
  <c r="T1369" i="7" s="1"/>
  <c r="Z1367" i="7"/>
  <c r="V1369" i="7"/>
  <c r="Q1370" i="7"/>
  <c r="S1370" i="7" s="1"/>
  <c r="N1369" i="7"/>
  <c r="AB1368" i="7"/>
  <c r="W1368" i="7"/>
  <c r="AG1370" i="7" l="1"/>
  <c r="AH1370" i="7" s="1"/>
  <c r="T1370" i="7" s="1"/>
  <c r="W1369" i="7"/>
  <c r="AB1369" i="7"/>
  <c r="Z1368" i="7"/>
  <c r="V1370" i="7"/>
  <c r="Q1371" i="7"/>
  <c r="S1371" i="7" s="1"/>
  <c r="N1370" i="7"/>
  <c r="AG1371" i="7" l="1"/>
  <c r="AH1371" i="7" s="1"/>
  <c r="T1371" i="7" s="1"/>
  <c r="AB1370" i="7"/>
  <c r="W1370" i="7"/>
  <c r="Q1372" i="7"/>
  <c r="S1372" i="7" s="1"/>
  <c r="N1371" i="7"/>
  <c r="V1371" i="7"/>
  <c r="Z1369" i="7"/>
  <c r="AG1372" i="7" l="1"/>
  <c r="AH1372" i="7" s="1"/>
  <c r="T1372" i="7" s="1"/>
  <c r="V1372" i="7"/>
  <c r="N1372" i="7"/>
  <c r="Q1373" i="7"/>
  <c r="S1373" i="7" s="1"/>
  <c r="AB1371" i="7"/>
  <c r="W1371" i="7"/>
  <c r="Z1370" i="7"/>
  <c r="AG1373" i="7" l="1"/>
  <c r="AH1373" i="7" s="1"/>
  <c r="T1373" i="7" s="1"/>
  <c r="Z1371" i="7"/>
  <c r="N1373" i="7"/>
  <c r="Q1374" i="7"/>
  <c r="S1374" i="7" s="1"/>
  <c r="V1373" i="7"/>
  <c r="W1372" i="7"/>
  <c r="AB1372" i="7"/>
  <c r="AG1374" i="7" l="1"/>
  <c r="AH1374" i="7" s="1"/>
  <c r="T1374" i="7" s="1"/>
  <c r="Z1372" i="7"/>
  <c r="Q1375" i="7"/>
  <c r="S1375" i="7" s="1"/>
  <c r="N1374" i="7"/>
  <c r="V1374" i="7"/>
  <c r="AB1373" i="7"/>
  <c r="W1373" i="7"/>
  <c r="AG1375" i="7" l="1"/>
  <c r="AH1375" i="7" s="1"/>
  <c r="T1375" i="7" s="1"/>
  <c r="AB1374" i="7"/>
  <c r="W1374" i="7"/>
  <c r="Q1376" i="7"/>
  <c r="S1376" i="7" s="1"/>
  <c r="N1375" i="7"/>
  <c r="V1375" i="7"/>
  <c r="Z1373" i="7"/>
  <c r="AG1376" i="7" l="1"/>
  <c r="AH1376" i="7" s="1"/>
  <c r="T1376" i="7" s="1"/>
  <c r="AB1375" i="7"/>
  <c r="W1375" i="7"/>
  <c r="N1376" i="7"/>
  <c r="V1376" i="7"/>
  <c r="Q1377" i="7"/>
  <c r="S1377" i="7" s="1"/>
  <c r="Z1374" i="7"/>
  <c r="AG1377" i="7" l="1"/>
  <c r="AH1377" i="7" s="1"/>
  <c r="T1377" i="7" s="1"/>
  <c r="AB1376" i="7"/>
  <c r="W1376" i="7"/>
  <c r="N1377" i="7"/>
  <c r="V1377" i="7"/>
  <c r="Q1378" i="7"/>
  <c r="S1378" i="7" s="1"/>
  <c r="Z1375" i="7"/>
  <c r="AG1378" i="7" l="1"/>
  <c r="AH1378" i="7" s="1"/>
  <c r="T1378" i="7" s="1"/>
  <c r="V1378" i="7"/>
  <c r="N1378" i="7"/>
  <c r="Q1379" i="7"/>
  <c r="S1379" i="7" s="1"/>
  <c r="AB1377" i="7"/>
  <c r="W1377" i="7"/>
  <c r="Z1376" i="7"/>
  <c r="AG1379" i="7" l="1"/>
  <c r="AH1379" i="7" s="1"/>
  <c r="T1379" i="7" s="1"/>
  <c r="Z1377" i="7"/>
  <c r="Q1380" i="7"/>
  <c r="S1380" i="7" s="1"/>
  <c r="V1379" i="7"/>
  <c r="N1379" i="7"/>
  <c r="W1378" i="7"/>
  <c r="AB1378" i="7"/>
  <c r="AG1380" i="7" l="1"/>
  <c r="AH1380" i="7" s="1"/>
  <c r="T1380" i="7" s="1"/>
  <c r="V1380" i="7"/>
  <c r="Q1381" i="7"/>
  <c r="S1381" i="7" s="1"/>
  <c r="N1380" i="7"/>
  <c r="Z1378" i="7"/>
  <c r="AB1379" i="7"/>
  <c r="W1379" i="7"/>
  <c r="AG1381" i="7" l="1"/>
  <c r="AH1381" i="7" s="1"/>
  <c r="T1381" i="7" s="1"/>
  <c r="Z1379" i="7"/>
  <c r="N1381" i="7"/>
  <c r="Q1382" i="7"/>
  <c r="S1382" i="7" s="1"/>
  <c r="V1381" i="7"/>
  <c r="AB1380" i="7"/>
  <c r="W1380" i="7"/>
  <c r="AG1382" i="7" l="1"/>
  <c r="AH1382" i="7" s="1"/>
  <c r="T1382" i="7" s="1"/>
  <c r="Z1380" i="7"/>
  <c r="Q1383" i="7"/>
  <c r="S1383" i="7" s="1"/>
  <c r="N1382" i="7"/>
  <c r="V1382" i="7"/>
  <c r="W1381" i="7"/>
  <c r="AB1381" i="7"/>
  <c r="AG1383" i="7" l="1"/>
  <c r="AH1383" i="7" s="1"/>
  <c r="T1383" i="7" s="1"/>
  <c r="W1382" i="7"/>
  <c r="AB1382" i="7"/>
  <c r="N1383" i="7"/>
  <c r="Q1384" i="7"/>
  <c r="S1384" i="7" s="1"/>
  <c r="V1383" i="7"/>
  <c r="Z1381" i="7"/>
  <c r="AG1384" i="7" l="1"/>
  <c r="AH1384" i="7" s="1"/>
  <c r="T1384" i="7" s="1"/>
  <c r="Z1382" i="7"/>
  <c r="Q1385" i="7"/>
  <c r="S1385" i="7" s="1"/>
  <c r="N1384" i="7"/>
  <c r="V1384" i="7"/>
  <c r="W1383" i="7"/>
  <c r="AB1383" i="7"/>
  <c r="AG1385" i="7" l="1"/>
  <c r="AH1385" i="7" s="1"/>
  <c r="T1385" i="7" s="1"/>
  <c r="Z1383" i="7"/>
  <c r="W1384" i="7"/>
  <c r="AB1384" i="7"/>
  <c r="N1385" i="7"/>
  <c r="V1385" i="7"/>
  <c r="Q1386" i="7"/>
  <c r="S1386" i="7" s="1"/>
  <c r="AG1386" i="7" l="1"/>
  <c r="AH1386" i="7" s="1"/>
  <c r="T1386" i="7" s="1"/>
  <c r="AB1385" i="7"/>
  <c r="W1385" i="7"/>
  <c r="Z1384" i="7"/>
  <c r="V1386" i="7"/>
  <c r="N1386" i="7"/>
  <c r="Q1387" i="7"/>
  <c r="S1387" i="7" s="1"/>
  <c r="AG1387" i="7" l="1"/>
  <c r="AH1387" i="7" s="1"/>
  <c r="T1387" i="7" s="1"/>
  <c r="V1387" i="7"/>
  <c r="N1387" i="7"/>
  <c r="Q1388" i="7"/>
  <c r="S1388" i="7" s="1"/>
  <c r="W1386" i="7"/>
  <c r="AB1386" i="7"/>
  <c r="Z1385" i="7"/>
  <c r="AG1388" i="7" l="1"/>
  <c r="AH1388" i="7" s="1"/>
  <c r="T1388" i="7" s="1"/>
  <c r="Z1386" i="7"/>
  <c r="V1388" i="7"/>
  <c r="N1388" i="7"/>
  <c r="Q1389" i="7"/>
  <c r="S1389" i="7" s="1"/>
  <c r="W1387" i="7"/>
  <c r="AB1387" i="7"/>
  <c r="AG1389" i="7" l="1"/>
  <c r="AH1389" i="7" s="1"/>
  <c r="T1389" i="7" s="1"/>
  <c r="V1389" i="7"/>
  <c r="Q1390" i="7"/>
  <c r="S1390" i="7" s="1"/>
  <c r="N1389" i="7"/>
  <c r="AB1388" i="7"/>
  <c r="W1388" i="7"/>
  <c r="Z1387" i="7"/>
  <c r="AG1390" i="7" l="1"/>
  <c r="AH1390" i="7" s="1"/>
  <c r="T1390" i="7" s="1"/>
  <c r="Z1388" i="7"/>
  <c r="V1390" i="7"/>
  <c r="Q1391" i="7"/>
  <c r="S1391" i="7" s="1"/>
  <c r="N1390" i="7"/>
  <c r="W1389" i="7"/>
  <c r="AB1389" i="7"/>
  <c r="AG1391" i="7" l="1"/>
  <c r="AH1391" i="7" s="1"/>
  <c r="T1391" i="7" s="1"/>
  <c r="N1391" i="7"/>
  <c r="Q1392" i="7"/>
  <c r="S1392" i="7" s="1"/>
  <c r="V1391" i="7"/>
  <c r="AB1390" i="7"/>
  <c r="W1390" i="7"/>
  <c r="Z1389" i="7"/>
  <c r="AG1392" i="7" l="1"/>
  <c r="AH1392" i="7" s="1"/>
  <c r="T1392" i="7" s="1"/>
  <c r="AB1391" i="7"/>
  <c r="W1391" i="7"/>
  <c r="N1392" i="7"/>
  <c r="Q1393" i="7"/>
  <c r="S1393" i="7" s="1"/>
  <c r="V1392" i="7"/>
  <c r="Z1390" i="7"/>
  <c r="AG1393" i="7" l="1"/>
  <c r="AH1393" i="7" s="1"/>
  <c r="T1393" i="7" s="1"/>
  <c r="AB1392" i="7"/>
  <c r="W1392" i="7"/>
  <c r="Z1391" i="7"/>
  <c r="N1393" i="7"/>
  <c r="Q1394" i="7"/>
  <c r="S1394" i="7" s="1"/>
  <c r="V1393" i="7"/>
  <c r="AG1394" i="7" l="1"/>
  <c r="AH1394" i="7" s="1"/>
  <c r="T1394" i="7" s="1"/>
  <c r="AB1393" i="7"/>
  <c r="W1393" i="7"/>
  <c r="V1394" i="7"/>
  <c r="Q1395" i="7"/>
  <c r="S1395" i="7" s="1"/>
  <c r="N1394" i="7"/>
  <c r="Z1392" i="7"/>
  <c r="AG1395" i="7" l="1"/>
  <c r="AH1395" i="7" s="1"/>
  <c r="T1395" i="7" s="1"/>
  <c r="V1395" i="7"/>
  <c r="Q1396" i="7"/>
  <c r="S1396" i="7" s="1"/>
  <c r="N1395" i="7"/>
  <c r="AB1394" i="7"/>
  <c r="W1394" i="7"/>
  <c r="Z1393" i="7"/>
  <c r="AG1396" i="7" l="1"/>
  <c r="AH1396" i="7" s="1"/>
  <c r="T1396" i="7" s="1"/>
  <c r="Z1394" i="7"/>
  <c r="V1396" i="7"/>
  <c r="N1396" i="7"/>
  <c r="Q1397" i="7"/>
  <c r="S1397" i="7" s="1"/>
  <c r="AB1395" i="7"/>
  <c r="W1395" i="7"/>
  <c r="AG1397" i="7" l="1"/>
  <c r="AH1397" i="7" s="1"/>
  <c r="T1397" i="7" s="1"/>
  <c r="Z1395" i="7"/>
  <c r="Q1398" i="7"/>
  <c r="S1398" i="7" s="1"/>
  <c r="N1397" i="7"/>
  <c r="V1397" i="7"/>
  <c r="W1396" i="7"/>
  <c r="AB1396" i="7"/>
  <c r="AG1398" i="7" l="1"/>
  <c r="AH1398" i="7" s="1"/>
  <c r="T1398" i="7" s="1"/>
  <c r="Z1396" i="7"/>
  <c r="AB1397" i="7"/>
  <c r="W1397" i="7"/>
  <c r="Q1399" i="7"/>
  <c r="S1399" i="7" s="1"/>
  <c r="V1398" i="7"/>
  <c r="N1398" i="7"/>
  <c r="AG1399" i="7" l="1"/>
  <c r="AH1399" i="7" s="1"/>
  <c r="T1399" i="7" s="1"/>
  <c r="W1398" i="7"/>
  <c r="AB1398" i="7"/>
  <c r="Q1400" i="7"/>
  <c r="S1400" i="7" s="1"/>
  <c r="V1399" i="7"/>
  <c r="N1399" i="7"/>
  <c r="Z1397" i="7"/>
  <c r="AG1400" i="7" l="1"/>
  <c r="AH1400" i="7" s="1"/>
  <c r="T1400" i="7" s="1"/>
  <c r="AB1399" i="7"/>
  <c r="W1399" i="7"/>
  <c r="V1400" i="7"/>
  <c r="Q1401" i="7"/>
  <c r="S1401" i="7" s="1"/>
  <c r="N1400" i="7"/>
  <c r="Z1398" i="7"/>
  <c r="AG1401" i="7" l="1"/>
  <c r="AH1401" i="7" s="1"/>
  <c r="T1401" i="7" s="1"/>
  <c r="V1401" i="7"/>
  <c r="N1401" i="7"/>
  <c r="Q1402" i="7"/>
  <c r="S1402" i="7" s="1"/>
  <c r="Z1399" i="7"/>
  <c r="AB1400" i="7"/>
  <c r="W1400" i="7"/>
  <c r="AG1402" i="7" l="1"/>
  <c r="AH1402" i="7" s="1"/>
  <c r="T1402" i="7" s="1"/>
  <c r="V1402" i="7"/>
  <c r="Q1403" i="7"/>
  <c r="S1403" i="7" s="1"/>
  <c r="N1402" i="7"/>
  <c r="Z1400" i="7"/>
  <c r="W1401" i="7"/>
  <c r="AB1401" i="7"/>
  <c r="AG1403" i="7" l="1"/>
  <c r="AH1403" i="7" s="1"/>
  <c r="T1403" i="7" s="1"/>
  <c r="N1403" i="7"/>
  <c r="Q1404" i="7"/>
  <c r="S1404" i="7" s="1"/>
  <c r="V1403" i="7"/>
  <c r="Z1401" i="7"/>
  <c r="AB1402" i="7"/>
  <c r="W1402" i="7"/>
  <c r="AG1404" i="7" l="1"/>
  <c r="AH1404" i="7" s="1"/>
  <c r="T1404" i="7" s="1"/>
  <c r="Z1402" i="7"/>
  <c r="W1403" i="7"/>
  <c r="AB1403" i="7"/>
  <c r="N1404" i="7"/>
  <c r="V1404" i="7"/>
  <c r="Q1405" i="7"/>
  <c r="S1405" i="7" s="1"/>
  <c r="AG1405" i="7" l="1"/>
  <c r="AH1405" i="7" s="1"/>
  <c r="T1405" i="7" s="1"/>
  <c r="Z1403" i="7"/>
  <c r="AB1404" i="7"/>
  <c r="W1404" i="7"/>
  <c r="N1405" i="7"/>
  <c r="Q1406" i="7"/>
  <c r="S1406" i="7" s="1"/>
  <c r="V1405" i="7"/>
  <c r="AG1406" i="7" l="1"/>
  <c r="AH1406" i="7" s="1"/>
  <c r="T1406" i="7" s="1"/>
  <c r="Z1404" i="7"/>
  <c r="V1406" i="7"/>
  <c r="Q1407" i="7"/>
  <c r="S1407" i="7" s="1"/>
  <c r="N1406" i="7"/>
  <c r="AB1405" i="7"/>
  <c r="W1405" i="7"/>
  <c r="AG1407" i="7" l="1"/>
  <c r="AH1407" i="7" s="1"/>
  <c r="T1407" i="7" s="1"/>
  <c r="Z1405" i="7"/>
  <c r="W1406" i="7"/>
  <c r="AB1406" i="7"/>
  <c r="V1407" i="7"/>
  <c r="Q1408" i="7"/>
  <c r="S1408" i="7" s="1"/>
  <c r="N1407" i="7"/>
  <c r="AG1408" i="7" l="1"/>
  <c r="AH1408" i="7" s="1"/>
  <c r="T1408" i="7" s="1"/>
  <c r="Z1406" i="7"/>
  <c r="Q1409" i="7"/>
  <c r="S1409" i="7" s="1"/>
  <c r="N1408" i="7"/>
  <c r="V1408" i="7"/>
  <c r="W1407" i="7"/>
  <c r="AB1407" i="7"/>
  <c r="AG1409" i="7" l="1"/>
  <c r="AH1409" i="7" s="1"/>
  <c r="T1409" i="7" s="1"/>
  <c r="V1409" i="7"/>
  <c r="Q1410" i="7"/>
  <c r="S1410" i="7" s="1"/>
  <c r="N1409" i="7"/>
  <c r="Z1407" i="7"/>
  <c r="W1408" i="7"/>
  <c r="AB1408" i="7"/>
  <c r="AG1410" i="7" l="1"/>
  <c r="AH1410" i="7" s="1"/>
  <c r="T1410" i="7" s="1"/>
  <c r="V1410" i="7"/>
  <c r="N1410" i="7"/>
  <c r="Q1411" i="7"/>
  <c r="S1411" i="7" s="1"/>
  <c r="W1409" i="7"/>
  <c r="AB1409" i="7"/>
  <c r="Z1408" i="7"/>
  <c r="AG1411" i="7" l="1"/>
  <c r="AH1411" i="7" s="1"/>
  <c r="T1411" i="7" s="1"/>
  <c r="Z1409" i="7"/>
  <c r="Q1412" i="7"/>
  <c r="S1412" i="7" s="1"/>
  <c r="V1411" i="7"/>
  <c r="N1411" i="7"/>
  <c r="AB1410" i="7"/>
  <c r="W1410" i="7"/>
  <c r="AG1412" i="7" l="1"/>
  <c r="AH1412" i="7" s="1"/>
  <c r="T1412" i="7" s="1"/>
  <c r="W1411" i="7"/>
  <c r="AB1411" i="7"/>
  <c r="Q1413" i="7"/>
  <c r="S1413" i="7" s="1"/>
  <c r="N1412" i="7"/>
  <c r="V1412" i="7"/>
  <c r="Z1410" i="7"/>
  <c r="AG1413" i="7" l="1"/>
  <c r="AH1413" i="7" s="1"/>
  <c r="T1413" i="7" s="1"/>
  <c r="W1412" i="7"/>
  <c r="AB1412" i="7"/>
  <c r="Q1414" i="7"/>
  <c r="S1414" i="7" s="1"/>
  <c r="N1413" i="7"/>
  <c r="V1413" i="7"/>
  <c r="Z1411" i="7"/>
  <c r="AG1414" i="7" l="1"/>
  <c r="AH1414" i="7" s="1"/>
  <c r="T1414" i="7" s="1"/>
  <c r="N1414" i="7"/>
  <c r="Q1415" i="7"/>
  <c r="S1415" i="7" s="1"/>
  <c r="V1414" i="7"/>
  <c r="W1413" i="7"/>
  <c r="AB1413" i="7"/>
  <c r="Z1412" i="7"/>
  <c r="AG1415" i="7" l="1"/>
  <c r="AH1415" i="7" s="1"/>
  <c r="T1415" i="7" s="1"/>
  <c r="AB1414" i="7"/>
  <c r="W1414" i="7"/>
  <c r="V1415" i="7"/>
  <c r="N1415" i="7"/>
  <c r="Q1416" i="7"/>
  <c r="S1416" i="7" s="1"/>
  <c r="Z1413" i="7"/>
  <c r="AG1416" i="7" l="1"/>
  <c r="AH1416" i="7" s="1"/>
  <c r="T1416" i="7" s="1"/>
  <c r="V1416" i="7"/>
  <c r="N1416" i="7"/>
  <c r="Q1417" i="7"/>
  <c r="S1417" i="7" s="1"/>
  <c r="AB1415" i="7"/>
  <c r="W1415" i="7"/>
  <c r="Z1414" i="7"/>
  <c r="AG1417" i="7" l="1"/>
  <c r="AH1417" i="7" s="1"/>
  <c r="T1417" i="7" s="1"/>
  <c r="Q1418" i="7"/>
  <c r="S1418" i="7" s="1"/>
  <c r="N1417" i="7"/>
  <c r="V1417" i="7"/>
  <c r="Z1415" i="7"/>
  <c r="AB1416" i="7"/>
  <c r="W1416" i="7"/>
  <c r="AG1418" i="7" l="1"/>
  <c r="AH1418" i="7" s="1"/>
  <c r="T1418" i="7" s="1"/>
  <c r="Z1416" i="7"/>
  <c r="W1417" i="7"/>
  <c r="AB1417" i="7"/>
  <c r="N1418" i="7"/>
  <c r="Q1419" i="7"/>
  <c r="S1419" i="7" s="1"/>
  <c r="V1418" i="7"/>
  <c r="AG1419" i="7" l="1"/>
  <c r="AH1419" i="7" s="1"/>
  <c r="T1419" i="7" s="1"/>
  <c r="AB1418" i="7"/>
  <c r="W1418" i="7"/>
  <c r="Z1417" i="7"/>
  <c r="Q1420" i="7"/>
  <c r="S1420" i="7" s="1"/>
  <c r="V1419" i="7"/>
  <c r="N1419" i="7"/>
  <c r="AG1420" i="7" l="1"/>
  <c r="AH1420" i="7" s="1"/>
  <c r="T1420" i="7" s="1"/>
  <c r="AB1419" i="7"/>
  <c r="W1419" i="7"/>
  <c r="N1420" i="7"/>
  <c r="Q1421" i="7"/>
  <c r="S1421" i="7" s="1"/>
  <c r="V1420" i="7"/>
  <c r="Z1418" i="7"/>
  <c r="AG1421" i="7" l="1"/>
  <c r="AH1421" i="7" s="1"/>
  <c r="T1421" i="7" s="1"/>
  <c r="V1421" i="7"/>
  <c r="Q1422" i="7"/>
  <c r="S1422" i="7" s="1"/>
  <c r="N1421" i="7"/>
  <c r="W1420" i="7"/>
  <c r="AB1420" i="7"/>
  <c r="Z1419" i="7"/>
  <c r="AG1422" i="7" l="1"/>
  <c r="AH1422" i="7" s="1"/>
  <c r="T1422" i="7" s="1"/>
  <c r="Z1420" i="7"/>
  <c r="Q1423" i="7"/>
  <c r="S1423" i="7" s="1"/>
  <c r="N1422" i="7"/>
  <c r="V1422" i="7"/>
  <c r="AB1421" i="7"/>
  <c r="W1421" i="7"/>
  <c r="AG1423" i="7" l="1"/>
  <c r="AH1423" i="7" s="1"/>
  <c r="T1423" i="7" s="1"/>
  <c r="AB1422" i="7"/>
  <c r="W1422" i="7"/>
  <c r="V1423" i="7"/>
  <c r="N1423" i="7"/>
  <c r="Q1424" i="7"/>
  <c r="S1424" i="7" s="1"/>
  <c r="Z1421" i="7"/>
  <c r="AG1424" i="7" l="1"/>
  <c r="AH1424" i="7" s="1"/>
  <c r="T1424" i="7" s="1"/>
  <c r="N1424" i="7"/>
  <c r="Q1425" i="7"/>
  <c r="S1425" i="7" s="1"/>
  <c r="V1424" i="7"/>
  <c r="W1423" i="7"/>
  <c r="AB1423" i="7"/>
  <c r="Z1422" i="7"/>
  <c r="AG1425" i="7" l="1"/>
  <c r="AH1425" i="7" s="1"/>
  <c r="T1425" i="7" s="1"/>
  <c r="W1424" i="7"/>
  <c r="AB1424" i="7"/>
  <c r="Z1423" i="7"/>
  <c r="Q1426" i="7"/>
  <c r="S1426" i="7" s="1"/>
  <c r="V1425" i="7"/>
  <c r="N1425" i="7"/>
  <c r="AG1426" i="7" l="1"/>
  <c r="AH1426" i="7" s="1"/>
  <c r="T1426" i="7" s="1"/>
  <c r="AB1425" i="7"/>
  <c r="W1425" i="7"/>
  <c r="Q1427" i="7"/>
  <c r="S1427" i="7" s="1"/>
  <c r="V1426" i="7"/>
  <c r="N1426" i="7"/>
  <c r="Z1424" i="7"/>
  <c r="AG1427" i="7" l="1"/>
  <c r="AH1427" i="7" s="1"/>
  <c r="T1427" i="7" s="1"/>
  <c r="Q1428" i="7"/>
  <c r="S1428" i="7" s="1"/>
  <c r="V1427" i="7"/>
  <c r="N1427" i="7"/>
  <c r="W1426" i="7"/>
  <c r="AB1426" i="7"/>
  <c r="Z1425" i="7"/>
  <c r="AG1428" i="7" l="1"/>
  <c r="AH1428" i="7" s="1"/>
  <c r="T1428" i="7" s="1"/>
  <c r="W1427" i="7"/>
  <c r="AB1427" i="7"/>
  <c r="Z1426" i="7"/>
  <c r="V1428" i="7"/>
  <c r="N1428" i="7"/>
  <c r="Q1429" i="7"/>
  <c r="S1429" i="7" s="1"/>
  <c r="AG1429" i="7" l="1"/>
  <c r="AH1429" i="7" s="1"/>
  <c r="T1429" i="7" s="1"/>
  <c r="W1428" i="7"/>
  <c r="AB1428" i="7"/>
  <c r="Z1427" i="7"/>
  <c r="V1429" i="7"/>
  <c r="Q1430" i="7"/>
  <c r="S1430" i="7" s="1"/>
  <c r="N1429" i="7"/>
  <c r="AG1430" i="7" l="1"/>
  <c r="AH1430" i="7" s="1"/>
  <c r="T1430" i="7" s="1"/>
  <c r="W1429" i="7"/>
  <c r="AB1429" i="7"/>
  <c r="Q1431" i="7"/>
  <c r="S1431" i="7" s="1"/>
  <c r="V1430" i="7"/>
  <c r="N1430" i="7"/>
  <c r="Z1428" i="7"/>
  <c r="AG1431" i="7" l="1"/>
  <c r="AH1431" i="7" s="1"/>
  <c r="T1431" i="7" s="1"/>
  <c r="Q1432" i="7"/>
  <c r="S1432" i="7" s="1"/>
  <c r="V1431" i="7"/>
  <c r="N1431" i="7"/>
  <c r="Z1429" i="7"/>
  <c r="AB1430" i="7"/>
  <c r="W1430" i="7"/>
  <c r="AG1432" i="7" l="1"/>
  <c r="AH1432" i="7" s="1"/>
  <c r="T1432" i="7" s="1"/>
  <c r="Z1430" i="7"/>
  <c r="N1432" i="7"/>
  <c r="V1432" i="7"/>
  <c r="Q1433" i="7"/>
  <c r="S1433" i="7" s="1"/>
  <c r="AB1431" i="7"/>
  <c r="W1431" i="7"/>
  <c r="AG1433" i="7" l="1"/>
  <c r="AH1433" i="7" s="1"/>
  <c r="T1433" i="7" s="1"/>
  <c r="N1433" i="7"/>
  <c r="V1433" i="7"/>
  <c r="Q1434" i="7"/>
  <c r="S1434" i="7" s="1"/>
  <c r="Z1431" i="7"/>
  <c r="AB1432" i="7"/>
  <c r="W1432" i="7"/>
  <c r="AG1434" i="7" l="1"/>
  <c r="AH1434" i="7" s="1"/>
  <c r="T1434" i="7" s="1"/>
  <c r="N1434" i="7"/>
  <c r="Q1435" i="7"/>
  <c r="S1435" i="7" s="1"/>
  <c r="V1434" i="7"/>
  <c r="Z1432" i="7"/>
  <c r="AB1433" i="7"/>
  <c r="W1433" i="7"/>
  <c r="AG1435" i="7" l="1"/>
  <c r="AH1435" i="7" s="1"/>
  <c r="T1435" i="7" s="1"/>
  <c r="Z1433" i="7"/>
  <c r="AB1434" i="7"/>
  <c r="W1434" i="7"/>
  <c r="N1435" i="7"/>
  <c r="V1435" i="7"/>
  <c r="Q1436" i="7"/>
  <c r="S1436" i="7" s="1"/>
  <c r="AG1436" i="7" l="1"/>
  <c r="AH1436" i="7" s="1"/>
  <c r="T1436" i="7" s="1"/>
  <c r="AB1435" i="7"/>
  <c r="W1435" i="7"/>
  <c r="Z1434" i="7"/>
  <c r="V1436" i="7"/>
  <c r="Q1437" i="7"/>
  <c r="S1437" i="7" s="1"/>
  <c r="N1436" i="7"/>
  <c r="AG1437" i="7" l="1"/>
  <c r="AH1437" i="7" s="1"/>
  <c r="T1437" i="7" s="1"/>
  <c r="N1437" i="7"/>
  <c r="V1437" i="7"/>
  <c r="Q1438" i="7"/>
  <c r="S1438" i="7" s="1"/>
  <c r="AB1436" i="7"/>
  <c r="W1436" i="7"/>
  <c r="Z1435" i="7"/>
  <c r="AG1438" i="7" l="1"/>
  <c r="AH1438" i="7" s="1"/>
  <c r="T1438" i="7" s="1"/>
  <c r="Z1436" i="7"/>
  <c r="V1438" i="7"/>
  <c r="Q1439" i="7"/>
  <c r="S1439" i="7" s="1"/>
  <c r="N1438" i="7"/>
  <c r="AB1437" i="7"/>
  <c r="W1437" i="7"/>
  <c r="AG1439" i="7" l="1"/>
  <c r="AH1439" i="7" s="1"/>
  <c r="T1439" i="7" s="1"/>
  <c r="Z1437" i="7"/>
  <c r="W1438" i="7"/>
  <c r="AB1438" i="7"/>
  <c r="Q1440" i="7"/>
  <c r="S1440" i="7" s="1"/>
  <c r="V1439" i="7"/>
  <c r="N1439" i="7"/>
  <c r="AG1440" i="7" l="1"/>
  <c r="AH1440" i="7" s="1"/>
  <c r="T1440" i="7" s="1"/>
  <c r="AB1439" i="7"/>
  <c r="W1439" i="7"/>
  <c r="Z1438" i="7"/>
  <c r="N1440" i="7"/>
  <c r="V1440" i="7"/>
  <c r="Q1441" i="7"/>
  <c r="S1441" i="7" s="1"/>
  <c r="AG1441" i="7" l="1"/>
  <c r="AH1441" i="7" s="1"/>
  <c r="T1441" i="7" s="1"/>
  <c r="W1440" i="7"/>
  <c r="AB1440" i="7"/>
  <c r="V1441" i="7"/>
  <c r="N1441" i="7"/>
  <c r="Q1442" i="7"/>
  <c r="S1442" i="7" s="1"/>
  <c r="Z1439" i="7"/>
  <c r="AG1442" i="7" l="1"/>
  <c r="AH1442" i="7" s="1"/>
  <c r="T1442" i="7" s="1"/>
  <c r="Q1443" i="7"/>
  <c r="S1443" i="7" s="1"/>
  <c r="V1442" i="7"/>
  <c r="N1442" i="7"/>
  <c r="AB1441" i="7"/>
  <c r="W1441" i="7"/>
  <c r="Z1440" i="7"/>
  <c r="AG1443" i="7" l="1"/>
  <c r="AH1443" i="7" s="1"/>
  <c r="T1443" i="7" s="1"/>
  <c r="Z1441" i="7"/>
  <c r="W1442" i="7"/>
  <c r="AB1442" i="7"/>
  <c r="Q1444" i="7"/>
  <c r="S1444" i="7" s="1"/>
  <c r="N1443" i="7"/>
  <c r="V1443" i="7"/>
  <c r="AG1444" i="7" l="1"/>
  <c r="AH1444" i="7" s="1"/>
  <c r="T1444" i="7" s="1"/>
  <c r="W1443" i="7"/>
  <c r="AB1443" i="7"/>
  <c r="Z1442" i="7"/>
  <c r="V1444" i="7"/>
  <c r="Q1445" i="7"/>
  <c r="S1445" i="7" s="1"/>
  <c r="N1444" i="7"/>
  <c r="AG1445" i="7" l="1"/>
  <c r="AH1445" i="7" s="1"/>
  <c r="T1445" i="7" s="1"/>
  <c r="N1445" i="7"/>
  <c r="Q1446" i="7"/>
  <c r="S1446" i="7" s="1"/>
  <c r="V1445" i="7"/>
  <c r="W1444" i="7"/>
  <c r="AB1444" i="7"/>
  <c r="Z1443" i="7"/>
  <c r="AG1446" i="7" l="1"/>
  <c r="AH1446" i="7" s="1"/>
  <c r="T1446" i="7" s="1"/>
  <c r="W1445" i="7"/>
  <c r="AB1445" i="7"/>
  <c r="V1446" i="7"/>
  <c r="N1446" i="7"/>
  <c r="Q1447" i="7"/>
  <c r="S1447" i="7" s="1"/>
  <c r="Z1444" i="7"/>
  <c r="AG1447" i="7" l="1"/>
  <c r="AH1447" i="7" s="1"/>
  <c r="T1447" i="7" s="1"/>
  <c r="N1447" i="7"/>
  <c r="Q1448" i="7"/>
  <c r="S1448" i="7" s="1"/>
  <c r="V1447" i="7"/>
  <c r="Z1445" i="7"/>
  <c r="AB1446" i="7"/>
  <c r="W1446" i="7"/>
  <c r="AG1448" i="7" l="1"/>
  <c r="AH1448" i="7" s="1"/>
  <c r="T1448" i="7" s="1"/>
  <c r="Z1446" i="7"/>
  <c r="AB1447" i="7"/>
  <c r="W1447" i="7"/>
  <c r="Q1449" i="7"/>
  <c r="S1449" i="7" s="1"/>
  <c r="N1448" i="7"/>
  <c r="V1448" i="7"/>
  <c r="AG1449" i="7" l="1"/>
  <c r="AH1449" i="7" s="1"/>
  <c r="T1449" i="7" s="1"/>
  <c r="AB1448" i="7"/>
  <c r="W1448" i="7"/>
  <c r="Q1450" i="7"/>
  <c r="S1450" i="7" s="1"/>
  <c r="N1449" i="7"/>
  <c r="V1449" i="7"/>
  <c r="Z1447" i="7"/>
  <c r="AG1450" i="7" l="1"/>
  <c r="AH1450" i="7" s="1"/>
  <c r="T1450" i="7" s="1"/>
  <c r="N1450" i="7"/>
  <c r="V1450" i="7"/>
  <c r="Q1451" i="7"/>
  <c r="S1451" i="7" s="1"/>
  <c r="AB1449" i="7"/>
  <c r="W1449" i="7"/>
  <c r="Z1448" i="7"/>
  <c r="AG1451" i="7" l="1"/>
  <c r="AH1451" i="7" s="1"/>
  <c r="T1451" i="7" s="1"/>
  <c r="Q1452" i="7"/>
  <c r="S1452" i="7" s="1"/>
  <c r="V1451" i="7"/>
  <c r="N1451" i="7"/>
  <c r="W1450" i="7"/>
  <c r="AB1450" i="7"/>
  <c r="Z1449" i="7"/>
  <c r="AG1452" i="7" l="1"/>
  <c r="AH1452" i="7" s="1"/>
  <c r="T1452" i="7" s="1"/>
  <c r="Z1450" i="7"/>
  <c r="AB1451" i="7"/>
  <c r="W1451" i="7"/>
  <c r="V1452" i="7"/>
  <c r="N1452" i="7"/>
  <c r="Q1453" i="7"/>
  <c r="S1453" i="7" s="1"/>
  <c r="AG1453" i="7" l="1"/>
  <c r="AH1453" i="7" s="1"/>
  <c r="T1453" i="7" s="1"/>
  <c r="AB1452" i="7"/>
  <c r="W1452" i="7"/>
  <c r="Z1451" i="7"/>
  <c r="Q1454" i="7"/>
  <c r="S1454" i="7" s="1"/>
  <c r="V1453" i="7"/>
  <c r="N1453" i="7"/>
  <c r="AG1454" i="7" l="1"/>
  <c r="AH1454" i="7" s="1"/>
  <c r="T1454" i="7" s="1"/>
  <c r="Q1455" i="7"/>
  <c r="S1455" i="7" s="1"/>
  <c r="V1454" i="7"/>
  <c r="N1454" i="7"/>
  <c r="AB1453" i="7"/>
  <c r="W1453" i="7"/>
  <c r="Z1452" i="7"/>
  <c r="AG1455" i="7" l="1"/>
  <c r="AH1455" i="7" s="1"/>
  <c r="T1455" i="7" s="1"/>
  <c r="Z1453" i="7"/>
  <c r="W1454" i="7"/>
  <c r="AB1454" i="7"/>
  <c r="V1455" i="7"/>
  <c r="N1455" i="7"/>
  <c r="Q1456" i="7"/>
  <c r="S1456" i="7" s="1"/>
  <c r="AG1456" i="7" l="1"/>
  <c r="AH1456" i="7" s="1"/>
  <c r="T1456" i="7" s="1"/>
  <c r="AB1455" i="7"/>
  <c r="W1455" i="7"/>
  <c r="Z1454" i="7"/>
  <c r="Q1457" i="7"/>
  <c r="S1457" i="7" s="1"/>
  <c r="N1456" i="7"/>
  <c r="V1456" i="7"/>
  <c r="AG1457" i="7" l="1"/>
  <c r="AH1457" i="7" s="1"/>
  <c r="T1457" i="7" s="1"/>
  <c r="Q1458" i="7"/>
  <c r="S1458" i="7" s="1"/>
  <c r="N1457" i="7"/>
  <c r="V1457" i="7"/>
  <c r="AB1456" i="7"/>
  <c r="W1456" i="7"/>
  <c r="Z1455" i="7"/>
  <c r="AG1458" i="7" l="1"/>
  <c r="AH1458" i="7" s="1"/>
  <c r="T1458" i="7" s="1"/>
  <c r="Z1456" i="7"/>
  <c r="W1457" i="7"/>
  <c r="AB1457" i="7"/>
  <c r="N1458" i="7"/>
  <c r="V1458" i="7"/>
  <c r="Q1459" i="7"/>
  <c r="S1459" i="7" s="1"/>
  <c r="AG1459" i="7" l="1"/>
  <c r="AH1459" i="7" s="1"/>
  <c r="T1459" i="7" s="1"/>
  <c r="Q1460" i="7"/>
  <c r="S1460" i="7" s="1"/>
  <c r="V1459" i="7"/>
  <c r="N1459" i="7"/>
  <c r="Z1457" i="7"/>
  <c r="W1458" i="7"/>
  <c r="AB1458" i="7"/>
  <c r="AG1460" i="7" l="1"/>
  <c r="AH1460" i="7" s="1"/>
  <c r="T1460" i="7" s="1"/>
  <c r="AB1459" i="7"/>
  <c r="W1459" i="7"/>
  <c r="Z1458" i="7"/>
  <c r="Q1461" i="7"/>
  <c r="S1461" i="7" s="1"/>
  <c r="V1460" i="7"/>
  <c r="N1460" i="7"/>
  <c r="AG1461" i="7" l="1"/>
  <c r="AH1461" i="7" s="1"/>
  <c r="T1461" i="7" s="1"/>
  <c r="N1461" i="7"/>
  <c r="V1461" i="7"/>
  <c r="Q1462" i="7"/>
  <c r="S1462" i="7" s="1"/>
  <c r="W1460" i="7"/>
  <c r="AB1460" i="7"/>
  <c r="Z1459" i="7"/>
  <c r="AG1462" i="7" l="1"/>
  <c r="AH1462" i="7" s="1"/>
  <c r="T1462" i="7" s="1"/>
  <c r="Z1460" i="7"/>
  <c r="N1462" i="7"/>
  <c r="V1462" i="7"/>
  <c r="Q1463" i="7"/>
  <c r="S1463" i="7" s="1"/>
  <c r="AB1461" i="7"/>
  <c r="W1461" i="7"/>
  <c r="AG1463" i="7" l="1"/>
  <c r="AH1463" i="7" s="1"/>
  <c r="T1463" i="7" s="1"/>
  <c r="N1463" i="7"/>
  <c r="Q1464" i="7"/>
  <c r="S1464" i="7" s="1"/>
  <c r="V1463" i="7"/>
  <c r="AB1462" i="7"/>
  <c r="W1462" i="7"/>
  <c r="Z1461" i="7"/>
  <c r="AG1464" i="7" l="1"/>
  <c r="AH1464" i="7" s="1"/>
  <c r="T1464" i="7" s="1"/>
  <c r="AB1463" i="7"/>
  <c r="W1463" i="7"/>
  <c r="Z1462" i="7"/>
  <c r="V1464" i="7"/>
  <c r="Q1465" i="7"/>
  <c r="S1465" i="7" s="1"/>
  <c r="N1464" i="7"/>
  <c r="AG1465" i="7" l="1"/>
  <c r="AH1465" i="7" s="1"/>
  <c r="T1465" i="7" s="1"/>
  <c r="AB1464" i="7"/>
  <c r="W1464" i="7"/>
  <c r="N1465" i="7"/>
  <c r="Q1466" i="7"/>
  <c r="S1466" i="7" s="1"/>
  <c r="V1465" i="7"/>
  <c r="Z1463" i="7"/>
  <c r="AG1466" i="7" l="1"/>
  <c r="AH1466" i="7" s="1"/>
  <c r="T1466" i="7" s="1"/>
  <c r="Q1467" i="7"/>
  <c r="S1467" i="7" s="1"/>
  <c r="N1466" i="7"/>
  <c r="V1466" i="7"/>
  <c r="AB1465" i="7"/>
  <c r="W1465" i="7"/>
  <c r="Z1464" i="7"/>
  <c r="AG1467" i="7" l="1"/>
  <c r="AH1467" i="7" s="1"/>
  <c r="T1467" i="7" s="1"/>
  <c r="W1466" i="7"/>
  <c r="AB1466" i="7"/>
  <c r="Z1465" i="7"/>
  <c r="Q1468" i="7"/>
  <c r="S1468" i="7" s="1"/>
  <c r="V1467" i="7"/>
  <c r="N1467" i="7"/>
  <c r="AG1468" i="7" l="1"/>
  <c r="AH1468" i="7" s="1"/>
  <c r="T1468" i="7" s="1"/>
  <c r="V1468" i="7"/>
  <c r="N1468" i="7"/>
  <c r="Q1469" i="7"/>
  <c r="S1469" i="7" s="1"/>
  <c r="AB1467" i="7"/>
  <c r="W1467" i="7"/>
  <c r="Z1466" i="7"/>
  <c r="AG1469" i="7" l="1"/>
  <c r="AH1469" i="7" s="1"/>
  <c r="T1469" i="7" s="1"/>
  <c r="Z1467" i="7"/>
  <c r="V1469" i="7"/>
  <c r="Q1470" i="7"/>
  <c r="S1470" i="7" s="1"/>
  <c r="N1469" i="7"/>
  <c r="W1468" i="7"/>
  <c r="AB1468" i="7"/>
  <c r="AG1470" i="7" l="1"/>
  <c r="AH1470" i="7" s="1"/>
  <c r="T1470" i="7" s="1"/>
  <c r="Q1471" i="7"/>
  <c r="S1471" i="7" s="1"/>
  <c r="N1470" i="7"/>
  <c r="V1470" i="7"/>
  <c r="W1469" i="7"/>
  <c r="AB1469" i="7"/>
  <c r="Z1468" i="7"/>
  <c r="AG1471" i="7" l="1"/>
  <c r="AH1471" i="7" s="1"/>
  <c r="T1471" i="7" s="1"/>
  <c r="AB1470" i="7"/>
  <c r="W1470" i="7"/>
  <c r="Z1469" i="7"/>
  <c r="N1471" i="7"/>
  <c r="V1471" i="7"/>
  <c r="Q1472" i="7"/>
  <c r="S1472" i="7" s="1"/>
  <c r="AG1472" i="7" l="1"/>
  <c r="AH1472" i="7" s="1"/>
  <c r="T1472" i="7" s="1"/>
  <c r="Z1470" i="7"/>
  <c r="W1471" i="7"/>
  <c r="AB1471" i="7"/>
  <c r="N1472" i="7"/>
  <c r="Q1473" i="7"/>
  <c r="S1473" i="7" s="1"/>
  <c r="V1472" i="7"/>
  <c r="AG1473" i="7" l="1"/>
  <c r="AH1473" i="7" s="1"/>
  <c r="T1473" i="7" s="1"/>
  <c r="Z1471" i="7"/>
  <c r="Q1474" i="7"/>
  <c r="S1474" i="7" s="1"/>
  <c r="V1473" i="7"/>
  <c r="N1473" i="7"/>
  <c r="AB1472" i="7"/>
  <c r="W1472" i="7"/>
  <c r="AG1474" i="7" l="1"/>
  <c r="AH1474" i="7" s="1"/>
  <c r="T1474" i="7" s="1"/>
  <c r="Z1472" i="7"/>
  <c r="Q1475" i="7"/>
  <c r="S1475" i="7" s="1"/>
  <c r="V1474" i="7"/>
  <c r="N1474" i="7"/>
  <c r="AB1473" i="7"/>
  <c r="W1473" i="7"/>
  <c r="AG1475" i="7" l="1"/>
  <c r="AH1475" i="7" s="1"/>
  <c r="T1475" i="7" s="1"/>
  <c r="V1475" i="7"/>
  <c r="Q1476" i="7"/>
  <c r="S1476" i="7" s="1"/>
  <c r="N1475" i="7"/>
  <c r="Z1473" i="7"/>
  <c r="W1474" i="7"/>
  <c r="AB1474" i="7"/>
  <c r="AG1476" i="7" l="1"/>
  <c r="AH1476" i="7" s="1"/>
  <c r="T1476" i="7" s="1"/>
  <c r="V1476" i="7"/>
  <c r="N1476" i="7"/>
  <c r="Q1477" i="7"/>
  <c r="S1477" i="7" s="1"/>
  <c r="Z1474" i="7"/>
  <c r="AB1475" i="7"/>
  <c r="W1475" i="7"/>
  <c r="AG1477" i="7" l="1"/>
  <c r="AH1477" i="7" s="1"/>
  <c r="T1477" i="7" s="1"/>
  <c r="Z1475" i="7"/>
  <c r="Q1478" i="7"/>
  <c r="S1478" i="7" s="1"/>
  <c r="V1477" i="7"/>
  <c r="N1477" i="7"/>
  <c r="AB1476" i="7"/>
  <c r="W1476" i="7"/>
  <c r="AG1478" i="7" l="1"/>
  <c r="AH1478" i="7" s="1"/>
  <c r="T1478" i="7" s="1"/>
  <c r="Z1476" i="7"/>
  <c r="AB1477" i="7"/>
  <c r="W1477" i="7"/>
  <c r="N1478" i="7"/>
  <c r="V1478" i="7"/>
  <c r="Q1479" i="7"/>
  <c r="S1479" i="7" s="1"/>
  <c r="AG1479" i="7" l="1"/>
  <c r="AH1479" i="7" s="1"/>
  <c r="T1479" i="7" s="1"/>
  <c r="Z1477" i="7"/>
  <c r="W1478" i="7"/>
  <c r="AB1478" i="7"/>
  <c r="N1479" i="7"/>
  <c r="Q1480" i="7"/>
  <c r="S1480" i="7" s="1"/>
  <c r="V1479" i="7"/>
  <c r="AG1480" i="7" l="1"/>
  <c r="AH1480" i="7" s="1"/>
  <c r="T1480" i="7" s="1"/>
  <c r="V1480" i="7"/>
  <c r="N1480" i="7"/>
  <c r="Q1481" i="7"/>
  <c r="S1481" i="7" s="1"/>
  <c r="AB1479" i="7"/>
  <c r="W1479" i="7"/>
  <c r="Z1478" i="7"/>
  <c r="AG1481" i="7" l="1"/>
  <c r="AH1481" i="7" s="1"/>
  <c r="T1481" i="7" s="1"/>
  <c r="Z1479" i="7"/>
  <c r="Q1482" i="7"/>
  <c r="S1482" i="7" s="1"/>
  <c r="V1481" i="7"/>
  <c r="N1481" i="7"/>
  <c r="AB1480" i="7"/>
  <c r="W1480" i="7"/>
  <c r="AG1482" i="7" l="1"/>
  <c r="AH1482" i="7" s="1"/>
  <c r="T1482" i="7" s="1"/>
  <c r="Z1480" i="7"/>
  <c r="Q1483" i="7"/>
  <c r="S1483" i="7" s="1"/>
  <c r="V1482" i="7"/>
  <c r="N1482" i="7"/>
  <c r="W1481" i="7"/>
  <c r="AB1481" i="7"/>
  <c r="AG1483" i="7" l="1"/>
  <c r="AH1483" i="7" s="1"/>
  <c r="T1483" i="7" s="1"/>
  <c r="AB1482" i="7"/>
  <c r="W1482" i="7"/>
  <c r="N1483" i="7"/>
  <c r="V1483" i="7"/>
  <c r="Q1484" i="7"/>
  <c r="S1484" i="7" s="1"/>
  <c r="Z1481" i="7"/>
  <c r="AG1484" i="7" l="1"/>
  <c r="AH1484" i="7" s="1"/>
  <c r="T1484" i="7" s="1"/>
  <c r="Q1485" i="7"/>
  <c r="S1485" i="7" s="1"/>
  <c r="V1484" i="7"/>
  <c r="N1484" i="7"/>
  <c r="AB1483" i="7"/>
  <c r="W1483" i="7"/>
  <c r="Z1482" i="7"/>
  <c r="AG1485" i="7" l="1"/>
  <c r="AH1485" i="7" s="1"/>
  <c r="T1485" i="7" s="1"/>
  <c r="W1484" i="7"/>
  <c r="AB1484" i="7"/>
  <c r="Z1483" i="7"/>
  <c r="N1485" i="7"/>
  <c r="V1485" i="7"/>
  <c r="Q1486" i="7"/>
  <c r="S1486" i="7" s="1"/>
  <c r="AG1486" i="7" l="1"/>
  <c r="AH1486" i="7" s="1"/>
  <c r="T1486" i="7" s="1"/>
  <c r="Q1487" i="7" s="1"/>
  <c r="S1487" i="7" s="1"/>
  <c r="N1486" i="7"/>
  <c r="V1486" i="7"/>
  <c r="Z1484" i="7"/>
  <c r="W1485" i="7"/>
  <c r="AB1485" i="7"/>
  <c r="AG1487" i="7" l="1"/>
  <c r="AH1487" i="7" s="1"/>
  <c r="T1487" i="7" s="1"/>
  <c r="Q1488" i="7" s="1"/>
  <c r="S1488" i="7" s="1"/>
  <c r="Z1485" i="7"/>
  <c r="AB1486" i="7"/>
  <c r="W1486" i="7"/>
  <c r="V1487" i="7"/>
  <c r="N1487" i="7"/>
  <c r="AG1488" i="7" l="1"/>
  <c r="AH1488" i="7" s="1"/>
  <c r="T1488" i="7" s="1"/>
  <c r="Q1489" i="7" s="1"/>
  <c r="S1489" i="7" s="1"/>
  <c r="W1487" i="7"/>
  <c r="AB1487" i="7"/>
  <c r="Z1486" i="7"/>
  <c r="N1488" i="7"/>
  <c r="V1488" i="7"/>
  <c r="AG1489" i="7" l="1"/>
  <c r="AH1489" i="7" s="1"/>
  <c r="T1489" i="7" s="1"/>
  <c r="Q1490" i="7" s="1"/>
  <c r="S1490" i="7" s="1"/>
  <c r="AB1488" i="7"/>
  <c r="W1488" i="7"/>
  <c r="Z1487" i="7"/>
  <c r="V1489" i="7"/>
  <c r="N1489" i="7"/>
  <c r="AG1490" i="7" l="1"/>
  <c r="AH1490" i="7" s="1"/>
  <c r="T1490" i="7" s="1"/>
  <c r="Q1491" i="7" s="1"/>
  <c r="S1491" i="7" s="1"/>
  <c r="W1489" i="7"/>
  <c r="AB1489" i="7"/>
  <c r="N1490" i="7"/>
  <c r="V1490" i="7"/>
  <c r="Z1488" i="7"/>
  <c r="AG1491" i="7" l="1"/>
  <c r="AH1491" i="7" s="1"/>
  <c r="T1491" i="7" s="1"/>
  <c r="Q1492" i="7" s="1"/>
  <c r="S1492" i="7" s="1"/>
  <c r="Z1489" i="7"/>
  <c r="W1490" i="7"/>
  <c r="AB1490" i="7"/>
  <c r="V1491" i="7"/>
  <c r="N1491" i="7"/>
  <c r="AG1492" i="7" l="1"/>
  <c r="AH1492" i="7" s="1"/>
  <c r="T1492" i="7" s="1"/>
  <c r="Q1493" i="7" s="1"/>
  <c r="S1493" i="7" s="1"/>
  <c r="N1492" i="7"/>
  <c r="V1492" i="7"/>
  <c r="AB1491" i="7"/>
  <c r="W1491" i="7"/>
  <c r="Z1490" i="7"/>
  <c r="AG1493" i="7" l="1"/>
  <c r="AH1493" i="7" s="1"/>
  <c r="T1493" i="7" s="1"/>
  <c r="Q1494" i="7" s="1"/>
  <c r="S1494" i="7" s="1"/>
  <c r="W1492" i="7"/>
  <c r="AB1492" i="7"/>
  <c r="Z1491" i="7"/>
  <c r="N1493" i="7"/>
  <c r="V1493" i="7"/>
  <c r="AG1494" i="7" l="1"/>
  <c r="AH1494" i="7" s="1"/>
  <c r="T1494" i="7" s="1"/>
  <c r="Q1495" i="7" s="1"/>
  <c r="S1495" i="7" s="1"/>
  <c r="AB1493" i="7"/>
  <c r="W1493" i="7"/>
  <c r="Z1492" i="7"/>
  <c r="V1494" i="7"/>
  <c r="N1494" i="7"/>
  <c r="AG1495" i="7" l="1"/>
  <c r="AH1495" i="7" s="1"/>
  <c r="T1495" i="7" s="1"/>
  <c r="Q1496" i="7" s="1"/>
  <c r="S1496" i="7" s="1"/>
  <c r="N1495" i="7"/>
  <c r="V1495" i="7"/>
  <c r="AB1494" i="7"/>
  <c r="W1494" i="7"/>
  <c r="Z1493" i="7"/>
  <c r="AG1496" i="7" l="1"/>
  <c r="AH1496" i="7" s="1"/>
  <c r="T1496" i="7" s="1"/>
  <c r="Q1497" i="7" s="1"/>
  <c r="S1497" i="7" s="1"/>
  <c r="V1496" i="7"/>
  <c r="N1496" i="7"/>
  <c r="Z1494" i="7"/>
  <c r="W1495" i="7"/>
  <c r="AB1495" i="7"/>
  <c r="AG1497" i="7" l="1"/>
  <c r="AH1497" i="7" s="1"/>
  <c r="T1497" i="7" s="1"/>
  <c r="Q1498" i="7" s="1"/>
  <c r="S1498" i="7" s="1"/>
  <c r="W1496" i="7"/>
  <c r="AB1496" i="7"/>
  <c r="N1497" i="7"/>
  <c r="V1497" i="7"/>
  <c r="Z1495" i="7"/>
  <c r="AG1498" i="7" l="1"/>
  <c r="AH1498" i="7" s="1"/>
  <c r="T1498" i="7" s="1"/>
  <c r="Q1499" i="7" s="1"/>
  <c r="S1499" i="7" s="1"/>
  <c r="AB1497" i="7"/>
  <c r="W1497" i="7"/>
  <c r="Z1496" i="7"/>
  <c r="N1498" i="7"/>
  <c r="V1498" i="7"/>
  <c r="AG1499" i="7" l="1"/>
  <c r="AH1499" i="7" s="1"/>
  <c r="T1499" i="7" s="1"/>
  <c r="Q1500" i="7" s="1"/>
  <c r="S1500" i="7" s="1"/>
  <c r="AB1498" i="7"/>
  <c r="W1498" i="7"/>
  <c r="N1499" i="7"/>
  <c r="V1499" i="7"/>
  <c r="Z1497" i="7"/>
  <c r="AG1500" i="7" l="1"/>
  <c r="AH1500" i="7" s="1"/>
  <c r="T1500" i="7" s="1"/>
  <c r="Q1501" i="7" s="1"/>
  <c r="S1501" i="7" s="1"/>
  <c r="AB1499" i="7"/>
  <c r="W1499" i="7"/>
  <c r="N1500" i="7"/>
  <c r="V1500" i="7"/>
  <c r="Z1498" i="7"/>
  <c r="AG1501" i="7" l="1"/>
  <c r="AH1501" i="7" s="1"/>
  <c r="T1501" i="7" s="1"/>
  <c r="Q1502" i="7" s="1"/>
  <c r="S1502" i="7" s="1"/>
  <c r="V1501" i="7"/>
  <c r="N1501" i="7"/>
  <c r="Z1499" i="7"/>
  <c r="AB1500" i="7"/>
  <c r="W1500" i="7"/>
  <c r="AG1502" i="7" l="1"/>
  <c r="AH1502" i="7" s="1"/>
  <c r="T1502" i="7" s="1"/>
  <c r="Q1503" i="7" s="1"/>
  <c r="S1503" i="7" s="1"/>
  <c r="N1502" i="7"/>
  <c r="V1502" i="7"/>
  <c r="Z1500" i="7"/>
  <c r="W1501" i="7"/>
  <c r="AB1501" i="7"/>
  <c r="AG1503" i="7" l="1"/>
  <c r="AH1503" i="7" s="1"/>
  <c r="T1503" i="7" s="1"/>
  <c r="Q1504" i="7" s="1"/>
  <c r="S1504" i="7" s="1"/>
  <c r="AB1502" i="7"/>
  <c r="W1502" i="7"/>
  <c r="Z1501" i="7"/>
  <c r="V1503" i="7"/>
  <c r="N1503" i="7"/>
  <c r="AG1504" i="7" l="1"/>
  <c r="AH1504" i="7" s="1"/>
  <c r="T1504" i="7" s="1"/>
  <c r="Q1505" i="7" s="1"/>
  <c r="S1505" i="7" s="1"/>
  <c r="W1503" i="7"/>
  <c r="AB1503" i="7"/>
  <c r="N1504" i="7"/>
  <c r="V1504" i="7"/>
  <c r="Z1502" i="7"/>
  <c r="AG1505" i="7" l="1"/>
  <c r="AH1505" i="7" s="1"/>
  <c r="T1505" i="7" s="1"/>
  <c r="Q1506" i="7" s="1"/>
  <c r="S1506" i="7" s="1"/>
  <c r="N1505" i="7"/>
  <c r="V1505" i="7"/>
  <c r="Z1503" i="7"/>
  <c r="W1504" i="7"/>
  <c r="AB1504" i="7"/>
  <c r="AG1506" i="7" l="1"/>
  <c r="AH1506" i="7" s="1"/>
  <c r="T1506" i="7" s="1"/>
  <c r="Q1507" i="7" s="1"/>
  <c r="S1507" i="7" s="1"/>
  <c r="W1505" i="7"/>
  <c r="AB1505" i="7"/>
  <c r="N1506" i="7"/>
  <c r="V1506" i="7"/>
  <c r="Z1504" i="7"/>
  <c r="AG1507" i="7" l="1"/>
  <c r="AH1507" i="7" s="1"/>
  <c r="T1507" i="7" s="1"/>
  <c r="Q1508" i="7" s="1"/>
  <c r="S1508" i="7" s="1"/>
  <c r="W1506" i="7"/>
  <c r="AB1506" i="7"/>
  <c r="Z1505" i="7"/>
  <c r="N1507" i="7"/>
  <c r="V1507" i="7"/>
  <c r="AG1508" i="7" l="1"/>
  <c r="AH1508" i="7" s="1"/>
  <c r="T1508" i="7" s="1"/>
  <c r="Q1509" i="7" s="1"/>
  <c r="S1509" i="7" s="1"/>
  <c r="N1508" i="7"/>
  <c r="V1508" i="7"/>
  <c r="Z1506" i="7"/>
  <c r="W1507" i="7"/>
  <c r="AB1507" i="7"/>
  <c r="AG1509" i="7" l="1"/>
  <c r="AH1509" i="7" s="1"/>
  <c r="T1509" i="7" s="1"/>
  <c r="Q1510" i="7" s="1"/>
  <c r="S1510" i="7" s="1"/>
  <c r="V1509" i="7"/>
  <c r="N1509" i="7"/>
  <c r="Z1507" i="7"/>
  <c r="AB1508" i="7"/>
  <c r="W1508" i="7"/>
  <c r="AG1510" i="7" l="1"/>
  <c r="AH1510" i="7" s="1"/>
  <c r="T1510" i="7" s="1"/>
  <c r="Q1511" i="7" s="1"/>
  <c r="S1511" i="7" s="1"/>
  <c r="Z1508" i="7"/>
  <c r="V1510" i="7"/>
  <c r="N1510" i="7"/>
  <c r="W1509" i="7"/>
  <c r="AB1509" i="7"/>
  <c r="AG1511" i="7" l="1"/>
  <c r="AH1511" i="7" s="1"/>
  <c r="T1511" i="7" s="1"/>
  <c r="Q1512" i="7" s="1"/>
  <c r="S1512" i="7" s="1"/>
  <c r="W1510" i="7"/>
  <c r="AB1510" i="7"/>
  <c r="N1511" i="7"/>
  <c r="V1511" i="7"/>
  <c r="Z1509" i="7"/>
  <c r="AG1512" i="7" l="1"/>
  <c r="AH1512" i="7" s="1"/>
  <c r="T1512" i="7" s="1"/>
  <c r="Q1513" i="7" s="1"/>
  <c r="S1513" i="7" s="1"/>
  <c r="Z1510" i="7"/>
  <c r="AB1511" i="7"/>
  <c r="W1511" i="7"/>
  <c r="V1512" i="7"/>
  <c r="N1512" i="7"/>
  <c r="AG1513" i="7" l="1"/>
  <c r="AH1513" i="7" s="1"/>
  <c r="T1513" i="7" s="1"/>
  <c r="Q1514" i="7" s="1"/>
  <c r="S1514" i="7" s="1"/>
  <c r="W1512" i="7"/>
  <c r="AB1512" i="7"/>
  <c r="Z1511" i="7"/>
  <c r="N1513" i="7"/>
  <c r="V1513" i="7"/>
  <c r="AG1514" i="7" l="1"/>
  <c r="AH1514" i="7" s="1"/>
  <c r="T1514" i="7" s="1"/>
  <c r="Q1515" i="7" s="1"/>
  <c r="S1515" i="7" s="1"/>
  <c r="V1514" i="7"/>
  <c r="N1514" i="7"/>
  <c r="AB1513" i="7"/>
  <c r="W1513" i="7"/>
  <c r="Z1512" i="7"/>
  <c r="AG1515" i="7" l="1"/>
  <c r="AH1515" i="7" s="1"/>
  <c r="T1515" i="7" s="1"/>
  <c r="Q1516" i="7" s="1"/>
  <c r="S1516" i="7" s="1"/>
  <c r="Z1513" i="7"/>
  <c r="V1515" i="7"/>
  <c r="N1515" i="7"/>
  <c r="W1514" i="7"/>
  <c r="AB1514" i="7"/>
  <c r="AG1516" i="7" l="1"/>
  <c r="AH1516" i="7" s="1"/>
  <c r="T1516" i="7" s="1"/>
  <c r="Q1517" i="7" s="1"/>
  <c r="S1517" i="7" s="1"/>
  <c r="V1516" i="7"/>
  <c r="N1516" i="7"/>
  <c r="AB1515" i="7"/>
  <c r="W1515" i="7"/>
  <c r="Z1514" i="7"/>
  <c r="AG1517" i="7" l="1"/>
  <c r="AH1517" i="7" s="1"/>
  <c r="T1517" i="7" s="1"/>
  <c r="Q1518" i="7" s="1"/>
  <c r="S1518" i="7" s="1"/>
  <c r="N1517" i="7"/>
  <c r="V1517" i="7"/>
  <c r="Z1515" i="7"/>
  <c r="AB1516" i="7"/>
  <c r="W1516" i="7"/>
  <c r="AG1518" i="7" l="1"/>
  <c r="AH1518" i="7" s="1"/>
  <c r="T1518" i="7" s="1"/>
  <c r="Q1519" i="7" s="1"/>
  <c r="S1519" i="7" s="1"/>
  <c r="AB1517" i="7"/>
  <c r="W1517" i="7"/>
  <c r="Z1516" i="7"/>
  <c r="V1518" i="7"/>
  <c r="N1518" i="7"/>
  <c r="AG1519" i="7" l="1"/>
  <c r="AH1519" i="7" s="1"/>
  <c r="T1519" i="7" s="1"/>
  <c r="Q1520" i="7" s="1"/>
  <c r="S1520" i="7" s="1"/>
  <c r="W1518" i="7"/>
  <c r="AB1518" i="7"/>
  <c r="Z1517" i="7"/>
  <c r="V1519" i="7"/>
  <c r="N1519" i="7"/>
  <c r="AG1520" i="7" l="1"/>
  <c r="AH1520" i="7" s="1"/>
  <c r="T1520" i="7" s="1"/>
  <c r="Q1521" i="7" s="1"/>
  <c r="S1521" i="7" s="1"/>
  <c r="N1520" i="7"/>
  <c r="V1520" i="7"/>
  <c r="Z1518" i="7"/>
  <c r="W1519" i="7"/>
  <c r="AB1519" i="7"/>
  <c r="AG1521" i="7" l="1"/>
  <c r="AH1521" i="7" s="1"/>
  <c r="T1521" i="7" s="1"/>
  <c r="Q1522" i="7" s="1"/>
  <c r="S1522" i="7" s="1"/>
  <c r="Z1519" i="7"/>
  <c r="V1521" i="7"/>
  <c r="N1521" i="7"/>
  <c r="W1520" i="7"/>
  <c r="AB1520" i="7"/>
  <c r="AG1522" i="7" l="1"/>
  <c r="AH1522" i="7" s="1"/>
  <c r="T1522" i="7" s="1"/>
  <c r="Q1523" i="7" s="1"/>
  <c r="S1523" i="7" s="1"/>
  <c r="Z1520" i="7"/>
  <c r="V1522" i="7"/>
  <c r="N1522" i="7"/>
  <c r="AB1521" i="7"/>
  <c r="W1521" i="7"/>
  <c r="AG1523" i="7" l="1"/>
  <c r="AH1523" i="7" s="1"/>
  <c r="T1523" i="7" s="1"/>
  <c r="Q1524" i="7" s="1"/>
  <c r="S1524" i="7" s="1"/>
  <c r="V1523" i="7"/>
  <c r="N1523" i="7"/>
  <c r="Z1521" i="7"/>
  <c r="AB1522" i="7"/>
  <c r="W1522" i="7"/>
  <c r="AG1524" i="7" l="1"/>
  <c r="AH1524" i="7" s="1"/>
  <c r="T1524" i="7" s="1"/>
  <c r="Q1525" i="7" s="1"/>
  <c r="S1525" i="7" s="1"/>
  <c r="Z1522" i="7"/>
  <c r="V1524" i="7"/>
  <c r="N1524" i="7"/>
  <c r="W1523" i="7"/>
  <c r="AB1523" i="7"/>
  <c r="AG1525" i="7" l="1"/>
  <c r="AH1525" i="7" s="1"/>
  <c r="T1525" i="7" s="1"/>
  <c r="Q1526" i="7" s="1"/>
  <c r="S1526" i="7" s="1"/>
  <c r="V1525" i="7"/>
  <c r="N1525" i="7"/>
  <c r="W1524" i="7"/>
  <c r="AB1524" i="7"/>
  <c r="Z1523" i="7"/>
  <c r="AG1526" i="7" l="1"/>
  <c r="AH1526" i="7" s="1"/>
  <c r="T1526" i="7" s="1"/>
  <c r="Q1527" i="7" s="1"/>
  <c r="S1527" i="7" s="1"/>
  <c r="Z1524" i="7"/>
  <c r="AB1525" i="7"/>
  <c r="W1525" i="7"/>
  <c r="N1526" i="7"/>
  <c r="V1526" i="7"/>
  <c r="AG1527" i="7" l="1"/>
  <c r="AH1527" i="7" s="1"/>
  <c r="T1527" i="7" s="1"/>
  <c r="Q1528" i="7" s="1"/>
  <c r="S1528" i="7" s="1"/>
  <c r="V1527" i="7"/>
  <c r="N1527" i="7"/>
  <c r="Z1525" i="7"/>
  <c r="AB1526" i="7"/>
  <c r="W1526" i="7"/>
  <c r="AG1528" i="7" l="1"/>
  <c r="AH1528" i="7" s="1"/>
  <c r="T1528" i="7" s="1"/>
  <c r="Q1529" i="7" s="1"/>
  <c r="S1529" i="7" s="1"/>
  <c r="Z1526" i="7"/>
  <c r="V1528" i="7"/>
  <c r="N1528" i="7"/>
  <c r="W1527" i="7"/>
  <c r="AB1527" i="7"/>
  <c r="AG1529" i="7" l="1"/>
  <c r="AH1529" i="7" s="1"/>
  <c r="T1529" i="7" s="1"/>
  <c r="Q1530" i="7" s="1"/>
  <c r="S1530" i="7" s="1"/>
  <c r="N1529" i="7"/>
  <c r="V1529" i="7"/>
  <c r="W1528" i="7"/>
  <c r="AB1528" i="7"/>
  <c r="Z1527" i="7"/>
  <c r="AG1530" i="7" l="1"/>
  <c r="AH1530" i="7" s="1"/>
  <c r="T1530" i="7" s="1"/>
  <c r="Q1531" i="7" s="1"/>
  <c r="S1531" i="7" s="1"/>
  <c r="W1529" i="7"/>
  <c r="AB1529" i="7"/>
  <c r="Z1528" i="7"/>
  <c r="N1530" i="7"/>
  <c r="V1530" i="7"/>
  <c r="AG1531" i="7" l="1"/>
  <c r="AH1531" i="7" s="1"/>
  <c r="T1531" i="7" s="1"/>
  <c r="Q1532" i="7" s="1"/>
  <c r="S1532" i="7" s="1"/>
  <c r="W1530" i="7"/>
  <c r="AB1530" i="7"/>
  <c r="V1531" i="7"/>
  <c r="N1531" i="7"/>
  <c r="Z1529" i="7"/>
  <c r="AG1532" i="7" l="1"/>
  <c r="AH1532" i="7" s="1"/>
  <c r="T1532" i="7" s="1"/>
  <c r="Q1533" i="7" s="1"/>
  <c r="S1533" i="7" s="1"/>
  <c r="N1532" i="7"/>
  <c r="V1532" i="7"/>
  <c r="AB1531" i="7"/>
  <c r="W1531" i="7"/>
  <c r="Z1530" i="7"/>
  <c r="AG1533" i="7" l="1"/>
  <c r="AH1533" i="7" s="1"/>
  <c r="T1533" i="7" s="1"/>
  <c r="Q1534" i="7" s="1"/>
  <c r="S1534" i="7" s="1"/>
  <c r="W1532" i="7"/>
  <c r="AB1532" i="7"/>
  <c r="V1533" i="7"/>
  <c r="N1533" i="7"/>
  <c r="Z1531" i="7"/>
  <c r="AG1534" i="7" l="1"/>
  <c r="AH1534" i="7" s="1"/>
  <c r="T1534" i="7" s="1"/>
  <c r="Q1535" i="7" s="1"/>
  <c r="S1535" i="7" s="1"/>
  <c r="V1534" i="7"/>
  <c r="N1534" i="7"/>
  <c r="Z1532" i="7"/>
  <c r="AB1533" i="7"/>
  <c r="W1533" i="7"/>
  <c r="AG1535" i="7" l="1"/>
  <c r="AH1535" i="7" s="1"/>
  <c r="T1535" i="7" s="1"/>
  <c r="Q1536" i="7" s="1"/>
  <c r="S1536" i="7" s="1"/>
  <c r="Z1533" i="7"/>
  <c r="V1535" i="7"/>
  <c r="N1535" i="7"/>
  <c r="AB1534" i="7"/>
  <c r="W1534" i="7"/>
  <c r="AG1536" i="7" l="1"/>
  <c r="AH1536" i="7" s="1"/>
  <c r="T1536" i="7" s="1"/>
  <c r="Q1537" i="7" s="1"/>
  <c r="S1537" i="7" s="1"/>
  <c r="Z1534" i="7"/>
  <c r="AB1535" i="7"/>
  <c r="W1535" i="7"/>
  <c r="N1536" i="7"/>
  <c r="V1536" i="7"/>
  <c r="AG1537" i="7" l="1"/>
  <c r="AH1537" i="7" s="1"/>
  <c r="T1537" i="7" s="1"/>
  <c r="Q1538" i="7" s="1"/>
  <c r="S1538" i="7" s="1"/>
  <c r="AB1536" i="7"/>
  <c r="W1536" i="7"/>
  <c r="Z1535" i="7"/>
  <c r="N1537" i="7"/>
  <c r="V1537" i="7"/>
  <c r="AG1538" i="7" l="1"/>
  <c r="AH1538" i="7" s="1"/>
  <c r="T1538" i="7" s="1"/>
  <c r="Q1539" i="7" s="1"/>
  <c r="S1539" i="7" s="1"/>
  <c r="W1537" i="7"/>
  <c r="AB1537" i="7"/>
  <c r="N1538" i="7"/>
  <c r="V1538" i="7"/>
  <c r="Z1536" i="7"/>
  <c r="AG1539" i="7" l="1"/>
  <c r="AH1539" i="7" s="1"/>
  <c r="T1539" i="7" s="1"/>
  <c r="Q1540" i="7" s="1"/>
  <c r="S1540" i="7" s="1"/>
  <c r="AB1538" i="7"/>
  <c r="W1538" i="7"/>
  <c r="N1539" i="7"/>
  <c r="V1539" i="7"/>
  <c r="Z1537" i="7"/>
  <c r="AG1540" i="7" l="1"/>
  <c r="AH1540" i="7" s="1"/>
  <c r="T1540" i="7" s="1"/>
  <c r="Q1541" i="7" s="1"/>
  <c r="S1541" i="7" s="1"/>
  <c r="V1540" i="7"/>
  <c r="N1540" i="7"/>
  <c r="AB1539" i="7"/>
  <c r="W1539" i="7"/>
  <c r="Z1538" i="7"/>
  <c r="AG1541" i="7" l="1"/>
  <c r="AH1541" i="7" s="1"/>
  <c r="T1541" i="7" s="1"/>
  <c r="Q1542" i="7" s="1"/>
  <c r="S1542" i="7" s="1"/>
  <c r="V1541" i="7"/>
  <c r="N1541" i="7"/>
  <c r="Z1539" i="7"/>
  <c r="W1540" i="7"/>
  <c r="AB1540" i="7"/>
  <c r="AG1542" i="7" l="1"/>
  <c r="AH1542" i="7" s="1"/>
  <c r="T1542" i="7" s="1"/>
  <c r="Q1543" i="7" s="1"/>
  <c r="S1543" i="7" s="1"/>
  <c r="AB1541" i="7"/>
  <c r="W1541" i="7"/>
  <c r="N1542" i="7"/>
  <c r="V1542" i="7"/>
  <c r="Z1540" i="7"/>
  <c r="AG1543" i="7" l="1"/>
  <c r="AH1543" i="7" s="1"/>
  <c r="T1543" i="7" s="1"/>
  <c r="Q1544" i="7" s="1"/>
  <c r="S1544" i="7" s="1"/>
  <c r="N1543" i="7"/>
  <c r="V1543" i="7"/>
  <c r="W1542" i="7"/>
  <c r="AB1542" i="7"/>
  <c r="Z1541" i="7"/>
  <c r="AG1544" i="7" l="1"/>
  <c r="AH1544" i="7" s="1"/>
  <c r="T1544" i="7" s="1"/>
  <c r="Q1545" i="7" s="1"/>
  <c r="S1545" i="7" s="1"/>
  <c r="V1544" i="7"/>
  <c r="N1544" i="7"/>
  <c r="Z1542" i="7"/>
  <c r="W1543" i="7"/>
  <c r="AB1543" i="7"/>
  <c r="AG1545" i="7" l="1"/>
  <c r="AH1545" i="7" s="1"/>
  <c r="T1545" i="7" s="1"/>
  <c r="Q1546" i="7" s="1"/>
  <c r="S1546" i="7" s="1"/>
  <c r="Z1543" i="7"/>
  <c r="N1545" i="7"/>
  <c r="V1545" i="7"/>
  <c r="W1544" i="7"/>
  <c r="AB1544" i="7"/>
  <c r="AG1546" i="7" l="1"/>
  <c r="AH1546" i="7" s="1"/>
  <c r="T1546" i="7" s="1"/>
  <c r="Q1547" i="7" s="1"/>
  <c r="S1547" i="7" s="1"/>
  <c r="W1545" i="7"/>
  <c r="AB1545" i="7"/>
  <c r="N1546" i="7"/>
  <c r="V1546" i="7"/>
  <c r="Z1544" i="7"/>
  <c r="AG1547" i="7" l="1"/>
  <c r="AH1547" i="7" s="1"/>
  <c r="T1547" i="7" s="1"/>
  <c r="Q1548" i="7" s="1"/>
  <c r="S1548" i="7" s="1"/>
  <c r="V1547" i="7"/>
  <c r="N1547" i="7"/>
  <c r="AB1546" i="7"/>
  <c r="W1546" i="7"/>
  <c r="Z1545" i="7"/>
  <c r="AG1548" i="7" l="1"/>
  <c r="AH1548" i="7" s="1"/>
  <c r="T1548" i="7" s="1"/>
  <c r="Q1549" i="7" s="1"/>
  <c r="S1549" i="7" s="1"/>
  <c r="Z1546" i="7"/>
  <c r="AB1547" i="7"/>
  <c r="W1547" i="7"/>
  <c r="V1548" i="7"/>
  <c r="N1548" i="7"/>
  <c r="AG1549" i="7" l="1"/>
  <c r="AH1549" i="7" s="1"/>
  <c r="T1549" i="7" s="1"/>
  <c r="Q1550" i="7" s="1"/>
  <c r="S1550" i="7" s="1"/>
  <c r="V1549" i="7"/>
  <c r="N1549" i="7"/>
  <c r="W1548" i="7"/>
  <c r="AB1548" i="7"/>
  <c r="Z1547" i="7"/>
  <c r="AG1550" i="7" l="1"/>
  <c r="AH1550" i="7" s="1"/>
  <c r="T1550" i="7" s="1"/>
  <c r="Q1551" i="7" s="1"/>
  <c r="S1551" i="7" s="1"/>
  <c r="N1550" i="7"/>
  <c r="V1550" i="7"/>
  <c r="Z1548" i="7"/>
  <c r="AB1549" i="7"/>
  <c r="W1549" i="7"/>
  <c r="AG1551" i="7" l="1"/>
  <c r="AH1551" i="7" s="1"/>
  <c r="T1551" i="7" s="1"/>
  <c r="Q1552" i="7" s="1"/>
  <c r="S1552" i="7" s="1"/>
  <c r="Z1549" i="7"/>
  <c r="N1551" i="7"/>
  <c r="V1551" i="7"/>
  <c r="W1550" i="7"/>
  <c r="AB1550" i="7"/>
  <c r="AG1552" i="7" l="1"/>
  <c r="AH1552" i="7" s="1"/>
  <c r="T1552" i="7" s="1"/>
  <c r="Q1553" i="7" s="1"/>
  <c r="S1553" i="7" s="1"/>
  <c r="Z1550" i="7"/>
  <c r="V1552" i="7"/>
  <c r="N1552" i="7"/>
  <c r="W1551" i="7"/>
  <c r="AB1551" i="7"/>
  <c r="AG1553" i="7" l="1"/>
  <c r="AH1553" i="7" s="1"/>
  <c r="T1553" i="7" s="1"/>
  <c r="Q1554" i="7" s="1"/>
  <c r="S1554" i="7" s="1"/>
  <c r="W1552" i="7"/>
  <c r="AB1552" i="7"/>
  <c r="N1553" i="7"/>
  <c r="V1553" i="7"/>
  <c r="Z1551" i="7"/>
  <c r="AG1554" i="7" l="1"/>
  <c r="AH1554" i="7" s="1"/>
  <c r="T1554" i="7" s="1"/>
  <c r="Q1555" i="7" s="1"/>
  <c r="S1555" i="7" s="1"/>
  <c r="N1554" i="7"/>
  <c r="V1554" i="7"/>
  <c r="W1553" i="7"/>
  <c r="AB1553" i="7"/>
  <c r="Z1552" i="7"/>
  <c r="AG1555" i="7" l="1"/>
  <c r="AH1555" i="7" s="1"/>
  <c r="T1555" i="7" s="1"/>
  <c r="Q1556" i="7" s="1"/>
  <c r="S1556" i="7" s="1"/>
  <c r="Z1553" i="7"/>
  <c r="V1555" i="7"/>
  <c r="N1555" i="7"/>
  <c r="W1554" i="7"/>
  <c r="AB1554" i="7"/>
  <c r="AG1556" i="7" l="1"/>
  <c r="AH1556" i="7" s="1"/>
  <c r="T1556" i="7" s="1"/>
  <c r="Q1557" i="7" s="1"/>
  <c r="S1557" i="7" s="1"/>
  <c r="Z1554" i="7"/>
  <c r="AB1555" i="7"/>
  <c r="W1555" i="7"/>
  <c r="V1556" i="7"/>
  <c r="N1556" i="7"/>
  <c r="AG1557" i="7" l="1"/>
  <c r="AH1557" i="7" s="1"/>
  <c r="T1557" i="7" s="1"/>
  <c r="Q1558" i="7" s="1"/>
  <c r="S1558" i="7" s="1"/>
  <c r="N1557" i="7"/>
  <c r="V1557" i="7"/>
  <c r="Z1555" i="7"/>
  <c r="AB1556" i="7"/>
  <c r="W1556" i="7"/>
  <c r="AG1558" i="7" l="1"/>
  <c r="AH1558" i="7" s="1"/>
  <c r="T1558" i="7" s="1"/>
  <c r="Q1559" i="7" s="1"/>
  <c r="S1559" i="7" s="1"/>
  <c r="V1558" i="7"/>
  <c r="N1558" i="7"/>
  <c r="W1557" i="7"/>
  <c r="AB1557" i="7"/>
  <c r="Z1556" i="7"/>
  <c r="AG1559" i="7" l="1"/>
  <c r="AH1559" i="7" s="1"/>
  <c r="T1559" i="7" s="1"/>
  <c r="Q1560" i="7" s="1"/>
  <c r="S1560" i="7" s="1"/>
  <c r="Z1557" i="7"/>
  <c r="V1559" i="7"/>
  <c r="N1559" i="7"/>
  <c r="W1558" i="7"/>
  <c r="AB1558" i="7"/>
  <c r="AG1560" i="7" l="1"/>
  <c r="AH1560" i="7" s="1"/>
  <c r="T1560" i="7" s="1"/>
  <c r="Q1561" i="7" s="1"/>
  <c r="S1561" i="7" s="1"/>
  <c r="AB1559" i="7"/>
  <c r="W1559" i="7"/>
  <c r="V1560" i="7"/>
  <c r="N1560" i="7"/>
  <c r="Z1558" i="7"/>
  <c r="AG1561" i="7" l="1"/>
  <c r="AH1561" i="7" s="1"/>
  <c r="T1561" i="7" s="1"/>
  <c r="Q1562" i="7" s="1"/>
  <c r="S1562" i="7" s="1"/>
  <c r="N1561" i="7"/>
  <c r="V1561" i="7"/>
  <c r="Z1559" i="7"/>
  <c r="AB1560" i="7"/>
  <c r="W1560" i="7"/>
  <c r="AG1562" i="7" l="1"/>
  <c r="AH1562" i="7" s="1"/>
  <c r="T1562" i="7" s="1"/>
  <c r="Q1563" i="7" s="1"/>
  <c r="S1563" i="7" s="1"/>
  <c r="Z1560" i="7"/>
  <c r="V1562" i="7"/>
  <c r="N1562" i="7"/>
  <c r="W1561" i="7"/>
  <c r="AB1561" i="7"/>
  <c r="AG1563" i="7" l="1"/>
  <c r="AH1563" i="7" s="1"/>
  <c r="T1563" i="7" s="1"/>
  <c r="Q1564" i="7" s="1"/>
  <c r="S1564" i="7" s="1"/>
  <c r="Z1561" i="7"/>
  <c r="V1563" i="7"/>
  <c r="N1563" i="7"/>
  <c r="W1562" i="7"/>
  <c r="AB1562" i="7"/>
  <c r="AG1564" i="7" l="1"/>
  <c r="AH1564" i="7" s="1"/>
  <c r="T1564" i="7" s="1"/>
  <c r="Q1565" i="7" s="1"/>
  <c r="S1565" i="7" s="1"/>
  <c r="W1563" i="7"/>
  <c r="AB1563" i="7"/>
  <c r="Z1562" i="7"/>
  <c r="N1564" i="7"/>
  <c r="V1564" i="7"/>
  <c r="AG1565" i="7" l="1"/>
  <c r="AH1565" i="7" s="1"/>
  <c r="T1565" i="7" s="1"/>
  <c r="Q1566" i="7" s="1"/>
  <c r="S1566" i="7" s="1"/>
  <c r="W1564" i="7"/>
  <c r="AB1564" i="7"/>
  <c r="V1565" i="7"/>
  <c r="N1565" i="7"/>
  <c r="Z1563" i="7"/>
  <c r="AG1566" i="7" l="1"/>
  <c r="AH1566" i="7" s="1"/>
  <c r="T1566" i="7" s="1"/>
  <c r="Q1567" i="7" s="1"/>
  <c r="S1567" i="7" s="1"/>
  <c r="N1566" i="7"/>
  <c r="V1566" i="7"/>
  <c r="W1565" i="7"/>
  <c r="AB1565" i="7"/>
  <c r="Z1564" i="7"/>
  <c r="AG1567" i="7" l="1"/>
  <c r="AH1567" i="7" s="1"/>
  <c r="T1567" i="7" s="1"/>
  <c r="Q1568" i="7" s="1"/>
  <c r="S1568" i="7" s="1"/>
  <c r="W1566" i="7"/>
  <c r="AB1566" i="7"/>
  <c r="Z1565" i="7"/>
  <c r="V1567" i="7"/>
  <c r="N1567" i="7"/>
  <c r="AG1568" i="7" l="1"/>
  <c r="AH1568" i="7" s="1"/>
  <c r="T1568" i="7" s="1"/>
  <c r="Q1569" i="7" s="1"/>
  <c r="S1569" i="7" s="1"/>
  <c r="W1567" i="7"/>
  <c r="AB1567" i="7"/>
  <c r="Z1566" i="7"/>
  <c r="V1568" i="7"/>
  <c r="N1568" i="7"/>
  <c r="AG1569" i="7" l="1"/>
  <c r="AH1569" i="7" s="1"/>
  <c r="T1569" i="7" s="1"/>
  <c r="Q1570" i="7" s="1"/>
  <c r="S1570" i="7" s="1"/>
  <c r="AB1568" i="7"/>
  <c r="W1568" i="7"/>
  <c r="N1569" i="7"/>
  <c r="V1569" i="7"/>
  <c r="Z1567" i="7"/>
  <c r="AG1570" i="7" l="1"/>
  <c r="AH1570" i="7" s="1"/>
  <c r="T1570" i="7" s="1"/>
  <c r="Q1571" i="7" s="1"/>
  <c r="S1571" i="7" s="1"/>
  <c r="N1570" i="7"/>
  <c r="V1570" i="7"/>
  <c r="Z1568" i="7"/>
  <c r="W1569" i="7"/>
  <c r="AB1569" i="7"/>
  <c r="AG1571" i="7" l="1"/>
  <c r="AH1571" i="7" s="1"/>
  <c r="T1571" i="7" s="1"/>
  <c r="Q1572" i="7" s="1"/>
  <c r="S1572" i="7" s="1"/>
  <c r="Z1569" i="7"/>
  <c r="W1570" i="7"/>
  <c r="AB1570" i="7"/>
  <c r="V1571" i="7"/>
  <c r="N1571" i="7"/>
  <c r="AG1572" i="7" l="1"/>
  <c r="AH1572" i="7" s="1"/>
  <c r="T1572" i="7" s="1"/>
  <c r="Q1573" i="7" s="1"/>
  <c r="S1573" i="7" s="1"/>
  <c r="V1572" i="7"/>
  <c r="N1572" i="7"/>
  <c r="W1571" i="7"/>
  <c r="AB1571" i="7"/>
  <c r="Z1570" i="7"/>
  <c r="AG1573" i="7" l="1"/>
  <c r="AH1573" i="7" s="1"/>
  <c r="T1573" i="7" s="1"/>
  <c r="Q1574" i="7" s="1"/>
  <c r="S1574" i="7" s="1"/>
  <c r="Z1571" i="7"/>
  <c r="N1573" i="7"/>
  <c r="V1573" i="7"/>
  <c r="AB1572" i="7"/>
  <c r="W1572" i="7"/>
  <c r="AG1574" i="7" l="1"/>
  <c r="AH1574" i="7" s="1"/>
  <c r="T1574" i="7" s="1"/>
  <c r="Q1575" i="7" s="1"/>
  <c r="S1575" i="7" s="1"/>
  <c r="Z1572" i="7"/>
  <c r="W1573" i="7"/>
  <c r="AB1573" i="7"/>
  <c r="N1574" i="7"/>
  <c r="V1574" i="7"/>
  <c r="AG1575" i="7" l="1"/>
  <c r="AH1575" i="7" s="1"/>
  <c r="T1575" i="7" s="1"/>
  <c r="Q1576" i="7" s="1"/>
  <c r="S1576" i="7" s="1"/>
  <c r="AB1574" i="7"/>
  <c r="W1574" i="7"/>
  <c r="N1575" i="7"/>
  <c r="V1575" i="7"/>
  <c r="Z1573" i="7"/>
  <c r="AG1576" i="7" l="1"/>
  <c r="AH1576" i="7" s="1"/>
  <c r="T1576" i="7" s="1"/>
  <c r="Q1577" i="7" s="1"/>
  <c r="S1577" i="7" s="1"/>
  <c r="N1576" i="7"/>
  <c r="V1576" i="7"/>
  <c r="AB1575" i="7"/>
  <c r="W1575" i="7"/>
  <c r="Z1574" i="7"/>
  <c r="AG1577" i="7" l="1"/>
  <c r="AH1577" i="7" s="1"/>
  <c r="T1577" i="7" s="1"/>
  <c r="Q1578" i="7" s="1"/>
  <c r="S1578" i="7" s="1"/>
  <c r="Z1575" i="7"/>
  <c r="V1577" i="7"/>
  <c r="N1577" i="7"/>
  <c r="AB1576" i="7"/>
  <c r="W1576" i="7"/>
  <c r="AG1578" i="7" l="1"/>
  <c r="AH1578" i="7" s="1"/>
  <c r="T1578" i="7" s="1"/>
  <c r="Q1579" i="7" s="1"/>
  <c r="S1579" i="7" s="1"/>
  <c r="Z1576" i="7"/>
  <c r="AB1577" i="7"/>
  <c r="W1577" i="7"/>
  <c r="N1578" i="7"/>
  <c r="V1578" i="7"/>
  <c r="AG1579" i="7" l="1"/>
  <c r="AH1579" i="7" s="1"/>
  <c r="T1579" i="7" s="1"/>
  <c r="Q1580" i="7" s="1"/>
  <c r="S1580" i="7" s="1"/>
  <c r="N1579" i="7"/>
  <c r="V1579" i="7"/>
  <c r="Z1577" i="7"/>
  <c r="W1578" i="7"/>
  <c r="AB1578" i="7"/>
  <c r="AG1580" i="7" l="1"/>
  <c r="AH1580" i="7" s="1"/>
  <c r="T1580" i="7" s="1"/>
  <c r="Q1581" i="7" s="1"/>
  <c r="S1581" i="7" s="1"/>
  <c r="AB1579" i="7"/>
  <c r="W1579" i="7"/>
  <c r="V1580" i="7"/>
  <c r="N1580" i="7"/>
  <c r="Z1578" i="7"/>
  <c r="AG1581" i="7" l="1"/>
  <c r="AH1581" i="7" s="1"/>
  <c r="T1581" i="7" s="1"/>
  <c r="Q1582" i="7" s="1"/>
  <c r="S1582" i="7" s="1"/>
  <c r="V1581" i="7"/>
  <c r="N1581" i="7"/>
  <c r="AB1580" i="7"/>
  <c r="W1580" i="7"/>
  <c r="Z1579" i="7"/>
  <c r="AG1582" i="7" l="1"/>
  <c r="AH1582" i="7" s="1"/>
  <c r="T1582" i="7" s="1"/>
  <c r="Q1583" i="7" s="1"/>
  <c r="S1583" i="7" s="1"/>
  <c r="Z1580" i="7"/>
  <c r="AB1581" i="7"/>
  <c r="W1581" i="7"/>
  <c r="V1582" i="7"/>
  <c r="N1582" i="7"/>
  <c r="AG1583" i="7" l="1"/>
  <c r="AH1583" i="7" s="1"/>
  <c r="T1583" i="7" s="1"/>
  <c r="Q1584" i="7" s="1"/>
  <c r="S1584" i="7" s="1"/>
  <c r="AB1582" i="7"/>
  <c r="W1582" i="7"/>
  <c r="Z1581" i="7"/>
  <c r="V1583" i="7"/>
  <c r="N1583" i="7"/>
  <c r="AG1584" i="7" l="1"/>
  <c r="AH1584" i="7" s="1"/>
  <c r="T1584" i="7" s="1"/>
  <c r="Q1585" i="7" s="1"/>
  <c r="S1585" i="7" s="1"/>
  <c r="AB1583" i="7"/>
  <c r="W1583" i="7"/>
  <c r="V1584" i="7"/>
  <c r="N1584" i="7"/>
  <c r="Z1582" i="7"/>
  <c r="AG1585" i="7" l="1"/>
  <c r="AH1585" i="7" s="1"/>
  <c r="T1585" i="7" s="1"/>
  <c r="Q1586" i="7" s="1"/>
  <c r="S1586" i="7" s="1"/>
  <c r="AB1584" i="7"/>
  <c r="W1584" i="7"/>
  <c r="Z1583" i="7"/>
  <c r="N1585" i="7"/>
  <c r="V1585" i="7"/>
  <c r="AG1586" i="7" l="1"/>
  <c r="AH1586" i="7" s="1"/>
  <c r="T1586" i="7" s="1"/>
  <c r="Q1587" i="7" s="1"/>
  <c r="S1587" i="7" s="1"/>
  <c r="V1586" i="7"/>
  <c r="N1586" i="7"/>
  <c r="W1585" i="7"/>
  <c r="AB1585" i="7"/>
  <c r="Z1584" i="7"/>
  <c r="AG1587" i="7" l="1"/>
  <c r="AH1587" i="7" s="1"/>
  <c r="T1587" i="7" s="1"/>
  <c r="Q1588" i="7" s="1"/>
  <c r="S1588" i="7" s="1"/>
  <c r="W1586" i="7"/>
  <c r="AB1586" i="7"/>
  <c r="Z1585" i="7"/>
  <c r="V1587" i="7"/>
  <c r="N1587" i="7"/>
  <c r="AG1588" i="7" l="1"/>
  <c r="AH1588" i="7" s="1"/>
  <c r="T1588" i="7" s="1"/>
  <c r="Q1589" i="7" s="1"/>
  <c r="S1589" i="7" s="1"/>
  <c r="W1587" i="7"/>
  <c r="AB1587" i="7"/>
  <c r="Z1586" i="7"/>
  <c r="V1588" i="7"/>
  <c r="N1588" i="7"/>
  <c r="AG1589" i="7" l="1"/>
  <c r="AH1589" i="7" s="1"/>
  <c r="T1589" i="7" s="1"/>
  <c r="Q1590" i="7" s="1"/>
  <c r="S1590" i="7" s="1"/>
  <c r="N1589" i="7"/>
  <c r="V1589" i="7"/>
  <c r="AB1588" i="7"/>
  <c r="W1588" i="7"/>
  <c r="Z1587" i="7"/>
  <c r="AG1590" i="7" l="1"/>
  <c r="AH1590" i="7" s="1"/>
  <c r="T1590" i="7" s="1"/>
  <c r="Q1591" i="7" s="1"/>
  <c r="S1591" i="7" s="1"/>
  <c r="W1589" i="7"/>
  <c r="AB1589" i="7"/>
  <c r="N1590" i="7"/>
  <c r="V1590" i="7"/>
  <c r="Z1588" i="7"/>
  <c r="AG1591" i="7" l="1"/>
  <c r="AH1591" i="7" s="1"/>
  <c r="T1591" i="7" s="1"/>
  <c r="Q1592" i="7" s="1"/>
  <c r="S1592" i="7" s="1"/>
  <c r="Z1589" i="7"/>
  <c r="V1591" i="7"/>
  <c r="N1591" i="7"/>
  <c r="AB1590" i="7"/>
  <c r="W1590" i="7"/>
  <c r="AG1592" i="7" l="1"/>
  <c r="AH1592" i="7" s="1"/>
  <c r="T1592" i="7" s="1"/>
  <c r="Q1593" i="7" s="1"/>
  <c r="S1593" i="7" s="1"/>
  <c r="N1592" i="7"/>
  <c r="V1592" i="7"/>
  <c r="AB1591" i="7"/>
  <c r="W1591" i="7"/>
  <c r="Z1590" i="7"/>
  <c r="AG1593" i="7" l="1"/>
  <c r="AH1593" i="7" s="1"/>
  <c r="T1593" i="7" s="1"/>
  <c r="Q1594" i="7" s="1"/>
  <c r="S1594" i="7" s="1"/>
  <c r="N1593" i="7"/>
  <c r="V1593" i="7"/>
  <c r="Z1591" i="7"/>
  <c r="AB1592" i="7"/>
  <c r="W1592" i="7"/>
  <c r="AG1594" i="7" l="1"/>
  <c r="AH1594" i="7" s="1"/>
  <c r="T1594" i="7" s="1"/>
  <c r="Q1595" i="7" s="1"/>
  <c r="S1595" i="7" s="1"/>
  <c r="AB1593" i="7"/>
  <c r="W1593" i="7"/>
  <c r="N1594" i="7"/>
  <c r="V1594" i="7"/>
  <c r="Z1592" i="7"/>
  <c r="AG1595" i="7" l="1"/>
  <c r="AH1595" i="7" s="1"/>
  <c r="T1595" i="7" s="1"/>
  <c r="Q1596" i="7" s="1"/>
  <c r="S1596" i="7" s="1"/>
  <c r="V1595" i="7"/>
  <c r="N1595" i="7"/>
  <c r="W1594" i="7"/>
  <c r="AB1594" i="7"/>
  <c r="Z1593" i="7"/>
  <c r="AG1596" i="7" l="1"/>
  <c r="AH1596" i="7" s="1"/>
  <c r="T1596" i="7" s="1"/>
  <c r="Q1597" i="7" s="1"/>
  <c r="S1597" i="7" s="1"/>
  <c r="Z1594" i="7"/>
  <c r="V1596" i="7"/>
  <c r="N1596" i="7"/>
  <c r="W1595" i="7"/>
  <c r="AB1595" i="7"/>
  <c r="AG1597" i="7" l="1"/>
  <c r="AH1597" i="7" s="1"/>
  <c r="T1597" i="7" s="1"/>
  <c r="Q1598" i="7" s="1"/>
  <c r="S1598" i="7" s="1"/>
  <c r="V1597" i="7"/>
  <c r="N1597" i="7"/>
  <c r="AB1596" i="7"/>
  <c r="W1596" i="7"/>
  <c r="Z1595" i="7"/>
  <c r="AG1598" i="7" l="1"/>
  <c r="AH1598" i="7" s="1"/>
  <c r="T1598" i="7" s="1"/>
  <c r="Q1599" i="7" s="1"/>
  <c r="S1599" i="7" s="1"/>
  <c r="V1598" i="7"/>
  <c r="N1598" i="7"/>
  <c r="W1597" i="7"/>
  <c r="AB1597" i="7"/>
  <c r="Z1596" i="7"/>
  <c r="AG1599" i="7" l="1"/>
  <c r="AH1599" i="7" s="1"/>
  <c r="T1599" i="7" s="1"/>
  <c r="Q1600" i="7" s="1"/>
  <c r="S1600" i="7" s="1"/>
  <c r="Z1597" i="7"/>
  <c r="V1599" i="7"/>
  <c r="N1599" i="7"/>
  <c r="W1598" i="7"/>
  <c r="AB1598" i="7"/>
  <c r="AG1600" i="7" l="1"/>
  <c r="AH1600" i="7" s="1"/>
  <c r="T1600" i="7" s="1"/>
  <c r="Q1601" i="7" s="1"/>
  <c r="S1601" i="7" s="1"/>
  <c r="N1600" i="7"/>
  <c r="V1600" i="7"/>
  <c r="AB1599" i="7"/>
  <c r="W1599" i="7"/>
  <c r="Z1598" i="7"/>
  <c r="AG1601" i="7" l="1"/>
  <c r="AH1601" i="7" s="1"/>
  <c r="T1601" i="7" s="1"/>
  <c r="Q1602" i="7" s="1"/>
  <c r="S1602" i="7" s="1"/>
  <c r="V1601" i="7"/>
  <c r="N1601" i="7"/>
  <c r="Z1599" i="7"/>
  <c r="W1600" i="7"/>
  <c r="AB1600" i="7"/>
  <c r="AG1602" i="7" l="1"/>
  <c r="AH1602" i="7" s="1"/>
  <c r="T1602" i="7" s="1"/>
  <c r="Q1603" i="7" s="1"/>
  <c r="S1603" i="7" s="1"/>
  <c r="Z1600" i="7"/>
  <c r="N1602" i="7"/>
  <c r="V1602" i="7"/>
  <c r="AB1601" i="7"/>
  <c r="W1601" i="7"/>
  <c r="AG1603" i="7" l="1"/>
  <c r="AH1603" i="7" s="1"/>
  <c r="T1603" i="7" s="1"/>
  <c r="Q1604" i="7" s="1"/>
  <c r="S1604" i="7" s="1"/>
  <c r="Z1601" i="7"/>
  <c r="AB1602" i="7"/>
  <c r="W1602" i="7"/>
  <c r="V1603" i="7"/>
  <c r="N1603" i="7"/>
  <c r="AG1604" i="7" l="1"/>
  <c r="AH1604" i="7" s="1"/>
  <c r="T1604" i="7" s="1"/>
  <c r="Q1605" i="7" s="1"/>
  <c r="S1605" i="7" s="1"/>
  <c r="V1604" i="7"/>
  <c r="N1604" i="7"/>
  <c r="AB1603" i="7"/>
  <c r="W1603" i="7"/>
  <c r="Z1602" i="7"/>
  <c r="AG1605" i="7" l="1"/>
  <c r="AH1605" i="7" s="1"/>
  <c r="T1605" i="7" s="1"/>
  <c r="Q1606" i="7" s="1"/>
  <c r="S1606" i="7" s="1"/>
  <c r="Z1603" i="7"/>
  <c r="V1605" i="7"/>
  <c r="N1605" i="7"/>
  <c r="W1604" i="7"/>
  <c r="AB1604" i="7"/>
  <c r="AG1606" i="7" l="1"/>
  <c r="AH1606" i="7" s="1"/>
  <c r="T1606" i="7" s="1"/>
  <c r="Q1607" i="7" s="1"/>
  <c r="S1607" i="7" s="1"/>
  <c r="V1606" i="7"/>
  <c r="N1606" i="7"/>
  <c r="AB1605" i="7"/>
  <c r="W1605" i="7"/>
  <c r="Z1604" i="7"/>
  <c r="AG1607" i="7" l="1"/>
  <c r="AH1607" i="7" s="1"/>
  <c r="T1607" i="7" s="1"/>
  <c r="Q1608" i="7" s="1"/>
  <c r="S1608" i="7" s="1"/>
  <c r="N1607" i="7"/>
  <c r="V1607" i="7"/>
  <c r="Z1605" i="7"/>
  <c r="W1606" i="7"/>
  <c r="AB1606" i="7"/>
  <c r="AG1608" i="7" l="1"/>
  <c r="AH1608" i="7" s="1"/>
  <c r="T1608" i="7" s="1"/>
  <c r="Q1609" i="7" s="1"/>
  <c r="S1609" i="7" s="1"/>
  <c r="W1607" i="7"/>
  <c r="AB1607" i="7"/>
  <c r="N1608" i="7"/>
  <c r="V1608" i="7"/>
  <c r="Z1606" i="7"/>
  <c r="AG1609" i="7" l="1"/>
  <c r="AH1609" i="7" s="1"/>
  <c r="T1609" i="7" s="1"/>
  <c r="Q1610" i="7" s="1"/>
  <c r="S1610" i="7" s="1"/>
  <c r="N1609" i="7"/>
  <c r="V1609" i="7"/>
  <c r="Z1607" i="7"/>
  <c r="AB1608" i="7"/>
  <c r="W1608" i="7"/>
  <c r="AG1610" i="7" l="1"/>
  <c r="AH1610" i="7" s="1"/>
  <c r="T1610" i="7" s="1"/>
  <c r="Q1611" i="7" s="1"/>
  <c r="S1611" i="7" s="1"/>
  <c r="Z1608" i="7"/>
  <c r="W1609" i="7"/>
  <c r="AB1609" i="7"/>
  <c r="V1610" i="7"/>
  <c r="N1610" i="7"/>
  <c r="AG1611" i="7" l="1"/>
  <c r="AH1611" i="7" s="1"/>
  <c r="T1611" i="7" s="1"/>
  <c r="Q1612" i="7" s="1"/>
  <c r="S1612" i="7" s="1"/>
  <c r="V1611" i="7"/>
  <c r="N1611" i="7"/>
  <c r="W1610" i="7"/>
  <c r="AB1610" i="7"/>
  <c r="Z1609" i="7"/>
  <c r="AG1612" i="7" l="1"/>
  <c r="AH1612" i="7" s="1"/>
  <c r="T1612" i="7" s="1"/>
  <c r="Q1613" i="7" s="1"/>
  <c r="S1613" i="7" s="1"/>
  <c r="N1612" i="7"/>
  <c r="V1612" i="7"/>
  <c r="Z1610" i="7"/>
  <c r="W1611" i="7"/>
  <c r="AB1611" i="7"/>
  <c r="AG1613" i="7" l="1"/>
  <c r="AH1613" i="7" s="1"/>
  <c r="T1613" i="7" s="1"/>
  <c r="Q1614" i="7" s="1"/>
  <c r="S1614" i="7" s="1"/>
  <c r="N1613" i="7"/>
  <c r="V1613" i="7"/>
  <c r="AB1612" i="7"/>
  <c r="W1612" i="7"/>
  <c r="Z1611" i="7"/>
  <c r="AG1614" i="7" l="1"/>
  <c r="AH1614" i="7" s="1"/>
  <c r="T1614" i="7" s="1"/>
  <c r="Q1615" i="7" s="1"/>
  <c r="S1615" i="7" s="1"/>
  <c r="V1614" i="7"/>
  <c r="N1614" i="7"/>
  <c r="AB1613" i="7"/>
  <c r="W1613" i="7"/>
  <c r="Z1612" i="7"/>
  <c r="AG1615" i="7" l="1"/>
  <c r="AH1615" i="7" s="1"/>
  <c r="T1615" i="7" s="1"/>
  <c r="Q1616" i="7" s="1"/>
  <c r="S1616" i="7" s="1"/>
  <c r="Z1613" i="7"/>
  <c r="N1615" i="7"/>
  <c r="V1615" i="7"/>
  <c r="AB1614" i="7"/>
  <c r="W1614" i="7"/>
  <c r="AG1616" i="7" l="1"/>
  <c r="AH1616" i="7" s="1"/>
  <c r="T1616" i="7" s="1"/>
  <c r="Q1617" i="7" s="1"/>
  <c r="S1617" i="7" s="1"/>
  <c r="W1615" i="7"/>
  <c r="AB1615" i="7"/>
  <c r="Z1614" i="7"/>
  <c r="V1616" i="7"/>
  <c r="N1616" i="7"/>
  <c r="AG1617" i="7" l="1"/>
  <c r="AH1617" i="7" s="1"/>
  <c r="T1617" i="7" s="1"/>
  <c r="Q1618" i="7" s="1"/>
  <c r="S1618" i="7" s="1"/>
  <c r="AB1616" i="7"/>
  <c r="W1616" i="7"/>
  <c r="Z1615" i="7"/>
  <c r="V1617" i="7"/>
  <c r="N1617" i="7"/>
  <c r="AG1618" i="7" l="1"/>
  <c r="AH1618" i="7" s="1"/>
  <c r="T1618" i="7" s="1"/>
  <c r="Q1619" i="7" s="1"/>
  <c r="S1619" i="7" s="1"/>
  <c r="N1618" i="7"/>
  <c r="V1618" i="7"/>
  <c r="AB1617" i="7"/>
  <c r="W1617" i="7"/>
  <c r="Z1616" i="7"/>
  <c r="AG1619" i="7" l="1"/>
  <c r="AH1619" i="7" s="1"/>
  <c r="T1619" i="7" s="1"/>
  <c r="Q1620" i="7" s="1"/>
  <c r="S1620" i="7" s="1"/>
  <c r="V1619" i="7"/>
  <c r="N1619" i="7"/>
  <c r="W1618" i="7"/>
  <c r="AB1618" i="7"/>
  <c r="Z1617" i="7"/>
  <c r="AG1620" i="7" l="1"/>
  <c r="AH1620" i="7" s="1"/>
  <c r="T1620" i="7" s="1"/>
  <c r="Q1621" i="7" s="1"/>
  <c r="S1621" i="7" s="1"/>
  <c r="V1620" i="7"/>
  <c r="N1620" i="7"/>
  <c r="Z1618" i="7"/>
  <c r="W1619" i="7"/>
  <c r="AB1619" i="7"/>
  <c r="AG1621" i="7" l="1"/>
  <c r="AH1621" i="7" s="1"/>
  <c r="T1621" i="7" s="1"/>
  <c r="Q1622" i="7" s="1"/>
  <c r="S1622" i="7" s="1"/>
  <c r="N1621" i="7"/>
  <c r="V1621" i="7"/>
  <c r="W1620" i="7"/>
  <c r="AB1620" i="7"/>
  <c r="Z1619" i="7"/>
  <c r="AG1622" i="7" l="1"/>
  <c r="AH1622" i="7" s="1"/>
  <c r="T1622" i="7" s="1"/>
  <c r="Q1623" i="7" s="1"/>
  <c r="S1623" i="7" s="1"/>
  <c r="Z1620" i="7"/>
  <c r="W1621" i="7"/>
  <c r="AB1621" i="7"/>
  <c r="V1622" i="7"/>
  <c r="N1622" i="7"/>
  <c r="AG1623" i="7" l="1"/>
  <c r="AH1623" i="7" s="1"/>
  <c r="T1623" i="7" s="1"/>
  <c r="Q1624" i="7" s="1"/>
  <c r="S1624" i="7" s="1"/>
  <c r="V1623" i="7"/>
  <c r="N1623" i="7"/>
  <c r="AB1622" i="7"/>
  <c r="W1622" i="7"/>
  <c r="Z1621" i="7"/>
  <c r="AG1624" i="7" l="1"/>
  <c r="AH1624" i="7" s="1"/>
  <c r="T1624" i="7" s="1"/>
  <c r="Q1625" i="7" s="1"/>
  <c r="S1625" i="7" s="1"/>
  <c r="Z1622" i="7"/>
  <c r="AB1623" i="7"/>
  <c r="W1623" i="7"/>
  <c r="V1624" i="7"/>
  <c r="N1624" i="7"/>
  <c r="AG1625" i="7" l="1"/>
  <c r="AH1625" i="7" s="1"/>
  <c r="T1625" i="7" s="1"/>
  <c r="Q1626" i="7" s="1"/>
  <c r="S1626" i="7" s="1"/>
  <c r="V1625" i="7"/>
  <c r="N1625" i="7"/>
  <c r="Z1623" i="7"/>
  <c r="AB1624" i="7"/>
  <c r="W1624" i="7"/>
  <c r="AG1626" i="7" l="1"/>
  <c r="AH1626" i="7" s="1"/>
  <c r="T1626" i="7" s="1"/>
  <c r="Q1627" i="7" s="1"/>
  <c r="S1627" i="7" s="1"/>
  <c r="V1626" i="7"/>
  <c r="N1626" i="7"/>
  <c r="Z1624" i="7"/>
  <c r="AB1625" i="7"/>
  <c r="W1625" i="7"/>
  <c r="AG1627" i="7" l="1"/>
  <c r="AH1627" i="7" s="1"/>
  <c r="T1627" i="7" s="1"/>
  <c r="Q1628" i="7" s="1"/>
  <c r="S1628" i="7" s="1"/>
  <c r="Z1625" i="7"/>
  <c r="AB1626" i="7"/>
  <c r="W1626" i="7"/>
  <c r="N1627" i="7"/>
  <c r="V1627" i="7"/>
  <c r="AG1628" i="7" l="1"/>
  <c r="AH1628" i="7" s="1"/>
  <c r="T1628" i="7" s="1"/>
  <c r="Q1629" i="7" s="1"/>
  <c r="S1629" i="7" s="1"/>
  <c r="AB1627" i="7"/>
  <c r="W1627" i="7"/>
  <c r="Z1626" i="7"/>
  <c r="V1628" i="7"/>
  <c r="N1628" i="7"/>
  <c r="AG1629" i="7" l="1"/>
  <c r="AH1629" i="7" s="1"/>
  <c r="T1629" i="7" s="1"/>
  <c r="Q1630" i="7" s="1"/>
  <c r="S1630" i="7" s="1"/>
  <c r="AB1628" i="7"/>
  <c r="W1628" i="7"/>
  <c r="Z1627" i="7"/>
  <c r="V1629" i="7"/>
  <c r="N1629" i="7"/>
  <c r="AG1630" i="7" l="1"/>
  <c r="AH1630" i="7" s="1"/>
  <c r="T1630" i="7" s="1"/>
  <c r="Q1631" i="7" s="1"/>
  <c r="S1631" i="7" s="1"/>
  <c r="AB1629" i="7"/>
  <c r="W1629" i="7"/>
  <c r="V1630" i="7"/>
  <c r="N1630" i="7"/>
  <c r="Z1628" i="7"/>
  <c r="AG1631" i="7" l="1"/>
  <c r="AH1631" i="7" s="1"/>
  <c r="T1631" i="7" s="1"/>
  <c r="Q1632" i="7" s="1"/>
  <c r="S1632" i="7" s="1"/>
  <c r="N1631" i="7"/>
  <c r="V1631" i="7"/>
  <c r="AB1630" i="7"/>
  <c r="W1630" i="7"/>
  <c r="Z1629" i="7"/>
  <c r="AG1632" i="7" l="1"/>
  <c r="AH1632" i="7" s="1"/>
  <c r="T1632" i="7" s="1"/>
  <c r="Q1633" i="7" s="1"/>
  <c r="S1633" i="7" s="1"/>
  <c r="W1631" i="7"/>
  <c r="AB1631" i="7"/>
  <c r="Z1630" i="7"/>
  <c r="V1632" i="7"/>
  <c r="N1632" i="7"/>
  <c r="AG1633" i="7" l="1"/>
  <c r="AH1633" i="7" s="1"/>
  <c r="T1633" i="7" s="1"/>
  <c r="Q1634" i="7" s="1"/>
  <c r="S1634" i="7" s="1"/>
  <c r="V1633" i="7"/>
  <c r="N1633" i="7"/>
  <c r="AB1632" i="7"/>
  <c r="W1632" i="7"/>
  <c r="Z1631" i="7"/>
  <c r="AG1634" i="7" l="1"/>
  <c r="AH1634" i="7" s="1"/>
  <c r="T1634" i="7" s="1"/>
  <c r="Q1635" i="7" s="1"/>
  <c r="S1635" i="7" s="1"/>
  <c r="N1634" i="7"/>
  <c r="V1634" i="7"/>
  <c r="Z1632" i="7"/>
  <c r="AB1633" i="7"/>
  <c r="W1633" i="7"/>
  <c r="AG1635" i="7" l="1"/>
  <c r="AH1635" i="7" s="1"/>
  <c r="T1635" i="7" s="1"/>
  <c r="Q1636" i="7" s="1"/>
  <c r="S1636" i="7" s="1"/>
  <c r="Z1633" i="7"/>
  <c r="AB1634" i="7"/>
  <c r="W1634" i="7"/>
  <c r="N1635" i="7"/>
  <c r="V1635" i="7"/>
  <c r="AG1636" i="7" l="1"/>
  <c r="AH1636" i="7" s="1"/>
  <c r="T1636" i="7" s="1"/>
  <c r="Q1637" i="7" s="1"/>
  <c r="S1637" i="7" s="1"/>
  <c r="Z1634" i="7"/>
  <c r="AB1635" i="7"/>
  <c r="W1635" i="7"/>
  <c r="N1636" i="7"/>
  <c r="V1636" i="7"/>
  <c r="AG1637" i="7" l="1"/>
  <c r="AH1637" i="7" s="1"/>
  <c r="T1637" i="7" s="1"/>
  <c r="Q1638" i="7" s="1"/>
  <c r="S1638" i="7" s="1"/>
  <c r="AB1636" i="7"/>
  <c r="W1636" i="7"/>
  <c r="Z1635" i="7"/>
  <c r="N1637" i="7"/>
  <c r="V1637" i="7"/>
  <c r="AG1638" i="7" l="1"/>
  <c r="AH1638" i="7" s="1"/>
  <c r="T1638" i="7" s="1"/>
  <c r="Q1639" i="7" s="1"/>
  <c r="S1639" i="7" s="1"/>
  <c r="N1638" i="7"/>
  <c r="V1638" i="7"/>
  <c r="W1637" i="7"/>
  <c r="AB1637" i="7"/>
  <c r="Z1636" i="7"/>
  <c r="AG1639" i="7" l="1"/>
  <c r="AH1639" i="7" s="1"/>
  <c r="T1639" i="7" s="1"/>
  <c r="Q1640" i="7" s="1"/>
  <c r="S1640" i="7" s="1"/>
  <c r="AB1638" i="7"/>
  <c r="W1638" i="7"/>
  <c r="V1639" i="7"/>
  <c r="N1639" i="7"/>
  <c r="Z1637" i="7"/>
  <c r="AG1640" i="7" l="1"/>
  <c r="AH1640" i="7" s="1"/>
  <c r="T1640" i="7" s="1"/>
  <c r="Q1641" i="7" s="1"/>
  <c r="S1641" i="7" s="1"/>
  <c r="N1640" i="7"/>
  <c r="V1640" i="7"/>
  <c r="AB1639" i="7"/>
  <c r="W1639" i="7"/>
  <c r="Z1638" i="7"/>
  <c r="AG1641" i="7" l="1"/>
  <c r="AH1641" i="7" s="1"/>
  <c r="T1641" i="7" s="1"/>
  <c r="Q1642" i="7" s="1"/>
  <c r="S1642" i="7" s="1"/>
  <c r="Z1639" i="7"/>
  <c r="AB1640" i="7"/>
  <c r="W1640" i="7"/>
  <c r="N1641" i="7"/>
  <c r="V1641" i="7"/>
  <c r="AG1642" i="7" l="1"/>
  <c r="AH1642" i="7" s="1"/>
  <c r="T1642" i="7" s="1"/>
  <c r="Q1643" i="7" s="1"/>
  <c r="S1643" i="7" s="1"/>
  <c r="N1642" i="7"/>
  <c r="V1642" i="7"/>
  <c r="Z1640" i="7"/>
  <c r="AB1641" i="7"/>
  <c r="W1641" i="7"/>
  <c r="AG1643" i="7" l="1"/>
  <c r="AH1643" i="7" s="1"/>
  <c r="T1643" i="7" s="1"/>
  <c r="Q1644" i="7" s="1"/>
  <c r="S1644" i="7" s="1"/>
  <c r="N1643" i="7"/>
  <c r="V1643" i="7"/>
  <c r="W1642" i="7"/>
  <c r="AB1642" i="7"/>
  <c r="Z1641" i="7"/>
  <c r="AG1644" i="7" l="1"/>
  <c r="AH1644" i="7" s="1"/>
  <c r="T1644" i="7" s="1"/>
  <c r="Q1645" i="7" s="1"/>
  <c r="S1645" i="7" s="1"/>
  <c r="W1643" i="7"/>
  <c r="AB1643" i="7"/>
  <c r="N1644" i="7"/>
  <c r="V1644" i="7"/>
  <c r="Z1642" i="7"/>
  <c r="AG1645" i="7" l="1"/>
  <c r="AH1645" i="7" s="1"/>
  <c r="T1645" i="7" s="1"/>
  <c r="Q1646" i="7" s="1"/>
  <c r="S1646" i="7" s="1"/>
  <c r="N1645" i="7"/>
  <c r="V1645" i="7"/>
  <c r="Z1643" i="7"/>
  <c r="AB1644" i="7"/>
  <c r="W1644" i="7"/>
  <c r="AG1646" i="7" l="1"/>
  <c r="AH1646" i="7" s="1"/>
  <c r="T1646" i="7" s="1"/>
  <c r="Q1647" i="7" s="1"/>
  <c r="S1647" i="7" s="1"/>
  <c r="Z1644" i="7"/>
  <c r="W1645" i="7"/>
  <c r="AB1645" i="7"/>
  <c r="V1646" i="7"/>
  <c r="N1646" i="7"/>
  <c r="AG1647" i="7" l="1"/>
  <c r="AH1647" i="7" s="1"/>
  <c r="T1647" i="7" s="1"/>
  <c r="Q1648" i="7" s="1"/>
  <c r="S1648" i="7" s="1"/>
  <c r="Z1645" i="7"/>
  <c r="V1647" i="7"/>
  <c r="N1647" i="7"/>
  <c r="W1646" i="7"/>
  <c r="AB1646" i="7"/>
  <c r="AG1648" i="7" l="1"/>
  <c r="AH1648" i="7" s="1"/>
  <c r="T1648" i="7" s="1"/>
  <c r="Q1649" i="7" s="1"/>
  <c r="S1649" i="7" s="1"/>
  <c r="V1648" i="7"/>
  <c r="N1648" i="7"/>
  <c r="AB1647" i="7"/>
  <c r="W1647" i="7"/>
  <c r="Z1646" i="7"/>
  <c r="AG1649" i="7" l="1"/>
  <c r="AH1649" i="7" s="1"/>
  <c r="T1649" i="7" s="1"/>
  <c r="Q1650" i="7" s="1"/>
  <c r="S1650" i="7" s="1"/>
  <c r="Z1647" i="7"/>
  <c r="W1648" i="7"/>
  <c r="AB1648" i="7"/>
  <c r="N1649" i="7"/>
  <c r="V1649" i="7"/>
  <c r="AG1650" i="7" l="1"/>
  <c r="AH1650" i="7" s="1"/>
  <c r="T1650" i="7" s="1"/>
  <c r="Q1651" i="7" s="1"/>
  <c r="S1651" i="7" s="1"/>
  <c r="N1650" i="7"/>
  <c r="V1650" i="7"/>
  <c r="Z1648" i="7"/>
  <c r="AB1649" i="7"/>
  <c r="W1649" i="7"/>
  <c r="AG1651" i="7" l="1"/>
  <c r="AH1651" i="7" s="1"/>
  <c r="T1651" i="7" s="1"/>
  <c r="Q1652" i="7" s="1"/>
  <c r="S1652" i="7" s="1"/>
  <c r="AB1650" i="7"/>
  <c r="W1650" i="7"/>
  <c r="Z1649" i="7"/>
  <c r="V1651" i="7"/>
  <c r="N1651" i="7"/>
  <c r="AG1652" i="7" l="1"/>
  <c r="AH1652" i="7" s="1"/>
  <c r="T1652" i="7" s="1"/>
  <c r="Q1653" i="7" s="1"/>
  <c r="S1653" i="7" s="1"/>
  <c r="W1651" i="7"/>
  <c r="AB1651" i="7"/>
  <c r="N1652" i="7"/>
  <c r="V1652" i="7"/>
  <c r="Z1650" i="7"/>
  <c r="AG1653" i="7" l="1"/>
  <c r="AH1653" i="7" s="1"/>
  <c r="T1653" i="7" s="1"/>
  <c r="Q1654" i="7" s="1"/>
  <c r="S1654" i="7" s="1"/>
  <c r="V1653" i="7"/>
  <c r="N1653" i="7"/>
  <c r="Z1651" i="7"/>
  <c r="W1652" i="7"/>
  <c r="AB1652" i="7"/>
  <c r="AG1654" i="7" l="1"/>
  <c r="AH1654" i="7" s="1"/>
  <c r="T1654" i="7" s="1"/>
  <c r="Q1655" i="7" s="1"/>
  <c r="S1655" i="7" s="1"/>
  <c r="W1653" i="7"/>
  <c r="AB1653" i="7"/>
  <c r="N1654" i="7"/>
  <c r="V1654" i="7"/>
  <c r="Z1652" i="7"/>
  <c r="AG1655" i="7" l="1"/>
  <c r="AH1655" i="7" s="1"/>
  <c r="T1655" i="7" s="1"/>
  <c r="Q1656" i="7" s="1"/>
  <c r="S1656" i="7" s="1"/>
  <c r="V1655" i="7"/>
  <c r="N1655" i="7"/>
  <c r="W1654" i="7"/>
  <c r="AB1654" i="7"/>
  <c r="Z1653" i="7"/>
  <c r="AG1656" i="7" l="1"/>
  <c r="AH1656" i="7" s="1"/>
  <c r="T1656" i="7" s="1"/>
  <c r="Q1657" i="7" s="1"/>
  <c r="S1657" i="7" s="1"/>
  <c r="AG1657" i="7" s="1"/>
  <c r="AH1657" i="7" s="1"/>
  <c r="T1657" i="7" s="1"/>
  <c r="AB1655" i="7"/>
  <c r="W1655" i="7"/>
  <c r="N1656" i="7"/>
  <c r="V1656" i="7"/>
  <c r="Z1654" i="7"/>
  <c r="AB1656" i="7" l="1"/>
  <c r="W1656" i="7"/>
  <c r="Q1658" i="7"/>
  <c r="S1658" i="7" s="1"/>
  <c r="AG1658" i="7" s="1"/>
  <c r="AH1658" i="7" s="1"/>
  <c r="T1658" i="7" s="1"/>
  <c r="V1657" i="7"/>
  <c r="N1657" i="7"/>
  <c r="Z1655" i="7"/>
  <c r="AB1657" i="7" l="1"/>
  <c r="W1657" i="7"/>
  <c r="V1658" i="7"/>
  <c r="Q1659" i="7"/>
  <c r="S1659" i="7" s="1"/>
  <c r="AG1659" i="7" s="1"/>
  <c r="AH1659" i="7" s="1"/>
  <c r="T1659" i="7" s="1"/>
  <c r="N1658" i="7"/>
  <c r="Z1656" i="7"/>
  <c r="AB1658" i="7" l="1"/>
  <c r="W1658" i="7"/>
  <c r="Q1660" i="7"/>
  <c r="S1660" i="7" s="1"/>
  <c r="AG1660" i="7" s="1"/>
  <c r="AH1660" i="7" s="1"/>
  <c r="T1660" i="7" s="1"/>
  <c r="N1659" i="7"/>
  <c r="V1659" i="7"/>
  <c r="Z1657" i="7"/>
  <c r="V1660" i="7" l="1"/>
  <c r="N1660" i="7"/>
  <c r="Q1661" i="7"/>
  <c r="S1661" i="7" s="1"/>
  <c r="AG1661" i="7" s="1"/>
  <c r="AH1661" i="7" s="1"/>
  <c r="T1661" i="7" s="1"/>
  <c r="W1659" i="7"/>
  <c r="AB1659" i="7"/>
  <c r="Z1658" i="7"/>
  <c r="Q1662" i="7" l="1"/>
  <c r="S1662" i="7" s="1"/>
  <c r="AG1662" i="7" s="1"/>
  <c r="AH1662" i="7" s="1"/>
  <c r="T1662" i="7" s="1"/>
  <c r="N1661" i="7"/>
  <c r="V1661" i="7"/>
  <c r="W1660" i="7"/>
  <c r="AB1660" i="7"/>
  <c r="Z1659" i="7"/>
  <c r="AB1661" i="7" l="1"/>
  <c r="W1661" i="7"/>
  <c r="Z1660" i="7"/>
  <c r="Q1663" i="7"/>
  <c r="S1663" i="7" s="1"/>
  <c r="AG1663" i="7" s="1"/>
  <c r="AH1663" i="7" s="1"/>
  <c r="T1663" i="7" s="1"/>
  <c r="N1662" i="7"/>
  <c r="V1662" i="7"/>
  <c r="Q1664" i="7" l="1"/>
  <c r="S1664" i="7" s="1"/>
  <c r="AG1664" i="7" s="1"/>
  <c r="AH1664" i="7" s="1"/>
  <c r="T1664" i="7" s="1"/>
  <c r="V1663" i="7"/>
  <c r="N1663" i="7"/>
  <c r="W1662" i="7"/>
  <c r="AB1662" i="7"/>
  <c r="Z1661" i="7"/>
  <c r="AB1663" i="7" l="1"/>
  <c r="W1663" i="7"/>
  <c r="Z1662" i="7"/>
  <c r="Q1665" i="7"/>
  <c r="S1665" i="7" s="1"/>
  <c r="AG1665" i="7" s="1"/>
  <c r="AH1665" i="7" s="1"/>
  <c r="T1665" i="7" s="1"/>
  <c r="N1664" i="7"/>
  <c r="V1664" i="7"/>
  <c r="V1665" i="7" l="1"/>
  <c r="N1665" i="7"/>
  <c r="Q1666" i="7"/>
  <c r="S1666" i="7" s="1"/>
  <c r="AG1666" i="7" s="1"/>
  <c r="AH1666" i="7" s="1"/>
  <c r="T1666" i="7" s="1"/>
  <c r="Z1663" i="7"/>
  <c r="AB1664" i="7"/>
  <c r="W1664" i="7"/>
  <c r="N1666" i="7" l="1"/>
  <c r="V1666" i="7"/>
  <c r="Q1667" i="7"/>
  <c r="S1667" i="7" s="1"/>
  <c r="AG1667" i="7" s="1"/>
  <c r="AH1667" i="7" s="1"/>
  <c r="T1667" i="7" s="1"/>
  <c r="Z1664" i="7"/>
  <c r="AB1665" i="7"/>
  <c r="W1665" i="7"/>
  <c r="N1667" i="7" l="1"/>
  <c r="V1667" i="7"/>
  <c r="Q1668" i="7"/>
  <c r="S1668" i="7" s="1"/>
  <c r="AG1668" i="7" s="1"/>
  <c r="AH1668" i="7" s="1"/>
  <c r="T1668" i="7" s="1"/>
  <c r="Z1665" i="7"/>
  <c r="AB1666" i="7"/>
  <c r="W1666" i="7"/>
  <c r="Z1666" i="7" l="1"/>
  <c r="Q1669" i="7"/>
  <c r="S1669" i="7" s="1"/>
  <c r="AG1669" i="7" s="1"/>
  <c r="AH1669" i="7" s="1"/>
  <c r="T1669" i="7" s="1"/>
  <c r="N1668" i="7"/>
  <c r="V1668" i="7"/>
  <c r="AB1667" i="7"/>
  <c r="W1667" i="7"/>
  <c r="AB1668" i="7" l="1"/>
  <c r="W1668" i="7"/>
  <c r="N1669" i="7"/>
  <c r="Q1670" i="7"/>
  <c r="S1670" i="7" s="1"/>
  <c r="AG1670" i="7" s="1"/>
  <c r="AH1670" i="7" s="1"/>
  <c r="T1670" i="7" s="1"/>
  <c r="V1669" i="7"/>
  <c r="Z1667" i="7"/>
  <c r="W1669" i="7" l="1"/>
  <c r="AB1669" i="7"/>
  <c r="Q1671" i="7"/>
  <c r="S1671" i="7" s="1"/>
  <c r="AG1671" i="7" s="1"/>
  <c r="AH1671" i="7" s="1"/>
  <c r="T1671" i="7" s="1"/>
  <c r="V1670" i="7"/>
  <c r="N1670" i="7"/>
  <c r="Z1668" i="7"/>
  <c r="N1671" i="7" l="1"/>
  <c r="Q1672" i="7"/>
  <c r="S1672" i="7" s="1"/>
  <c r="AG1672" i="7" s="1"/>
  <c r="AH1672" i="7" s="1"/>
  <c r="T1672" i="7" s="1"/>
  <c r="V1671" i="7"/>
  <c r="W1670" i="7"/>
  <c r="AB1670" i="7"/>
  <c r="Z1669" i="7"/>
  <c r="W1671" i="7" l="1"/>
  <c r="AB1671" i="7"/>
  <c r="N1672" i="7"/>
  <c r="Q1673" i="7"/>
  <c r="S1673" i="7" s="1"/>
  <c r="AG1673" i="7" s="1"/>
  <c r="AH1673" i="7" s="1"/>
  <c r="T1673" i="7" s="1"/>
  <c r="V1672" i="7"/>
  <c r="Z1670" i="7"/>
  <c r="AB1672" i="7" l="1"/>
  <c r="W1672" i="7"/>
  <c r="Z1671" i="7"/>
  <c r="V1673" i="7"/>
  <c r="N1673" i="7"/>
  <c r="Q1674" i="7"/>
  <c r="S1674" i="7" s="1"/>
  <c r="AG1674" i="7" s="1"/>
  <c r="AH1674" i="7" s="1"/>
  <c r="T1674" i="7" s="1"/>
  <c r="AB1673" i="7" l="1"/>
  <c r="W1673" i="7"/>
  <c r="Q1675" i="7"/>
  <c r="S1675" i="7" s="1"/>
  <c r="AG1675" i="7" s="1"/>
  <c r="AH1675" i="7" s="1"/>
  <c r="T1675" i="7" s="1"/>
  <c r="V1674" i="7"/>
  <c r="N1674" i="7"/>
  <c r="Z1672" i="7"/>
  <c r="V1675" i="7" l="1"/>
  <c r="Q1676" i="7"/>
  <c r="S1676" i="7" s="1"/>
  <c r="AG1676" i="7" s="1"/>
  <c r="AH1676" i="7" s="1"/>
  <c r="T1676" i="7" s="1"/>
  <c r="N1675" i="7"/>
  <c r="Z1673" i="7"/>
  <c r="AB1674" i="7"/>
  <c r="W1674" i="7"/>
  <c r="Z1674" i="7" l="1"/>
  <c r="V1676" i="7"/>
  <c r="Q1677" i="7"/>
  <c r="S1677" i="7" s="1"/>
  <c r="AG1677" i="7" s="1"/>
  <c r="AH1677" i="7" s="1"/>
  <c r="T1677" i="7" s="1"/>
  <c r="N1676" i="7"/>
  <c r="AB1675" i="7"/>
  <c r="W1675" i="7"/>
  <c r="V1677" i="7" l="1"/>
  <c r="Q1678" i="7"/>
  <c r="S1678" i="7" s="1"/>
  <c r="N1677" i="7"/>
  <c r="AB1676" i="7"/>
  <c r="W1676" i="7"/>
  <c r="Z1675" i="7"/>
  <c r="AF1678" i="7" l="1"/>
  <c r="AG1678" i="7" s="1"/>
  <c r="AH1678" i="7" s="1"/>
  <c r="T1678" i="7" s="1"/>
  <c r="Q1679" i="7" s="1"/>
  <c r="S1679" i="7" s="1"/>
  <c r="N1678" i="7"/>
  <c r="V1678" i="7"/>
  <c r="Z1676" i="7"/>
  <c r="AB1677" i="7"/>
  <c r="W1677" i="7"/>
  <c r="AF1679" i="7" l="1"/>
  <c r="AG1679" i="7" s="1"/>
  <c r="AH1679" i="7" s="1"/>
  <c r="T1679" i="7" s="1"/>
  <c r="Q1680" i="7" s="1"/>
  <c r="S1680" i="7" s="1"/>
  <c r="Z1677" i="7"/>
  <c r="W1678" i="7"/>
  <c r="AB1678" i="7"/>
  <c r="N1679" i="7"/>
  <c r="V1679" i="7"/>
  <c r="AF1680" i="7" l="1"/>
  <c r="AG1680" i="7" s="1"/>
  <c r="AH1680" i="7" s="1"/>
  <c r="T1680" i="7" s="1"/>
  <c r="Q1681" i="7" s="1"/>
  <c r="S1681" i="7" s="1"/>
  <c r="N1680" i="7"/>
  <c r="V1680" i="7"/>
  <c r="Z1678" i="7"/>
  <c r="W1679" i="7"/>
  <c r="AB1679" i="7"/>
  <c r="AF1681" i="7" l="1"/>
  <c r="AG1681" i="7" s="1"/>
  <c r="AH1681" i="7" s="1"/>
  <c r="T1681" i="7" s="1"/>
  <c r="Q1682" i="7" s="1"/>
  <c r="S1682" i="7" s="1"/>
  <c r="V1681" i="7"/>
  <c r="N1681" i="7"/>
  <c r="W1680" i="7"/>
  <c r="AB1680" i="7"/>
  <c r="Z1679" i="7"/>
  <c r="AF1682" i="7" l="1"/>
  <c r="AG1682" i="7" s="1"/>
  <c r="AH1682" i="7" s="1"/>
  <c r="T1682" i="7" s="1"/>
  <c r="Q1683" i="7" s="1"/>
  <c r="S1683" i="7" s="1"/>
  <c r="AB1681" i="7"/>
  <c r="W1681" i="7"/>
  <c r="V1682" i="7"/>
  <c r="N1682" i="7"/>
  <c r="Z1680" i="7"/>
  <c r="AF1683" i="7" l="1"/>
  <c r="AG1683" i="7" s="1"/>
  <c r="AH1683" i="7" s="1"/>
  <c r="T1683" i="7" s="1"/>
  <c r="Q1684" i="7" s="1"/>
  <c r="S1684" i="7" s="1"/>
  <c r="N1683" i="7"/>
  <c r="V1683" i="7"/>
  <c r="W1682" i="7"/>
  <c r="AB1682" i="7"/>
  <c r="Z1681" i="7"/>
  <c r="AF1684" i="7" l="1"/>
  <c r="AG1684" i="7" s="1"/>
  <c r="AH1684" i="7" s="1"/>
  <c r="T1684" i="7" s="1"/>
  <c r="Q1685" i="7" s="1"/>
  <c r="S1685" i="7" s="1"/>
  <c r="Z1682" i="7"/>
  <c r="AB1683" i="7"/>
  <c r="W1683" i="7"/>
  <c r="V1684" i="7"/>
  <c r="N1684" i="7"/>
  <c r="AF1685" i="7" l="1"/>
  <c r="AG1685" i="7" s="1"/>
  <c r="AH1685" i="7" s="1"/>
  <c r="T1685" i="7" s="1"/>
  <c r="Q1686" i="7" s="1"/>
  <c r="S1686" i="7" s="1"/>
  <c r="Z1683" i="7"/>
  <c r="AB1684" i="7"/>
  <c r="W1684" i="7"/>
  <c r="N1685" i="7"/>
  <c r="V1685" i="7"/>
  <c r="AF1686" i="7" l="1"/>
  <c r="AG1686" i="7" s="1"/>
  <c r="AH1686" i="7" s="1"/>
  <c r="T1686" i="7" s="1"/>
  <c r="Q1687" i="7" s="1"/>
  <c r="S1687" i="7" s="1"/>
  <c r="N1686" i="7"/>
  <c r="V1686" i="7"/>
  <c r="Z1684" i="7"/>
  <c r="AB1685" i="7"/>
  <c r="W1685" i="7"/>
  <c r="AF1687" i="7" l="1"/>
  <c r="AG1687" i="7" s="1"/>
  <c r="AH1687" i="7" s="1"/>
  <c r="T1687" i="7" s="1"/>
  <c r="Q1688" i="7" s="1"/>
  <c r="S1688" i="7" s="1"/>
  <c r="Z1685" i="7"/>
  <c r="AB1686" i="7"/>
  <c r="W1686" i="7"/>
  <c r="N1687" i="7"/>
  <c r="V1687" i="7"/>
  <c r="AF1688" i="7" l="1"/>
  <c r="AG1688" i="7" s="1"/>
  <c r="AH1688" i="7" s="1"/>
  <c r="T1688" i="7" s="1"/>
  <c r="Q1689" i="7" s="1"/>
  <c r="S1689" i="7" s="1"/>
  <c r="V1688" i="7"/>
  <c r="N1688" i="7"/>
  <c r="Z1686" i="7"/>
  <c r="AB1687" i="7"/>
  <c r="W1687" i="7"/>
  <c r="AF1689" i="7" l="1"/>
  <c r="AG1689" i="7" s="1"/>
  <c r="AH1689" i="7" s="1"/>
  <c r="T1689" i="7" s="1"/>
  <c r="Q1690" i="7" s="1"/>
  <c r="S1690" i="7" s="1"/>
  <c r="Z1687" i="7"/>
  <c r="N1689" i="7"/>
  <c r="V1689" i="7"/>
  <c r="AB1688" i="7"/>
  <c r="W1688" i="7"/>
  <c r="AF1690" i="7" l="1"/>
  <c r="AG1690" i="7" s="1"/>
  <c r="AH1690" i="7" s="1"/>
  <c r="T1690" i="7" s="1"/>
  <c r="Q1691" i="7" s="1"/>
  <c r="S1691" i="7" s="1"/>
  <c r="Z1688" i="7"/>
  <c r="W1689" i="7"/>
  <c r="AB1689" i="7"/>
  <c r="V1690" i="7"/>
  <c r="N1690" i="7"/>
  <c r="AF1691" i="7" l="1"/>
  <c r="AG1691" i="7" s="1"/>
  <c r="AH1691" i="7" s="1"/>
  <c r="T1691" i="7" s="1"/>
  <c r="Q1692" i="7" s="1"/>
  <c r="S1692" i="7" s="1"/>
  <c r="W1690" i="7"/>
  <c r="AB1690" i="7"/>
  <c r="Z1689" i="7"/>
  <c r="V1691" i="7"/>
  <c r="N1691" i="7"/>
  <c r="AF1692" i="7" l="1"/>
  <c r="AG1692" i="7" s="1"/>
  <c r="AH1692" i="7" s="1"/>
  <c r="T1692" i="7" s="1"/>
  <c r="Q1693" i="7" s="1"/>
  <c r="S1693" i="7" s="1"/>
  <c r="AB1691" i="7"/>
  <c r="W1691" i="7"/>
  <c r="Z1690" i="7"/>
  <c r="N1692" i="7"/>
  <c r="V1692" i="7"/>
  <c r="AF1693" i="7" l="1"/>
  <c r="AG1693" i="7" s="1"/>
  <c r="AH1693" i="7" s="1"/>
  <c r="T1693" i="7" s="1"/>
  <c r="Q1694" i="7" s="1"/>
  <c r="S1694" i="7" s="1"/>
  <c r="AB1692" i="7"/>
  <c r="W1692" i="7"/>
  <c r="V1693" i="7"/>
  <c r="N1693" i="7"/>
  <c r="Z1691" i="7"/>
  <c r="AF1694" i="7" l="1"/>
  <c r="AG1694" i="7" s="1"/>
  <c r="AH1694" i="7" s="1"/>
  <c r="T1694" i="7" s="1"/>
  <c r="Q1695" i="7" s="1"/>
  <c r="S1695" i="7" s="1"/>
  <c r="V1694" i="7"/>
  <c r="N1694" i="7"/>
  <c r="AB1693" i="7"/>
  <c r="W1693" i="7"/>
  <c r="Z1692" i="7"/>
  <c r="AF1695" i="7" l="1"/>
  <c r="AG1695" i="7" s="1"/>
  <c r="AH1695" i="7" s="1"/>
  <c r="T1695" i="7" s="1"/>
  <c r="Q1696" i="7" s="1"/>
  <c r="S1696" i="7" s="1"/>
  <c r="N1695" i="7"/>
  <c r="V1695" i="7"/>
  <c r="Z1693" i="7"/>
  <c r="W1694" i="7"/>
  <c r="AB1694" i="7"/>
  <c r="AF1696" i="7" l="1"/>
  <c r="AG1696" i="7" s="1"/>
  <c r="AH1696" i="7" s="1"/>
  <c r="T1696" i="7" s="1"/>
  <c r="Q1697" i="7" s="1"/>
  <c r="S1697" i="7" s="1"/>
  <c r="W1695" i="7"/>
  <c r="AB1695" i="7"/>
  <c r="Z1694" i="7"/>
  <c r="N1696" i="7"/>
  <c r="V1696" i="7"/>
  <c r="AF1697" i="7" l="1"/>
  <c r="AG1697" i="7" s="1"/>
  <c r="AH1697" i="7" s="1"/>
  <c r="T1697" i="7" s="1"/>
  <c r="Q1698" i="7" s="1"/>
  <c r="S1698" i="7" s="1"/>
  <c r="N1697" i="7"/>
  <c r="V1697" i="7"/>
  <c r="Z1695" i="7"/>
  <c r="W1696" i="7"/>
  <c r="AB1696" i="7"/>
  <c r="AF1698" i="7" l="1"/>
  <c r="AG1698" i="7" s="1"/>
  <c r="AH1698" i="7" s="1"/>
  <c r="T1698" i="7" s="1"/>
  <c r="Q1699" i="7" s="1"/>
  <c r="S1699" i="7" s="1"/>
  <c r="Z1696" i="7"/>
  <c r="AB1697" i="7"/>
  <c r="W1697" i="7"/>
  <c r="N1698" i="7"/>
  <c r="V1698" i="7"/>
  <c r="AF1699" i="7" l="1"/>
  <c r="AG1699" i="7" s="1"/>
  <c r="AH1699" i="7" s="1"/>
  <c r="T1699" i="7" s="1"/>
  <c r="Q1700" i="7" s="1"/>
  <c r="S1700" i="7" s="1"/>
  <c r="W1698" i="7"/>
  <c r="AB1698" i="7"/>
  <c r="Z1697" i="7"/>
  <c r="N1699" i="7"/>
  <c r="V1699" i="7"/>
  <c r="AF1700" i="7" l="1"/>
  <c r="AG1700" i="7" s="1"/>
  <c r="AH1700" i="7" s="1"/>
  <c r="T1700" i="7" s="1"/>
  <c r="Q1701" i="7" s="1"/>
  <c r="S1701" i="7" s="1"/>
  <c r="Z1698" i="7"/>
  <c r="V1700" i="7"/>
  <c r="N1700" i="7"/>
  <c r="W1699" i="7"/>
  <c r="AB1699" i="7"/>
  <c r="AF1701" i="7" l="1"/>
  <c r="AG1701" i="7" s="1"/>
  <c r="AH1701" i="7" s="1"/>
  <c r="T1701" i="7" s="1"/>
  <c r="Q1702" i="7" s="1"/>
  <c r="S1702" i="7" s="1"/>
  <c r="W1700" i="7"/>
  <c r="AB1700" i="7"/>
  <c r="V1701" i="7"/>
  <c r="N1701" i="7"/>
  <c r="Z1699" i="7"/>
  <c r="AF1702" i="7" l="1"/>
  <c r="AG1702" i="7" s="1"/>
  <c r="AH1702" i="7" s="1"/>
  <c r="T1702" i="7" s="1"/>
  <c r="Q1703" i="7" s="1"/>
  <c r="S1703" i="7" s="1"/>
  <c r="V1702" i="7"/>
  <c r="N1702" i="7"/>
  <c r="W1701" i="7"/>
  <c r="AB1701" i="7"/>
  <c r="Z1700" i="7"/>
  <c r="AF1703" i="7" l="1"/>
  <c r="AG1703" i="7" s="1"/>
  <c r="AH1703" i="7" s="1"/>
  <c r="T1703" i="7" s="1"/>
  <c r="Q1704" i="7" s="1"/>
  <c r="S1704" i="7" s="1"/>
  <c r="Z1701" i="7"/>
  <c r="N1703" i="7"/>
  <c r="V1703" i="7"/>
  <c r="AB1702" i="7"/>
  <c r="W1702" i="7"/>
  <c r="AF1704" i="7" l="1"/>
  <c r="AG1704" i="7" s="1"/>
  <c r="AH1704" i="7" s="1"/>
  <c r="T1704" i="7" s="1"/>
  <c r="Q1705" i="7" s="1"/>
  <c r="S1705" i="7" s="1"/>
  <c r="Z1702" i="7"/>
  <c r="AB1703" i="7"/>
  <c r="W1703" i="7"/>
  <c r="V1704" i="7"/>
  <c r="N1704" i="7"/>
  <c r="AF1705" i="7" l="1"/>
  <c r="AG1705" i="7" s="1"/>
  <c r="AH1705" i="7" s="1"/>
  <c r="T1705" i="7" s="1"/>
  <c r="Q1706" i="7" s="1"/>
  <c r="S1706" i="7" s="1"/>
  <c r="V1705" i="7"/>
  <c r="N1705" i="7"/>
  <c r="AB1704" i="7"/>
  <c r="W1704" i="7"/>
  <c r="Z1703" i="7"/>
  <c r="AF1706" i="7" l="1"/>
  <c r="AG1706" i="7" s="1"/>
  <c r="AH1706" i="7" s="1"/>
  <c r="T1706" i="7" s="1"/>
  <c r="Q1707" i="7" s="1"/>
  <c r="S1707" i="7" s="1"/>
  <c r="V1706" i="7"/>
  <c r="N1706" i="7"/>
  <c r="Z1704" i="7"/>
  <c r="W1705" i="7"/>
  <c r="AB1705" i="7"/>
  <c r="AF1707" i="7" l="1"/>
  <c r="AG1707" i="7" s="1"/>
  <c r="AH1707" i="7" s="1"/>
  <c r="T1707" i="7" s="1"/>
  <c r="Q1708" i="7" s="1"/>
  <c r="S1708" i="7" s="1"/>
  <c r="AB1706" i="7"/>
  <c r="W1706" i="7"/>
  <c r="Z1705" i="7"/>
  <c r="N1707" i="7"/>
  <c r="V1707" i="7"/>
  <c r="AF1708" i="7" l="1"/>
  <c r="AG1708" i="7" s="1"/>
  <c r="AH1708" i="7" s="1"/>
  <c r="T1708" i="7" s="1"/>
  <c r="Q1709" i="7" s="1"/>
  <c r="S1709" i="7" s="1"/>
  <c r="V1708" i="7"/>
  <c r="N1708" i="7"/>
  <c r="Z1706" i="7"/>
  <c r="AB1707" i="7"/>
  <c r="W1707" i="7"/>
  <c r="AF1709" i="7" l="1"/>
  <c r="AG1709" i="7" s="1"/>
  <c r="AH1709" i="7" s="1"/>
  <c r="T1709" i="7" s="1"/>
  <c r="Q1710" i="7" s="1"/>
  <c r="S1710" i="7" s="1"/>
  <c r="Z1707" i="7"/>
  <c r="V1709" i="7"/>
  <c r="N1709" i="7"/>
  <c r="AB1708" i="7"/>
  <c r="W1708" i="7"/>
  <c r="AF1710" i="7" l="1"/>
  <c r="AG1710" i="7" s="1"/>
  <c r="AH1710" i="7" s="1"/>
  <c r="T1710" i="7" s="1"/>
  <c r="Q1711" i="7" s="1"/>
  <c r="S1711" i="7" s="1"/>
  <c r="N1710" i="7"/>
  <c r="V1710" i="7"/>
  <c r="Z1708" i="7"/>
  <c r="W1709" i="7"/>
  <c r="AB1709" i="7"/>
  <c r="AF1711" i="7" l="1"/>
  <c r="AG1711" i="7" s="1"/>
  <c r="AH1711" i="7" s="1"/>
  <c r="T1711" i="7" s="1"/>
  <c r="Q1712" i="7" s="1"/>
  <c r="S1712" i="7" s="1"/>
  <c r="Z1709" i="7"/>
  <c r="W1710" i="7"/>
  <c r="AB1710" i="7"/>
  <c r="V1711" i="7"/>
  <c r="N1711" i="7"/>
  <c r="AF1712" i="7" l="1"/>
  <c r="AG1712" i="7" s="1"/>
  <c r="AH1712" i="7" s="1"/>
  <c r="T1712" i="7" s="1"/>
  <c r="Q1713" i="7" s="1"/>
  <c r="S1713" i="7" s="1"/>
  <c r="AB1711" i="7"/>
  <c r="W1711" i="7"/>
  <c r="V1712" i="7"/>
  <c r="N1712" i="7"/>
  <c r="Z1710" i="7"/>
  <c r="AF1713" i="7" l="1"/>
  <c r="AG1713" i="7" s="1"/>
  <c r="AH1713" i="7" s="1"/>
  <c r="T1713" i="7" s="1"/>
  <c r="Q1714" i="7" s="1"/>
  <c r="S1714" i="7" s="1"/>
  <c r="W1712" i="7"/>
  <c r="AB1712" i="7"/>
  <c r="N1713" i="7"/>
  <c r="V1713" i="7"/>
  <c r="Z1711" i="7"/>
  <c r="AF1714" i="7" l="1"/>
  <c r="AG1714" i="7" s="1"/>
  <c r="AH1714" i="7" s="1"/>
  <c r="T1714" i="7" s="1"/>
  <c r="Q1715" i="7" s="1"/>
  <c r="S1715" i="7" s="1"/>
  <c r="N1714" i="7"/>
  <c r="V1714" i="7"/>
  <c r="Z1712" i="7"/>
  <c r="W1713" i="7"/>
  <c r="AB1713" i="7"/>
  <c r="AF1715" i="7" l="1"/>
  <c r="AG1715" i="7" s="1"/>
  <c r="AH1715" i="7" s="1"/>
  <c r="T1715" i="7" s="1"/>
  <c r="Q1716" i="7" s="1"/>
  <c r="S1716" i="7" s="1"/>
  <c r="Z1713" i="7"/>
  <c r="W1714" i="7"/>
  <c r="AB1714" i="7"/>
  <c r="N1715" i="7"/>
  <c r="V1715" i="7"/>
  <c r="AF1716" i="7" l="1"/>
  <c r="AG1716" i="7" s="1"/>
  <c r="AH1716" i="7" s="1"/>
  <c r="T1716" i="7" s="1"/>
  <c r="Q1717" i="7" s="1"/>
  <c r="S1717" i="7" s="1"/>
  <c r="AB1715" i="7"/>
  <c r="W1715" i="7"/>
  <c r="Z1714" i="7"/>
  <c r="N1716" i="7"/>
  <c r="V1716" i="7"/>
  <c r="AF1717" i="7" l="1"/>
  <c r="AG1717" i="7" s="1"/>
  <c r="AH1717" i="7" s="1"/>
  <c r="T1717" i="7" s="1"/>
  <c r="Q1718" i="7" s="1"/>
  <c r="S1718" i="7" s="1"/>
  <c r="V1717" i="7"/>
  <c r="N1717" i="7"/>
  <c r="Z1715" i="7"/>
  <c r="W1716" i="7"/>
  <c r="AB1716" i="7"/>
  <c r="AF1718" i="7" l="1"/>
  <c r="AG1718" i="7" s="1"/>
  <c r="AH1718" i="7" s="1"/>
  <c r="T1718" i="7" s="1"/>
  <c r="Q1719" i="7" s="1"/>
  <c r="S1719" i="7" s="1"/>
  <c r="V1718" i="7"/>
  <c r="N1718" i="7"/>
  <c r="Z1716" i="7"/>
  <c r="W1717" i="7"/>
  <c r="AB1717" i="7"/>
  <c r="AF1719" i="7" l="1"/>
  <c r="AG1719" i="7" s="1"/>
  <c r="AH1719" i="7" s="1"/>
  <c r="T1719" i="7" s="1"/>
  <c r="Q1720" i="7" s="1"/>
  <c r="S1720" i="7" s="1"/>
  <c r="W1718" i="7"/>
  <c r="AB1718" i="7"/>
  <c r="Z1717" i="7"/>
  <c r="V1719" i="7"/>
  <c r="N1719" i="7"/>
  <c r="AF1720" i="7" l="1"/>
  <c r="AG1720" i="7" s="1"/>
  <c r="AH1720" i="7" s="1"/>
  <c r="T1720" i="7" s="1"/>
  <c r="Q1721" i="7" s="1"/>
  <c r="S1721" i="7" s="1"/>
  <c r="N1720" i="7"/>
  <c r="V1720" i="7"/>
  <c r="AB1719" i="7"/>
  <c r="W1719" i="7"/>
  <c r="Z1718" i="7"/>
  <c r="AF1721" i="7" l="1"/>
  <c r="AG1721" i="7" s="1"/>
  <c r="AH1721" i="7" s="1"/>
  <c r="T1721" i="7" s="1"/>
  <c r="Q1722" i="7" s="1"/>
  <c r="S1722" i="7" s="1"/>
  <c r="Z1719" i="7"/>
  <c r="AB1720" i="7"/>
  <c r="W1720" i="7"/>
  <c r="N1721" i="7"/>
  <c r="V1721" i="7"/>
  <c r="AF1722" i="7" l="1"/>
  <c r="AG1722" i="7" s="1"/>
  <c r="AH1722" i="7" s="1"/>
  <c r="T1722" i="7" s="1"/>
  <c r="Q1723" i="7" s="1"/>
  <c r="S1723" i="7" s="1"/>
  <c r="AB1721" i="7"/>
  <c r="W1721" i="7"/>
  <c r="Z1720" i="7"/>
  <c r="N1722" i="7"/>
  <c r="V1722" i="7"/>
  <c r="AF1723" i="7" l="1"/>
  <c r="AG1723" i="7" s="1"/>
  <c r="AH1723" i="7" s="1"/>
  <c r="T1723" i="7" s="1"/>
  <c r="Q1724" i="7" s="1"/>
  <c r="S1724" i="7" s="1"/>
  <c r="V1723" i="7"/>
  <c r="N1723" i="7"/>
  <c r="W1722" i="7"/>
  <c r="AB1722" i="7"/>
  <c r="Z1721" i="7"/>
  <c r="AF1724" i="7" l="1"/>
  <c r="AG1724" i="7" s="1"/>
  <c r="AH1724" i="7" s="1"/>
  <c r="T1724" i="7" s="1"/>
  <c r="Q1725" i="7" s="1"/>
  <c r="S1725" i="7" s="1"/>
  <c r="V1724" i="7"/>
  <c r="N1724" i="7"/>
  <c r="Z1722" i="7"/>
  <c r="W1723" i="7"/>
  <c r="AB1723" i="7"/>
  <c r="AF1725" i="7" l="1"/>
  <c r="AG1725" i="7" s="1"/>
  <c r="AH1725" i="7" s="1"/>
  <c r="T1725" i="7" s="1"/>
  <c r="Q1726" i="7" s="1"/>
  <c r="S1726" i="7" s="1"/>
  <c r="V1725" i="7"/>
  <c r="N1725" i="7"/>
  <c r="Z1723" i="7"/>
  <c r="W1724" i="7"/>
  <c r="AB1724" i="7"/>
  <c r="AF1726" i="7" l="1"/>
  <c r="AG1726" i="7" s="1"/>
  <c r="AH1726" i="7" s="1"/>
  <c r="T1726" i="7" s="1"/>
  <c r="Q1727" i="7" s="1"/>
  <c r="S1727" i="7" s="1"/>
  <c r="Z1724" i="7"/>
  <c r="N1726" i="7"/>
  <c r="V1726" i="7"/>
  <c r="W1725" i="7"/>
  <c r="AB1725" i="7"/>
  <c r="AF1727" i="7" l="1"/>
  <c r="AG1727" i="7" s="1"/>
  <c r="AH1727" i="7" s="1"/>
  <c r="T1727" i="7" s="1"/>
  <c r="Q1728" i="7" s="1"/>
  <c r="S1728" i="7" s="1"/>
  <c r="AB1726" i="7"/>
  <c r="W1726" i="7"/>
  <c r="Z1725" i="7"/>
  <c r="V1727" i="7"/>
  <c r="N1727" i="7"/>
  <c r="AF1728" i="7" l="1"/>
  <c r="AG1728" i="7" s="1"/>
  <c r="AH1728" i="7" s="1"/>
  <c r="T1728" i="7" s="1"/>
  <c r="Q1729" i="7" s="1"/>
  <c r="S1729" i="7" s="1"/>
  <c r="N1728" i="7"/>
  <c r="V1728" i="7"/>
  <c r="AB1727" i="7"/>
  <c r="W1727" i="7"/>
  <c r="Z1726" i="7"/>
  <c r="AF1729" i="7" l="1"/>
  <c r="AG1729" i="7" s="1"/>
  <c r="AH1729" i="7" s="1"/>
  <c r="T1729" i="7" s="1"/>
  <c r="Q1730" i="7" s="1"/>
  <c r="S1730" i="7" s="1"/>
  <c r="Z1727" i="7"/>
  <c r="V1729" i="7"/>
  <c r="N1729" i="7"/>
  <c r="W1728" i="7"/>
  <c r="AB1728" i="7"/>
  <c r="AF1730" i="7" l="1"/>
  <c r="AG1730" i="7" s="1"/>
  <c r="AH1730" i="7" s="1"/>
  <c r="T1730" i="7" s="1"/>
  <c r="Q1731" i="7" s="1"/>
  <c r="S1731" i="7" s="1"/>
  <c r="V1730" i="7"/>
  <c r="N1730" i="7"/>
  <c r="W1729" i="7"/>
  <c r="AB1729" i="7"/>
  <c r="Z1728" i="7"/>
  <c r="AF1731" i="7" l="1"/>
  <c r="AG1731" i="7" s="1"/>
  <c r="AH1731" i="7" s="1"/>
  <c r="T1731" i="7" s="1"/>
  <c r="Q1732" i="7" s="1"/>
  <c r="S1732" i="7" s="1"/>
  <c r="Z1729" i="7"/>
  <c r="N1731" i="7"/>
  <c r="V1731" i="7"/>
  <c r="AB1730" i="7"/>
  <c r="W1730" i="7"/>
  <c r="AF1732" i="7" l="1"/>
  <c r="AG1732" i="7" s="1"/>
  <c r="AH1732" i="7" s="1"/>
  <c r="T1732" i="7" s="1"/>
  <c r="Q1733" i="7" s="1"/>
  <c r="S1733" i="7" s="1"/>
  <c r="W1731" i="7"/>
  <c r="AB1731" i="7"/>
  <c r="Z1730" i="7"/>
  <c r="N1732" i="7"/>
  <c r="V1732" i="7"/>
  <c r="AF1733" i="7" l="1"/>
  <c r="AG1733" i="7" s="1"/>
  <c r="AH1733" i="7" s="1"/>
  <c r="T1733" i="7" s="1"/>
  <c r="Q1734" i="7" s="1"/>
  <c r="S1734" i="7" s="1"/>
  <c r="AB1732" i="7"/>
  <c r="W1732" i="7"/>
  <c r="Z1731" i="7"/>
  <c r="N1733" i="7"/>
  <c r="V1733" i="7"/>
  <c r="AF1734" i="7" l="1"/>
  <c r="AG1734" i="7" s="1"/>
  <c r="AH1734" i="7" s="1"/>
  <c r="T1734" i="7" s="1"/>
  <c r="Q1735" i="7" s="1"/>
  <c r="S1735" i="7" s="1"/>
  <c r="W1733" i="7"/>
  <c r="AB1733" i="7"/>
  <c r="N1734" i="7"/>
  <c r="V1734" i="7"/>
  <c r="Z1732" i="7"/>
  <c r="AF1735" i="7" l="1"/>
  <c r="AG1735" i="7" s="1"/>
  <c r="AH1735" i="7" s="1"/>
  <c r="T1735" i="7" s="1"/>
  <c r="Q1736" i="7" s="1"/>
  <c r="S1736" i="7" s="1"/>
  <c r="W1734" i="7"/>
  <c r="AB1734" i="7"/>
  <c r="Z1733" i="7"/>
  <c r="N1735" i="7"/>
  <c r="V1735" i="7"/>
  <c r="AF1736" i="7" l="1"/>
  <c r="AG1736" i="7" s="1"/>
  <c r="AH1736" i="7" s="1"/>
  <c r="T1736" i="7" s="1"/>
  <c r="Q1737" i="7" s="1"/>
  <c r="S1737" i="7" s="1"/>
  <c r="AB1735" i="7"/>
  <c r="W1735" i="7"/>
  <c r="N1736" i="7"/>
  <c r="V1736" i="7"/>
  <c r="Z1734" i="7"/>
  <c r="AF1737" i="7" l="1"/>
  <c r="AG1737" i="7" s="1"/>
  <c r="AH1737" i="7" s="1"/>
  <c r="T1737" i="7" s="1"/>
  <c r="Q1738" i="7" s="1"/>
  <c r="S1738" i="7" s="1"/>
  <c r="V1737" i="7"/>
  <c r="N1737" i="7"/>
  <c r="AB1736" i="7"/>
  <c r="W1736" i="7"/>
  <c r="Z1735" i="7"/>
  <c r="AF1738" i="7" l="1"/>
  <c r="AG1738" i="7" s="1"/>
  <c r="AH1738" i="7" s="1"/>
  <c r="T1738" i="7" s="1"/>
  <c r="Q1739" i="7" s="1"/>
  <c r="S1739" i="7" s="1"/>
  <c r="V1738" i="7"/>
  <c r="N1738" i="7"/>
  <c r="Z1736" i="7"/>
  <c r="AB1737" i="7"/>
  <c r="W1737" i="7"/>
  <c r="AF1739" i="7" l="1"/>
  <c r="AG1739" i="7" s="1"/>
  <c r="AH1739" i="7" s="1"/>
  <c r="T1739" i="7" s="1"/>
  <c r="Q1740" i="7" s="1"/>
  <c r="S1740" i="7" s="1"/>
  <c r="Z1737" i="7"/>
  <c r="W1738" i="7"/>
  <c r="AB1738" i="7"/>
  <c r="V1739" i="7"/>
  <c r="N1739" i="7"/>
  <c r="AF1740" i="7" l="1"/>
  <c r="AG1740" i="7" s="1"/>
  <c r="AH1740" i="7" s="1"/>
  <c r="T1740" i="7" s="1"/>
  <c r="Q1741" i="7" s="1"/>
  <c r="S1741" i="7" s="1"/>
  <c r="W1739" i="7"/>
  <c r="AB1739" i="7"/>
  <c r="Z1738" i="7"/>
  <c r="N1740" i="7"/>
  <c r="V1740" i="7"/>
  <c r="AF1741" i="7" l="1"/>
  <c r="AG1741" i="7" s="1"/>
  <c r="AH1741" i="7" s="1"/>
  <c r="T1741" i="7" s="1"/>
  <c r="Q1742" i="7" s="1"/>
  <c r="S1742" i="7" s="1"/>
  <c r="N1741" i="7"/>
  <c r="V1741" i="7"/>
  <c r="Z1739" i="7"/>
  <c r="AB1740" i="7"/>
  <c r="W1740" i="7"/>
  <c r="AF1742" i="7" l="1"/>
  <c r="AG1742" i="7" s="1"/>
  <c r="AH1742" i="7" s="1"/>
  <c r="T1742" i="7" s="1"/>
  <c r="Q1743" i="7" s="1"/>
  <c r="S1743" i="7" s="1"/>
  <c r="Z1740" i="7"/>
  <c r="AB1741" i="7"/>
  <c r="W1741" i="7"/>
  <c r="N1742" i="7"/>
  <c r="V1742" i="7"/>
  <c r="AF1743" i="7" l="1"/>
  <c r="AG1743" i="7" s="1"/>
  <c r="AH1743" i="7" s="1"/>
  <c r="T1743" i="7" s="1"/>
  <c r="Q1744" i="7" s="1"/>
  <c r="S1744" i="7" s="1"/>
  <c r="N1743" i="7"/>
  <c r="V1743" i="7"/>
  <c r="Z1741" i="7"/>
  <c r="W1742" i="7"/>
  <c r="AB1742" i="7"/>
  <c r="AF1744" i="7" l="1"/>
  <c r="AG1744" i="7" s="1"/>
  <c r="AH1744" i="7" s="1"/>
  <c r="T1744" i="7" s="1"/>
  <c r="Q1745" i="7" s="1"/>
  <c r="S1745" i="7" s="1"/>
  <c r="N1744" i="7"/>
  <c r="V1744" i="7"/>
  <c r="W1743" i="7"/>
  <c r="AB1743" i="7"/>
  <c r="Z1742" i="7"/>
  <c r="AF1745" i="7" l="1"/>
  <c r="AG1745" i="7" s="1"/>
  <c r="AH1745" i="7" s="1"/>
  <c r="T1745" i="7" s="1"/>
  <c r="Q1746" i="7" s="1"/>
  <c r="S1746" i="7" s="1"/>
  <c r="Z1743" i="7"/>
  <c r="AB1744" i="7"/>
  <c r="W1744" i="7"/>
  <c r="V1745" i="7"/>
  <c r="N1745" i="7"/>
  <c r="AF1746" i="7" l="1"/>
  <c r="AG1746" i="7" s="1"/>
  <c r="AH1746" i="7" s="1"/>
  <c r="T1746" i="7" s="1"/>
  <c r="Q1747" i="7" s="1"/>
  <c r="S1747" i="7" s="1"/>
  <c r="V1746" i="7"/>
  <c r="N1746" i="7"/>
  <c r="Z1744" i="7"/>
  <c r="W1745" i="7"/>
  <c r="AB1745" i="7"/>
  <c r="AF1747" i="7" l="1"/>
  <c r="AG1747" i="7" s="1"/>
  <c r="AH1747" i="7" s="1"/>
  <c r="T1747" i="7" s="1"/>
  <c r="Q1748" i="7" s="1"/>
  <c r="S1748" i="7" s="1"/>
  <c r="V1747" i="7"/>
  <c r="N1747" i="7"/>
  <c r="Z1745" i="7"/>
  <c r="AB1746" i="7"/>
  <c r="W1746" i="7"/>
  <c r="AF1748" i="7" l="1"/>
  <c r="AG1748" i="7" s="1"/>
  <c r="AH1748" i="7" s="1"/>
  <c r="T1748" i="7" s="1"/>
  <c r="Q1749" i="7" s="1"/>
  <c r="S1749" i="7" s="1"/>
  <c r="AB1747" i="7"/>
  <c r="W1747" i="7"/>
  <c r="Z1746" i="7"/>
  <c r="V1748" i="7"/>
  <c r="N1748" i="7"/>
  <c r="AF1749" i="7" l="1"/>
  <c r="AG1749" i="7" s="1"/>
  <c r="AH1749" i="7" s="1"/>
  <c r="T1749" i="7" s="1"/>
  <c r="Q1750" i="7" s="1"/>
  <c r="S1750" i="7" s="1"/>
  <c r="N1749" i="7"/>
  <c r="V1749" i="7"/>
  <c r="W1748" i="7"/>
  <c r="AB1748" i="7"/>
  <c r="Z1747" i="7"/>
  <c r="AF1750" i="7" l="1"/>
  <c r="AG1750" i="7" s="1"/>
  <c r="AH1750" i="7" s="1"/>
  <c r="T1750" i="7" s="1"/>
  <c r="Q1751" i="7" s="1"/>
  <c r="S1751" i="7" s="1"/>
  <c r="V1750" i="7"/>
  <c r="N1750" i="7"/>
  <c r="Z1748" i="7"/>
  <c r="W1749" i="7"/>
  <c r="AB1749" i="7"/>
  <c r="AF1751" i="7" l="1"/>
  <c r="AG1751" i="7" s="1"/>
  <c r="AH1751" i="7" s="1"/>
  <c r="T1751" i="7" s="1"/>
  <c r="Q1752" i="7" s="1"/>
  <c r="S1752" i="7" s="1"/>
  <c r="Z1749" i="7"/>
  <c r="AB1750" i="7"/>
  <c r="W1750" i="7"/>
  <c r="N1751" i="7"/>
  <c r="V1751" i="7"/>
  <c r="AF1752" i="7" l="1"/>
  <c r="AG1752" i="7" s="1"/>
  <c r="AH1752" i="7" s="1"/>
  <c r="T1752" i="7" s="1"/>
  <c r="Q1753" i="7" s="1"/>
  <c r="S1753" i="7" s="1"/>
  <c r="V1752" i="7"/>
  <c r="N1752" i="7"/>
  <c r="Z1750" i="7"/>
  <c r="AB1751" i="7"/>
  <c r="W1751" i="7"/>
  <c r="AF1753" i="7" l="1"/>
  <c r="AG1753" i="7" s="1"/>
  <c r="AH1753" i="7" s="1"/>
  <c r="T1753" i="7" s="1"/>
  <c r="Q1754" i="7" s="1"/>
  <c r="S1754" i="7" s="1"/>
  <c r="N1753" i="7"/>
  <c r="V1753" i="7"/>
  <c r="Z1751" i="7"/>
  <c r="AB1752" i="7"/>
  <c r="W1752" i="7"/>
  <c r="AF1754" i="7" l="1"/>
  <c r="AG1754" i="7" s="1"/>
  <c r="AH1754" i="7" s="1"/>
  <c r="T1754" i="7" s="1"/>
  <c r="Q1755" i="7" s="1"/>
  <c r="S1755" i="7" s="1"/>
  <c r="Z1752" i="7"/>
  <c r="AB1753" i="7"/>
  <c r="W1753" i="7"/>
  <c r="V1754" i="7"/>
  <c r="N1754" i="7"/>
  <c r="AF1755" i="7" l="1"/>
  <c r="AG1755" i="7" s="1"/>
  <c r="AH1755" i="7" s="1"/>
  <c r="T1755" i="7" s="1"/>
  <c r="Q1756" i="7" s="1"/>
  <c r="S1756" i="7" s="1"/>
  <c r="N1755" i="7"/>
  <c r="V1755" i="7"/>
  <c r="W1754" i="7"/>
  <c r="AB1754" i="7"/>
  <c r="Z1753" i="7"/>
  <c r="AF1756" i="7" l="1"/>
  <c r="AG1756" i="7" s="1"/>
  <c r="AH1756" i="7" s="1"/>
  <c r="T1756" i="7" s="1"/>
  <c r="Q1757" i="7" s="1"/>
  <c r="S1757" i="7" s="1"/>
  <c r="Z1754" i="7"/>
  <c r="AB1755" i="7"/>
  <c r="W1755" i="7"/>
  <c r="V1756" i="7"/>
  <c r="N1756" i="7"/>
  <c r="AF1757" i="7" l="1"/>
  <c r="AG1757" i="7" s="1"/>
  <c r="AH1757" i="7" s="1"/>
  <c r="T1757" i="7" s="1"/>
  <c r="Q1758" i="7" s="1"/>
  <c r="S1758" i="7" s="1"/>
  <c r="AB1756" i="7"/>
  <c r="W1756" i="7"/>
  <c r="Z1755" i="7"/>
  <c r="N1757" i="7"/>
  <c r="V1757" i="7"/>
  <c r="AF1758" i="7" l="1"/>
  <c r="AG1758" i="7" s="1"/>
  <c r="AH1758" i="7" s="1"/>
  <c r="T1758" i="7" s="1"/>
  <c r="Q1759" i="7" s="1"/>
  <c r="S1759" i="7" s="1"/>
  <c r="N1758" i="7"/>
  <c r="V1758" i="7"/>
  <c r="W1757" i="7"/>
  <c r="AB1757" i="7"/>
  <c r="Z1756" i="7"/>
  <c r="AF1759" i="7" l="1"/>
  <c r="AG1759" i="7" s="1"/>
  <c r="AH1759" i="7" s="1"/>
  <c r="T1759" i="7" s="1"/>
  <c r="Q1760" i="7" s="1"/>
  <c r="S1760" i="7" s="1"/>
  <c r="Z1757" i="7"/>
  <c r="AB1758" i="7"/>
  <c r="W1758" i="7"/>
  <c r="V1759" i="7"/>
  <c r="N1759" i="7"/>
  <c r="AF1760" i="7" l="1"/>
  <c r="AG1760" i="7" s="1"/>
  <c r="AH1760" i="7" s="1"/>
  <c r="T1760" i="7" s="1"/>
  <c r="Q1761" i="7" s="1"/>
  <c r="S1761" i="7" s="1"/>
  <c r="V1760" i="7"/>
  <c r="N1760" i="7"/>
  <c r="W1759" i="7"/>
  <c r="AB1759" i="7"/>
  <c r="Z1758" i="7"/>
  <c r="AF1761" i="7" l="1"/>
  <c r="AG1761" i="7" s="1"/>
  <c r="AH1761" i="7" s="1"/>
  <c r="T1761" i="7" s="1"/>
  <c r="Q1762" i="7" s="1"/>
  <c r="S1762" i="7" s="1"/>
  <c r="Z1759" i="7"/>
  <c r="V1761" i="7"/>
  <c r="N1761" i="7"/>
  <c r="AB1760" i="7"/>
  <c r="W1760" i="7"/>
  <c r="AF1762" i="7" l="1"/>
  <c r="AG1762" i="7" s="1"/>
  <c r="AH1762" i="7" s="1"/>
  <c r="T1762" i="7" s="1"/>
  <c r="Q1763" i="7" s="1"/>
  <c r="S1763" i="7" s="1"/>
  <c r="V1762" i="7"/>
  <c r="N1762" i="7"/>
  <c r="W1761" i="7"/>
  <c r="AB1761" i="7"/>
  <c r="Z1760" i="7"/>
  <c r="AF1763" i="7" l="1"/>
  <c r="AG1763" i="7" s="1"/>
  <c r="AH1763" i="7" s="1"/>
  <c r="T1763" i="7" s="1"/>
  <c r="Q1764" i="7" s="1"/>
  <c r="S1764" i="7" s="1"/>
  <c r="W1762" i="7"/>
  <c r="AB1762" i="7"/>
  <c r="Z1761" i="7"/>
  <c r="V1763" i="7"/>
  <c r="N1763" i="7"/>
  <c r="AF1764" i="7" l="1"/>
  <c r="AG1764" i="7" s="1"/>
  <c r="AH1764" i="7" s="1"/>
  <c r="T1764" i="7" s="1"/>
  <c r="Q1765" i="7" s="1"/>
  <c r="S1765" i="7" s="1"/>
  <c r="N1764" i="7"/>
  <c r="V1764" i="7"/>
  <c r="W1763" i="7"/>
  <c r="AB1763" i="7"/>
  <c r="Z1762" i="7"/>
  <c r="AF1765" i="7" l="1"/>
  <c r="AG1765" i="7" s="1"/>
  <c r="AH1765" i="7" s="1"/>
  <c r="T1765" i="7" s="1"/>
  <c r="Q1766" i="7" s="1"/>
  <c r="S1766" i="7" s="1"/>
  <c r="Z1763" i="7"/>
  <c r="W1764" i="7"/>
  <c r="AB1764" i="7"/>
  <c r="V1765" i="7"/>
  <c r="N1765" i="7"/>
  <c r="AF1766" i="7" l="1"/>
  <c r="AG1766" i="7" s="1"/>
  <c r="AH1766" i="7" s="1"/>
  <c r="T1766" i="7" s="1"/>
  <c r="Q1767" i="7" s="1"/>
  <c r="S1767" i="7" s="1"/>
  <c r="AB1765" i="7"/>
  <c r="W1765" i="7"/>
  <c r="Z1764" i="7"/>
  <c r="V1766" i="7"/>
  <c r="N1766" i="7"/>
  <c r="AF1767" i="7" l="1"/>
  <c r="AG1767" i="7" s="1"/>
  <c r="AH1767" i="7" s="1"/>
  <c r="T1767" i="7" s="1"/>
  <c r="Q1768" i="7" s="1"/>
  <c r="S1768" i="7" s="1"/>
  <c r="W1766" i="7"/>
  <c r="AB1766" i="7"/>
  <c r="N1767" i="7"/>
  <c r="V1767" i="7"/>
  <c r="Z1765" i="7"/>
  <c r="AF1768" i="7" l="1"/>
  <c r="AG1768" i="7" s="1"/>
  <c r="AH1768" i="7" s="1"/>
  <c r="T1768" i="7" s="1"/>
  <c r="Q1769" i="7" s="1"/>
  <c r="S1769" i="7" s="1"/>
  <c r="W1767" i="7"/>
  <c r="AB1767" i="7"/>
  <c r="V1768" i="7"/>
  <c r="N1768" i="7"/>
  <c r="Z1766" i="7"/>
  <c r="AF1769" i="7" l="1"/>
  <c r="AG1769" i="7" s="1"/>
  <c r="AH1769" i="7" s="1"/>
  <c r="T1769" i="7" s="1"/>
  <c r="Q1770" i="7" s="1"/>
  <c r="S1770" i="7" s="1"/>
  <c r="V1769" i="7"/>
  <c r="N1769" i="7"/>
  <c r="W1768" i="7"/>
  <c r="AB1768" i="7"/>
  <c r="Z1767" i="7"/>
  <c r="AF1770" i="7" l="1"/>
  <c r="AG1770" i="7" s="1"/>
  <c r="AH1770" i="7" s="1"/>
  <c r="T1770" i="7" s="1"/>
  <c r="Q1771" i="7" s="1"/>
  <c r="S1771" i="7" s="1"/>
  <c r="Z1768" i="7"/>
  <c r="V1770" i="7"/>
  <c r="N1770" i="7"/>
  <c r="AB1769" i="7"/>
  <c r="W1769" i="7"/>
  <c r="AF1771" i="7" l="1"/>
  <c r="AG1771" i="7" s="1"/>
  <c r="AH1771" i="7" s="1"/>
  <c r="T1771" i="7" s="1"/>
  <c r="Q1772" i="7" s="1"/>
  <c r="S1772" i="7" s="1"/>
  <c r="N1771" i="7"/>
  <c r="V1771" i="7"/>
  <c r="Z1769" i="7"/>
  <c r="W1770" i="7"/>
  <c r="AB1770" i="7"/>
  <c r="AF1772" i="7" l="1"/>
  <c r="AG1772" i="7" s="1"/>
  <c r="AH1772" i="7" s="1"/>
  <c r="T1772" i="7" s="1"/>
  <c r="Q1773" i="7" s="1"/>
  <c r="S1773" i="7" s="1"/>
  <c r="AB1771" i="7"/>
  <c r="W1771" i="7"/>
  <c r="V1772" i="7"/>
  <c r="N1772" i="7"/>
  <c r="Z1770" i="7"/>
  <c r="AF1773" i="7" l="1"/>
  <c r="AG1773" i="7" s="1"/>
  <c r="AH1773" i="7" s="1"/>
  <c r="T1773" i="7" s="1"/>
  <c r="Q1774" i="7" s="1"/>
  <c r="S1774" i="7" s="1"/>
  <c r="AB1772" i="7"/>
  <c r="W1772" i="7"/>
  <c r="V1773" i="7"/>
  <c r="N1773" i="7"/>
  <c r="Z1771" i="7"/>
  <c r="AF1774" i="7" l="1"/>
  <c r="AG1774" i="7" s="1"/>
  <c r="AH1774" i="7" s="1"/>
  <c r="T1774" i="7" s="1"/>
  <c r="Q1775" i="7" s="1"/>
  <c r="S1775" i="7" s="1"/>
  <c r="AF1775" i="7" s="1"/>
  <c r="AG1775" i="7" s="1"/>
  <c r="AH1775" i="7" s="1"/>
  <c r="T1775" i="7" s="1"/>
  <c r="AB1773" i="7"/>
  <c r="W1773" i="7"/>
  <c r="V1774" i="7"/>
  <c r="N1774" i="7"/>
  <c r="Z1772" i="7"/>
  <c r="N1775" i="7" l="1"/>
  <c r="Q1776" i="7"/>
  <c r="S1776" i="7" s="1"/>
  <c r="AF1776" i="7" s="1"/>
  <c r="AG1776" i="7" s="1"/>
  <c r="AH1776" i="7" s="1"/>
  <c r="T1776" i="7" s="1"/>
  <c r="V1775" i="7"/>
  <c r="AB1774" i="7"/>
  <c r="W1774" i="7"/>
  <c r="Z1773" i="7"/>
  <c r="W1775" i="7" l="1"/>
  <c r="AB1775" i="7"/>
  <c r="Q1777" i="7"/>
  <c r="S1777" i="7" s="1"/>
  <c r="AF1777" i="7" s="1"/>
  <c r="AG1777" i="7" s="1"/>
  <c r="AH1777" i="7" s="1"/>
  <c r="T1777" i="7" s="1"/>
  <c r="N1776" i="7"/>
  <c r="V1776" i="7"/>
  <c r="Z1774" i="7"/>
  <c r="Z1775" i="7" l="1"/>
  <c r="Q1778" i="7"/>
  <c r="S1778" i="7" s="1"/>
  <c r="AF1778" i="7" s="1"/>
  <c r="AG1778" i="7" s="1"/>
  <c r="AH1778" i="7" s="1"/>
  <c r="T1778" i="7" s="1"/>
  <c r="V1777" i="7"/>
  <c r="N1777" i="7"/>
  <c r="AB1776" i="7"/>
  <c r="W1776" i="7"/>
  <c r="AB1777" i="7" l="1"/>
  <c r="W1777" i="7"/>
  <c r="N1778" i="7"/>
  <c r="V1778" i="7"/>
  <c r="Q1779" i="7"/>
  <c r="S1779" i="7" s="1"/>
  <c r="AF1779" i="7" s="1"/>
  <c r="AG1779" i="7" s="1"/>
  <c r="AH1779" i="7" s="1"/>
  <c r="T1779" i="7" s="1"/>
  <c r="Z1776" i="7"/>
  <c r="Q1780" i="7" l="1"/>
  <c r="S1780" i="7" s="1"/>
  <c r="AF1780" i="7" s="1"/>
  <c r="AG1780" i="7" s="1"/>
  <c r="AH1780" i="7" s="1"/>
  <c r="T1780" i="7" s="1"/>
  <c r="N1779" i="7"/>
  <c r="V1779" i="7"/>
  <c r="W1778" i="7"/>
  <c r="AB1778" i="7"/>
  <c r="Z1777" i="7"/>
  <c r="AB1779" i="7" l="1"/>
  <c r="W1779" i="7"/>
  <c r="Z1778" i="7"/>
  <c r="N1780" i="7"/>
  <c r="V1780" i="7"/>
  <c r="Q1781" i="7"/>
  <c r="S1781" i="7" s="1"/>
  <c r="AF1781" i="7" s="1"/>
  <c r="AG1781" i="7" s="1"/>
  <c r="AH1781" i="7" s="1"/>
  <c r="T1781" i="7" s="1"/>
  <c r="N1781" i="7" l="1"/>
  <c r="V1781" i="7"/>
  <c r="Q1782" i="7"/>
  <c r="S1782" i="7" s="1"/>
  <c r="AF1782" i="7" s="1"/>
  <c r="AG1782" i="7" s="1"/>
  <c r="AH1782" i="7" s="1"/>
  <c r="T1782" i="7" s="1"/>
  <c r="Z1779" i="7"/>
  <c r="AB1780" i="7"/>
  <c r="W1780" i="7"/>
  <c r="Q1783" i="7" l="1"/>
  <c r="S1783" i="7" s="1"/>
  <c r="AF1783" i="7" s="1"/>
  <c r="AG1783" i="7" s="1"/>
  <c r="AH1783" i="7" s="1"/>
  <c r="T1783" i="7" s="1"/>
  <c r="N1782" i="7"/>
  <c r="V1782" i="7"/>
  <c r="Z1780" i="7"/>
  <c r="AB1781" i="7"/>
  <c r="W1781" i="7"/>
  <c r="AB1782" i="7" l="1"/>
  <c r="W1782" i="7"/>
  <c r="Z1781" i="7"/>
  <c r="V1783" i="7"/>
  <c r="N1783" i="7"/>
  <c r="Q1784" i="7"/>
  <c r="S1784" i="7" s="1"/>
  <c r="AF1784" i="7" s="1"/>
  <c r="AG1784" i="7" s="1"/>
  <c r="AH1784" i="7" s="1"/>
  <c r="T1784" i="7" s="1"/>
  <c r="AB1783" i="7" l="1"/>
  <c r="W1783" i="7"/>
  <c r="V1784" i="7"/>
  <c r="Q1785" i="7"/>
  <c r="S1785" i="7" s="1"/>
  <c r="AF1785" i="7" s="1"/>
  <c r="AG1785" i="7" s="1"/>
  <c r="AH1785" i="7" s="1"/>
  <c r="T1785" i="7" s="1"/>
  <c r="N1784" i="7"/>
  <c r="Z1782" i="7"/>
  <c r="N1785" i="7" l="1"/>
  <c r="V1785" i="7"/>
  <c r="Q1786" i="7"/>
  <c r="S1786" i="7" s="1"/>
  <c r="AF1786" i="7" s="1"/>
  <c r="W1784" i="7"/>
  <c r="AB1784" i="7"/>
  <c r="Z1783" i="7"/>
  <c r="AG1786" i="7" l="1"/>
  <c r="AH1786" i="7" s="1"/>
  <c r="T1786" i="7" s="1"/>
  <c r="Z1784" i="7"/>
  <c r="AB1785" i="7"/>
  <c r="W1785" i="7"/>
  <c r="Q1787" i="7"/>
  <c r="S1787" i="7" s="1"/>
  <c r="AF1787" i="7" s="1"/>
  <c r="V1786" i="7"/>
  <c r="N1786" i="7"/>
  <c r="AG1787" i="7" l="1"/>
  <c r="AH1787" i="7" s="1"/>
  <c r="T1787" i="7" s="1"/>
  <c r="AB1786" i="7"/>
  <c r="W1786" i="7"/>
  <c r="V1787" i="7"/>
  <c r="Q1788" i="7"/>
  <c r="S1788" i="7" s="1"/>
  <c r="AF1788" i="7" s="1"/>
  <c r="N1787" i="7"/>
  <c r="Z1785" i="7"/>
  <c r="AG1788" i="7" l="1"/>
  <c r="AH1788" i="7" s="1"/>
  <c r="T1788" i="7" s="1"/>
  <c r="V1788" i="7"/>
  <c r="N1788" i="7"/>
  <c r="Q1789" i="7"/>
  <c r="S1789" i="7" s="1"/>
  <c r="AF1789" i="7" s="1"/>
  <c r="W1787" i="7"/>
  <c r="AB1787" i="7"/>
  <c r="Z1786" i="7"/>
  <c r="AG1789" i="7" l="1"/>
  <c r="AH1789" i="7" s="1"/>
  <c r="T1789" i="7" s="1"/>
  <c r="W1788" i="7"/>
  <c r="AB1788" i="7"/>
  <c r="Z1787" i="7"/>
  <c r="V1789" i="7"/>
  <c r="Q1790" i="7"/>
  <c r="S1790" i="7" s="1"/>
  <c r="AF1790" i="7" s="1"/>
  <c r="N1789" i="7"/>
  <c r="AG1790" i="7" l="1"/>
  <c r="AH1790" i="7" s="1"/>
  <c r="T1790" i="7" s="1"/>
  <c r="N1790" i="7"/>
  <c r="V1790" i="7"/>
  <c r="Q1791" i="7"/>
  <c r="S1791" i="7" s="1"/>
  <c r="AF1791" i="7" s="1"/>
  <c r="AB1789" i="7"/>
  <c r="W1789" i="7"/>
  <c r="Z1788" i="7"/>
  <c r="AG1791" i="7" l="1"/>
  <c r="AH1791" i="7" s="1"/>
  <c r="T1791" i="7" s="1"/>
  <c r="Q1792" i="7"/>
  <c r="S1792" i="7" s="1"/>
  <c r="AF1792" i="7" s="1"/>
  <c r="N1791" i="7"/>
  <c r="V1791" i="7"/>
  <c r="Z1789" i="7"/>
  <c r="W1790" i="7"/>
  <c r="AB1790" i="7"/>
  <c r="AG1792" i="7" l="1"/>
  <c r="AH1792" i="7" s="1"/>
  <c r="T1792" i="7" s="1"/>
  <c r="Z1790" i="7"/>
  <c r="W1791" i="7"/>
  <c r="AB1791" i="7"/>
  <c r="N1792" i="7"/>
  <c r="V1792" i="7"/>
  <c r="Q1793" i="7"/>
  <c r="S1793" i="7" s="1"/>
  <c r="AF1793" i="7" s="1"/>
  <c r="AG1793" i="7" l="1"/>
  <c r="AH1793" i="7" s="1"/>
  <c r="T1793" i="7" s="1"/>
  <c r="W1792" i="7"/>
  <c r="AB1792" i="7"/>
  <c r="Z1791" i="7"/>
  <c r="N1793" i="7"/>
  <c r="V1793" i="7"/>
  <c r="Q1794" i="7"/>
  <c r="S1794" i="7" s="1"/>
  <c r="AF1794" i="7" s="1"/>
  <c r="AG1794" i="7" l="1"/>
  <c r="AH1794" i="7" s="1"/>
  <c r="T1794" i="7" s="1"/>
  <c r="AB1793" i="7"/>
  <c r="W1793" i="7"/>
  <c r="Z1792" i="7"/>
  <c r="N1794" i="7"/>
  <c r="Q1795" i="7"/>
  <c r="S1795" i="7" s="1"/>
  <c r="AF1795" i="7" s="1"/>
  <c r="V1794" i="7"/>
  <c r="AG1795" i="7" l="1"/>
  <c r="AH1795" i="7" s="1"/>
  <c r="T1795" i="7" s="1"/>
  <c r="Q1796" i="7"/>
  <c r="S1796" i="7" s="1"/>
  <c r="AF1796" i="7" s="1"/>
  <c r="V1795" i="7"/>
  <c r="N1795" i="7"/>
  <c r="AB1794" i="7"/>
  <c r="W1794" i="7"/>
  <c r="Z1793" i="7"/>
  <c r="AG1796" i="7" l="1"/>
  <c r="AH1796" i="7" s="1"/>
  <c r="T1796" i="7" s="1"/>
  <c r="AB1795" i="7"/>
  <c r="W1795" i="7"/>
  <c r="V1796" i="7"/>
  <c r="Q1797" i="7"/>
  <c r="S1797" i="7" s="1"/>
  <c r="AF1797" i="7" s="1"/>
  <c r="N1796" i="7"/>
  <c r="Z1794" i="7"/>
  <c r="AG1797" i="7" l="1"/>
  <c r="AH1797" i="7" s="1"/>
  <c r="T1797" i="7" s="1"/>
  <c r="Q1798" i="7"/>
  <c r="S1798" i="7" s="1"/>
  <c r="AF1798" i="7" s="1"/>
  <c r="V1797" i="7"/>
  <c r="N1797" i="7"/>
  <c r="W1796" i="7"/>
  <c r="AB1796" i="7"/>
  <c r="Z1795" i="7"/>
  <c r="AG1798" i="7" l="1"/>
  <c r="AH1798" i="7" s="1"/>
  <c r="T1798" i="7" s="1"/>
  <c r="Q1799" i="7"/>
  <c r="S1799" i="7" s="1"/>
  <c r="AF1799" i="7" s="1"/>
  <c r="N1798" i="7"/>
  <c r="V1798" i="7"/>
  <c r="Z1796" i="7"/>
  <c r="W1797" i="7"/>
  <c r="AB1797" i="7"/>
  <c r="AG1799" i="7" l="1"/>
  <c r="AH1799" i="7" s="1"/>
  <c r="T1799" i="7" s="1"/>
  <c r="W1798" i="7"/>
  <c r="AB1798" i="7"/>
  <c r="Z1797" i="7"/>
  <c r="Q1800" i="7"/>
  <c r="S1800" i="7" s="1"/>
  <c r="AF1800" i="7" s="1"/>
  <c r="N1799" i="7"/>
  <c r="V1799" i="7"/>
  <c r="AG1800" i="7" l="1"/>
  <c r="AH1800" i="7" s="1"/>
  <c r="T1800" i="7" s="1"/>
  <c r="Q1801" i="7"/>
  <c r="S1801" i="7" s="1"/>
  <c r="AF1801" i="7" s="1"/>
  <c r="V1800" i="7"/>
  <c r="N1800" i="7"/>
  <c r="Z1798" i="7"/>
  <c r="W1799" i="7"/>
  <c r="AB1799" i="7"/>
  <c r="AG1801" i="7" l="1"/>
  <c r="AH1801" i="7" s="1"/>
  <c r="T1801" i="7" s="1"/>
  <c r="Z1799" i="7"/>
  <c r="AB1800" i="7"/>
  <c r="W1800" i="7"/>
  <c r="N1801" i="7"/>
  <c r="V1801" i="7"/>
  <c r="Q1802" i="7"/>
  <c r="S1802" i="7" s="1"/>
  <c r="AF1802" i="7" s="1"/>
  <c r="AG1802" i="7" l="1"/>
  <c r="AH1802" i="7" s="1"/>
  <c r="T1802" i="7" s="1"/>
  <c r="Z1800" i="7"/>
  <c r="W1801" i="7"/>
  <c r="AB1801" i="7"/>
  <c r="N1802" i="7"/>
  <c r="Q1803" i="7"/>
  <c r="S1803" i="7" s="1"/>
  <c r="AF1803" i="7" s="1"/>
  <c r="V1802" i="7"/>
  <c r="AG1803" i="7" l="1"/>
  <c r="AH1803" i="7" s="1"/>
  <c r="T1803" i="7" s="1"/>
  <c r="Q1804" i="7"/>
  <c r="S1804" i="7" s="1"/>
  <c r="AF1804" i="7" s="1"/>
  <c r="N1803" i="7"/>
  <c r="V1803" i="7"/>
  <c r="Z1801" i="7"/>
  <c r="W1802" i="7"/>
  <c r="AB1802" i="7"/>
  <c r="AG1804" i="7" l="1"/>
  <c r="AH1804" i="7" s="1"/>
  <c r="T1804" i="7" s="1"/>
  <c r="AB1803" i="7"/>
  <c r="W1803" i="7"/>
  <c r="N1804" i="7"/>
  <c r="V1804" i="7"/>
  <c r="Q1805" i="7"/>
  <c r="S1805" i="7" s="1"/>
  <c r="AF1805" i="7" s="1"/>
  <c r="Z1802" i="7"/>
  <c r="AG1805" i="7" l="1"/>
  <c r="AH1805" i="7" s="1"/>
  <c r="T1805" i="7" s="1"/>
  <c r="V1805" i="7"/>
  <c r="Q1806" i="7"/>
  <c r="S1806" i="7" s="1"/>
  <c r="AF1806" i="7" s="1"/>
  <c r="N1805" i="7"/>
  <c r="W1804" i="7"/>
  <c r="AB1804" i="7"/>
  <c r="Z1803" i="7"/>
  <c r="AG1806" i="7" l="1"/>
  <c r="AH1806" i="7" s="1"/>
  <c r="T1806" i="7" s="1"/>
  <c r="N1806" i="7"/>
  <c r="Q1807" i="7"/>
  <c r="S1807" i="7" s="1"/>
  <c r="AF1807" i="7" s="1"/>
  <c r="V1806" i="7"/>
  <c r="Z1804" i="7"/>
  <c r="W1805" i="7"/>
  <c r="AB1805" i="7"/>
  <c r="AG1807" i="7" l="1"/>
  <c r="AH1807" i="7" s="1"/>
  <c r="T1807" i="7" s="1"/>
  <c r="AB1806" i="7"/>
  <c r="W1806" i="7"/>
  <c r="V1807" i="7"/>
  <c r="Q1808" i="7"/>
  <c r="S1808" i="7" s="1"/>
  <c r="AF1808" i="7" s="1"/>
  <c r="N1807" i="7"/>
  <c r="Z1805" i="7"/>
  <c r="AG1808" i="7" l="1"/>
  <c r="AH1808" i="7" s="1"/>
  <c r="T1808" i="7" s="1"/>
  <c r="V1808" i="7"/>
  <c r="Q1809" i="7"/>
  <c r="S1809" i="7" s="1"/>
  <c r="AF1809" i="7" s="1"/>
  <c r="N1808" i="7"/>
  <c r="W1807" i="7"/>
  <c r="AB1807" i="7"/>
  <c r="Z1806" i="7"/>
  <c r="AG1809" i="7" l="1"/>
  <c r="AH1809" i="7" s="1"/>
  <c r="T1809" i="7" s="1"/>
  <c r="Z1807" i="7"/>
  <c r="V1809" i="7"/>
  <c r="Q1810" i="7"/>
  <c r="S1810" i="7" s="1"/>
  <c r="AF1810" i="7" s="1"/>
  <c r="N1809" i="7"/>
  <c r="W1808" i="7"/>
  <c r="AB1808" i="7"/>
  <c r="AG1810" i="7" l="1"/>
  <c r="AH1810" i="7" s="1"/>
  <c r="T1810" i="7" s="1"/>
  <c r="Q1811" i="7"/>
  <c r="S1811" i="7" s="1"/>
  <c r="AF1811" i="7" s="1"/>
  <c r="V1810" i="7"/>
  <c r="N1810" i="7"/>
  <c r="AB1809" i="7"/>
  <c r="W1809" i="7"/>
  <c r="Z1808" i="7"/>
  <c r="AG1811" i="7" l="1"/>
  <c r="AH1811" i="7" s="1"/>
  <c r="T1811" i="7" s="1"/>
  <c r="AB1810" i="7"/>
  <c r="W1810" i="7"/>
  <c r="Z1809" i="7"/>
  <c r="Q1812" i="7"/>
  <c r="S1812" i="7" s="1"/>
  <c r="AF1812" i="7" s="1"/>
  <c r="N1811" i="7"/>
  <c r="V1811" i="7"/>
  <c r="AG1812" i="7" l="1"/>
  <c r="AH1812" i="7" s="1"/>
  <c r="T1812" i="7" s="1"/>
  <c r="AB1811" i="7"/>
  <c r="W1811" i="7"/>
  <c r="N1812" i="7"/>
  <c r="Q1813" i="7"/>
  <c r="S1813" i="7" s="1"/>
  <c r="AF1813" i="7" s="1"/>
  <c r="V1812" i="7"/>
  <c r="Z1810" i="7"/>
  <c r="AG1813" i="7" l="1"/>
  <c r="AH1813" i="7" s="1"/>
  <c r="T1813" i="7" s="1"/>
  <c r="V1813" i="7"/>
  <c r="Q1814" i="7"/>
  <c r="S1814" i="7" s="1"/>
  <c r="AF1814" i="7" s="1"/>
  <c r="N1813" i="7"/>
  <c r="W1812" i="7"/>
  <c r="AB1812" i="7"/>
  <c r="Z1811" i="7"/>
  <c r="AG1814" i="7" l="1"/>
  <c r="AH1814" i="7" s="1"/>
  <c r="T1814" i="7" s="1"/>
  <c r="V1814" i="7"/>
  <c r="N1814" i="7"/>
  <c r="Q1815" i="7"/>
  <c r="S1815" i="7" s="1"/>
  <c r="AF1815" i="7" s="1"/>
  <c r="Z1812" i="7"/>
  <c r="AB1813" i="7"/>
  <c r="W1813" i="7"/>
  <c r="AG1815" i="7" l="1"/>
  <c r="AH1815" i="7" s="1"/>
  <c r="T1815" i="7" s="1"/>
  <c r="Q1816" i="7"/>
  <c r="S1816" i="7" s="1"/>
  <c r="AF1816" i="7" s="1"/>
  <c r="N1815" i="7"/>
  <c r="V1815" i="7"/>
  <c r="Z1813" i="7"/>
  <c r="AB1814" i="7"/>
  <c r="W1814" i="7"/>
  <c r="AG1816" i="7" l="1"/>
  <c r="AH1816" i="7" s="1"/>
  <c r="T1816" i="7" s="1"/>
  <c r="AB1815" i="7"/>
  <c r="W1815" i="7"/>
  <c r="Q1817" i="7"/>
  <c r="S1817" i="7" s="1"/>
  <c r="AF1817" i="7" s="1"/>
  <c r="V1816" i="7"/>
  <c r="N1816" i="7"/>
  <c r="Z1814" i="7"/>
  <c r="AG1817" i="7" l="1"/>
  <c r="AH1817" i="7" s="1"/>
  <c r="T1817" i="7" s="1"/>
  <c r="V1817" i="7"/>
  <c r="Q1818" i="7"/>
  <c r="S1818" i="7" s="1"/>
  <c r="AF1818" i="7" s="1"/>
  <c r="N1817" i="7"/>
  <c r="AB1816" i="7"/>
  <c r="W1816" i="7"/>
  <c r="Z1815" i="7"/>
  <c r="AG1818" i="7" l="1"/>
  <c r="AH1818" i="7" s="1"/>
  <c r="T1818" i="7" s="1"/>
  <c r="Z1816" i="7"/>
  <c r="V1818" i="7"/>
  <c r="Q1819" i="7"/>
  <c r="S1819" i="7" s="1"/>
  <c r="AF1819" i="7" s="1"/>
  <c r="N1818" i="7"/>
  <c r="AB1817" i="7"/>
  <c r="W1817" i="7"/>
  <c r="AG1819" i="7" l="1"/>
  <c r="AH1819" i="7" s="1"/>
  <c r="T1819" i="7" s="1"/>
  <c r="Z1817" i="7"/>
  <c r="Q1820" i="7"/>
  <c r="S1820" i="7" s="1"/>
  <c r="AF1820" i="7" s="1"/>
  <c r="V1819" i="7"/>
  <c r="N1819" i="7"/>
  <c r="W1818" i="7"/>
  <c r="AB1818" i="7"/>
  <c r="AG1820" i="7" l="1"/>
  <c r="AH1820" i="7" s="1"/>
  <c r="T1820" i="7" s="1"/>
  <c r="AB1819" i="7"/>
  <c r="W1819" i="7"/>
  <c r="N1820" i="7"/>
  <c r="V1820" i="7"/>
  <c r="Q1821" i="7"/>
  <c r="S1821" i="7" s="1"/>
  <c r="AF1821" i="7" s="1"/>
  <c r="Z1818" i="7"/>
  <c r="AG1821" i="7" l="1"/>
  <c r="AH1821" i="7" s="1"/>
  <c r="T1821" i="7" s="1"/>
  <c r="N1821" i="7"/>
  <c r="V1821" i="7"/>
  <c r="Q1822" i="7"/>
  <c r="S1822" i="7" s="1"/>
  <c r="AF1822" i="7" s="1"/>
  <c r="W1820" i="7"/>
  <c r="AB1820" i="7"/>
  <c r="Z1819" i="7"/>
  <c r="AG1822" i="7" l="1"/>
  <c r="AH1822" i="7" s="1"/>
  <c r="T1822" i="7" s="1"/>
  <c r="Q1823" i="7"/>
  <c r="S1823" i="7" s="1"/>
  <c r="AF1823" i="7" s="1"/>
  <c r="V1822" i="7"/>
  <c r="N1822" i="7"/>
  <c r="W1821" i="7"/>
  <c r="AB1821" i="7"/>
  <c r="Z1820" i="7"/>
  <c r="AG1823" i="7" l="1"/>
  <c r="AH1823" i="7" s="1"/>
  <c r="T1823" i="7" s="1"/>
  <c r="Z1821" i="7"/>
  <c r="AB1822" i="7"/>
  <c r="W1822" i="7"/>
  <c r="N1823" i="7"/>
  <c r="Q1824" i="7"/>
  <c r="S1824" i="7" s="1"/>
  <c r="AF1824" i="7" s="1"/>
  <c r="V1823" i="7"/>
  <c r="AG1824" i="7" l="1"/>
  <c r="AH1824" i="7" s="1"/>
  <c r="T1824" i="7" s="1"/>
  <c r="W1823" i="7"/>
  <c r="AB1823" i="7"/>
  <c r="Z1822" i="7"/>
  <c r="N1824" i="7"/>
  <c r="V1824" i="7"/>
  <c r="Q1825" i="7"/>
  <c r="S1825" i="7" s="1"/>
  <c r="AF1825" i="7" s="1"/>
  <c r="AG1825" i="7" l="1"/>
  <c r="AH1825" i="7" s="1"/>
  <c r="T1825" i="7" s="1"/>
  <c r="W1824" i="7"/>
  <c r="AB1824" i="7"/>
  <c r="Z1823" i="7"/>
  <c r="V1825" i="7"/>
  <c r="N1825" i="7"/>
  <c r="Q1826" i="7"/>
  <c r="S1826" i="7" s="1"/>
  <c r="AF1826" i="7" s="1"/>
  <c r="AG1826" i="7" l="1"/>
  <c r="AH1826" i="7" s="1"/>
  <c r="T1826" i="7" s="1"/>
  <c r="AB1825" i="7"/>
  <c r="W1825" i="7"/>
  <c r="V1826" i="7"/>
  <c r="Q1827" i="7"/>
  <c r="S1827" i="7" s="1"/>
  <c r="AF1827" i="7" s="1"/>
  <c r="N1826" i="7"/>
  <c r="Z1824" i="7"/>
  <c r="AG1827" i="7" l="1"/>
  <c r="AH1827" i="7" s="1"/>
  <c r="T1827" i="7" s="1"/>
  <c r="AB1826" i="7"/>
  <c r="W1826" i="7"/>
  <c r="Z1825" i="7"/>
  <c r="Q1828" i="7"/>
  <c r="S1828" i="7" s="1"/>
  <c r="AF1828" i="7" s="1"/>
  <c r="N1827" i="7"/>
  <c r="V1827" i="7"/>
  <c r="AG1828" i="7" l="1"/>
  <c r="AH1828" i="7" s="1"/>
  <c r="T1828" i="7" s="1"/>
  <c r="W1827" i="7"/>
  <c r="AB1827" i="7"/>
  <c r="Q1829" i="7"/>
  <c r="S1829" i="7" s="1"/>
  <c r="AF1829" i="7" s="1"/>
  <c r="N1828" i="7"/>
  <c r="V1828" i="7"/>
  <c r="Z1826" i="7"/>
  <c r="AG1829" i="7" l="1"/>
  <c r="AH1829" i="7" s="1"/>
  <c r="T1829" i="7" s="1"/>
  <c r="W1828" i="7"/>
  <c r="AB1828" i="7"/>
  <c r="N1829" i="7"/>
  <c r="V1829" i="7"/>
  <c r="Q1830" i="7"/>
  <c r="S1830" i="7" s="1"/>
  <c r="AF1830" i="7" s="1"/>
  <c r="Z1827" i="7"/>
  <c r="AG1830" i="7" l="1"/>
  <c r="AH1830" i="7" s="1"/>
  <c r="T1830" i="7" s="1"/>
  <c r="V1830" i="7"/>
  <c r="N1830" i="7"/>
  <c r="Q1831" i="7"/>
  <c r="S1831" i="7" s="1"/>
  <c r="AF1831" i="7" s="1"/>
  <c r="Z1828" i="7"/>
  <c r="AB1829" i="7"/>
  <c r="W1829" i="7"/>
  <c r="AG1831" i="7" l="1"/>
  <c r="AH1831" i="7" s="1"/>
  <c r="T1831" i="7" s="1"/>
  <c r="Q1832" i="7"/>
  <c r="S1832" i="7" s="1"/>
  <c r="AF1832" i="7" s="1"/>
  <c r="V1831" i="7"/>
  <c r="N1831" i="7"/>
  <c r="Z1829" i="7"/>
  <c r="W1830" i="7"/>
  <c r="AB1830" i="7"/>
  <c r="AG1832" i="7" l="1"/>
  <c r="AH1832" i="7" s="1"/>
  <c r="T1832" i="7" s="1"/>
  <c r="AB1831" i="7"/>
  <c r="W1831" i="7"/>
  <c r="Z1830" i="7"/>
  <c r="V1832" i="7"/>
  <c r="Q1833" i="7"/>
  <c r="S1833" i="7" s="1"/>
  <c r="AF1833" i="7" s="1"/>
  <c r="N1832" i="7"/>
  <c r="AG1833" i="7" l="1"/>
  <c r="AH1833" i="7" s="1"/>
  <c r="T1833" i="7" s="1"/>
  <c r="W1832" i="7"/>
  <c r="AB1832" i="7"/>
  <c r="Q1834" i="7"/>
  <c r="S1834" i="7" s="1"/>
  <c r="AF1834" i="7" s="1"/>
  <c r="N1833" i="7"/>
  <c r="V1833" i="7"/>
  <c r="Z1831" i="7"/>
  <c r="AG1834" i="7" l="1"/>
  <c r="AH1834" i="7" s="1"/>
  <c r="T1834" i="7" s="1"/>
  <c r="W1833" i="7"/>
  <c r="AB1833" i="7"/>
  <c r="N1834" i="7"/>
  <c r="V1834" i="7"/>
  <c r="Q1835" i="7"/>
  <c r="S1835" i="7" s="1"/>
  <c r="AF1835" i="7" s="1"/>
  <c r="Z1832" i="7"/>
  <c r="AG1835" i="7" l="1"/>
  <c r="AH1835" i="7" s="1"/>
  <c r="T1835" i="7" s="1"/>
  <c r="W1834" i="7"/>
  <c r="AB1834" i="7"/>
  <c r="Z1833" i="7"/>
  <c r="V1835" i="7"/>
  <c r="Q1836" i="7"/>
  <c r="S1836" i="7" s="1"/>
  <c r="AF1836" i="7" s="1"/>
  <c r="N1835" i="7"/>
  <c r="AG1836" i="7" l="1"/>
  <c r="AH1836" i="7" s="1"/>
  <c r="T1836" i="7" s="1"/>
  <c r="N1836" i="7"/>
  <c r="Q1837" i="7"/>
  <c r="S1837" i="7" s="1"/>
  <c r="AF1837" i="7" s="1"/>
  <c r="V1836" i="7"/>
  <c r="Z1834" i="7"/>
  <c r="W1835" i="7"/>
  <c r="AB1835" i="7"/>
  <c r="AG1837" i="7" l="1"/>
  <c r="AH1837" i="7" s="1"/>
  <c r="T1837" i="7" s="1"/>
  <c r="W1836" i="7"/>
  <c r="AB1836" i="7"/>
  <c r="Z1835" i="7"/>
  <c r="Q1838" i="7"/>
  <c r="S1838" i="7" s="1"/>
  <c r="AF1838" i="7" s="1"/>
  <c r="N1837" i="7"/>
  <c r="V1837" i="7"/>
  <c r="AG1838" i="7" l="1"/>
  <c r="AH1838" i="7" s="1"/>
  <c r="T1838" i="7" s="1"/>
  <c r="W1837" i="7"/>
  <c r="AB1837" i="7"/>
  <c r="V1838" i="7"/>
  <c r="Q1839" i="7"/>
  <c r="S1839" i="7" s="1"/>
  <c r="AF1839" i="7" s="1"/>
  <c r="N1838" i="7"/>
  <c r="Z1836" i="7"/>
  <c r="AG1839" i="7" l="1"/>
  <c r="AH1839" i="7" s="1"/>
  <c r="T1839" i="7" s="1"/>
  <c r="AB1838" i="7"/>
  <c r="W1838" i="7"/>
  <c r="Z1837" i="7"/>
  <c r="N1839" i="7"/>
  <c r="Q1840" i="7"/>
  <c r="S1840" i="7" s="1"/>
  <c r="AF1840" i="7" s="1"/>
  <c r="V1839" i="7"/>
  <c r="AG1840" i="7" l="1"/>
  <c r="AH1840" i="7" s="1"/>
  <c r="T1840" i="7" s="1"/>
  <c r="Q1841" i="7"/>
  <c r="S1841" i="7" s="1"/>
  <c r="AF1841" i="7" s="1"/>
  <c r="N1840" i="7"/>
  <c r="V1840" i="7"/>
  <c r="Z1838" i="7"/>
  <c r="W1839" i="7"/>
  <c r="AB1839" i="7"/>
  <c r="AG1841" i="7" l="1"/>
  <c r="AH1841" i="7" s="1"/>
  <c r="T1841" i="7" s="1"/>
  <c r="Z1839" i="7"/>
  <c r="AB1840" i="7"/>
  <c r="W1840" i="7"/>
  <c r="Q1842" i="7"/>
  <c r="S1842" i="7" s="1"/>
  <c r="AF1842" i="7" s="1"/>
  <c r="N1841" i="7"/>
  <c r="V1841" i="7"/>
  <c r="AG1842" i="7" l="1"/>
  <c r="AH1842" i="7" s="1"/>
  <c r="T1842" i="7" s="1"/>
  <c r="W1841" i="7"/>
  <c r="AB1841" i="7"/>
  <c r="V1842" i="7"/>
  <c r="N1842" i="7"/>
  <c r="Q1843" i="7"/>
  <c r="S1843" i="7" s="1"/>
  <c r="AF1843" i="7" s="1"/>
  <c r="Z1840" i="7"/>
  <c r="AG1843" i="7" l="1"/>
  <c r="AH1843" i="7" s="1"/>
  <c r="T1843" i="7" s="1"/>
  <c r="Q1844" i="7"/>
  <c r="S1844" i="7" s="1"/>
  <c r="AF1844" i="7" s="1"/>
  <c r="N1843" i="7"/>
  <c r="V1843" i="7"/>
  <c r="AB1842" i="7"/>
  <c r="W1842" i="7"/>
  <c r="Z1841" i="7"/>
  <c r="AG1844" i="7" l="1"/>
  <c r="AH1844" i="7" s="1"/>
  <c r="T1844" i="7" s="1"/>
  <c r="Z1842" i="7"/>
  <c r="W1843" i="7"/>
  <c r="AB1843" i="7"/>
  <c r="N1844" i="7"/>
  <c r="V1844" i="7"/>
  <c r="Q1845" i="7"/>
  <c r="S1845" i="7" s="1"/>
  <c r="AF1845" i="7" s="1"/>
  <c r="AG1845" i="7" l="1"/>
  <c r="AH1845" i="7" s="1"/>
  <c r="T1845" i="7" s="1"/>
  <c r="Z1843" i="7"/>
  <c r="V1845" i="7"/>
  <c r="Q1846" i="7"/>
  <c r="S1846" i="7" s="1"/>
  <c r="AF1846" i="7" s="1"/>
  <c r="N1845" i="7"/>
  <c r="AB1844" i="7"/>
  <c r="W1844" i="7"/>
  <c r="AG1846" i="7" l="1"/>
  <c r="AH1846" i="7" s="1"/>
  <c r="T1846" i="7" s="1"/>
  <c r="Z1844" i="7"/>
  <c r="Q1847" i="7"/>
  <c r="S1847" i="7" s="1"/>
  <c r="AF1847" i="7" s="1"/>
  <c r="V1846" i="7"/>
  <c r="N1846" i="7"/>
  <c r="AB1845" i="7"/>
  <c r="W1845" i="7"/>
  <c r="AG1847" i="7" l="1"/>
  <c r="AH1847" i="7" s="1"/>
  <c r="T1847" i="7" s="1"/>
  <c r="W1846" i="7"/>
  <c r="AB1846" i="7"/>
  <c r="V1847" i="7"/>
  <c r="N1847" i="7"/>
  <c r="Q1848" i="7"/>
  <c r="S1848" i="7" s="1"/>
  <c r="AF1848" i="7" s="1"/>
  <c r="Z1845" i="7"/>
  <c r="AG1848" i="7" l="1"/>
  <c r="AH1848" i="7" s="1"/>
  <c r="T1848" i="7" s="1"/>
  <c r="AB1847" i="7"/>
  <c r="W1847" i="7"/>
  <c r="Z1846" i="7"/>
  <c r="Q1849" i="7"/>
  <c r="S1849" i="7" s="1"/>
  <c r="AF1849" i="7" s="1"/>
  <c r="V1848" i="7"/>
  <c r="N1848" i="7"/>
  <c r="AG1849" i="7" l="1"/>
  <c r="AH1849" i="7" s="1"/>
  <c r="T1849" i="7" s="1"/>
  <c r="W1848" i="7"/>
  <c r="AB1848" i="7"/>
  <c r="V1849" i="7"/>
  <c r="N1849" i="7"/>
  <c r="Q1850" i="7"/>
  <c r="S1850" i="7" s="1"/>
  <c r="AF1850" i="7" s="1"/>
  <c r="Z1847" i="7"/>
  <c r="AG1850" i="7" l="1"/>
  <c r="AH1850" i="7" s="1"/>
  <c r="T1850" i="7" s="1"/>
  <c r="Z1848" i="7"/>
  <c r="W1849" i="7"/>
  <c r="AB1849" i="7"/>
  <c r="N1850" i="7"/>
  <c r="V1850" i="7"/>
  <c r="Q1851" i="7"/>
  <c r="S1851" i="7" s="1"/>
  <c r="AF1851" i="7" s="1"/>
  <c r="AG1851" i="7" l="1"/>
  <c r="AH1851" i="7" s="1"/>
  <c r="T1851" i="7" s="1"/>
  <c r="Q1852" i="7"/>
  <c r="S1852" i="7" s="1"/>
  <c r="AF1852" i="7" s="1"/>
  <c r="V1851" i="7"/>
  <c r="N1851" i="7"/>
  <c r="Z1849" i="7"/>
  <c r="W1850" i="7"/>
  <c r="AB1850" i="7"/>
  <c r="AG1852" i="7" l="1"/>
  <c r="AH1852" i="7" s="1"/>
  <c r="T1852" i="7" s="1"/>
  <c r="AB1851" i="7"/>
  <c r="W1851" i="7"/>
  <c r="V1852" i="7"/>
  <c r="Q1853" i="7"/>
  <c r="S1853" i="7" s="1"/>
  <c r="AF1853" i="7" s="1"/>
  <c r="N1852" i="7"/>
  <c r="Z1850" i="7"/>
  <c r="AG1853" i="7" l="1"/>
  <c r="AH1853" i="7" s="1"/>
  <c r="T1853" i="7" s="1"/>
  <c r="Q1854" i="7"/>
  <c r="S1854" i="7" s="1"/>
  <c r="AF1854" i="7" s="1"/>
  <c r="V1853" i="7"/>
  <c r="N1853" i="7"/>
  <c r="W1852" i="7"/>
  <c r="AB1852" i="7"/>
  <c r="Z1851" i="7"/>
  <c r="AG1854" i="7" l="1"/>
  <c r="AH1854" i="7" s="1"/>
  <c r="T1854" i="7" s="1"/>
  <c r="Z1852" i="7"/>
  <c r="W1853" i="7"/>
  <c r="AB1853" i="7"/>
  <c r="N1854" i="7"/>
  <c r="V1854" i="7"/>
  <c r="Q1855" i="7"/>
  <c r="S1855" i="7" s="1"/>
  <c r="AF1855" i="7" s="1"/>
  <c r="AG1855" i="7" l="1"/>
  <c r="AH1855" i="7" s="1"/>
  <c r="T1855" i="7" s="1"/>
  <c r="Z1853" i="7"/>
  <c r="W1854" i="7"/>
  <c r="AB1854" i="7"/>
  <c r="Q1856" i="7"/>
  <c r="S1856" i="7" s="1"/>
  <c r="AF1856" i="7" s="1"/>
  <c r="V1855" i="7"/>
  <c r="N1855" i="7"/>
  <c r="AG1856" i="7" l="1"/>
  <c r="AH1856" i="7" s="1"/>
  <c r="T1856" i="7" s="1"/>
  <c r="Z1854" i="7"/>
  <c r="W1855" i="7"/>
  <c r="AB1855" i="7"/>
  <c r="N1856" i="7"/>
  <c r="Q1857" i="7"/>
  <c r="S1857" i="7" s="1"/>
  <c r="AF1857" i="7" s="1"/>
  <c r="V1856" i="7"/>
  <c r="AG1857" i="7" l="1"/>
  <c r="AH1857" i="7" s="1"/>
  <c r="T1857" i="7" s="1"/>
  <c r="N1857" i="7"/>
  <c r="Q1858" i="7"/>
  <c r="S1858" i="7" s="1"/>
  <c r="AF1858" i="7" s="1"/>
  <c r="V1857" i="7"/>
  <c r="Z1855" i="7"/>
  <c r="AB1856" i="7"/>
  <c r="W1856" i="7"/>
  <c r="AG1858" i="7" l="1"/>
  <c r="AH1858" i="7" s="1"/>
  <c r="T1858" i="7" s="1"/>
  <c r="W1857" i="7"/>
  <c r="AB1857" i="7"/>
  <c r="Q1859" i="7"/>
  <c r="S1859" i="7" s="1"/>
  <c r="AF1859" i="7" s="1"/>
  <c r="N1858" i="7"/>
  <c r="V1858" i="7"/>
  <c r="Z1856" i="7"/>
  <c r="AG1859" i="7" l="1"/>
  <c r="AH1859" i="7" s="1"/>
  <c r="T1859" i="7" s="1"/>
  <c r="Z1857" i="7"/>
  <c r="AB1858" i="7"/>
  <c r="W1858" i="7"/>
  <c r="V1859" i="7"/>
  <c r="Q1860" i="7"/>
  <c r="S1860" i="7" s="1"/>
  <c r="AF1860" i="7" s="1"/>
  <c r="N1859" i="7"/>
  <c r="AG1860" i="7" l="1"/>
  <c r="AH1860" i="7" s="1"/>
  <c r="T1860" i="7" s="1"/>
  <c r="Z1858" i="7"/>
  <c r="Q1861" i="7"/>
  <c r="S1861" i="7" s="1"/>
  <c r="AF1861" i="7" s="1"/>
  <c r="V1860" i="7"/>
  <c r="N1860" i="7"/>
  <c r="W1859" i="7"/>
  <c r="AB1859" i="7"/>
  <c r="AG1861" i="7" l="1"/>
  <c r="AH1861" i="7" s="1"/>
  <c r="T1861" i="7" s="1"/>
  <c r="AB1860" i="7"/>
  <c r="W1860" i="7"/>
  <c r="N1861" i="7"/>
  <c r="V1861" i="7"/>
  <c r="Q1862" i="7"/>
  <c r="S1862" i="7" s="1"/>
  <c r="AF1862" i="7" s="1"/>
  <c r="Z1859" i="7"/>
  <c r="AG1862" i="7" l="1"/>
  <c r="AH1862" i="7" s="1"/>
  <c r="T1862" i="7" s="1"/>
  <c r="AB1861" i="7"/>
  <c r="W1861" i="7"/>
  <c r="Z1860" i="7"/>
  <c r="Q1863" i="7"/>
  <c r="S1863" i="7" s="1"/>
  <c r="AF1863" i="7" s="1"/>
  <c r="V1862" i="7"/>
  <c r="N1862" i="7"/>
  <c r="AG1863" i="7" l="1"/>
  <c r="AH1863" i="7" s="1"/>
  <c r="T1863" i="7" s="1"/>
  <c r="AB1862" i="7"/>
  <c r="W1862" i="7"/>
  <c r="Q1864" i="7"/>
  <c r="S1864" i="7" s="1"/>
  <c r="AF1864" i="7" s="1"/>
  <c r="N1863" i="7"/>
  <c r="V1863" i="7"/>
  <c r="Z1861" i="7"/>
  <c r="AG1864" i="7" l="1"/>
  <c r="AH1864" i="7" s="1"/>
  <c r="T1864" i="7" s="1"/>
  <c r="N1864" i="7"/>
  <c r="Q1865" i="7"/>
  <c r="S1865" i="7" s="1"/>
  <c r="AF1865" i="7" s="1"/>
  <c r="V1864" i="7"/>
  <c r="W1863" i="7"/>
  <c r="AB1863" i="7"/>
  <c r="Z1862" i="7"/>
  <c r="AG1865" i="7" l="1"/>
  <c r="AH1865" i="7" s="1"/>
  <c r="T1865" i="7" s="1"/>
  <c r="Z1863" i="7"/>
  <c r="V1865" i="7"/>
  <c r="N1865" i="7"/>
  <c r="Q1866" i="7"/>
  <c r="S1866" i="7" s="1"/>
  <c r="AF1866" i="7" s="1"/>
  <c r="AB1864" i="7"/>
  <c r="W1864" i="7"/>
  <c r="AG1866" i="7" l="1"/>
  <c r="AH1866" i="7" s="1"/>
  <c r="T1866" i="7" s="1"/>
  <c r="Q1867" i="7"/>
  <c r="S1867" i="7" s="1"/>
  <c r="AF1867" i="7" s="1"/>
  <c r="N1866" i="7"/>
  <c r="V1866" i="7"/>
  <c r="AB1865" i="7"/>
  <c r="W1865" i="7"/>
  <c r="Z1864" i="7"/>
  <c r="AG1867" i="7" l="1"/>
  <c r="AH1867" i="7" s="1"/>
  <c r="T1867" i="7" s="1"/>
  <c r="Z1865" i="7"/>
  <c r="AB1866" i="7"/>
  <c r="W1866" i="7"/>
  <c r="N1867" i="7"/>
  <c r="V1867" i="7"/>
  <c r="Q1868" i="7"/>
  <c r="S1868" i="7" s="1"/>
  <c r="AF1868" i="7" s="1"/>
  <c r="AG1868" i="7" l="1"/>
  <c r="AH1868" i="7" s="1"/>
  <c r="T1868" i="7" s="1"/>
  <c r="AB1867" i="7"/>
  <c r="W1867" i="7"/>
  <c r="Z1866" i="7"/>
  <c r="Q1869" i="7"/>
  <c r="S1869" i="7" s="1"/>
  <c r="AF1869" i="7" s="1"/>
  <c r="V1868" i="7"/>
  <c r="N1868" i="7"/>
  <c r="AG1869" i="7" l="1"/>
  <c r="AH1869" i="7" s="1"/>
  <c r="T1869" i="7" s="1"/>
  <c r="Q1870" i="7"/>
  <c r="S1870" i="7" s="1"/>
  <c r="AF1870" i="7" s="1"/>
  <c r="V1869" i="7"/>
  <c r="N1869" i="7"/>
  <c r="AB1868" i="7"/>
  <c r="W1868" i="7"/>
  <c r="Z1867" i="7"/>
  <c r="AG1870" i="7" l="1"/>
  <c r="AH1870" i="7" s="1"/>
  <c r="T1870" i="7" s="1"/>
  <c r="Z1868" i="7"/>
  <c r="W1869" i="7"/>
  <c r="AB1869" i="7"/>
  <c r="N1870" i="7"/>
  <c r="V1870" i="7"/>
  <c r="Q1871" i="7"/>
  <c r="S1871" i="7" s="1"/>
  <c r="AF1871" i="7" s="1"/>
  <c r="AG1871" i="7" l="1"/>
  <c r="AH1871" i="7" s="1"/>
  <c r="T1871" i="7" s="1"/>
  <c r="W1870" i="7"/>
  <c r="AB1870" i="7"/>
  <c r="Z1869" i="7"/>
  <c r="N1871" i="7"/>
  <c r="Q1872" i="7"/>
  <c r="S1872" i="7" s="1"/>
  <c r="AF1872" i="7" s="1"/>
  <c r="V1871" i="7"/>
  <c r="AG1872" i="7" l="1"/>
  <c r="AH1872" i="7" s="1"/>
  <c r="T1872" i="7" s="1"/>
  <c r="AB1871" i="7"/>
  <c r="W1871" i="7"/>
  <c r="Q1873" i="7"/>
  <c r="S1873" i="7" s="1"/>
  <c r="AF1873" i="7" s="1"/>
  <c r="N1872" i="7"/>
  <c r="V1872" i="7"/>
  <c r="Z1870" i="7"/>
  <c r="AG1873" i="7" l="1"/>
  <c r="AH1873" i="7" s="1"/>
  <c r="T1873" i="7" s="1"/>
  <c r="W1872" i="7"/>
  <c r="AB1872" i="7"/>
  <c r="N1873" i="7"/>
  <c r="V1873" i="7"/>
  <c r="Q1874" i="7"/>
  <c r="S1874" i="7" s="1"/>
  <c r="AF1874" i="7" s="1"/>
  <c r="Z1871" i="7"/>
  <c r="AG1874" i="7" l="1"/>
  <c r="AH1874" i="7" s="1"/>
  <c r="T1874" i="7" s="1"/>
  <c r="Q1875" i="7"/>
  <c r="S1875" i="7" s="1"/>
  <c r="AF1875" i="7" s="1"/>
  <c r="V1874" i="7"/>
  <c r="N1874" i="7"/>
  <c r="W1873" i="7"/>
  <c r="AB1873" i="7"/>
  <c r="Z1872" i="7"/>
  <c r="AG1875" i="7" l="1"/>
  <c r="AH1875" i="7" s="1"/>
  <c r="T1875" i="7" s="1"/>
  <c r="W1874" i="7"/>
  <c r="AB1874" i="7"/>
  <c r="Z1873" i="7"/>
  <c r="Q1876" i="7"/>
  <c r="S1876" i="7" s="1"/>
  <c r="AF1876" i="7" s="1"/>
  <c r="N1875" i="7"/>
  <c r="V1875" i="7"/>
  <c r="AG1876" i="7" l="1"/>
  <c r="AH1876" i="7" s="1"/>
  <c r="T1876" i="7" s="1"/>
  <c r="N1876" i="7"/>
  <c r="Q1877" i="7"/>
  <c r="S1877" i="7" s="1"/>
  <c r="AF1877" i="7" s="1"/>
  <c r="V1876" i="7"/>
  <c r="Z1874" i="7"/>
  <c r="W1875" i="7"/>
  <c r="AB1875" i="7"/>
  <c r="AG1877" i="7" l="1"/>
  <c r="AH1877" i="7" s="1"/>
  <c r="T1877" i="7" s="1"/>
  <c r="Z1875" i="7"/>
  <c r="AB1876" i="7"/>
  <c r="W1876" i="7"/>
  <c r="N1877" i="7"/>
  <c r="V1877" i="7"/>
  <c r="Q1878" i="7"/>
  <c r="S1878" i="7" s="1"/>
  <c r="AF1878" i="7" s="1"/>
  <c r="AG1878" i="7" l="1"/>
  <c r="AH1878" i="7" s="1"/>
  <c r="T1878" i="7" s="1"/>
  <c r="W1877" i="7"/>
  <c r="AB1877" i="7"/>
  <c r="Z1876" i="7"/>
  <c r="V1878" i="7"/>
  <c r="N1878" i="7"/>
  <c r="Q1879" i="7"/>
  <c r="S1879" i="7" s="1"/>
  <c r="AF1879" i="7" s="1"/>
  <c r="AG1879" i="7" l="1"/>
  <c r="AH1879" i="7" s="1"/>
  <c r="T1879" i="7" s="1"/>
  <c r="AB1878" i="7"/>
  <c r="W1878" i="7"/>
  <c r="Z1877" i="7"/>
  <c r="N1879" i="7"/>
  <c r="Q1880" i="7"/>
  <c r="S1880" i="7" s="1"/>
  <c r="AF1880" i="7" s="1"/>
  <c r="V1879" i="7"/>
  <c r="AG1880" i="7" l="1"/>
  <c r="AH1880" i="7" s="1"/>
  <c r="T1880" i="7" s="1"/>
  <c r="Z1878" i="7"/>
  <c r="N1880" i="7"/>
  <c r="V1880" i="7"/>
  <c r="Q1881" i="7"/>
  <c r="S1881" i="7" s="1"/>
  <c r="AF1881" i="7" s="1"/>
  <c r="AB1879" i="7"/>
  <c r="W1879" i="7"/>
  <c r="AG1881" i="7" l="1"/>
  <c r="AH1881" i="7" s="1"/>
  <c r="T1881" i="7" s="1"/>
  <c r="AB1880" i="7"/>
  <c r="W1880" i="7"/>
  <c r="Z1879" i="7"/>
  <c r="Q1882" i="7"/>
  <c r="S1882" i="7" s="1"/>
  <c r="AF1882" i="7" s="1"/>
  <c r="V1881" i="7"/>
  <c r="N1881" i="7"/>
  <c r="AG1882" i="7" l="1"/>
  <c r="AH1882" i="7" s="1"/>
  <c r="T1882" i="7" s="1"/>
  <c r="N1882" i="7"/>
  <c r="V1882" i="7"/>
  <c r="Q1883" i="7"/>
  <c r="S1883" i="7" s="1"/>
  <c r="AF1883" i="7" s="1"/>
  <c r="AB1881" i="7"/>
  <c r="W1881" i="7"/>
  <c r="Z1880" i="7"/>
  <c r="AG1883" i="7" l="1"/>
  <c r="AH1883" i="7" s="1"/>
  <c r="T1883" i="7" s="1"/>
  <c r="V1883" i="7"/>
  <c r="Q1884" i="7"/>
  <c r="S1884" i="7" s="1"/>
  <c r="N1883" i="7"/>
  <c r="Z1881" i="7"/>
  <c r="AB1882" i="7"/>
  <c r="W1882" i="7"/>
  <c r="AF1884" i="7" l="1"/>
  <c r="AG1884" i="7" s="1"/>
  <c r="AH1884" i="7" s="1"/>
  <c r="T1884" i="7" s="1"/>
  <c r="Z1882" i="7"/>
  <c r="V1884" i="7"/>
  <c r="N1884" i="7"/>
  <c r="Q1885" i="7"/>
  <c r="S1885" i="7" s="1"/>
  <c r="AB1883" i="7"/>
  <c r="W1883" i="7"/>
  <c r="AF1885" i="7" l="1"/>
  <c r="AG1885" i="7" s="1"/>
  <c r="AH1885" i="7" s="1"/>
  <c r="T1885" i="7" s="1"/>
  <c r="N1885" i="7"/>
  <c r="V1885" i="7"/>
  <c r="Q1886" i="7"/>
  <c r="S1886" i="7" s="1"/>
  <c r="AB1884" i="7"/>
  <c r="W1884" i="7"/>
  <c r="Z1883" i="7"/>
  <c r="AF1886" i="7" l="1"/>
  <c r="AG1886" i="7" s="1"/>
  <c r="AH1886" i="7" s="1"/>
  <c r="T1886" i="7" s="1"/>
  <c r="Q1887" i="7" s="1"/>
  <c r="S1887" i="7" s="1"/>
  <c r="V1886" i="7"/>
  <c r="N1886" i="7"/>
  <c r="Z1884" i="7"/>
  <c r="W1885" i="7"/>
  <c r="AB1885" i="7"/>
  <c r="AF1887" i="7" l="1"/>
  <c r="AG1887" i="7" s="1"/>
  <c r="AH1887" i="7" s="1"/>
  <c r="T1887" i="7" s="1"/>
  <c r="Q1888" i="7" s="1"/>
  <c r="S1888" i="7" s="1"/>
  <c r="N1887" i="7"/>
  <c r="V1887" i="7"/>
  <c r="W1886" i="7"/>
  <c r="AB1886" i="7"/>
  <c r="Z1885" i="7"/>
  <c r="AF1888" i="7" l="1"/>
  <c r="AG1888" i="7" s="1"/>
  <c r="AH1888" i="7" s="1"/>
  <c r="T1888" i="7" s="1"/>
  <c r="Q1889" i="7" s="1"/>
  <c r="S1889" i="7" s="1"/>
  <c r="N1888" i="7"/>
  <c r="V1888" i="7"/>
  <c r="W1887" i="7"/>
  <c r="AB1887" i="7"/>
  <c r="Z1886" i="7"/>
  <c r="AF1889" i="7" l="1"/>
  <c r="AG1889" i="7" s="1"/>
  <c r="AH1889" i="7" s="1"/>
  <c r="T1889" i="7" s="1"/>
  <c r="Q1890" i="7" s="1"/>
  <c r="S1890" i="7" s="1"/>
  <c r="Z1887" i="7"/>
  <c r="V1889" i="7"/>
  <c r="N1889" i="7"/>
  <c r="W1888" i="7"/>
  <c r="AB1888" i="7"/>
  <c r="AF1890" i="7" l="1"/>
  <c r="AG1890" i="7" s="1"/>
  <c r="AH1890" i="7" s="1"/>
  <c r="T1890" i="7" s="1"/>
  <c r="Q1891" i="7" s="1"/>
  <c r="S1891" i="7" s="1"/>
  <c r="V1890" i="7"/>
  <c r="N1890" i="7"/>
  <c r="W1889" i="7"/>
  <c r="AB1889" i="7"/>
  <c r="Z1888" i="7"/>
  <c r="AF1891" i="7" l="1"/>
  <c r="AG1891" i="7" s="1"/>
  <c r="AH1891" i="7" s="1"/>
  <c r="T1891" i="7" s="1"/>
  <c r="Q1892" i="7" s="1"/>
  <c r="S1892" i="7" s="1"/>
  <c r="Z1889" i="7"/>
  <c r="W1890" i="7"/>
  <c r="AB1890" i="7"/>
  <c r="N1891" i="7"/>
  <c r="V1891" i="7"/>
  <c r="AF1892" i="7" l="1"/>
  <c r="AG1892" i="7" s="1"/>
  <c r="AH1892" i="7" s="1"/>
  <c r="T1892" i="7" s="1"/>
  <c r="Q1893" i="7" s="1"/>
  <c r="S1893" i="7" s="1"/>
  <c r="V1892" i="7"/>
  <c r="N1892" i="7"/>
  <c r="Z1890" i="7"/>
  <c r="AB1891" i="7"/>
  <c r="W1891" i="7"/>
  <c r="AF1893" i="7" l="1"/>
  <c r="AG1893" i="7" s="1"/>
  <c r="AH1893" i="7" s="1"/>
  <c r="T1893" i="7" s="1"/>
  <c r="Q1894" i="7" s="1"/>
  <c r="S1894" i="7" s="1"/>
  <c r="Z1891" i="7"/>
  <c r="W1892" i="7"/>
  <c r="AB1892" i="7"/>
  <c r="V1893" i="7"/>
  <c r="N1893" i="7"/>
  <c r="AF1894" i="7" l="1"/>
  <c r="AG1894" i="7" s="1"/>
  <c r="AH1894" i="7" s="1"/>
  <c r="T1894" i="7" s="1"/>
  <c r="Q1895" i="7" s="1"/>
  <c r="S1895" i="7" s="1"/>
  <c r="Z1892" i="7"/>
  <c r="AB1893" i="7"/>
  <c r="W1893" i="7"/>
  <c r="V1894" i="7"/>
  <c r="N1894" i="7"/>
  <c r="AF1895" i="7" l="1"/>
  <c r="AG1895" i="7" s="1"/>
  <c r="AH1895" i="7" s="1"/>
  <c r="T1895" i="7" s="1"/>
  <c r="Q1896" i="7" s="1"/>
  <c r="S1896" i="7" s="1"/>
  <c r="W1894" i="7"/>
  <c r="AB1894" i="7"/>
  <c r="Z1893" i="7"/>
  <c r="N1895" i="7"/>
  <c r="V1895" i="7"/>
  <c r="AF1896" i="7" l="1"/>
  <c r="AG1896" i="7" s="1"/>
  <c r="AH1896" i="7" s="1"/>
  <c r="T1896" i="7" s="1"/>
  <c r="Q1897" i="7" s="1"/>
  <c r="S1897" i="7" s="1"/>
  <c r="N1896" i="7"/>
  <c r="V1896" i="7"/>
  <c r="Z1894" i="7"/>
  <c r="W1895" i="7"/>
  <c r="AB1895" i="7"/>
  <c r="AF1897" i="7" l="1"/>
  <c r="AG1897" i="7" s="1"/>
  <c r="AH1897" i="7" s="1"/>
  <c r="T1897" i="7" s="1"/>
  <c r="Q1898" i="7" s="1"/>
  <c r="S1898" i="7" s="1"/>
  <c r="N1897" i="7"/>
  <c r="V1897" i="7"/>
  <c r="AB1896" i="7"/>
  <c r="W1896" i="7"/>
  <c r="Z1895" i="7"/>
  <c r="AF1898" i="7" l="1"/>
  <c r="AG1898" i="7" s="1"/>
  <c r="AH1898" i="7" s="1"/>
  <c r="T1898" i="7" s="1"/>
  <c r="Q1899" i="7" s="1"/>
  <c r="S1899" i="7" s="1"/>
  <c r="Z1896" i="7"/>
  <c r="N1898" i="7"/>
  <c r="V1898" i="7"/>
  <c r="W1897" i="7"/>
  <c r="AB1897" i="7"/>
  <c r="AF1899" i="7" l="1"/>
  <c r="AG1899" i="7" s="1"/>
  <c r="AH1899" i="7" s="1"/>
  <c r="T1899" i="7" s="1"/>
  <c r="Q1900" i="7" s="1"/>
  <c r="S1900" i="7" s="1"/>
  <c r="V1899" i="7"/>
  <c r="N1899" i="7"/>
  <c r="W1898" i="7"/>
  <c r="AB1898" i="7"/>
  <c r="Z1897" i="7"/>
  <c r="AF1900" i="7" l="1"/>
  <c r="AG1900" i="7" s="1"/>
  <c r="AH1900" i="7" s="1"/>
  <c r="T1900" i="7" s="1"/>
  <c r="Q1901" i="7" s="1"/>
  <c r="S1901" i="7" s="1"/>
  <c r="Z1898" i="7"/>
  <c r="W1899" i="7"/>
  <c r="AB1899" i="7"/>
  <c r="V1900" i="7"/>
  <c r="N1900" i="7"/>
  <c r="AF1901" i="7" l="1"/>
  <c r="AG1901" i="7" s="1"/>
  <c r="AH1901" i="7" s="1"/>
  <c r="T1901" i="7" s="1"/>
  <c r="Q1902" i="7" s="1"/>
  <c r="S1902" i="7" s="1"/>
  <c r="N1901" i="7"/>
  <c r="V1901" i="7"/>
  <c r="AB1900" i="7"/>
  <c r="W1900" i="7"/>
  <c r="Z1899" i="7"/>
  <c r="AF1902" i="7" l="1"/>
  <c r="AG1902" i="7" s="1"/>
  <c r="AH1902" i="7" s="1"/>
  <c r="T1902" i="7" s="1"/>
  <c r="Q1903" i="7" s="1"/>
  <c r="S1903" i="7" s="1"/>
  <c r="Z1900" i="7"/>
  <c r="AB1901" i="7"/>
  <c r="W1901" i="7"/>
  <c r="V1902" i="7"/>
  <c r="N1902" i="7"/>
  <c r="AF1903" i="7" l="1"/>
  <c r="AG1903" i="7" s="1"/>
  <c r="AH1903" i="7" s="1"/>
  <c r="T1903" i="7" s="1"/>
  <c r="Q1904" i="7" s="1"/>
  <c r="S1904" i="7" s="1"/>
  <c r="N1903" i="7"/>
  <c r="V1903" i="7"/>
  <c r="AB1902" i="7"/>
  <c r="W1902" i="7"/>
  <c r="Z1901" i="7"/>
  <c r="AF1904" i="7" l="1"/>
  <c r="AG1904" i="7" s="1"/>
  <c r="AH1904" i="7" s="1"/>
  <c r="T1904" i="7" s="1"/>
  <c r="Q1905" i="7" s="1"/>
  <c r="S1905" i="7" s="1"/>
  <c r="Z1902" i="7"/>
  <c r="V1904" i="7"/>
  <c r="N1904" i="7"/>
  <c r="W1903" i="7"/>
  <c r="AB1903" i="7"/>
  <c r="AF1905" i="7" l="1"/>
  <c r="AG1905" i="7" s="1"/>
  <c r="AH1905" i="7" s="1"/>
  <c r="T1905" i="7" s="1"/>
  <c r="Q1906" i="7" s="1"/>
  <c r="S1906" i="7" s="1"/>
  <c r="W1904" i="7"/>
  <c r="AB1904" i="7"/>
  <c r="N1905" i="7"/>
  <c r="V1905" i="7"/>
  <c r="Z1903" i="7"/>
  <c r="AF1906" i="7" l="1"/>
  <c r="AG1906" i="7" s="1"/>
  <c r="AH1906" i="7" s="1"/>
  <c r="T1906" i="7" s="1"/>
  <c r="Q1907" i="7" s="1"/>
  <c r="S1907" i="7" s="1"/>
  <c r="W1905" i="7"/>
  <c r="AB1905" i="7"/>
  <c r="Z1904" i="7"/>
  <c r="V1906" i="7"/>
  <c r="N1906" i="7"/>
  <c r="AF1907" i="7" l="1"/>
  <c r="AG1907" i="7" s="1"/>
  <c r="AH1907" i="7" s="1"/>
  <c r="T1907" i="7" s="1"/>
  <c r="Q1908" i="7" s="1"/>
  <c r="S1908" i="7" s="1"/>
  <c r="AB1906" i="7"/>
  <c r="W1906" i="7"/>
  <c r="N1907" i="7"/>
  <c r="V1907" i="7"/>
  <c r="Z1905" i="7"/>
  <c r="AF1908" i="7" l="1"/>
  <c r="AG1908" i="7" s="1"/>
  <c r="AH1908" i="7" s="1"/>
  <c r="T1908" i="7" s="1"/>
  <c r="Q1909" i="7" s="1"/>
  <c r="S1909" i="7" s="1"/>
  <c r="W1907" i="7"/>
  <c r="AB1907" i="7"/>
  <c r="V1908" i="7"/>
  <c r="N1908" i="7"/>
  <c r="Z1906" i="7"/>
  <c r="AF1909" i="7" l="1"/>
  <c r="AG1909" i="7" s="1"/>
  <c r="AH1909" i="7" s="1"/>
  <c r="T1909" i="7" s="1"/>
  <c r="Q1910" i="7" s="1"/>
  <c r="S1910" i="7" s="1"/>
  <c r="V1909" i="7"/>
  <c r="N1909" i="7"/>
  <c r="AB1908" i="7"/>
  <c r="W1908" i="7"/>
  <c r="Z1907" i="7"/>
  <c r="AF1910" i="7" l="1"/>
  <c r="AG1910" i="7" s="1"/>
  <c r="AH1910" i="7" s="1"/>
  <c r="T1910" i="7" s="1"/>
  <c r="Q1911" i="7" s="1"/>
  <c r="S1911" i="7" s="1"/>
  <c r="Z1908" i="7"/>
  <c r="V1910" i="7"/>
  <c r="N1910" i="7"/>
  <c r="AB1909" i="7"/>
  <c r="W1909" i="7"/>
  <c r="AF1911" i="7" l="1"/>
  <c r="AG1911" i="7" s="1"/>
  <c r="AH1911" i="7" s="1"/>
  <c r="T1911" i="7" s="1"/>
  <c r="Q1912" i="7" s="1"/>
  <c r="S1912" i="7" s="1"/>
  <c r="W1910" i="7"/>
  <c r="AB1910" i="7"/>
  <c r="Z1909" i="7"/>
  <c r="N1911" i="7"/>
  <c r="V1911" i="7"/>
  <c r="AF1912" i="7" l="1"/>
  <c r="AG1912" i="7" s="1"/>
  <c r="AH1912" i="7" s="1"/>
  <c r="T1912" i="7" s="1"/>
  <c r="Q1913" i="7" s="1"/>
  <c r="S1913" i="7" s="1"/>
  <c r="AB1911" i="7"/>
  <c r="W1911" i="7"/>
  <c r="N1912" i="7"/>
  <c r="V1912" i="7"/>
  <c r="Z1910" i="7"/>
  <c r="AF1913" i="7" l="1"/>
  <c r="AG1913" i="7" s="1"/>
  <c r="AH1913" i="7" s="1"/>
  <c r="T1913" i="7" s="1"/>
  <c r="Q1914" i="7" s="1"/>
  <c r="S1914" i="7" s="1"/>
  <c r="V1913" i="7"/>
  <c r="N1913" i="7"/>
  <c r="AB1912" i="7"/>
  <c r="W1912" i="7"/>
  <c r="Z1911" i="7"/>
  <c r="AF1914" i="7" l="1"/>
  <c r="AG1914" i="7" s="1"/>
  <c r="AH1914" i="7" s="1"/>
  <c r="T1914" i="7" s="1"/>
  <c r="Q1915" i="7" s="1"/>
  <c r="S1915" i="7" s="1"/>
  <c r="W1913" i="7"/>
  <c r="AB1913" i="7"/>
  <c r="Z1912" i="7"/>
  <c r="V1914" i="7"/>
  <c r="N1914" i="7"/>
  <c r="AF1915" i="7" l="1"/>
  <c r="AG1915" i="7" s="1"/>
  <c r="AH1915" i="7" s="1"/>
  <c r="T1915" i="7" s="1"/>
  <c r="Q1916" i="7" s="1"/>
  <c r="S1916" i="7" s="1"/>
  <c r="V1915" i="7"/>
  <c r="N1915" i="7"/>
  <c r="Z1913" i="7"/>
  <c r="AB1914" i="7"/>
  <c r="W1914" i="7"/>
  <c r="AF1916" i="7" l="1"/>
  <c r="AG1916" i="7" s="1"/>
  <c r="AH1916" i="7" s="1"/>
  <c r="T1916" i="7" s="1"/>
  <c r="Q1917" i="7" s="1"/>
  <c r="S1917" i="7" s="1"/>
  <c r="Z1914" i="7"/>
  <c r="N1916" i="7"/>
  <c r="V1916" i="7"/>
  <c r="AB1915" i="7"/>
  <c r="W1915" i="7"/>
  <c r="AF1917" i="7" l="1"/>
  <c r="AG1917" i="7" s="1"/>
  <c r="AH1917" i="7" s="1"/>
  <c r="T1917" i="7" s="1"/>
  <c r="Q1918" i="7" s="1"/>
  <c r="S1918" i="7" s="1"/>
  <c r="W1916" i="7"/>
  <c r="AB1916" i="7"/>
  <c r="Z1915" i="7"/>
  <c r="V1917" i="7"/>
  <c r="N1917" i="7"/>
  <c r="AF1918" i="7" l="1"/>
  <c r="AG1918" i="7" s="1"/>
  <c r="AH1918" i="7" s="1"/>
  <c r="T1918" i="7" s="1"/>
  <c r="Q1919" i="7" s="1"/>
  <c r="S1919" i="7" s="1"/>
  <c r="AB1917" i="7"/>
  <c r="W1917" i="7"/>
  <c r="Z1916" i="7"/>
  <c r="N1918" i="7"/>
  <c r="V1918" i="7"/>
  <c r="AF1919" i="7" l="1"/>
  <c r="AG1919" i="7" s="1"/>
  <c r="AH1919" i="7" s="1"/>
  <c r="T1919" i="7" s="1"/>
  <c r="Q1920" i="7" s="1"/>
  <c r="S1920" i="7" s="1"/>
  <c r="W1918" i="7"/>
  <c r="AB1918" i="7"/>
  <c r="V1919" i="7"/>
  <c r="N1919" i="7"/>
  <c r="Z1917" i="7"/>
  <c r="AF1920" i="7" l="1"/>
  <c r="AG1920" i="7" s="1"/>
  <c r="AH1920" i="7" s="1"/>
  <c r="T1920" i="7" s="1"/>
  <c r="Q1921" i="7" s="1"/>
  <c r="S1921" i="7" s="1"/>
  <c r="W1919" i="7"/>
  <c r="AB1919" i="7"/>
  <c r="Z1918" i="7"/>
  <c r="V1920" i="7"/>
  <c r="N1920" i="7"/>
  <c r="AF1921" i="7" l="1"/>
  <c r="AG1921" i="7" s="1"/>
  <c r="AH1921" i="7" s="1"/>
  <c r="T1921" i="7" s="1"/>
  <c r="Q1922" i="7" s="1"/>
  <c r="S1922" i="7" s="1"/>
  <c r="AB1920" i="7"/>
  <c r="W1920" i="7"/>
  <c r="Z1919" i="7"/>
  <c r="N1921" i="7"/>
  <c r="V1921" i="7"/>
  <c r="AF1922" i="7" l="1"/>
  <c r="AG1922" i="7" s="1"/>
  <c r="AH1922" i="7" s="1"/>
  <c r="T1922" i="7" s="1"/>
  <c r="Q1923" i="7" s="1"/>
  <c r="S1923" i="7" s="1"/>
  <c r="W1921" i="7"/>
  <c r="AB1921" i="7"/>
  <c r="N1922" i="7"/>
  <c r="V1922" i="7"/>
  <c r="Z1920" i="7"/>
  <c r="AF1923" i="7" l="1"/>
  <c r="AG1923" i="7" s="1"/>
  <c r="AH1923" i="7" s="1"/>
  <c r="T1923" i="7" s="1"/>
  <c r="Q1924" i="7" s="1"/>
  <c r="S1924" i="7" s="1"/>
  <c r="Z1921" i="7"/>
  <c r="V1923" i="7"/>
  <c r="N1923" i="7"/>
  <c r="W1922" i="7"/>
  <c r="AB1922" i="7"/>
  <c r="AF1924" i="7" l="1"/>
  <c r="AG1924" i="7" s="1"/>
  <c r="AH1924" i="7" s="1"/>
  <c r="T1924" i="7" s="1"/>
  <c r="Q1925" i="7" s="1"/>
  <c r="S1925" i="7" s="1"/>
  <c r="Z1922" i="7"/>
  <c r="N1924" i="7"/>
  <c r="V1924" i="7"/>
  <c r="AB1923" i="7"/>
  <c r="W1923" i="7"/>
  <c r="AF1925" i="7" l="1"/>
  <c r="AG1925" i="7" s="1"/>
  <c r="AH1925" i="7" s="1"/>
  <c r="T1925" i="7" s="1"/>
  <c r="Q1926" i="7" s="1"/>
  <c r="S1926" i="7" s="1"/>
  <c r="N1925" i="7"/>
  <c r="V1925" i="7"/>
  <c r="AB1924" i="7"/>
  <c r="W1924" i="7"/>
  <c r="Z1923" i="7"/>
  <c r="AF1926" i="7" l="1"/>
  <c r="AG1926" i="7" s="1"/>
  <c r="AH1926" i="7" s="1"/>
  <c r="T1926" i="7" s="1"/>
  <c r="Q1927" i="7" s="1"/>
  <c r="S1927" i="7" s="1"/>
  <c r="Z1924" i="7"/>
  <c r="V1926" i="7"/>
  <c r="N1926" i="7"/>
  <c r="AB1925" i="7"/>
  <c r="W1925" i="7"/>
  <c r="AF1927" i="7" l="1"/>
  <c r="AG1927" i="7" s="1"/>
  <c r="AH1927" i="7" s="1"/>
  <c r="T1927" i="7" s="1"/>
  <c r="Q1928" i="7" s="1"/>
  <c r="S1928" i="7" s="1"/>
  <c r="N1927" i="7"/>
  <c r="V1927" i="7"/>
  <c r="AB1926" i="7"/>
  <c r="W1926" i="7"/>
  <c r="Z1925" i="7"/>
  <c r="AF1928" i="7" l="1"/>
  <c r="AG1928" i="7" s="1"/>
  <c r="AH1928" i="7" s="1"/>
  <c r="T1928" i="7" s="1"/>
  <c r="Q1929" i="7" s="1"/>
  <c r="S1929" i="7" s="1"/>
  <c r="Z1926" i="7"/>
  <c r="W1927" i="7"/>
  <c r="AB1927" i="7"/>
  <c r="N1928" i="7"/>
  <c r="V1928" i="7"/>
  <c r="AF1929" i="7" l="1"/>
  <c r="AG1929" i="7" s="1"/>
  <c r="AH1929" i="7" s="1"/>
  <c r="T1929" i="7" s="1"/>
  <c r="Q1930" i="7" s="1"/>
  <c r="S1930" i="7" s="1"/>
  <c r="AB1928" i="7"/>
  <c r="W1928" i="7"/>
  <c r="Z1927" i="7"/>
  <c r="N1929" i="7"/>
  <c r="V1929" i="7"/>
  <c r="AF1930" i="7" l="1"/>
  <c r="AG1930" i="7" s="1"/>
  <c r="AH1930" i="7" s="1"/>
  <c r="T1930" i="7" s="1"/>
  <c r="Q1931" i="7" s="1"/>
  <c r="S1931" i="7" s="1"/>
  <c r="V1930" i="7"/>
  <c r="N1930" i="7"/>
  <c r="AB1929" i="7"/>
  <c r="W1929" i="7"/>
  <c r="Z1928" i="7"/>
  <c r="AF1931" i="7" l="1"/>
  <c r="AG1931" i="7" s="1"/>
  <c r="AH1931" i="7" s="1"/>
  <c r="T1931" i="7" s="1"/>
  <c r="Q1932" i="7" s="1"/>
  <c r="S1932" i="7" s="1"/>
  <c r="N1931" i="7"/>
  <c r="V1931" i="7"/>
  <c r="Z1929" i="7"/>
  <c r="AB1930" i="7"/>
  <c r="W1930" i="7"/>
  <c r="AF1932" i="7" l="1"/>
  <c r="AG1932" i="7" s="1"/>
  <c r="AH1932" i="7" s="1"/>
  <c r="T1932" i="7" s="1"/>
  <c r="Q1933" i="7" s="1"/>
  <c r="S1933" i="7" s="1"/>
  <c r="Z1930" i="7"/>
  <c r="N1932" i="7"/>
  <c r="V1932" i="7"/>
  <c r="W1931" i="7"/>
  <c r="AB1931" i="7"/>
  <c r="AF1933" i="7" l="1"/>
  <c r="AG1933" i="7" s="1"/>
  <c r="AH1933" i="7" s="1"/>
  <c r="T1933" i="7" s="1"/>
  <c r="Q1934" i="7" s="1"/>
  <c r="S1934" i="7" s="1"/>
  <c r="Z1931" i="7"/>
  <c r="N1933" i="7"/>
  <c r="V1933" i="7"/>
  <c r="W1932" i="7"/>
  <c r="AB1932" i="7"/>
  <c r="AF1934" i="7" l="1"/>
  <c r="AG1934" i="7" s="1"/>
  <c r="AH1934" i="7" s="1"/>
  <c r="T1934" i="7" s="1"/>
  <c r="Q1935" i="7" s="1"/>
  <c r="S1935" i="7" s="1"/>
  <c r="Z1932" i="7"/>
  <c r="W1933" i="7"/>
  <c r="AB1933" i="7"/>
  <c r="V1934" i="7"/>
  <c r="N1934" i="7"/>
  <c r="AF1935" i="7" l="1"/>
  <c r="AG1935" i="7" s="1"/>
  <c r="AH1935" i="7" s="1"/>
  <c r="T1935" i="7" s="1"/>
  <c r="Q1936" i="7" s="1"/>
  <c r="S1936" i="7" s="1"/>
  <c r="Z1933" i="7"/>
  <c r="N1935" i="7"/>
  <c r="V1935" i="7"/>
  <c r="W1934" i="7"/>
  <c r="AB1934" i="7"/>
  <c r="AF1936" i="7" l="1"/>
  <c r="AG1936" i="7" s="1"/>
  <c r="AH1936" i="7" s="1"/>
  <c r="T1936" i="7" s="1"/>
  <c r="Q1937" i="7" s="1"/>
  <c r="S1937" i="7" s="1"/>
  <c r="Z1934" i="7"/>
  <c r="AB1935" i="7"/>
  <c r="W1935" i="7"/>
  <c r="N1936" i="7"/>
  <c r="V1936" i="7"/>
  <c r="AF1937" i="7" l="1"/>
  <c r="AG1937" i="7" s="1"/>
  <c r="AH1937" i="7" s="1"/>
  <c r="T1937" i="7" s="1"/>
  <c r="Q1938" i="7" s="1"/>
  <c r="S1938" i="7" s="1"/>
  <c r="N1937" i="7"/>
  <c r="V1937" i="7"/>
  <c r="AB1936" i="7"/>
  <c r="W1936" i="7"/>
  <c r="Z1935" i="7"/>
  <c r="AF1938" i="7" l="1"/>
  <c r="AG1938" i="7" s="1"/>
  <c r="AH1938" i="7" s="1"/>
  <c r="T1938" i="7" s="1"/>
  <c r="Q1939" i="7" s="1"/>
  <c r="S1939" i="7" s="1"/>
  <c r="Z1936" i="7"/>
  <c r="W1937" i="7"/>
  <c r="AB1937" i="7"/>
  <c r="N1938" i="7"/>
  <c r="V1938" i="7"/>
  <c r="AF1939" i="7" l="1"/>
  <c r="AG1939" i="7" s="1"/>
  <c r="AH1939" i="7" s="1"/>
  <c r="T1939" i="7" s="1"/>
  <c r="Q1940" i="7" s="1"/>
  <c r="S1940" i="7" s="1"/>
  <c r="Z1937" i="7"/>
  <c r="V1939" i="7"/>
  <c r="N1939" i="7"/>
  <c r="W1938" i="7"/>
  <c r="AB1938" i="7"/>
  <c r="AF1940" i="7" l="1"/>
  <c r="AG1940" i="7" s="1"/>
  <c r="AH1940" i="7" s="1"/>
  <c r="T1940" i="7" s="1"/>
  <c r="Q1941" i="7" s="1"/>
  <c r="S1941" i="7" s="1"/>
  <c r="W1939" i="7"/>
  <c r="AB1939" i="7"/>
  <c r="Z1938" i="7"/>
  <c r="N1940" i="7"/>
  <c r="V1940" i="7"/>
  <c r="AF1941" i="7" l="1"/>
  <c r="AG1941" i="7" s="1"/>
  <c r="AH1941" i="7" s="1"/>
  <c r="T1941" i="7" s="1"/>
  <c r="Q1942" i="7" s="1"/>
  <c r="S1942" i="7" s="1"/>
  <c r="AB1940" i="7"/>
  <c r="W1940" i="7"/>
  <c r="V1941" i="7"/>
  <c r="N1941" i="7"/>
  <c r="Z1939" i="7"/>
  <c r="AF1942" i="7" l="1"/>
  <c r="AG1942" i="7" s="1"/>
  <c r="AH1942" i="7" s="1"/>
  <c r="T1942" i="7" s="1"/>
  <c r="Q1943" i="7" s="1"/>
  <c r="S1943" i="7" s="1"/>
  <c r="N1942" i="7"/>
  <c r="V1942" i="7"/>
  <c r="W1941" i="7"/>
  <c r="AB1941" i="7"/>
  <c r="Z1940" i="7"/>
  <c r="AF1943" i="7" l="1"/>
  <c r="AG1943" i="7" s="1"/>
  <c r="AH1943" i="7" s="1"/>
  <c r="T1943" i="7" s="1"/>
  <c r="Q1944" i="7" s="1"/>
  <c r="S1944" i="7" s="1"/>
  <c r="AB1942" i="7"/>
  <c r="W1942" i="7"/>
  <c r="Z1941" i="7"/>
  <c r="V1943" i="7"/>
  <c r="N1943" i="7"/>
  <c r="AF1944" i="7" l="1"/>
  <c r="AG1944" i="7" s="1"/>
  <c r="AH1944" i="7" s="1"/>
  <c r="T1944" i="7" s="1"/>
  <c r="Q1945" i="7" s="1"/>
  <c r="S1945" i="7" s="1"/>
  <c r="V1944" i="7"/>
  <c r="N1944" i="7"/>
  <c r="W1943" i="7"/>
  <c r="AB1943" i="7"/>
  <c r="Z1942" i="7"/>
  <c r="AF1945" i="7" l="1"/>
  <c r="AG1945" i="7" s="1"/>
  <c r="AH1945" i="7" s="1"/>
  <c r="T1945" i="7" s="1"/>
  <c r="Q1946" i="7" s="1"/>
  <c r="S1946" i="7" s="1"/>
  <c r="N1945" i="7"/>
  <c r="V1945" i="7"/>
  <c r="Z1943" i="7"/>
  <c r="W1944" i="7"/>
  <c r="AB1944" i="7"/>
  <c r="AF1946" i="7" l="1"/>
  <c r="AG1946" i="7" s="1"/>
  <c r="AH1946" i="7" s="1"/>
  <c r="T1946" i="7" s="1"/>
  <c r="Q1947" i="7" s="1"/>
  <c r="S1947" i="7" s="1"/>
  <c r="Z1944" i="7"/>
  <c r="N1946" i="7"/>
  <c r="V1946" i="7"/>
  <c r="W1945" i="7"/>
  <c r="AB1945" i="7"/>
  <c r="AF1947" i="7" l="1"/>
  <c r="AG1947" i="7" s="1"/>
  <c r="AH1947" i="7" s="1"/>
  <c r="T1947" i="7" s="1"/>
  <c r="Q1948" i="7" s="1"/>
  <c r="S1948" i="7" s="1"/>
  <c r="Z1945" i="7"/>
  <c r="V1947" i="7"/>
  <c r="N1947" i="7"/>
  <c r="AB1946" i="7"/>
  <c r="W1946" i="7"/>
  <c r="AF1948" i="7" l="1"/>
  <c r="AG1948" i="7" s="1"/>
  <c r="AH1948" i="7" s="1"/>
  <c r="T1948" i="7" s="1"/>
  <c r="Q1949" i="7" s="1"/>
  <c r="S1949" i="7" s="1"/>
  <c r="V1948" i="7"/>
  <c r="N1948" i="7"/>
  <c r="AB1947" i="7"/>
  <c r="W1947" i="7"/>
  <c r="Z1946" i="7"/>
  <c r="AF1949" i="7" l="1"/>
  <c r="AG1949" i="7" s="1"/>
  <c r="AH1949" i="7" s="1"/>
  <c r="T1949" i="7" s="1"/>
  <c r="Q1950" i="7" s="1"/>
  <c r="S1950" i="7" s="1"/>
  <c r="Z1947" i="7"/>
  <c r="N1949" i="7"/>
  <c r="V1949" i="7"/>
  <c r="W1948" i="7"/>
  <c r="AB1948" i="7"/>
  <c r="AF1950" i="7" l="1"/>
  <c r="AG1950" i="7" s="1"/>
  <c r="AH1950" i="7" s="1"/>
  <c r="T1950" i="7" s="1"/>
  <c r="Q1951" i="7" s="1"/>
  <c r="S1951" i="7" s="1"/>
  <c r="N1950" i="7"/>
  <c r="V1950" i="7"/>
  <c r="W1949" i="7"/>
  <c r="AB1949" i="7"/>
  <c r="Z1948" i="7"/>
  <c r="AF1951" i="7" l="1"/>
  <c r="AG1951" i="7" s="1"/>
  <c r="AH1951" i="7" s="1"/>
  <c r="T1951" i="7" s="1"/>
  <c r="Q1952" i="7" s="1"/>
  <c r="S1952" i="7" s="1"/>
  <c r="N1951" i="7"/>
  <c r="V1951" i="7"/>
  <c r="Z1949" i="7"/>
  <c r="AB1950" i="7"/>
  <c r="W1950" i="7"/>
  <c r="AF1952" i="7" l="1"/>
  <c r="AG1952" i="7" s="1"/>
  <c r="AH1952" i="7" s="1"/>
  <c r="T1952" i="7" s="1"/>
  <c r="Q1953" i="7" s="1"/>
  <c r="S1953" i="7" s="1"/>
  <c r="Z1950" i="7"/>
  <c r="W1951" i="7"/>
  <c r="AB1951" i="7"/>
  <c r="V1952" i="7"/>
  <c r="N1952" i="7"/>
  <c r="AF1953" i="7" l="1"/>
  <c r="AG1953" i="7" s="1"/>
  <c r="AH1953" i="7" s="1"/>
  <c r="T1953" i="7" s="1"/>
  <c r="Q1954" i="7" s="1"/>
  <c r="S1954" i="7" s="1"/>
  <c r="Z1951" i="7"/>
  <c r="V1953" i="7"/>
  <c r="N1953" i="7"/>
  <c r="AB1952" i="7"/>
  <c r="W1952" i="7"/>
  <c r="AF1954" i="7" l="1"/>
  <c r="AG1954" i="7" s="1"/>
  <c r="AH1954" i="7" s="1"/>
  <c r="T1954" i="7" s="1"/>
  <c r="Q1955" i="7" s="1"/>
  <c r="S1955" i="7" s="1"/>
  <c r="V1954" i="7"/>
  <c r="N1954" i="7"/>
  <c r="W1953" i="7"/>
  <c r="AB1953" i="7"/>
  <c r="Z1952" i="7"/>
  <c r="AF1955" i="7" l="1"/>
  <c r="AG1955" i="7" s="1"/>
  <c r="AH1955" i="7" s="1"/>
  <c r="T1955" i="7" s="1"/>
  <c r="Q1956" i="7" s="1"/>
  <c r="S1956" i="7" s="1"/>
  <c r="Z1953" i="7"/>
  <c r="W1954" i="7"/>
  <c r="AB1954" i="7"/>
  <c r="V1955" i="7"/>
  <c r="N1955" i="7"/>
  <c r="AF1956" i="7" l="1"/>
  <c r="AG1956" i="7" s="1"/>
  <c r="AH1956" i="7" s="1"/>
  <c r="T1956" i="7" s="1"/>
  <c r="Q1957" i="7" s="1"/>
  <c r="S1957" i="7" s="1"/>
  <c r="AB1955" i="7"/>
  <c r="W1955" i="7"/>
  <c r="Z1954" i="7"/>
  <c r="V1956" i="7"/>
  <c r="N1956" i="7"/>
  <c r="AF1957" i="7" l="1"/>
  <c r="AG1957" i="7" s="1"/>
  <c r="AH1957" i="7" s="1"/>
  <c r="T1957" i="7" s="1"/>
  <c r="Q1958" i="7" s="1"/>
  <c r="S1958" i="7" s="1"/>
  <c r="W1956" i="7"/>
  <c r="AB1956" i="7"/>
  <c r="N1957" i="7"/>
  <c r="V1957" i="7"/>
  <c r="Z1955" i="7"/>
  <c r="AF1958" i="7" l="1"/>
  <c r="AG1958" i="7" s="1"/>
  <c r="AH1958" i="7" s="1"/>
  <c r="T1958" i="7" s="1"/>
  <c r="Q1959" i="7" s="1"/>
  <c r="S1959" i="7" s="1"/>
  <c r="V1958" i="7"/>
  <c r="N1958" i="7"/>
  <c r="Z1956" i="7"/>
  <c r="AB1957" i="7"/>
  <c r="W1957" i="7"/>
  <c r="AF1959" i="7" l="1"/>
  <c r="AG1959" i="7" s="1"/>
  <c r="AH1959" i="7" s="1"/>
  <c r="T1959" i="7" s="1"/>
  <c r="Q1960" i="7" s="1"/>
  <c r="S1960" i="7" s="1"/>
  <c r="Z1957" i="7"/>
  <c r="V1959" i="7"/>
  <c r="N1959" i="7"/>
  <c r="W1958" i="7"/>
  <c r="AB1958" i="7"/>
  <c r="AF1960" i="7" l="1"/>
  <c r="AG1960" i="7" s="1"/>
  <c r="AH1960" i="7" s="1"/>
  <c r="T1960" i="7" s="1"/>
  <c r="Q1961" i="7" s="1"/>
  <c r="S1961" i="7" s="1"/>
  <c r="N1960" i="7"/>
  <c r="V1960" i="7"/>
  <c r="AB1959" i="7"/>
  <c r="W1959" i="7"/>
  <c r="Z1958" i="7"/>
  <c r="AF1961" i="7" l="1"/>
  <c r="AG1961" i="7" s="1"/>
  <c r="AH1961" i="7" s="1"/>
  <c r="T1961" i="7" s="1"/>
  <c r="Q1962" i="7" s="1"/>
  <c r="S1962" i="7" s="1"/>
  <c r="Z1959" i="7"/>
  <c r="W1960" i="7"/>
  <c r="AB1960" i="7"/>
  <c r="N1961" i="7"/>
  <c r="V1961" i="7"/>
  <c r="AF1962" i="7" l="1"/>
  <c r="AG1962" i="7" s="1"/>
  <c r="AH1962" i="7" s="1"/>
  <c r="T1962" i="7" s="1"/>
  <c r="Q1963" i="7" s="1"/>
  <c r="S1963" i="7" s="1"/>
  <c r="N1962" i="7"/>
  <c r="V1962" i="7"/>
  <c r="Z1960" i="7"/>
  <c r="W1961" i="7"/>
  <c r="AB1961" i="7"/>
  <c r="AF1963" i="7" l="1"/>
  <c r="AG1963" i="7" s="1"/>
  <c r="AH1963" i="7" s="1"/>
  <c r="T1963" i="7" s="1"/>
  <c r="Q1964" i="7" s="1"/>
  <c r="S1964" i="7" s="1"/>
  <c r="AB1962" i="7"/>
  <c r="W1962" i="7"/>
  <c r="V1963" i="7"/>
  <c r="N1963" i="7"/>
  <c r="Z1961" i="7"/>
  <c r="AF1964" i="7" l="1"/>
  <c r="AG1964" i="7" s="1"/>
  <c r="AH1964" i="7" s="1"/>
  <c r="T1964" i="7" s="1"/>
  <c r="Q1965" i="7" s="1"/>
  <c r="S1965" i="7" s="1"/>
  <c r="V1964" i="7"/>
  <c r="N1964" i="7"/>
  <c r="W1963" i="7"/>
  <c r="AB1963" i="7"/>
  <c r="Z1962" i="7"/>
  <c r="AF1965" i="7" l="1"/>
  <c r="AG1965" i="7" s="1"/>
  <c r="AH1965" i="7" s="1"/>
  <c r="T1965" i="7" s="1"/>
  <c r="Q1966" i="7" s="1"/>
  <c r="S1966" i="7" s="1"/>
  <c r="Z1963" i="7"/>
  <c r="W1964" i="7"/>
  <c r="AB1964" i="7"/>
  <c r="V1965" i="7"/>
  <c r="N1965" i="7"/>
  <c r="AF1966" i="7" l="1"/>
  <c r="AG1966" i="7" s="1"/>
  <c r="AH1966" i="7" s="1"/>
  <c r="T1966" i="7" s="1"/>
  <c r="Q1967" i="7" s="1"/>
  <c r="S1967" i="7" s="1"/>
  <c r="Z1964" i="7"/>
  <c r="AB1965" i="7"/>
  <c r="W1965" i="7"/>
  <c r="N1966" i="7"/>
  <c r="V1966" i="7"/>
  <c r="AF1967" i="7" l="1"/>
  <c r="AG1967" i="7" s="1"/>
  <c r="AH1967" i="7" s="1"/>
  <c r="T1967" i="7" s="1"/>
  <c r="Q1968" i="7" s="1"/>
  <c r="S1968" i="7" s="1"/>
  <c r="Z1965" i="7"/>
  <c r="V1967" i="7"/>
  <c r="N1967" i="7"/>
  <c r="AB1966" i="7"/>
  <c r="W1966" i="7"/>
  <c r="AF1968" i="7" l="1"/>
  <c r="AG1968" i="7" s="1"/>
  <c r="AH1968" i="7" s="1"/>
  <c r="T1968" i="7" s="1"/>
  <c r="Q1969" i="7" s="1"/>
  <c r="S1969" i="7" s="1"/>
  <c r="Z1966" i="7"/>
  <c r="V1968" i="7"/>
  <c r="N1968" i="7"/>
  <c r="W1967" i="7"/>
  <c r="AB1967" i="7"/>
  <c r="AF1969" i="7" l="1"/>
  <c r="AG1969" i="7" s="1"/>
  <c r="AH1969" i="7" s="1"/>
  <c r="T1969" i="7" s="1"/>
  <c r="Q1970" i="7" s="1"/>
  <c r="S1970" i="7" s="1"/>
  <c r="V1969" i="7"/>
  <c r="N1969" i="7"/>
  <c r="W1968" i="7"/>
  <c r="AB1968" i="7"/>
  <c r="Z1967" i="7"/>
  <c r="AF1970" i="7" l="1"/>
  <c r="AG1970" i="7" s="1"/>
  <c r="AH1970" i="7" s="1"/>
  <c r="T1970" i="7" s="1"/>
  <c r="Q1971" i="7" s="1"/>
  <c r="S1971" i="7" s="1"/>
  <c r="V1970" i="7"/>
  <c r="N1970" i="7"/>
  <c r="Z1968" i="7"/>
  <c r="AB1969" i="7"/>
  <c r="W1969" i="7"/>
  <c r="AF1971" i="7" l="1"/>
  <c r="AG1971" i="7" s="1"/>
  <c r="AH1971" i="7" s="1"/>
  <c r="T1971" i="7" s="1"/>
  <c r="Q1972" i="7" s="1"/>
  <c r="S1972" i="7" s="1"/>
  <c r="Z1969" i="7"/>
  <c r="AB1970" i="7"/>
  <c r="W1970" i="7"/>
  <c r="V1971" i="7"/>
  <c r="N1971" i="7"/>
  <c r="AF1972" i="7" l="1"/>
  <c r="AG1972" i="7" s="1"/>
  <c r="AH1972" i="7" s="1"/>
  <c r="T1972" i="7" s="1"/>
  <c r="Q1973" i="7" s="1"/>
  <c r="S1973" i="7" s="1"/>
  <c r="W1971" i="7"/>
  <c r="AB1971" i="7"/>
  <c r="Z1970" i="7"/>
  <c r="V1972" i="7"/>
  <c r="N1972" i="7"/>
  <c r="AF1973" i="7" l="1"/>
  <c r="AG1973" i="7" s="1"/>
  <c r="AH1973" i="7" s="1"/>
  <c r="T1973" i="7" s="1"/>
  <c r="Q1974" i="7" s="1"/>
  <c r="S1974" i="7" s="1"/>
  <c r="V1973" i="7"/>
  <c r="N1973" i="7"/>
  <c r="Z1971" i="7"/>
  <c r="W1972" i="7"/>
  <c r="AB1972" i="7"/>
  <c r="AF1974" i="7" l="1"/>
  <c r="AG1974" i="7" s="1"/>
  <c r="AH1974" i="7" s="1"/>
  <c r="T1974" i="7" s="1"/>
  <c r="Q1975" i="7" s="1"/>
  <c r="S1975" i="7" s="1"/>
  <c r="N1974" i="7"/>
  <c r="V1974" i="7"/>
  <c r="Z1972" i="7"/>
  <c r="AB1973" i="7"/>
  <c r="W1973" i="7"/>
  <c r="AF1975" i="7" l="1"/>
  <c r="AG1975" i="7" s="1"/>
  <c r="AH1975" i="7" s="1"/>
  <c r="T1975" i="7" s="1"/>
  <c r="Q1976" i="7" s="1"/>
  <c r="S1976" i="7" s="1"/>
  <c r="Z1973" i="7"/>
  <c r="N1975" i="7"/>
  <c r="V1975" i="7"/>
  <c r="AB1974" i="7"/>
  <c r="W1974" i="7"/>
  <c r="AF1976" i="7" l="1"/>
  <c r="AG1976" i="7" s="1"/>
  <c r="AH1976" i="7" s="1"/>
  <c r="T1976" i="7" s="1"/>
  <c r="Q1977" i="7" s="1"/>
  <c r="S1977" i="7" s="1"/>
  <c r="Z1974" i="7"/>
  <c r="AB1975" i="7"/>
  <c r="W1975" i="7"/>
  <c r="V1976" i="7"/>
  <c r="N1976" i="7"/>
  <c r="AF1977" i="7" l="1"/>
  <c r="AG1977" i="7" s="1"/>
  <c r="AH1977" i="7" s="1"/>
  <c r="T1977" i="7" s="1"/>
  <c r="Q1978" i="7" s="1"/>
  <c r="S1978" i="7" s="1"/>
  <c r="W1976" i="7"/>
  <c r="AB1976" i="7"/>
  <c r="N1977" i="7"/>
  <c r="V1977" i="7"/>
  <c r="Z1975" i="7"/>
  <c r="AF1978" i="7" l="1"/>
  <c r="AG1978" i="7" s="1"/>
  <c r="AH1978" i="7" s="1"/>
  <c r="T1978" i="7" s="1"/>
  <c r="Q1979" i="7" s="1"/>
  <c r="S1979" i="7" s="1"/>
  <c r="W1977" i="7"/>
  <c r="AB1977" i="7"/>
  <c r="Z1976" i="7"/>
  <c r="N1978" i="7"/>
  <c r="V1978" i="7"/>
  <c r="AF1979" i="7" l="1"/>
  <c r="AG1979" i="7" s="1"/>
  <c r="AH1979" i="7" s="1"/>
  <c r="T1979" i="7" s="1"/>
  <c r="Q1980" i="7" s="1"/>
  <c r="S1980" i="7" s="1"/>
  <c r="N1979" i="7"/>
  <c r="V1979" i="7"/>
  <c r="W1978" i="7"/>
  <c r="AB1978" i="7"/>
  <c r="Z1977" i="7"/>
  <c r="AF1980" i="7" l="1"/>
  <c r="AG1980" i="7" s="1"/>
  <c r="AH1980" i="7" s="1"/>
  <c r="T1980" i="7" s="1"/>
  <c r="Q1981" i="7" s="1"/>
  <c r="S1981" i="7" s="1"/>
  <c r="AB1979" i="7"/>
  <c r="W1979" i="7"/>
  <c r="N1980" i="7"/>
  <c r="V1980" i="7"/>
  <c r="Z1978" i="7"/>
  <c r="AF1981" i="7" l="1"/>
  <c r="AG1981" i="7" s="1"/>
  <c r="AH1981" i="7" s="1"/>
  <c r="T1981" i="7" s="1"/>
  <c r="Q1982" i="7" s="1"/>
  <c r="S1982" i="7" s="1"/>
  <c r="AF1982" i="7" s="1"/>
  <c r="AG1982" i="7" s="1"/>
  <c r="AH1982" i="7" s="1"/>
  <c r="T1982" i="7" s="1"/>
  <c r="AB1980" i="7"/>
  <c r="W1980" i="7"/>
  <c r="V1981" i="7"/>
  <c r="N1981" i="7"/>
  <c r="Z1979" i="7"/>
  <c r="N1982" i="7" l="1"/>
  <c r="Q1983" i="7"/>
  <c r="S1983" i="7" s="1"/>
  <c r="AF1983" i="7" s="1"/>
  <c r="AG1983" i="7" s="1"/>
  <c r="AH1983" i="7" s="1"/>
  <c r="T1983" i="7" s="1"/>
  <c r="V1982" i="7"/>
  <c r="Z1980" i="7"/>
  <c r="AB1981" i="7"/>
  <c r="W1981" i="7"/>
  <c r="W1982" i="7" l="1"/>
  <c r="AB1982" i="7"/>
  <c r="V1983" i="7"/>
  <c r="Q1984" i="7"/>
  <c r="S1984" i="7" s="1"/>
  <c r="AF1984" i="7" s="1"/>
  <c r="AG1984" i="7" s="1"/>
  <c r="AH1984" i="7" s="1"/>
  <c r="T1984" i="7" s="1"/>
  <c r="N1983" i="7"/>
  <c r="Z1981" i="7"/>
  <c r="W1983" i="7" l="1"/>
  <c r="AB1983" i="7"/>
  <c r="Z1982" i="7"/>
  <c r="V1984" i="7"/>
  <c r="N1984" i="7"/>
  <c r="Q1985" i="7"/>
  <c r="S1985" i="7" s="1"/>
  <c r="AF1985" i="7" s="1"/>
  <c r="AG1985" i="7" s="1"/>
  <c r="AH1985" i="7" s="1"/>
  <c r="T1985" i="7" s="1"/>
  <c r="V1985" i="7" l="1"/>
  <c r="N1985" i="7"/>
  <c r="Q1986" i="7"/>
  <c r="S1986" i="7" s="1"/>
  <c r="AF1986" i="7" s="1"/>
  <c r="AG1986" i="7" s="1"/>
  <c r="AH1986" i="7" s="1"/>
  <c r="T1986" i="7" s="1"/>
  <c r="W1984" i="7"/>
  <c r="AB1984" i="7"/>
  <c r="Z1983" i="7"/>
  <c r="Z1984" i="7" l="1"/>
  <c r="N1986" i="7"/>
  <c r="V1986" i="7"/>
  <c r="Q1987" i="7"/>
  <c r="S1987" i="7" s="1"/>
  <c r="AF1987" i="7" s="1"/>
  <c r="AG1987" i="7" s="1"/>
  <c r="AH1987" i="7" s="1"/>
  <c r="T1987" i="7" s="1"/>
  <c r="AB1985" i="7"/>
  <c r="W1985" i="7"/>
  <c r="AB1986" i="7" l="1"/>
  <c r="W1986" i="7"/>
  <c r="Q1988" i="7"/>
  <c r="S1988" i="7" s="1"/>
  <c r="AF1988" i="7" s="1"/>
  <c r="AG1988" i="7" s="1"/>
  <c r="AH1988" i="7" s="1"/>
  <c r="T1988" i="7" s="1"/>
  <c r="N1987" i="7"/>
  <c r="V1987" i="7"/>
  <c r="Z1985" i="7"/>
  <c r="AB1987" i="7" l="1"/>
  <c r="W1987" i="7"/>
  <c r="V1988" i="7"/>
  <c r="Q1989" i="7"/>
  <c r="S1989" i="7" s="1"/>
  <c r="AF1989" i="7" s="1"/>
  <c r="AG1989" i="7" s="1"/>
  <c r="AH1989" i="7" s="1"/>
  <c r="T1989" i="7" s="1"/>
  <c r="N1988" i="7"/>
  <c r="Z1986" i="7"/>
  <c r="Z1987" i="7" l="1"/>
  <c r="Q1990" i="7"/>
  <c r="S1990" i="7" s="1"/>
  <c r="AF1990" i="7" s="1"/>
  <c r="AG1990" i="7" s="1"/>
  <c r="AH1990" i="7" s="1"/>
  <c r="T1990" i="7" s="1"/>
  <c r="V1989" i="7"/>
  <c r="N1989" i="7"/>
  <c r="AB1988" i="7"/>
  <c r="W1988" i="7"/>
  <c r="Z1988" i="7" l="1"/>
  <c r="AB1989" i="7"/>
  <c r="W1989" i="7"/>
  <c r="N1990" i="7"/>
  <c r="Q1991" i="7"/>
  <c r="S1991" i="7" s="1"/>
  <c r="AF1991" i="7" s="1"/>
  <c r="AG1991" i="7" s="1"/>
  <c r="AH1991" i="7" s="1"/>
  <c r="T1991" i="7" s="1"/>
  <c r="V1990" i="7"/>
  <c r="Z1989" i="7" l="1"/>
  <c r="V1991" i="7"/>
  <c r="N1991" i="7"/>
  <c r="Q1992" i="7"/>
  <c r="S1992" i="7" s="1"/>
  <c r="AF1992" i="7" s="1"/>
  <c r="AG1992" i="7" s="1"/>
  <c r="AH1992" i="7" s="1"/>
  <c r="T1992" i="7" s="1"/>
  <c r="AB1990" i="7"/>
  <c r="W1990" i="7"/>
  <c r="Z1990" i="7" l="1"/>
  <c r="N1992" i="7"/>
  <c r="V1992" i="7"/>
  <c r="Q1993" i="7"/>
  <c r="S1993" i="7" s="1"/>
  <c r="AF1993" i="7" s="1"/>
  <c r="AG1993" i="7" s="1"/>
  <c r="AH1993" i="7" s="1"/>
  <c r="T1993" i="7" s="1"/>
  <c r="W1991" i="7"/>
  <c r="AB1991" i="7"/>
  <c r="AB1992" i="7" l="1"/>
  <c r="W1992" i="7"/>
  <c r="N1993" i="7"/>
  <c r="Q1994" i="7"/>
  <c r="S1994" i="7" s="1"/>
  <c r="V1993" i="7"/>
  <c r="Z1991" i="7"/>
  <c r="AB1993" i="7" l="1"/>
  <c r="W1993" i="7"/>
  <c r="Z1992" i="7"/>
  <c r="Q1995" i="7"/>
  <c r="S1995" i="7" s="1"/>
  <c r="AF1995" i="7" s="1"/>
  <c r="AG1995" i="7" s="1"/>
  <c r="AH1995" i="7" s="1"/>
  <c r="T1995" i="7" s="1"/>
  <c r="V1994" i="7"/>
  <c r="N1994" i="7"/>
  <c r="W1994" i="7" l="1"/>
  <c r="AB1994" i="7"/>
  <c r="Q1996" i="7"/>
  <c r="S1996" i="7" s="1"/>
  <c r="AF1996" i="7" s="1"/>
  <c r="AG1996" i="7" s="1"/>
  <c r="AH1996" i="7" s="1"/>
  <c r="T1996" i="7" s="1"/>
  <c r="V1995" i="7"/>
  <c r="N1995" i="7"/>
  <c r="Z1993" i="7"/>
  <c r="V1996" i="7" l="1"/>
  <c r="N1996" i="7"/>
  <c r="Q1997" i="7"/>
  <c r="S1997" i="7" s="1"/>
  <c r="AF1997" i="7" s="1"/>
  <c r="AG1997" i="7" s="1"/>
  <c r="AH1997" i="7" s="1"/>
  <c r="T1997" i="7" s="1"/>
  <c r="Z1994" i="7"/>
  <c r="AB1995" i="7"/>
  <c r="W1995" i="7"/>
  <c r="Z1995" i="7" l="1"/>
  <c r="N1997" i="7"/>
  <c r="V1997" i="7"/>
  <c r="Q1998" i="7"/>
  <c r="S1998" i="7" s="1"/>
  <c r="AF1998" i="7" s="1"/>
  <c r="AG1998" i="7" s="1"/>
  <c r="AH1998" i="7" s="1"/>
  <c r="T1998" i="7" s="1"/>
  <c r="AB1996" i="7"/>
  <c r="W1996" i="7"/>
  <c r="W1997" i="7" l="1"/>
  <c r="AB1997" i="7"/>
  <c r="Z1996" i="7"/>
  <c r="V1998" i="7"/>
  <c r="Q1999" i="7"/>
  <c r="S1999" i="7" s="1"/>
  <c r="AF1999" i="7" s="1"/>
  <c r="AG1999" i="7" s="1"/>
  <c r="AH1999" i="7" s="1"/>
  <c r="T1999" i="7" s="1"/>
  <c r="N1998" i="7"/>
  <c r="W1998" i="7" l="1"/>
  <c r="AB1998" i="7"/>
  <c r="N1999" i="7"/>
  <c r="V1999" i="7"/>
  <c r="Q2000" i="7"/>
  <c r="S2000" i="7" s="1"/>
  <c r="AF2000" i="7" s="1"/>
  <c r="AG2000" i="7" s="1"/>
  <c r="AH2000" i="7" s="1"/>
  <c r="T2000" i="7" s="1"/>
  <c r="Z1997" i="7"/>
  <c r="Q2001" i="7" l="1"/>
  <c r="S2001" i="7" s="1"/>
  <c r="AF2001" i="7" s="1"/>
  <c r="AG2001" i="7" s="1"/>
  <c r="AH2001" i="7" s="1"/>
  <c r="T2001" i="7" s="1"/>
  <c r="V2000" i="7"/>
  <c r="N2000" i="7"/>
  <c r="Z1998" i="7"/>
  <c r="AB1999" i="7"/>
  <c r="W1999" i="7"/>
  <c r="Z1999" i="7" l="1"/>
  <c r="AB2000" i="7"/>
  <c r="W2000" i="7"/>
  <c r="V2001" i="7"/>
  <c r="Q2002" i="7"/>
  <c r="S2002" i="7" s="1"/>
  <c r="AF2002" i="7" s="1"/>
  <c r="AG2002" i="7" s="1"/>
  <c r="AH2002" i="7" s="1"/>
  <c r="T2002" i="7" s="1"/>
  <c r="N2001" i="7"/>
  <c r="AB2001" i="7" l="1"/>
  <c r="W2001" i="7"/>
  <c r="V2002" i="7"/>
  <c r="Q2003" i="7"/>
  <c r="S2003" i="7" s="1"/>
  <c r="AF2003" i="7" s="1"/>
  <c r="AG2003" i="7" s="1"/>
  <c r="AH2003" i="7" s="1"/>
  <c r="T2003" i="7" s="1"/>
  <c r="N2002" i="7"/>
  <c r="Z2000" i="7"/>
  <c r="V2003" i="7" l="1"/>
  <c r="N2003" i="7"/>
  <c r="Q2004" i="7"/>
  <c r="S2004" i="7" s="1"/>
  <c r="AF2004" i="7" s="1"/>
  <c r="AG2004" i="7" s="1"/>
  <c r="AH2004" i="7" s="1"/>
  <c r="T2004" i="7" s="1"/>
  <c r="W2002" i="7"/>
  <c r="AB2002" i="7"/>
  <c r="Z2001" i="7"/>
  <c r="Z2002" i="7" l="1"/>
  <c r="Q2005" i="7"/>
  <c r="S2005" i="7" s="1"/>
  <c r="AF2005" i="7" s="1"/>
  <c r="AG2005" i="7" s="1"/>
  <c r="AH2005" i="7" s="1"/>
  <c r="T2005" i="7" s="1"/>
  <c r="V2004" i="7"/>
  <c r="N2004" i="7"/>
  <c r="AB2003" i="7"/>
  <c r="W2003" i="7"/>
  <c r="W2004" i="7" l="1"/>
  <c r="AB2004" i="7"/>
  <c r="Q2006" i="7"/>
  <c r="S2006" i="7" s="1"/>
  <c r="AF2006" i="7" s="1"/>
  <c r="AG2006" i="7" s="1"/>
  <c r="AH2006" i="7" s="1"/>
  <c r="T2006" i="7" s="1"/>
  <c r="N2005" i="7"/>
  <c r="V2005" i="7"/>
  <c r="Z2003" i="7"/>
  <c r="V2006" i="7" l="1"/>
  <c r="Q2007" i="7"/>
  <c r="S2007" i="7" s="1"/>
  <c r="AF2007" i="7" s="1"/>
  <c r="AG2007" i="7" s="1"/>
  <c r="AH2007" i="7" s="1"/>
  <c r="T2007" i="7" s="1"/>
  <c r="N2006" i="7"/>
  <c r="AB2005" i="7"/>
  <c r="W2005" i="7"/>
  <c r="Z2004" i="7"/>
  <c r="N2007" i="7" l="1"/>
  <c r="V2007" i="7"/>
  <c r="Q2008" i="7"/>
  <c r="S2008" i="7" s="1"/>
  <c r="AF2008" i="7" s="1"/>
  <c r="AG2008" i="7" s="1"/>
  <c r="AH2008" i="7" s="1"/>
  <c r="T2008" i="7" s="1"/>
  <c r="Z2005" i="7"/>
  <c r="W2006" i="7"/>
  <c r="AB2006" i="7"/>
  <c r="Q2009" i="7" l="1"/>
  <c r="S2009" i="7" s="1"/>
  <c r="AF2009" i="7" s="1"/>
  <c r="AG2009" i="7" s="1"/>
  <c r="AH2009" i="7" s="1"/>
  <c r="T2009" i="7" s="1"/>
  <c r="V2008" i="7"/>
  <c r="N2008" i="7"/>
  <c r="AB2007" i="7"/>
  <c r="W2007" i="7"/>
  <c r="Z2006" i="7"/>
  <c r="W2008" i="7" l="1"/>
  <c r="AB2008" i="7"/>
  <c r="V2009" i="7"/>
  <c r="Q2010" i="7"/>
  <c r="S2010" i="7" s="1"/>
  <c r="AF2010" i="7" s="1"/>
  <c r="AG2010" i="7" s="1"/>
  <c r="AH2010" i="7" s="1"/>
  <c r="T2010" i="7" s="1"/>
  <c r="N2009" i="7"/>
  <c r="Z2007" i="7"/>
  <c r="AB2009" i="7" l="1"/>
  <c r="W2009" i="7"/>
  <c r="Q2011" i="7"/>
  <c r="S2011" i="7" s="1"/>
  <c r="AF2011" i="7" s="1"/>
  <c r="AG2011" i="7" s="1"/>
  <c r="AH2011" i="7" s="1"/>
  <c r="T2011" i="7" s="1"/>
  <c r="V2010" i="7"/>
  <c r="N2010" i="7"/>
  <c r="Z2008" i="7"/>
  <c r="Q2012" i="7" l="1"/>
  <c r="S2012" i="7" s="1"/>
  <c r="AF2012" i="7" s="1"/>
  <c r="AG2012" i="7" s="1"/>
  <c r="AH2012" i="7" s="1"/>
  <c r="T2012" i="7" s="1"/>
  <c r="N2011" i="7"/>
  <c r="V2011" i="7"/>
  <c r="W2010" i="7"/>
  <c r="AB2010" i="7"/>
  <c r="Z2009" i="7"/>
  <c r="AB2011" i="7" l="1"/>
  <c r="W2011" i="7"/>
  <c r="Z2010" i="7"/>
  <c r="V2012" i="7"/>
  <c r="N2012" i="7"/>
  <c r="Q2013" i="7"/>
  <c r="S2013" i="7" s="1"/>
  <c r="AF2013" i="7" s="1"/>
  <c r="AG2013" i="7" s="1"/>
  <c r="AH2013" i="7" s="1"/>
  <c r="T2013" i="7" s="1"/>
  <c r="W2012" i="7" l="1"/>
  <c r="AB2012" i="7"/>
  <c r="Z2011" i="7"/>
  <c r="V2013" i="7"/>
  <c r="Q2014" i="7"/>
  <c r="S2014" i="7" s="1"/>
  <c r="AF2014" i="7" s="1"/>
  <c r="AG2014" i="7" s="1"/>
  <c r="AH2014" i="7" s="1"/>
  <c r="T2014" i="7" s="1"/>
  <c r="N2013" i="7"/>
  <c r="N2014" i="7" l="1"/>
  <c r="V2014" i="7"/>
  <c r="Q2015" i="7"/>
  <c r="S2015" i="7" s="1"/>
  <c r="AF2015" i="7" s="1"/>
  <c r="AG2015" i="7" s="1"/>
  <c r="AH2015" i="7" s="1"/>
  <c r="T2015" i="7" s="1"/>
  <c r="Z2012" i="7"/>
  <c r="W2013" i="7"/>
  <c r="AB2013" i="7"/>
  <c r="V2015" i="7" l="1"/>
  <c r="Q2016" i="7"/>
  <c r="S2016" i="7" s="1"/>
  <c r="AF2016" i="7" s="1"/>
  <c r="AG2016" i="7" s="1"/>
  <c r="AH2016" i="7" s="1"/>
  <c r="T2016" i="7" s="1"/>
  <c r="N2015" i="7"/>
  <c r="AB2014" i="7"/>
  <c r="W2014" i="7"/>
  <c r="Z2013" i="7"/>
  <c r="Z2014" i="7" l="1"/>
  <c r="Q2017" i="7"/>
  <c r="S2017" i="7" s="1"/>
  <c r="AF2017" i="7" s="1"/>
  <c r="AG2017" i="7" s="1"/>
  <c r="AH2017" i="7" s="1"/>
  <c r="T2017" i="7" s="1"/>
  <c r="N2016" i="7"/>
  <c r="V2016" i="7"/>
  <c r="AB2015" i="7"/>
  <c r="W2015" i="7"/>
  <c r="N2017" i="7" l="1"/>
  <c r="Q2018" i="7"/>
  <c r="S2018" i="7" s="1"/>
  <c r="AF2018" i="7" s="1"/>
  <c r="AG2018" i="7" s="1"/>
  <c r="AH2018" i="7" s="1"/>
  <c r="T2018" i="7" s="1"/>
  <c r="V2017" i="7"/>
  <c r="AB2016" i="7"/>
  <c r="W2016" i="7"/>
  <c r="Z2015" i="7"/>
  <c r="Z2016" i="7" l="1"/>
  <c r="W2017" i="7"/>
  <c r="AB2017" i="7"/>
  <c r="V2018" i="7"/>
  <c r="Q2019" i="7"/>
  <c r="S2019" i="7" s="1"/>
  <c r="AF2019" i="7" s="1"/>
  <c r="AG2019" i="7" s="1"/>
  <c r="AH2019" i="7" s="1"/>
  <c r="T2019" i="7" s="1"/>
  <c r="N2018" i="7"/>
  <c r="AB2018" i="7" l="1"/>
  <c r="W2018" i="7"/>
  <c r="V2019" i="7"/>
  <c r="Q2020" i="7"/>
  <c r="S2020" i="7" s="1"/>
  <c r="AF2020" i="7" s="1"/>
  <c r="AG2020" i="7" s="1"/>
  <c r="AH2020" i="7" s="1"/>
  <c r="T2020" i="7" s="1"/>
  <c r="N2019" i="7"/>
  <c r="Z2017" i="7"/>
  <c r="Q2021" i="7" l="1"/>
  <c r="S2021" i="7" s="1"/>
  <c r="AF2021" i="7" s="1"/>
  <c r="AG2021" i="7" s="1"/>
  <c r="AH2021" i="7" s="1"/>
  <c r="T2021" i="7" s="1"/>
  <c r="N2020" i="7"/>
  <c r="V2020" i="7"/>
  <c r="W2019" i="7"/>
  <c r="AB2019" i="7"/>
  <c r="Z2018" i="7"/>
  <c r="Z2019" i="7" l="1"/>
  <c r="Q2022" i="7"/>
  <c r="S2022" i="7" s="1"/>
  <c r="N2021" i="7"/>
  <c r="V2021" i="7"/>
  <c r="AB2020" i="7"/>
  <c r="W2020" i="7"/>
  <c r="W2021" i="7" l="1"/>
  <c r="AB2021" i="7"/>
  <c r="Z2020" i="7"/>
  <c r="V2022" i="7"/>
  <c r="N2022" i="7"/>
  <c r="Q2023" i="7"/>
  <c r="S2023" i="7" s="1"/>
  <c r="Q2024" i="7" l="1"/>
  <c r="S2024" i="7" s="1"/>
  <c r="N2023" i="7"/>
  <c r="V2023" i="7"/>
  <c r="W2022" i="7"/>
  <c r="AB2022" i="7"/>
  <c r="Z2021" i="7"/>
  <c r="Z2022" i="7" l="1"/>
  <c r="V2024" i="7"/>
  <c r="N2024" i="7"/>
  <c r="Q2025" i="7"/>
  <c r="S2025" i="7" s="1"/>
  <c r="AB2023" i="7"/>
  <c r="W2023" i="7"/>
  <c r="Z2023" i="7" l="1"/>
  <c r="AB2024" i="7"/>
  <c r="W2024" i="7"/>
  <c r="Q2026" i="7"/>
  <c r="S2026" i="7" s="1"/>
  <c r="V2025" i="7"/>
  <c r="N2025" i="7"/>
  <c r="AB2025" i="7" l="1"/>
  <c r="W2025" i="7"/>
  <c r="Z2024" i="7"/>
  <c r="V2026" i="7"/>
  <c r="Q2027" i="7"/>
  <c r="S2027" i="7" s="1"/>
  <c r="N2026" i="7"/>
  <c r="W2026" i="7" l="1"/>
  <c r="AB2026" i="7"/>
  <c r="N2027" i="7"/>
  <c r="Q2028" i="7"/>
  <c r="S2028" i="7" s="1"/>
  <c r="V2027" i="7"/>
  <c r="Z2025" i="7"/>
  <c r="AB2027" i="7" l="1"/>
  <c r="W2027" i="7"/>
  <c r="Z2026" i="7"/>
  <c r="N2028" i="7"/>
  <c r="Q2029" i="7"/>
  <c r="S2029" i="7" s="1"/>
  <c r="V2028" i="7"/>
  <c r="N2029" i="7" l="1"/>
  <c r="Q2030" i="7"/>
  <c r="S2030" i="7" s="1"/>
  <c r="V2029" i="7"/>
  <c r="W2028" i="7"/>
  <c r="AB2028" i="7"/>
  <c r="Z2027" i="7"/>
  <c r="Z2028" i="7" l="1"/>
  <c r="AB2029" i="7"/>
  <c r="W2029" i="7"/>
  <c r="Q2031" i="7"/>
  <c r="S2031" i="7" s="1"/>
  <c r="N2030" i="7"/>
  <c r="V2030" i="7"/>
  <c r="Z2029" i="7" l="1"/>
  <c r="V2031" i="7"/>
  <c r="Q2032" i="7"/>
  <c r="S2032" i="7" s="1"/>
  <c r="N2031" i="7"/>
  <c r="W2030" i="7"/>
  <c r="AB2030" i="7"/>
  <c r="Q2033" i="7" l="1"/>
  <c r="S2033" i="7" s="1"/>
  <c r="V2032" i="7"/>
  <c r="N2032" i="7"/>
  <c r="W2031" i="7"/>
  <c r="AB2031" i="7"/>
  <c r="Z2030" i="7"/>
  <c r="Z2031" i="7" l="1"/>
  <c r="W2032" i="7"/>
  <c r="AB2032" i="7"/>
  <c r="N2033" i="7"/>
  <c r="Q2034" i="7"/>
  <c r="S2034" i="7" s="1"/>
  <c r="V2033" i="7"/>
  <c r="Z2032" i="7" l="1"/>
  <c r="Q2035" i="7"/>
  <c r="S2035" i="7" s="1"/>
  <c r="N2034" i="7"/>
  <c r="V2034" i="7"/>
  <c r="W2033" i="7"/>
  <c r="AB2033" i="7"/>
  <c r="Q2036" i="7" l="1"/>
  <c r="S2036" i="7" s="1"/>
  <c r="V2035" i="7"/>
  <c r="N2035" i="7"/>
  <c r="Z2033" i="7"/>
  <c r="AB2034" i="7"/>
  <c r="W2034" i="7"/>
  <c r="Z2034" i="7" l="1"/>
  <c r="W2035" i="7"/>
  <c r="AB2035" i="7"/>
  <c r="V2036" i="7"/>
  <c r="Q2037" i="7"/>
  <c r="S2037" i="7" s="1"/>
  <c r="N2036" i="7"/>
  <c r="W2036" i="7" l="1"/>
  <c r="AB2036" i="7"/>
  <c r="Z2035" i="7"/>
  <c r="Q2038" i="7"/>
  <c r="S2038" i="7" s="1"/>
  <c r="V2037" i="7"/>
  <c r="N2037" i="7"/>
  <c r="N2038" i="7" l="1"/>
  <c r="Q2039" i="7"/>
  <c r="S2039" i="7" s="1"/>
  <c r="V2038" i="7"/>
  <c r="Z2036" i="7"/>
  <c r="AB2037" i="7"/>
  <c r="W2037" i="7"/>
  <c r="Z2037" i="7" l="1"/>
  <c r="W2038" i="7"/>
  <c r="AB2038" i="7"/>
  <c r="N2039" i="7"/>
  <c r="V2039" i="7"/>
  <c r="Q2040" i="7"/>
  <c r="S2040" i="7" s="1"/>
  <c r="Z2038" i="7" l="1"/>
  <c r="Q2041" i="7"/>
  <c r="S2041" i="7" s="1"/>
  <c r="N2040" i="7"/>
  <c r="V2040" i="7"/>
  <c r="W2039" i="7"/>
  <c r="AB2039" i="7"/>
  <c r="W2040" i="7" l="1"/>
  <c r="AB2040" i="7"/>
  <c r="N2041" i="7"/>
  <c r="V2041" i="7"/>
  <c r="Q2042" i="7"/>
  <c r="S2042" i="7" s="1"/>
  <c r="Z2039" i="7"/>
  <c r="Q2043" i="7" l="1"/>
  <c r="S2043" i="7" s="1"/>
  <c r="N2042" i="7"/>
  <c r="V2042" i="7"/>
  <c r="AB2041" i="7"/>
  <c r="W2041" i="7"/>
  <c r="Z2040" i="7"/>
  <c r="AB2042" i="7" l="1"/>
  <c r="W2042" i="7"/>
  <c r="Z2041" i="7"/>
  <c r="N2043" i="7"/>
  <c r="Q2044" i="7"/>
  <c r="S2044" i="7" s="1"/>
  <c r="V2043" i="7"/>
  <c r="Q2045" i="7" l="1"/>
  <c r="S2045" i="7" s="1"/>
  <c r="N2044" i="7"/>
  <c r="V2044" i="7"/>
  <c r="AB2043" i="7"/>
  <c r="W2043" i="7"/>
  <c r="Z2042" i="7"/>
  <c r="W2044" i="7" l="1"/>
  <c r="AB2044" i="7"/>
  <c r="Z2043" i="7"/>
  <c r="Q2046" i="7"/>
  <c r="S2046" i="7" s="1"/>
  <c r="N2045" i="7"/>
  <c r="V2045" i="7"/>
  <c r="Q2047" i="7" l="1"/>
  <c r="S2047" i="7" s="1"/>
  <c r="N2046" i="7"/>
  <c r="V2046" i="7"/>
  <c r="Z2044" i="7"/>
  <c r="W2045" i="7"/>
  <c r="AB2045" i="7"/>
  <c r="AB2046" i="7" l="1"/>
  <c r="W2046" i="7"/>
  <c r="Z2045" i="7"/>
  <c r="Q2048" i="7"/>
  <c r="S2048" i="7" s="1"/>
  <c r="N2047" i="7"/>
  <c r="V2047" i="7"/>
  <c r="Q2049" i="7" l="1"/>
  <c r="S2049" i="7" s="1"/>
  <c r="N2048" i="7"/>
  <c r="V2048" i="7"/>
  <c r="AB2047" i="7"/>
  <c r="W2047" i="7"/>
  <c r="Z2046" i="7"/>
  <c r="AB2048" i="7" l="1"/>
  <c r="W2048" i="7"/>
  <c r="Z2047" i="7"/>
  <c r="V2049" i="7"/>
  <c r="Q2050" i="7"/>
  <c r="S2050" i="7" s="1"/>
  <c r="N2049" i="7"/>
  <c r="N2050" i="7" l="1"/>
  <c r="V2050" i="7"/>
  <c r="Q2051" i="7"/>
  <c r="S2051" i="7" s="1"/>
  <c r="W2049" i="7"/>
  <c r="AB2049" i="7"/>
  <c r="Z2048" i="7"/>
  <c r="Z2049" i="7" l="1"/>
  <c r="V2051" i="7"/>
  <c r="Q2052" i="7"/>
  <c r="S2052" i="7" s="1"/>
  <c r="N2051" i="7"/>
  <c r="AB2050" i="7"/>
  <c r="W2050" i="7"/>
  <c r="W2051" i="7" l="1"/>
  <c r="AB2051" i="7"/>
  <c r="Z2050" i="7"/>
  <c r="V2052" i="7"/>
  <c r="N2052" i="7"/>
  <c r="Q2053" i="7"/>
  <c r="S2053" i="7" s="1"/>
  <c r="N2053" i="7" l="1"/>
  <c r="Q2054" i="7"/>
  <c r="S2054" i="7" s="1"/>
  <c r="V2053" i="7"/>
  <c r="W2052" i="7"/>
  <c r="AB2052" i="7"/>
  <c r="Z2051" i="7"/>
  <c r="Z2052" i="7" l="1"/>
  <c r="W2053" i="7"/>
  <c r="AB2053" i="7"/>
  <c r="N2054" i="7"/>
  <c r="V2054" i="7"/>
  <c r="Q2055" i="7"/>
  <c r="S2055" i="7" s="1"/>
  <c r="Z2053" i="7" l="1"/>
  <c r="AB2054" i="7"/>
  <c r="W2054" i="7"/>
  <c r="N2055" i="7"/>
  <c r="V2055" i="7"/>
  <c r="Q2056" i="7"/>
  <c r="S2056" i="7" s="1"/>
  <c r="Z2054" i="7" l="1"/>
  <c r="AB2055" i="7"/>
  <c r="W2055" i="7"/>
  <c r="Q2057" i="7"/>
  <c r="S2057" i="7" s="1"/>
  <c r="V2056" i="7"/>
  <c r="N2056" i="7"/>
  <c r="W2056" i="7" l="1"/>
  <c r="AB2056" i="7"/>
  <c r="V2057" i="7"/>
  <c r="Q2058" i="7"/>
  <c r="S2058" i="7" s="1"/>
  <c r="N2057" i="7"/>
  <c r="Z2055" i="7"/>
  <c r="N2058" i="7" l="1"/>
  <c r="Q2059" i="7"/>
  <c r="S2059" i="7" s="1"/>
  <c r="V2058" i="7"/>
  <c r="Z2056" i="7"/>
  <c r="W2057" i="7"/>
  <c r="AB2057" i="7"/>
  <c r="W2058" i="7" l="1"/>
  <c r="AB2058" i="7"/>
  <c r="Z2057" i="7"/>
  <c r="Q2060" i="7"/>
  <c r="S2060" i="7" s="1"/>
  <c r="V2059" i="7"/>
  <c r="N2059" i="7"/>
  <c r="AB2059" i="7" l="1"/>
  <c r="W2059" i="7"/>
  <c r="N2060" i="7"/>
  <c r="V2060" i="7"/>
  <c r="Q2061" i="7"/>
  <c r="S2061" i="7" s="1"/>
  <c r="Z2058" i="7"/>
  <c r="Q2062" i="7" l="1"/>
  <c r="S2062" i="7" s="1"/>
  <c r="V2061" i="7"/>
  <c r="N2061" i="7"/>
  <c r="AB2060" i="7"/>
  <c r="W2060" i="7"/>
  <c r="Z2059" i="7"/>
  <c r="AG2062" i="7" l="1"/>
  <c r="AH2062" i="7" s="1"/>
  <c r="T2062" i="7" s="1"/>
  <c r="Z2060" i="7"/>
  <c r="W2061" i="7"/>
  <c r="AB2061" i="7"/>
  <c r="N2062" i="7"/>
  <c r="Q2063" i="7"/>
  <c r="S2063" i="7" s="1"/>
  <c r="V2062" i="7"/>
  <c r="AG2063" i="7" l="1"/>
  <c r="AH2063" i="7" s="1"/>
  <c r="T2063" i="7" s="1"/>
  <c r="AB2062" i="7"/>
  <c r="W2062" i="7"/>
  <c r="Q2064" i="7"/>
  <c r="S2064" i="7" s="1"/>
  <c r="V2063" i="7"/>
  <c r="N2063" i="7"/>
  <c r="Z2061" i="7"/>
  <c r="AG2064" i="7" l="1"/>
  <c r="AH2064" i="7" s="1"/>
  <c r="T2064" i="7" s="1"/>
  <c r="AB2063" i="7"/>
  <c r="W2063" i="7"/>
  <c r="N2064" i="7"/>
  <c r="V2064" i="7"/>
  <c r="Q2065" i="7"/>
  <c r="S2065" i="7" s="1"/>
  <c r="Z2062" i="7"/>
  <c r="AG2065" i="7" l="1"/>
  <c r="AH2065" i="7" s="1"/>
  <c r="T2065" i="7" s="1"/>
  <c r="AB2064" i="7"/>
  <c r="W2064" i="7"/>
  <c r="V2065" i="7"/>
  <c r="Q2066" i="7"/>
  <c r="S2066" i="7" s="1"/>
  <c r="N2065" i="7"/>
  <c r="Z2063" i="7"/>
  <c r="AG2066" i="7" l="1"/>
  <c r="AH2066" i="7" s="1"/>
  <c r="T2066" i="7" s="1"/>
  <c r="V2066" i="7"/>
  <c r="Q2067" i="7"/>
  <c r="S2067" i="7" s="1"/>
  <c r="N2066" i="7"/>
  <c r="AB2065" i="7"/>
  <c r="W2065" i="7"/>
  <c r="Z2064" i="7"/>
  <c r="AG2067" i="7" l="1"/>
  <c r="AH2067" i="7" s="1"/>
  <c r="T2067" i="7" s="1"/>
  <c r="N2067" i="7"/>
  <c r="V2067" i="7"/>
  <c r="Q2068" i="7"/>
  <c r="S2068" i="7" s="1"/>
  <c r="Z2065" i="7"/>
  <c r="W2066" i="7"/>
  <c r="AB2066" i="7"/>
  <c r="AG2068" i="7" l="1"/>
  <c r="AH2068" i="7" s="1"/>
  <c r="T2068" i="7" s="1"/>
  <c r="Q2069" i="7"/>
  <c r="S2069" i="7" s="1"/>
  <c r="N2068" i="7"/>
  <c r="V2068" i="7"/>
  <c r="W2067" i="7"/>
  <c r="AB2067" i="7"/>
  <c r="Z2066" i="7"/>
  <c r="AG2069" i="7" l="1"/>
  <c r="AH2069" i="7" s="1"/>
  <c r="T2069" i="7" s="1"/>
  <c r="Z2067" i="7"/>
  <c r="AB2068" i="7"/>
  <c r="W2068" i="7"/>
  <c r="Q2070" i="7"/>
  <c r="S2070" i="7" s="1"/>
  <c r="N2069" i="7"/>
  <c r="V2069" i="7"/>
  <c r="AG2070" i="7" l="1"/>
  <c r="AH2070" i="7" s="1"/>
  <c r="T2070" i="7" s="1"/>
  <c r="Z2068" i="7"/>
  <c r="N2070" i="7"/>
  <c r="V2070" i="7"/>
  <c r="Q2071" i="7"/>
  <c r="S2071" i="7" s="1"/>
  <c r="W2069" i="7"/>
  <c r="AB2069" i="7"/>
  <c r="AG2071" i="7" l="1"/>
  <c r="AH2071" i="7" s="1"/>
  <c r="T2071" i="7" s="1"/>
  <c r="W2070" i="7"/>
  <c r="AB2070" i="7"/>
  <c r="N2071" i="7"/>
  <c r="Q2072" i="7"/>
  <c r="S2072" i="7" s="1"/>
  <c r="V2071" i="7"/>
  <c r="Z2069" i="7"/>
  <c r="AG2072" i="7" l="1"/>
  <c r="AH2072" i="7" s="1"/>
  <c r="T2072" i="7" s="1"/>
  <c r="Q2073" i="7"/>
  <c r="S2073" i="7" s="1"/>
  <c r="V2072" i="7"/>
  <c r="N2072" i="7"/>
  <c r="Z2070" i="7"/>
  <c r="AB2071" i="7"/>
  <c r="W2071" i="7"/>
  <c r="AG2073" i="7" l="1"/>
  <c r="AH2073" i="7" s="1"/>
  <c r="T2073" i="7" s="1"/>
  <c r="Z2071" i="7"/>
  <c r="AB2072" i="7"/>
  <c r="W2072" i="7"/>
  <c r="N2073" i="7"/>
  <c r="V2073" i="7"/>
  <c r="Q2074" i="7"/>
  <c r="S2074" i="7" s="1"/>
  <c r="AG2074" i="7" l="1"/>
  <c r="AH2074" i="7" s="1"/>
  <c r="T2074" i="7" s="1"/>
  <c r="W2073" i="7"/>
  <c r="AB2073" i="7"/>
  <c r="Z2072" i="7"/>
  <c r="Q2075" i="7"/>
  <c r="S2075" i="7" s="1"/>
  <c r="V2074" i="7"/>
  <c r="N2074" i="7"/>
  <c r="AG2075" i="7" l="1"/>
  <c r="AH2075" i="7" s="1"/>
  <c r="T2075" i="7" s="1"/>
  <c r="AB2074" i="7"/>
  <c r="W2074" i="7"/>
  <c r="N2075" i="7"/>
  <c r="V2075" i="7"/>
  <c r="Q2076" i="7"/>
  <c r="S2076" i="7" s="1"/>
  <c r="Z2073" i="7"/>
  <c r="AG2076" i="7" l="1"/>
  <c r="AH2076" i="7" s="1"/>
  <c r="T2076" i="7" s="1"/>
  <c r="Q2077" i="7"/>
  <c r="S2077" i="7" s="1"/>
  <c r="N2076" i="7"/>
  <c r="V2076" i="7"/>
  <c r="AB2075" i="7"/>
  <c r="W2075" i="7"/>
  <c r="Z2074" i="7"/>
  <c r="AG2077" i="7" l="1"/>
  <c r="AH2077" i="7" s="1"/>
  <c r="T2077" i="7" s="1"/>
  <c r="Z2075" i="7"/>
  <c r="V2077" i="7"/>
  <c r="N2077" i="7"/>
  <c r="Q2078" i="7"/>
  <c r="S2078" i="7" s="1"/>
  <c r="W2076" i="7"/>
  <c r="AB2076" i="7"/>
  <c r="AG2078" i="7" l="1"/>
  <c r="AH2078" i="7" s="1"/>
  <c r="T2078" i="7" s="1"/>
  <c r="Z2076" i="7"/>
  <c r="N2078" i="7"/>
  <c r="Q2079" i="7"/>
  <c r="S2079" i="7" s="1"/>
  <c r="V2078" i="7"/>
  <c r="AB2077" i="7"/>
  <c r="W2077" i="7"/>
  <c r="AG2079" i="7" l="1"/>
  <c r="AH2079" i="7" s="1"/>
  <c r="T2079" i="7" s="1"/>
  <c r="V2079" i="7"/>
  <c r="N2079" i="7"/>
  <c r="Q2080" i="7"/>
  <c r="S2080" i="7" s="1"/>
  <c r="Z2077" i="7"/>
  <c r="W2078" i="7"/>
  <c r="AB2078" i="7"/>
  <c r="AG2080" i="7" l="1"/>
  <c r="AH2080" i="7" s="1"/>
  <c r="T2080" i="7" s="1"/>
  <c r="Q2081" i="7"/>
  <c r="S2081" i="7" s="1"/>
  <c r="N2080" i="7"/>
  <c r="V2080" i="7"/>
  <c r="Z2078" i="7"/>
  <c r="W2079" i="7"/>
  <c r="AB2079" i="7"/>
  <c r="AG2081" i="7" l="1"/>
  <c r="AH2081" i="7" s="1"/>
  <c r="T2081" i="7" s="1"/>
  <c r="W2080" i="7"/>
  <c r="AB2080" i="7"/>
  <c r="Q2082" i="7"/>
  <c r="S2082" i="7" s="1"/>
  <c r="V2081" i="7"/>
  <c r="N2081" i="7"/>
  <c r="Z2079" i="7"/>
  <c r="AG2082" i="7" l="1"/>
  <c r="AH2082" i="7" s="1"/>
  <c r="T2082" i="7" s="1"/>
  <c r="W2081" i="7"/>
  <c r="AB2081" i="7"/>
  <c r="V2082" i="7"/>
  <c r="N2082" i="7"/>
  <c r="Q2083" i="7"/>
  <c r="S2083" i="7" s="1"/>
  <c r="Z2080" i="7"/>
  <c r="AG2083" i="7" l="1"/>
  <c r="AH2083" i="7" s="1"/>
  <c r="T2083" i="7" s="1"/>
  <c r="V2083" i="7"/>
  <c r="Q2084" i="7"/>
  <c r="S2084" i="7" s="1"/>
  <c r="N2083" i="7"/>
  <c r="AB2082" i="7"/>
  <c r="W2082" i="7"/>
  <c r="Z2081" i="7"/>
  <c r="AG2084" i="7" l="1"/>
  <c r="AH2084" i="7" s="1"/>
  <c r="T2084" i="7" s="1"/>
  <c r="Z2082" i="7"/>
  <c r="Q2085" i="7"/>
  <c r="S2085" i="7" s="1"/>
  <c r="N2084" i="7"/>
  <c r="V2084" i="7"/>
  <c r="AB2083" i="7"/>
  <c r="W2083" i="7"/>
  <c r="AG2085" i="7" l="1"/>
  <c r="AH2085" i="7" s="1"/>
  <c r="T2085" i="7" s="1"/>
  <c r="Z2083" i="7"/>
  <c r="V2085" i="7"/>
  <c r="N2085" i="7"/>
  <c r="Q2086" i="7"/>
  <c r="S2086" i="7" s="1"/>
  <c r="AB2084" i="7"/>
  <c r="W2084" i="7"/>
  <c r="AG2086" i="7" l="1"/>
  <c r="AH2086" i="7" s="1"/>
  <c r="T2086" i="7" s="1"/>
  <c r="V2086" i="7"/>
  <c r="N2086" i="7"/>
  <c r="Q2087" i="7"/>
  <c r="S2087" i="7" s="1"/>
  <c r="AB2085" i="7"/>
  <c r="W2085" i="7"/>
  <c r="Z2084" i="7"/>
  <c r="AG2087" i="7" l="1"/>
  <c r="AH2087" i="7" s="1"/>
  <c r="T2087" i="7" s="1"/>
  <c r="Z2085" i="7"/>
  <c r="N2087" i="7"/>
  <c r="Q2088" i="7"/>
  <c r="S2088" i="7" s="1"/>
  <c r="V2087" i="7"/>
  <c r="W2086" i="7"/>
  <c r="AB2086" i="7"/>
  <c r="AG2088" i="7" l="1"/>
  <c r="AH2088" i="7" s="1"/>
  <c r="T2088" i="7" s="1"/>
  <c r="Z2086" i="7"/>
  <c r="N2088" i="7"/>
  <c r="Q2089" i="7"/>
  <c r="S2089" i="7" s="1"/>
  <c r="V2088" i="7"/>
  <c r="W2087" i="7"/>
  <c r="AB2087" i="7"/>
  <c r="AG2089" i="7" l="1"/>
  <c r="AH2089" i="7" s="1"/>
  <c r="T2089" i="7" s="1"/>
  <c r="Q2090" i="7"/>
  <c r="S2090" i="7" s="1"/>
  <c r="V2089" i="7"/>
  <c r="N2089" i="7"/>
  <c r="W2088" i="7"/>
  <c r="AB2088" i="7"/>
  <c r="Z2087" i="7"/>
  <c r="AG2090" i="7" l="1"/>
  <c r="AH2090" i="7" s="1"/>
  <c r="T2090" i="7" s="1"/>
  <c r="Z2088" i="7"/>
  <c r="W2089" i="7"/>
  <c r="AB2089" i="7"/>
  <c r="N2090" i="7"/>
  <c r="Q2091" i="7"/>
  <c r="S2091" i="7" s="1"/>
  <c r="V2090" i="7"/>
  <c r="AG2091" i="7" l="1"/>
  <c r="AH2091" i="7" s="1"/>
  <c r="T2091" i="7" s="1"/>
  <c r="AB2090" i="7"/>
  <c r="W2090" i="7"/>
  <c r="Z2089" i="7"/>
  <c r="V2091" i="7"/>
  <c r="Q2092" i="7"/>
  <c r="S2092" i="7" s="1"/>
  <c r="N2091" i="7"/>
  <c r="AG2092" i="7" l="1"/>
  <c r="AH2092" i="7" s="1"/>
  <c r="T2092" i="7" s="1"/>
  <c r="W2091" i="7"/>
  <c r="AB2091" i="7"/>
  <c r="V2092" i="7"/>
  <c r="N2092" i="7"/>
  <c r="Q2093" i="7"/>
  <c r="S2093" i="7" s="1"/>
  <c r="Z2090" i="7"/>
  <c r="AG2093" i="7" l="1"/>
  <c r="AH2093" i="7" s="1"/>
  <c r="T2093" i="7" s="1"/>
  <c r="V2093" i="7"/>
  <c r="N2093" i="7"/>
  <c r="Q2094" i="7"/>
  <c r="S2094" i="7" s="1"/>
  <c r="Z2091" i="7"/>
  <c r="AB2092" i="7"/>
  <c r="W2092" i="7"/>
  <c r="AG2094" i="7" l="1"/>
  <c r="AH2094" i="7" s="1"/>
  <c r="T2094" i="7" s="1"/>
  <c r="Z2092" i="7"/>
  <c r="V2094" i="7"/>
  <c r="Q2095" i="7"/>
  <c r="S2095" i="7" s="1"/>
  <c r="N2094" i="7"/>
  <c r="W2093" i="7"/>
  <c r="AB2093" i="7"/>
  <c r="AG2095" i="7" l="1"/>
  <c r="AH2095" i="7" s="1"/>
  <c r="T2095" i="7" s="1"/>
  <c r="Q2096" i="7"/>
  <c r="S2096" i="7" s="1"/>
  <c r="V2095" i="7"/>
  <c r="N2095" i="7"/>
  <c r="AB2094" i="7"/>
  <c r="W2094" i="7"/>
  <c r="Z2093" i="7"/>
  <c r="AG2096" i="7" l="1"/>
  <c r="AH2096" i="7" s="1"/>
  <c r="T2096" i="7" s="1"/>
  <c r="Z2094" i="7"/>
  <c r="W2095" i="7"/>
  <c r="AB2095" i="7"/>
  <c r="Q2097" i="7"/>
  <c r="S2097" i="7" s="1"/>
  <c r="V2096" i="7"/>
  <c r="N2096" i="7"/>
  <c r="AG2097" i="7" l="1"/>
  <c r="AH2097" i="7" s="1"/>
  <c r="T2097" i="7" s="1"/>
  <c r="Q2098" i="7"/>
  <c r="S2098" i="7" s="1"/>
  <c r="N2097" i="7"/>
  <c r="V2097" i="7"/>
  <c r="W2096" i="7"/>
  <c r="AB2096" i="7"/>
  <c r="Z2095" i="7"/>
  <c r="AG2098" i="7" l="1"/>
  <c r="AH2098" i="7" s="1"/>
  <c r="T2098" i="7" s="1"/>
  <c r="AB2097" i="7"/>
  <c r="W2097" i="7"/>
  <c r="Z2096" i="7"/>
  <c r="N2098" i="7"/>
  <c r="V2098" i="7"/>
  <c r="Q2099" i="7"/>
  <c r="S2099" i="7" s="1"/>
  <c r="AG2099" i="7" l="1"/>
  <c r="AH2099" i="7" s="1"/>
  <c r="T2099" i="7" s="1"/>
  <c r="AB2098" i="7"/>
  <c r="W2098" i="7"/>
  <c r="N2099" i="7"/>
  <c r="V2099" i="7"/>
  <c r="Q2100" i="7"/>
  <c r="S2100" i="7" s="1"/>
  <c r="Z2097" i="7"/>
  <c r="AG2100" i="7" l="1"/>
  <c r="AH2100" i="7" s="1"/>
  <c r="T2100" i="7" s="1"/>
  <c r="W2099" i="7"/>
  <c r="AB2099" i="7"/>
  <c r="Q2101" i="7"/>
  <c r="S2101" i="7" s="1"/>
  <c r="N2100" i="7"/>
  <c r="V2100" i="7"/>
  <c r="Z2098" i="7"/>
  <c r="AG2101" i="7" l="1"/>
  <c r="AH2101" i="7" s="1"/>
  <c r="T2101" i="7" s="1"/>
  <c r="W2100" i="7"/>
  <c r="AB2100" i="7"/>
  <c r="Z2099" i="7"/>
  <c r="V2101" i="7"/>
  <c r="Q2102" i="7"/>
  <c r="S2102" i="7" s="1"/>
  <c r="N2101" i="7"/>
  <c r="AG2102" i="7" l="1"/>
  <c r="AH2102" i="7" s="1"/>
  <c r="T2102" i="7" s="1"/>
  <c r="AB2101" i="7"/>
  <c r="W2101" i="7"/>
  <c r="Z2100" i="7"/>
  <c r="N2102" i="7"/>
  <c r="V2102" i="7"/>
  <c r="Q2103" i="7"/>
  <c r="S2103" i="7" s="1"/>
  <c r="AG2103" i="7" l="1"/>
  <c r="AH2103" i="7" s="1"/>
  <c r="T2103" i="7" s="1"/>
  <c r="AB2102" i="7"/>
  <c r="W2102" i="7"/>
  <c r="Q2104" i="7"/>
  <c r="S2104" i="7" s="1"/>
  <c r="V2103" i="7"/>
  <c r="N2103" i="7"/>
  <c r="Z2101" i="7"/>
  <c r="AG2104" i="7" l="1"/>
  <c r="AH2104" i="7" s="1"/>
  <c r="T2104" i="7" s="1"/>
  <c r="N2104" i="7"/>
  <c r="Q2105" i="7"/>
  <c r="S2105" i="7" s="1"/>
  <c r="V2104" i="7"/>
  <c r="AB2103" i="7"/>
  <c r="W2103" i="7"/>
  <c r="Z2102" i="7"/>
  <c r="AG2105" i="7" l="1"/>
  <c r="AH2105" i="7" s="1"/>
  <c r="T2105" i="7" s="1"/>
  <c r="AB2104" i="7"/>
  <c r="W2104" i="7"/>
  <c r="Q2106" i="7"/>
  <c r="S2106" i="7" s="1"/>
  <c r="V2105" i="7"/>
  <c r="N2105" i="7"/>
  <c r="Z2103" i="7"/>
  <c r="AG2106" i="7" l="1"/>
  <c r="AH2106" i="7" s="1"/>
  <c r="T2106" i="7" s="1"/>
  <c r="W2105" i="7"/>
  <c r="AB2105" i="7"/>
  <c r="V2106" i="7"/>
  <c r="N2106" i="7"/>
  <c r="Q2107" i="7"/>
  <c r="S2107" i="7" s="1"/>
  <c r="Z2104" i="7"/>
  <c r="AG2107" i="7" l="1"/>
  <c r="AH2107" i="7" s="1"/>
  <c r="T2107" i="7" s="1"/>
  <c r="Z2105" i="7"/>
  <c r="AB2106" i="7"/>
  <c r="W2106" i="7"/>
  <c r="V2107" i="7"/>
  <c r="Q2108" i="7"/>
  <c r="S2108" i="7" s="1"/>
  <c r="N2107" i="7"/>
  <c r="AG2108" i="7" l="1"/>
  <c r="AH2108" i="7" s="1"/>
  <c r="T2108" i="7" s="1"/>
  <c r="N2108" i="7"/>
  <c r="Q2109" i="7"/>
  <c r="S2109" i="7" s="1"/>
  <c r="V2108" i="7"/>
  <c r="W2107" i="7"/>
  <c r="AB2107" i="7"/>
  <c r="Z2106" i="7"/>
  <c r="AG2109" i="7" l="1"/>
  <c r="AH2109" i="7" s="1"/>
  <c r="T2109" i="7" s="1"/>
  <c r="W2108" i="7"/>
  <c r="AB2108" i="7"/>
  <c r="Z2107" i="7"/>
  <c r="Q2110" i="7"/>
  <c r="S2110" i="7" s="1"/>
  <c r="N2109" i="7"/>
  <c r="V2109" i="7"/>
  <c r="AG2110" i="7" l="1"/>
  <c r="AH2110" i="7" s="1"/>
  <c r="T2110" i="7" s="1"/>
  <c r="N2110" i="7"/>
  <c r="V2110" i="7"/>
  <c r="Q2111" i="7"/>
  <c r="S2111" i="7" s="1"/>
  <c r="AB2109" i="7"/>
  <c r="W2109" i="7"/>
  <c r="Z2108" i="7"/>
  <c r="AG2111" i="7" l="1"/>
  <c r="AH2111" i="7" s="1"/>
  <c r="T2111" i="7" s="1"/>
  <c r="V2111" i="7"/>
  <c r="N2111" i="7"/>
  <c r="Q2112" i="7"/>
  <c r="S2112" i="7" s="1"/>
  <c r="W2110" i="7"/>
  <c r="AB2110" i="7"/>
  <c r="Z2109" i="7"/>
  <c r="AG2112" i="7" l="1"/>
  <c r="AH2112" i="7" s="1"/>
  <c r="T2112" i="7" s="1"/>
  <c r="V2112" i="7"/>
  <c r="Q2113" i="7"/>
  <c r="S2113" i="7" s="1"/>
  <c r="N2112" i="7"/>
  <c r="Z2110" i="7"/>
  <c r="W2111" i="7"/>
  <c r="AB2111" i="7"/>
  <c r="AG2113" i="7" l="1"/>
  <c r="AH2113" i="7" s="1"/>
  <c r="T2113" i="7" s="1"/>
  <c r="Z2111" i="7"/>
  <c r="V2113" i="7"/>
  <c r="Q2114" i="7"/>
  <c r="S2114" i="7" s="1"/>
  <c r="N2113" i="7"/>
  <c r="AB2112" i="7"/>
  <c r="W2112" i="7"/>
  <c r="AG2114" i="7" l="1"/>
  <c r="AH2114" i="7" s="1"/>
  <c r="T2114" i="7" s="1"/>
  <c r="Q2115" i="7"/>
  <c r="S2115" i="7" s="1"/>
  <c r="N2114" i="7"/>
  <c r="V2114" i="7"/>
  <c r="AB2113" i="7"/>
  <c r="W2113" i="7"/>
  <c r="Z2112" i="7"/>
  <c r="AG2115" i="7" l="1"/>
  <c r="AH2115" i="7" s="1"/>
  <c r="T2115" i="7" s="1"/>
  <c r="AB2114" i="7"/>
  <c r="W2114" i="7"/>
  <c r="Z2113" i="7"/>
  <c r="N2115" i="7"/>
  <c r="V2115" i="7"/>
  <c r="Q2116" i="7"/>
  <c r="S2116" i="7" s="1"/>
  <c r="AG2116" i="7" l="1"/>
  <c r="AH2116" i="7" s="1"/>
  <c r="T2116" i="7" s="1"/>
  <c r="N2116" i="7"/>
  <c r="Q2117" i="7"/>
  <c r="S2117" i="7" s="1"/>
  <c r="V2116" i="7"/>
  <c r="W2115" i="7"/>
  <c r="AB2115" i="7"/>
  <c r="Z2114" i="7"/>
  <c r="AG2117" i="7" l="1"/>
  <c r="AH2117" i="7" s="1"/>
  <c r="T2117" i="7" s="1"/>
  <c r="W2116" i="7"/>
  <c r="AB2116" i="7"/>
  <c r="N2117" i="7"/>
  <c r="Q2118" i="7"/>
  <c r="S2118" i="7" s="1"/>
  <c r="V2117" i="7"/>
  <c r="Z2115" i="7"/>
  <c r="AG2118" i="7" l="1"/>
  <c r="AH2118" i="7" s="1"/>
  <c r="T2118" i="7" s="1"/>
  <c r="W2117" i="7"/>
  <c r="AB2117" i="7"/>
  <c r="V2118" i="7"/>
  <c r="N2118" i="7"/>
  <c r="Q2119" i="7"/>
  <c r="S2119" i="7" s="1"/>
  <c r="Z2116" i="7"/>
  <c r="AG2119" i="7" l="1"/>
  <c r="AH2119" i="7" s="1"/>
  <c r="T2119" i="7" s="1"/>
  <c r="AB2118" i="7"/>
  <c r="W2118" i="7"/>
  <c r="Z2117" i="7"/>
  <c r="V2119" i="7"/>
  <c r="Q2120" i="7"/>
  <c r="S2120" i="7" s="1"/>
  <c r="N2119" i="7"/>
  <c r="AG2120" i="7" l="1"/>
  <c r="AH2120" i="7" s="1"/>
  <c r="T2120" i="7" s="1"/>
  <c r="N2120" i="7"/>
  <c r="V2120" i="7"/>
  <c r="Q2121" i="7"/>
  <c r="S2121" i="7" s="1"/>
  <c r="AB2119" i="7"/>
  <c r="W2119" i="7"/>
  <c r="Z2118" i="7"/>
  <c r="AG2121" i="7" l="1"/>
  <c r="AH2121" i="7" s="1"/>
  <c r="T2121" i="7" s="1"/>
  <c r="N2121" i="7"/>
  <c r="V2121" i="7"/>
  <c r="Q2122" i="7"/>
  <c r="S2122" i="7" s="1"/>
  <c r="Z2119" i="7"/>
  <c r="W2120" i="7"/>
  <c r="AB2120" i="7"/>
  <c r="AG2122" i="7" l="1"/>
  <c r="AH2122" i="7" s="1"/>
  <c r="T2122" i="7" s="1"/>
  <c r="N2122" i="7"/>
  <c r="Q2123" i="7"/>
  <c r="S2123" i="7" s="1"/>
  <c r="V2122" i="7"/>
  <c r="W2121" i="7"/>
  <c r="AB2121" i="7"/>
  <c r="Z2120" i="7"/>
  <c r="AG2123" i="7" l="1"/>
  <c r="AH2123" i="7" s="1"/>
  <c r="T2123" i="7" s="1"/>
  <c r="W2122" i="7"/>
  <c r="AB2122" i="7"/>
  <c r="Z2121" i="7"/>
  <c r="Q2124" i="7"/>
  <c r="S2124" i="7" s="1"/>
  <c r="N2123" i="7"/>
  <c r="V2123" i="7"/>
  <c r="AG2124" i="7" l="1"/>
  <c r="AH2124" i="7" s="1"/>
  <c r="T2124" i="7" s="1"/>
  <c r="AB2123" i="7"/>
  <c r="W2123" i="7"/>
  <c r="N2124" i="7"/>
  <c r="V2124" i="7"/>
  <c r="Q2125" i="7"/>
  <c r="S2125" i="7" s="1"/>
  <c r="Z2122" i="7"/>
  <c r="AG2125" i="7" l="1"/>
  <c r="AH2125" i="7" s="1"/>
  <c r="T2125" i="7" s="1"/>
  <c r="Q2126" i="7"/>
  <c r="S2126" i="7" s="1"/>
  <c r="V2125" i="7"/>
  <c r="N2125" i="7"/>
  <c r="AB2124" i="7"/>
  <c r="W2124" i="7"/>
  <c r="Z2123" i="7"/>
  <c r="AG2126" i="7" l="1"/>
  <c r="AH2126" i="7" s="1"/>
  <c r="T2126" i="7" s="1"/>
  <c r="W2125" i="7"/>
  <c r="AB2125" i="7"/>
  <c r="Z2124" i="7"/>
  <c r="N2126" i="7"/>
  <c r="Q2127" i="7"/>
  <c r="S2127" i="7" s="1"/>
  <c r="V2126" i="7"/>
  <c r="AG2127" i="7" l="1"/>
  <c r="AH2127" i="7" s="1"/>
  <c r="T2127" i="7" s="1"/>
  <c r="Q2128" i="7"/>
  <c r="S2128" i="7" s="1"/>
  <c r="N2127" i="7"/>
  <c r="V2127" i="7"/>
  <c r="W2126" i="7"/>
  <c r="AB2126" i="7"/>
  <c r="Z2125" i="7"/>
  <c r="AG2128" i="7" l="1"/>
  <c r="AH2128" i="7" s="1"/>
  <c r="T2128" i="7" s="1"/>
  <c r="W2127" i="7"/>
  <c r="AB2127" i="7"/>
  <c r="Z2126" i="7"/>
  <c r="Q2129" i="7"/>
  <c r="S2129" i="7" s="1"/>
  <c r="V2128" i="7"/>
  <c r="N2128" i="7"/>
  <c r="AG2129" i="7" l="1"/>
  <c r="AH2129" i="7" s="1"/>
  <c r="T2129" i="7" s="1"/>
  <c r="AB2128" i="7"/>
  <c r="W2128" i="7"/>
  <c r="Q2130" i="7"/>
  <c r="S2130" i="7" s="1"/>
  <c r="V2129" i="7"/>
  <c r="N2129" i="7"/>
  <c r="Z2127" i="7"/>
  <c r="AG2130" i="7" l="1"/>
  <c r="AH2130" i="7" s="1"/>
  <c r="T2130" i="7" s="1"/>
  <c r="V2130" i="7"/>
  <c r="Q2131" i="7"/>
  <c r="S2131" i="7" s="1"/>
  <c r="N2130" i="7"/>
  <c r="W2129" i="7"/>
  <c r="AB2129" i="7"/>
  <c r="Z2128" i="7"/>
  <c r="AG2131" i="7" l="1"/>
  <c r="AH2131" i="7" s="1"/>
  <c r="T2131" i="7" s="1"/>
  <c r="Z2129" i="7"/>
  <c r="Q2132" i="7"/>
  <c r="S2132" i="7" s="1"/>
  <c r="V2131" i="7"/>
  <c r="N2131" i="7"/>
  <c r="W2130" i="7"/>
  <c r="AB2130" i="7"/>
  <c r="AG2132" i="7" l="1"/>
  <c r="AH2132" i="7" s="1"/>
  <c r="T2132" i="7" s="1"/>
  <c r="AB2131" i="7"/>
  <c r="W2131" i="7"/>
  <c r="Z2130" i="7"/>
  <c r="Q2133" i="7"/>
  <c r="S2133" i="7" s="1"/>
  <c r="N2132" i="7"/>
  <c r="V2132" i="7"/>
  <c r="AG2133" i="7" l="1"/>
  <c r="AH2133" i="7" s="1"/>
  <c r="T2133" i="7" s="1"/>
  <c r="AB2132" i="7"/>
  <c r="W2132" i="7"/>
  <c r="Q2134" i="7"/>
  <c r="S2134" i="7" s="1"/>
  <c r="V2133" i="7"/>
  <c r="N2133" i="7"/>
  <c r="Z2131" i="7"/>
  <c r="AG2134" i="7" l="1"/>
  <c r="AH2134" i="7" s="1"/>
  <c r="T2134" i="7" s="1"/>
  <c r="Q2135" i="7"/>
  <c r="S2135" i="7" s="1"/>
  <c r="V2134" i="7"/>
  <c r="N2134" i="7"/>
  <c r="AB2133" i="7"/>
  <c r="W2133" i="7"/>
  <c r="Z2132" i="7"/>
  <c r="AG2135" i="7" l="1"/>
  <c r="AH2135" i="7" s="1"/>
  <c r="T2135" i="7" s="1"/>
  <c r="Z2133" i="7"/>
  <c r="W2134" i="7"/>
  <c r="AB2134" i="7"/>
  <c r="N2135" i="7"/>
  <c r="V2135" i="7"/>
  <c r="Q2136" i="7"/>
  <c r="S2136" i="7" s="1"/>
  <c r="AG2136" i="7" l="1"/>
  <c r="AH2136" i="7" s="1"/>
  <c r="T2136" i="7" s="1"/>
  <c r="Z2134" i="7"/>
  <c r="Q2137" i="7"/>
  <c r="S2137" i="7" s="1"/>
  <c r="N2136" i="7"/>
  <c r="V2136" i="7"/>
  <c r="AB2135" i="7"/>
  <c r="W2135" i="7"/>
  <c r="AG2137" i="7" l="1"/>
  <c r="AH2137" i="7" s="1"/>
  <c r="T2137" i="7" s="1"/>
  <c r="W2136" i="7"/>
  <c r="AB2136" i="7"/>
  <c r="Q2138" i="7"/>
  <c r="S2138" i="7" s="1"/>
  <c r="V2137" i="7"/>
  <c r="N2137" i="7"/>
  <c r="Z2135" i="7"/>
  <c r="AG2138" i="7" l="1"/>
  <c r="AH2138" i="7" s="1"/>
  <c r="T2138" i="7" s="1"/>
  <c r="V2138" i="7"/>
  <c r="Q2139" i="7"/>
  <c r="S2139" i="7" s="1"/>
  <c r="N2138" i="7"/>
  <c r="AB2137" i="7"/>
  <c r="W2137" i="7"/>
  <c r="Z2136" i="7"/>
  <c r="AG2139" i="7" l="1"/>
  <c r="AH2139" i="7" s="1"/>
  <c r="T2139" i="7" s="1"/>
  <c r="V2139" i="7"/>
  <c r="Q2140" i="7"/>
  <c r="S2140" i="7" s="1"/>
  <c r="N2139" i="7"/>
  <c r="Z2137" i="7"/>
  <c r="AB2138" i="7"/>
  <c r="W2138" i="7"/>
  <c r="AG2140" i="7" l="1"/>
  <c r="AH2140" i="7" s="1"/>
  <c r="T2140" i="7" s="1"/>
  <c r="Z2138" i="7"/>
  <c r="N2140" i="7"/>
  <c r="V2140" i="7"/>
  <c r="Q2141" i="7"/>
  <c r="S2141" i="7" s="1"/>
  <c r="W2139" i="7"/>
  <c r="AB2139" i="7"/>
  <c r="AG2141" i="7" l="1"/>
  <c r="AH2141" i="7" s="1"/>
  <c r="T2141" i="7" s="1"/>
  <c r="Z2139" i="7"/>
  <c r="Q2142" i="7"/>
  <c r="S2142" i="7" s="1"/>
  <c r="V2141" i="7"/>
  <c r="N2141" i="7"/>
  <c r="W2140" i="7"/>
  <c r="AB2140" i="7"/>
  <c r="AG2142" i="7" l="1"/>
  <c r="AH2142" i="7" s="1"/>
  <c r="T2142" i="7" s="1"/>
  <c r="N2142" i="7"/>
  <c r="V2142" i="7"/>
  <c r="Q2143" i="7"/>
  <c r="S2143" i="7" s="1"/>
  <c r="AB2141" i="7"/>
  <c r="W2141" i="7"/>
  <c r="Z2140" i="7"/>
  <c r="AG2143" i="7" l="1"/>
  <c r="AH2143" i="7" s="1"/>
  <c r="T2143" i="7" s="1"/>
  <c r="V2143" i="7"/>
  <c r="Q2144" i="7"/>
  <c r="S2144" i="7" s="1"/>
  <c r="N2143" i="7"/>
  <c r="Z2141" i="7"/>
  <c r="W2142" i="7"/>
  <c r="AB2142" i="7"/>
  <c r="AG2144" i="7" l="1"/>
  <c r="AH2144" i="7" s="1"/>
  <c r="T2144" i="7" s="1"/>
  <c r="Z2142" i="7"/>
  <c r="N2144" i="7"/>
  <c r="V2144" i="7"/>
  <c r="Q2145" i="7"/>
  <c r="S2145" i="7" s="1"/>
  <c r="AB2143" i="7"/>
  <c r="W2143" i="7"/>
  <c r="AG2145" i="7" l="1"/>
  <c r="AH2145" i="7" s="1"/>
  <c r="T2145" i="7" s="1"/>
  <c r="Z2143" i="7"/>
  <c r="Q2146" i="7"/>
  <c r="S2146" i="7" s="1"/>
  <c r="N2145" i="7"/>
  <c r="V2145" i="7"/>
  <c r="AB2144" i="7"/>
  <c r="W2144" i="7"/>
  <c r="AG2146" i="7" l="1"/>
  <c r="AH2146" i="7" s="1"/>
  <c r="T2146" i="7" s="1"/>
  <c r="Z2144" i="7"/>
  <c r="V2146" i="7"/>
  <c r="Q2147" i="7"/>
  <c r="S2147" i="7" s="1"/>
  <c r="N2146" i="7"/>
  <c r="W2145" i="7"/>
  <c r="AB2145" i="7"/>
  <c r="AG2147" i="7" l="1"/>
  <c r="AH2147" i="7" s="1"/>
  <c r="T2147" i="7" s="1"/>
  <c r="AB2146" i="7"/>
  <c r="W2146" i="7"/>
  <c r="Z2145" i="7"/>
  <c r="V2147" i="7"/>
  <c r="N2147" i="7"/>
  <c r="Q2148" i="7"/>
  <c r="S2148" i="7" s="1"/>
  <c r="AG2148" i="7" l="1"/>
  <c r="AH2148" i="7" s="1"/>
  <c r="T2148" i="7" s="1"/>
  <c r="N2148" i="7"/>
  <c r="V2148" i="7"/>
  <c r="Q2149" i="7"/>
  <c r="S2149" i="7" s="1"/>
  <c r="AB2147" i="7"/>
  <c r="W2147" i="7"/>
  <c r="Z2146" i="7"/>
  <c r="AG2149" i="7" l="1"/>
  <c r="AH2149" i="7" s="1"/>
  <c r="T2149" i="7" s="1"/>
  <c r="V2149" i="7"/>
  <c r="Q2150" i="7"/>
  <c r="S2150" i="7" s="1"/>
  <c r="N2149" i="7"/>
  <c r="Z2147" i="7"/>
  <c r="AB2148" i="7"/>
  <c r="W2148" i="7"/>
  <c r="AG2150" i="7" l="1"/>
  <c r="AH2150" i="7" s="1"/>
  <c r="T2150" i="7" s="1"/>
  <c r="Z2148" i="7"/>
  <c r="N2150" i="7"/>
  <c r="Q2151" i="7"/>
  <c r="S2151" i="7" s="1"/>
  <c r="V2150" i="7"/>
  <c r="W2149" i="7"/>
  <c r="AB2149" i="7"/>
  <c r="AG2151" i="7" l="1"/>
  <c r="AH2151" i="7" s="1"/>
  <c r="T2151" i="7" s="1"/>
  <c r="AB2150" i="7"/>
  <c r="W2150" i="7"/>
  <c r="Z2149" i="7"/>
  <c r="V2151" i="7"/>
  <c r="N2151" i="7"/>
  <c r="Q2152" i="7"/>
  <c r="S2152" i="7" s="1"/>
  <c r="AG2152" i="7" l="1"/>
  <c r="AH2152" i="7" s="1"/>
  <c r="T2152" i="7" s="1"/>
  <c r="N2152" i="7"/>
  <c r="Q2153" i="7"/>
  <c r="S2153" i="7" s="1"/>
  <c r="V2152" i="7"/>
  <c r="AB2151" i="7"/>
  <c r="W2151" i="7"/>
  <c r="Z2150" i="7"/>
  <c r="AG2153" i="7" l="1"/>
  <c r="AH2153" i="7" s="1"/>
  <c r="T2153" i="7" s="1"/>
  <c r="AB2152" i="7"/>
  <c r="W2152" i="7"/>
  <c r="Z2151" i="7"/>
  <c r="Q2154" i="7"/>
  <c r="S2154" i="7" s="1"/>
  <c r="N2153" i="7"/>
  <c r="V2153" i="7"/>
  <c r="AG2154" i="7" l="1"/>
  <c r="AH2154" i="7" s="1"/>
  <c r="T2154" i="7" s="1"/>
  <c r="AB2153" i="7"/>
  <c r="W2153" i="7"/>
  <c r="V2154" i="7"/>
  <c r="N2154" i="7"/>
  <c r="Q2155" i="7"/>
  <c r="S2155" i="7" s="1"/>
  <c r="Z2152" i="7"/>
  <c r="AG2155" i="7" l="1"/>
  <c r="AH2155" i="7" s="1"/>
  <c r="T2155" i="7" s="1"/>
  <c r="AB2154" i="7"/>
  <c r="W2154" i="7"/>
  <c r="Q2156" i="7"/>
  <c r="S2156" i="7" s="1"/>
  <c r="N2155" i="7"/>
  <c r="V2155" i="7"/>
  <c r="Z2153" i="7"/>
  <c r="AG2156" i="7" l="1"/>
  <c r="AH2156" i="7" s="1"/>
  <c r="T2156" i="7" s="1"/>
  <c r="AB2155" i="7"/>
  <c r="W2155" i="7"/>
  <c r="V2156" i="7"/>
  <c r="N2156" i="7"/>
  <c r="Q2157" i="7"/>
  <c r="S2157" i="7" s="1"/>
  <c r="Z2154" i="7"/>
  <c r="AG2157" i="7" l="1"/>
  <c r="AH2157" i="7" s="1"/>
  <c r="T2157" i="7" s="1"/>
  <c r="AB2156" i="7"/>
  <c r="W2156" i="7"/>
  <c r="V2157" i="7"/>
  <c r="Q2158" i="7"/>
  <c r="S2158" i="7" s="1"/>
  <c r="N2157" i="7"/>
  <c r="Z2155" i="7"/>
  <c r="AG2158" i="7" l="1"/>
  <c r="AH2158" i="7" s="1"/>
  <c r="T2158" i="7" s="1"/>
  <c r="W2157" i="7"/>
  <c r="AB2157" i="7"/>
  <c r="Q2159" i="7"/>
  <c r="S2159" i="7" s="1"/>
  <c r="N2158" i="7"/>
  <c r="V2158" i="7"/>
  <c r="Z2156" i="7"/>
  <c r="AG2159" i="7" l="1"/>
  <c r="AH2159" i="7" s="1"/>
  <c r="T2159" i="7" s="1"/>
  <c r="Q2160" i="7"/>
  <c r="S2160" i="7" s="1"/>
  <c r="N2159" i="7"/>
  <c r="V2159" i="7"/>
  <c r="W2158" i="7"/>
  <c r="AB2158" i="7"/>
  <c r="Z2157" i="7"/>
  <c r="AG2160" i="7" l="1"/>
  <c r="AH2160" i="7" s="1"/>
  <c r="T2160" i="7" s="1"/>
  <c r="AB2159" i="7"/>
  <c r="W2159" i="7"/>
  <c r="Z2158" i="7"/>
  <c r="N2160" i="7"/>
  <c r="V2160" i="7"/>
  <c r="Q2161" i="7"/>
  <c r="S2161" i="7" s="1"/>
  <c r="AG2161" i="7" l="1"/>
  <c r="AH2161" i="7" s="1"/>
  <c r="T2161" i="7" s="1"/>
  <c r="W2160" i="7"/>
  <c r="AB2160" i="7"/>
  <c r="Q2162" i="7"/>
  <c r="S2162" i="7" s="1"/>
  <c r="V2161" i="7"/>
  <c r="N2161" i="7"/>
  <c r="Z2159" i="7"/>
  <c r="AG2162" i="7" l="1"/>
  <c r="AH2162" i="7" s="1"/>
  <c r="T2162" i="7" s="1"/>
  <c r="N2162" i="7"/>
  <c r="V2162" i="7"/>
  <c r="Q2163" i="7"/>
  <c r="S2163" i="7" s="1"/>
  <c r="W2161" i="7"/>
  <c r="AB2161" i="7"/>
  <c r="Z2160" i="7"/>
  <c r="AG2163" i="7" l="1"/>
  <c r="AH2163" i="7" s="1"/>
  <c r="T2163" i="7" s="1"/>
  <c r="Z2161" i="7"/>
  <c r="W2162" i="7"/>
  <c r="AB2162" i="7"/>
  <c r="V2163" i="7"/>
  <c r="Q2164" i="7"/>
  <c r="S2164" i="7" s="1"/>
  <c r="N2163" i="7"/>
  <c r="AG2164" i="7" l="1"/>
  <c r="AH2164" i="7" s="1"/>
  <c r="T2164" i="7" s="1"/>
  <c r="Q2165" i="7"/>
  <c r="S2165" i="7" s="1"/>
  <c r="N2164" i="7"/>
  <c r="V2164" i="7"/>
  <c r="Z2162" i="7"/>
  <c r="AB2163" i="7"/>
  <c r="W2163" i="7"/>
  <c r="AG2165" i="7" l="1"/>
  <c r="AH2165" i="7" s="1"/>
  <c r="T2165" i="7" s="1"/>
  <c r="Z2163" i="7"/>
  <c r="AB2164" i="7"/>
  <c r="W2164" i="7"/>
  <c r="N2165" i="7"/>
  <c r="Q2166" i="7"/>
  <c r="S2166" i="7" s="1"/>
  <c r="V2165" i="7"/>
  <c r="AG2166" i="7" l="1"/>
  <c r="AH2166" i="7" s="1"/>
  <c r="T2166" i="7" s="1"/>
  <c r="AB2165" i="7"/>
  <c r="W2165" i="7"/>
  <c r="Z2164" i="7"/>
  <c r="V2166" i="7"/>
  <c r="Q2167" i="7"/>
  <c r="S2167" i="7" s="1"/>
  <c r="N2166" i="7"/>
  <c r="AG2167" i="7" l="1"/>
  <c r="AH2167" i="7" s="1"/>
  <c r="T2167" i="7" s="1"/>
  <c r="N2167" i="7"/>
  <c r="Q2168" i="7"/>
  <c r="S2168" i="7" s="1"/>
  <c r="V2167" i="7"/>
  <c r="W2166" i="7"/>
  <c r="AB2166" i="7"/>
  <c r="Z2165" i="7"/>
  <c r="AG2168" i="7" l="1"/>
  <c r="AH2168" i="7" s="1"/>
  <c r="T2168" i="7" s="1"/>
  <c r="AB2167" i="7"/>
  <c r="W2167" i="7"/>
  <c r="V2168" i="7"/>
  <c r="N2168" i="7"/>
  <c r="Q2169" i="7"/>
  <c r="S2169" i="7" s="1"/>
  <c r="Z2166" i="7"/>
  <c r="AG2169" i="7" l="1"/>
  <c r="AH2169" i="7" s="1"/>
  <c r="T2169" i="7" s="1"/>
  <c r="W2168" i="7"/>
  <c r="AB2168" i="7"/>
  <c r="N2169" i="7"/>
  <c r="Q2170" i="7"/>
  <c r="S2170" i="7" s="1"/>
  <c r="V2169" i="7"/>
  <c r="Z2167" i="7"/>
  <c r="AG2170" i="7" l="1"/>
  <c r="AH2170" i="7" s="1"/>
  <c r="T2170" i="7" s="1"/>
  <c r="W2169" i="7"/>
  <c r="AB2169" i="7"/>
  <c r="V2170" i="7"/>
  <c r="Q2171" i="7"/>
  <c r="S2171" i="7" s="1"/>
  <c r="N2170" i="7"/>
  <c r="Z2168" i="7"/>
  <c r="AG2171" i="7" l="1"/>
  <c r="AH2171" i="7" s="1"/>
  <c r="T2171" i="7" s="1"/>
  <c r="AB2170" i="7"/>
  <c r="W2170" i="7"/>
  <c r="Z2169" i="7"/>
  <c r="V2171" i="7"/>
  <c r="Q2172" i="7"/>
  <c r="S2172" i="7" s="1"/>
  <c r="N2171" i="7"/>
  <c r="AG2172" i="7" l="1"/>
  <c r="AH2172" i="7" s="1"/>
  <c r="T2172" i="7" s="1"/>
  <c r="W2171" i="7"/>
  <c r="AB2171" i="7"/>
  <c r="V2172" i="7"/>
  <c r="Q2173" i="7"/>
  <c r="S2173" i="7" s="1"/>
  <c r="N2172" i="7"/>
  <c r="Z2170" i="7"/>
  <c r="AG2173" i="7" l="1"/>
  <c r="AH2173" i="7" s="1"/>
  <c r="T2173" i="7" s="1"/>
  <c r="W2172" i="7"/>
  <c r="AB2172" i="7"/>
  <c r="N2173" i="7"/>
  <c r="Q2174" i="7"/>
  <c r="S2174" i="7" s="1"/>
  <c r="V2173" i="7"/>
  <c r="Z2171" i="7"/>
  <c r="AG2174" i="7" l="1"/>
  <c r="AH2174" i="7" s="1"/>
  <c r="T2174" i="7" s="1"/>
  <c r="AB2173" i="7"/>
  <c r="W2173" i="7"/>
  <c r="Z2172" i="7"/>
  <c r="Q2175" i="7"/>
  <c r="S2175" i="7" s="1"/>
  <c r="V2174" i="7"/>
  <c r="N2174" i="7"/>
  <c r="AG2175" i="7" l="1"/>
  <c r="AH2175" i="7" s="1"/>
  <c r="T2175" i="7" s="1"/>
  <c r="W2174" i="7"/>
  <c r="AB2174" i="7"/>
  <c r="Q2176" i="7"/>
  <c r="S2176" i="7" s="1"/>
  <c r="N2175" i="7"/>
  <c r="V2175" i="7"/>
  <c r="Z2173" i="7"/>
  <c r="AG2176" i="7" l="1"/>
  <c r="AH2176" i="7" s="1"/>
  <c r="T2176" i="7" s="1"/>
  <c r="V2176" i="7"/>
  <c r="Q2177" i="7"/>
  <c r="S2177" i="7" s="1"/>
  <c r="N2176" i="7"/>
  <c r="W2175" i="7"/>
  <c r="AB2175" i="7"/>
  <c r="Z2174" i="7"/>
  <c r="AG2177" i="7" l="1"/>
  <c r="AH2177" i="7" s="1"/>
  <c r="T2177" i="7" s="1"/>
  <c r="Z2175" i="7"/>
  <c r="Q2178" i="7"/>
  <c r="S2178" i="7" s="1"/>
  <c r="N2177" i="7"/>
  <c r="V2177" i="7"/>
  <c r="AB2176" i="7"/>
  <c r="W2176" i="7"/>
  <c r="AG2178" i="7" l="1"/>
  <c r="AH2178" i="7" s="1"/>
  <c r="T2178" i="7" s="1"/>
  <c r="Q2179" i="7"/>
  <c r="S2179" i="7" s="1"/>
  <c r="V2178" i="7"/>
  <c r="N2178" i="7"/>
  <c r="AB2177" i="7"/>
  <c r="W2177" i="7"/>
  <c r="Z2176" i="7"/>
  <c r="AG2179" i="7" l="1"/>
  <c r="AH2179" i="7" s="1"/>
  <c r="T2179" i="7" s="1"/>
  <c r="Z2177" i="7"/>
  <c r="W2178" i="7"/>
  <c r="AB2178" i="7"/>
  <c r="N2179" i="7"/>
  <c r="Q2180" i="7"/>
  <c r="S2180" i="7" s="1"/>
  <c r="V2179" i="7"/>
  <c r="AG2180" i="7" l="1"/>
  <c r="AH2180" i="7" s="1"/>
  <c r="T2180" i="7" s="1"/>
  <c r="Z2178" i="7"/>
  <c r="AB2179" i="7"/>
  <c r="W2179" i="7"/>
  <c r="V2180" i="7"/>
  <c r="N2180" i="7"/>
  <c r="Q2181" i="7"/>
  <c r="S2181" i="7" s="1"/>
  <c r="AG2181" i="7" l="1"/>
  <c r="AH2181" i="7" s="1"/>
  <c r="T2181" i="7" s="1"/>
  <c r="W2180" i="7"/>
  <c r="AB2180" i="7"/>
  <c r="Z2179" i="7"/>
  <c r="V2181" i="7"/>
  <c r="Q2182" i="7"/>
  <c r="S2182" i="7" s="1"/>
  <c r="N2181" i="7"/>
  <c r="AG2182" i="7" l="1"/>
  <c r="AH2182" i="7" s="1"/>
  <c r="T2182" i="7" s="1"/>
  <c r="AB2181" i="7"/>
  <c r="W2181" i="7"/>
  <c r="V2182" i="7"/>
  <c r="N2182" i="7"/>
  <c r="Q2183" i="7"/>
  <c r="S2183" i="7" s="1"/>
  <c r="Z2180" i="7"/>
  <c r="AG2183" i="7" l="1"/>
  <c r="AH2183" i="7" s="1"/>
  <c r="T2183" i="7" s="1"/>
  <c r="AB2182" i="7"/>
  <c r="W2182" i="7"/>
  <c r="V2183" i="7"/>
  <c r="Q2184" i="7"/>
  <c r="S2184" i="7" s="1"/>
  <c r="N2183" i="7"/>
  <c r="Z2181" i="7"/>
  <c r="AG2184" i="7" l="1"/>
  <c r="AH2184" i="7" s="1"/>
  <c r="T2184" i="7" s="1"/>
  <c r="W2183" i="7"/>
  <c r="AB2183" i="7"/>
  <c r="N2184" i="7"/>
  <c r="V2184" i="7"/>
  <c r="Q2185" i="7"/>
  <c r="S2185" i="7" s="1"/>
  <c r="Z2182" i="7"/>
  <c r="AG2185" i="7" l="1"/>
  <c r="AH2185" i="7" s="1"/>
  <c r="T2185" i="7" s="1"/>
  <c r="V2185" i="7"/>
  <c r="Q2186" i="7"/>
  <c r="S2186" i="7" s="1"/>
  <c r="N2185" i="7"/>
  <c r="Z2183" i="7"/>
  <c r="W2184" i="7"/>
  <c r="AB2184" i="7"/>
  <c r="AG2186" i="7" l="1"/>
  <c r="AH2186" i="7" s="1"/>
  <c r="T2186" i="7" s="1"/>
  <c r="Z2184" i="7"/>
  <c r="N2186" i="7"/>
  <c r="Q2187" i="7"/>
  <c r="S2187" i="7" s="1"/>
  <c r="V2186" i="7"/>
  <c r="W2185" i="7"/>
  <c r="AB2185" i="7"/>
  <c r="AG2187" i="7" l="1"/>
  <c r="AH2187" i="7" s="1"/>
  <c r="T2187" i="7" s="1"/>
  <c r="N2187" i="7"/>
  <c r="V2187" i="7"/>
  <c r="Q2188" i="7"/>
  <c r="S2188" i="7" s="1"/>
  <c r="Z2185" i="7"/>
  <c r="AB2186" i="7"/>
  <c r="W2186" i="7"/>
  <c r="AG2188" i="7" l="1"/>
  <c r="AH2188" i="7" s="1"/>
  <c r="T2188" i="7" s="1"/>
  <c r="Z2186" i="7"/>
  <c r="N2188" i="7"/>
  <c r="V2188" i="7"/>
  <c r="Q2189" i="7"/>
  <c r="S2189" i="7" s="1"/>
  <c r="W2187" i="7"/>
  <c r="AB2187" i="7"/>
  <c r="AG2189" i="7" l="1"/>
  <c r="AH2189" i="7" s="1"/>
  <c r="T2189" i="7" s="1"/>
  <c r="Q2190" i="7"/>
  <c r="S2190" i="7" s="1"/>
  <c r="N2189" i="7"/>
  <c r="V2189" i="7"/>
  <c r="Z2187" i="7"/>
  <c r="W2188" i="7"/>
  <c r="AB2188" i="7"/>
  <c r="AG2190" i="7" l="1"/>
  <c r="AH2190" i="7" s="1"/>
  <c r="T2190" i="7" s="1"/>
  <c r="W2189" i="7"/>
  <c r="AB2189" i="7"/>
  <c r="Z2188" i="7"/>
  <c r="V2190" i="7"/>
  <c r="N2190" i="7"/>
  <c r="Q2191" i="7"/>
  <c r="S2191" i="7" s="1"/>
  <c r="AG2191" i="7" l="1"/>
  <c r="AH2191" i="7" s="1"/>
  <c r="T2191" i="7" s="1"/>
  <c r="W2190" i="7"/>
  <c r="AB2190" i="7"/>
  <c r="Z2189" i="7"/>
  <c r="Q2192" i="7"/>
  <c r="S2192" i="7" s="1"/>
  <c r="N2191" i="7"/>
  <c r="V2191" i="7"/>
  <c r="AG2192" i="7" l="1"/>
  <c r="AH2192" i="7" s="1"/>
  <c r="T2192" i="7" s="1"/>
  <c r="V2192" i="7"/>
  <c r="Q2193" i="7"/>
  <c r="S2193" i="7" s="1"/>
  <c r="N2192" i="7"/>
  <c r="Z2190" i="7"/>
  <c r="AB2191" i="7"/>
  <c r="W2191" i="7"/>
  <c r="AG2193" i="7" l="1"/>
  <c r="AH2193" i="7" s="1"/>
  <c r="T2193" i="7" s="1"/>
  <c r="Z2191" i="7"/>
  <c r="N2193" i="7"/>
  <c r="V2193" i="7"/>
  <c r="Q2194" i="7"/>
  <c r="S2194" i="7" s="1"/>
  <c r="AB2192" i="7"/>
  <c r="W2192" i="7"/>
  <c r="AG2194" i="7" l="1"/>
  <c r="AH2194" i="7" s="1"/>
  <c r="T2194" i="7" s="1"/>
  <c r="AB2193" i="7"/>
  <c r="W2193" i="7"/>
  <c r="Q2195" i="7"/>
  <c r="S2195" i="7" s="1"/>
  <c r="N2194" i="7"/>
  <c r="V2194" i="7"/>
  <c r="Z2192" i="7"/>
  <c r="AG2195" i="7" l="1"/>
  <c r="AH2195" i="7" s="1"/>
  <c r="T2195" i="7" s="1"/>
  <c r="V2195" i="7"/>
  <c r="N2195" i="7"/>
  <c r="Q2196" i="7"/>
  <c r="S2196" i="7" s="1"/>
  <c r="AB2194" i="7"/>
  <c r="W2194" i="7"/>
  <c r="Z2193" i="7"/>
  <c r="AG2196" i="7" l="1"/>
  <c r="AH2196" i="7" s="1"/>
  <c r="T2196" i="7" s="1"/>
  <c r="Q2197" i="7"/>
  <c r="S2197" i="7" s="1"/>
  <c r="V2196" i="7"/>
  <c r="N2196" i="7"/>
  <c r="Z2194" i="7"/>
  <c r="AB2195" i="7"/>
  <c r="W2195" i="7"/>
  <c r="AG2197" i="7" l="1"/>
  <c r="AH2197" i="7" s="1"/>
  <c r="T2197" i="7" s="1"/>
  <c r="AB2196" i="7"/>
  <c r="W2196" i="7"/>
  <c r="Z2195" i="7"/>
  <c r="V2197" i="7"/>
  <c r="N2197" i="7"/>
  <c r="Q2198" i="7"/>
  <c r="S2198" i="7" s="1"/>
  <c r="AG2198" i="7" l="1"/>
  <c r="AH2198" i="7" s="1"/>
  <c r="T2198" i="7" s="1"/>
  <c r="Q2199" i="7"/>
  <c r="S2199" i="7" s="1"/>
  <c r="V2198" i="7"/>
  <c r="N2198" i="7"/>
  <c r="AB2197" i="7"/>
  <c r="W2197" i="7"/>
  <c r="Z2196" i="7"/>
  <c r="AG2199" i="7" l="1"/>
  <c r="AH2199" i="7" s="1"/>
  <c r="T2199" i="7" s="1"/>
  <c r="Z2197" i="7"/>
  <c r="AB2198" i="7"/>
  <c r="W2198" i="7"/>
  <c r="V2199" i="7"/>
  <c r="Q2200" i="7"/>
  <c r="S2200" i="7" s="1"/>
  <c r="N2199" i="7"/>
  <c r="AG2200" i="7" l="1"/>
  <c r="AH2200" i="7" s="1"/>
  <c r="T2200" i="7" s="1"/>
  <c r="V2200" i="7"/>
  <c r="N2200" i="7"/>
  <c r="Q2201" i="7"/>
  <c r="S2201" i="7" s="1"/>
  <c r="Z2198" i="7"/>
  <c r="W2199" i="7"/>
  <c r="AB2199" i="7"/>
  <c r="AG2201" i="7" l="1"/>
  <c r="AH2201" i="7" s="1"/>
  <c r="T2201" i="7" s="1"/>
  <c r="Q2202" i="7"/>
  <c r="S2202" i="7" s="1"/>
  <c r="N2201" i="7"/>
  <c r="V2201" i="7"/>
  <c r="Z2199" i="7"/>
  <c r="AB2200" i="7"/>
  <c r="W2200" i="7"/>
  <c r="AG2202" i="7" l="1"/>
  <c r="AH2202" i="7" s="1"/>
  <c r="T2202" i="7" s="1"/>
  <c r="Z2200" i="7"/>
  <c r="W2201" i="7"/>
  <c r="AB2201" i="7"/>
  <c r="N2202" i="7"/>
  <c r="V2202" i="7"/>
  <c r="Q2203" i="7"/>
  <c r="S2203" i="7" s="1"/>
  <c r="AG2203" i="7" l="1"/>
  <c r="AH2203" i="7" s="1"/>
  <c r="T2203" i="7" s="1"/>
  <c r="W2202" i="7"/>
  <c r="AB2202" i="7"/>
  <c r="Z2201" i="7"/>
  <c r="N2203" i="7"/>
  <c r="Q2204" i="7"/>
  <c r="S2204" i="7" s="1"/>
  <c r="V2203" i="7"/>
  <c r="AG2204" i="7" l="1"/>
  <c r="AH2204" i="7" s="1"/>
  <c r="T2204" i="7" s="1"/>
  <c r="W2203" i="7"/>
  <c r="AB2203" i="7"/>
  <c r="Q2205" i="7"/>
  <c r="S2205" i="7" s="1"/>
  <c r="N2204" i="7"/>
  <c r="V2204" i="7"/>
  <c r="Z2202" i="7"/>
  <c r="AG2205" i="7" l="1"/>
  <c r="AH2205" i="7" s="1"/>
  <c r="T2205" i="7" s="1"/>
  <c r="AB2204" i="7"/>
  <c r="W2204" i="7"/>
  <c r="Q2206" i="7"/>
  <c r="S2206" i="7" s="1"/>
  <c r="V2205" i="7"/>
  <c r="N2205" i="7"/>
  <c r="Z2203" i="7"/>
  <c r="AG2206" i="7" l="1"/>
  <c r="AH2206" i="7" s="1"/>
  <c r="T2206" i="7" s="1"/>
  <c r="W2205" i="7"/>
  <c r="AB2205" i="7"/>
  <c r="N2206" i="7"/>
  <c r="Q2207" i="7"/>
  <c r="S2207" i="7" s="1"/>
  <c r="V2206" i="7"/>
  <c r="Z2204" i="7"/>
  <c r="AG2207" i="7" l="1"/>
  <c r="AH2207" i="7" s="1"/>
  <c r="T2207" i="7" s="1"/>
  <c r="AB2206" i="7"/>
  <c r="W2206" i="7"/>
  <c r="N2207" i="7"/>
  <c r="Q2208" i="7"/>
  <c r="S2208" i="7" s="1"/>
  <c r="V2207" i="7"/>
  <c r="Z2205" i="7"/>
  <c r="AG2208" i="7" l="1"/>
  <c r="AH2208" i="7" s="1"/>
  <c r="T2208" i="7" s="1"/>
  <c r="AB2207" i="7"/>
  <c r="W2207" i="7"/>
  <c r="N2208" i="7"/>
  <c r="Q2209" i="7"/>
  <c r="S2209" i="7" s="1"/>
  <c r="V2208" i="7"/>
  <c r="Z2206" i="7"/>
  <c r="AG2209" i="7" l="1"/>
  <c r="AH2209" i="7" s="1"/>
  <c r="T2209" i="7" s="1"/>
  <c r="AB2208" i="7"/>
  <c r="W2208" i="7"/>
  <c r="N2209" i="7"/>
  <c r="Q2210" i="7"/>
  <c r="S2210" i="7" s="1"/>
  <c r="V2209" i="7"/>
  <c r="Z2207" i="7"/>
  <c r="AG2210" i="7" l="1"/>
  <c r="AH2210" i="7" s="1"/>
  <c r="T2210" i="7" s="1"/>
  <c r="W2209" i="7"/>
  <c r="AB2209" i="7"/>
  <c r="Q2211" i="7"/>
  <c r="S2211" i="7" s="1"/>
  <c r="N2210" i="7"/>
  <c r="V2210" i="7"/>
  <c r="Z2208" i="7"/>
  <c r="AG2211" i="7" l="1"/>
  <c r="AH2211" i="7" s="1"/>
  <c r="T2211" i="7" s="1"/>
  <c r="V2211" i="7"/>
  <c r="Q2212" i="7"/>
  <c r="S2212" i="7" s="1"/>
  <c r="N2211" i="7"/>
  <c r="AB2210" i="7"/>
  <c r="W2210" i="7"/>
  <c r="Z2209" i="7"/>
  <c r="AG2212" i="7" l="1"/>
  <c r="AH2212" i="7" s="1"/>
  <c r="T2212" i="7" s="1"/>
  <c r="V2212" i="7"/>
  <c r="Q2213" i="7"/>
  <c r="S2213" i="7" s="1"/>
  <c r="N2212" i="7"/>
  <c r="Z2210" i="7"/>
  <c r="AB2211" i="7"/>
  <c r="W2211" i="7"/>
  <c r="AG2213" i="7" l="1"/>
  <c r="AH2213" i="7" s="1"/>
  <c r="T2213" i="7" s="1"/>
  <c r="N2213" i="7"/>
  <c r="Q2214" i="7"/>
  <c r="S2214" i="7" s="1"/>
  <c r="V2213" i="7"/>
  <c r="Z2211" i="7"/>
  <c r="AB2212" i="7"/>
  <c r="W2212" i="7"/>
  <c r="AG2214" i="7" l="1"/>
  <c r="AH2214" i="7" s="1"/>
  <c r="T2214" i="7" s="1"/>
  <c r="Z2212" i="7"/>
  <c r="AB2213" i="7"/>
  <c r="W2213" i="7"/>
  <c r="V2214" i="7"/>
  <c r="N2214" i="7"/>
  <c r="Q2215" i="7"/>
  <c r="S2215" i="7" s="1"/>
  <c r="AG2215" i="7" l="1"/>
  <c r="AH2215" i="7" s="1"/>
  <c r="T2215" i="7" s="1"/>
  <c r="Q2216" i="7"/>
  <c r="S2216" i="7" s="1"/>
  <c r="N2215" i="7"/>
  <c r="V2215" i="7"/>
  <c r="Z2213" i="7"/>
  <c r="W2214" i="7"/>
  <c r="AB2214" i="7"/>
  <c r="AG2216" i="7" l="1"/>
  <c r="AH2216" i="7" s="1"/>
  <c r="T2216" i="7" s="1"/>
  <c r="Z2214" i="7"/>
  <c r="AB2215" i="7"/>
  <c r="W2215" i="7"/>
  <c r="V2216" i="7"/>
  <c r="N2216" i="7"/>
  <c r="Q2217" i="7"/>
  <c r="S2217" i="7" s="1"/>
  <c r="AG2217" i="7" l="1"/>
  <c r="AH2217" i="7" s="1"/>
  <c r="T2217" i="7" s="1"/>
  <c r="N2217" i="7"/>
  <c r="Q2218" i="7"/>
  <c r="S2218" i="7" s="1"/>
  <c r="V2217" i="7"/>
  <c r="Z2215" i="7"/>
  <c r="AB2216" i="7"/>
  <c r="W2216" i="7"/>
  <c r="AG2218" i="7" l="1"/>
  <c r="AH2218" i="7" s="1"/>
  <c r="T2218" i="7" s="1"/>
  <c r="Z2216" i="7"/>
  <c r="AB2217" i="7"/>
  <c r="W2217" i="7"/>
  <c r="N2218" i="7"/>
  <c r="Q2219" i="7"/>
  <c r="S2219" i="7" s="1"/>
  <c r="V2218" i="7"/>
  <c r="AG2219" i="7" l="1"/>
  <c r="AH2219" i="7" s="1"/>
  <c r="T2219" i="7" s="1"/>
  <c r="W2218" i="7"/>
  <c r="AB2218" i="7"/>
  <c r="Z2217" i="7"/>
  <c r="Q2220" i="7"/>
  <c r="S2220" i="7" s="1"/>
  <c r="V2219" i="7"/>
  <c r="N2219" i="7"/>
  <c r="AG2220" i="7" l="1"/>
  <c r="AH2220" i="7" s="1"/>
  <c r="T2220" i="7" s="1"/>
  <c r="AB2219" i="7"/>
  <c r="W2219" i="7"/>
  <c r="N2220" i="7"/>
  <c r="Q2221" i="7"/>
  <c r="S2221" i="7" s="1"/>
  <c r="V2220" i="7"/>
  <c r="Z2218" i="7"/>
  <c r="AG2221" i="7" l="1"/>
  <c r="AH2221" i="7" s="1"/>
  <c r="T2221" i="7" s="1"/>
  <c r="AB2220" i="7"/>
  <c r="W2220" i="7"/>
  <c r="N2221" i="7"/>
  <c r="Q2222" i="7"/>
  <c r="S2222" i="7" s="1"/>
  <c r="V2221" i="7"/>
  <c r="Z2219" i="7"/>
  <c r="AG2222" i="7" l="1"/>
  <c r="AH2222" i="7" s="1"/>
  <c r="T2222" i="7" s="1"/>
  <c r="Q2223" i="7"/>
  <c r="S2223" i="7" s="1"/>
  <c r="V2222" i="7"/>
  <c r="N2222" i="7"/>
  <c r="AB2221" i="7"/>
  <c r="W2221" i="7"/>
  <c r="Z2220" i="7"/>
  <c r="AG2223" i="7" l="1"/>
  <c r="AH2223" i="7" s="1"/>
  <c r="T2223" i="7" s="1"/>
  <c r="AB2222" i="7"/>
  <c r="W2222" i="7"/>
  <c r="Z2221" i="7"/>
  <c r="N2223" i="7"/>
  <c r="V2223" i="7"/>
  <c r="Q2224" i="7"/>
  <c r="S2224" i="7" s="1"/>
  <c r="AG2224" i="7" l="1"/>
  <c r="AH2224" i="7" s="1"/>
  <c r="T2224" i="7" s="1"/>
  <c r="AB2223" i="7"/>
  <c r="W2223" i="7"/>
  <c r="N2224" i="7"/>
  <c r="V2224" i="7"/>
  <c r="Q2225" i="7"/>
  <c r="S2225" i="7" s="1"/>
  <c r="Z2222" i="7"/>
  <c r="AG2225" i="7" l="1"/>
  <c r="AH2225" i="7" s="1"/>
  <c r="T2225" i="7" s="1"/>
  <c r="Q2226" i="7"/>
  <c r="S2226" i="7" s="1"/>
  <c r="V2225" i="7"/>
  <c r="N2225" i="7"/>
  <c r="W2224" i="7"/>
  <c r="AB2224" i="7"/>
  <c r="Z2223" i="7"/>
  <c r="AG2226" i="7" l="1"/>
  <c r="AH2226" i="7" s="1"/>
  <c r="T2226" i="7" s="1"/>
  <c r="AB2225" i="7"/>
  <c r="W2225" i="7"/>
  <c r="Z2224" i="7"/>
  <c r="N2226" i="7"/>
  <c r="Q2227" i="7"/>
  <c r="S2227" i="7" s="1"/>
  <c r="V2226" i="7"/>
  <c r="AG2227" i="7" l="1"/>
  <c r="AH2227" i="7" s="1"/>
  <c r="T2227" i="7" s="1"/>
  <c r="N2227" i="7"/>
  <c r="Q2228" i="7"/>
  <c r="S2228" i="7" s="1"/>
  <c r="V2227" i="7"/>
  <c r="AB2226" i="7"/>
  <c r="W2226" i="7"/>
  <c r="Z2225" i="7"/>
  <c r="AG2228" i="7" l="1"/>
  <c r="AH2228" i="7" s="1"/>
  <c r="T2228" i="7" s="1"/>
  <c r="W2227" i="7"/>
  <c r="AB2227" i="7"/>
  <c r="N2228" i="7"/>
  <c r="V2228" i="7"/>
  <c r="Q2229" i="7"/>
  <c r="S2229" i="7" s="1"/>
  <c r="Z2226" i="7"/>
  <c r="AG2229" i="7" l="1"/>
  <c r="AH2229" i="7" s="1"/>
  <c r="T2229" i="7" s="1"/>
  <c r="W2228" i="7"/>
  <c r="AB2228" i="7"/>
  <c r="Z2227" i="7"/>
  <c r="N2229" i="7"/>
  <c r="V2229" i="7"/>
  <c r="Q2230" i="7"/>
  <c r="S2230" i="7" s="1"/>
  <c r="AG2230" i="7" l="1"/>
  <c r="AH2230" i="7" s="1"/>
  <c r="T2230" i="7" s="1"/>
  <c r="N2230" i="7"/>
  <c r="Q2231" i="7"/>
  <c r="S2231" i="7" s="1"/>
  <c r="V2230" i="7"/>
  <c r="Z2228" i="7"/>
  <c r="AB2229" i="7"/>
  <c r="W2229" i="7"/>
  <c r="AG2231" i="7" l="1"/>
  <c r="AH2231" i="7" s="1"/>
  <c r="T2231" i="7" s="1"/>
  <c r="Z2229" i="7"/>
  <c r="N2231" i="7"/>
  <c r="Q2232" i="7"/>
  <c r="S2232" i="7" s="1"/>
  <c r="V2231" i="7"/>
  <c r="AB2230" i="7"/>
  <c r="W2230" i="7"/>
  <c r="AG2232" i="7" l="1"/>
  <c r="AH2232" i="7" s="1"/>
  <c r="T2232" i="7" s="1"/>
  <c r="Q2233" i="7" s="1"/>
  <c r="S2233" i="7" s="1"/>
  <c r="N2232" i="7"/>
  <c r="V2232" i="7"/>
  <c r="Z2230" i="7"/>
  <c r="AB2231" i="7"/>
  <c r="W2231" i="7"/>
  <c r="AG2233" i="7" l="1"/>
  <c r="AH2233" i="7" s="1"/>
  <c r="T2233" i="7" s="1"/>
  <c r="Q2234" i="7" s="1"/>
  <c r="S2234" i="7" s="1"/>
  <c r="Z2231" i="7"/>
  <c r="AB2232" i="7"/>
  <c r="W2232" i="7"/>
  <c r="V2233" i="7"/>
  <c r="N2233" i="7"/>
  <c r="AG2234" i="7" l="1"/>
  <c r="AH2234" i="7" s="1"/>
  <c r="T2234" i="7" s="1"/>
  <c r="Q2235" i="7" s="1"/>
  <c r="S2235" i="7" s="1"/>
  <c r="AB2233" i="7"/>
  <c r="W2233" i="7"/>
  <c r="N2234" i="7"/>
  <c r="V2234" i="7"/>
  <c r="Z2232" i="7"/>
  <c r="AG2235" i="7" l="1"/>
  <c r="AH2235" i="7" s="1"/>
  <c r="T2235" i="7" s="1"/>
  <c r="Q2236" i="7" s="1"/>
  <c r="S2236" i="7" s="1"/>
  <c r="N2235" i="7"/>
  <c r="V2235" i="7"/>
  <c r="AB2234" i="7"/>
  <c r="W2234" i="7"/>
  <c r="Z2233" i="7"/>
  <c r="AG2236" i="7" l="1"/>
  <c r="AH2236" i="7" s="1"/>
  <c r="T2236" i="7" s="1"/>
  <c r="Q2237" i="7" s="1"/>
  <c r="S2237" i="7" s="1"/>
  <c r="Z2234" i="7"/>
  <c r="V2236" i="7"/>
  <c r="N2236" i="7"/>
  <c r="AB2235" i="7"/>
  <c r="W2235" i="7"/>
  <c r="AG2237" i="7" l="1"/>
  <c r="AH2237" i="7" s="1"/>
  <c r="T2237" i="7" s="1"/>
  <c r="Q2238" i="7" s="1"/>
  <c r="S2238" i="7" s="1"/>
  <c r="N2237" i="7"/>
  <c r="V2237" i="7"/>
  <c r="W2236" i="7"/>
  <c r="AB2236" i="7"/>
  <c r="Z2235" i="7"/>
  <c r="AG2238" i="7" l="1"/>
  <c r="AH2238" i="7" s="1"/>
  <c r="T2238" i="7" s="1"/>
  <c r="Q2239" i="7" s="1"/>
  <c r="S2239" i="7" s="1"/>
  <c r="AB2237" i="7"/>
  <c r="W2237" i="7"/>
  <c r="Z2236" i="7"/>
  <c r="V2238" i="7"/>
  <c r="N2238" i="7"/>
  <c r="AG2239" i="7" l="1"/>
  <c r="AH2239" i="7" s="1"/>
  <c r="T2239" i="7" s="1"/>
  <c r="Q2240" i="7" s="1"/>
  <c r="S2240" i="7" s="1"/>
  <c r="V2239" i="7"/>
  <c r="N2239" i="7"/>
  <c r="AB2238" i="7"/>
  <c r="W2238" i="7"/>
  <c r="Z2237" i="7"/>
  <c r="AG2240" i="7" l="1"/>
  <c r="AH2240" i="7" s="1"/>
  <c r="T2240" i="7" s="1"/>
  <c r="Q2241" i="7" s="1"/>
  <c r="S2241" i="7" s="1"/>
  <c r="Z2238" i="7"/>
  <c r="AB2239" i="7"/>
  <c r="W2239" i="7"/>
  <c r="N2240" i="7"/>
  <c r="V2240" i="7"/>
  <c r="AG2241" i="7" l="1"/>
  <c r="AH2241" i="7" s="1"/>
  <c r="T2241" i="7" s="1"/>
  <c r="Q2242" i="7" s="1"/>
  <c r="S2242" i="7" s="1"/>
  <c r="N2241" i="7"/>
  <c r="V2241" i="7"/>
  <c r="Z2239" i="7"/>
  <c r="W2240" i="7"/>
  <c r="AB2240" i="7"/>
  <c r="AG2242" i="7" l="1"/>
  <c r="AH2242" i="7" s="1"/>
  <c r="T2242" i="7" s="1"/>
  <c r="Q2243" i="7" s="1"/>
  <c r="S2243" i="7" s="1"/>
  <c r="N2242" i="7"/>
  <c r="V2242" i="7"/>
  <c r="Z2240" i="7"/>
  <c r="AB2241" i="7"/>
  <c r="W2241" i="7"/>
  <c r="AG2243" i="7" l="1"/>
  <c r="AH2243" i="7" s="1"/>
  <c r="T2243" i="7" s="1"/>
  <c r="Q2244" i="7" s="1"/>
  <c r="S2244" i="7" s="1"/>
  <c r="AB2242" i="7"/>
  <c r="W2242" i="7"/>
  <c r="Z2241" i="7"/>
  <c r="N2243" i="7"/>
  <c r="V2243" i="7"/>
  <c r="AG2244" i="7" l="1"/>
  <c r="AH2244" i="7" s="1"/>
  <c r="T2244" i="7" s="1"/>
  <c r="Q2245" i="7" s="1"/>
  <c r="S2245" i="7" s="1"/>
  <c r="W2243" i="7"/>
  <c r="AB2243" i="7"/>
  <c r="N2244" i="7"/>
  <c r="V2244" i="7"/>
  <c r="Z2242" i="7"/>
  <c r="AG2245" i="7" l="1"/>
  <c r="AH2245" i="7" s="1"/>
  <c r="T2245" i="7" s="1"/>
  <c r="Q2246" i="7" s="1"/>
  <c r="S2246" i="7" s="1"/>
  <c r="V2245" i="7"/>
  <c r="N2245" i="7"/>
  <c r="W2244" i="7"/>
  <c r="AB2244" i="7"/>
  <c r="Z2243" i="7"/>
  <c r="AG2246" i="7" l="1"/>
  <c r="AH2246" i="7" s="1"/>
  <c r="T2246" i="7" s="1"/>
  <c r="Q2247" i="7" s="1"/>
  <c r="S2247" i="7" s="1"/>
  <c r="V2246" i="7"/>
  <c r="N2246" i="7"/>
  <c r="Z2244" i="7"/>
  <c r="W2245" i="7"/>
  <c r="AB2245" i="7"/>
  <c r="AG2247" i="7" l="1"/>
  <c r="AH2247" i="7" s="1"/>
  <c r="T2247" i="7" s="1"/>
  <c r="Q2248" i="7" s="1"/>
  <c r="S2248" i="7" s="1"/>
  <c r="Z2245" i="7"/>
  <c r="AB2246" i="7"/>
  <c r="W2246" i="7"/>
  <c r="N2247" i="7"/>
  <c r="V2247" i="7"/>
  <c r="AG2248" i="7" l="1"/>
  <c r="AH2248" i="7" s="1"/>
  <c r="T2248" i="7" s="1"/>
  <c r="Q2249" i="7" s="1"/>
  <c r="S2249" i="7" s="1"/>
  <c r="AB2247" i="7"/>
  <c r="W2247" i="7"/>
  <c r="Z2246" i="7"/>
  <c r="V2248" i="7"/>
  <c r="N2248" i="7"/>
  <c r="AG2249" i="7" l="1"/>
  <c r="AH2249" i="7" s="1"/>
  <c r="T2249" i="7" s="1"/>
  <c r="Q2250" i="7" s="1"/>
  <c r="S2250" i="7" s="1"/>
  <c r="N2249" i="7"/>
  <c r="V2249" i="7"/>
  <c r="W2248" i="7"/>
  <c r="AB2248" i="7"/>
  <c r="Z2247" i="7"/>
  <c r="AG2250" i="7" l="1"/>
  <c r="AH2250" i="7" s="1"/>
  <c r="T2250" i="7" s="1"/>
  <c r="Q2251" i="7" s="1"/>
  <c r="S2251" i="7" s="1"/>
  <c r="AB2249" i="7"/>
  <c r="W2249" i="7"/>
  <c r="Z2248" i="7"/>
  <c r="V2250" i="7"/>
  <c r="N2250" i="7"/>
  <c r="AG2251" i="7" l="1"/>
  <c r="AH2251" i="7" s="1"/>
  <c r="T2251" i="7" s="1"/>
  <c r="Q2252" i="7" s="1"/>
  <c r="S2252" i="7" s="1"/>
  <c r="AB2250" i="7"/>
  <c r="W2250" i="7"/>
  <c r="V2251" i="7"/>
  <c r="N2251" i="7"/>
  <c r="Z2249" i="7"/>
  <c r="AG2252" i="7" l="1"/>
  <c r="AH2252" i="7" s="1"/>
  <c r="T2252" i="7" s="1"/>
  <c r="Q2253" i="7" s="1"/>
  <c r="S2253" i="7" s="1"/>
  <c r="V2252" i="7"/>
  <c r="N2252" i="7"/>
  <c r="W2251" i="7"/>
  <c r="AB2251" i="7"/>
  <c r="Z2250" i="7"/>
  <c r="AG2253" i="7" l="1"/>
  <c r="AH2253" i="7" s="1"/>
  <c r="T2253" i="7" s="1"/>
  <c r="Q2254" i="7" s="1"/>
  <c r="S2254" i="7" s="1"/>
  <c r="Z2251" i="7"/>
  <c r="W2252" i="7"/>
  <c r="AB2252" i="7"/>
  <c r="N2253" i="7"/>
  <c r="V2253" i="7"/>
  <c r="AG2254" i="7" l="1"/>
  <c r="AH2254" i="7" s="1"/>
  <c r="T2254" i="7" s="1"/>
  <c r="Q2255" i="7" s="1"/>
  <c r="S2255" i="7" s="1"/>
  <c r="V2254" i="7"/>
  <c r="N2254" i="7"/>
  <c r="AB2253" i="7"/>
  <c r="W2253" i="7"/>
  <c r="Z2252" i="7"/>
  <c r="AG2255" i="7" l="1"/>
  <c r="AH2255" i="7" s="1"/>
  <c r="T2255" i="7" s="1"/>
  <c r="Q2256" i="7" s="1"/>
  <c r="S2256" i="7" s="1"/>
  <c r="N2255" i="7"/>
  <c r="V2255" i="7"/>
  <c r="Z2253" i="7"/>
  <c r="AB2254" i="7"/>
  <c r="W2254" i="7"/>
  <c r="AG2256" i="7" l="1"/>
  <c r="AH2256" i="7" s="1"/>
  <c r="T2256" i="7" s="1"/>
  <c r="Q2257" i="7" s="1"/>
  <c r="S2257" i="7" s="1"/>
  <c r="Z2254" i="7"/>
  <c r="W2255" i="7"/>
  <c r="AB2255" i="7"/>
  <c r="V2256" i="7"/>
  <c r="N2256" i="7"/>
  <c r="AG2257" i="7" l="1"/>
  <c r="AH2257" i="7" s="1"/>
  <c r="T2257" i="7" s="1"/>
  <c r="Q2258" i="7" s="1"/>
  <c r="S2258" i="7" s="1"/>
  <c r="W2256" i="7"/>
  <c r="AB2256" i="7"/>
  <c r="V2257" i="7"/>
  <c r="N2257" i="7"/>
  <c r="Z2255" i="7"/>
  <c r="AG2258" i="7" l="1"/>
  <c r="AH2258" i="7" s="1"/>
  <c r="T2258" i="7" s="1"/>
  <c r="Q2259" i="7" s="1"/>
  <c r="S2259" i="7" s="1"/>
  <c r="W2257" i="7"/>
  <c r="AB2257" i="7"/>
  <c r="V2258" i="7"/>
  <c r="N2258" i="7"/>
  <c r="Z2256" i="7"/>
  <c r="AG2259" i="7" l="1"/>
  <c r="AH2259" i="7" s="1"/>
  <c r="T2259" i="7" s="1"/>
  <c r="Q2260" i="7" s="1"/>
  <c r="S2260" i="7" s="1"/>
  <c r="V2259" i="7"/>
  <c r="N2259" i="7"/>
  <c r="Z2257" i="7"/>
  <c r="AB2258" i="7"/>
  <c r="W2258" i="7"/>
  <c r="AG2260" i="7" l="1"/>
  <c r="AH2260" i="7" s="1"/>
  <c r="T2260" i="7" s="1"/>
  <c r="Q2261" i="7" s="1"/>
  <c r="S2261" i="7" s="1"/>
  <c r="N2260" i="7"/>
  <c r="V2260" i="7"/>
  <c r="Z2258" i="7"/>
  <c r="AB2259" i="7"/>
  <c r="W2259" i="7"/>
  <c r="AG2261" i="7" l="1"/>
  <c r="AH2261" i="7" s="1"/>
  <c r="T2261" i="7" s="1"/>
  <c r="Q2262" i="7" s="1"/>
  <c r="S2262" i="7" s="1"/>
  <c r="W2260" i="7"/>
  <c r="AB2260" i="7"/>
  <c r="Z2259" i="7"/>
  <c r="V2261" i="7"/>
  <c r="N2261" i="7"/>
  <c r="AG2262" i="7" l="1"/>
  <c r="AH2262" i="7" s="1"/>
  <c r="T2262" i="7" s="1"/>
  <c r="Q2263" i="7" s="1"/>
  <c r="S2263" i="7" s="1"/>
  <c r="W2261" i="7"/>
  <c r="AB2261" i="7"/>
  <c r="N2262" i="7"/>
  <c r="V2262" i="7"/>
  <c r="Z2260" i="7"/>
  <c r="AG2263" i="7" l="1"/>
  <c r="AH2263" i="7" s="1"/>
  <c r="T2263" i="7" s="1"/>
  <c r="Q2264" i="7" s="1"/>
  <c r="S2264" i="7" s="1"/>
  <c r="N2263" i="7"/>
  <c r="V2263" i="7"/>
  <c r="Z2261" i="7"/>
  <c r="W2262" i="7"/>
  <c r="AB2262" i="7"/>
  <c r="AG2264" i="7" l="1"/>
  <c r="AH2264" i="7" s="1"/>
  <c r="T2264" i="7" s="1"/>
  <c r="Q2265" i="7" s="1"/>
  <c r="S2265" i="7" s="1"/>
  <c r="W2263" i="7"/>
  <c r="AB2263" i="7"/>
  <c r="Z2262" i="7"/>
  <c r="V2264" i="7"/>
  <c r="N2264" i="7"/>
  <c r="AG2265" i="7" l="1"/>
  <c r="AH2265" i="7" s="1"/>
  <c r="T2265" i="7" s="1"/>
  <c r="Q2266" i="7" s="1"/>
  <c r="S2266" i="7" s="1"/>
  <c r="V2265" i="7"/>
  <c r="N2265" i="7"/>
  <c r="AB2264" i="7"/>
  <c r="W2264" i="7"/>
  <c r="Z2263" i="7"/>
  <c r="AG2266" i="7" l="1"/>
  <c r="AH2266" i="7" s="1"/>
  <c r="T2266" i="7" s="1"/>
  <c r="Q2267" i="7" s="1"/>
  <c r="S2267" i="7" s="1"/>
  <c r="V2266" i="7"/>
  <c r="N2266" i="7"/>
  <c r="Z2264" i="7"/>
  <c r="W2265" i="7"/>
  <c r="AB2265" i="7"/>
  <c r="AG2267" i="7" l="1"/>
  <c r="AH2267" i="7" s="1"/>
  <c r="T2267" i="7" s="1"/>
  <c r="Q2268" i="7" s="1"/>
  <c r="S2268" i="7" s="1"/>
  <c r="Z2265" i="7"/>
  <c r="V2267" i="7"/>
  <c r="N2267" i="7"/>
  <c r="W2266" i="7"/>
  <c r="AB2266" i="7"/>
  <c r="AG2268" i="7" l="1"/>
  <c r="AH2268" i="7" s="1"/>
  <c r="T2268" i="7" s="1"/>
  <c r="Q2269" i="7" s="1"/>
  <c r="S2269" i="7" s="1"/>
  <c r="N2268" i="7"/>
  <c r="V2268" i="7"/>
  <c r="W2267" i="7"/>
  <c r="AB2267" i="7"/>
  <c r="Z2266" i="7"/>
  <c r="AG2269" i="7" l="1"/>
  <c r="AH2269" i="7" s="1"/>
  <c r="T2269" i="7" s="1"/>
  <c r="Q2270" i="7" s="1"/>
  <c r="S2270" i="7" s="1"/>
  <c r="AB2268" i="7"/>
  <c r="W2268" i="7"/>
  <c r="Z2267" i="7"/>
  <c r="V2269" i="7"/>
  <c r="N2269" i="7"/>
  <c r="AG2270" i="7" l="1"/>
  <c r="AH2270" i="7" s="1"/>
  <c r="T2270" i="7" s="1"/>
  <c r="Q2271" i="7" s="1"/>
  <c r="S2271" i="7" s="1"/>
  <c r="N2270" i="7"/>
  <c r="V2270" i="7"/>
  <c r="AB2269" i="7"/>
  <c r="W2269" i="7"/>
  <c r="Z2268" i="7"/>
  <c r="AG2271" i="7" l="1"/>
  <c r="AH2271" i="7" s="1"/>
  <c r="T2271" i="7" s="1"/>
  <c r="Q2272" i="7" s="1"/>
  <c r="S2272" i="7" s="1"/>
  <c r="V2271" i="7"/>
  <c r="N2271" i="7"/>
  <c r="Z2269" i="7"/>
  <c r="W2270" i="7"/>
  <c r="AB2270" i="7"/>
  <c r="AG2272" i="7" l="1"/>
  <c r="AH2272" i="7" s="1"/>
  <c r="T2272" i="7" s="1"/>
  <c r="Q2273" i="7" s="1"/>
  <c r="S2273" i="7" s="1"/>
  <c r="V2272" i="7"/>
  <c r="N2272" i="7"/>
  <c r="Z2270" i="7"/>
  <c r="W2271" i="7"/>
  <c r="AB2271" i="7"/>
  <c r="AG2273" i="7" l="1"/>
  <c r="AH2273" i="7" s="1"/>
  <c r="T2273" i="7" s="1"/>
  <c r="Q2274" i="7" s="1"/>
  <c r="S2274" i="7" s="1"/>
  <c r="Z2271" i="7"/>
  <c r="W2272" i="7"/>
  <c r="AB2272" i="7"/>
  <c r="N2273" i="7"/>
  <c r="V2273" i="7"/>
  <c r="AG2274" i="7" l="1"/>
  <c r="AH2274" i="7" s="1"/>
  <c r="T2274" i="7" s="1"/>
  <c r="Q2275" i="7" s="1"/>
  <c r="S2275" i="7" s="1"/>
  <c r="W2273" i="7"/>
  <c r="AB2273" i="7"/>
  <c r="Z2272" i="7"/>
  <c r="N2274" i="7"/>
  <c r="V2274" i="7"/>
  <c r="AG2275" i="7" l="1"/>
  <c r="AH2275" i="7" s="1"/>
  <c r="T2275" i="7" s="1"/>
  <c r="Q2276" i="7" s="1"/>
  <c r="S2276" i="7" s="1"/>
  <c r="W2274" i="7"/>
  <c r="AB2274" i="7"/>
  <c r="Z2273" i="7"/>
  <c r="V2275" i="7"/>
  <c r="N2275" i="7"/>
  <c r="AG2276" i="7" l="1"/>
  <c r="AH2276" i="7" s="1"/>
  <c r="T2276" i="7" s="1"/>
  <c r="Q2277" i="7" s="1"/>
  <c r="S2277" i="7" s="1"/>
  <c r="V2276" i="7"/>
  <c r="N2276" i="7"/>
  <c r="AB2275" i="7"/>
  <c r="W2275" i="7"/>
  <c r="Z2274" i="7"/>
  <c r="AG2277" i="7" l="1"/>
  <c r="AH2277" i="7" s="1"/>
  <c r="T2277" i="7" s="1"/>
  <c r="Q2278" i="7" s="1"/>
  <c r="S2278" i="7" s="1"/>
  <c r="W2276" i="7"/>
  <c r="AB2276" i="7"/>
  <c r="Z2275" i="7"/>
  <c r="V2277" i="7"/>
  <c r="N2277" i="7"/>
  <c r="AG2278" i="7" l="1"/>
  <c r="AH2278" i="7" s="1"/>
  <c r="T2278" i="7" s="1"/>
  <c r="Q2279" i="7" s="1"/>
  <c r="S2279" i="7" s="1"/>
  <c r="W2277" i="7"/>
  <c r="AB2277" i="7"/>
  <c r="Z2276" i="7"/>
  <c r="V2278" i="7"/>
  <c r="N2278" i="7"/>
  <c r="AG2279" i="7" l="1"/>
  <c r="AH2279" i="7" s="1"/>
  <c r="T2279" i="7" s="1"/>
  <c r="Q2280" i="7" s="1"/>
  <c r="S2280" i="7" s="1"/>
  <c r="W2278" i="7"/>
  <c r="AB2278" i="7"/>
  <c r="Z2277" i="7"/>
  <c r="V2279" i="7"/>
  <c r="N2279" i="7"/>
  <c r="AG2280" i="7" l="1"/>
  <c r="AH2280" i="7" s="1"/>
  <c r="T2280" i="7" s="1"/>
  <c r="Q2281" i="7" s="1"/>
  <c r="S2281" i="7" s="1"/>
  <c r="AB2279" i="7"/>
  <c r="W2279" i="7"/>
  <c r="Z2278" i="7"/>
  <c r="V2280" i="7"/>
  <c r="N2280" i="7"/>
  <c r="AG2281" i="7" l="1"/>
  <c r="AH2281" i="7" s="1"/>
  <c r="T2281" i="7" s="1"/>
  <c r="Q2282" i="7" s="1"/>
  <c r="S2282" i="7" s="1"/>
  <c r="V2281" i="7"/>
  <c r="N2281" i="7"/>
  <c r="W2280" i="7"/>
  <c r="AB2280" i="7"/>
  <c r="Z2279" i="7"/>
  <c r="AG2282" i="7" l="1"/>
  <c r="AH2282" i="7" s="1"/>
  <c r="T2282" i="7" s="1"/>
  <c r="Q2283" i="7" s="1"/>
  <c r="S2283" i="7" s="1"/>
  <c r="Z2280" i="7"/>
  <c r="N2282" i="7"/>
  <c r="V2282" i="7"/>
  <c r="W2281" i="7"/>
  <c r="AB2281" i="7"/>
  <c r="AG2283" i="7" l="1"/>
  <c r="AH2283" i="7" s="1"/>
  <c r="T2283" i="7" s="1"/>
  <c r="Q2284" i="7" s="1"/>
  <c r="S2284" i="7" s="1"/>
  <c r="Z2281" i="7"/>
  <c r="N2283" i="7"/>
  <c r="V2283" i="7"/>
  <c r="AB2282" i="7"/>
  <c r="W2282" i="7"/>
  <c r="AG2284" i="7" l="1"/>
  <c r="AH2284" i="7" s="1"/>
  <c r="T2284" i="7" s="1"/>
  <c r="Q2285" i="7" s="1"/>
  <c r="S2285" i="7" s="1"/>
  <c r="W2283" i="7"/>
  <c r="AB2283" i="7"/>
  <c r="V2284" i="7"/>
  <c r="N2284" i="7"/>
  <c r="Z2282" i="7"/>
  <c r="AG2285" i="7" l="1"/>
  <c r="AH2285" i="7" s="1"/>
  <c r="T2285" i="7" s="1"/>
  <c r="Q2286" i="7" s="1"/>
  <c r="S2286" i="7" s="1"/>
  <c r="W2284" i="7"/>
  <c r="AB2284" i="7"/>
  <c r="V2285" i="7"/>
  <c r="N2285" i="7"/>
  <c r="Z2283" i="7"/>
  <c r="AG2286" i="7" l="1"/>
  <c r="AH2286" i="7" s="1"/>
  <c r="T2286" i="7" s="1"/>
  <c r="Q2287" i="7" s="1"/>
  <c r="S2287" i="7" s="1"/>
  <c r="V2286" i="7"/>
  <c r="N2286" i="7"/>
  <c r="Z2284" i="7"/>
  <c r="AB2285" i="7"/>
  <c r="W2285" i="7"/>
  <c r="AG2287" i="7" l="1"/>
  <c r="AH2287" i="7" s="1"/>
  <c r="T2287" i="7" s="1"/>
  <c r="Q2288" i="7" s="1"/>
  <c r="S2288" i="7" s="1"/>
  <c r="N2287" i="7"/>
  <c r="V2287" i="7"/>
  <c r="Z2285" i="7"/>
  <c r="AB2286" i="7"/>
  <c r="W2286" i="7"/>
  <c r="AG2288" i="7" l="1"/>
  <c r="AH2288" i="7" s="1"/>
  <c r="T2288" i="7" s="1"/>
  <c r="Q2289" i="7" s="1"/>
  <c r="S2289" i="7" s="1"/>
  <c r="Z2286" i="7"/>
  <c r="V2288" i="7"/>
  <c r="N2288" i="7"/>
  <c r="W2287" i="7"/>
  <c r="AB2287" i="7"/>
  <c r="AG2289" i="7" l="1"/>
  <c r="AH2289" i="7" s="1"/>
  <c r="T2289" i="7" s="1"/>
  <c r="Q2290" i="7" s="1"/>
  <c r="S2290" i="7" s="1"/>
  <c r="Z2287" i="7"/>
  <c r="W2288" i="7"/>
  <c r="AB2288" i="7"/>
  <c r="N2289" i="7"/>
  <c r="V2289" i="7"/>
  <c r="AG2290" i="7" l="1"/>
  <c r="AH2290" i="7" s="1"/>
  <c r="T2290" i="7" s="1"/>
  <c r="Q2291" i="7" s="1"/>
  <c r="S2291" i="7" s="1"/>
  <c r="AB2289" i="7"/>
  <c r="W2289" i="7"/>
  <c r="Z2288" i="7"/>
  <c r="V2290" i="7"/>
  <c r="N2290" i="7"/>
  <c r="AG2291" i="7" l="1"/>
  <c r="AH2291" i="7" s="1"/>
  <c r="T2291" i="7" s="1"/>
  <c r="Q2292" i="7" s="1"/>
  <c r="S2292" i="7" s="1"/>
  <c r="W2290" i="7"/>
  <c r="AB2290" i="7"/>
  <c r="V2291" i="7"/>
  <c r="N2291" i="7"/>
  <c r="Z2289" i="7"/>
  <c r="AG2292" i="7" l="1"/>
  <c r="AH2292" i="7" s="1"/>
  <c r="T2292" i="7" s="1"/>
  <c r="Q2293" i="7" s="1"/>
  <c r="S2293" i="7" s="1"/>
  <c r="W2291" i="7"/>
  <c r="AB2291" i="7"/>
  <c r="V2292" i="7"/>
  <c r="N2292" i="7"/>
  <c r="Z2290" i="7"/>
  <c r="AG2293" i="7" l="1"/>
  <c r="AH2293" i="7" s="1"/>
  <c r="T2293" i="7" s="1"/>
  <c r="Q2294" i="7" s="1"/>
  <c r="S2294" i="7" s="1"/>
  <c r="V2293" i="7"/>
  <c r="N2293" i="7"/>
  <c r="W2292" i="7"/>
  <c r="AB2292" i="7"/>
  <c r="Z2291" i="7"/>
  <c r="AG2294" i="7" l="1"/>
  <c r="AH2294" i="7" s="1"/>
  <c r="T2294" i="7" s="1"/>
  <c r="Q2295" i="7" s="1"/>
  <c r="S2295" i="7" s="1"/>
  <c r="N2294" i="7"/>
  <c r="V2294" i="7"/>
  <c r="Z2292" i="7"/>
  <c r="W2293" i="7"/>
  <c r="AB2293" i="7"/>
  <c r="AG2295" i="7" l="1"/>
  <c r="AH2295" i="7" s="1"/>
  <c r="T2295" i="7" s="1"/>
  <c r="Q2296" i="7" s="1"/>
  <c r="S2296" i="7" s="1"/>
  <c r="W2294" i="7"/>
  <c r="AB2294" i="7"/>
  <c r="Z2293" i="7"/>
  <c r="V2295" i="7"/>
  <c r="N2295" i="7"/>
  <c r="AG2296" i="7" l="1"/>
  <c r="AH2296" i="7" s="1"/>
  <c r="T2296" i="7" s="1"/>
  <c r="Q2297" i="7" s="1"/>
  <c r="S2297" i="7" s="1"/>
  <c r="V2296" i="7"/>
  <c r="N2296" i="7"/>
  <c r="W2295" i="7"/>
  <c r="AB2295" i="7"/>
  <c r="Z2294" i="7"/>
  <c r="AG2297" i="7" l="1"/>
  <c r="AH2297" i="7" s="1"/>
  <c r="T2297" i="7" s="1"/>
  <c r="Q2298" i="7" s="1"/>
  <c r="S2298" i="7" s="1"/>
  <c r="W2296" i="7"/>
  <c r="AB2296" i="7"/>
  <c r="Z2295" i="7"/>
  <c r="V2297" i="7"/>
  <c r="N2297" i="7"/>
  <c r="AG2298" i="7" l="1"/>
  <c r="AH2298" i="7" s="1"/>
  <c r="T2298" i="7" s="1"/>
  <c r="Q2299" i="7" s="1"/>
  <c r="S2299" i="7" s="1"/>
  <c r="W2297" i="7"/>
  <c r="AB2297" i="7"/>
  <c r="Z2296" i="7"/>
  <c r="V2298" i="7"/>
  <c r="N2298" i="7"/>
  <c r="AG2299" i="7" l="1"/>
  <c r="AH2299" i="7" s="1"/>
  <c r="T2299" i="7" s="1"/>
  <c r="Q2300" i="7" s="1"/>
  <c r="S2300" i="7" s="1"/>
  <c r="N2299" i="7"/>
  <c r="V2299" i="7"/>
  <c r="Z2297" i="7"/>
  <c r="AB2298" i="7"/>
  <c r="W2298" i="7"/>
  <c r="AG2300" i="7" l="1"/>
  <c r="AH2300" i="7" s="1"/>
  <c r="T2300" i="7" s="1"/>
  <c r="Q2301" i="7" s="1"/>
  <c r="S2301" i="7" s="1"/>
  <c r="Z2298" i="7"/>
  <c r="W2299" i="7"/>
  <c r="AB2299" i="7"/>
  <c r="V2300" i="7"/>
  <c r="N2300" i="7"/>
  <c r="AG2301" i="7" l="1"/>
  <c r="AH2301" i="7" s="1"/>
  <c r="T2301" i="7" s="1"/>
  <c r="Q2302" i="7" s="1"/>
  <c r="S2302" i="7" s="1"/>
  <c r="Z2299" i="7"/>
  <c r="V2301" i="7"/>
  <c r="N2301" i="7"/>
  <c r="W2300" i="7"/>
  <c r="AB2300" i="7"/>
  <c r="AG2302" i="7" l="1"/>
  <c r="AH2302" i="7" s="1"/>
  <c r="T2302" i="7" s="1"/>
  <c r="Q2303" i="7" s="1"/>
  <c r="S2303" i="7" s="1"/>
  <c r="Z2300" i="7"/>
  <c r="W2301" i="7"/>
  <c r="AB2301" i="7"/>
  <c r="V2302" i="7"/>
  <c r="N2302" i="7"/>
  <c r="AG2303" i="7" l="1"/>
  <c r="AH2303" i="7" s="1"/>
  <c r="T2303" i="7" s="1"/>
  <c r="Q2304" i="7" s="1"/>
  <c r="S2304" i="7" s="1"/>
  <c r="Z2301" i="7"/>
  <c r="W2302" i="7"/>
  <c r="AB2302" i="7"/>
  <c r="V2303" i="7"/>
  <c r="N2303" i="7"/>
  <c r="AG2304" i="7" l="1"/>
  <c r="AH2304" i="7" s="1"/>
  <c r="T2304" i="7" s="1"/>
  <c r="Q2305" i="7" s="1"/>
  <c r="S2305" i="7" s="1"/>
  <c r="W2303" i="7"/>
  <c r="AB2303" i="7"/>
  <c r="Z2302" i="7"/>
  <c r="V2304" i="7"/>
  <c r="N2304" i="7"/>
  <c r="AG2305" i="7" l="1"/>
  <c r="AH2305" i="7" s="1"/>
  <c r="T2305" i="7" s="1"/>
  <c r="Q2306" i="7" s="1"/>
  <c r="S2306" i="7" s="1"/>
  <c r="N2305" i="7"/>
  <c r="V2305" i="7"/>
  <c r="W2304" i="7"/>
  <c r="AB2304" i="7"/>
  <c r="Z2303" i="7"/>
  <c r="AG2306" i="7" l="1"/>
  <c r="AH2306" i="7" s="1"/>
  <c r="T2306" i="7" s="1"/>
  <c r="Q2307" i="7" s="1"/>
  <c r="S2307" i="7" s="1"/>
  <c r="V2306" i="7"/>
  <c r="N2306" i="7"/>
  <c r="W2305" i="7"/>
  <c r="AB2305" i="7"/>
  <c r="Z2304" i="7"/>
  <c r="AG2307" i="7" l="1"/>
  <c r="AH2307" i="7" s="1"/>
  <c r="T2307" i="7" s="1"/>
  <c r="Q2308" i="7" s="1"/>
  <c r="S2308" i="7" s="1"/>
  <c r="V2307" i="7"/>
  <c r="N2307" i="7"/>
  <c r="Z2305" i="7"/>
  <c r="W2306" i="7"/>
  <c r="AB2306" i="7"/>
  <c r="AG2308" i="7" l="1"/>
  <c r="AH2308" i="7" s="1"/>
  <c r="T2308" i="7" s="1"/>
  <c r="Q2309" i="7" s="1"/>
  <c r="S2309" i="7" s="1"/>
  <c r="Z2306" i="7"/>
  <c r="AB2307" i="7"/>
  <c r="W2307" i="7"/>
  <c r="V2308" i="7"/>
  <c r="N2308" i="7"/>
  <c r="AG2309" i="7" l="1"/>
  <c r="AH2309" i="7" s="1"/>
  <c r="T2309" i="7" s="1"/>
  <c r="Q2310" i="7" s="1"/>
  <c r="S2310" i="7" s="1"/>
  <c r="N2309" i="7"/>
  <c r="V2309" i="7"/>
  <c r="Z2307" i="7"/>
  <c r="AB2308" i="7"/>
  <c r="W2308" i="7"/>
  <c r="AG2310" i="7" l="1"/>
  <c r="AH2310" i="7" s="1"/>
  <c r="T2310" i="7" s="1"/>
  <c r="Q2311" i="7" s="1"/>
  <c r="S2311" i="7" s="1"/>
  <c r="Z2308" i="7"/>
  <c r="N2310" i="7"/>
  <c r="V2310" i="7"/>
  <c r="AB2309" i="7"/>
  <c r="W2309" i="7"/>
  <c r="AG2311" i="7" l="1"/>
  <c r="AH2311" i="7" s="1"/>
  <c r="T2311" i="7" s="1"/>
  <c r="Q2312" i="7" s="1"/>
  <c r="S2312" i="7" s="1"/>
  <c r="N2311" i="7"/>
  <c r="V2311" i="7"/>
  <c r="Z2309" i="7"/>
  <c r="W2310" i="7"/>
  <c r="AB2310" i="7"/>
  <c r="AG2312" i="7" l="1"/>
  <c r="AH2312" i="7" s="1"/>
  <c r="T2312" i="7" s="1"/>
  <c r="Q2313" i="7" s="1"/>
  <c r="S2313" i="7" s="1"/>
  <c r="W2311" i="7"/>
  <c r="AB2311" i="7"/>
  <c r="N2312" i="7"/>
  <c r="V2312" i="7"/>
  <c r="Z2310" i="7"/>
  <c r="AG2313" i="7" l="1"/>
  <c r="AH2313" i="7" s="1"/>
  <c r="T2313" i="7" s="1"/>
  <c r="Q2314" i="7" s="1"/>
  <c r="S2314" i="7" s="1"/>
  <c r="N2313" i="7"/>
  <c r="V2313" i="7"/>
  <c r="W2312" i="7"/>
  <c r="AB2312" i="7"/>
  <c r="Z2311" i="7"/>
  <c r="AG2314" i="7" l="1"/>
  <c r="AH2314" i="7" s="1"/>
  <c r="T2314" i="7" s="1"/>
  <c r="Q2315" i="7" s="1"/>
  <c r="S2315" i="7" s="1"/>
  <c r="Z2312" i="7"/>
  <c r="AB2313" i="7"/>
  <c r="W2313" i="7"/>
  <c r="N2314" i="7"/>
  <c r="V2314" i="7"/>
  <c r="AG2315" i="7" l="1"/>
  <c r="AH2315" i="7" s="1"/>
  <c r="T2315" i="7" s="1"/>
  <c r="Q2316" i="7" s="1"/>
  <c r="S2316" i="7" s="1"/>
  <c r="N2315" i="7"/>
  <c r="V2315" i="7"/>
  <c r="Z2313" i="7"/>
  <c r="W2314" i="7"/>
  <c r="AB2314" i="7"/>
  <c r="AG2316" i="7" l="1"/>
  <c r="AH2316" i="7" s="1"/>
  <c r="T2316" i="7" s="1"/>
  <c r="Q2317" i="7" s="1"/>
  <c r="S2317" i="7" s="1"/>
  <c r="N2316" i="7"/>
  <c r="V2316" i="7"/>
  <c r="W2315" i="7"/>
  <c r="AB2315" i="7"/>
  <c r="Z2314" i="7"/>
  <c r="AG2317" i="7" l="1"/>
  <c r="AH2317" i="7" s="1"/>
  <c r="T2317" i="7" s="1"/>
  <c r="Q2318" i="7" s="1"/>
  <c r="S2318" i="7" s="1"/>
  <c r="W2316" i="7"/>
  <c r="AB2316" i="7"/>
  <c r="Z2315" i="7"/>
  <c r="V2317" i="7"/>
  <c r="N2317" i="7"/>
  <c r="AG2318" i="7" l="1"/>
  <c r="AH2318" i="7" s="1"/>
  <c r="T2318" i="7" s="1"/>
  <c r="Q2319" i="7" s="1"/>
  <c r="S2319" i="7" s="1"/>
  <c r="AB2317" i="7"/>
  <c r="W2317" i="7"/>
  <c r="Z2316" i="7"/>
  <c r="V2318" i="7"/>
  <c r="N2318" i="7"/>
  <c r="AG2319" i="7" l="1"/>
  <c r="AH2319" i="7" s="1"/>
  <c r="T2319" i="7" s="1"/>
  <c r="Q2320" i="7" s="1"/>
  <c r="S2320" i="7" s="1"/>
  <c r="AB2318" i="7"/>
  <c r="W2318" i="7"/>
  <c r="N2319" i="7"/>
  <c r="V2319" i="7"/>
  <c r="Z2317" i="7"/>
  <c r="AG2320" i="7" l="1"/>
  <c r="AH2320" i="7" s="1"/>
  <c r="T2320" i="7" s="1"/>
  <c r="Q2321" i="7" s="1"/>
  <c r="S2321" i="7" s="1"/>
  <c r="V2320" i="7"/>
  <c r="N2320" i="7"/>
  <c r="W2319" i="7"/>
  <c r="AB2319" i="7"/>
  <c r="Z2318" i="7"/>
  <c r="AG2321" i="7" l="1"/>
  <c r="AH2321" i="7" s="1"/>
  <c r="T2321" i="7" s="1"/>
  <c r="Q2322" i="7" s="1"/>
  <c r="S2322" i="7" s="1"/>
  <c r="AF2322" i="7" s="1"/>
  <c r="Z2319" i="7"/>
  <c r="V2321" i="7"/>
  <c r="N2321" i="7"/>
  <c r="W2320" i="7"/>
  <c r="AB2320" i="7"/>
  <c r="AG2322" i="7" l="1"/>
  <c r="AH2322" i="7" s="1"/>
  <c r="T2322" i="7" s="1"/>
  <c r="Q2323" i="7" s="1"/>
  <c r="S2323" i="7" s="1"/>
  <c r="AF2323" i="7" s="1"/>
  <c r="AB2321" i="7"/>
  <c r="W2321" i="7"/>
  <c r="Z2320" i="7"/>
  <c r="N2322" i="7"/>
  <c r="V2322" i="7"/>
  <c r="AG2323" i="7" l="1"/>
  <c r="AH2323" i="7" s="1"/>
  <c r="T2323" i="7" s="1"/>
  <c r="Q2324" i="7" s="1"/>
  <c r="S2324" i="7" s="1"/>
  <c r="AF2324" i="7" s="1"/>
  <c r="N2323" i="7"/>
  <c r="V2323" i="7"/>
  <c r="AB2322" i="7"/>
  <c r="W2322" i="7"/>
  <c r="Z2321" i="7"/>
  <c r="AG2324" i="7" l="1"/>
  <c r="AH2324" i="7" s="1"/>
  <c r="T2324" i="7" s="1"/>
  <c r="Q2325" i="7" s="1"/>
  <c r="S2325" i="7" s="1"/>
  <c r="AF2325" i="7" s="1"/>
  <c r="Z2322" i="7"/>
  <c r="N2324" i="7"/>
  <c r="V2324" i="7"/>
  <c r="W2323" i="7"/>
  <c r="AB2323" i="7"/>
  <c r="AG2325" i="7" l="1"/>
  <c r="AH2325" i="7" s="1"/>
  <c r="T2325" i="7" s="1"/>
  <c r="Q2326" i="7" s="1"/>
  <c r="S2326" i="7" s="1"/>
  <c r="AF2326" i="7" s="1"/>
  <c r="W2324" i="7"/>
  <c r="AB2324" i="7"/>
  <c r="N2325" i="7"/>
  <c r="V2325" i="7"/>
  <c r="Z2323" i="7"/>
  <c r="AG2326" i="7" l="1"/>
  <c r="AH2326" i="7" s="1"/>
  <c r="T2326" i="7" s="1"/>
  <c r="Q2327" i="7" s="1"/>
  <c r="S2327" i="7" s="1"/>
  <c r="AF2327" i="7" s="1"/>
  <c r="V2326" i="7"/>
  <c r="N2326" i="7"/>
  <c r="AB2325" i="7"/>
  <c r="W2325" i="7"/>
  <c r="Z2324" i="7"/>
  <c r="AG2327" i="7" l="1"/>
  <c r="AH2327" i="7" s="1"/>
  <c r="T2327" i="7" s="1"/>
  <c r="Q2328" i="7" s="1"/>
  <c r="S2328" i="7" s="1"/>
  <c r="AF2328" i="7" s="1"/>
  <c r="V2327" i="7"/>
  <c r="N2327" i="7"/>
  <c r="Z2325" i="7"/>
  <c r="W2326" i="7"/>
  <c r="AB2326" i="7"/>
  <c r="AG2328" i="7" l="1"/>
  <c r="AH2328" i="7" s="1"/>
  <c r="T2328" i="7" s="1"/>
  <c r="Q2329" i="7" s="1"/>
  <c r="S2329" i="7" s="1"/>
  <c r="AF2329" i="7" s="1"/>
  <c r="N2328" i="7"/>
  <c r="V2328" i="7"/>
  <c r="Z2326" i="7"/>
  <c r="AB2327" i="7"/>
  <c r="W2327" i="7"/>
  <c r="AG2329" i="7" l="1"/>
  <c r="AH2329" i="7" s="1"/>
  <c r="T2329" i="7" s="1"/>
  <c r="Q2330" i="7" s="1"/>
  <c r="S2330" i="7" s="1"/>
  <c r="AF2330" i="7" s="1"/>
  <c r="Z2327" i="7"/>
  <c r="AB2328" i="7"/>
  <c r="W2328" i="7"/>
  <c r="N2329" i="7"/>
  <c r="V2329" i="7"/>
  <c r="AG2330" i="7" l="1"/>
  <c r="AH2330" i="7" s="1"/>
  <c r="T2330" i="7" s="1"/>
  <c r="Q2331" i="7" s="1"/>
  <c r="S2331" i="7" s="1"/>
  <c r="AF2331" i="7" s="1"/>
  <c r="W2329" i="7"/>
  <c r="AB2329" i="7"/>
  <c r="Z2328" i="7"/>
  <c r="N2330" i="7"/>
  <c r="V2330" i="7"/>
  <c r="AG2331" i="7" l="1"/>
  <c r="AH2331" i="7" s="1"/>
  <c r="T2331" i="7" s="1"/>
  <c r="Q2332" i="7" s="1"/>
  <c r="S2332" i="7" s="1"/>
  <c r="AF2332" i="7" s="1"/>
  <c r="N2331" i="7"/>
  <c r="V2331" i="7"/>
  <c r="W2330" i="7"/>
  <c r="AB2330" i="7"/>
  <c r="Z2329" i="7"/>
  <c r="AG2332" i="7" l="1"/>
  <c r="AH2332" i="7" s="1"/>
  <c r="T2332" i="7" s="1"/>
  <c r="Q2333" i="7" s="1"/>
  <c r="S2333" i="7" s="1"/>
  <c r="AF2333" i="7" s="1"/>
  <c r="N2332" i="7"/>
  <c r="V2332" i="7"/>
  <c r="Z2330" i="7"/>
  <c r="W2331" i="7"/>
  <c r="AB2331" i="7"/>
  <c r="AG2333" i="7" l="1"/>
  <c r="AH2333" i="7" s="1"/>
  <c r="T2333" i="7" s="1"/>
  <c r="Q2334" i="7" s="1"/>
  <c r="S2334" i="7" s="1"/>
  <c r="AF2334" i="7" s="1"/>
  <c r="W2332" i="7"/>
  <c r="AB2332" i="7"/>
  <c r="Z2331" i="7"/>
  <c r="N2333" i="7"/>
  <c r="V2333" i="7"/>
  <c r="AG2334" i="7" l="1"/>
  <c r="AH2334" i="7" s="1"/>
  <c r="T2334" i="7" s="1"/>
  <c r="Q2335" i="7" s="1"/>
  <c r="S2335" i="7" s="1"/>
  <c r="AF2335" i="7" s="1"/>
  <c r="W2333" i="7"/>
  <c r="AB2333" i="7"/>
  <c r="N2334" i="7"/>
  <c r="V2334" i="7"/>
  <c r="Z2332" i="7"/>
  <c r="AG2335" i="7" l="1"/>
  <c r="AH2335" i="7" s="1"/>
  <c r="T2335" i="7" s="1"/>
  <c r="Q2336" i="7" s="1"/>
  <c r="S2336" i="7" s="1"/>
  <c r="AF2336" i="7" s="1"/>
  <c r="V2335" i="7"/>
  <c r="N2335" i="7"/>
  <c r="AB2334" i="7"/>
  <c r="W2334" i="7"/>
  <c r="Z2333" i="7"/>
  <c r="AG2336" i="7" l="1"/>
  <c r="AH2336" i="7" s="1"/>
  <c r="T2336" i="7" s="1"/>
  <c r="Q2337" i="7" s="1"/>
  <c r="S2337" i="7" s="1"/>
  <c r="AF2337" i="7" s="1"/>
  <c r="Z2334" i="7"/>
  <c r="W2335" i="7"/>
  <c r="AB2335" i="7"/>
  <c r="N2336" i="7"/>
  <c r="V2336" i="7"/>
  <c r="AG2337" i="7" l="1"/>
  <c r="AH2337" i="7" s="1"/>
  <c r="T2337" i="7" s="1"/>
  <c r="Q2338" i="7" s="1"/>
  <c r="S2338" i="7" s="1"/>
  <c r="AF2338" i="7" s="1"/>
  <c r="Z2335" i="7"/>
  <c r="AB2336" i="7"/>
  <c r="W2336" i="7"/>
  <c r="N2337" i="7"/>
  <c r="V2337" i="7"/>
  <c r="AG2338" i="7" l="1"/>
  <c r="AH2338" i="7" s="1"/>
  <c r="T2338" i="7" s="1"/>
  <c r="Q2339" i="7" s="1"/>
  <c r="S2339" i="7" s="1"/>
  <c r="AF2339" i="7" s="1"/>
  <c r="Z2336" i="7"/>
  <c r="W2337" i="7"/>
  <c r="AB2337" i="7"/>
  <c r="V2338" i="7"/>
  <c r="N2338" i="7"/>
  <c r="AG2339" i="7" l="1"/>
  <c r="AH2339" i="7" s="1"/>
  <c r="T2339" i="7" s="1"/>
  <c r="Q2340" i="7" s="1"/>
  <c r="S2340" i="7" s="1"/>
  <c r="AF2340" i="7" s="1"/>
  <c r="V2339" i="7"/>
  <c r="N2339" i="7"/>
  <c r="Z2337" i="7"/>
  <c r="W2338" i="7"/>
  <c r="AB2338" i="7"/>
  <c r="AG2340" i="7" l="1"/>
  <c r="AH2340" i="7" s="1"/>
  <c r="T2340" i="7" s="1"/>
  <c r="Q2341" i="7" s="1"/>
  <c r="S2341" i="7" s="1"/>
  <c r="AF2341" i="7" s="1"/>
  <c r="Z2338" i="7"/>
  <c r="AB2339" i="7"/>
  <c r="W2339" i="7"/>
  <c r="V2340" i="7"/>
  <c r="N2340" i="7"/>
  <c r="AG2341" i="7" l="1"/>
  <c r="AH2341" i="7" s="1"/>
  <c r="T2341" i="7" s="1"/>
  <c r="Q2342" i="7" s="1"/>
  <c r="S2342" i="7" s="1"/>
  <c r="AF2342" i="7" s="1"/>
  <c r="Z2339" i="7"/>
  <c r="N2341" i="7"/>
  <c r="V2341" i="7"/>
  <c r="W2340" i="7"/>
  <c r="AB2340" i="7"/>
  <c r="AG2342" i="7" l="1"/>
  <c r="AH2342" i="7" s="1"/>
  <c r="T2342" i="7" s="1"/>
  <c r="Q2343" i="7" s="1"/>
  <c r="S2343" i="7" s="1"/>
  <c r="AF2343" i="7" s="1"/>
  <c r="Z2340" i="7"/>
  <c r="N2342" i="7"/>
  <c r="V2342" i="7"/>
  <c r="W2341" i="7"/>
  <c r="AB2341" i="7"/>
  <c r="AG2343" i="7" l="1"/>
  <c r="AH2343" i="7" s="1"/>
  <c r="T2343" i="7" s="1"/>
  <c r="Q2344" i="7" s="1"/>
  <c r="S2344" i="7" s="1"/>
  <c r="Z2341" i="7"/>
  <c r="V2343" i="7"/>
  <c r="N2343" i="7"/>
  <c r="AB2342" i="7"/>
  <c r="W2342" i="7"/>
  <c r="AF2344" i="7" l="1"/>
  <c r="AG2344" i="7" s="1"/>
  <c r="AH2344" i="7" s="1"/>
  <c r="T2344" i="7" s="1"/>
  <c r="Q2345" i="7" s="1"/>
  <c r="S2345" i="7" s="1"/>
  <c r="Z2342" i="7"/>
  <c r="W2343" i="7"/>
  <c r="AB2343" i="7"/>
  <c r="N2344" i="7"/>
  <c r="V2344" i="7"/>
  <c r="AF2345" i="7" l="1"/>
  <c r="AG2345" i="7" s="1"/>
  <c r="AH2345" i="7" s="1"/>
  <c r="T2345" i="7" s="1"/>
  <c r="Q2346" i="7" s="1"/>
  <c r="S2346" i="7" s="1"/>
  <c r="V2345" i="7"/>
  <c r="N2345" i="7"/>
  <c r="Z2343" i="7"/>
  <c r="AB2344" i="7"/>
  <c r="W2344" i="7"/>
  <c r="AF2346" i="7" l="1"/>
  <c r="AG2346" i="7" s="1"/>
  <c r="AH2346" i="7" s="1"/>
  <c r="T2346" i="7" s="1"/>
  <c r="Q2347" i="7" s="1"/>
  <c r="S2347" i="7" s="1"/>
  <c r="Z2344" i="7"/>
  <c r="W2345" i="7"/>
  <c r="AB2345" i="7"/>
  <c r="N2346" i="7"/>
  <c r="V2346" i="7"/>
  <c r="AF2347" i="7" l="1"/>
  <c r="AG2347" i="7" s="1"/>
  <c r="AH2347" i="7" s="1"/>
  <c r="T2347" i="7" s="1"/>
  <c r="Q2348" i="7" s="1"/>
  <c r="S2348" i="7" s="1"/>
  <c r="V2347" i="7"/>
  <c r="N2347" i="7"/>
  <c r="W2346" i="7"/>
  <c r="AB2346" i="7"/>
  <c r="Z2345" i="7"/>
  <c r="AF2348" i="7" l="1"/>
  <c r="AG2348" i="7" s="1"/>
  <c r="AH2348" i="7" s="1"/>
  <c r="T2348" i="7" s="1"/>
  <c r="Q2349" i="7" s="1"/>
  <c r="S2349" i="7" s="1"/>
  <c r="Z2346" i="7"/>
  <c r="V2348" i="7"/>
  <c r="N2348" i="7"/>
  <c r="AB2347" i="7"/>
  <c r="W2347" i="7"/>
  <c r="AF2349" i="7" l="1"/>
  <c r="AG2349" i="7" s="1"/>
  <c r="AH2349" i="7" s="1"/>
  <c r="T2349" i="7" s="1"/>
  <c r="Q2350" i="7" s="1"/>
  <c r="S2350" i="7" s="1"/>
  <c r="Z2347" i="7"/>
  <c r="W2348" i="7"/>
  <c r="AB2348" i="7"/>
  <c r="V2349" i="7"/>
  <c r="N2349" i="7"/>
  <c r="AF2350" i="7" l="1"/>
  <c r="AG2350" i="7" s="1"/>
  <c r="AH2350" i="7" s="1"/>
  <c r="T2350" i="7" s="1"/>
  <c r="Q2351" i="7" s="1"/>
  <c r="S2351" i="7" s="1"/>
  <c r="AB2349" i="7"/>
  <c r="W2349" i="7"/>
  <c r="N2350" i="7"/>
  <c r="V2350" i="7"/>
  <c r="Z2348" i="7"/>
  <c r="AF2351" i="7" l="1"/>
  <c r="AG2351" i="7" s="1"/>
  <c r="AH2351" i="7" s="1"/>
  <c r="T2351" i="7" s="1"/>
  <c r="Q2352" i="7" s="1"/>
  <c r="S2352" i="7" s="1"/>
  <c r="V2351" i="7"/>
  <c r="N2351" i="7"/>
  <c r="AB2350" i="7"/>
  <c r="W2350" i="7"/>
  <c r="Z2349" i="7"/>
  <c r="AF2352" i="7" l="1"/>
  <c r="AG2352" i="7" s="1"/>
  <c r="AH2352" i="7" s="1"/>
  <c r="T2352" i="7" s="1"/>
  <c r="Q2353" i="7" s="1"/>
  <c r="S2353" i="7" s="1"/>
  <c r="Z2350" i="7"/>
  <c r="V2352" i="7"/>
  <c r="N2352" i="7"/>
  <c r="AB2351" i="7"/>
  <c r="W2351" i="7"/>
  <c r="AF2353" i="7" l="1"/>
  <c r="AG2353" i="7" s="1"/>
  <c r="AH2353" i="7" s="1"/>
  <c r="T2353" i="7" s="1"/>
  <c r="Q2354" i="7" s="1"/>
  <c r="S2354" i="7" s="1"/>
  <c r="V2353" i="7"/>
  <c r="N2353" i="7"/>
  <c r="Z2351" i="7"/>
  <c r="AB2352" i="7"/>
  <c r="W2352" i="7"/>
  <c r="AF2354" i="7" l="1"/>
  <c r="AG2354" i="7" s="1"/>
  <c r="AH2354" i="7" s="1"/>
  <c r="T2354" i="7" s="1"/>
  <c r="Q2355" i="7" s="1"/>
  <c r="S2355" i="7" s="1"/>
  <c r="Z2352" i="7"/>
  <c r="N2354" i="7"/>
  <c r="V2354" i="7"/>
  <c r="W2353" i="7"/>
  <c r="AB2353" i="7"/>
  <c r="AF2355" i="7" l="1"/>
  <c r="AG2355" i="7" s="1"/>
  <c r="AH2355" i="7" s="1"/>
  <c r="T2355" i="7" s="1"/>
  <c r="Q2356" i="7" s="1"/>
  <c r="S2356" i="7" s="1"/>
  <c r="AB2354" i="7"/>
  <c r="W2354" i="7"/>
  <c r="N2355" i="7"/>
  <c r="V2355" i="7"/>
  <c r="Z2353" i="7"/>
  <c r="AF2356" i="7" l="1"/>
  <c r="AG2356" i="7" s="1"/>
  <c r="AH2356" i="7" s="1"/>
  <c r="T2356" i="7" s="1"/>
  <c r="Q2357" i="7" s="1"/>
  <c r="S2357" i="7" s="1"/>
  <c r="AB2355" i="7"/>
  <c r="W2355" i="7"/>
  <c r="V2356" i="7"/>
  <c r="N2356" i="7"/>
  <c r="Z2354" i="7"/>
  <c r="AF2357" i="7" l="1"/>
  <c r="AG2357" i="7" s="1"/>
  <c r="AH2357" i="7" s="1"/>
  <c r="T2357" i="7" s="1"/>
  <c r="Q2358" i="7" s="1"/>
  <c r="S2358" i="7" s="1"/>
  <c r="W2356" i="7"/>
  <c r="AB2356" i="7"/>
  <c r="V2357" i="7"/>
  <c r="N2357" i="7"/>
  <c r="Z2355" i="7"/>
  <c r="AF2358" i="7" l="1"/>
  <c r="AG2358" i="7" s="1"/>
  <c r="AH2358" i="7" s="1"/>
  <c r="T2358" i="7" s="1"/>
  <c r="Q2359" i="7" s="1"/>
  <c r="S2359" i="7" s="1"/>
  <c r="W2357" i="7"/>
  <c r="AB2357" i="7"/>
  <c r="V2358" i="7"/>
  <c r="N2358" i="7"/>
  <c r="Z2356" i="7"/>
  <c r="AF2359" i="7" l="1"/>
  <c r="AG2359" i="7" s="1"/>
  <c r="AH2359" i="7" s="1"/>
  <c r="T2359" i="7" s="1"/>
  <c r="Q2360" i="7" s="1"/>
  <c r="S2360" i="7" s="1"/>
  <c r="V2359" i="7"/>
  <c r="N2359" i="7"/>
  <c r="Z2357" i="7"/>
  <c r="AB2358" i="7"/>
  <c r="W2358" i="7"/>
  <c r="AF2360" i="7" l="1"/>
  <c r="AG2360" i="7" s="1"/>
  <c r="AH2360" i="7" s="1"/>
  <c r="T2360" i="7" s="1"/>
  <c r="Q2361" i="7" s="1"/>
  <c r="S2361" i="7" s="1"/>
  <c r="Z2358" i="7"/>
  <c r="W2359" i="7"/>
  <c r="AB2359" i="7"/>
  <c r="N2360" i="7"/>
  <c r="V2360" i="7"/>
  <c r="AF2361" i="7" l="1"/>
  <c r="AG2361" i="7" s="1"/>
  <c r="AH2361" i="7" s="1"/>
  <c r="T2361" i="7" s="1"/>
  <c r="Q2362" i="7" s="1"/>
  <c r="S2362" i="7" s="1"/>
  <c r="W2360" i="7"/>
  <c r="AB2360" i="7"/>
  <c r="V2361" i="7"/>
  <c r="N2361" i="7"/>
  <c r="Z2359" i="7"/>
  <c r="AF2362" i="7" l="1"/>
  <c r="AG2362" i="7" s="1"/>
  <c r="AH2362" i="7" s="1"/>
  <c r="T2362" i="7" s="1"/>
  <c r="Q2363" i="7" s="1"/>
  <c r="S2363" i="7" s="1"/>
  <c r="AB2361" i="7"/>
  <c r="W2361" i="7"/>
  <c r="Z2360" i="7"/>
  <c r="N2362" i="7"/>
  <c r="V2362" i="7"/>
  <c r="AF2363" i="7" l="1"/>
  <c r="AG2363" i="7" s="1"/>
  <c r="AH2363" i="7" s="1"/>
  <c r="T2363" i="7" s="1"/>
  <c r="Q2364" i="7" s="1"/>
  <c r="S2364" i="7" s="1"/>
  <c r="V2363" i="7"/>
  <c r="N2363" i="7"/>
  <c r="AB2362" i="7"/>
  <c r="W2362" i="7"/>
  <c r="Z2361" i="7"/>
  <c r="AF2364" i="7" l="1"/>
  <c r="AG2364" i="7" s="1"/>
  <c r="AH2364" i="7" s="1"/>
  <c r="T2364" i="7" s="1"/>
  <c r="Q2365" i="7" s="1"/>
  <c r="S2365" i="7" s="1"/>
  <c r="AB2363" i="7"/>
  <c r="W2363" i="7"/>
  <c r="Z2362" i="7"/>
  <c r="V2364" i="7"/>
  <c r="N2364" i="7"/>
  <c r="AF2365" i="7" l="1"/>
  <c r="AG2365" i="7" s="1"/>
  <c r="AH2365" i="7" s="1"/>
  <c r="T2365" i="7" s="1"/>
  <c r="Q2366" i="7" s="1"/>
  <c r="S2366" i="7" s="1"/>
  <c r="W2364" i="7"/>
  <c r="AB2364" i="7"/>
  <c r="V2365" i="7"/>
  <c r="N2365" i="7"/>
  <c r="Z2363" i="7"/>
  <c r="AF2366" i="7" l="1"/>
  <c r="AG2366" i="7" s="1"/>
  <c r="AH2366" i="7" s="1"/>
  <c r="T2366" i="7" s="1"/>
  <c r="Q2367" i="7" s="1"/>
  <c r="S2367" i="7" s="1"/>
  <c r="AB2365" i="7"/>
  <c r="W2365" i="7"/>
  <c r="Z2364" i="7"/>
  <c r="N2366" i="7"/>
  <c r="V2366" i="7"/>
  <c r="AF2367" i="7" l="1"/>
  <c r="AG2367" i="7" s="1"/>
  <c r="AH2367" i="7" s="1"/>
  <c r="T2367" i="7" s="1"/>
  <c r="Q2368" i="7" s="1"/>
  <c r="S2368" i="7" s="1"/>
  <c r="V2367" i="7"/>
  <c r="N2367" i="7"/>
  <c r="W2366" i="7"/>
  <c r="AB2366" i="7"/>
  <c r="Z2365" i="7"/>
  <c r="AF2368" i="7" l="1"/>
  <c r="AG2368" i="7" s="1"/>
  <c r="AH2368" i="7" s="1"/>
  <c r="T2368" i="7" s="1"/>
  <c r="Q2369" i="7" s="1"/>
  <c r="S2369" i="7" s="1"/>
  <c r="AB2367" i="7"/>
  <c r="W2367" i="7"/>
  <c r="Z2366" i="7"/>
  <c r="V2368" i="7"/>
  <c r="N2368" i="7"/>
  <c r="AF2369" i="7" l="1"/>
  <c r="AG2369" i="7" s="1"/>
  <c r="AH2369" i="7" s="1"/>
  <c r="T2369" i="7" s="1"/>
  <c r="Q2370" i="7" s="1"/>
  <c r="S2370" i="7" s="1"/>
  <c r="W2368" i="7"/>
  <c r="AB2368" i="7"/>
  <c r="N2369" i="7"/>
  <c r="V2369" i="7"/>
  <c r="Z2367" i="7"/>
  <c r="AF2370" i="7" l="1"/>
  <c r="AG2370" i="7" s="1"/>
  <c r="AH2370" i="7" s="1"/>
  <c r="T2370" i="7" s="1"/>
  <c r="Q2371" i="7" s="1"/>
  <c r="S2371" i="7" s="1"/>
  <c r="W2369" i="7"/>
  <c r="AB2369" i="7"/>
  <c r="Z2368" i="7"/>
  <c r="N2370" i="7"/>
  <c r="V2370" i="7"/>
  <c r="AF2371" i="7" l="1"/>
  <c r="AG2371" i="7" s="1"/>
  <c r="AH2371" i="7" s="1"/>
  <c r="T2371" i="7" s="1"/>
  <c r="Q2372" i="7" s="1"/>
  <c r="S2372" i="7" s="1"/>
  <c r="V2371" i="7"/>
  <c r="N2371" i="7"/>
  <c r="W2370" i="7"/>
  <c r="AB2370" i="7"/>
  <c r="Z2369" i="7"/>
  <c r="AF2372" i="7" l="1"/>
  <c r="AG2372" i="7" s="1"/>
  <c r="AH2372" i="7" s="1"/>
  <c r="T2372" i="7" s="1"/>
  <c r="Q2373" i="7" s="1"/>
  <c r="S2373" i="7" s="1"/>
  <c r="Z2370" i="7"/>
  <c r="V2372" i="7"/>
  <c r="N2372" i="7"/>
  <c r="AB2371" i="7"/>
  <c r="W2371" i="7"/>
  <c r="AF2373" i="7" l="1"/>
  <c r="AG2373" i="7" s="1"/>
  <c r="AH2373" i="7" s="1"/>
  <c r="T2373" i="7" s="1"/>
  <c r="Q2374" i="7" s="1"/>
  <c r="S2374" i="7" s="1"/>
  <c r="Z2371" i="7"/>
  <c r="W2372" i="7"/>
  <c r="AB2372" i="7"/>
  <c r="N2373" i="7"/>
  <c r="V2373" i="7"/>
  <c r="AF2374" i="7" l="1"/>
  <c r="AG2374" i="7" s="1"/>
  <c r="AH2374" i="7" s="1"/>
  <c r="T2374" i="7" s="1"/>
  <c r="Q2375" i="7" s="1"/>
  <c r="S2375" i="7" s="1"/>
  <c r="Z2372" i="7"/>
  <c r="W2373" i="7"/>
  <c r="AB2373" i="7"/>
  <c r="V2374" i="7"/>
  <c r="N2374" i="7"/>
  <c r="AF2375" i="7" l="1"/>
  <c r="AG2375" i="7" s="1"/>
  <c r="AH2375" i="7" s="1"/>
  <c r="T2375" i="7" s="1"/>
  <c r="Q2376" i="7" s="1"/>
  <c r="S2376" i="7" s="1"/>
  <c r="Z2373" i="7"/>
  <c r="W2374" i="7"/>
  <c r="AB2374" i="7"/>
  <c r="N2375" i="7"/>
  <c r="V2375" i="7"/>
  <c r="AF2376" i="7" l="1"/>
  <c r="AG2376" i="7" s="1"/>
  <c r="AH2376" i="7" s="1"/>
  <c r="T2376" i="7" s="1"/>
  <c r="Q2377" i="7" s="1"/>
  <c r="S2377" i="7" s="1"/>
  <c r="Z2374" i="7"/>
  <c r="AB2375" i="7"/>
  <c r="W2375" i="7"/>
  <c r="V2376" i="7"/>
  <c r="N2376" i="7"/>
  <c r="AF2377" i="7" l="1"/>
  <c r="AG2377" i="7" s="1"/>
  <c r="AH2377" i="7" s="1"/>
  <c r="T2377" i="7" s="1"/>
  <c r="Q2378" i="7" s="1"/>
  <c r="S2378" i="7" s="1"/>
  <c r="V2377" i="7"/>
  <c r="N2377" i="7"/>
  <c r="Z2375" i="7"/>
  <c r="AB2376" i="7"/>
  <c r="W2376" i="7"/>
  <c r="AF2378" i="7" l="1"/>
  <c r="AG2378" i="7" s="1"/>
  <c r="AH2378" i="7" s="1"/>
  <c r="T2378" i="7" s="1"/>
  <c r="Q2379" i="7" s="1"/>
  <c r="S2379" i="7" s="1"/>
  <c r="Z2376" i="7"/>
  <c r="V2378" i="7"/>
  <c r="N2378" i="7"/>
  <c r="W2377" i="7"/>
  <c r="AB2377" i="7"/>
  <c r="AF2379" i="7" l="1"/>
  <c r="AG2379" i="7" s="1"/>
  <c r="AH2379" i="7" s="1"/>
  <c r="T2379" i="7" s="1"/>
  <c r="Q2380" i="7" s="1"/>
  <c r="S2380" i="7" s="1"/>
  <c r="AB2378" i="7"/>
  <c r="W2378" i="7"/>
  <c r="V2379" i="7"/>
  <c r="N2379" i="7"/>
  <c r="Z2377" i="7"/>
  <c r="AF2380" i="7" l="1"/>
  <c r="AG2380" i="7" s="1"/>
  <c r="AH2380" i="7" s="1"/>
  <c r="T2380" i="7" s="1"/>
  <c r="Q2381" i="7" s="1"/>
  <c r="S2381" i="7" s="1"/>
  <c r="N2380" i="7"/>
  <c r="V2380" i="7"/>
  <c r="W2379" i="7"/>
  <c r="AB2379" i="7"/>
  <c r="Z2378" i="7"/>
  <c r="AF2381" i="7" l="1"/>
  <c r="AG2381" i="7" s="1"/>
  <c r="AH2381" i="7" s="1"/>
  <c r="T2381" i="7" s="1"/>
  <c r="Q2382" i="7" s="1"/>
  <c r="S2382" i="7" s="1"/>
  <c r="W2380" i="7"/>
  <c r="AB2380" i="7"/>
  <c r="Z2379" i="7"/>
  <c r="V2381" i="7"/>
  <c r="N2381" i="7"/>
  <c r="AF2382" i="7" l="1"/>
  <c r="AG2382" i="7" s="1"/>
  <c r="AH2382" i="7" s="1"/>
  <c r="T2382" i="7" s="1"/>
  <c r="Q2383" i="7" s="1"/>
  <c r="S2383" i="7" s="1"/>
  <c r="Z2380" i="7"/>
  <c r="V2382" i="7"/>
  <c r="N2382" i="7"/>
  <c r="AB2381" i="7"/>
  <c r="W2381" i="7"/>
  <c r="AF2383" i="7" l="1"/>
  <c r="AG2383" i="7" s="1"/>
  <c r="AH2383" i="7" s="1"/>
  <c r="T2383" i="7" s="1"/>
  <c r="Q2384" i="7" s="1"/>
  <c r="S2384" i="7" s="1"/>
  <c r="AB2382" i="7"/>
  <c r="W2382" i="7"/>
  <c r="N2383" i="7"/>
  <c r="V2383" i="7"/>
  <c r="Z2381" i="7"/>
  <c r="AF2384" i="7" l="1"/>
  <c r="AG2384" i="7" s="1"/>
  <c r="AH2384" i="7" s="1"/>
  <c r="T2384" i="7" s="1"/>
  <c r="Q2385" i="7" s="1"/>
  <c r="S2385" i="7" s="1"/>
  <c r="W2383" i="7"/>
  <c r="AB2383" i="7"/>
  <c r="N2384" i="7"/>
  <c r="V2384" i="7"/>
  <c r="Z2382" i="7"/>
  <c r="AF2385" i="7" l="1"/>
  <c r="AG2385" i="7" s="1"/>
  <c r="AH2385" i="7" s="1"/>
  <c r="T2385" i="7" s="1"/>
  <c r="Q2386" i="7" s="1"/>
  <c r="S2386" i="7" s="1"/>
  <c r="W2384" i="7"/>
  <c r="AB2384" i="7"/>
  <c r="Z2383" i="7"/>
  <c r="V2385" i="7"/>
  <c r="N2385" i="7"/>
  <c r="AF2386" i="7" l="1"/>
  <c r="AG2386" i="7" s="1"/>
  <c r="AH2386" i="7" s="1"/>
  <c r="T2386" i="7" s="1"/>
  <c r="Q2387" i="7" s="1"/>
  <c r="S2387" i="7" s="1"/>
  <c r="AB2385" i="7"/>
  <c r="W2385" i="7"/>
  <c r="N2386" i="7"/>
  <c r="V2386" i="7"/>
  <c r="Z2384" i="7"/>
  <c r="AF2387" i="7" l="1"/>
  <c r="AG2387" i="7" s="1"/>
  <c r="AH2387" i="7" s="1"/>
  <c r="T2387" i="7" s="1"/>
  <c r="Q2388" i="7" s="1"/>
  <c r="S2388" i="7" s="1"/>
  <c r="V2387" i="7"/>
  <c r="N2387" i="7"/>
  <c r="W2386" i="7"/>
  <c r="AB2386" i="7"/>
  <c r="Z2385" i="7"/>
  <c r="AF2388" i="7" l="1"/>
  <c r="AG2388" i="7" s="1"/>
  <c r="AH2388" i="7" s="1"/>
  <c r="T2388" i="7" s="1"/>
  <c r="Q2389" i="7" s="1"/>
  <c r="S2389" i="7" s="1"/>
  <c r="AB2387" i="7"/>
  <c r="W2387" i="7"/>
  <c r="Z2386" i="7"/>
  <c r="V2388" i="7"/>
  <c r="N2388" i="7"/>
  <c r="AF2389" i="7" l="1"/>
  <c r="AG2389" i="7" s="1"/>
  <c r="AH2389" i="7" s="1"/>
  <c r="T2389" i="7" s="1"/>
  <c r="Q2390" i="7" s="1"/>
  <c r="S2390" i="7" s="1"/>
  <c r="W2388" i="7"/>
  <c r="AB2388" i="7"/>
  <c r="N2389" i="7"/>
  <c r="V2389" i="7"/>
  <c r="Z2387" i="7"/>
  <c r="AF2390" i="7" l="1"/>
  <c r="AG2390" i="7" s="1"/>
  <c r="AH2390" i="7" s="1"/>
  <c r="T2390" i="7" s="1"/>
  <c r="Q2391" i="7" s="1"/>
  <c r="S2391" i="7" s="1"/>
  <c r="W2389" i="7"/>
  <c r="AB2389" i="7"/>
  <c r="Z2388" i="7"/>
  <c r="V2390" i="7"/>
  <c r="N2390" i="7"/>
  <c r="AF2391" i="7" l="1"/>
  <c r="AG2391" i="7" s="1"/>
  <c r="AH2391" i="7" s="1"/>
  <c r="T2391" i="7" s="1"/>
  <c r="Q2392" i="7" s="1"/>
  <c r="S2392" i="7" s="1"/>
  <c r="AB2390" i="7"/>
  <c r="W2390" i="7"/>
  <c r="V2391" i="7"/>
  <c r="N2391" i="7"/>
  <c r="Z2389" i="7"/>
  <c r="AF2392" i="7" l="1"/>
  <c r="AG2392" i="7" s="1"/>
  <c r="AH2392" i="7" s="1"/>
  <c r="T2392" i="7" s="1"/>
  <c r="Q2393" i="7" s="1"/>
  <c r="S2393" i="7" s="1"/>
  <c r="W2391" i="7"/>
  <c r="AB2391" i="7"/>
  <c r="V2392" i="7"/>
  <c r="N2392" i="7"/>
  <c r="Z2390" i="7"/>
  <c r="AF2393" i="7" l="1"/>
  <c r="AG2393" i="7" s="1"/>
  <c r="AH2393" i="7" s="1"/>
  <c r="T2393" i="7" s="1"/>
  <c r="Q2394" i="7" s="1"/>
  <c r="S2394" i="7" s="1"/>
  <c r="AB2392" i="7"/>
  <c r="W2392" i="7"/>
  <c r="Z2391" i="7"/>
  <c r="N2393" i="7"/>
  <c r="V2393" i="7"/>
  <c r="AF2394" i="7" l="1"/>
  <c r="AG2394" i="7" s="1"/>
  <c r="AH2394" i="7" s="1"/>
  <c r="T2394" i="7" s="1"/>
  <c r="Q2395" i="7" s="1"/>
  <c r="S2395" i="7" s="1"/>
  <c r="AB2393" i="7"/>
  <c r="W2393" i="7"/>
  <c r="V2394" i="7"/>
  <c r="N2394" i="7"/>
  <c r="Z2392" i="7"/>
  <c r="AF2395" i="7" l="1"/>
  <c r="AG2395" i="7" s="1"/>
  <c r="AH2395" i="7" s="1"/>
  <c r="T2395" i="7" s="1"/>
  <c r="Q2396" i="7" s="1"/>
  <c r="S2396" i="7" s="1"/>
  <c r="W2394" i="7"/>
  <c r="AB2394" i="7"/>
  <c r="N2395" i="7"/>
  <c r="V2395" i="7"/>
  <c r="Z2393" i="7"/>
  <c r="AF2396" i="7" l="1"/>
  <c r="AG2396" i="7" s="1"/>
  <c r="AH2396" i="7" s="1"/>
  <c r="T2396" i="7" s="1"/>
  <c r="Q2397" i="7" s="1"/>
  <c r="S2397" i="7" s="1"/>
  <c r="V2396" i="7"/>
  <c r="N2396" i="7"/>
  <c r="AB2395" i="7"/>
  <c r="W2395" i="7"/>
  <c r="Z2394" i="7"/>
  <c r="AF2397" i="7" l="1"/>
  <c r="AG2397" i="7" s="1"/>
  <c r="AH2397" i="7" s="1"/>
  <c r="T2397" i="7" s="1"/>
  <c r="Q2398" i="7" s="1"/>
  <c r="S2398" i="7" s="1"/>
  <c r="Z2395" i="7"/>
  <c r="W2396" i="7"/>
  <c r="AB2396" i="7"/>
  <c r="N2397" i="7"/>
  <c r="V2397" i="7"/>
  <c r="AF2398" i="7" l="1"/>
  <c r="AG2398" i="7" s="1"/>
  <c r="AH2398" i="7" s="1"/>
  <c r="T2398" i="7" s="1"/>
  <c r="Q2399" i="7" s="1"/>
  <c r="S2399" i="7" s="1"/>
  <c r="Z2396" i="7"/>
  <c r="V2398" i="7"/>
  <c r="N2398" i="7"/>
  <c r="AB2397" i="7"/>
  <c r="W2397" i="7"/>
  <c r="AF2399" i="7" l="1"/>
  <c r="AG2399" i="7" s="1"/>
  <c r="AH2399" i="7" s="1"/>
  <c r="T2399" i="7" s="1"/>
  <c r="Q2400" i="7" s="1"/>
  <c r="S2400" i="7" s="1"/>
  <c r="W2398" i="7"/>
  <c r="AB2398" i="7"/>
  <c r="Z2397" i="7"/>
  <c r="N2399" i="7"/>
  <c r="V2399" i="7"/>
  <c r="AF2400" i="7" l="1"/>
  <c r="AG2400" i="7" s="1"/>
  <c r="AH2400" i="7" s="1"/>
  <c r="T2400" i="7" s="1"/>
  <c r="Q2401" i="7" s="1"/>
  <c r="S2401" i="7" s="1"/>
  <c r="AB2399" i="7"/>
  <c r="W2399" i="7"/>
  <c r="V2400" i="7"/>
  <c r="N2400" i="7"/>
  <c r="Z2398" i="7"/>
  <c r="AF2401" i="7" l="1"/>
  <c r="AG2401" i="7" s="1"/>
  <c r="AH2401" i="7" s="1"/>
  <c r="T2401" i="7" s="1"/>
  <c r="Q2402" i="7" s="1"/>
  <c r="S2402" i="7" s="1"/>
  <c r="W2400" i="7"/>
  <c r="AB2400" i="7"/>
  <c r="V2401" i="7"/>
  <c r="N2401" i="7"/>
  <c r="Z2399" i="7"/>
  <c r="AF2402" i="7" l="1"/>
  <c r="AG2402" i="7" s="1"/>
  <c r="AH2402" i="7" s="1"/>
  <c r="T2402" i="7" s="1"/>
  <c r="Q2403" i="7" s="1"/>
  <c r="AB2401" i="7"/>
  <c r="W2401" i="7"/>
  <c r="N2402" i="7"/>
  <c r="V2402" i="7"/>
  <c r="Z2400" i="7"/>
  <c r="S2403" i="7" l="1"/>
  <c r="AF2403" i="7" s="1"/>
  <c r="AG2403" i="7" s="1"/>
  <c r="AH2403" i="7" s="1"/>
  <c r="T2403" i="7" s="1"/>
  <c r="Q2406" i="7"/>
  <c r="Q2405" i="7"/>
  <c r="W2402" i="7"/>
  <c r="AB2402" i="7"/>
  <c r="N2403" i="7"/>
  <c r="AK2" i="7" s="1"/>
  <c r="V2403" i="7"/>
  <c r="Z2401" i="7"/>
  <c r="T2405" i="7" l="1"/>
  <c r="T2406" i="7"/>
  <c r="AB2403" i="7"/>
  <c r="W2403" i="7"/>
  <c r="Z2402" i="7"/>
  <c r="Y2406" i="7" l="1"/>
  <c r="Y2405" i="7"/>
  <c r="Z2403" i="7"/>
  <c r="X2405" i="7"/>
  <c r="X2406" i="7"/>
  <c r="Z2405" i="7" l="1"/>
  <c r="Z2406" i="7"/>
  <c r="AA2405" i="7"/>
  <c r="AA2406" i="7"/>
</calcChain>
</file>

<file path=xl/sharedStrings.xml><?xml version="1.0" encoding="utf-8"?>
<sst xmlns="http://schemas.openxmlformats.org/spreadsheetml/2006/main" count="561" uniqueCount="251">
  <si>
    <t>Yamaha YZF R6 2009</t>
  </si>
  <si>
    <t>Parameter</t>
  </si>
  <si>
    <t>Value</t>
  </si>
  <si>
    <t>Unit</t>
  </si>
  <si>
    <t>Motorcycle Data</t>
  </si>
  <si>
    <t>Wb</t>
  </si>
  <si>
    <t>Rr</t>
  </si>
  <si>
    <t>Fr</t>
  </si>
  <si>
    <t>φ</t>
  </si>
  <si>
    <t>ρ</t>
  </si>
  <si>
    <t>μd</t>
  </si>
  <si>
    <t>μf</t>
  </si>
  <si>
    <t>Power</t>
  </si>
  <si>
    <t>Max power (BHP)</t>
  </si>
  <si>
    <t>Max Power (RPM)</t>
  </si>
  <si>
    <t>RPM</t>
  </si>
  <si>
    <t>http://odm.lt/wp-content/uploads/2016/03/yzf_r6_2009_user_manual.pdf</t>
  </si>
  <si>
    <t>Driving</t>
  </si>
  <si>
    <t>Driven</t>
  </si>
  <si>
    <t>Ratio</t>
  </si>
  <si>
    <t>overall</t>
  </si>
  <si>
    <t>Primary</t>
  </si>
  <si>
    <t>Final</t>
  </si>
  <si>
    <t>Gearing Calculator</t>
  </si>
  <si>
    <t>Gear</t>
  </si>
  <si>
    <t>RPM Drop Calculator</t>
  </si>
  <si>
    <t>Speed (KPH)</t>
  </si>
  <si>
    <t>m</t>
  </si>
  <si>
    <t>kg/m³</t>
  </si>
  <si>
    <t xml:space="preserve">redline </t>
  </si>
  <si>
    <t>Mass &amp; CoG</t>
  </si>
  <si>
    <t>Tucked</t>
  </si>
  <si>
    <t>Braking</t>
  </si>
  <si>
    <t>Leaning</t>
  </si>
  <si>
    <t xml:space="preserve">Rider </t>
  </si>
  <si>
    <t>kg</t>
  </si>
  <si>
    <t>Weight Rear (Wr)</t>
  </si>
  <si>
    <t>Weight Front (Wf)</t>
  </si>
  <si>
    <t>Weight Total (Wt)</t>
  </si>
  <si>
    <t>Lifted Weight Rear (WLr)</t>
  </si>
  <si>
    <r>
      <t>Lifted Angle (</t>
    </r>
    <r>
      <rPr>
        <sz val="11"/>
        <color theme="1"/>
        <rFont val="Calibri"/>
        <family val="2"/>
      </rPr>
      <t>Ѳ)</t>
    </r>
  </si>
  <si>
    <t>Height of Lift (h)</t>
  </si>
  <si>
    <t>X-CoG</t>
  </si>
  <si>
    <t>Y-CoG</t>
  </si>
  <si>
    <t>Front Weight Distribution</t>
  </si>
  <si>
    <t>Rear Weight Distrubution</t>
  </si>
  <si>
    <t>°</t>
  </si>
  <si>
    <t>frontal Area (Af)</t>
  </si>
  <si>
    <r>
      <t>m</t>
    </r>
    <r>
      <rPr>
        <sz val="11"/>
        <color theme="1"/>
        <rFont val="Calibri"/>
        <family val="2"/>
      </rPr>
      <t>²</t>
    </r>
  </si>
  <si>
    <t>Power (BHP)</t>
  </si>
  <si>
    <t>Torque</t>
  </si>
  <si>
    <t>Power (KW)</t>
  </si>
  <si>
    <t>Power (W)</t>
  </si>
  <si>
    <t xml:space="preserve">1st </t>
  </si>
  <si>
    <t xml:space="preserve">2nd </t>
  </si>
  <si>
    <t xml:space="preserve">3rd </t>
  </si>
  <si>
    <t xml:space="preserve">4th </t>
  </si>
  <si>
    <t xml:space="preserve">5th </t>
  </si>
  <si>
    <t xml:space="preserve">6th </t>
  </si>
  <si>
    <t>Road Speed (kmh)</t>
  </si>
  <si>
    <t>Driving Force (N)</t>
  </si>
  <si>
    <t>Drag Force Tucked (N)</t>
  </si>
  <si>
    <t>Resultant Force Tucked (N)</t>
  </si>
  <si>
    <t>Drag Force Leaning (N)</t>
  </si>
  <si>
    <t>Resultant Force Leaning (N)</t>
  </si>
  <si>
    <t>Wheel Radius</t>
  </si>
  <si>
    <t>Spindle Radius</t>
  </si>
  <si>
    <t>Wheel Mass</t>
  </si>
  <si>
    <t>Height of Roll</t>
  </si>
  <si>
    <t>Distance of Roll</t>
  </si>
  <si>
    <t>Time of Roll 1</t>
  </si>
  <si>
    <t>Time of Roll 2</t>
  </si>
  <si>
    <t>Time of Roll 3</t>
  </si>
  <si>
    <t xml:space="preserve">Time of Roll Average </t>
  </si>
  <si>
    <t>Moment of Inertia</t>
  </si>
  <si>
    <t>Eq Mass</t>
  </si>
  <si>
    <t xml:space="preserve">Total Eff Weight </t>
  </si>
  <si>
    <t>s</t>
  </si>
  <si>
    <t>Kg</t>
  </si>
  <si>
    <t>Kg/f</t>
  </si>
  <si>
    <r>
      <t>kg/m</t>
    </r>
    <r>
      <rPr>
        <sz val="11"/>
        <color theme="1"/>
        <rFont val="Calibri"/>
        <family val="2"/>
      </rPr>
      <t>²</t>
    </r>
  </si>
  <si>
    <t>Mass (Wt)</t>
  </si>
  <si>
    <t>Rear Wheel Inertia (lwr)</t>
  </si>
  <si>
    <t>Front Wheel Inertia (lwf)</t>
  </si>
  <si>
    <t>Engine Inertia (lwm)</t>
  </si>
  <si>
    <t>Primary Shaft Inertia (lwp)</t>
  </si>
  <si>
    <t>Secondary Shaft Inertia (lws)</t>
  </si>
  <si>
    <t>Rear Velocity Ratio (τr)</t>
  </si>
  <si>
    <t>Front Velocity Ratio (τf)</t>
  </si>
  <si>
    <t>Internal Gear Ratio (τir)</t>
  </si>
  <si>
    <t>Sproket Ratio (τsp)</t>
  </si>
  <si>
    <t>Primary Reduction Ratio (τpr)</t>
  </si>
  <si>
    <t>Engine Velocity Ratio (τm)</t>
  </si>
  <si>
    <t>Transmission Velocity Ratio (τp)</t>
  </si>
  <si>
    <t>Gearing Velocity Ratio (τs)</t>
  </si>
  <si>
    <t>Weight Total (Wt*)</t>
  </si>
  <si>
    <t>m/s</t>
  </si>
  <si>
    <t xml:space="preserve">Parameter </t>
  </si>
  <si>
    <t>Front Wheel</t>
  </si>
  <si>
    <t>Rear Wheel</t>
  </si>
  <si>
    <t>1st</t>
  </si>
  <si>
    <t>2nd</t>
  </si>
  <si>
    <t>3rd</t>
  </si>
  <si>
    <t>4th</t>
  </si>
  <si>
    <t>5th</t>
  </si>
  <si>
    <t>6th</t>
  </si>
  <si>
    <t>Internal Ratios</t>
  </si>
  <si>
    <t>Reduced Mass Per Gear</t>
  </si>
  <si>
    <t xml:space="preserve">Kg </t>
  </si>
  <si>
    <t>Kg/m²</t>
  </si>
  <si>
    <t>:1</t>
  </si>
  <si>
    <t>Gear Ratio</t>
  </si>
  <si>
    <t xml:space="preserve">Data </t>
  </si>
  <si>
    <t>Max Power</t>
  </si>
  <si>
    <t>Drag Coefficent (μd)</t>
  </si>
  <si>
    <t>Wheel Base (Wb)</t>
  </si>
  <si>
    <t>Gravity (g)</t>
  </si>
  <si>
    <t>Mass*Gravity (mg)</t>
  </si>
  <si>
    <t>Tyre Pressure</t>
  </si>
  <si>
    <t>Reduced Mass (Wt)</t>
  </si>
  <si>
    <t xml:space="preserve">Unit </t>
  </si>
  <si>
    <t>Watts</t>
  </si>
  <si>
    <t>M</t>
  </si>
  <si>
    <t>m/s²</t>
  </si>
  <si>
    <t>PSI</t>
  </si>
  <si>
    <t>Bar</t>
  </si>
  <si>
    <t>Speed</t>
  </si>
  <si>
    <t>mph</t>
  </si>
  <si>
    <t>kph</t>
  </si>
  <si>
    <t>Frontal Area (Af)</t>
  </si>
  <si>
    <t>Friction Coefficient (μf)</t>
  </si>
  <si>
    <t>Load Transfer Line (ϴ)</t>
  </si>
  <si>
    <t>Drag Force (Fd)</t>
  </si>
  <si>
    <t>Net Driving Force (Sn)</t>
  </si>
  <si>
    <t>Dynamic Rear Load (Nr)</t>
  </si>
  <si>
    <t>Dynamic Front Load (Nf)</t>
  </si>
  <si>
    <t>Max Available Acceleration</t>
  </si>
  <si>
    <t>Traction Limited Max Acceleration</t>
  </si>
  <si>
    <t>Wheelie Limited Max Acceleration</t>
  </si>
  <si>
    <t>Actual Max Acceleration</t>
  </si>
  <si>
    <t>Power (W) @ RPM</t>
  </si>
  <si>
    <r>
      <t>Max Acceleration Tucked (m/s</t>
    </r>
    <r>
      <rPr>
        <sz val="11"/>
        <color theme="1"/>
        <rFont val="Calibri"/>
        <family val="2"/>
      </rPr>
      <t>²)</t>
    </r>
  </si>
  <si>
    <r>
      <t>Max Acceleration Leaning (m/s</t>
    </r>
    <r>
      <rPr>
        <sz val="11"/>
        <color theme="1"/>
        <rFont val="Calibri"/>
        <family val="2"/>
      </rPr>
      <t>²)</t>
    </r>
  </si>
  <si>
    <t>Wheelbase (Wb)</t>
  </si>
  <si>
    <t>Front Brake Traction Coefficient (μpf)</t>
  </si>
  <si>
    <t>Rear Braking Traction Coefficient (μpr)</t>
  </si>
  <si>
    <t>Front braking force (Ff)</t>
  </si>
  <si>
    <t>Max total braking (Ft)</t>
  </si>
  <si>
    <t>Mass * Gravity (mg)</t>
  </si>
  <si>
    <t>Traction Limited Braking</t>
  </si>
  <si>
    <t xml:space="preserve">Endo Limited Braking </t>
  </si>
  <si>
    <t>Internal Ratio</t>
  </si>
  <si>
    <t>Total Weight (Wt)</t>
  </si>
  <si>
    <t>N</t>
  </si>
  <si>
    <t>M²</t>
  </si>
  <si>
    <t>F Brake %</t>
  </si>
  <si>
    <t>Fd Braking</t>
  </si>
  <si>
    <t>Brake %</t>
  </si>
  <si>
    <t>Ff</t>
  </si>
  <si>
    <t xml:space="preserve">Front Brake % Under Braking </t>
  </si>
  <si>
    <t xml:space="preserve">Front Brake % Leaning </t>
  </si>
  <si>
    <r>
      <t>Endo Limit (m/s</t>
    </r>
    <r>
      <rPr>
        <sz val="11"/>
        <color theme="1"/>
        <rFont val="Calibri"/>
        <family val="2"/>
      </rPr>
      <t>²)</t>
    </r>
  </si>
  <si>
    <t>Nf</t>
  </si>
  <si>
    <t>Traction Limit (N)</t>
  </si>
  <si>
    <r>
      <t>Traction Limit (m/s</t>
    </r>
    <r>
      <rPr>
        <sz val="11"/>
        <color theme="1"/>
        <rFont val="Calibri"/>
        <family val="2"/>
      </rPr>
      <t>²)</t>
    </r>
  </si>
  <si>
    <t>Front Brake % Braking</t>
  </si>
  <si>
    <t xml:space="preserve">bike total </t>
  </si>
  <si>
    <t xml:space="preserve">Frontal Area </t>
  </si>
  <si>
    <t>Lifted Weight front (WLf)</t>
  </si>
  <si>
    <t>Weight Total (WLt)</t>
  </si>
  <si>
    <t>Stool Weight</t>
  </si>
  <si>
    <t>Max Torque (nm)</t>
  </si>
  <si>
    <t>Max torque (RPM)</t>
  </si>
  <si>
    <r>
      <t>C</t>
    </r>
    <r>
      <rPr>
        <i/>
        <sz val="8"/>
        <color theme="1"/>
        <rFont val="Calibri"/>
        <family val="2"/>
        <scheme val="minor"/>
      </rPr>
      <t>D</t>
    </r>
  </si>
  <si>
    <t>Time</t>
  </si>
  <si>
    <t>V_Rear</t>
  </si>
  <si>
    <t>V_Front</t>
  </si>
  <si>
    <t>V_GPS</t>
  </si>
  <si>
    <t>R_SUS</t>
  </si>
  <si>
    <t>F_SUS</t>
  </si>
  <si>
    <t>Banking</t>
  </si>
  <si>
    <t>km/h</t>
  </si>
  <si>
    <t>mm</t>
  </si>
  <si>
    <t>Straight 1</t>
  </si>
  <si>
    <t>Straight 2</t>
  </si>
  <si>
    <t>Corner 1</t>
  </si>
  <si>
    <t>Corner 2</t>
  </si>
  <si>
    <t>Straight 3</t>
  </si>
  <si>
    <t>Corner 4</t>
  </si>
  <si>
    <t>Corner 3</t>
  </si>
  <si>
    <t>Straight 4</t>
  </si>
  <si>
    <t>Straight 5</t>
  </si>
  <si>
    <t>Corner 5</t>
  </si>
  <si>
    <t>Straight 6</t>
  </si>
  <si>
    <t>Corner 6</t>
  </si>
  <si>
    <t>Straight 7</t>
  </si>
  <si>
    <t>Corner 7</t>
  </si>
  <si>
    <t>Straight 8</t>
  </si>
  <si>
    <t>Corner 8</t>
  </si>
  <si>
    <t>Straight 9</t>
  </si>
  <si>
    <t>RPM Fall</t>
  </si>
  <si>
    <t>Road Speed (m/s)</t>
  </si>
  <si>
    <t>m²</t>
  </si>
  <si>
    <t>Recorded Distance</t>
  </si>
  <si>
    <t>Actual Distance</t>
  </si>
  <si>
    <t>AV Wheel radius</t>
  </si>
  <si>
    <t>Entry Speed (m/s)</t>
  </si>
  <si>
    <t xml:space="preserve">gear </t>
  </si>
  <si>
    <t>FD</t>
  </si>
  <si>
    <t>Sn</t>
  </si>
  <si>
    <t>Nr</t>
  </si>
  <si>
    <t>SF</t>
  </si>
  <si>
    <t>Sr</t>
  </si>
  <si>
    <t>F</t>
  </si>
  <si>
    <t>Brake</t>
  </si>
  <si>
    <t>Lean Angle</t>
  </si>
  <si>
    <t>N/mm</t>
  </si>
  <si>
    <t>%</t>
  </si>
  <si>
    <t>Degrees (ᵒ)</t>
  </si>
  <si>
    <t>Distance</t>
  </si>
  <si>
    <t>Acceleration</t>
  </si>
  <si>
    <t>Deceleration</t>
  </si>
  <si>
    <t>Velocity</t>
  </si>
  <si>
    <t>Corner</t>
  </si>
  <si>
    <r>
      <t>Degrees (</t>
    </r>
    <r>
      <rPr>
        <sz val="11"/>
        <color theme="1"/>
        <rFont val="Calibri"/>
        <family val="2"/>
      </rPr>
      <t>ᵒ)</t>
    </r>
  </si>
  <si>
    <t>Radius</t>
  </si>
  <si>
    <t>Circumference</t>
  </si>
  <si>
    <t>Length</t>
  </si>
  <si>
    <t>Theoretical VMAX</t>
  </si>
  <si>
    <t>θr</t>
  </si>
  <si>
    <t>θi</t>
  </si>
  <si>
    <t>VMIN</t>
  </si>
  <si>
    <t>Front Tyre Width</t>
  </si>
  <si>
    <t>Rear Tyre Width</t>
  </si>
  <si>
    <t>AV Wheel Width</t>
  </si>
  <si>
    <t>Corner Velocity</t>
  </si>
  <si>
    <t>Road Speed (mph)</t>
  </si>
  <si>
    <t>M*</t>
  </si>
  <si>
    <t>Rake Angle</t>
  </si>
  <si>
    <t>Kf</t>
  </si>
  <si>
    <t>ᵒ</t>
  </si>
  <si>
    <t>Kw</t>
  </si>
  <si>
    <t>Ks</t>
  </si>
  <si>
    <t xml:space="preserve">Sim Time </t>
  </si>
  <si>
    <t>2D Time</t>
  </si>
  <si>
    <t>Acceleration by Gears</t>
  </si>
  <si>
    <t>5th &amp; 6th</t>
  </si>
  <si>
    <t xml:space="preserve">3rd &amp; 4th </t>
  </si>
  <si>
    <t>1st &amp; 2nd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</si>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</sst>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i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42F8F8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9" fontId="8" fillId="0" borderId="0" applyFont="0" applyFill="0" applyBorder="0" applyAlignment="0" applyProtection="0"/>
  </cellStyleXfs>
  <cellXfs count="207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0" fillId="0" borderId="0" xfId="0" applyBorder="1" applyAlignment="1"/>
    <xf numFmtId="0" fontId="0" fillId="3" borderId="1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13" xfId="0" applyFill="1" applyBorder="1"/>
    <xf numFmtId="0" fontId="0" fillId="2" borderId="14" xfId="0" applyFill="1" applyBorder="1"/>
    <xf numFmtId="0" fontId="0" fillId="2" borderId="18" xfId="0" applyFill="1" applyBorder="1"/>
    <xf numFmtId="0" fontId="0" fillId="2" borderId="15" xfId="0" applyFill="1" applyBorder="1"/>
    <xf numFmtId="0" fontId="0" fillId="2" borderId="23" xfId="0" applyFill="1" applyBorder="1"/>
    <xf numFmtId="0" fontId="0" fillId="2" borderId="10" xfId="0" applyFill="1" applyBorder="1"/>
    <xf numFmtId="0" fontId="0" fillId="2" borderId="21" xfId="0" applyFill="1" applyBorder="1"/>
    <xf numFmtId="0" fontId="0" fillId="2" borderId="20" xfId="0" applyFill="1" applyBorder="1"/>
    <xf numFmtId="0" fontId="0" fillId="2" borderId="22" xfId="0" applyFill="1" applyBorder="1"/>
    <xf numFmtId="0" fontId="0" fillId="2" borderId="24" xfId="0" applyFill="1" applyBorder="1"/>
    <xf numFmtId="0" fontId="0" fillId="0" borderId="0" xfId="0" applyFill="1" applyBorder="1"/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2" borderId="29" xfId="0" applyFill="1" applyBorder="1"/>
    <xf numFmtId="0" fontId="0" fillId="2" borderId="27" xfId="0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25" xfId="0" applyFill="1" applyBorder="1"/>
    <xf numFmtId="0" fontId="0" fillId="2" borderId="26" xfId="0" applyFill="1" applyBorder="1"/>
    <xf numFmtId="0" fontId="0" fillId="3" borderId="13" xfId="0" applyFill="1" applyBorder="1"/>
    <xf numFmtId="0" fontId="0" fillId="3" borderId="15" xfId="0" applyFill="1" applyBorder="1"/>
    <xf numFmtId="0" fontId="0" fillId="3" borderId="1" xfId="0" applyFill="1" applyBorder="1"/>
    <xf numFmtId="0" fontId="6" fillId="2" borderId="14" xfId="0" applyFont="1" applyFill="1" applyBorder="1"/>
    <xf numFmtId="0" fontId="0" fillId="3" borderId="20" xfId="0" applyFill="1" applyBorder="1"/>
    <xf numFmtId="0" fontId="0" fillId="3" borderId="44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0" xfId="0" applyFill="1" applyBorder="1"/>
    <xf numFmtId="0" fontId="0" fillId="3" borderId="16" xfId="0" applyFill="1" applyBorder="1"/>
    <xf numFmtId="0" fontId="0" fillId="3" borderId="5" xfId="0" applyFill="1" applyBorder="1"/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5" fillId="0" borderId="0" xfId="0" applyFont="1"/>
    <xf numFmtId="0" fontId="7" fillId="0" borderId="0" xfId="0" applyFont="1"/>
    <xf numFmtId="0" fontId="0" fillId="3" borderId="12" xfId="0" applyFill="1" applyBorder="1"/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0" fillId="3" borderId="38" xfId="0" applyFill="1" applyBorder="1"/>
    <xf numFmtId="0" fontId="0" fillId="3" borderId="33" xfId="0" applyFill="1" applyBorder="1"/>
    <xf numFmtId="0" fontId="0" fillId="3" borderId="35" xfId="0" applyFill="1" applyBorder="1"/>
    <xf numFmtId="0" fontId="0" fillId="3" borderId="11" xfId="0" applyFill="1" applyBorder="1"/>
    <xf numFmtId="0" fontId="0" fillId="3" borderId="19" xfId="0" applyFill="1" applyBorder="1"/>
    <xf numFmtId="0" fontId="0" fillId="2" borderId="39" xfId="0" applyFill="1" applyBorder="1"/>
    <xf numFmtId="0" fontId="0" fillId="2" borderId="40" xfId="0" applyFill="1" applyBorder="1"/>
    <xf numFmtId="0" fontId="0" fillId="2" borderId="34" xfId="0" applyFill="1" applyBorder="1"/>
    <xf numFmtId="0" fontId="0" fillId="2" borderId="36" xfId="0" applyFill="1" applyBorder="1"/>
    <xf numFmtId="0" fontId="0" fillId="2" borderId="37" xfId="0" applyFill="1" applyBorder="1"/>
    <xf numFmtId="0" fontId="0" fillId="2" borderId="28" xfId="0" applyFill="1" applyBorder="1"/>
    <xf numFmtId="0" fontId="0" fillId="2" borderId="44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45" xfId="0" applyFill="1" applyBorder="1"/>
    <xf numFmtId="0" fontId="0" fillId="3" borderId="41" xfId="0" applyFill="1" applyBorder="1"/>
    <xf numFmtId="0" fontId="0" fillId="2" borderId="46" xfId="0" applyFill="1" applyBorder="1"/>
    <xf numFmtId="0" fontId="0" fillId="2" borderId="34" xfId="0" applyFill="1" applyBorder="1" applyAlignment="1">
      <alignment horizontal="center"/>
    </xf>
    <xf numFmtId="0" fontId="0" fillId="2" borderId="43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0" xfId="0" applyFill="1" applyBorder="1"/>
    <xf numFmtId="0" fontId="0" fillId="2" borderId="32" xfId="0" applyFill="1" applyBorder="1"/>
    <xf numFmtId="0" fontId="0" fillId="2" borderId="51" xfId="0" applyFill="1" applyBorder="1"/>
    <xf numFmtId="0" fontId="0" fillId="2" borderId="52" xfId="0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/>
    <xf numFmtId="9" fontId="0" fillId="2" borderId="13" xfId="2" applyFont="1" applyFill="1" applyBorder="1"/>
    <xf numFmtId="164" fontId="0" fillId="2" borderId="0" xfId="0" applyNumberFormat="1" applyFill="1"/>
    <xf numFmtId="164" fontId="0" fillId="2" borderId="10" xfId="0" applyNumberFormat="1" applyFill="1" applyBorder="1"/>
    <xf numFmtId="9" fontId="0" fillId="2" borderId="32" xfId="2" applyFont="1" applyFill="1" applyBorder="1"/>
    <xf numFmtId="0" fontId="0" fillId="2" borderId="11" xfId="0" applyFill="1" applyBorder="1"/>
    <xf numFmtId="0" fontId="0" fillId="2" borderId="1" xfId="0" applyFill="1" applyBorder="1"/>
    <xf numFmtId="0" fontId="0" fillId="3" borderId="42" xfId="0" applyFill="1" applyBorder="1"/>
    <xf numFmtId="0" fontId="0" fillId="3" borderId="43" xfId="0" applyFill="1" applyBorder="1"/>
    <xf numFmtId="0" fontId="0" fillId="3" borderId="48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12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3" xfId="0" applyBorder="1"/>
    <xf numFmtId="0" fontId="0" fillId="0" borderId="25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3" borderId="14" xfId="0" applyFill="1" applyBorder="1"/>
    <xf numFmtId="0" fontId="0" fillId="0" borderId="13" xfId="0" applyBorder="1"/>
    <xf numFmtId="0" fontId="0" fillId="0" borderId="14" xfId="0" applyBorder="1"/>
    <xf numFmtId="0" fontId="0" fillId="0" borderId="14" xfId="0" applyFill="1" applyBorder="1"/>
    <xf numFmtId="0" fontId="0" fillId="0" borderId="15" xfId="0" applyBorder="1"/>
    <xf numFmtId="164" fontId="0" fillId="2" borderId="15" xfId="0" applyNumberFormat="1" applyFill="1" applyBorder="1"/>
    <xf numFmtId="0" fontId="11" fillId="0" borderId="0" xfId="0" applyFont="1"/>
    <xf numFmtId="164" fontId="0" fillId="2" borderId="14" xfId="0" applyNumberFormat="1" applyFill="1" applyBorder="1"/>
    <xf numFmtId="2" fontId="0" fillId="2" borderId="14" xfId="0" applyNumberFormat="1" applyFill="1" applyBorder="1"/>
    <xf numFmtId="164" fontId="0" fillId="2" borderId="13" xfId="0" applyNumberFormat="1" applyFill="1" applyBorder="1"/>
    <xf numFmtId="0" fontId="7" fillId="2" borderId="26" xfId="0" applyFont="1" applyFill="1" applyBorder="1"/>
    <xf numFmtId="164" fontId="0" fillId="2" borderId="29" xfId="0" applyNumberFormat="1" applyFill="1" applyBorder="1"/>
    <xf numFmtId="0" fontId="0" fillId="6" borderId="15" xfId="0" applyFill="1" applyBorder="1"/>
    <xf numFmtId="0" fontId="0" fillId="3" borderId="14" xfId="0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/>
    </xf>
    <xf numFmtId="0" fontId="0" fillId="2" borderId="14" xfId="0" applyFont="1" applyFill="1" applyBorder="1"/>
    <xf numFmtId="0" fontId="0" fillId="6" borderId="1" xfId="0" applyFill="1" applyBorder="1"/>
    <xf numFmtId="0" fontId="0" fillId="7" borderId="1" xfId="0" applyFill="1" applyBorder="1"/>
    <xf numFmtId="0" fontId="0" fillId="3" borderId="32" xfId="0" applyFill="1" applyBorder="1" applyAlignment="1">
      <alignment horizontal="center" vertical="center"/>
    </xf>
    <xf numFmtId="0" fontId="0" fillId="6" borderId="14" xfId="0" applyFill="1" applyBorder="1"/>
    <xf numFmtId="0" fontId="5" fillId="0" borderId="0" xfId="0" applyFont="1" applyFill="1" applyBorder="1"/>
    <xf numFmtId="0" fontId="6" fillId="3" borderId="32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0" fillId="7" borderId="13" xfId="0" applyFill="1" applyBorder="1"/>
    <xf numFmtId="164" fontId="0" fillId="6" borderId="1" xfId="0" applyNumberFormat="1" applyFill="1" applyBorder="1"/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0" fillId="2" borderId="52" xfId="0" applyFill="1" applyBorder="1" applyAlignment="1">
      <alignment horizontal="center"/>
    </xf>
    <xf numFmtId="0" fontId="0" fillId="2" borderId="51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0" borderId="0" xfId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0" fillId="2" borderId="55" xfId="0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11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top" textRotation="90"/>
    </xf>
    <xf numFmtId="0" fontId="10" fillId="8" borderId="9" xfId="0" applyFont="1" applyFill="1" applyBorder="1" applyAlignment="1">
      <alignment horizontal="center" vertical="top" textRotation="90"/>
    </xf>
    <xf numFmtId="0" fontId="10" fillId="5" borderId="8" xfId="0" applyFont="1" applyFill="1" applyBorder="1" applyAlignment="1">
      <alignment horizontal="center" vertical="top" textRotation="90"/>
    </xf>
    <xf numFmtId="0" fontId="10" fillId="5" borderId="9" xfId="0" applyFont="1" applyFill="1" applyBorder="1" applyAlignment="1">
      <alignment horizontal="center" vertical="top" textRotation="90"/>
    </xf>
    <xf numFmtId="0" fontId="10" fillId="5" borderId="10" xfId="0" applyFont="1" applyFill="1" applyBorder="1" applyAlignment="1">
      <alignment horizontal="center" vertical="top" textRotation="90"/>
    </xf>
    <xf numFmtId="0" fontId="0" fillId="3" borderId="8" xfId="0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top" textRotation="90"/>
    </xf>
    <xf numFmtId="0" fontId="10" fillId="5" borderId="14" xfId="0" applyFont="1" applyFill="1" applyBorder="1" applyAlignment="1">
      <alignment horizontal="center" vertical="top" textRotation="90"/>
    </xf>
    <xf numFmtId="0" fontId="10" fillId="5" borderId="32" xfId="0" applyFont="1" applyFill="1" applyBorder="1" applyAlignment="1">
      <alignment horizontal="center" vertical="top" textRotation="90"/>
    </xf>
    <xf numFmtId="0" fontId="10" fillId="8" borderId="13" xfId="0" applyFont="1" applyFill="1" applyBorder="1" applyAlignment="1">
      <alignment horizontal="center" vertical="top" textRotation="90"/>
    </xf>
    <xf numFmtId="0" fontId="10" fillId="8" borderId="14" xfId="0" applyFont="1" applyFill="1" applyBorder="1" applyAlignment="1">
      <alignment horizontal="center" vertical="top" textRotation="90"/>
    </xf>
    <xf numFmtId="0" fontId="10" fillId="8" borderId="32" xfId="0" applyFont="1" applyFill="1" applyBorder="1" applyAlignment="1">
      <alignment horizontal="center" vertical="top" textRotation="90"/>
    </xf>
    <xf numFmtId="0" fontId="10" fillId="8" borderId="10" xfId="0" applyFont="1" applyFill="1" applyBorder="1" applyAlignment="1">
      <alignment horizontal="center" vertical="top" textRotation="90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10" fillId="4" borderId="8" xfId="0" applyFont="1" applyFill="1" applyBorder="1" applyAlignment="1">
      <alignment horizontal="center" vertical="top" textRotation="90"/>
    </xf>
    <xf numFmtId="0" fontId="10" fillId="4" borderId="9" xfId="0" applyFont="1" applyFill="1" applyBorder="1" applyAlignment="1">
      <alignment horizontal="center" vertical="top" textRotation="90"/>
    </xf>
    <xf numFmtId="0" fontId="10" fillId="4" borderId="10" xfId="0" applyFont="1" applyFill="1" applyBorder="1" applyAlignment="1">
      <alignment horizontal="center" vertical="top" textRotation="90"/>
    </xf>
    <xf numFmtId="0" fontId="10" fillId="4" borderId="13" xfId="0" applyFont="1" applyFill="1" applyBorder="1" applyAlignment="1">
      <alignment horizontal="center" vertical="top" textRotation="90"/>
    </xf>
    <xf numFmtId="0" fontId="10" fillId="4" borderId="14" xfId="0" applyFont="1" applyFill="1" applyBorder="1" applyAlignment="1">
      <alignment horizontal="center" vertical="top" textRotation="90"/>
    </xf>
    <xf numFmtId="0" fontId="10" fillId="4" borderId="32" xfId="0" applyFont="1" applyFill="1" applyBorder="1" applyAlignment="1">
      <alignment horizontal="center" vertical="top" textRotation="90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42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RPM</a:t>
            </a:r>
            <a:r>
              <a:rPr lang="en-GB" baseline="0"/>
              <a:t> Fall and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45501983151707"/>
          <c:y val="0.13996406361735447"/>
          <c:w val="0.78263281437164078"/>
          <c:h val="0.73110268701725434"/>
        </c:manualLayout>
      </c:layout>
      <c:scatterChart>
        <c:scatterStyle val="lineMarker"/>
        <c:varyColors val="0"/>
        <c:ser>
          <c:idx val="0"/>
          <c:order val="0"/>
          <c:tx>
            <c:v>Gear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5.8412686731621227E-2"/>
                  <c:y val="2.87400541308736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6CF-4538-BC8E-14A87C5A6E41}"/>
                </c:ext>
              </c:extLst>
            </c:dLbl>
            <c:dLbl>
              <c:idx val="1"/>
              <c:layout>
                <c:manualLayout>
                  <c:x val="-4.5714276572573112E-2"/>
                  <c:y val="-2.87400541308736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6CF-4538-BC8E-14A87C5A6E41}"/>
                </c:ext>
              </c:extLst>
            </c:dLbl>
            <c:dLbl>
              <c:idx val="2"/>
              <c:layout>
                <c:manualLayout>
                  <c:x val="-5.079364063619235E-2"/>
                  <c:y val="2.4634332112177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CF-4538-BC8E-14A87C5A6E41}"/>
                </c:ext>
              </c:extLst>
            </c:dLbl>
            <c:dLbl>
              <c:idx val="3"/>
              <c:layout>
                <c:manualLayout>
                  <c:x val="-4.3174594540763493E-2"/>
                  <c:y val="-2.87400541308736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6CF-4538-BC8E-14A87C5A6E41}"/>
                </c:ext>
              </c:extLst>
            </c:dLbl>
            <c:dLbl>
              <c:idx val="4"/>
              <c:layout>
                <c:manualLayout>
                  <c:x val="-5.079364063619235E-2"/>
                  <c:y val="3.69514981682660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6CF-4538-BC8E-14A87C5A6E41}"/>
                </c:ext>
              </c:extLst>
            </c:dLbl>
            <c:dLbl>
              <c:idx val="5"/>
              <c:layout>
                <c:manualLayout>
                  <c:x val="-4.0634912508953881E-2"/>
                  <c:y val="-2.87400541308736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6CF-4538-BC8E-14A87C5A6E41}"/>
                </c:ext>
              </c:extLst>
            </c:dLbl>
            <c:dLbl>
              <c:idx val="6"/>
              <c:layout>
                <c:manualLayout>
                  <c:x val="-4.8253958604382821E-2"/>
                  <c:y val="3.28457761495698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6CF-4538-BC8E-14A87C5A6E41}"/>
                </c:ext>
              </c:extLst>
            </c:dLbl>
            <c:dLbl>
              <c:idx val="7"/>
              <c:layout>
                <c:manualLayout>
                  <c:x val="-4.0634912508953881E-2"/>
                  <c:y val="-3.28457761495698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6CF-4538-BC8E-14A87C5A6E41}"/>
                </c:ext>
              </c:extLst>
            </c:dLbl>
            <c:dLbl>
              <c:idx val="8"/>
              <c:layout>
                <c:manualLayout>
                  <c:x val="-4.8253958604382731E-2"/>
                  <c:y val="3.28457761495698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6CF-4538-BC8E-14A87C5A6E41}"/>
                </c:ext>
              </c:extLst>
            </c:dLbl>
            <c:dLbl>
              <c:idx val="9"/>
              <c:layout>
                <c:manualLayout>
                  <c:x val="-3.5555548445334741E-2"/>
                  <c:y val="-3.28457761495698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6CF-4538-BC8E-14A87C5A6E41}"/>
                </c:ext>
              </c:extLst>
            </c:dLbl>
            <c:dLbl>
              <c:idx val="10"/>
              <c:layout>
                <c:manualLayout>
                  <c:x val="-4.8253958604382731E-2"/>
                  <c:y val="3.28457761495698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6CF-4538-BC8E-14A87C5A6E41}"/>
                </c:ext>
              </c:extLst>
            </c:dLbl>
            <c:dLbl>
              <c:idx val="11"/>
              <c:layout>
                <c:manualLayout>
                  <c:x val="-1.0158728127238562E-2"/>
                  <c:y val="-2.87400541308736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6CF-4538-BC8E-14A87C5A6E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'Gearing Calculator'!$P$7:$P$18</c:f>
              <c:numCache>
                <c:formatCode>General</c:formatCode>
                <c:ptCount val="12"/>
                <c:pt idx="0">
                  <c:v>38</c:v>
                </c:pt>
                <c:pt idx="1">
                  <c:v>100</c:v>
                </c:pt>
                <c:pt idx="2">
                  <c:v>100</c:v>
                </c:pt>
                <c:pt idx="3">
                  <c:v>129</c:v>
                </c:pt>
                <c:pt idx="4">
                  <c:v>129</c:v>
                </c:pt>
                <c:pt idx="5">
                  <c:v>154</c:v>
                </c:pt>
                <c:pt idx="6">
                  <c:v>154</c:v>
                </c:pt>
                <c:pt idx="7">
                  <c:v>178</c:v>
                </c:pt>
                <c:pt idx="8">
                  <c:v>178</c:v>
                </c:pt>
                <c:pt idx="9">
                  <c:v>200</c:v>
                </c:pt>
                <c:pt idx="10">
                  <c:v>200</c:v>
                </c:pt>
                <c:pt idx="11">
                  <c:v>219</c:v>
                </c:pt>
              </c:numCache>
            </c:numRef>
          </c:xVal>
          <c:yVal>
            <c:numRef>
              <c:f>'Gearing Calculator'!$Q$7:$Q$18</c:f>
              <c:numCache>
                <c:formatCode>General</c:formatCode>
                <c:ptCount val="12"/>
                <c:pt idx="0">
                  <c:v>5250</c:v>
                </c:pt>
                <c:pt idx="1">
                  <c:v>13750</c:v>
                </c:pt>
                <c:pt idx="2">
                  <c:v>10750</c:v>
                </c:pt>
                <c:pt idx="3">
                  <c:v>13750</c:v>
                </c:pt>
                <c:pt idx="4">
                  <c:v>11500</c:v>
                </c:pt>
                <c:pt idx="5">
                  <c:v>13750</c:v>
                </c:pt>
                <c:pt idx="6">
                  <c:v>11900</c:v>
                </c:pt>
                <c:pt idx="7">
                  <c:v>13750</c:v>
                </c:pt>
                <c:pt idx="8">
                  <c:v>12250</c:v>
                </c:pt>
                <c:pt idx="9">
                  <c:v>13750</c:v>
                </c:pt>
                <c:pt idx="10">
                  <c:v>12300</c:v>
                </c:pt>
                <c:pt idx="11">
                  <c:v>13400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6CF-4538-BC8E-14A87C5A6E4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315725664"/>
        <c:axId val="315728288"/>
      </c:scatterChart>
      <c:scatterChart>
        <c:scatterStyle val="lineMarker"/>
        <c:varyColors val="0"/>
        <c:ser>
          <c:idx val="1"/>
          <c:order val="1"/>
          <c:tx>
            <c:v>Speed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'Gearing Calculator'!$P$7:$P$18</c:f>
              <c:numCache>
                <c:formatCode>General</c:formatCode>
                <c:ptCount val="12"/>
                <c:pt idx="0">
                  <c:v>38</c:v>
                </c:pt>
                <c:pt idx="1">
                  <c:v>100</c:v>
                </c:pt>
                <c:pt idx="2">
                  <c:v>100</c:v>
                </c:pt>
                <c:pt idx="3">
                  <c:v>129</c:v>
                </c:pt>
                <c:pt idx="4">
                  <c:v>129</c:v>
                </c:pt>
                <c:pt idx="5">
                  <c:v>154</c:v>
                </c:pt>
                <c:pt idx="6">
                  <c:v>154</c:v>
                </c:pt>
                <c:pt idx="7">
                  <c:v>178</c:v>
                </c:pt>
                <c:pt idx="8">
                  <c:v>178</c:v>
                </c:pt>
                <c:pt idx="9">
                  <c:v>200</c:v>
                </c:pt>
                <c:pt idx="10">
                  <c:v>200</c:v>
                </c:pt>
                <c:pt idx="11">
                  <c:v>219</c:v>
                </c:pt>
              </c:numCache>
            </c:numRef>
          </c:xVal>
          <c:yVal>
            <c:numRef>
              <c:f>'Gearing Calculator'!$P$7:$P$18</c:f>
              <c:numCache>
                <c:formatCode>General</c:formatCode>
                <c:ptCount val="12"/>
                <c:pt idx="0">
                  <c:v>38</c:v>
                </c:pt>
                <c:pt idx="1">
                  <c:v>100</c:v>
                </c:pt>
                <c:pt idx="2">
                  <c:v>100</c:v>
                </c:pt>
                <c:pt idx="3">
                  <c:v>129</c:v>
                </c:pt>
                <c:pt idx="4">
                  <c:v>129</c:v>
                </c:pt>
                <c:pt idx="5">
                  <c:v>154</c:v>
                </c:pt>
                <c:pt idx="6">
                  <c:v>154</c:v>
                </c:pt>
                <c:pt idx="7">
                  <c:v>178</c:v>
                </c:pt>
                <c:pt idx="8">
                  <c:v>178</c:v>
                </c:pt>
                <c:pt idx="9">
                  <c:v>200</c:v>
                </c:pt>
                <c:pt idx="10">
                  <c:v>200</c:v>
                </c:pt>
                <c:pt idx="11">
                  <c:v>219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6CF-4538-BC8E-14A87C5A6E4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595675928"/>
        <c:axId val="595672648"/>
      </c:scatterChart>
      <c:valAx>
        <c:axId val="315725664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(Kph)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142848115415951"/>
              <c:y val="0.9375723350631246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728288"/>
        <c:crosses val="autoZero"/>
        <c:crossBetween val="midCat"/>
      </c:valAx>
      <c:valAx>
        <c:axId val="315728288"/>
        <c:scaling>
          <c:orientation val="minMax"/>
          <c:max val="14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layout>
            <c:manualLayout>
              <c:xMode val="edge"/>
              <c:yMode val="edge"/>
              <c:x val="1.015872812723847E-2"/>
              <c:y val="0.398007076066420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725664"/>
        <c:crosses val="autoZero"/>
        <c:crossBetween val="midCat"/>
      </c:valAx>
      <c:valAx>
        <c:axId val="595672648"/>
        <c:scaling>
          <c:orientation val="minMax"/>
          <c:max val="270"/>
          <c:min val="2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(Kph)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5122530659161475"/>
              <c:y val="0.398007076066420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675928"/>
        <c:crosses val="max"/>
        <c:crossBetween val="midCat"/>
        <c:majorUnit val="20"/>
      </c:valAx>
      <c:valAx>
        <c:axId val="5956759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95672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Dyno</a:t>
            </a:r>
            <a:r>
              <a:rPr lang="en-GB" baseline="0"/>
              <a:t> Graph Interpretation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238306152514988"/>
          <c:y val="0.15175545053562206"/>
          <c:w val="0.79523387694970016"/>
          <c:h val="0.5815453222511494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'Gearing Calculator'!$AB$5</c:f>
              <c:strCache>
                <c:ptCount val="1"/>
                <c:pt idx="0">
                  <c:v>Power (BHP)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'Gearing Calculator'!$AA$6:$AA$112</c:f>
              <c:numCache>
                <c:formatCode>General</c:formatCode>
                <c:ptCount val="107"/>
                <c:pt idx="0">
                  <c:v>5200</c:v>
                </c:pt>
                <c:pt idx="1">
                  <c:v>5300</c:v>
                </c:pt>
                <c:pt idx="2">
                  <c:v>5400</c:v>
                </c:pt>
                <c:pt idx="3">
                  <c:v>5500</c:v>
                </c:pt>
                <c:pt idx="4">
                  <c:v>5600</c:v>
                </c:pt>
                <c:pt idx="5">
                  <c:v>5700</c:v>
                </c:pt>
                <c:pt idx="6">
                  <c:v>5800</c:v>
                </c:pt>
                <c:pt idx="7">
                  <c:v>5900</c:v>
                </c:pt>
                <c:pt idx="8">
                  <c:v>6000</c:v>
                </c:pt>
                <c:pt idx="9">
                  <c:v>6100</c:v>
                </c:pt>
                <c:pt idx="10">
                  <c:v>6200</c:v>
                </c:pt>
                <c:pt idx="11">
                  <c:v>6300</c:v>
                </c:pt>
                <c:pt idx="12">
                  <c:v>6400</c:v>
                </c:pt>
                <c:pt idx="13">
                  <c:v>6500</c:v>
                </c:pt>
                <c:pt idx="14">
                  <c:v>6600</c:v>
                </c:pt>
                <c:pt idx="15">
                  <c:v>6700</c:v>
                </c:pt>
                <c:pt idx="16">
                  <c:v>6800</c:v>
                </c:pt>
                <c:pt idx="17">
                  <c:v>6900</c:v>
                </c:pt>
                <c:pt idx="18">
                  <c:v>7000</c:v>
                </c:pt>
                <c:pt idx="19">
                  <c:v>7100</c:v>
                </c:pt>
                <c:pt idx="20">
                  <c:v>7200</c:v>
                </c:pt>
                <c:pt idx="21">
                  <c:v>7300</c:v>
                </c:pt>
                <c:pt idx="22">
                  <c:v>7400</c:v>
                </c:pt>
                <c:pt idx="23">
                  <c:v>7500</c:v>
                </c:pt>
                <c:pt idx="24">
                  <c:v>7600</c:v>
                </c:pt>
                <c:pt idx="25">
                  <c:v>7700</c:v>
                </c:pt>
                <c:pt idx="26">
                  <c:v>7800</c:v>
                </c:pt>
                <c:pt idx="27">
                  <c:v>7900</c:v>
                </c:pt>
                <c:pt idx="28">
                  <c:v>8000</c:v>
                </c:pt>
                <c:pt idx="29">
                  <c:v>8100</c:v>
                </c:pt>
                <c:pt idx="30">
                  <c:v>8200</c:v>
                </c:pt>
                <c:pt idx="31">
                  <c:v>8300</c:v>
                </c:pt>
                <c:pt idx="32">
                  <c:v>8400</c:v>
                </c:pt>
                <c:pt idx="33">
                  <c:v>8500</c:v>
                </c:pt>
                <c:pt idx="34">
                  <c:v>8600</c:v>
                </c:pt>
                <c:pt idx="35">
                  <c:v>8700</c:v>
                </c:pt>
                <c:pt idx="36">
                  <c:v>8800</c:v>
                </c:pt>
                <c:pt idx="37">
                  <c:v>8900</c:v>
                </c:pt>
                <c:pt idx="38">
                  <c:v>9000</c:v>
                </c:pt>
                <c:pt idx="39">
                  <c:v>9100</c:v>
                </c:pt>
                <c:pt idx="40">
                  <c:v>9200</c:v>
                </c:pt>
                <c:pt idx="41">
                  <c:v>9300</c:v>
                </c:pt>
                <c:pt idx="42">
                  <c:v>9400</c:v>
                </c:pt>
                <c:pt idx="43">
                  <c:v>9500</c:v>
                </c:pt>
                <c:pt idx="44">
                  <c:v>9600</c:v>
                </c:pt>
                <c:pt idx="45">
                  <c:v>9700</c:v>
                </c:pt>
                <c:pt idx="46">
                  <c:v>9800</c:v>
                </c:pt>
                <c:pt idx="47">
                  <c:v>9900</c:v>
                </c:pt>
                <c:pt idx="48">
                  <c:v>10000</c:v>
                </c:pt>
                <c:pt idx="49">
                  <c:v>10100</c:v>
                </c:pt>
                <c:pt idx="50">
                  <c:v>10200</c:v>
                </c:pt>
                <c:pt idx="51">
                  <c:v>10300</c:v>
                </c:pt>
                <c:pt idx="52">
                  <c:v>10400</c:v>
                </c:pt>
                <c:pt idx="53">
                  <c:v>10500</c:v>
                </c:pt>
                <c:pt idx="54">
                  <c:v>10600</c:v>
                </c:pt>
                <c:pt idx="55">
                  <c:v>10700</c:v>
                </c:pt>
                <c:pt idx="56">
                  <c:v>10800</c:v>
                </c:pt>
                <c:pt idx="57">
                  <c:v>10900</c:v>
                </c:pt>
                <c:pt idx="58">
                  <c:v>11000</c:v>
                </c:pt>
                <c:pt idx="59">
                  <c:v>11100</c:v>
                </c:pt>
                <c:pt idx="60">
                  <c:v>11200</c:v>
                </c:pt>
                <c:pt idx="61">
                  <c:v>11300</c:v>
                </c:pt>
                <c:pt idx="62">
                  <c:v>11400</c:v>
                </c:pt>
                <c:pt idx="63">
                  <c:v>11500</c:v>
                </c:pt>
                <c:pt idx="64">
                  <c:v>11600</c:v>
                </c:pt>
                <c:pt idx="65">
                  <c:v>11700</c:v>
                </c:pt>
                <c:pt idx="66">
                  <c:v>11800</c:v>
                </c:pt>
                <c:pt idx="67">
                  <c:v>11900</c:v>
                </c:pt>
                <c:pt idx="68">
                  <c:v>12000</c:v>
                </c:pt>
                <c:pt idx="69">
                  <c:v>12100</c:v>
                </c:pt>
                <c:pt idx="70">
                  <c:v>12200</c:v>
                </c:pt>
                <c:pt idx="71">
                  <c:v>12300</c:v>
                </c:pt>
                <c:pt idx="72">
                  <c:v>12400</c:v>
                </c:pt>
                <c:pt idx="73">
                  <c:v>12500</c:v>
                </c:pt>
                <c:pt idx="74">
                  <c:v>12600</c:v>
                </c:pt>
                <c:pt idx="75">
                  <c:v>12700</c:v>
                </c:pt>
                <c:pt idx="76">
                  <c:v>12800</c:v>
                </c:pt>
                <c:pt idx="77">
                  <c:v>12900</c:v>
                </c:pt>
                <c:pt idx="78">
                  <c:v>13000</c:v>
                </c:pt>
                <c:pt idx="79">
                  <c:v>13100</c:v>
                </c:pt>
                <c:pt idx="80">
                  <c:v>13200</c:v>
                </c:pt>
                <c:pt idx="81">
                  <c:v>13300</c:v>
                </c:pt>
                <c:pt idx="82">
                  <c:v>13400</c:v>
                </c:pt>
                <c:pt idx="83">
                  <c:v>13500</c:v>
                </c:pt>
                <c:pt idx="84">
                  <c:v>13600</c:v>
                </c:pt>
                <c:pt idx="85">
                  <c:v>13700</c:v>
                </c:pt>
                <c:pt idx="86">
                  <c:v>13800</c:v>
                </c:pt>
                <c:pt idx="87">
                  <c:v>13900</c:v>
                </c:pt>
                <c:pt idx="88">
                  <c:v>14000</c:v>
                </c:pt>
                <c:pt idx="89">
                  <c:v>14100</c:v>
                </c:pt>
                <c:pt idx="90">
                  <c:v>14200</c:v>
                </c:pt>
                <c:pt idx="91">
                  <c:v>14300</c:v>
                </c:pt>
                <c:pt idx="92">
                  <c:v>14400</c:v>
                </c:pt>
                <c:pt idx="93">
                  <c:v>14500</c:v>
                </c:pt>
                <c:pt idx="94">
                  <c:v>14600</c:v>
                </c:pt>
                <c:pt idx="95">
                  <c:v>14700</c:v>
                </c:pt>
                <c:pt idx="96">
                  <c:v>14800</c:v>
                </c:pt>
                <c:pt idx="97">
                  <c:v>14900</c:v>
                </c:pt>
                <c:pt idx="98">
                  <c:v>15000</c:v>
                </c:pt>
                <c:pt idx="99">
                  <c:v>15100</c:v>
                </c:pt>
                <c:pt idx="100">
                  <c:v>15200</c:v>
                </c:pt>
                <c:pt idx="101">
                  <c:v>15300</c:v>
                </c:pt>
                <c:pt idx="102">
                  <c:v>15400</c:v>
                </c:pt>
                <c:pt idx="103">
                  <c:v>15500</c:v>
                </c:pt>
                <c:pt idx="104">
                  <c:v>15600</c:v>
                </c:pt>
                <c:pt idx="105">
                  <c:v>15700</c:v>
                </c:pt>
                <c:pt idx="106">
                  <c:v>15800</c:v>
                </c:pt>
              </c:numCache>
            </c:numRef>
          </c:xVal>
          <c:yVal>
            <c:numRef>
              <c:f>'Gearing Calculator'!$AB$6:$AB$112</c:f>
              <c:numCache>
                <c:formatCode>General</c:formatCode>
                <c:ptCount val="107"/>
                <c:pt idx="0">
                  <c:v>30</c:v>
                </c:pt>
                <c:pt idx="1">
                  <c:v>31</c:v>
                </c:pt>
                <c:pt idx="2">
                  <c:v>32</c:v>
                </c:pt>
                <c:pt idx="3">
                  <c:v>33</c:v>
                </c:pt>
                <c:pt idx="4">
                  <c:v>34</c:v>
                </c:pt>
                <c:pt idx="5">
                  <c:v>35</c:v>
                </c:pt>
                <c:pt idx="6">
                  <c:v>36</c:v>
                </c:pt>
                <c:pt idx="7">
                  <c:v>37</c:v>
                </c:pt>
                <c:pt idx="8">
                  <c:v>38</c:v>
                </c:pt>
                <c:pt idx="9">
                  <c:v>38.5</c:v>
                </c:pt>
                <c:pt idx="10">
                  <c:v>39</c:v>
                </c:pt>
                <c:pt idx="11">
                  <c:v>39.5</c:v>
                </c:pt>
                <c:pt idx="12">
                  <c:v>40</c:v>
                </c:pt>
                <c:pt idx="13">
                  <c:v>40</c:v>
                </c:pt>
                <c:pt idx="14">
                  <c:v>40.5</c:v>
                </c:pt>
                <c:pt idx="15">
                  <c:v>41</c:v>
                </c:pt>
                <c:pt idx="16">
                  <c:v>42</c:v>
                </c:pt>
                <c:pt idx="17">
                  <c:v>43</c:v>
                </c:pt>
                <c:pt idx="18">
                  <c:v>44</c:v>
                </c:pt>
                <c:pt idx="19">
                  <c:v>44.5</c:v>
                </c:pt>
                <c:pt idx="20">
                  <c:v>45</c:v>
                </c:pt>
                <c:pt idx="21">
                  <c:v>46</c:v>
                </c:pt>
                <c:pt idx="22">
                  <c:v>47</c:v>
                </c:pt>
                <c:pt idx="23">
                  <c:v>48</c:v>
                </c:pt>
                <c:pt idx="24">
                  <c:v>49</c:v>
                </c:pt>
                <c:pt idx="25">
                  <c:v>49.5</c:v>
                </c:pt>
                <c:pt idx="26">
                  <c:v>50</c:v>
                </c:pt>
                <c:pt idx="27">
                  <c:v>51</c:v>
                </c:pt>
                <c:pt idx="28">
                  <c:v>52</c:v>
                </c:pt>
                <c:pt idx="29">
                  <c:v>52.5</c:v>
                </c:pt>
                <c:pt idx="30">
                  <c:v>53</c:v>
                </c:pt>
                <c:pt idx="31">
                  <c:v>54</c:v>
                </c:pt>
                <c:pt idx="32">
                  <c:v>55</c:v>
                </c:pt>
                <c:pt idx="33">
                  <c:v>56</c:v>
                </c:pt>
                <c:pt idx="34">
                  <c:v>57</c:v>
                </c:pt>
                <c:pt idx="35">
                  <c:v>58</c:v>
                </c:pt>
                <c:pt idx="36">
                  <c:v>59</c:v>
                </c:pt>
                <c:pt idx="37">
                  <c:v>60</c:v>
                </c:pt>
                <c:pt idx="38">
                  <c:v>61</c:v>
                </c:pt>
                <c:pt idx="39">
                  <c:v>62</c:v>
                </c:pt>
                <c:pt idx="40">
                  <c:v>64</c:v>
                </c:pt>
                <c:pt idx="41">
                  <c:v>66</c:v>
                </c:pt>
                <c:pt idx="42">
                  <c:v>68</c:v>
                </c:pt>
                <c:pt idx="43">
                  <c:v>70</c:v>
                </c:pt>
                <c:pt idx="44">
                  <c:v>72</c:v>
                </c:pt>
                <c:pt idx="45">
                  <c:v>74</c:v>
                </c:pt>
                <c:pt idx="46">
                  <c:v>76</c:v>
                </c:pt>
                <c:pt idx="47">
                  <c:v>78</c:v>
                </c:pt>
                <c:pt idx="48">
                  <c:v>81</c:v>
                </c:pt>
                <c:pt idx="49">
                  <c:v>83</c:v>
                </c:pt>
                <c:pt idx="50">
                  <c:v>85</c:v>
                </c:pt>
                <c:pt idx="51">
                  <c:v>87</c:v>
                </c:pt>
                <c:pt idx="52">
                  <c:v>89</c:v>
                </c:pt>
                <c:pt idx="53">
                  <c:v>91</c:v>
                </c:pt>
                <c:pt idx="54">
                  <c:v>92</c:v>
                </c:pt>
                <c:pt idx="55">
                  <c:v>93</c:v>
                </c:pt>
                <c:pt idx="56">
                  <c:v>94</c:v>
                </c:pt>
                <c:pt idx="57">
                  <c:v>95</c:v>
                </c:pt>
                <c:pt idx="58">
                  <c:v>95</c:v>
                </c:pt>
                <c:pt idx="59">
                  <c:v>95</c:v>
                </c:pt>
                <c:pt idx="60">
                  <c:v>95</c:v>
                </c:pt>
                <c:pt idx="61">
                  <c:v>95</c:v>
                </c:pt>
                <c:pt idx="62">
                  <c:v>95</c:v>
                </c:pt>
                <c:pt idx="63">
                  <c:v>95</c:v>
                </c:pt>
                <c:pt idx="64">
                  <c:v>96</c:v>
                </c:pt>
                <c:pt idx="65">
                  <c:v>97</c:v>
                </c:pt>
                <c:pt idx="66">
                  <c:v>98</c:v>
                </c:pt>
                <c:pt idx="67">
                  <c:v>99</c:v>
                </c:pt>
                <c:pt idx="68">
                  <c:v>100</c:v>
                </c:pt>
                <c:pt idx="69">
                  <c:v>102</c:v>
                </c:pt>
                <c:pt idx="70">
                  <c:v>103</c:v>
                </c:pt>
                <c:pt idx="71">
                  <c:v>104</c:v>
                </c:pt>
                <c:pt idx="72">
                  <c:v>105</c:v>
                </c:pt>
                <c:pt idx="73">
                  <c:v>106</c:v>
                </c:pt>
                <c:pt idx="74">
                  <c:v>107</c:v>
                </c:pt>
                <c:pt idx="75">
                  <c:v>108</c:v>
                </c:pt>
                <c:pt idx="76">
                  <c:v>108.5</c:v>
                </c:pt>
                <c:pt idx="77">
                  <c:v>109</c:v>
                </c:pt>
                <c:pt idx="78">
                  <c:v>109</c:v>
                </c:pt>
                <c:pt idx="79">
                  <c:v>109</c:v>
                </c:pt>
                <c:pt idx="80">
                  <c:v>109</c:v>
                </c:pt>
                <c:pt idx="81">
                  <c:v>109</c:v>
                </c:pt>
                <c:pt idx="82">
                  <c:v>109</c:v>
                </c:pt>
                <c:pt idx="83">
                  <c:v>109</c:v>
                </c:pt>
                <c:pt idx="84">
                  <c:v>109</c:v>
                </c:pt>
                <c:pt idx="85">
                  <c:v>109</c:v>
                </c:pt>
                <c:pt idx="86">
                  <c:v>109.5</c:v>
                </c:pt>
                <c:pt idx="87">
                  <c:v>110</c:v>
                </c:pt>
                <c:pt idx="88">
                  <c:v>111</c:v>
                </c:pt>
                <c:pt idx="89">
                  <c:v>111.5</c:v>
                </c:pt>
                <c:pt idx="90">
                  <c:v>112</c:v>
                </c:pt>
                <c:pt idx="91">
                  <c:v>112</c:v>
                </c:pt>
                <c:pt idx="92">
                  <c:v>112</c:v>
                </c:pt>
                <c:pt idx="93">
                  <c:v>112</c:v>
                </c:pt>
                <c:pt idx="94">
                  <c:v>112</c:v>
                </c:pt>
                <c:pt idx="95">
                  <c:v>111.5</c:v>
                </c:pt>
                <c:pt idx="96">
                  <c:v>111</c:v>
                </c:pt>
                <c:pt idx="97">
                  <c:v>110.5</c:v>
                </c:pt>
                <c:pt idx="98">
                  <c:v>110</c:v>
                </c:pt>
                <c:pt idx="99">
                  <c:v>109</c:v>
                </c:pt>
                <c:pt idx="100">
                  <c:v>108</c:v>
                </c:pt>
                <c:pt idx="101">
                  <c:v>107</c:v>
                </c:pt>
                <c:pt idx="102">
                  <c:v>106.5</c:v>
                </c:pt>
                <c:pt idx="103">
                  <c:v>106</c:v>
                </c:pt>
                <c:pt idx="104">
                  <c:v>105.5</c:v>
                </c:pt>
                <c:pt idx="105">
                  <c:v>105</c:v>
                </c:pt>
                <c:pt idx="106">
                  <c:v>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623-4DBD-9A99-A07B727D58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5653296"/>
        <c:axId val="595657888"/>
      </c:scatterChart>
      <c:scatterChart>
        <c:scatterStyle val="smoothMarker"/>
        <c:varyColors val="0"/>
        <c:ser>
          <c:idx val="3"/>
          <c:order val="1"/>
          <c:tx>
            <c:strRef>
              <c:f>'Gearing Calculator'!$AE$5</c:f>
              <c:strCache>
                <c:ptCount val="1"/>
                <c:pt idx="0">
                  <c:v>Torque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'Gearing Calculator'!$AA$6:$AA$112</c:f>
              <c:numCache>
                <c:formatCode>General</c:formatCode>
                <c:ptCount val="107"/>
                <c:pt idx="0">
                  <c:v>5200</c:v>
                </c:pt>
                <c:pt idx="1">
                  <c:v>5300</c:v>
                </c:pt>
                <c:pt idx="2">
                  <c:v>5400</c:v>
                </c:pt>
                <c:pt idx="3">
                  <c:v>5500</c:v>
                </c:pt>
                <c:pt idx="4">
                  <c:v>5600</c:v>
                </c:pt>
                <c:pt idx="5">
                  <c:v>5700</c:v>
                </c:pt>
                <c:pt idx="6">
                  <c:v>5800</c:v>
                </c:pt>
                <c:pt idx="7">
                  <c:v>5900</c:v>
                </c:pt>
                <c:pt idx="8">
                  <c:v>6000</c:v>
                </c:pt>
                <c:pt idx="9">
                  <c:v>6100</c:v>
                </c:pt>
                <c:pt idx="10">
                  <c:v>6200</c:v>
                </c:pt>
                <c:pt idx="11">
                  <c:v>6300</c:v>
                </c:pt>
                <c:pt idx="12">
                  <c:v>6400</c:v>
                </c:pt>
                <c:pt idx="13">
                  <c:v>6500</c:v>
                </c:pt>
                <c:pt idx="14">
                  <c:v>6600</c:v>
                </c:pt>
                <c:pt idx="15">
                  <c:v>6700</c:v>
                </c:pt>
                <c:pt idx="16">
                  <c:v>6800</c:v>
                </c:pt>
                <c:pt idx="17">
                  <c:v>6900</c:v>
                </c:pt>
                <c:pt idx="18">
                  <c:v>7000</c:v>
                </c:pt>
                <c:pt idx="19">
                  <c:v>7100</c:v>
                </c:pt>
                <c:pt idx="20">
                  <c:v>7200</c:v>
                </c:pt>
                <c:pt idx="21">
                  <c:v>7300</c:v>
                </c:pt>
                <c:pt idx="22">
                  <c:v>7400</c:v>
                </c:pt>
                <c:pt idx="23">
                  <c:v>7500</c:v>
                </c:pt>
                <c:pt idx="24">
                  <c:v>7600</c:v>
                </c:pt>
                <c:pt idx="25">
                  <c:v>7700</c:v>
                </c:pt>
                <c:pt idx="26">
                  <c:v>7800</c:v>
                </c:pt>
                <c:pt idx="27">
                  <c:v>7900</c:v>
                </c:pt>
                <c:pt idx="28">
                  <c:v>8000</c:v>
                </c:pt>
                <c:pt idx="29">
                  <c:v>8100</c:v>
                </c:pt>
                <c:pt idx="30">
                  <c:v>8200</c:v>
                </c:pt>
                <c:pt idx="31">
                  <c:v>8300</c:v>
                </c:pt>
                <c:pt idx="32">
                  <c:v>8400</c:v>
                </c:pt>
                <c:pt idx="33">
                  <c:v>8500</c:v>
                </c:pt>
                <c:pt idx="34">
                  <c:v>8600</c:v>
                </c:pt>
                <c:pt idx="35">
                  <c:v>8700</c:v>
                </c:pt>
                <c:pt idx="36">
                  <c:v>8800</c:v>
                </c:pt>
                <c:pt idx="37">
                  <c:v>8900</c:v>
                </c:pt>
                <c:pt idx="38">
                  <c:v>9000</c:v>
                </c:pt>
                <c:pt idx="39">
                  <c:v>9100</c:v>
                </c:pt>
                <c:pt idx="40">
                  <c:v>9200</c:v>
                </c:pt>
                <c:pt idx="41">
                  <c:v>9300</c:v>
                </c:pt>
                <c:pt idx="42">
                  <c:v>9400</c:v>
                </c:pt>
                <c:pt idx="43">
                  <c:v>9500</c:v>
                </c:pt>
                <c:pt idx="44">
                  <c:v>9600</c:v>
                </c:pt>
                <c:pt idx="45">
                  <c:v>9700</c:v>
                </c:pt>
                <c:pt idx="46">
                  <c:v>9800</c:v>
                </c:pt>
                <c:pt idx="47">
                  <c:v>9900</c:v>
                </c:pt>
                <c:pt idx="48">
                  <c:v>10000</c:v>
                </c:pt>
                <c:pt idx="49">
                  <c:v>10100</c:v>
                </c:pt>
                <c:pt idx="50">
                  <c:v>10200</c:v>
                </c:pt>
                <c:pt idx="51">
                  <c:v>10300</c:v>
                </c:pt>
                <c:pt idx="52">
                  <c:v>10400</c:v>
                </c:pt>
                <c:pt idx="53">
                  <c:v>10500</c:v>
                </c:pt>
                <c:pt idx="54">
                  <c:v>10600</c:v>
                </c:pt>
                <c:pt idx="55">
                  <c:v>10700</c:v>
                </c:pt>
                <c:pt idx="56">
                  <c:v>10800</c:v>
                </c:pt>
                <c:pt idx="57">
                  <c:v>10900</c:v>
                </c:pt>
                <c:pt idx="58">
                  <c:v>11000</c:v>
                </c:pt>
                <c:pt idx="59">
                  <c:v>11100</c:v>
                </c:pt>
                <c:pt idx="60">
                  <c:v>11200</c:v>
                </c:pt>
                <c:pt idx="61">
                  <c:v>11300</c:v>
                </c:pt>
                <c:pt idx="62">
                  <c:v>11400</c:v>
                </c:pt>
                <c:pt idx="63">
                  <c:v>11500</c:v>
                </c:pt>
                <c:pt idx="64">
                  <c:v>11600</c:v>
                </c:pt>
                <c:pt idx="65">
                  <c:v>11700</c:v>
                </c:pt>
                <c:pt idx="66">
                  <c:v>11800</c:v>
                </c:pt>
                <c:pt idx="67">
                  <c:v>11900</c:v>
                </c:pt>
                <c:pt idx="68">
                  <c:v>12000</c:v>
                </c:pt>
                <c:pt idx="69">
                  <c:v>12100</c:v>
                </c:pt>
                <c:pt idx="70">
                  <c:v>12200</c:v>
                </c:pt>
                <c:pt idx="71">
                  <c:v>12300</c:v>
                </c:pt>
                <c:pt idx="72">
                  <c:v>12400</c:v>
                </c:pt>
                <c:pt idx="73">
                  <c:v>12500</c:v>
                </c:pt>
                <c:pt idx="74">
                  <c:v>12600</c:v>
                </c:pt>
                <c:pt idx="75">
                  <c:v>12700</c:v>
                </c:pt>
                <c:pt idx="76">
                  <c:v>12800</c:v>
                </c:pt>
                <c:pt idx="77">
                  <c:v>12900</c:v>
                </c:pt>
                <c:pt idx="78">
                  <c:v>13000</c:v>
                </c:pt>
                <c:pt idx="79">
                  <c:v>13100</c:v>
                </c:pt>
                <c:pt idx="80">
                  <c:v>13200</c:v>
                </c:pt>
                <c:pt idx="81">
                  <c:v>13300</c:v>
                </c:pt>
                <c:pt idx="82">
                  <c:v>13400</c:v>
                </c:pt>
                <c:pt idx="83">
                  <c:v>13500</c:v>
                </c:pt>
                <c:pt idx="84">
                  <c:v>13600</c:v>
                </c:pt>
                <c:pt idx="85">
                  <c:v>13700</c:v>
                </c:pt>
                <c:pt idx="86">
                  <c:v>13800</c:v>
                </c:pt>
                <c:pt idx="87">
                  <c:v>13900</c:v>
                </c:pt>
                <c:pt idx="88">
                  <c:v>14000</c:v>
                </c:pt>
                <c:pt idx="89">
                  <c:v>14100</c:v>
                </c:pt>
                <c:pt idx="90">
                  <c:v>14200</c:v>
                </c:pt>
                <c:pt idx="91">
                  <c:v>14300</c:v>
                </c:pt>
                <c:pt idx="92">
                  <c:v>14400</c:v>
                </c:pt>
                <c:pt idx="93">
                  <c:v>14500</c:v>
                </c:pt>
                <c:pt idx="94">
                  <c:v>14600</c:v>
                </c:pt>
                <c:pt idx="95">
                  <c:v>14700</c:v>
                </c:pt>
                <c:pt idx="96">
                  <c:v>14800</c:v>
                </c:pt>
                <c:pt idx="97">
                  <c:v>14900</c:v>
                </c:pt>
                <c:pt idx="98">
                  <c:v>15000</c:v>
                </c:pt>
                <c:pt idx="99">
                  <c:v>15100</c:v>
                </c:pt>
                <c:pt idx="100">
                  <c:v>15200</c:v>
                </c:pt>
                <c:pt idx="101">
                  <c:v>15300</c:v>
                </c:pt>
                <c:pt idx="102">
                  <c:v>15400</c:v>
                </c:pt>
                <c:pt idx="103">
                  <c:v>15500</c:v>
                </c:pt>
                <c:pt idx="104">
                  <c:v>15600</c:v>
                </c:pt>
                <c:pt idx="105">
                  <c:v>15700</c:v>
                </c:pt>
                <c:pt idx="106">
                  <c:v>15800</c:v>
                </c:pt>
              </c:numCache>
            </c:numRef>
          </c:xVal>
          <c:yVal>
            <c:numRef>
              <c:f>'Gearing Calculator'!$AE$6:$AE$112</c:f>
              <c:numCache>
                <c:formatCode>General</c:formatCode>
                <c:ptCount val="107"/>
                <c:pt idx="0">
                  <c:v>30.3</c:v>
                </c:pt>
                <c:pt idx="1">
                  <c:v>30.719245283018868</c:v>
                </c:pt>
                <c:pt idx="2">
                  <c:v>31.122962962962962</c:v>
                </c:pt>
                <c:pt idx="3">
                  <c:v>31.512</c:v>
                </c:pt>
                <c:pt idx="4">
                  <c:v>31.887142857142859</c:v>
                </c:pt>
                <c:pt idx="5">
                  <c:v>32.249122807017542</c:v>
                </c:pt>
                <c:pt idx="6">
                  <c:v>32.598620689655171</c:v>
                </c:pt>
                <c:pt idx="7">
                  <c:v>32.936271186440678</c:v>
                </c:pt>
                <c:pt idx="8">
                  <c:v>33.262666666666668</c:v>
                </c:pt>
                <c:pt idx="9">
                  <c:v>33.14786885245902</c:v>
                </c:pt>
                <c:pt idx="10">
                  <c:v>33.036774193548389</c:v>
                </c:pt>
                <c:pt idx="11">
                  <c:v>32.929206349206346</c:v>
                </c:pt>
                <c:pt idx="12">
                  <c:v>32.825000000000003</c:v>
                </c:pt>
                <c:pt idx="13">
                  <c:v>32.32</c:v>
                </c:pt>
                <c:pt idx="14">
                  <c:v>32.228181818181817</c:v>
                </c:pt>
                <c:pt idx="15">
                  <c:v>32.139104477611937</c:v>
                </c:pt>
                <c:pt idx="16">
                  <c:v>32.438823529411764</c:v>
                </c:pt>
                <c:pt idx="17">
                  <c:v>32.729855072463771</c:v>
                </c:pt>
                <c:pt idx="18">
                  <c:v>33.012571428571427</c:v>
                </c:pt>
                <c:pt idx="19">
                  <c:v>32.917464788732396</c:v>
                </c:pt>
                <c:pt idx="20">
                  <c:v>32.825000000000003</c:v>
                </c:pt>
                <c:pt idx="21">
                  <c:v>33.094794520547943</c:v>
                </c:pt>
                <c:pt idx="22">
                  <c:v>33.357297297297301</c:v>
                </c:pt>
                <c:pt idx="23">
                  <c:v>33.6128</c:v>
                </c:pt>
                <c:pt idx="24">
                  <c:v>33.861578947368422</c:v>
                </c:pt>
                <c:pt idx="25">
                  <c:v>33.762857142857143</c:v>
                </c:pt>
                <c:pt idx="26">
                  <c:v>33.666666666666664</c:v>
                </c:pt>
                <c:pt idx="27">
                  <c:v>33.905316455696202</c:v>
                </c:pt>
                <c:pt idx="28">
                  <c:v>34.137999999999998</c:v>
                </c:pt>
                <c:pt idx="29">
                  <c:v>34.040740740740738</c:v>
                </c:pt>
                <c:pt idx="30">
                  <c:v>33.945853658536585</c:v>
                </c:pt>
                <c:pt idx="31">
                  <c:v>34.169638554216867</c:v>
                </c:pt>
                <c:pt idx="32">
                  <c:v>34.388095238095239</c:v>
                </c:pt>
                <c:pt idx="33">
                  <c:v>34.60141176470588</c:v>
                </c:pt>
                <c:pt idx="34">
                  <c:v>34.809767441860465</c:v>
                </c:pt>
                <c:pt idx="35">
                  <c:v>35.013333333333335</c:v>
                </c:pt>
                <c:pt idx="36">
                  <c:v>35.212272727272726</c:v>
                </c:pt>
                <c:pt idx="37">
                  <c:v>35.406741573033706</c:v>
                </c:pt>
                <c:pt idx="38">
                  <c:v>35.596888888888891</c:v>
                </c:pt>
                <c:pt idx="39">
                  <c:v>35.782857142857139</c:v>
                </c:pt>
                <c:pt idx="40">
                  <c:v>36.535652173913043</c:v>
                </c:pt>
                <c:pt idx="41">
                  <c:v>37.27225806451613</c:v>
                </c:pt>
                <c:pt idx="42">
                  <c:v>37.993191489361699</c:v>
                </c:pt>
                <c:pt idx="43">
                  <c:v>38.698947368421052</c:v>
                </c:pt>
                <c:pt idx="44">
                  <c:v>39.39</c:v>
                </c:pt>
                <c:pt idx="45">
                  <c:v>40.066804123711343</c:v>
                </c:pt>
                <c:pt idx="46">
                  <c:v>40.729795918367344</c:v>
                </c:pt>
                <c:pt idx="47">
                  <c:v>41.379393939393943</c:v>
                </c:pt>
                <c:pt idx="48">
                  <c:v>42.541200000000003</c:v>
                </c:pt>
                <c:pt idx="49">
                  <c:v>43.16</c:v>
                </c:pt>
                <c:pt idx="50">
                  <c:v>43.766666666666666</c:v>
                </c:pt>
                <c:pt idx="51">
                  <c:v>44.361553398058255</c:v>
                </c:pt>
                <c:pt idx="52">
                  <c:v>44.945</c:v>
                </c:pt>
                <c:pt idx="53">
                  <c:v>45.517333333333333</c:v>
                </c:pt>
                <c:pt idx="54">
                  <c:v>45.583396226415097</c:v>
                </c:pt>
                <c:pt idx="55">
                  <c:v>45.648224299065419</c:v>
                </c:pt>
                <c:pt idx="56">
                  <c:v>45.711851851851854</c:v>
                </c:pt>
                <c:pt idx="57">
                  <c:v>45.774311926605506</c:v>
                </c:pt>
                <c:pt idx="58">
                  <c:v>45.358181818181819</c:v>
                </c:pt>
                <c:pt idx="59">
                  <c:v>44.949549549549552</c:v>
                </c:pt>
                <c:pt idx="60">
                  <c:v>44.548214285714288</c:v>
                </c:pt>
                <c:pt idx="61">
                  <c:v>44.153982300884955</c:v>
                </c:pt>
                <c:pt idx="62">
                  <c:v>43.766666666666666</c:v>
                </c:pt>
                <c:pt idx="63">
                  <c:v>43.386086956521737</c:v>
                </c:pt>
                <c:pt idx="64">
                  <c:v>43.464827586206894</c:v>
                </c:pt>
                <c:pt idx="65">
                  <c:v>43.542222222222222</c:v>
                </c:pt>
                <c:pt idx="66">
                  <c:v>43.618305084745764</c:v>
                </c:pt>
                <c:pt idx="67">
                  <c:v>43.693109243697478</c:v>
                </c:pt>
                <c:pt idx="68">
                  <c:v>43.766666666666666</c:v>
                </c:pt>
                <c:pt idx="69">
                  <c:v>44.27305785123967</c:v>
                </c:pt>
                <c:pt idx="70">
                  <c:v>44.340655737704921</c:v>
                </c:pt>
                <c:pt idx="71">
                  <c:v>44.407154471544715</c:v>
                </c:pt>
                <c:pt idx="72">
                  <c:v>44.472580645161287</c:v>
                </c:pt>
                <c:pt idx="73">
                  <c:v>44.536960000000001</c:v>
                </c:pt>
                <c:pt idx="74">
                  <c:v>44.600317460317463</c:v>
                </c:pt>
                <c:pt idx="75">
                  <c:v>44.662677165354332</c:v>
                </c:pt>
                <c:pt idx="76">
                  <c:v>44.518906250000001</c:v>
                </c:pt>
                <c:pt idx="77">
                  <c:v>44.377364341085269</c:v>
                </c:pt>
                <c:pt idx="78">
                  <c:v>44.036000000000001</c:v>
                </c:pt>
                <c:pt idx="79">
                  <c:v>43.699847328244275</c:v>
                </c:pt>
                <c:pt idx="80">
                  <c:v>43.368787878787877</c:v>
                </c:pt>
                <c:pt idx="81">
                  <c:v>43.042706766917291</c:v>
                </c:pt>
                <c:pt idx="82">
                  <c:v>42.721492537313431</c:v>
                </c:pt>
                <c:pt idx="83">
                  <c:v>42.40503703703704</c:v>
                </c:pt>
                <c:pt idx="84">
                  <c:v>42.093235294117648</c:v>
                </c:pt>
                <c:pt idx="85">
                  <c:v>41.785985401459854</c:v>
                </c:pt>
                <c:pt idx="86">
                  <c:v>41.673478260869565</c:v>
                </c:pt>
                <c:pt idx="87">
                  <c:v>41.562589928057555</c:v>
                </c:pt>
                <c:pt idx="88">
                  <c:v>41.640857142857143</c:v>
                </c:pt>
                <c:pt idx="89">
                  <c:v>41.531773049645388</c:v>
                </c:pt>
                <c:pt idx="90">
                  <c:v>41.424225352112678</c:v>
                </c:pt>
                <c:pt idx="91">
                  <c:v>41.134545454545453</c:v>
                </c:pt>
                <c:pt idx="92">
                  <c:v>40.848888888888887</c:v>
                </c:pt>
                <c:pt idx="93">
                  <c:v>40.567172413793102</c:v>
                </c:pt>
                <c:pt idx="94">
                  <c:v>40.289315068493153</c:v>
                </c:pt>
                <c:pt idx="95">
                  <c:v>39.836598639455779</c:v>
                </c:pt>
                <c:pt idx="96">
                  <c:v>39.39</c:v>
                </c:pt>
                <c:pt idx="97">
                  <c:v>38.94939597315436</c:v>
                </c:pt>
                <c:pt idx="98">
                  <c:v>38.514666666666663</c:v>
                </c:pt>
                <c:pt idx="99">
                  <c:v>37.911788079470199</c:v>
                </c:pt>
                <c:pt idx="100">
                  <c:v>37.316842105263156</c:v>
                </c:pt>
                <c:pt idx="101">
                  <c:v>36.729673202614379</c:v>
                </c:pt>
                <c:pt idx="102">
                  <c:v>36.320649350649347</c:v>
                </c:pt>
                <c:pt idx="103">
                  <c:v>35.91690322580645</c:v>
                </c:pt>
                <c:pt idx="104">
                  <c:v>35.518333333333331</c:v>
                </c:pt>
                <c:pt idx="105">
                  <c:v>35.124840764331211</c:v>
                </c:pt>
                <c:pt idx="106">
                  <c:v>34.902531645569617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623-4DBD-9A99-A07B727D58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2900368"/>
        <c:axId val="642900040"/>
      </c:scatterChart>
      <c:valAx>
        <c:axId val="595653296"/>
        <c:scaling>
          <c:orientation val="minMax"/>
          <c:min val="5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657888"/>
        <c:crosses val="autoZero"/>
        <c:crossBetween val="midCat"/>
        <c:majorUnit val="1000"/>
      </c:valAx>
      <c:valAx>
        <c:axId val="59565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(BHP)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653296"/>
        <c:crosses val="autoZero"/>
        <c:crossBetween val="midCat"/>
        <c:majorUnit val="10"/>
      </c:valAx>
      <c:valAx>
        <c:axId val="642900040"/>
        <c:scaling>
          <c:orientation val="minMax"/>
          <c:max val="14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2900368"/>
        <c:crosses val="max"/>
        <c:crossBetween val="midCat"/>
      </c:valAx>
      <c:valAx>
        <c:axId val="642900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2900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V_GPS</a:t>
            </a:r>
            <a:r>
              <a:rPr lang="en-GB" baseline="0"/>
              <a:t> per Meter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'2D data'!$E$4:$E$2403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'2D data'!$H$4:$H$2403</c:f>
              <c:numCache>
                <c:formatCode>General</c:formatCode>
                <c:ptCount val="2400"/>
                <c:pt idx="0">
                  <c:v>201.8</c:v>
                </c:pt>
                <c:pt idx="1">
                  <c:v>202</c:v>
                </c:pt>
                <c:pt idx="2">
                  <c:v>202.2</c:v>
                </c:pt>
                <c:pt idx="3">
                  <c:v>202.4</c:v>
                </c:pt>
                <c:pt idx="4">
                  <c:v>202.5</c:v>
                </c:pt>
                <c:pt idx="5">
                  <c:v>202.7</c:v>
                </c:pt>
                <c:pt idx="6">
                  <c:v>202.9</c:v>
                </c:pt>
                <c:pt idx="7">
                  <c:v>203.2</c:v>
                </c:pt>
                <c:pt idx="8">
                  <c:v>203.3</c:v>
                </c:pt>
                <c:pt idx="9">
                  <c:v>203.5</c:v>
                </c:pt>
                <c:pt idx="10">
                  <c:v>203.7</c:v>
                </c:pt>
                <c:pt idx="11">
                  <c:v>203.9</c:v>
                </c:pt>
                <c:pt idx="12">
                  <c:v>204.1</c:v>
                </c:pt>
                <c:pt idx="13">
                  <c:v>204.3</c:v>
                </c:pt>
                <c:pt idx="14">
                  <c:v>204.5</c:v>
                </c:pt>
                <c:pt idx="15">
                  <c:v>204.7</c:v>
                </c:pt>
                <c:pt idx="16">
                  <c:v>204.8</c:v>
                </c:pt>
                <c:pt idx="17">
                  <c:v>205</c:v>
                </c:pt>
                <c:pt idx="18">
                  <c:v>205.2</c:v>
                </c:pt>
                <c:pt idx="19">
                  <c:v>205.3</c:v>
                </c:pt>
                <c:pt idx="20">
                  <c:v>205.5</c:v>
                </c:pt>
                <c:pt idx="21">
                  <c:v>205.7</c:v>
                </c:pt>
                <c:pt idx="22">
                  <c:v>205.9</c:v>
                </c:pt>
                <c:pt idx="23">
                  <c:v>206</c:v>
                </c:pt>
                <c:pt idx="24">
                  <c:v>206.1</c:v>
                </c:pt>
                <c:pt idx="25">
                  <c:v>206.3</c:v>
                </c:pt>
                <c:pt idx="26">
                  <c:v>206.4</c:v>
                </c:pt>
                <c:pt idx="27">
                  <c:v>206.6</c:v>
                </c:pt>
                <c:pt idx="28">
                  <c:v>206.7</c:v>
                </c:pt>
                <c:pt idx="29">
                  <c:v>206.8</c:v>
                </c:pt>
                <c:pt idx="30">
                  <c:v>206.9</c:v>
                </c:pt>
                <c:pt idx="31">
                  <c:v>207</c:v>
                </c:pt>
                <c:pt idx="32">
                  <c:v>207.1</c:v>
                </c:pt>
                <c:pt idx="33">
                  <c:v>207.2</c:v>
                </c:pt>
                <c:pt idx="34">
                  <c:v>207.3</c:v>
                </c:pt>
                <c:pt idx="35">
                  <c:v>207.4</c:v>
                </c:pt>
                <c:pt idx="36">
                  <c:v>207.5</c:v>
                </c:pt>
                <c:pt idx="37">
                  <c:v>207.6</c:v>
                </c:pt>
                <c:pt idx="38">
                  <c:v>207.7</c:v>
                </c:pt>
                <c:pt idx="39">
                  <c:v>207.8</c:v>
                </c:pt>
                <c:pt idx="40">
                  <c:v>207.9</c:v>
                </c:pt>
                <c:pt idx="41">
                  <c:v>208.1</c:v>
                </c:pt>
                <c:pt idx="42">
                  <c:v>208.2</c:v>
                </c:pt>
                <c:pt idx="43">
                  <c:v>208.3</c:v>
                </c:pt>
                <c:pt idx="44">
                  <c:v>208.5</c:v>
                </c:pt>
                <c:pt idx="45">
                  <c:v>208.6</c:v>
                </c:pt>
                <c:pt idx="46">
                  <c:v>208.8</c:v>
                </c:pt>
                <c:pt idx="47">
                  <c:v>208.8</c:v>
                </c:pt>
                <c:pt idx="48">
                  <c:v>209</c:v>
                </c:pt>
                <c:pt idx="49">
                  <c:v>209.1</c:v>
                </c:pt>
                <c:pt idx="50">
                  <c:v>209.2</c:v>
                </c:pt>
                <c:pt idx="51">
                  <c:v>209.3</c:v>
                </c:pt>
                <c:pt idx="52">
                  <c:v>209.5</c:v>
                </c:pt>
                <c:pt idx="53">
                  <c:v>209.5</c:v>
                </c:pt>
                <c:pt idx="54">
                  <c:v>209.7</c:v>
                </c:pt>
                <c:pt idx="55">
                  <c:v>209.8</c:v>
                </c:pt>
                <c:pt idx="56">
                  <c:v>209.9</c:v>
                </c:pt>
                <c:pt idx="57">
                  <c:v>210</c:v>
                </c:pt>
                <c:pt idx="58">
                  <c:v>210.2</c:v>
                </c:pt>
                <c:pt idx="59">
                  <c:v>210.3</c:v>
                </c:pt>
                <c:pt idx="60">
                  <c:v>210.4</c:v>
                </c:pt>
                <c:pt idx="61">
                  <c:v>210.6</c:v>
                </c:pt>
                <c:pt idx="62">
                  <c:v>210.7</c:v>
                </c:pt>
                <c:pt idx="63">
                  <c:v>210.9</c:v>
                </c:pt>
                <c:pt idx="64">
                  <c:v>211</c:v>
                </c:pt>
                <c:pt idx="65">
                  <c:v>211.1</c:v>
                </c:pt>
                <c:pt idx="66">
                  <c:v>211.2</c:v>
                </c:pt>
                <c:pt idx="67">
                  <c:v>211.3</c:v>
                </c:pt>
                <c:pt idx="68">
                  <c:v>211.4</c:v>
                </c:pt>
                <c:pt idx="69">
                  <c:v>211.5</c:v>
                </c:pt>
                <c:pt idx="70">
                  <c:v>211.7</c:v>
                </c:pt>
                <c:pt idx="71">
                  <c:v>211.8</c:v>
                </c:pt>
                <c:pt idx="72">
                  <c:v>212</c:v>
                </c:pt>
                <c:pt idx="73">
                  <c:v>212.2</c:v>
                </c:pt>
                <c:pt idx="74">
                  <c:v>212.3</c:v>
                </c:pt>
                <c:pt idx="75">
                  <c:v>212.5</c:v>
                </c:pt>
                <c:pt idx="76">
                  <c:v>212.7</c:v>
                </c:pt>
                <c:pt idx="77">
                  <c:v>212.8</c:v>
                </c:pt>
                <c:pt idx="78">
                  <c:v>213</c:v>
                </c:pt>
                <c:pt idx="79">
                  <c:v>213.3</c:v>
                </c:pt>
                <c:pt idx="80">
                  <c:v>213.4</c:v>
                </c:pt>
                <c:pt idx="81">
                  <c:v>213.6</c:v>
                </c:pt>
                <c:pt idx="82">
                  <c:v>213.7</c:v>
                </c:pt>
                <c:pt idx="83">
                  <c:v>213.8</c:v>
                </c:pt>
                <c:pt idx="84">
                  <c:v>213.9</c:v>
                </c:pt>
                <c:pt idx="85">
                  <c:v>214.1</c:v>
                </c:pt>
                <c:pt idx="86">
                  <c:v>214.2</c:v>
                </c:pt>
                <c:pt idx="87">
                  <c:v>214.3</c:v>
                </c:pt>
                <c:pt idx="88">
                  <c:v>214.4</c:v>
                </c:pt>
                <c:pt idx="89">
                  <c:v>214.5</c:v>
                </c:pt>
                <c:pt idx="90">
                  <c:v>214.6</c:v>
                </c:pt>
                <c:pt idx="91">
                  <c:v>214.7</c:v>
                </c:pt>
                <c:pt idx="92">
                  <c:v>214.8</c:v>
                </c:pt>
                <c:pt idx="93">
                  <c:v>214.9</c:v>
                </c:pt>
                <c:pt idx="94">
                  <c:v>214.9</c:v>
                </c:pt>
                <c:pt idx="95">
                  <c:v>215</c:v>
                </c:pt>
                <c:pt idx="96">
                  <c:v>215.1</c:v>
                </c:pt>
                <c:pt idx="97">
                  <c:v>215.1</c:v>
                </c:pt>
                <c:pt idx="98">
                  <c:v>215.2</c:v>
                </c:pt>
                <c:pt idx="99">
                  <c:v>215.3</c:v>
                </c:pt>
                <c:pt idx="100">
                  <c:v>215.3</c:v>
                </c:pt>
                <c:pt idx="101">
                  <c:v>215.3</c:v>
                </c:pt>
                <c:pt idx="102">
                  <c:v>215.4</c:v>
                </c:pt>
                <c:pt idx="103">
                  <c:v>215.4</c:v>
                </c:pt>
                <c:pt idx="104">
                  <c:v>215.4</c:v>
                </c:pt>
                <c:pt idx="105">
                  <c:v>215.4</c:v>
                </c:pt>
                <c:pt idx="106">
                  <c:v>215.4</c:v>
                </c:pt>
                <c:pt idx="107">
                  <c:v>215.3</c:v>
                </c:pt>
                <c:pt idx="108">
                  <c:v>215.3</c:v>
                </c:pt>
                <c:pt idx="109">
                  <c:v>215.2</c:v>
                </c:pt>
                <c:pt idx="110">
                  <c:v>215.2</c:v>
                </c:pt>
                <c:pt idx="111">
                  <c:v>215.1</c:v>
                </c:pt>
                <c:pt idx="112">
                  <c:v>214.9</c:v>
                </c:pt>
                <c:pt idx="113">
                  <c:v>214.7</c:v>
                </c:pt>
                <c:pt idx="114">
                  <c:v>214.6</c:v>
                </c:pt>
                <c:pt idx="115">
                  <c:v>214.4</c:v>
                </c:pt>
                <c:pt idx="116">
                  <c:v>214.2</c:v>
                </c:pt>
                <c:pt idx="117">
                  <c:v>214.1</c:v>
                </c:pt>
                <c:pt idx="118">
                  <c:v>213.8</c:v>
                </c:pt>
                <c:pt idx="119">
                  <c:v>213.4</c:v>
                </c:pt>
                <c:pt idx="120">
                  <c:v>213.1</c:v>
                </c:pt>
                <c:pt idx="121">
                  <c:v>212.9</c:v>
                </c:pt>
                <c:pt idx="122">
                  <c:v>212.5</c:v>
                </c:pt>
                <c:pt idx="123">
                  <c:v>212.2</c:v>
                </c:pt>
                <c:pt idx="124">
                  <c:v>211.9</c:v>
                </c:pt>
                <c:pt idx="125">
                  <c:v>211.5</c:v>
                </c:pt>
                <c:pt idx="126">
                  <c:v>211.1</c:v>
                </c:pt>
                <c:pt idx="127">
                  <c:v>210.8</c:v>
                </c:pt>
                <c:pt idx="128">
                  <c:v>210.4</c:v>
                </c:pt>
                <c:pt idx="129">
                  <c:v>209.9</c:v>
                </c:pt>
                <c:pt idx="130">
                  <c:v>209.4</c:v>
                </c:pt>
                <c:pt idx="131">
                  <c:v>209.1</c:v>
                </c:pt>
                <c:pt idx="132">
                  <c:v>208.6</c:v>
                </c:pt>
                <c:pt idx="133">
                  <c:v>208.1</c:v>
                </c:pt>
                <c:pt idx="134">
                  <c:v>207.6</c:v>
                </c:pt>
                <c:pt idx="135">
                  <c:v>207.3</c:v>
                </c:pt>
                <c:pt idx="136">
                  <c:v>206.8</c:v>
                </c:pt>
                <c:pt idx="137">
                  <c:v>206.3</c:v>
                </c:pt>
                <c:pt idx="138">
                  <c:v>205.8</c:v>
                </c:pt>
                <c:pt idx="139">
                  <c:v>205.5</c:v>
                </c:pt>
                <c:pt idx="140">
                  <c:v>205</c:v>
                </c:pt>
                <c:pt idx="141">
                  <c:v>204.4</c:v>
                </c:pt>
                <c:pt idx="142">
                  <c:v>203.8</c:v>
                </c:pt>
                <c:pt idx="143">
                  <c:v>203.2</c:v>
                </c:pt>
                <c:pt idx="144">
                  <c:v>202.9</c:v>
                </c:pt>
                <c:pt idx="145">
                  <c:v>202.3</c:v>
                </c:pt>
                <c:pt idx="146">
                  <c:v>201.6</c:v>
                </c:pt>
                <c:pt idx="147">
                  <c:v>201</c:v>
                </c:pt>
                <c:pt idx="148">
                  <c:v>200.3</c:v>
                </c:pt>
                <c:pt idx="149">
                  <c:v>200</c:v>
                </c:pt>
                <c:pt idx="150">
                  <c:v>199.3</c:v>
                </c:pt>
                <c:pt idx="151">
                  <c:v>198.6</c:v>
                </c:pt>
                <c:pt idx="152">
                  <c:v>198</c:v>
                </c:pt>
                <c:pt idx="153">
                  <c:v>197.4</c:v>
                </c:pt>
                <c:pt idx="154">
                  <c:v>196.7</c:v>
                </c:pt>
                <c:pt idx="155">
                  <c:v>196.1</c:v>
                </c:pt>
                <c:pt idx="156">
                  <c:v>195.8</c:v>
                </c:pt>
                <c:pt idx="157">
                  <c:v>195.2</c:v>
                </c:pt>
                <c:pt idx="158">
                  <c:v>194.6</c:v>
                </c:pt>
                <c:pt idx="159">
                  <c:v>194.1</c:v>
                </c:pt>
                <c:pt idx="160">
                  <c:v>193.5</c:v>
                </c:pt>
                <c:pt idx="161">
                  <c:v>192.9</c:v>
                </c:pt>
                <c:pt idx="162">
                  <c:v>192.4</c:v>
                </c:pt>
                <c:pt idx="163">
                  <c:v>191.9</c:v>
                </c:pt>
                <c:pt idx="164">
                  <c:v>191.4</c:v>
                </c:pt>
                <c:pt idx="165">
                  <c:v>191</c:v>
                </c:pt>
                <c:pt idx="166">
                  <c:v>190.7</c:v>
                </c:pt>
                <c:pt idx="167">
                  <c:v>190.3</c:v>
                </c:pt>
                <c:pt idx="168">
                  <c:v>189.8</c:v>
                </c:pt>
                <c:pt idx="169">
                  <c:v>189.3</c:v>
                </c:pt>
                <c:pt idx="170">
                  <c:v>188.8</c:v>
                </c:pt>
                <c:pt idx="171">
                  <c:v>188.3</c:v>
                </c:pt>
                <c:pt idx="172">
                  <c:v>187.8</c:v>
                </c:pt>
                <c:pt idx="173">
                  <c:v>187.3</c:v>
                </c:pt>
                <c:pt idx="174">
                  <c:v>186.7</c:v>
                </c:pt>
                <c:pt idx="175">
                  <c:v>186.2</c:v>
                </c:pt>
                <c:pt idx="176">
                  <c:v>185.7</c:v>
                </c:pt>
                <c:pt idx="177">
                  <c:v>185.2</c:v>
                </c:pt>
                <c:pt idx="178">
                  <c:v>184.5</c:v>
                </c:pt>
                <c:pt idx="179">
                  <c:v>183.9</c:v>
                </c:pt>
                <c:pt idx="180">
                  <c:v>183.2</c:v>
                </c:pt>
                <c:pt idx="181">
                  <c:v>182.6</c:v>
                </c:pt>
                <c:pt idx="182">
                  <c:v>181.6</c:v>
                </c:pt>
                <c:pt idx="183">
                  <c:v>181</c:v>
                </c:pt>
                <c:pt idx="184">
                  <c:v>180.4</c:v>
                </c:pt>
                <c:pt idx="185">
                  <c:v>179.8</c:v>
                </c:pt>
                <c:pt idx="186">
                  <c:v>179.3</c:v>
                </c:pt>
                <c:pt idx="187">
                  <c:v>178.6</c:v>
                </c:pt>
                <c:pt idx="188">
                  <c:v>178</c:v>
                </c:pt>
                <c:pt idx="189">
                  <c:v>177.3</c:v>
                </c:pt>
                <c:pt idx="190">
                  <c:v>176.7</c:v>
                </c:pt>
                <c:pt idx="191">
                  <c:v>176</c:v>
                </c:pt>
                <c:pt idx="192">
                  <c:v>175.3</c:v>
                </c:pt>
                <c:pt idx="193">
                  <c:v>174.2</c:v>
                </c:pt>
                <c:pt idx="194">
                  <c:v>173.4</c:v>
                </c:pt>
                <c:pt idx="195">
                  <c:v>172.7</c:v>
                </c:pt>
                <c:pt idx="196">
                  <c:v>171.9</c:v>
                </c:pt>
                <c:pt idx="197">
                  <c:v>171.2</c:v>
                </c:pt>
                <c:pt idx="198">
                  <c:v>170</c:v>
                </c:pt>
                <c:pt idx="199">
                  <c:v>169.2</c:v>
                </c:pt>
                <c:pt idx="200">
                  <c:v>168.5</c:v>
                </c:pt>
                <c:pt idx="201">
                  <c:v>167.6</c:v>
                </c:pt>
                <c:pt idx="202">
                  <c:v>166.7</c:v>
                </c:pt>
                <c:pt idx="203">
                  <c:v>165.4</c:v>
                </c:pt>
                <c:pt idx="204">
                  <c:v>164.5</c:v>
                </c:pt>
                <c:pt idx="205">
                  <c:v>163.6</c:v>
                </c:pt>
                <c:pt idx="206">
                  <c:v>162.4</c:v>
                </c:pt>
                <c:pt idx="207">
                  <c:v>161.5</c:v>
                </c:pt>
                <c:pt idx="208">
                  <c:v>160.69999999999999</c:v>
                </c:pt>
                <c:pt idx="209">
                  <c:v>159.9</c:v>
                </c:pt>
                <c:pt idx="210">
                  <c:v>158.69999999999999</c:v>
                </c:pt>
                <c:pt idx="211">
                  <c:v>158</c:v>
                </c:pt>
                <c:pt idx="212">
                  <c:v>156.9</c:v>
                </c:pt>
                <c:pt idx="213">
                  <c:v>156.1</c:v>
                </c:pt>
                <c:pt idx="214">
                  <c:v>155.4</c:v>
                </c:pt>
                <c:pt idx="215">
                  <c:v>154.30000000000001</c:v>
                </c:pt>
                <c:pt idx="216">
                  <c:v>153.6</c:v>
                </c:pt>
                <c:pt idx="217">
                  <c:v>152.5</c:v>
                </c:pt>
                <c:pt idx="218">
                  <c:v>151.80000000000001</c:v>
                </c:pt>
                <c:pt idx="219">
                  <c:v>150.69999999999999</c:v>
                </c:pt>
                <c:pt idx="220">
                  <c:v>150</c:v>
                </c:pt>
                <c:pt idx="221">
                  <c:v>149.30000000000001</c:v>
                </c:pt>
                <c:pt idx="222">
                  <c:v>148.19999999999999</c:v>
                </c:pt>
                <c:pt idx="223">
                  <c:v>147.4</c:v>
                </c:pt>
                <c:pt idx="224">
                  <c:v>146.30000000000001</c:v>
                </c:pt>
                <c:pt idx="225">
                  <c:v>145.5</c:v>
                </c:pt>
                <c:pt idx="226">
                  <c:v>144.5</c:v>
                </c:pt>
                <c:pt idx="227">
                  <c:v>143.5</c:v>
                </c:pt>
                <c:pt idx="228">
                  <c:v>142.9</c:v>
                </c:pt>
                <c:pt idx="229">
                  <c:v>141.9</c:v>
                </c:pt>
                <c:pt idx="230">
                  <c:v>141.30000000000001</c:v>
                </c:pt>
                <c:pt idx="231">
                  <c:v>140.30000000000001</c:v>
                </c:pt>
                <c:pt idx="232">
                  <c:v>139.30000000000001</c:v>
                </c:pt>
                <c:pt idx="233">
                  <c:v>138.69999999999999</c:v>
                </c:pt>
                <c:pt idx="234">
                  <c:v>137.69999999999999</c:v>
                </c:pt>
                <c:pt idx="235">
                  <c:v>136.69999999999999</c:v>
                </c:pt>
                <c:pt idx="236">
                  <c:v>136.1</c:v>
                </c:pt>
                <c:pt idx="237">
                  <c:v>135.1</c:v>
                </c:pt>
                <c:pt idx="238">
                  <c:v>134.1</c:v>
                </c:pt>
                <c:pt idx="239">
                  <c:v>133.1</c:v>
                </c:pt>
                <c:pt idx="240">
                  <c:v>132.5</c:v>
                </c:pt>
                <c:pt idx="241">
                  <c:v>131.5</c:v>
                </c:pt>
                <c:pt idx="242">
                  <c:v>130.4</c:v>
                </c:pt>
                <c:pt idx="243">
                  <c:v>129.4</c:v>
                </c:pt>
                <c:pt idx="244">
                  <c:v>128.30000000000001</c:v>
                </c:pt>
                <c:pt idx="245">
                  <c:v>127.3</c:v>
                </c:pt>
                <c:pt idx="246">
                  <c:v>126.3</c:v>
                </c:pt>
                <c:pt idx="247">
                  <c:v>125.6</c:v>
                </c:pt>
                <c:pt idx="248">
                  <c:v>124.6</c:v>
                </c:pt>
                <c:pt idx="249">
                  <c:v>123.6</c:v>
                </c:pt>
                <c:pt idx="250">
                  <c:v>122.7</c:v>
                </c:pt>
                <c:pt idx="251">
                  <c:v>121.7</c:v>
                </c:pt>
                <c:pt idx="252">
                  <c:v>120.8</c:v>
                </c:pt>
                <c:pt idx="253">
                  <c:v>119.9</c:v>
                </c:pt>
                <c:pt idx="254">
                  <c:v>118.9</c:v>
                </c:pt>
                <c:pt idx="255">
                  <c:v>117.6</c:v>
                </c:pt>
                <c:pt idx="256">
                  <c:v>116.6</c:v>
                </c:pt>
                <c:pt idx="257">
                  <c:v>115.6</c:v>
                </c:pt>
                <c:pt idx="258">
                  <c:v>114.6</c:v>
                </c:pt>
                <c:pt idx="259">
                  <c:v>113.6</c:v>
                </c:pt>
                <c:pt idx="260">
                  <c:v>112.2</c:v>
                </c:pt>
                <c:pt idx="261">
                  <c:v>111.3</c:v>
                </c:pt>
                <c:pt idx="262">
                  <c:v>110.5</c:v>
                </c:pt>
                <c:pt idx="263">
                  <c:v>109.4</c:v>
                </c:pt>
                <c:pt idx="264">
                  <c:v>108.5</c:v>
                </c:pt>
                <c:pt idx="265">
                  <c:v>107.6</c:v>
                </c:pt>
                <c:pt idx="266">
                  <c:v>106.4</c:v>
                </c:pt>
                <c:pt idx="267">
                  <c:v>105.5</c:v>
                </c:pt>
                <c:pt idx="268">
                  <c:v>104.4</c:v>
                </c:pt>
                <c:pt idx="269">
                  <c:v>103.5</c:v>
                </c:pt>
                <c:pt idx="270">
                  <c:v>102.4</c:v>
                </c:pt>
                <c:pt idx="271">
                  <c:v>101.2</c:v>
                </c:pt>
                <c:pt idx="272">
                  <c:v>100.4</c:v>
                </c:pt>
                <c:pt idx="273">
                  <c:v>99</c:v>
                </c:pt>
                <c:pt idx="274">
                  <c:v>97.7</c:v>
                </c:pt>
                <c:pt idx="275">
                  <c:v>96.4</c:v>
                </c:pt>
                <c:pt idx="276">
                  <c:v>95.5</c:v>
                </c:pt>
                <c:pt idx="277">
                  <c:v>94.2</c:v>
                </c:pt>
                <c:pt idx="278">
                  <c:v>93.1</c:v>
                </c:pt>
                <c:pt idx="279">
                  <c:v>91.9</c:v>
                </c:pt>
                <c:pt idx="280">
                  <c:v>90.8</c:v>
                </c:pt>
                <c:pt idx="281">
                  <c:v>89.8</c:v>
                </c:pt>
                <c:pt idx="282">
                  <c:v>88.8</c:v>
                </c:pt>
                <c:pt idx="283">
                  <c:v>87.8</c:v>
                </c:pt>
                <c:pt idx="284">
                  <c:v>86.9</c:v>
                </c:pt>
                <c:pt idx="285">
                  <c:v>86</c:v>
                </c:pt>
                <c:pt idx="286">
                  <c:v>84.9</c:v>
                </c:pt>
                <c:pt idx="287">
                  <c:v>84</c:v>
                </c:pt>
                <c:pt idx="288">
                  <c:v>83.3</c:v>
                </c:pt>
                <c:pt idx="289">
                  <c:v>82.4</c:v>
                </c:pt>
                <c:pt idx="290">
                  <c:v>81.599999999999994</c:v>
                </c:pt>
                <c:pt idx="291">
                  <c:v>80.7</c:v>
                </c:pt>
                <c:pt idx="292">
                  <c:v>79.599999999999994</c:v>
                </c:pt>
                <c:pt idx="293">
                  <c:v>78.5</c:v>
                </c:pt>
                <c:pt idx="294">
                  <c:v>77.5</c:v>
                </c:pt>
                <c:pt idx="295">
                  <c:v>76.3</c:v>
                </c:pt>
                <c:pt idx="296">
                  <c:v>74.900000000000006</c:v>
                </c:pt>
                <c:pt idx="297">
                  <c:v>73.099999999999994</c:v>
                </c:pt>
                <c:pt idx="298">
                  <c:v>71.400000000000006</c:v>
                </c:pt>
                <c:pt idx="299">
                  <c:v>69.8</c:v>
                </c:pt>
                <c:pt idx="300">
                  <c:v>67.900000000000006</c:v>
                </c:pt>
                <c:pt idx="301">
                  <c:v>66.3</c:v>
                </c:pt>
                <c:pt idx="302">
                  <c:v>64.400000000000006</c:v>
                </c:pt>
                <c:pt idx="303">
                  <c:v>62.5</c:v>
                </c:pt>
                <c:pt idx="304">
                  <c:v>60.7</c:v>
                </c:pt>
                <c:pt idx="305">
                  <c:v>58.5</c:v>
                </c:pt>
                <c:pt idx="306">
                  <c:v>56.7</c:v>
                </c:pt>
                <c:pt idx="307">
                  <c:v>55</c:v>
                </c:pt>
                <c:pt idx="308">
                  <c:v>53.3</c:v>
                </c:pt>
                <c:pt idx="309">
                  <c:v>51.7</c:v>
                </c:pt>
                <c:pt idx="310">
                  <c:v>50</c:v>
                </c:pt>
                <c:pt idx="311">
                  <c:v>48.2</c:v>
                </c:pt>
                <c:pt idx="312">
                  <c:v>46.5</c:v>
                </c:pt>
                <c:pt idx="313">
                  <c:v>44.3</c:v>
                </c:pt>
                <c:pt idx="314">
                  <c:v>42.2</c:v>
                </c:pt>
                <c:pt idx="315">
                  <c:v>40.1</c:v>
                </c:pt>
                <c:pt idx="316">
                  <c:v>38.299999999999997</c:v>
                </c:pt>
                <c:pt idx="317">
                  <c:v>36.5</c:v>
                </c:pt>
                <c:pt idx="318">
                  <c:v>35</c:v>
                </c:pt>
                <c:pt idx="319">
                  <c:v>33.9</c:v>
                </c:pt>
                <c:pt idx="320">
                  <c:v>33.1</c:v>
                </c:pt>
                <c:pt idx="321">
                  <c:v>32.5</c:v>
                </c:pt>
                <c:pt idx="322">
                  <c:v>32.1</c:v>
                </c:pt>
                <c:pt idx="323">
                  <c:v>31.8</c:v>
                </c:pt>
                <c:pt idx="324">
                  <c:v>31.7</c:v>
                </c:pt>
                <c:pt idx="325">
                  <c:v>32.1</c:v>
                </c:pt>
                <c:pt idx="326">
                  <c:v>32.9</c:v>
                </c:pt>
                <c:pt idx="327">
                  <c:v>34</c:v>
                </c:pt>
                <c:pt idx="328">
                  <c:v>35.299999999999997</c:v>
                </c:pt>
                <c:pt idx="329">
                  <c:v>36.6</c:v>
                </c:pt>
                <c:pt idx="330">
                  <c:v>37.9</c:v>
                </c:pt>
                <c:pt idx="331">
                  <c:v>39</c:v>
                </c:pt>
                <c:pt idx="332">
                  <c:v>39.9</c:v>
                </c:pt>
                <c:pt idx="333">
                  <c:v>40.799999999999997</c:v>
                </c:pt>
                <c:pt idx="334">
                  <c:v>41.8</c:v>
                </c:pt>
                <c:pt idx="335">
                  <c:v>42.5</c:v>
                </c:pt>
                <c:pt idx="336">
                  <c:v>43.3</c:v>
                </c:pt>
                <c:pt idx="337">
                  <c:v>44.2</c:v>
                </c:pt>
                <c:pt idx="338">
                  <c:v>44.9</c:v>
                </c:pt>
                <c:pt idx="339">
                  <c:v>46.1</c:v>
                </c:pt>
                <c:pt idx="340">
                  <c:v>48.3</c:v>
                </c:pt>
                <c:pt idx="341">
                  <c:v>50.3</c:v>
                </c:pt>
                <c:pt idx="342">
                  <c:v>52.1</c:v>
                </c:pt>
                <c:pt idx="343">
                  <c:v>54.4</c:v>
                </c:pt>
                <c:pt idx="344">
                  <c:v>56.8</c:v>
                </c:pt>
                <c:pt idx="345">
                  <c:v>58.9</c:v>
                </c:pt>
                <c:pt idx="346">
                  <c:v>60.9</c:v>
                </c:pt>
                <c:pt idx="347">
                  <c:v>62</c:v>
                </c:pt>
                <c:pt idx="348">
                  <c:v>63.1</c:v>
                </c:pt>
                <c:pt idx="349">
                  <c:v>64.400000000000006</c:v>
                </c:pt>
                <c:pt idx="350">
                  <c:v>65.7</c:v>
                </c:pt>
                <c:pt idx="351">
                  <c:v>66.900000000000006</c:v>
                </c:pt>
                <c:pt idx="352">
                  <c:v>68</c:v>
                </c:pt>
                <c:pt idx="353">
                  <c:v>69.400000000000006</c:v>
                </c:pt>
                <c:pt idx="354">
                  <c:v>71</c:v>
                </c:pt>
                <c:pt idx="355">
                  <c:v>73.2</c:v>
                </c:pt>
                <c:pt idx="356">
                  <c:v>75</c:v>
                </c:pt>
                <c:pt idx="357">
                  <c:v>76.900000000000006</c:v>
                </c:pt>
                <c:pt idx="358">
                  <c:v>78.7</c:v>
                </c:pt>
                <c:pt idx="359">
                  <c:v>80.5</c:v>
                </c:pt>
                <c:pt idx="360">
                  <c:v>82</c:v>
                </c:pt>
                <c:pt idx="361">
                  <c:v>83.9</c:v>
                </c:pt>
                <c:pt idx="362">
                  <c:v>85.3</c:v>
                </c:pt>
                <c:pt idx="363">
                  <c:v>86.7</c:v>
                </c:pt>
                <c:pt idx="364">
                  <c:v>88.1</c:v>
                </c:pt>
                <c:pt idx="365">
                  <c:v>89.3</c:v>
                </c:pt>
                <c:pt idx="366">
                  <c:v>90.2</c:v>
                </c:pt>
                <c:pt idx="367">
                  <c:v>90.9</c:v>
                </c:pt>
                <c:pt idx="368">
                  <c:v>91.7</c:v>
                </c:pt>
                <c:pt idx="369">
                  <c:v>92.4</c:v>
                </c:pt>
                <c:pt idx="370">
                  <c:v>93</c:v>
                </c:pt>
                <c:pt idx="371">
                  <c:v>93.8</c:v>
                </c:pt>
                <c:pt idx="372">
                  <c:v>94.6</c:v>
                </c:pt>
                <c:pt idx="373">
                  <c:v>95.4</c:v>
                </c:pt>
                <c:pt idx="374">
                  <c:v>96</c:v>
                </c:pt>
                <c:pt idx="375">
                  <c:v>96.9</c:v>
                </c:pt>
                <c:pt idx="376">
                  <c:v>97.9</c:v>
                </c:pt>
                <c:pt idx="377">
                  <c:v>98.7</c:v>
                </c:pt>
                <c:pt idx="378">
                  <c:v>99.8</c:v>
                </c:pt>
                <c:pt idx="379">
                  <c:v>100.6</c:v>
                </c:pt>
                <c:pt idx="380">
                  <c:v>101.7</c:v>
                </c:pt>
                <c:pt idx="381">
                  <c:v>102.5</c:v>
                </c:pt>
                <c:pt idx="382">
                  <c:v>103.6</c:v>
                </c:pt>
                <c:pt idx="383">
                  <c:v>104.4</c:v>
                </c:pt>
                <c:pt idx="384">
                  <c:v>105.2</c:v>
                </c:pt>
                <c:pt idx="385">
                  <c:v>106.2</c:v>
                </c:pt>
                <c:pt idx="386">
                  <c:v>107</c:v>
                </c:pt>
                <c:pt idx="387">
                  <c:v>108.1</c:v>
                </c:pt>
                <c:pt idx="388">
                  <c:v>108.9</c:v>
                </c:pt>
                <c:pt idx="389">
                  <c:v>109.7</c:v>
                </c:pt>
                <c:pt idx="390">
                  <c:v>110.8</c:v>
                </c:pt>
                <c:pt idx="391">
                  <c:v>111.5</c:v>
                </c:pt>
                <c:pt idx="392">
                  <c:v>112.3</c:v>
                </c:pt>
                <c:pt idx="393">
                  <c:v>113.1</c:v>
                </c:pt>
                <c:pt idx="394">
                  <c:v>113.9</c:v>
                </c:pt>
                <c:pt idx="395">
                  <c:v>114.5</c:v>
                </c:pt>
                <c:pt idx="396">
                  <c:v>115.1</c:v>
                </c:pt>
                <c:pt idx="397">
                  <c:v>115.6</c:v>
                </c:pt>
                <c:pt idx="398">
                  <c:v>116.1</c:v>
                </c:pt>
                <c:pt idx="399">
                  <c:v>116.6</c:v>
                </c:pt>
                <c:pt idx="400">
                  <c:v>116.9</c:v>
                </c:pt>
                <c:pt idx="401">
                  <c:v>117.2</c:v>
                </c:pt>
                <c:pt idx="402">
                  <c:v>117.4</c:v>
                </c:pt>
                <c:pt idx="403">
                  <c:v>117.5</c:v>
                </c:pt>
                <c:pt idx="404">
                  <c:v>117.5</c:v>
                </c:pt>
                <c:pt idx="405">
                  <c:v>117.4</c:v>
                </c:pt>
                <c:pt idx="406">
                  <c:v>117.3</c:v>
                </c:pt>
                <c:pt idx="407">
                  <c:v>117.1</c:v>
                </c:pt>
                <c:pt idx="408">
                  <c:v>116.9</c:v>
                </c:pt>
                <c:pt idx="409">
                  <c:v>116.6</c:v>
                </c:pt>
                <c:pt idx="410">
                  <c:v>116</c:v>
                </c:pt>
                <c:pt idx="411">
                  <c:v>115.6</c:v>
                </c:pt>
                <c:pt idx="412">
                  <c:v>115.1</c:v>
                </c:pt>
                <c:pt idx="413">
                  <c:v>114.6</c:v>
                </c:pt>
                <c:pt idx="414">
                  <c:v>114</c:v>
                </c:pt>
                <c:pt idx="415">
                  <c:v>113.5</c:v>
                </c:pt>
                <c:pt idx="416">
                  <c:v>112.9</c:v>
                </c:pt>
                <c:pt idx="417">
                  <c:v>112.3</c:v>
                </c:pt>
                <c:pt idx="418">
                  <c:v>111.7</c:v>
                </c:pt>
                <c:pt idx="419">
                  <c:v>110.9</c:v>
                </c:pt>
                <c:pt idx="420">
                  <c:v>110.3</c:v>
                </c:pt>
                <c:pt idx="421">
                  <c:v>109.7</c:v>
                </c:pt>
                <c:pt idx="422">
                  <c:v>109.1</c:v>
                </c:pt>
                <c:pt idx="423">
                  <c:v>108.5</c:v>
                </c:pt>
                <c:pt idx="424">
                  <c:v>107.6</c:v>
                </c:pt>
                <c:pt idx="425">
                  <c:v>107</c:v>
                </c:pt>
                <c:pt idx="426">
                  <c:v>106.5</c:v>
                </c:pt>
                <c:pt idx="427">
                  <c:v>106</c:v>
                </c:pt>
                <c:pt idx="428">
                  <c:v>105.5</c:v>
                </c:pt>
                <c:pt idx="429">
                  <c:v>104.8</c:v>
                </c:pt>
                <c:pt idx="430">
                  <c:v>104.4</c:v>
                </c:pt>
                <c:pt idx="431">
                  <c:v>103.9</c:v>
                </c:pt>
                <c:pt idx="432">
                  <c:v>103.3</c:v>
                </c:pt>
                <c:pt idx="433">
                  <c:v>102.6</c:v>
                </c:pt>
                <c:pt idx="434">
                  <c:v>102.1</c:v>
                </c:pt>
                <c:pt idx="435">
                  <c:v>101.6</c:v>
                </c:pt>
                <c:pt idx="436">
                  <c:v>101.1</c:v>
                </c:pt>
                <c:pt idx="437">
                  <c:v>100.5</c:v>
                </c:pt>
                <c:pt idx="438">
                  <c:v>100</c:v>
                </c:pt>
                <c:pt idx="439">
                  <c:v>99.5</c:v>
                </c:pt>
                <c:pt idx="440">
                  <c:v>98.8</c:v>
                </c:pt>
                <c:pt idx="441">
                  <c:v>98.3</c:v>
                </c:pt>
                <c:pt idx="442">
                  <c:v>97.6</c:v>
                </c:pt>
                <c:pt idx="443">
                  <c:v>97.1</c:v>
                </c:pt>
                <c:pt idx="444">
                  <c:v>96.7</c:v>
                </c:pt>
                <c:pt idx="445">
                  <c:v>96.2</c:v>
                </c:pt>
                <c:pt idx="446">
                  <c:v>95.8</c:v>
                </c:pt>
                <c:pt idx="447">
                  <c:v>95.5</c:v>
                </c:pt>
                <c:pt idx="448">
                  <c:v>95.2</c:v>
                </c:pt>
                <c:pt idx="449">
                  <c:v>95</c:v>
                </c:pt>
                <c:pt idx="450">
                  <c:v>94.7</c:v>
                </c:pt>
                <c:pt idx="451">
                  <c:v>94.5</c:v>
                </c:pt>
                <c:pt idx="452">
                  <c:v>94.3</c:v>
                </c:pt>
                <c:pt idx="453">
                  <c:v>94.3</c:v>
                </c:pt>
                <c:pt idx="454">
                  <c:v>94.2</c:v>
                </c:pt>
                <c:pt idx="455">
                  <c:v>94.2</c:v>
                </c:pt>
                <c:pt idx="456">
                  <c:v>94.3</c:v>
                </c:pt>
                <c:pt idx="457">
                  <c:v>94.3</c:v>
                </c:pt>
                <c:pt idx="458">
                  <c:v>94.4</c:v>
                </c:pt>
                <c:pt idx="459">
                  <c:v>94.6</c:v>
                </c:pt>
                <c:pt idx="460">
                  <c:v>94.7</c:v>
                </c:pt>
                <c:pt idx="461">
                  <c:v>94.8</c:v>
                </c:pt>
                <c:pt idx="462">
                  <c:v>95</c:v>
                </c:pt>
                <c:pt idx="463">
                  <c:v>95.2</c:v>
                </c:pt>
                <c:pt idx="464">
                  <c:v>95.3</c:v>
                </c:pt>
                <c:pt idx="465">
                  <c:v>95.5</c:v>
                </c:pt>
                <c:pt idx="466">
                  <c:v>95.7</c:v>
                </c:pt>
                <c:pt idx="467">
                  <c:v>95.9</c:v>
                </c:pt>
                <c:pt idx="468">
                  <c:v>96.1</c:v>
                </c:pt>
                <c:pt idx="469">
                  <c:v>96.3</c:v>
                </c:pt>
                <c:pt idx="470">
                  <c:v>96.5</c:v>
                </c:pt>
                <c:pt idx="471">
                  <c:v>96.7</c:v>
                </c:pt>
                <c:pt idx="472">
                  <c:v>96.9</c:v>
                </c:pt>
                <c:pt idx="473">
                  <c:v>97.2</c:v>
                </c:pt>
                <c:pt idx="474">
                  <c:v>97.4</c:v>
                </c:pt>
                <c:pt idx="475">
                  <c:v>97.6</c:v>
                </c:pt>
                <c:pt idx="476">
                  <c:v>97.9</c:v>
                </c:pt>
                <c:pt idx="477">
                  <c:v>98.1</c:v>
                </c:pt>
                <c:pt idx="478">
                  <c:v>98.5</c:v>
                </c:pt>
                <c:pt idx="479">
                  <c:v>98.8</c:v>
                </c:pt>
                <c:pt idx="480">
                  <c:v>99.2</c:v>
                </c:pt>
                <c:pt idx="481">
                  <c:v>99.6</c:v>
                </c:pt>
                <c:pt idx="482">
                  <c:v>99.9</c:v>
                </c:pt>
                <c:pt idx="483">
                  <c:v>100.2</c:v>
                </c:pt>
                <c:pt idx="484">
                  <c:v>100.6</c:v>
                </c:pt>
                <c:pt idx="485">
                  <c:v>101</c:v>
                </c:pt>
                <c:pt idx="486">
                  <c:v>101.4</c:v>
                </c:pt>
                <c:pt idx="487">
                  <c:v>101.8</c:v>
                </c:pt>
                <c:pt idx="488">
                  <c:v>102.3</c:v>
                </c:pt>
                <c:pt idx="489">
                  <c:v>102.8</c:v>
                </c:pt>
                <c:pt idx="490">
                  <c:v>103.3</c:v>
                </c:pt>
                <c:pt idx="491">
                  <c:v>103.7</c:v>
                </c:pt>
                <c:pt idx="492">
                  <c:v>104.4</c:v>
                </c:pt>
                <c:pt idx="493">
                  <c:v>104.9</c:v>
                </c:pt>
                <c:pt idx="494">
                  <c:v>105.4</c:v>
                </c:pt>
                <c:pt idx="495">
                  <c:v>106.1</c:v>
                </c:pt>
                <c:pt idx="496">
                  <c:v>106.7</c:v>
                </c:pt>
                <c:pt idx="497">
                  <c:v>107.6</c:v>
                </c:pt>
                <c:pt idx="498">
                  <c:v>108.2</c:v>
                </c:pt>
                <c:pt idx="499">
                  <c:v>108.9</c:v>
                </c:pt>
                <c:pt idx="500">
                  <c:v>109.5</c:v>
                </c:pt>
                <c:pt idx="501">
                  <c:v>110.2</c:v>
                </c:pt>
                <c:pt idx="502">
                  <c:v>110.9</c:v>
                </c:pt>
                <c:pt idx="503">
                  <c:v>111.6</c:v>
                </c:pt>
                <c:pt idx="504">
                  <c:v>112.3</c:v>
                </c:pt>
                <c:pt idx="505">
                  <c:v>113</c:v>
                </c:pt>
                <c:pt idx="506">
                  <c:v>113.8</c:v>
                </c:pt>
                <c:pt idx="507">
                  <c:v>114.5</c:v>
                </c:pt>
                <c:pt idx="508">
                  <c:v>115.2</c:v>
                </c:pt>
                <c:pt idx="509">
                  <c:v>116</c:v>
                </c:pt>
                <c:pt idx="510">
                  <c:v>116.7</c:v>
                </c:pt>
                <c:pt idx="511">
                  <c:v>117.4</c:v>
                </c:pt>
                <c:pt idx="512">
                  <c:v>118.1</c:v>
                </c:pt>
                <c:pt idx="513">
                  <c:v>118.8</c:v>
                </c:pt>
                <c:pt idx="514">
                  <c:v>119.4</c:v>
                </c:pt>
                <c:pt idx="515">
                  <c:v>120</c:v>
                </c:pt>
                <c:pt idx="516">
                  <c:v>120.6</c:v>
                </c:pt>
                <c:pt idx="517">
                  <c:v>121.2</c:v>
                </c:pt>
                <c:pt idx="518">
                  <c:v>121.8</c:v>
                </c:pt>
                <c:pt idx="519">
                  <c:v>122.4</c:v>
                </c:pt>
                <c:pt idx="520">
                  <c:v>123</c:v>
                </c:pt>
                <c:pt idx="521">
                  <c:v>123.3</c:v>
                </c:pt>
                <c:pt idx="522">
                  <c:v>123.8</c:v>
                </c:pt>
                <c:pt idx="523">
                  <c:v>124.4</c:v>
                </c:pt>
                <c:pt idx="524">
                  <c:v>124.8</c:v>
                </c:pt>
                <c:pt idx="525">
                  <c:v>125.3</c:v>
                </c:pt>
                <c:pt idx="526">
                  <c:v>125.8</c:v>
                </c:pt>
                <c:pt idx="527">
                  <c:v>126.2</c:v>
                </c:pt>
                <c:pt idx="528">
                  <c:v>126.5</c:v>
                </c:pt>
                <c:pt idx="529">
                  <c:v>126.9</c:v>
                </c:pt>
                <c:pt idx="530">
                  <c:v>127.4</c:v>
                </c:pt>
                <c:pt idx="531">
                  <c:v>127.8</c:v>
                </c:pt>
                <c:pt idx="532">
                  <c:v>128.1</c:v>
                </c:pt>
                <c:pt idx="533">
                  <c:v>128.30000000000001</c:v>
                </c:pt>
                <c:pt idx="534">
                  <c:v>128.6</c:v>
                </c:pt>
                <c:pt idx="535">
                  <c:v>128.80000000000001</c:v>
                </c:pt>
                <c:pt idx="536">
                  <c:v>129.1</c:v>
                </c:pt>
                <c:pt idx="537">
                  <c:v>129.19999999999999</c:v>
                </c:pt>
                <c:pt idx="538">
                  <c:v>129.4</c:v>
                </c:pt>
                <c:pt idx="539">
                  <c:v>129.6</c:v>
                </c:pt>
                <c:pt idx="540">
                  <c:v>129.69999999999999</c:v>
                </c:pt>
                <c:pt idx="541">
                  <c:v>129.80000000000001</c:v>
                </c:pt>
                <c:pt idx="542">
                  <c:v>129.9</c:v>
                </c:pt>
                <c:pt idx="543">
                  <c:v>129.9</c:v>
                </c:pt>
                <c:pt idx="544">
                  <c:v>129.9</c:v>
                </c:pt>
                <c:pt idx="545">
                  <c:v>130</c:v>
                </c:pt>
                <c:pt idx="546">
                  <c:v>129.9</c:v>
                </c:pt>
                <c:pt idx="547">
                  <c:v>129.80000000000001</c:v>
                </c:pt>
                <c:pt idx="548">
                  <c:v>129.69999999999999</c:v>
                </c:pt>
                <c:pt idx="549">
                  <c:v>129.5</c:v>
                </c:pt>
                <c:pt idx="550">
                  <c:v>129.4</c:v>
                </c:pt>
                <c:pt idx="551">
                  <c:v>129.19999999999999</c:v>
                </c:pt>
                <c:pt idx="552">
                  <c:v>129.1</c:v>
                </c:pt>
                <c:pt idx="553">
                  <c:v>128.9</c:v>
                </c:pt>
                <c:pt idx="554">
                  <c:v>128.6</c:v>
                </c:pt>
                <c:pt idx="555">
                  <c:v>128.30000000000001</c:v>
                </c:pt>
                <c:pt idx="556">
                  <c:v>128</c:v>
                </c:pt>
                <c:pt idx="557">
                  <c:v>127.7</c:v>
                </c:pt>
                <c:pt idx="558">
                  <c:v>127.3</c:v>
                </c:pt>
                <c:pt idx="559">
                  <c:v>127</c:v>
                </c:pt>
                <c:pt idx="560">
                  <c:v>126.6</c:v>
                </c:pt>
                <c:pt idx="561">
                  <c:v>126.2</c:v>
                </c:pt>
                <c:pt idx="562">
                  <c:v>125.9</c:v>
                </c:pt>
                <c:pt idx="563">
                  <c:v>125.5</c:v>
                </c:pt>
                <c:pt idx="564">
                  <c:v>125.1</c:v>
                </c:pt>
                <c:pt idx="565">
                  <c:v>124.6</c:v>
                </c:pt>
                <c:pt idx="566">
                  <c:v>124.2</c:v>
                </c:pt>
                <c:pt idx="567">
                  <c:v>123.7</c:v>
                </c:pt>
                <c:pt idx="568">
                  <c:v>123.3</c:v>
                </c:pt>
                <c:pt idx="569">
                  <c:v>122.8</c:v>
                </c:pt>
                <c:pt idx="570">
                  <c:v>122.6</c:v>
                </c:pt>
                <c:pt idx="571">
                  <c:v>122.1</c:v>
                </c:pt>
                <c:pt idx="572">
                  <c:v>121.6</c:v>
                </c:pt>
                <c:pt idx="573">
                  <c:v>121</c:v>
                </c:pt>
                <c:pt idx="574">
                  <c:v>120.7</c:v>
                </c:pt>
                <c:pt idx="575">
                  <c:v>120.1</c:v>
                </c:pt>
                <c:pt idx="576">
                  <c:v>119.6</c:v>
                </c:pt>
                <c:pt idx="577">
                  <c:v>119</c:v>
                </c:pt>
                <c:pt idx="578">
                  <c:v>118.5</c:v>
                </c:pt>
                <c:pt idx="579">
                  <c:v>118.1</c:v>
                </c:pt>
                <c:pt idx="580">
                  <c:v>117.5</c:v>
                </c:pt>
                <c:pt idx="581">
                  <c:v>116.9</c:v>
                </c:pt>
                <c:pt idx="582">
                  <c:v>116.4</c:v>
                </c:pt>
                <c:pt idx="583">
                  <c:v>115.8</c:v>
                </c:pt>
                <c:pt idx="584">
                  <c:v>115.1</c:v>
                </c:pt>
                <c:pt idx="585">
                  <c:v>114.5</c:v>
                </c:pt>
                <c:pt idx="586">
                  <c:v>114.3</c:v>
                </c:pt>
                <c:pt idx="587">
                  <c:v>113.8</c:v>
                </c:pt>
                <c:pt idx="588">
                  <c:v>113.4</c:v>
                </c:pt>
                <c:pt idx="589">
                  <c:v>113</c:v>
                </c:pt>
                <c:pt idx="590">
                  <c:v>112.7</c:v>
                </c:pt>
                <c:pt idx="591">
                  <c:v>112.4</c:v>
                </c:pt>
                <c:pt idx="592">
                  <c:v>112.1</c:v>
                </c:pt>
                <c:pt idx="593">
                  <c:v>111.9</c:v>
                </c:pt>
                <c:pt idx="594">
                  <c:v>111.7</c:v>
                </c:pt>
                <c:pt idx="595">
                  <c:v>111.5</c:v>
                </c:pt>
                <c:pt idx="596">
                  <c:v>111.4</c:v>
                </c:pt>
                <c:pt idx="597">
                  <c:v>111.3</c:v>
                </c:pt>
                <c:pt idx="598">
                  <c:v>111.2</c:v>
                </c:pt>
                <c:pt idx="599">
                  <c:v>111.1</c:v>
                </c:pt>
                <c:pt idx="600">
                  <c:v>111.1</c:v>
                </c:pt>
                <c:pt idx="601">
                  <c:v>111</c:v>
                </c:pt>
                <c:pt idx="602">
                  <c:v>111</c:v>
                </c:pt>
                <c:pt idx="603">
                  <c:v>111</c:v>
                </c:pt>
                <c:pt idx="604">
                  <c:v>111.1</c:v>
                </c:pt>
                <c:pt idx="605">
                  <c:v>111.1</c:v>
                </c:pt>
                <c:pt idx="606">
                  <c:v>111.2</c:v>
                </c:pt>
                <c:pt idx="607">
                  <c:v>111.3</c:v>
                </c:pt>
                <c:pt idx="608">
                  <c:v>111.4</c:v>
                </c:pt>
                <c:pt idx="609">
                  <c:v>111.5</c:v>
                </c:pt>
                <c:pt idx="610">
                  <c:v>111.7</c:v>
                </c:pt>
                <c:pt idx="611">
                  <c:v>111.9</c:v>
                </c:pt>
                <c:pt idx="612">
                  <c:v>112.1</c:v>
                </c:pt>
                <c:pt idx="613">
                  <c:v>112.3</c:v>
                </c:pt>
                <c:pt idx="614">
                  <c:v>112.5</c:v>
                </c:pt>
                <c:pt idx="615">
                  <c:v>112.7</c:v>
                </c:pt>
                <c:pt idx="616">
                  <c:v>112.9</c:v>
                </c:pt>
                <c:pt idx="617">
                  <c:v>113.2</c:v>
                </c:pt>
                <c:pt idx="618">
                  <c:v>113.4</c:v>
                </c:pt>
                <c:pt idx="619">
                  <c:v>113.7</c:v>
                </c:pt>
                <c:pt idx="620">
                  <c:v>113.9</c:v>
                </c:pt>
                <c:pt idx="621">
                  <c:v>114.1</c:v>
                </c:pt>
                <c:pt idx="622">
                  <c:v>114.3</c:v>
                </c:pt>
                <c:pt idx="623">
                  <c:v>114.5</c:v>
                </c:pt>
                <c:pt idx="624">
                  <c:v>114.7</c:v>
                </c:pt>
                <c:pt idx="625">
                  <c:v>114.9</c:v>
                </c:pt>
                <c:pt idx="626">
                  <c:v>115.1</c:v>
                </c:pt>
                <c:pt idx="627">
                  <c:v>115.4</c:v>
                </c:pt>
                <c:pt idx="628">
                  <c:v>115.7</c:v>
                </c:pt>
                <c:pt idx="629">
                  <c:v>116</c:v>
                </c:pt>
                <c:pt idx="630">
                  <c:v>116.3</c:v>
                </c:pt>
                <c:pt idx="631">
                  <c:v>116.5</c:v>
                </c:pt>
                <c:pt idx="632">
                  <c:v>116.9</c:v>
                </c:pt>
                <c:pt idx="633">
                  <c:v>117.2</c:v>
                </c:pt>
                <c:pt idx="634">
                  <c:v>117.6</c:v>
                </c:pt>
                <c:pt idx="635">
                  <c:v>118</c:v>
                </c:pt>
                <c:pt idx="636">
                  <c:v>118.3</c:v>
                </c:pt>
                <c:pt idx="637">
                  <c:v>118.7</c:v>
                </c:pt>
                <c:pt idx="638">
                  <c:v>119.1</c:v>
                </c:pt>
                <c:pt idx="639">
                  <c:v>119.5</c:v>
                </c:pt>
                <c:pt idx="640">
                  <c:v>119.7</c:v>
                </c:pt>
                <c:pt idx="641">
                  <c:v>120.1</c:v>
                </c:pt>
                <c:pt idx="642">
                  <c:v>120.5</c:v>
                </c:pt>
                <c:pt idx="643">
                  <c:v>120.9</c:v>
                </c:pt>
                <c:pt idx="644">
                  <c:v>121.1</c:v>
                </c:pt>
                <c:pt idx="645">
                  <c:v>121.5</c:v>
                </c:pt>
                <c:pt idx="646">
                  <c:v>121.8</c:v>
                </c:pt>
                <c:pt idx="647">
                  <c:v>122.2</c:v>
                </c:pt>
                <c:pt idx="648">
                  <c:v>122.5</c:v>
                </c:pt>
                <c:pt idx="649">
                  <c:v>122.8</c:v>
                </c:pt>
                <c:pt idx="650">
                  <c:v>123.2</c:v>
                </c:pt>
                <c:pt idx="651">
                  <c:v>123.5</c:v>
                </c:pt>
                <c:pt idx="652">
                  <c:v>123.8</c:v>
                </c:pt>
                <c:pt idx="653">
                  <c:v>124.2</c:v>
                </c:pt>
                <c:pt idx="654">
                  <c:v>124.6</c:v>
                </c:pt>
                <c:pt idx="655">
                  <c:v>124.8</c:v>
                </c:pt>
                <c:pt idx="656">
                  <c:v>125.1</c:v>
                </c:pt>
                <c:pt idx="657">
                  <c:v>125.4</c:v>
                </c:pt>
                <c:pt idx="658">
                  <c:v>125.6</c:v>
                </c:pt>
                <c:pt idx="659">
                  <c:v>125.9</c:v>
                </c:pt>
                <c:pt idx="660">
                  <c:v>126.1</c:v>
                </c:pt>
                <c:pt idx="661">
                  <c:v>126.3</c:v>
                </c:pt>
                <c:pt idx="662">
                  <c:v>126.6</c:v>
                </c:pt>
                <c:pt idx="663">
                  <c:v>126.8</c:v>
                </c:pt>
                <c:pt idx="664">
                  <c:v>127</c:v>
                </c:pt>
                <c:pt idx="665">
                  <c:v>127.3</c:v>
                </c:pt>
                <c:pt idx="666">
                  <c:v>127.4</c:v>
                </c:pt>
                <c:pt idx="667">
                  <c:v>127.7</c:v>
                </c:pt>
                <c:pt idx="668">
                  <c:v>127.9</c:v>
                </c:pt>
                <c:pt idx="669">
                  <c:v>128.19999999999999</c:v>
                </c:pt>
                <c:pt idx="670">
                  <c:v>128.4</c:v>
                </c:pt>
                <c:pt idx="671">
                  <c:v>128.6</c:v>
                </c:pt>
                <c:pt idx="672">
                  <c:v>129</c:v>
                </c:pt>
                <c:pt idx="673">
                  <c:v>129.19999999999999</c:v>
                </c:pt>
                <c:pt idx="674">
                  <c:v>129.5</c:v>
                </c:pt>
                <c:pt idx="675">
                  <c:v>129.9</c:v>
                </c:pt>
                <c:pt idx="676">
                  <c:v>130.1</c:v>
                </c:pt>
                <c:pt idx="677">
                  <c:v>130.5</c:v>
                </c:pt>
                <c:pt idx="678">
                  <c:v>130.69999999999999</c:v>
                </c:pt>
                <c:pt idx="679">
                  <c:v>131.1</c:v>
                </c:pt>
                <c:pt idx="680">
                  <c:v>131.30000000000001</c:v>
                </c:pt>
                <c:pt idx="681">
                  <c:v>131.6</c:v>
                </c:pt>
                <c:pt idx="682">
                  <c:v>131.9</c:v>
                </c:pt>
                <c:pt idx="683">
                  <c:v>132.19999999999999</c:v>
                </c:pt>
                <c:pt idx="684">
                  <c:v>132.6</c:v>
                </c:pt>
                <c:pt idx="685">
                  <c:v>132.80000000000001</c:v>
                </c:pt>
                <c:pt idx="686">
                  <c:v>133.19999999999999</c:v>
                </c:pt>
                <c:pt idx="687">
                  <c:v>133.4</c:v>
                </c:pt>
                <c:pt idx="688">
                  <c:v>133.80000000000001</c:v>
                </c:pt>
                <c:pt idx="689">
                  <c:v>134.1</c:v>
                </c:pt>
                <c:pt idx="690">
                  <c:v>134.4</c:v>
                </c:pt>
                <c:pt idx="691">
                  <c:v>134.69999999999999</c:v>
                </c:pt>
                <c:pt idx="692">
                  <c:v>135.1</c:v>
                </c:pt>
                <c:pt idx="693">
                  <c:v>135.30000000000001</c:v>
                </c:pt>
                <c:pt idx="694">
                  <c:v>135.69999999999999</c:v>
                </c:pt>
                <c:pt idx="695">
                  <c:v>136</c:v>
                </c:pt>
                <c:pt idx="696">
                  <c:v>136.19999999999999</c:v>
                </c:pt>
                <c:pt idx="697">
                  <c:v>136.5</c:v>
                </c:pt>
                <c:pt idx="698">
                  <c:v>136.80000000000001</c:v>
                </c:pt>
                <c:pt idx="699">
                  <c:v>137.1</c:v>
                </c:pt>
                <c:pt idx="700">
                  <c:v>137.30000000000001</c:v>
                </c:pt>
                <c:pt idx="701">
                  <c:v>137.6</c:v>
                </c:pt>
                <c:pt idx="702">
                  <c:v>137.80000000000001</c:v>
                </c:pt>
                <c:pt idx="703">
                  <c:v>138.19999999999999</c:v>
                </c:pt>
                <c:pt idx="704">
                  <c:v>138.4</c:v>
                </c:pt>
                <c:pt idx="705">
                  <c:v>138.6</c:v>
                </c:pt>
                <c:pt idx="706">
                  <c:v>138.9</c:v>
                </c:pt>
                <c:pt idx="707">
                  <c:v>139.1</c:v>
                </c:pt>
                <c:pt idx="708">
                  <c:v>139.4</c:v>
                </c:pt>
                <c:pt idx="709">
                  <c:v>139.6</c:v>
                </c:pt>
                <c:pt idx="710">
                  <c:v>139.80000000000001</c:v>
                </c:pt>
                <c:pt idx="711">
                  <c:v>140.19999999999999</c:v>
                </c:pt>
                <c:pt idx="712">
                  <c:v>140.5</c:v>
                </c:pt>
                <c:pt idx="713">
                  <c:v>140.80000000000001</c:v>
                </c:pt>
                <c:pt idx="714">
                  <c:v>141.19999999999999</c:v>
                </c:pt>
                <c:pt idx="715">
                  <c:v>141.5</c:v>
                </c:pt>
                <c:pt idx="716">
                  <c:v>142</c:v>
                </c:pt>
                <c:pt idx="717">
                  <c:v>142.30000000000001</c:v>
                </c:pt>
                <c:pt idx="718">
                  <c:v>142.6</c:v>
                </c:pt>
                <c:pt idx="719">
                  <c:v>143.1</c:v>
                </c:pt>
                <c:pt idx="720">
                  <c:v>143.5</c:v>
                </c:pt>
                <c:pt idx="721">
                  <c:v>143.80000000000001</c:v>
                </c:pt>
                <c:pt idx="722">
                  <c:v>144.30000000000001</c:v>
                </c:pt>
                <c:pt idx="723">
                  <c:v>144.6</c:v>
                </c:pt>
                <c:pt idx="724">
                  <c:v>145</c:v>
                </c:pt>
                <c:pt idx="725">
                  <c:v>145.30000000000001</c:v>
                </c:pt>
                <c:pt idx="726">
                  <c:v>145.80000000000001</c:v>
                </c:pt>
                <c:pt idx="727">
                  <c:v>146.19999999999999</c:v>
                </c:pt>
                <c:pt idx="728">
                  <c:v>146.5</c:v>
                </c:pt>
                <c:pt idx="729">
                  <c:v>147</c:v>
                </c:pt>
                <c:pt idx="730">
                  <c:v>147.30000000000001</c:v>
                </c:pt>
                <c:pt idx="731">
                  <c:v>147.6</c:v>
                </c:pt>
                <c:pt idx="732">
                  <c:v>148.1</c:v>
                </c:pt>
                <c:pt idx="733">
                  <c:v>148.4</c:v>
                </c:pt>
                <c:pt idx="734">
                  <c:v>148.69999999999999</c:v>
                </c:pt>
                <c:pt idx="735">
                  <c:v>149</c:v>
                </c:pt>
                <c:pt idx="736">
                  <c:v>149.5</c:v>
                </c:pt>
                <c:pt idx="737">
                  <c:v>149.80000000000001</c:v>
                </c:pt>
                <c:pt idx="738">
                  <c:v>150</c:v>
                </c:pt>
                <c:pt idx="739">
                  <c:v>150.30000000000001</c:v>
                </c:pt>
                <c:pt idx="740">
                  <c:v>150.69999999999999</c:v>
                </c:pt>
                <c:pt idx="741">
                  <c:v>151</c:v>
                </c:pt>
                <c:pt idx="742">
                  <c:v>151.19999999999999</c:v>
                </c:pt>
                <c:pt idx="743">
                  <c:v>151.5</c:v>
                </c:pt>
                <c:pt idx="744">
                  <c:v>151.9</c:v>
                </c:pt>
                <c:pt idx="745">
                  <c:v>152.1</c:v>
                </c:pt>
                <c:pt idx="746">
                  <c:v>152.30000000000001</c:v>
                </c:pt>
                <c:pt idx="747">
                  <c:v>152.6</c:v>
                </c:pt>
                <c:pt idx="748">
                  <c:v>152.9</c:v>
                </c:pt>
                <c:pt idx="749">
                  <c:v>153.1</c:v>
                </c:pt>
                <c:pt idx="750">
                  <c:v>153.30000000000001</c:v>
                </c:pt>
                <c:pt idx="751">
                  <c:v>153.4</c:v>
                </c:pt>
                <c:pt idx="752">
                  <c:v>153.6</c:v>
                </c:pt>
                <c:pt idx="753">
                  <c:v>153.69999999999999</c:v>
                </c:pt>
                <c:pt idx="754">
                  <c:v>153.9</c:v>
                </c:pt>
                <c:pt idx="755">
                  <c:v>154</c:v>
                </c:pt>
                <c:pt idx="756">
                  <c:v>154.1</c:v>
                </c:pt>
                <c:pt idx="757">
                  <c:v>154.19999999999999</c:v>
                </c:pt>
                <c:pt idx="758">
                  <c:v>154.30000000000001</c:v>
                </c:pt>
                <c:pt idx="759">
                  <c:v>154.30000000000001</c:v>
                </c:pt>
                <c:pt idx="760">
                  <c:v>154.30000000000001</c:v>
                </c:pt>
                <c:pt idx="761">
                  <c:v>154.30000000000001</c:v>
                </c:pt>
                <c:pt idx="762">
                  <c:v>154.30000000000001</c:v>
                </c:pt>
                <c:pt idx="763">
                  <c:v>154.30000000000001</c:v>
                </c:pt>
                <c:pt idx="764">
                  <c:v>154.19999999999999</c:v>
                </c:pt>
                <c:pt idx="765">
                  <c:v>154</c:v>
                </c:pt>
                <c:pt idx="766">
                  <c:v>153.80000000000001</c:v>
                </c:pt>
                <c:pt idx="767">
                  <c:v>153.6</c:v>
                </c:pt>
                <c:pt idx="768">
                  <c:v>153.4</c:v>
                </c:pt>
                <c:pt idx="769">
                  <c:v>153</c:v>
                </c:pt>
                <c:pt idx="770">
                  <c:v>152.80000000000001</c:v>
                </c:pt>
                <c:pt idx="771">
                  <c:v>152.5</c:v>
                </c:pt>
                <c:pt idx="772">
                  <c:v>152.19999999999999</c:v>
                </c:pt>
                <c:pt idx="773">
                  <c:v>151.69999999999999</c:v>
                </c:pt>
                <c:pt idx="774">
                  <c:v>151.30000000000001</c:v>
                </c:pt>
                <c:pt idx="775">
                  <c:v>150.9</c:v>
                </c:pt>
                <c:pt idx="776">
                  <c:v>150.4</c:v>
                </c:pt>
                <c:pt idx="777">
                  <c:v>149.9</c:v>
                </c:pt>
                <c:pt idx="778">
                  <c:v>149.5</c:v>
                </c:pt>
                <c:pt idx="779">
                  <c:v>148.69999999999999</c:v>
                </c:pt>
                <c:pt idx="780">
                  <c:v>148.30000000000001</c:v>
                </c:pt>
                <c:pt idx="781">
                  <c:v>147.80000000000001</c:v>
                </c:pt>
                <c:pt idx="782">
                  <c:v>147.1</c:v>
                </c:pt>
                <c:pt idx="783">
                  <c:v>146.69999999999999</c:v>
                </c:pt>
                <c:pt idx="784">
                  <c:v>146.1</c:v>
                </c:pt>
                <c:pt idx="785">
                  <c:v>145.6</c:v>
                </c:pt>
                <c:pt idx="786">
                  <c:v>145.1</c:v>
                </c:pt>
                <c:pt idx="787">
                  <c:v>144.4</c:v>
                </c:pt>
                <c:pt idx="788">
                  <c:v>143.9</c:v>
                </c:pt>
                <c:pt idx="789">
                  <c:v>143.19999999999999</c:v>
                </c:pt>
                <c:pt idx="790">
                  <c:v>142.6</c:v>
                </c:pt>
                <c:pt idx="791">
                  <c:v>141.80000000000001</c:v>
                </c:pt>
                <c:pt idx="792">
                  <c:v>141.19999999999999</c:v>
                </c:pt>
                <c:pt idx="793">
                  <c:v>140.4</c:v>
                </c:pt>
                <c:pt idx="794">
                  <c:v>139.80000000000001</c:v>
                </c:pt>
                <c:pt idx="795">
                  <c:v>139</c:v>
                </c:pt>
                <c:pt idx="796">
                  <c:v>138.4</c:v>
                </c:pt>
                <c:pt idx="797">
                  <c:v>137.6</c:v>
                </c:pt>
                <c:pt idx="798">
                  <c:v>136.9</c:v>
                </c:pt>
                <c:pt idx="799">
                  <c:v>136</c:v>
                </c:pt>
                <c:pt idx="800">
                  <c:v>135.4</c:v>
                </c:pt>
                <c:pt idx="801">
                  <c:v>134.5</c:v>
                </c:pt>
                <c:pt idx="802">
                  <c:v>133.9</c:v>
                </c:pt>
                <c:pt idx="803">
                  <c:v>133.1</c:v>
                </c:pt>
                <c:pt idx="804">
                  <c:v>132.5</c:v>
                </c:pt>
                <c:pt idx="805">
                  <c:v>131.69999999999999</c:v>
                </c:pt>
                <c:pt idx="806">
                  <c:v>131</c:v>
                </c:pt>
                <c:pt idx="807">
                  <c:v>130.5</c:v>
                </c:pt>
                <c:pt idx="808">
                  <c:v>129.80000000000001</c:v>
                </c:pt>
                <c:pt idx="809">
                  <c:v>129.30000000000001</c:v>
                </c:pt>
                <c:pt idx="810">
                  <c:v>128.69999999999999</c:v>
                </c:pt>
                <c:pt idx="811">
                  <c:v>128.1</c:v>
                </c:pt>
                <c:pt idx="812">
                  <c:v>127.6</c:v>
                </c:pt>
                <c:pt idx="813">
                  <c:v>127</c:v>
                </c:pt>
                <c:pt idx="814">
                  <c:v>126.4</c:v>
                </c:pt>
                <c:pt idx="815">
                  <c:v>126</c:v>
                </c:pt>
                <c:pt idx="816">
                  <c:v>125.3</c:v>
                </c:pt>
                <c:pt idx="817">
                  <c:v>124.7</c:v>
                </c:pt>
                <c:pt idx="818">
                  <c:v>124.3</c:v>
                </c:pt>
                <c:pt idx="819">
                  <c:v>123.7</c:v>
                </c:pt>
                <c:pt idx="820">
                  <c:v>123.1</c:v>
                </c:pt>
                <c:pt idx="821">
                  <c:v>122.6</c:v>
                </c:pt>
                <c:pt idx="822">
                  <c:v>122.3</c:v>
                </c:pt>
                <c:pt idx="823">
                  <c:v>121.8</c:v>
                </c:pt>
                <c:pt idx="824">
                  <c:v>121.3</c:v>
                </c:pt>
                <c:pt idx="825">
                  <c:v>121</c:v>
                </c:pt>
                <c:pt idx="826">
                  <c:v>120.5</c:v>
                </c:pt>
                <c:pt idx="827">
                  <c:v>120.1</c:v>
                </c:pt>
                <c:pt idx="828">
                  <c:v>119.6</c:v>
                </c:pt>
                <c:pt idx="829">
                  <c:v>119.1</c:v>
                </c:pt>
                <c:pt idx="830">
                  <c:v>118.8</c:v>
                </c:pt>
                <c:pt idx="831">
                  <c:v>118.4</c:v>
                </c:pt>
                <c:pt idx="832">
                  <c:v>118</c:v>
                </c:pt>
                <c:pt idx="833">
                  <c:v>117.5</c:v>
                </c:pt>
                <c:pt idx="834">
                  <c:v>117.1</c:v>
                </c:pt>
                <c:pt idx="835">
                  <c:v>116.9</c:v>
                </c:pt>
                <c:pt idx="836">
                  <c:v>116.4</c:v>
                </c:pt>
                <c:pt idx="837">
                  <c:v>116</c:v>
                </c:pt>
                <c:pt idx="838">
                  <c:v>115.5</c:v>
                </c:pt>
                <c:pt idx="839">
                  <c:v>115.2</c:v>
                </c:pt>
                <c:pt idx="840">
                  <c:v>114.9</c:v>
                </c:pt>
                <c:pt idx="841">
                  <c:v>114.6</c:v>
                </c:pt>
                <c:pt idx="842">
                  <c:v>114.4</c:v>
                </c:pt>
                <c:pt idx="843">
                  <c:v>114.2</c:v>
                </c:pt>
                <c:pt idx="844">
                  <c:v>114</c:v>
                </c:pt>
                <c:pt idx="845">
                  <c:v>113.8</c:v>
                </c:pt>
                <c:pt idx="846">
                  <c:v>113.8</c:v>
                </c:pt>
                <c:pt idx="847">
                  <c:v>113.8</c:v>
                </c:pt>
                <c:pt idx="848">
                  <c:v>113.8</c:v>
                </c:pt>
                <c:pt idx="849">
                  <c:v>113.8</c:v>
                </c:pt>
                <c:pt idx="850">
                  <c:v>113.8</c:v>
                </c:pt>
                <c:pt idx="851">
                  <c:v>113.9</c:v>
                </c:pt>
                <c:pt idx="852">
                  <c:v>113.9</c:v>
                </c:pt>
                <c:pt idx="853">
                  <c:v>114</c:v>
                </c:pt>
                <c:pt idx="854">
                  <c:v>114.1</c:v>
                </c:pt>
                <c:pt idx="855">
                  <c:v>114.2</c:v>
                </c:pt>
                <c:pt idx="856">
                  <c:v>114.3</c:v>
                </c:pt>
                <c:pt idx="857">
                  <c:v>114.4</c:v>
                </c:pt>
                <c:pt idx="858">
                  <c:v>114.6</c:v>
                </c:pt>
                <c:pt idx="859">
                  <c:v>114.7</c:v>
                </c:pt>
                <c:pt idx="860">
                  <c:v>114.8</c:v>
                </c:pt>
                <c:pt idx="861">
                  <c:v>115</c:v>
                </c:pt>
                <c:pt idx="862">
                  <c:v>115.1</c:v>
                </c:pt>
                <c:pt idx="863">
                  <c:v>115.3</c:v>
                </c:pt>
                <c:pt idx="864">
                  <c:v>115.5</c:v>
                </c:pt>
                <c:pt idx="865">
                  <c:v>115.8</c:v>
                </c:pt>
                <c:pt idx="866">
                  <c:v>116</c:v>
                </c:pt>
                <c:pt idx="867">
                  <c:v>116.3</c:v>
                </c:pt>
                <c:pt idx="868">
                  <c:v>116.5</c:v>
                </c:pt>
                <c:pt idx="869">
                  <c:v>116.8</c:v>
                </c:pt>
                <c:pt idx="870">
                  <c:v>117.2</c:v>
                </c:pt>
                <c:pt idx="871">
                  <c:v>117.6</c:v>
                </c:pt>
                <c:pt idx="872">
                  <c:v>117.8</c:v>
                </c:pt>
                <c:pt idx="873">
                  <c:v>118.2</c:v>
                </c:pt>
                <c:pt idx="874">
                  <c:v>118.6</c:v>
                </c:pt>
                <c:pt idx="875">
                  <c:v>119</c:v>
                </c:pt>
                <c:pt idx="876">
                  <c:v>119.3</c:v>
                </c:pt>
                <c:pt idx="877">
                  <c:v>119.6</c:v>
                </c:pt>
                <c:pt idx="878">
                  <c:v>120</c:v>
                </c:pt>
                <c:pt idx="879">
                  <c:v>120.4</c:v>
                </c:pt>
                <c:pt idx="880">
                  <c:v>120.8</c:v>
                </c:pt>
                <c:pt idx="881">
                  <c:v>121</c:v>
                </c:pt>
                <c:pt idx="882">
                  <c:v>121.4</c:v>
                </c:pt>
                <c:pt idx="883">
                  <c:v>121.8</c:v>
                </c:pt>
                <c:pt idx="884">
                  <c:v>122</c:v>
                </c:pt>
                <c:pt idx="885">
                  <c:v>122.4</c:v>
                </c:pt>
                <c:pt idx="886">
                  <c:v>122.8</c:v>
                </c:pt>
                <c:pt idx="887">
                  <c:v>123.2</c:v>
                </c:pt>
                <c:pt idx="888">
                  <c:v>123.4</c:v>
                </c:pt>
                <c:pt idx="889">
                  <c:v>123.8</c:v>
                </c:pt>
                <c:pt idx="890">
                  <c:v>124.2</c:v>
                </c:pt>
                <c:pt idx="891">
                  <c:v>124.4</c:v>
                </c:pt>
                <c:pt idx="892">
                  <c:v>124.8</c:v>
                </c:pt>
                <c:pt idx="893">
                  <c:v>125</c:v>
                </c:pt>
                <c:pt idx="894">
                  <c:v>125.2</c:v>
                </c:pt>
                <c:pt idx="895">
                  <c:v>125.5</c:v>
                </c:pt>
                <c:pt idx="896">
                  <c:v>125.8</c:v>
                </c:pt>
                <c:pt idx="897">
                  <c:v>126</c:v>
                </c:pt>
                <c:pt idx="898">
                  <c:v>126.3</c:v>
                </c:pt>
                <c:pt idx="899">
                  <c:v>126.6</c:v>
                </c:pt>
                <c:pt idx="900">
                  <c:v>126.9</c:v>
                </c:pt>
                <c:pt idx="901">
                  <c:v>127.2</c:v>
                </c:pt>
                <c:pt idx="902">
                  <c:v>127.5</c:v>
                </c:pt>
                <c:pt idx="903">
                  <c:v>127.8</c:v>
                </c:pt>
                <c:pt idx="904">
                  <c:v>128.19999999999999</c:v>
                </c:pt>
                <c:pt idx="905">
                  <c:v>128.4</c:v>
                </c:pt>
                <c:pt idx="906">
                  <c:v>128.80000000000001</c:v>
                </c:pt>
                <c:pt idx="907">
                  <c:v>129.19999999999999</c:v>
                </c:pt>
                <c:pt idx="908">
                  <c:v>129.5</c:v>
                </c:pt>
                <c:pt idx="909">
                  <c:v>129.9</c:v>
                </c:pt>
                <c:pt idx="910">
                  <c:v>130.19999999999999</c:v>
                </c:pt>
                <c:pt idx="911">
                  <c:v>130.69999999999999</c:v>
                </c:pt>
                <c:pt idx="912">
                  <c:v>131</c:v>
                </c:pt>
                <c:pt idx="913">
                  <c:v>131.4</c:v>
                </c:pt>
                <c:pt idx="914">
                  <c:v>131.80000000000001</c:v>
                </c:pt>
                <c:pt idx="915">
                  <c:v>132.1</c:v>
                </c:pt>
                <c:pt idx="916">
                  <c:v>132.5</c:v>
                </c:pt>
                <c:pt idx="917">
                  <c:v>132.80000000000001</c:v>
                </c:pt>
                <c:pt idx="918">
                  <c:v>133.19999999999999</c:v>
                </c:pt>
                <c:pt idx="919">
                  <c:v>133.5</c:v>
                </c:pt>
                <c:pt idx="920">
                  <c:v>134</c:v>
                </c:pt>
                <c:pt idx="921">
                  <c:v>134.30000000000001</c:v>
                </c:pt>
                <c:pt idx="922">
                  <c:v>134.80000000000001</c:v>
                </c:pt>
                <c:pt idx="923">
                  <c:v>135.1</c:v>
                </c:pt>
                <c:pt idx="924">
                  <c:v>135.6</c:v>
                </c:pt>
                <c:pt idx="925">
                  <c:v>135.9</c:v>
                </c:pt>
                <c:pt idx="926">
                  <c:v>136.4</c:v>
                </c:pt>
                <c:pt idx="927">
                  <c:v>136.80000000000001</c:v>
                </c:pt>
                <c:pt idx="928">
                  <c:v>137.30000000000001</c:v>
                </c:pt>
                <c:pt idx="929">
                  <c:v>137.69999999999999</c:v>
                </c:pt>
                <c:pt idx="930">
                  <c:v>138.1</c:v>
                </c:pt>
                <c:pt idx="931">
                  <c:v>138.6</c:v>
                </c:pt>
                <c:pt idx="932">
                  <c:v>138.9</c:v>
                </c:pt>
                <c:pt idx="933">
                  <c:v>139.4</c:v>
                </c:pt>
                <c:pt idx="934">
                  <c:v>139.69999999999999</c:v>
                </c:pt>
                <c:pt idx="935">
                  <c:v>140.19999999999999</c:v>
                </c:pt>
                <c:pt idx="936">
                  <c:v>140.5</c:v>
                </c:pt>
                <c:pt idx="937">
                  <c:v>140.9</c:v>
                </c:pt>
                <c:pt idx="938">
                  <c:v>141.4</c:v>
                </c:pt>
                <c:pt idx="939">
                  <c:v>141.69999999999999</c:v>
                </c:pt>
                <c:pt idx="940">
                  <c:v>142.30000000000001</c:v>
                </c:pt>
                <c:pt idx="941">
                  <c:v>142.6</c:v>
                </c:pt>
                <c:pt idx="942">
                  <c:v>143</c:v>
                </c:pt>
                <c:pt idx="943">
                  <c:v>143.5</c:v>
                </c:pt>
                <c:pt idx="944">
                  <c:v>143.9</c:v>
                </c:pt>
                <c:pt idx="945">
                  <c:v>144.4</c:v>
                </c:pt>
                <c:pt idx="946">
                  <c:v>144.80000000000001</c:v>
                </c:pt>
                <c:pt idx="947">
                  <c:v>145.1</c:v>
                </c:pt>
                <c:pt idx="948">
                  <c:v>145.69999999999999</c:v>
                </c:pt>
                <c:pt idx="949">
                  <c:v>146.19999999999999</c:v>
                </c:pt>
                <c:pt idx="950">
                  <c:v>146.6</c:v>
                </c:pt>
                <c:pt idx="951">
                  <c:v>147.19999999999999</c:v>
                </c:pt>
                <c:pt idx="952">
                  <c:v>147.69999999999999</c:v>
                </c:pt>
                <c:pt idx="953">
                  <c:v>148.1</c:v>
                </c:pt>
                <c:pt idx="954">
                  <c:v>148.5</c:v>
                </c:pt>
                <c:pt idx="955">
                  <c:v>149.1</c:v>
                </c:pt>
                <c:pt idx="956">
                  <c:v>149.5</c:v>
                </c:pt>
                <c:pt idx="957">
                  <c:v>149.9</c:v>
                </c:pt>
                <c:pt idx="958">
                  <c:v>150.5</c:v>
                </c:pt>
                <c:pt idx="959">
                  <c:v>150.9</c:v>
                </c:pt>
                <c:pt idx="960">
                  <c:v>151.30000000000001</c:v>
                </c:pt>
                <c:pt idx="961">
                  <c:v>151.69999999999999</c:v>
                </c:pt>
                <c:pt idx="962">
                  <c:v>152.30000000000001</c:v>
                </c:pt>
                <c:pt idx="963">
                  <c:v>152.69999999999999</c:v>
                </c:pt>
                <c:pt idx="964">
                  <c:v>153.1</c:v>
                </c:pt>
                <c:pt idx="965">
                  <c:v>153.5</c:v>
                </c:pt>
                <c:pt idx="966">
                  <c:v>154</c:v>
                </c:pt>
                <c:pt idx="967">
                  <c:v>154.4</c:v>
                </c:pt>
                <c:pt idx="968">
                  <c:v>154.80000000000001</c:v>
                </c:pt>
                <c:pt idx="969">
                  <c:v>155.1</c:v>
                </c:pt>
                <c:pt idx="970">
                  <c:v>155.6</c:v>
                </c:pt>
                <c:pt idx="971">
                  <c:v>156</c:v>
                </c:pt>
                <c:pt idx="972">
                  <c:v>156.4</c:v>
                </c:pt>
                <c:pt idx="973">
                  <c:v>156.69999999999999</c:v>
                </c:pt>
                <c:pt idx="974">
                  <c:v>157.1</c:v>
                </c:pt>
                <c:pt idx="975">
                  <c:v>157.5</c:v>
                </c:pt>
                <c:pt idx="976">
                  <c:v>157.80000000000001</c:v>
                </c:pt>
                <c:pt idx="977">
                  <c:v>158.1</c:v>
                </c:pt>
                <c:pt idx="978">
                  <c:v>158.4</c:v>
                </c:pt>
                <c:pt idx="979">
                  <c:v>158.69999999999999</c:v>
                </c:pt>
                <c:pt idx="980">
                  <c:v>159.1</c:v>
                </c:pt>
                <c:pt idx="981">
                  <c:v>159.5</c:v>
                </c:pt>
                <c:pt idx="982">
                  <c:v>159.80000000000001</c:v>
                </c:pt>
                <c:pt idx="983">
                  <c:v>160.1</c:v>
                </c:pt>
                <c:pt idx="984">
                  <c:v>160.4</c:v>
                </c:pt>
                <c:pt idx="985">
                  <c:v>160.80000000000001</c:v>
                </c:pt>
                <c:pt idx="986">
                  <c:v>161.19999999999999</c:v>
                </c:pt>
                <c:pt idx="987">
                  <c:v>161.6</c:v>
                </c:pt>
                <c:pt idx="988">
                  <c:v>161.9</c:v>
                </c:pt>
                <c:pt idx="989">
                  <c:v>162.30000000000001</c:v>
                </c:pt>
                <c:pt idx="990">
                  <c:v>162.6</c:v>
                </c:pt>
                <c:pt idx="991">
                  <c:v>162.9</c:v>
                </c:pt>
                <c:pt idx="992">
                  <c:v>163.30000000000001</c:v>
                </c:pt>
                <c:pt idx="993">
                  <c:v>163.80000000000001</c:v>
                </c:pt>
                <c:pt idx="994">
                  <c:v>164.2</c:v>
                </c:pt>
                <c:pt idx="995">
                  <c:v>164.6</c:v>
                </c:pt>
                <c:pt idx="996">
                  <c:v>165</c:v>
                </c:pt>
                <c:pt idx="997">
                  <c:v>165.4</c:v>
                </c:pt>
                <c:pt idx="998">
                  <c:v>165.8</c:v>
                </c:pt>
                <c:pt idx="999">
                  <c:v>166.2</c:v>
                </c:pt>
                <c:pt idx="1000">
                  <c:v>166.5</c:v>
                </c:pt>
                <c:pt idx="1001">
                  <c:v>167.1</c:v>
                </c:pt>
                <c:pt idx="1002">
                  <c:v>167.4</c:v>
                </c:pt>
                <c:pt idx="1003">
                  <c:v>167.8</c:v>
                </c:pt>
                <c:pt idx="1004">
                  <c:v>168.1</c:v>
                </c:pt>
                <c:pt idx="1005">
                  <c:v>168.4</c:v>
                </c:pt>
                <c:pt idx="1006">
                  <c:v>168.8</c:v>
                </c:pt>
                <c:pt idx="1007">
                  <c:v>169.1</c:v>
                </c:pt>
                <c:pt idx="1008">
                  <c:v>169.3</c:v>
                </c:pt>
                <c:pt idx="1009">
                  <c:v>169.5</c:v>
                </c:pt>
                <c:pt idx="1010">
                  <c:v>169.8</c:v>
                </c:pt>
                <c:pt idx="1011">
                  <c:v>170</c:v>
                </c:pt>
                <c:pt idx="1012">
                  <c:v>170.2</c:v>
                </c:pt>
                <c:pt idx="1013">
                  <c:v>170.3</c:v>
                </c:pt>
                <c:pt idx="1014">
                  <c:v>170.5</c:v>
                </c:pt>
                <c:pt idx="1015">
                  <c:v>170.6</c:v>
                </c:pt>
                <c:pt idx="1016">
                  <c:v>170.7</c:v>
                </c:pt>
                <c:pt idx="1017">
                  <c:v>170.7</c:v>
                </c:pt>
                <c:pt idx="1018">
                  <c:v>170.6</c:v>
                </c:pt>
                <c:pt idx="1019">
                  <c:v>170.5</c:v>
                </c:pt>
                <c:pt idx="1020">
                  <c:v>170.5</c:v>
                </c:pt>
                <c:pt idx="1021">
                  <c:v>170.4</c:v>
                </c:pt>
                <c:pt idx="1022">
                  <c:v>170.3</c:v>
                </c:pt>
                <c:pt idx="1023">
                  <c:v>170.1</c:v>
                </c:pt>
                <c:pt idx="1024">
                  <c:v>169.9</c:v>
                </c:pt>
                <c:pt idx="1025">
                  <c:v>169.8</c:v>
                </c:pt>
                <c:pt idx="1026">
                  <c:v>169.6</c:v>
                </c:pt>
                <c:pt idx="1027">
                  <c:v>169.4</c:v>
                </c:pt>
                <c:pt idx="1028">
                  <c:v>169.1</c:v>
                </c:pt>
                <c:pt idx="1029">
                  <c:v>168.9</c:v>
                </c:pt>
                <c:pt idx="1030">
                  <c:v>168.6</c:v>
                </c:pt>
                <c:pt idx="1031">
                  <c:v>168.3</c:v>
                </c:pt>
                <c:pt idx="1032">
                  <c:v>168</c:v>
                </c:pt>
                <c:pt idx="1033">
                  <c:v>167.7</c:v>
                </c:pt>
                <c:pt idx="1034">
                  <c:v>167.4</c:v>
                </c:pt>
                <c:pt idx="1035">
                  <c:v>166.9</c:v>
                </c:pt>
                <c:pt idx="1036">
                  <c:v>166.6</c:v>
                </c:pt>
                <c:pt idx="1037">
                  <c:v>166.3</c:v>
                </c:pt>
                <c:pt idx="1038">
                  <c:v>166</c:v>
                </c:pt>
                <c:pt idx="1039">
                  <c:v>165.7</c:v>
                </c:pt>
                <c:pt idx="1040">
                  <c:v>165.2</c:v>
                </c:pt>
                <c:pt idx="1041">
                  <c:v>164.8</c:v>
                </c:pt>
                <c:pt idx="1042">
                  <c:v>164.4</c:v>
                </c:pt>
                <c:pt idx="1043">
                  <c:v>164.1</c:v>
                </c:pt>
                <c:pt idx="1044">
                  <c:v>163.6</c:v>
                </c:pt>
                <c:pt idx="1045">
                  <c:v>163.19999999999999</c:v>
                </c:pt>
                <c:pt idx="1046">
                  <c:v>162.80000000000001</c:v>
                </c:pt>
                <c:pt idx="1047">
                  <c:v>162.4</c:v>
                </c:pt>
                <c:pt idx="1048">
                  <c:v>161.80000000000001</c:v>
                </c:pt>
                <c:pt idx="1049">
                  <c:v>161.19999999999999</c:v>
                </c:pt>
                <c:pt idx="1050">
                  <c:v>160.6</c:v>
                </c:pt>
                <c:pt idx="1051">
                  <c:v>159.69999999999999</c:v>
                </c:pt>
                <c:pt idx="1052">
                  <c:v>159.1</c:v>
                </c:pt>
                <c:pt idx="1053">
                  <c:v>158.4</c:v>
                </c:pt>
                <c:pt idx="1054">
                  <c:v>157.30000000000001</c:v>
                </c:pt>
                <c:pt idx="1055">
                  <c:v>156.6</c:v>
                </c:pt>
                <c:pt idx="1056">
                  <c:v>155.9</c:v>
                </c:pt>
                <c:pt idx="1057">
                  <c:v>154.69999999999999</c:v>
                </c:pt>
                <c:pt idx="1058">
                  <c:v>153.9</c:v>
                </c:pt>
                <c:pt idx="1059">
                  <c:v>153.1</c:v>
                </c:pt>
                <c:pt idx="1060">
                  <c:v>152</c:v>
                </c:pt>
                <c:pt idx="1061">
                  <c:v>151.19999999999999</c:v>
                </c:pt>
                <c:pt idx="1062">
                  <c:v>150.4</c:v>
                </c:pt>
                <c:pt idx="1063">
                  <c:v>149.1</c:v>
                </c:pt>
                <c:pt idx="1064">
                  <c:v>148.30000000000001</c:v>
                </c:pt>
                <c:pt idx="1065">
                  <c:v>147.5</c:v>
                </c:pt>
                <c:pt idx="1066">
                  <c:v>146.6</c:v>
                </c:pt>
                <c:pt idx="1067">
                  <c:v>146</c:v>
                </c:pt>
                <c:pt idx="1068">
                  <c:v>145.4</c:v>
                </c:pt>
                <c:pt idx="1069">
                  <c:v>144.6</c:v>
                </c:pt>
                <c:pt idx="1070">
                  <c:v>144.1</c:v>
                </c:pt>
                <c:pt idx="1071">
                  <c:v>143.4</c:v>
                </c:pt>
                <c:pt idx="1072">
                  <c:v>142.9</c:v>
                </c:pt>
                <c:pt idx="1073">
                  <c:v>142.4</c:v>
                </c:pt>
                <c:pt idx="1074">
                  <c:v>141.69999999999999</c:v>
                </c:pt>
                <c:pt idx="1075">
                  <c:v>141.19999999999999</c:v>
                </c:pt>
                <c:pt idx="1076">
                  <c:v>140.5</c:v>
                </c:pt>
                <c:pt idx="1077">
                  <c:v>140</c:v>
                </c:pt>
                <c:pt idx="1078">
                  <c:v>139.5</c:v>
                </c:pt>
                <c:pt idx="1079">
                  <c:v>138.9</c:v>
                </c:pt>
                <c:pt idx="1080">
                  <c:v>138.4</c:v>
                </c:pt>
                <c:pt idx="1081">
                  <c:v>137.80000000000001</c:v>
                </c:pt>
                <c:pt idx="1082">
                  <c:v>137.30000000000001</c:v>
                </c:pt>
                <c:pt idx="1083">
                  <c:v>136.6</c:v>
                </c:pt>
                <c:pt idx="1084">
                  <c:v>136.19999999999999</c:v>
                </c:pt>
                <c:pt idx="1085">
                  <c:v>135.5</c:v>
                </c:pt>
                <c:pt idx="1086">
                  <c:v>135.1</c:v>
                </c:pt>
                <c:pt idx="1087">
                  <c:v>134.69999999999999</c:v>
                </c:pt>
                <c:pt idx="1088">
                  <c:v>134.1</c:v>
                </c:pt>
                <c:pt idx="1089">
                  <c:v>133.69999999999999</c:v>
                </c:pt>
                <c:pt idx="1090">
                  <c:v>133.1</c:v>
                </c:pt>
                <c:pt idx="1091">
                  <c:v>132.80000000000001</c:v>
                </c:pt>
                <c:pt idx="1092">
                  <c:v>132.30000000000001</c:v>
                </c:pt>
                <c:pt idx="1093">
                  <c:v>132</c:v>
                </c:pt>
                <c:pt idx="1094">
                  <c:v>131.6</c:v>
                </c:pt>
                <c:pt idx="1095">
                  <c:v>131.30000000000001</c:v>
                </c:pt>
                <c:pt idx="1096">
                  <c:v>130.80000000000001</c:v>
                </c:pt>
                <c:pt idx="1097">
                  <c:v>130.5</c:v>
                </c:pt>
                <c:pt idx="1098">
                  <c:v>130.1</c:v>
                </c:pt>
                <c:pt idx="1099">
                  <c:v>129.80000000000001</c:v>
                </c:pt>
                <c:pt idx="1100">
                  <c:v>129.4</c:v>
                </c:pt>
                <c:pt idx="1101">
                  <c:v>129.1</c:v>
                </c:pt>
                <c:pt idx="1102">
                  <c:v>128.69999999999999</c:v>
                </c:pt>
                <c:pt idx="1103">
                  <c:v>128.4</c:v>
                </c:pt>
                <c:pt idx="1104">
                  <c:v>128</c:v>
                </c:pt>
                <c:pt idx="1105">
                  <c:v>127.7</c:v>
                </c:pt>
                <c:pt idx="1106">
                  <c:v>127.3</c:v>
                </c:pt>
                <c:pt idx="1107">
                  <c:v>126.9</c:v>
                </c:pt>
                <c:pt idx="1108">
                  <c:v>126.7</c:v>
                </c:pt>
                <c:pt idx="1109">
                  <c:v>126.3</c:v>
                </c:pt>
                <c:pt idx="1110">
                  <c:v>126.1</c:v>
                </c:pt>
                <c:pt idx="1111">
                  <c:v>125.8</c:v>
                </c:pt>
                <c:pt idx="1112">
                  <c:v>125.5</c:v>
                </c:pt>
                <c:pt idx="1113">
                  <c:v>125.1</c:v>
                </c:pt>
                <c:pt idx="1114">
                  <c:v>124.8</c:v>
                </c:pt>
                <c:pt idx="1115">
                  <c:v>124.5</c:v>
                </c:pt>
                <c:pt idx="1116">
                  <c:v>124.2</c:v>
                </c:pt>
                <c:pt idx="1117">
                  <c:v>123.8</c:v>
                </c:pt>
                <c:pt idx="1118">
                  <c:v>123.6</c:v>
                </c:pt>
                <c:pt idx="1119">
                  <c:v>123.2</c:v>
                </c:pt>
                <c:pt idx="1120">
                  <c:v>122.9</c:v>
                </c:pt>
                <c:pt idx="1121">
                  <c:v>122.7</c:v>
                </c:pt>
                <c:pt idx="1122">
                  <c:v>122.3</c:v>
                </c:pt>
                <c:pt idx="1123">
                  <c:v>121.9</c:v>
                </c:pt>
                <c:pt idx="1124">
                  <c:v>121.6</c:v>
                </c:pt>
                <c:pt idx="1125">
                  <c:v>121.3</c:v>
                </c:pt>
                <c:pt idx="1126">
                  <c:v>120.9</c:v>
                </c:pt>
                <c:pt idx="1127">
                  <c:v>120.6</c:v>
                </c:pt>
                <c:pt idx="1128">
                  <c:v>120.3</c:v>
                </c:pt>
                <c:pt idx="1129">
                  <c:v>119.9</c:v>
                </c:pt>
                <c:pt idx="1130">
                  <c:v>119.6</c:v>
                </c:pt>
                <c:pt idx="1131">
                  <c:v>119.3</c:v>
                </c:pt>
                <c:pt idx="1132">
                  <c:v>118.9</c:v>
                </c:pt>
                <c:pt idx="1133">
                  <c:v>118.5</c:v>
                </c:pt>
                <c:pt idx="1134">
                  <c:v>118.2</c:v>
                </c:pt>
                <c:pt idx="1135">
                  <c:v>117.8</c:v>
                </c:pt>
                <c:pt idx="1136">
                  <c:v>117.4</c:v>
                </c:pt>
                <c:pt idx="1137">
                  <c:v>117</c:v>
                </c:pt>
                <c:pt idx="1138">
                  <c:v>116.8</c:v>
                </c:pt>
                <c:pt idx="1139">
                  <c:v>116.3</c:v>
                </c:pt>
                <c:pt idx="1140">
                  <c:v>115.9</c:v>
                </c:pt>
                <c:pt idx="1141">
                  <c:v>115.6</c:v>
                </c:pt>
                <c:pt idx="1142">
                  <c:v>115.2</c:v>
                </c:pt>
                <c:pt idx="1143">
                  <c:v>114.8</c:v>
                </c:pt>
                <c:pt idx="1144">
                  <c:v>114.6</c:v>
                </c:pt>
                <c:pt idx="1145">
                  <c:v>114.3</c:v>
                </c:pt>
                <c:pt idx="1146">
                  <c:v>114</c:v>
                </c:pt>
                <c:pt idx="1147">
                  <c:v>113.8</c:v>
                </c:pt>
                <c:pt idx="1148">
                  <c:v>113.5</c:v>
                </c:pt>
                <c:pt idx="1149">
                  <c:v>113.3</c:v>
                </c:pt>
                <c:pt idx="1150">
                  <c:v>113</c:v>
                </c:pt>
                <c:pt idx="1151">
                  <c:v>113</c:v>
                </c:pt>
                <c:pt idx="1152">
                  <c:v>112.8</c:v>
                </c:pt>
                <c:pt idx="1153">
                  <c:v>112.7</c:v>
                </c:pt>
                <c:pt idx="1154">
                  <c:v>112.6</c:v>
                </c:pt>
                <c:pt idx="1155">
                  <c:v>112.5</c:v>
                </c:pt>
                <c:pt idx="1156">
                  <c:v>112.5</c:v>
                </c:pt>
                <c:pt idx="1157">
                  <c:v>112.5</c:v>
                </c:pt>
                <c:pt idx="1158">
                  <c:v>112.5</c:v>
                </c:pt>
                <c:pt idx="1159">
                  <c:v>112.5</c:v>
                </c:pt>
                <c:pt idx="1160">
                  <c:v>112.5</c:v>
                </c:pt>
                <c:pt idx="1161">
                  <c:v>112.5</c:v>
                </c:pt>
                <c:pt idx="1162">
                  <c:v>112.7</c:v>
                </c:pt>
                <c:pt idx="1163">
                  <c:v>112.8</c:v>
                </c:pt>
                <c:pt idx="1164">
                  <c:v>112.9</c:v>
                </c:pt>
                <c:pt idx="1165">
                  <c:v>113.1</c:v>
                </c:pt>
                <c:pt idx="1166">
                  <c:v>113.3</c:v>
                </c:pt>
                <c:pt idx="1167">
                  <c:v>113.5</c:v>
                </c:pt>
                <c:pt idx="1168">
                  <c:v>113.7</c:v>
                </c:pt>
                <c:pt idx="1169">
                  <c:v>113.9</c:v>
                </c:pt>
                <c:pt idx="1170">
                  <c:v>114.2</c:v>
                </c:pt>
                <c:pt idx="1171">
                  <c:v>114.4</c:v>
                </c:pt>
                <c:pt idx="1172">
                  <c:v>114.7</c:v>
                </c:pt>
                <c:pt idx="1173">
                  <c:v>115</c:v>
                </c:pt>
                <c:pt idx="1174">
                  <c:v>115.3</c:v>
                </c:pt>
                <c:pt idx="1175">
                  <c:v>115.4</c:v>
                </c:pt>
                <c:pt idx="1176">
                  <c:v>115.7</c:v>
                </c:pt>
                <c:pt idx="1177">
                  <c:v>116</c:v>
                </c:pt>
                <c:pt idx="1178">
                  <c:v>116.3</c:v>
                </c:pt>
                <c:pt idx="1179">
                  <c:v>116.5</c:v>
                </c:pt>
                <c:pt idx="1180">
                  <c:v>116.7</c:v>
                </c:pt>
                <c:pt idx="1181">
                  <c:v>117</c:v>
                </c:pt>
                <c:pt idx="1182">
                  <c:v>117.1</c:v>
                </c:pt>
                <c:pt idx="1183">
                  <c:v>117.4</c:v>
                </c:pt>
                <c:pt idx="1184">
                  <c:v>117.7</c:v>
                </c:pt>
                <c:pt idx="1185">
                  <c:v>118</c:v>
                </c:pt>
                <c:pt idx="1186">
                  <c:v>118.3</c:v>
                </c:pt>
                <c:pt idx="1187">
                  <c:v>118.7</c:v>
                </c:pt>
                <c:pt idx="1188">
                  <c:v>118.9</c:v>
                </c:pt>
                <c:pt idx="1189">
                  <c:v>119.3</c:v>
                </c:pt>
                <c:pt idx="1190">
                  <c:v>119.7</c:v>
                </c:pt>
                <c:pt idx="1191">
                  <c:v>120.1</c:v>
                </c:pt>
                <c:pt idx="1192">
                  <c:v>120.4</c:v>
                </c:pt>
                <c:pt idx="1193">
                  <c:v>120.8</c:v>
                </c:pt>
                <c:pt idx="1194">
                  <c:v>121.4</c:v>
                </c:pt>
                <c:pt idx="1195">
                  <c:v>121.9</c:v>
                </c:pt>
                <c:pt idx="1196">
                  <c:v>122.2</c:v>
                </c:pt>
                <c:pt idx="1197">
                  <c:v>122.8</c:v>
                </c:pt>
                <c:pt idx="1198">
                  <c:v>123.3</c:v>
                </c:pt>
                <c:pt idx="1199">
                  <c:v>123.8</c:v>
                </c:pt>
                <c:pt idx="1200">
                  <c:v>124.2</c:v>
                </c:pt>
                <c:pt idx="1201">
                  <c:v>124.7</c:v>
                </c:pt>
                <c:pt idx="1202">
                  <c:v>125.3</c:v>
                </c:pt>
                <c:pt idx="1203">
                  <c:v>125.8</c:v>
                </c:pt>
                <c:pt idx="1204">
                  <c:v>126.2</c:v>
                </c:pt>
                <c:pt idx="1205">
                  <c:v>126.7</c:v>
                </c:pt>
                <c:pt idx="1206">
                  <c:v>127.2</c:v>
                </c:pt>
                <c:pt idx="1207">
                  <c:v>127.6</c:v>
                </c:pt>
                <c:pt idx="1208">
                  <c:v>128.19999999999999</c:v>
                </c:pt>
                <c:pt idx="1209">
                  <c:v>128.69999999999999</c:v>
                </c:pt>
                <c:pt idx="1210">
                  <c:v>129.1</c:v>
                </c:pt>
                <c:pt idx="1211">
                  <c:v>129.69999999999999</c:v>
                </c:pt>
                <c:pt idx="1212">
                  <c:v>130.1</c:v>
                </c:pt>
                <c:pt idx="1213">
                  <c:v>130.6</c:v>
                </c:pt>
                <c:pt idx="1214">
                  <c:v>131.19999999999999</c:v>
                </c:pt>
                <c:pt idx="1215">
                  <c:v>131.6</c:v>
                </c:pt>
                <c:pt idx="1216">
                  <c:v>132.1</c:v>
                </c:pt>
                <c:pt idx="1217">
                  <c:v>132.4</c:v>
                </c:pt>
                <c:pt idx="1218">
                  <c:v>132.9</c:v>
                </c:pt>
                <c:pt idx="1219">
                  <c:v>133.4</c:v>
                </c:pt>
                <c:pt idx="1220">
                  <c:v>133.80000000000001</c:v>
                </c:pt>
                <c:pt idx="1221">
                  <c:v>134.30000000000001</c:v>
                </c:pt>
                <c:pt idx="1222">
                  <c:v>134.6</c:v>
                </c:pt>
                <c:pt idx="1223">
                  <c:v>135.19999999999999</c:v>
                </c:pt>
                <c:pt idx="1224">
                  <c:v>135.6</c:v>
                </c:pt>
                <c:pt idx="1225">
                  <c:v>136.1</c:v>
                </c:pt>
                <c:pt idx="1226">
                  <c:v>136.5</c:v>
                </c:pt>
                <c:pt idx="1227">
                  <c:v>137.1</c:v>
                </c:pt>
                <c:pt idx="1228">
                  <c:v>137.69999999999999</c:v>
                </c:pt>
                <c:pt idx="1229">
                  <c:v>138.1</c:v>
                </c:pt>
                <c:pt idx="1230">
                  <c:v>138.6</c:v>
                </c:pt>
                <c:pt idx="1231">
                  <c:v>139.1</c:v>
                </c:pt>
                <c:pt idx="1232">
                  <c:v>139.80000000000001</c:v>
                </c:pt>
                <c:pt idx="1233">
                  <c:v>140.30000000000001</c:v>
                </c:pt>
                <c:pt idx="1234">
                  <c:v>141</c:v>
                </c:pt>
                <c:pt idx="1235">
                  <c:v>141.4</c:v>
                </c:pt>
                <c:pt idx="1236">
                  <c:v>142.1</c:v>
                </c:pt>
                <c:pt idx="1237">
                  <c:v>142.5</c:v>
                </c:pt>
                <c:pt idx="1238">
                  <c:v>143.19999999999999</c:v>
                </c:pt>
                <c:pt idx="1239">
                  <c:v>143.6</c:v>
                </c:pt>
                <c:pt idx="1240">
                  <c:v>144.1</c:v>
                </c:pt>
                <c:pt idx="1241">
                  <c:v>144.69999999999999</c:v>
                </c:pt>
                <c:pt idx="1242">
                  <c:v>145.1</c:v>
                </c:pt>
                <c:pt idx="1243">
                  <c:v>145.80000000000001</c:v>
                </c:pt>
                <c:pt idx="1244">
                  <c:v>146.19999999999999</c:v>
                </c:pt>
                <c:pt idx="1245">
                  <c:v>146.80000000000001</c:v>
                </c:pt>
                <c:pt idx="1246">
                  <c:v>147.19999999999999</c:v>
                </c:pt>
                <c:pt idx="1247">
                  <c:v>147.6</c:v>
                </c:pt>
                <c:pt idx="1248">
                  <c:v>148.19999999999999</c:v>
                </c:pt>
                <c:pt idx="1249">
                  <c:v>148.6</c:v>
                </c:pt>
                <c:pt idx="1250">
                  <c:v>149.19999999999999</c:v>
                </c:pt>
                <c:pt idx="1251">
                  <c:v>149.6</c:v>
                </c:pt>
                <c:pt idx="1252">
                  <c:v>150</c:v>
                </c:pt>
                <c:pt idx="1253">
                  <c:v>150.5</c:v>
                </c:pt>
                <c:pt idx="1254">
                  <c:v>150.9</c:v>
                </c:pt>
                <c:pt idx="1255">
                  <c:v>151.5</c:v>
                </c:pt>
                <c:pt idx="1256">
                  <c:v>151.80000000000001</c:v>
                </c:pt>
                <c:pt idx="1257">
                  <c:v>152.1</c:v>
                </c:pt>
                <c:pt idx="1258">
                  <c:v>152.6</c:v>
                </c:pt>
                <c:pt idx="1259">
                  <c:v>152.9</c:v>
                </c:pt>
                <c:pt idx="1260">
                  <c:v>153.19999999999999</c:v>
                </c:pt>
                <c:pt idx="1261">
                  <c:v>153.69999999999999</c:v>
                </c:pt>
                <c:pt idx="1262">
                  <c:v>154</c:v>
                </c:pt>
                <c:pt idx="1263">
                  <c:v>154.30000000000001</c:v>
                </c:pt>
                <c:pt idx="1264">
                  <c:v>154.6</c:v>
                </c:pt>
                <c:pt idx="1265">
                  <c:v>155.19999999999999</c:v>
                </c:pt>
                <c:pt idx="1266">
                  <c:v>155.5</c:v>
                </c:pt>
                <c:pt idx="1267">
                  <c:v>155.9</c:v>
                </c:pt>
                <c:pt idx="1268">
                  <c:v>156.4</c:v>
                </c:pt>
                <c:pt idx="1269">
                  <c:v>156.69999999999999</c:v>
                </c:pt>
                <c:pt idx="1270">
                  <c:v>157.1</c:v>
                </c:pt>
                <c:pt idx="1271">
                  <c:v>157.6</c:v>
                </c:pt>
                <c:pt idx="1272">
                  <c:v>157.9</c:v>
                </c:pt>
                <c:pt idx="1273">
                  <c:v>158.30000000000001</c:v>
                </c:pt>
                <c:pt idx="1274">
                  <c:v>158.6</c:v>
                </c:pt>
                <c:pt idx="1275">
                  <c:v>159.1</c:v>
                </c:pt>
                <c:pt idx="1276">
                  <c:v>159.4</c:v>
                </c:pt>
                <c:pt idx="1277">
                  <c:v>159.69999999999999</c:v>
                </c:pt>
                <c:pt idx="1278">
                  <c:v>159.80000000000001</c:v>
                </c:pt>
                <c:pt idx="1279">
                  <c:v>160</c:v>
                </c:pt>
                <c:pt idx="1280">
                  <c:v>160.19999999999999</c:v>
                </c:pt>
                <c:pt idx="1281">
                  <c:v>160.4</c:v>
                </c:pt>
                <c:pt idx="1282">
                  <c:v>160.30000000000001</c:v>
                </c:pt>
                <c:pt idx="1283">
                  <c:v>160.19999999999999</c:v>
                </c:pt>
                <c:pt idx="1284">
                  <c:v>160.1</c:v>
                </c:pt>
                <c:pt idx="1285">
                  <c:v>160</c:v>
                </c:pt>
                <c:pt idx="1286">
                  <c:v>159.80000000000001</c:v>
                </c:pt>
                <c:pt idx="1287">
                  <c:v>159.4</c:v>
                </c:pt>
                <c:pt idx="1288">
                  <c:v>158.9</c:v>
                </c:pt>
                <c:pt idx="1289">
                  <c:v>158.5</c:v>
                </c:pt>
                <c:pt idx="1290">
                  <c:v>158.1</c:v>
                </c:pt>
                <c:pt idx="1291">
                  <c:v>157.30000000000001</c:v>
                </c:pt>
                <c:pt idx="1292">
                  <c:v>156.69999999999999</c:v>
                </c:pt>
                <c:pt idx="1293">
                  <c:v>156.1</c:v>
                </c:pt>
                <c:pt idx="1294">
                  <c:v>155.19999999999999</c:v>
                </c:pt>
                <c:pt idx="1295">
                  <c:v>154.5</c:v>
                </c:pt>
                <c:pt idx="1296">
                  <c:v>153.69999999999999</c:v>
                </c:pt>
                <c:pt idx="1297">
                  <c:v>152.6</c:v>
                </c:pt>
                <c:pt idx="1298">
                  <c:v>151.80000000000001</c:v>
                </c:pt>
                <c:pt idx="1299">
                  <c:v>150.80000000000001</c:v>
                </c:pt>
                <c:pt idx="1300">
                  <c:v>150.1</c:v>
                </c:pt>
                <c:pt idx="1301">
                  <c:v>149</c:v>
                </c:pt>
                <c:pt idx="1302">
                  <c:v>148.30000000000001</c:v>
                </c:pt>
                <c:pt idx="1303">
                  <c:v>147.30000000000001</c:v>
                </c:pt>
                <c:pt idx="1304">
                  <c:v>146.69999999999999</c:v>
                </c:pt>
                <c:pt idx="1305">
                  <c:v>145.69999999999999</c:v>
                </c:pt>
                <c:pt idx="1306">
                  <c:v>145</c:v>
                </c:pt>
                <c:pt idx="1307">
                  <c:v>144.1</c:v>
                </c:pt>
                <c:pt idx="1308">
                  <c:v>143.5</c:v>
                </c:pt>
                <c:pt idx="1309">
                  <c:v>142.69999999999999</c:v>
                </c:pt>
                <c:pt idx="1310">
                  <c:v>141.80000000000001</c:v>
                </c:pt>
                <c:pt idx="1311">
                  <c:v>141.30000000000001</c:v>
                </c:pt>
                <c:pt idx="1312">
                  <c:v>140.6</c:v>
                </c:pt>
                <c:pt idx="1313">
                  <c:v>139.80000000000001</c:v>
                </c:pt>
                <c:pt idx="1314">
                  <c:v>139.30000000000001</c:v>
                </c:pt>
                <c:pt idx="1315">
                  <c:v>138.5</c:v>
                </c:pt>
                <c:pt idx="1316">
                  <c:v>137.80000000000001</c:v>
                </c:pt>
                <c:pt idx="1317">
                  <c:v>137.19999999999999</c:v>
                </c:pt>
                <c:pt idx="1318">
                  <c:v>136.4</c:v>
                </c:pt>
                <c:pt idx="1319">
                  <c:v>135.5</c:v>
                </c:pt>
                <c:pt idx="1320">
                  <c:v>134.6</c:v>
                </c:pt>
                <c:pt idx="1321">
                  <c:v>134</c:v>
                </c:pt>
                <c:pt idx="1322">
                  <c:v>133</c:v>
                </c:pt>
                <c:pt idx="1323">
                  <c:v>131.9</c:v>
                </c:pt>
                <c:pt idx="1324">
                  <c:v>130.9</c:v>
                </c:pt>
                <c:pt idx="1325">
                  <c:v>129.80000000000001</c:v>
                </c:pt>
                <c:pt idx="1326">
                  <c:v>128.5</c:v>
                </c:pt>
                <c:pt idx="1327">
                  <c:v>127.3</c:v>
                </c:pt>
                <c:pt idx="1328">
                  <c:v>126</c:v>
                </c:pt>
                <c:pt idx="1329">
                  <c:v>124.5</c:v>
                </c:pt>
                <c:pt idx="1330">
                  <c:v>123.1</c:v>
                </c:pt>
                <c:pt idx="1331">
                  <c:v>121.7</c:v>
                </c:pt>
                <c:pt idx="1332">
                  <c:v>120.2</c:v>
                </c:pt>
                <c:pt idx="1333">
                  <c:v>118.8</c:v>
                </c:pt>
                <c:pt idx="1334">
                  <c:v>117.3</c:v>
                </c:pt>
                <c:pt idx="1335">
                  <c:v>116</c:v>
                </c:pt>
                <c:pt idx="1336">
                  <c:v>114.8</c:v>
                </c:pt>
                <c:pt idx="1337">
                  <c:v>113.6</c:v>
                </c:pt>
                <c:pt idx="1338">
                  <c:v>112</c:v>
                </c:pt>
                <c:pt idx="1339">
                  <c:v>110.9</c:v>
                </c:pt>
                <c:pt idx="1340">
                  <c:v>109.7</c:v>
                </c:pt>
                <c:pt idx="1341">
                  <c:v>108.6</c:v>
                </c:pt>
                <c:pt idx="1342">
                  <c:v>107.2</c:v>
                </c:pt>
                <c:pt idx="1343">
                  <c:v>106.1</c:v>
                </c:pt>
                <c:pt idx="1344">
                  <c:v>105.1</c:v>
                </c:pt>
                <c:pt idx="1345">
                  <c:v>103.8</c:v>
                </c:pt>
                <c:pt idx="1346">
                  <c:v>102.8</c:v>
                </c:pt>
                <c:pt idx="1347">
                  <c:v>101.9</c:v>
                </c:pt>
                <c:pt idx="1348">
                  <c:v>100.5</c:v>
                </c:pt>
                <c:pt idx="1349">
                  <c:v>99.5</c:v>
                </c:pt>
                <c:pt idx="1350">
                  <c:v>98.3</c:v>
                </c:pt>
                <c:pt idx="1351">
                  <c:v>97.5</c:v>
                </c:pt>
                <c:pt idx="1352">
                  <c:v>96.4</c:v>
                </c:pt>
                <c:pt idx="1353">
                  <c:v>95.7</c:v>
                </c:pt>
                <c:pt idx="1354">
                  <c:v>94.9</c:v>
                </c:pt>
                <c:pt idx="1355">
                  <c:v>94.3</c:v>
                </c:pt>
                <c:pt idx="1356">
                  <c:v>93.5</c:v>
                </c:pt>
                <c:pt idx="1357">
                  <c:v>93</c:v>
                </c:pt>
                <c:pt idx="1358">
                  <c:v>92.3</c:v>
                </c:pt>
                <c:pt idx="1359">
                  <c:v>91.8</c:v>
                </c:pt>
                <c:pt idx="1360">
                  <c:v>91.2</c:v>
                </c:pt>
                <c:pt idx="1361">
                  <c:v>90.8</c:v>
                </c:pt>
                <c:pt idx="1362">
                  <c:v>90.3</c:v>
                </c:pt>
                <c:pt idx="1363">
                  <c:v>89.8</c:v>
                </c:pt>
                <c:pt idx="1364">
                  <c:v>89.3</c:v>
                </c:pt>
                <c:pt idx="1365">
                  <c:v>88.9</c:v>
                </c:pt>
                <c:pt idx="1366">
                  <c:v>88.7</c:v>
                </c:pt>
                <c:pt idx="1367">
                  <c:v>88.3</c:v>
                </c:pt>
                <c:pt idx="1368">
                  <c:v>88.1</c:v>
                </c:pt>
                <c:pt idx="1369">
                  <c:v>87.9</c:v>
                </c:pt>
                <c:pt idx="1370">
                  <c:v>87.8</c:v>
                </c:pt>
                <c:pt idx="1371">
                  <c:v>87.8</c:v>
                </c:pt>
                <c:pt idx="1372">
                  <c:v>87.7</c:v>
                </c:pt>
                <c:pt idx="1373">
                  <c:v>87.5</c:v>
                </c:pt>
                <c:pt idx="1374">
                  <c:v>87.2</c:v>
                </c:pt>
                <c:pt idx="1375">
                  <c:v>86.9</c:v>
                </c:pt>
                <c:pt idx="1376">
                  <c:v>86.6</c:v>
                </c:pt>
                <c:pt idx="1377">
                  <c:v>86.3</c:v>
                </c:pt>
                <c:pt idx="1378">
                  <c:v>85.9</c:v>
                </c:pt>
                <c:pt idx="1379">
                  <c:v>85.5</c:v>
                </c:pt>
                <c:pt idx="1380">
                  <c:v>85</c:v>
                </c:pt>
                <c:pt idx="1381">
                  <c:v>84.6</c:v>
                </c:pt>
                <c:pt idx="1382">
                  <c:v>84.1</c:v>
                </c:pt>
                <c:pt idx="1383">
                  <c:v>83.8</c:v>
                </c:pt>
                <c:pt idx="1384">
                  <c:v>83.7</c:v>
                </c:pt>
                <c:pt idx="1385">
                  <c:v>83.5</c:v>
                </c:pt>
                <c:pt idx="1386">
                  <c:v>83.5</c:v>
                </c:pt>
                <c:pt idx="1387">
                  <c:v>83.5</c:v>
                </c:pt>
                <c:pt idx="1388">
                  <c:v>83.5</c:v>
                </c:pt>
                <c:pt idx="1389">
                  <c:v>83.7</c:v>
                </c:pt>
                <c:pt idx="1390">
                  <c:v>83.7</c:v>
                </c:pt>
                <c:pt idx="1391">
                  <c:v>83.9</c:v>
                </c:pt>
                <c:pt idx="1392">
                  <c:v>84</c:v>
                </c:pt>
                <c:pt idx="1393">
                  <c:v>84.1</c:v>
                </c:pt>
                <c:pt idx="1394">
                  <c:v>84.3</c:v>
                </c:pt>
                <c:pt idx="1395">
                  <c:v>84.5</c:v>
                </c:pt>
                <c:pt idx="1396">
                  <c:v>84.7</c:v>
                </c:pt>
                <c:pt idx="1397">
                  <c:v>84.8</c:v>
                </c:pt>
                <c:pt idx="1398">
                  <c:v>84.9</c:v>
                </c:pt>
                <c:pt idx="1399">
                  <c:v>85</c:v>
                </c:pt>
                <c:pt idx="1400">
                  <c:v>85.1</c:v>
                </c:pt>
                <c:pt idx="1401">
                  <c:v>85.1</c:v>
                </c:pt>
                <c:pt idx="1402">
                  <c:v>85.1</c:v>
                </c:pt>
                <c:pt idx="1403">
                  <c:v>85.1</c:v>
                </c:pt>
                <c:pt idx="1404">
                  <c:v>85</c:v>
                </c:pt>
                <c:pt idx="1405">
                  <c:v>84.9</c:v>
                </c:pt>
                <c:pt idx="1406">
                  <c:v>84.7</c:v>
                </c:pt>
                <c:pt idx="1407">
                  <c:v>84.5</c:v>
                </c:pt>
                <c:pt idx="1408">
                  <c:v>84.3</c:v>
                </c:pt>
                <c:pt idx="1409">
                  <c:v>83.9</c:v>
                </c:pt>
                <c:pt idx="1410">
                  <c:v>83.6</c:v>
                </c:pt>
                <c:pt idx="1411">
                  <c:v>83.2</c:v>
                </c:pt>
                <c:pt idx="1412">
                  <c:v>82.8</c:v>
                </c:pt>
                <c:pt idx="1413">
                  <c:v>82.4</c:v>
                </c:pt>
                <c:pt idx="1414">
                  <c:v>82</c:v>
                </c:pt>
                <c:pt idx="1415">
                  <c:v>81.599999999999994</c:v>
                </c:pt>
                <c:pt idx="1416">
                  <c:v>81.2</c:v>
                </c:pt>
                <c:pt idx="1417">
                  <c:v>80.900000000000006</c:v>
                </c:pt>
                <c:pt idx="1418">
                  <c:v>80.5</c:v>
                </c:pt>
                <c:pt idx="1419">
                  <c:v>80.2</c:v>
                </c:pt>
                <c:pt idx="1420">
                  <c:v>80</c:v>
                </c:pt>
                <c:pt idx="1421">
                  <c:v>79.8</c:v>
                </c:pt>
                <c:pt idx="1422">
                  <c:v>79.7</c:v>
                </c:pt>
                <c:pt idx="1423">
                  <c:v>79.5</c:v>
                </c:pt>
                <c:pt idx="1424">
                  <c:v>79.400000000000006</c:v>
                </c:pt>
                <c:pt idx="1425">
                  <c:v>79.3</c:v>
                </c:pt>
                <c:pt idx="1426">
                  <c:v>79.3</c:v>
                </c:pt>
                <c:pt idx="1427">
                  <c:v>79.3</c:v>
                </c:pt>
                <c:pt idx="1428">
                  <c:v>79.400000000000006</c:v>
                </c:pt>
                <c:pt idx="1429">
                  <c:v>79.8</c:v>
                </c:pt>
                <c:pt idx="1430">
                  <c:v>80.2</c:v>
                </c:pt>
                <c:pt idx="1431">
                  <c:v>80.599999999999994</c:v>
                </c:pt>
                <c:pt idx="1432">
                  <c:v>81.2</c:v>
                </c:pt>
                <c:pt idx="1433">
                  <c:v>81.8</c:v>
                </c:pt>
                <c:pt idx="1434">
                  <c:v>82.5</c:v>
                </c:pt>
                <c:pt idx="1435">
                  <c:v>83.3</c:v>
                </c:pt>
                <c:pt idx="1436">
                  <c:v>84.1</c:v>
                </c:pt>
                <c:pt idx="1437">
                  <c:v>85</c:v>
                </c:pt>
                <c:pt idx="1438">
                  <c:v>85.9</c:v>
                </c:pt>
                <c:pt idx="1439">
                  <c:v>86.7</c:v>
                </c:pt>
                <c:pt idx="1440">
                  <c:v>87.2</c:v>
                </c:pt>
                <c:pt idx="1441">
                  <c:v>87.9</c:v>
                </c:pt>
                <c:pt idx="1442">
                  <c:v>88.7</c:v>
                </c:pt>
                <c:pt idx="1443">
                  <c:v>89.4</c:v>
                </c:pt>
                <c:pt idx="1444">
                  <c:v>90</c:v>
                </c:pt>
                <c:pt idx="1445">
                  <c:v>90.7</c:v>
                </c:pt>
                <c:pt idx="1446">
                  <c:v>91.4</c:v>
                </c:pt>
                <c:pt idx="1447">
                  <c:v>91.9</c:v>
                </c:pt>
                <c:pt idx="1448">
                  <c:v>92.6</c:v>
                </c:pt>
                <c:pt idx="1449">
                  <c:v>93.2</c:v>
                </c:pt>
                <c:pt idx="1450">
                  <c:v>93.7</c:v>
                </c:pt>
                <c:pt idx="1451">
                  <c:v>94.3</c:v>
                </c:pt>
                <c:pt idx="1452">
                  <c:v>94.8</c:v>
                </c:pt>
                <c:pt idx="1453">
                  <c:v>95.5</c:v>
                </c:pt>
                <c:pt idx="1454">
                  <c:v>96.1</c:v>
                </c:pt>
                <c:pt idx="1455">
                  <c:v>96.8</c:v>
                </c:pt>
                <c:pt idx="1456">
                  <c:v>97.9</c:v>
                </c:pt>
                <c:pt idx="1457">
                  <c:v>98.8</c:v>
                </c:pt>
                <c:pt idx="1458">
                  <c:v>100.1</c:v>
                </c:pt>
                <c:pt idx="1459">
                  <c:v>101.1</c:v>
                </c:pt>
                <c:pt idx="1460">
                  <c:v>102.1</c:v>
                </c:pt>
                <c:pt idx="1461">
                  <c:v>103.6</c:v>
                </c:pt>
                <c:pt idx="1462">
                  <c:v>104.8</c:v>
                </c:pt>
                <c:pt idx="1463">
                  <c:v>106</c:v>
                </c:pt>
                <c:pt idx="1464">
                  <c:v>107.2</c:v>
                </c:pt>
                <c:pt idx="1465">
                  <c:v>108.8</c:v>
                </c:pt>
                <c:pt idx="1466">
                  <c:v>110</c:v>
                </c:pt>
                <c:pt idx="1467">
                  <c:v>111.2</c:v>
                </c:pt>
                <c:pt idx="1468">
                  <c:v>112.1</c:v>
                </c:pt>
                <c:pt idx="1469">
                  <c:v>113.1</c:v>
                </c:pt>
                <c:pt idx="1470">
                  <c:v>114.1</c:v>
                </c:pt>
                <c:pt idx="1471">
                  <c:v>114.9</c:v>
                </c:pt>
                <c:pt idx="1472">
                  <c:v>116</c:v>
                </c:pt>
                <c:pt idx="1473">
                  <c:v>116.9</c:v>
                </c:pt>
                <c:pt idx="1474">
                  <c:v>117.6</c:v>
                </c:pt>
                <c:pt idx="1475">
                  <c:v>118.3</c:v>
                </c:pt>
                <c:pt idx="1476">
                  <c:v>119.1</c:v>
                </c:pt>
                <c:pt idx="1477">
                  <c:v>119.8</c:v>
                </c:pt>
                <c:pt idx="1478">
                  <c:v>120.6</c:v>
                </c:pt>
                <c:pt idx="1479">
                  <c:v>121.4</c:v>
                </c:pt>
                <c:pt idx="1480">
                  <c:v>122.1</c:v>
                </c:pt>
                <c:pt idx="1481">
                  <c:v>122.9</c:v>
                </c:pt>
                <c:pt idx="1482">
                  <c:v>123.6</c:v>
                </c:pt>
                <c:pt idx="1483">
                  <c:v>124.3</c:v>
                </c:pt>
                <c:pt idx="1484">
                  <c:v>125.2</c:v>
                </c:pt>
                <c:pt idx="1485">
                  <c:v>126</c:v>
                </c:pt>
                <c:pt idx="1486">
                  <c:v>126.9</c:v>
                </c:pt>
                <c:pt idx="1487">
                  <c:v>127.7</c:v>
                </c:pt>
                <c:pt idx="1488">
                  <c:v>128.6</c:v>
                </c:pt>
                <c:pt idx="1489">
                  <c:v>129.1</c:v>
                </c:pt>
                <c:pt idx="1490">
                  <c:v>129.9</c:v>
                </c:pt>
                <c:pt idx="1491">
                  <c:v>130.69999999999999</c:v>
                </c:pt>
                <c:pt idx="1492">
                  <c:v>131.5</c:v>
                </c:pt>
                <c:pt idx="1493">
                  <c:v>132.30000000000001</c:v>
                </c:pt>
                <c:pt idx="1494">
                  <c:v>133</c:v>
                </c:pt>
                <c:pt idx="1495">
                  <c:v>133.80000000000001</c:v>
                </c:pt>
                <c:pt idx="1496">
                  <c:v>134.30000000000001</c:v>
                </c:pt>
                <c:pt idx="1497">
                  <c:v>135.1</c:v>
                </c:pt>
                <c:pt idx="1498">
                  <c:v>135.80000000000001</c:v>
                </c:pt>
                <c:pt idx="1499">
                  <c:v>136.30000000000001</c:v>
                </c:pt>
                <c:pt idx="1500">
                  <c:v>137.1</c:v>
                </c:pt>
                <c:pt idx="1501">
                  <c:v>137.80000000000001</c:v>
                </c:pt>
                <c:pt idx="1502">
                  <c:v>138.30000000000001</c:v>
                </c:pt>
                <c:pt idx="1503">
                  <c:v>139</c:v>
                </c:pt>
                <c:pt idx="1504">
                  <c:v>139.5</c:v>
                </c:pt>
                <c:pt idx="1505">
                  <c:v>140.1</c:v>
                </c:pt>
                <c:pt idx="1506">
                  <c:v>140.69999999999999</c:v>
                </c:pt>
                <c:pt idx="1507">
                  <c:v>141.1</c:v>
                </c:pt>
                <c:pt idx="1508">
                  <c:v>141.6</c:v>
                </c:pt>
                <c:pt idx="1509">
                  <c:v>142</c:v>
                </c:pt>
                <c:pt idx="1510">
                  <c:v>142.6</c:v>
                </c:pt>
                <c:pt idx="1511">
                  <c:v>142.9</c:v>
                </c:pt>
                <c:pt idx="1512">
                  <c:v>143.5</c:v>
                </c:pt>
                <c:pt idx="1513">
                  <c:v>143.80000000000001</c:v>
                </c:pt>
                <c:pt idx="1514">
                  <c:v>144.30000000000001</c:v>
                </c:pt>
                <c:pt idx="1515">
                  <c:v>144.6</c:v>
                </c:pt>
                <c:pt idx="1516">
                  <c:v>145.1</c:v>
                </c:pt>
                <c:pt idx="1517">
                  <c:v>145.4</c:v>
                </c:pt>
                <c:pt idx="1518">
                  <c:v>145.9</c:v>
                </c:pt>
                <c:pt idx="1519">
                  <c:v>146.19999999999999</c:v>
                </c:pt>
                <c:pt idx="1520">
                  <c:v>146.69999999999999</c:v>
                </c:pt>
                <c:pt idx="1521">
                  <c:v>147</c:v>
                </c:pt>
                <c:pt idx="1522">
                  <c:v>147.6</c:v>
                </c:pt>
                <c:pt idx="1523">
                  <c:v>148</c:v>
                </c:pt>
                <c:pt idx="1524">
                  <c:v>148.4</c:v>
                </c:pt>
                <c:pt idx="1525">
                  <c:v>149</c:v>
                </c:pt>
                <c:pt idx="1526">
                  <c:v>149.30000000000001</c:v>
                </c:pt>
                <c:pt idx="1527">
                  <c:v>149.9</c:v>
                </c:pt>
                <c:pt idx="1528">
                  <c:v>150.30000000000001</c:v>
                </c:pt>
                <c:pt idx="1529">
                  <c:v>150.6</c:v>
                </c:pt>
                <c:pt idx="1530">
                  <c:v>151.19999999999999</c:v>
                </c:pt>
                <c:pt idx="1531">
                  <c:v>151.6</c:v>
                </c:pt>
                <c:pt idx="1532">
                  <c:v>152.19999999999999</c:v>
                </c:pt>
                <c:pt idx="1533">
                  <c:v>152.6</c:v>
                </c:pt>
                <c:pt idx="1534">
                  <c:v>152.9</c:v>
                </c:pt>
                <c:pt idx="1535">
                  <c:v>153.5</c:v>
                </c:pt>
                <c:pt idx="1536">
                  <c:v>153.9</c:v>
                </c:pt>
                <c:pt idx="1537">
                  <c:v>154.19999999999999</c:v>
                </c:pt>
                <c:pt idx="1538">
                  <c:v>154.80000000000001</c:v>
                </c:pt>
                <c:pt idx="1539">
                  <c:v>155.19999999999999</c:v>
                </c:pt>
                <c:pt idx="1540">
                  <c:v>155.5</c:v>
                </c:pt>
                <c:pt idx="1541">
                  <c:v>155.9</c:v>
                </c:pt>
                <c:pt idx="1542">
                  <c:v>156.4</c:v>
                </c:pt>
                <c:pt idx="1543">
                  <c:v>156.80000000000001</c:v>
                </c:pt>
                <c:pt idx="1544">
                  <c:v>157.19999999999999</c:v>
                </c:pt>
                <c:pt idx="1545">
                  <c:v>157.69999999999999</c:v>
                </c:pt>
                <c:pt idx="1546">
                  <c:v>158.1</c:v>
                </c:pt>
                <c:pt idx="1547">
                  <c:v>158.4</c:v>
                </c:pt>
                <c:pt idx="1548">
                  <c:v>158.69999999999999</c:v>
                </c:pt>
                <c:pt idx="1549">
                  <c:v>159.19999999999999</c:v>
                </c:pt>
                <c:pt idx="1550">
                  <c:v>159.5</c:v>
                </c:pt>
                <c:pt idx="1551">
                  <c:v>159.80000000000001</c:v>
                </c:pt>
                <c:pt idx="1552">
                  <c:v>160.30000000000001</c:v>
                </c:pt>
                <c:pt idx="1553">
                  <c:v>160.69999999999999</c:v>
                </c:pt>
                <c:pt idx="1554">
                  <c:v>161</c:v>
                </c:pt>
                <c:pt idx="1555">
                  <c:v>161.30000000000001</c:v>
                </c:pt>
                <c:pt idx="1556">
                  <c:v>161.69999999999999</c:v>
                </c:pt>
                <c:pt idx="1557">
                  <c:v>162.19999999999999</c:v>
                </c:pt>
                <c:pt idx="1558">
                  <c:v>162.5</c:v>
                </c:pt>
                <c:pt idx="1559">
                  <c:v>162.9</c:v>
                </c:pt>
                <c:pt idx="1560">
                  <c:v>163.19999999999999</c:v>
                </c:pt>
                <c:pt idx="1561">
                  <c:v>163.5</c:v>
                </c:pt>
                <c:pt idx="1562">
                  <c:v>164</c:v>
                </c:pt>
                <c:pt idx="1563">
                  <c:v>164.3</c:v>
                </c:pt>
                <c:pt idx="1564">
                  <c:v>164.6</c:v>
                </c:pt>
                <c:pt idx="1565">
                  <c:v>165</c:v>
                </c:pt>
                <c:pt idx="1566">
                  <c:v>165.3</c:v>
                </c:pt>
                <c:pt idx="1567">
                  <c:v>165.7</c:v>
                </c:pt>
                <c:pt idx="1568">
                  <c:v>166</c:v>
                </c:pt>
                <c:pt idx="1569">
                  <c:v>166.6</c:v>
                </c:pt>
                <c:pt idx="1570">
                  <c:v>166.9</c:v>
                </c:pt>
                <c:pt idx="1571">
                  <c:v>167.2</c:v>
                </c:pt>
                <c:pt idx="1572">
                  <c:v>167.5</c:v>
                </c:pt>
                <c:pt idx="1573">
                  <c:v>167.8</c:v>
                </c:pt>
                <c:pt idx="1574">
                  <c:v>168.1</c:v>
                </c:pt>
                <c:pt idx="1575">
                  <c:v>168.4</c:v>
                </c:pt>
                <c:pt idx="1576">
                  <c:v>168.8</c:v>
                </c:pt>
                <c:pt idx="1577">
                  <c:v>169.1</c:v>
                </c:pt>
                <c:pt idx="1578">
                  <c:v>169.4</c:v>
                </c:pt>
                <c:pt idx="1579">
                  <c:v>169.7</c:v>
                </c:pt>
                <c:pt idx="1580">
                  <c:v>170</c:v>
                </c:pt>
                <c:pt idx="1581">
                  <c:v>170.2</c:v>
                </c:pt>
                <c:pt idx="1582">
                  <c:v>170.5</c:v>
                </c:pt>
                <c:pt idx="1583">
                  <c:v>170.8</c:v>
                </c:pt>
                <c:pt idx="1584">
                  <c:v>171.1</c:v>
                </c:pt>
                <c:pt idx="1585">
                  <c:v>171.4</c:v>
                </c:pt>
                <c:pt idx="1586">
                  <c:v>171.8</c:v>
                </c:pt>
                <c:pt idx="1587">
                  <c:v>172.1</c:v>
                </c:pt>
                <c:pt idx="1588">
                  <c:v>172.3</c:v>
                </c:pt>
                <c:pt idx="1589">
                  <c:v>172.6</c:v>
                </c:pt>
                <c:pt idx="1590">
                  <c:v>172.9</c:v>
                </c:pt>
                <c:pt idx="1591">
                  <c:v>173.2</c:v>
                </c:pt>
                <c:pt idx="1592">
                  <c:v>173.4</c:v>
                </c:pt>
                <c:pt idx="1593">
                  <c:v>173.7</c:v>
                </c:pt>
                <c:pt idx="1594">
                  <c:v>173.9</c:v>
                </c:pt>
                <c:pt idx="1595">
                  <c:v>174.2</c:v>
                </c:pt>
                <c:pt idx="1596">
                  <c:v>174.4</c:v>
                </c:pt>
                <c:pt idx="1597">
                  <c:v>174.6</c:v>
                </c:pt>
                <c:pt idx="1598">
                  <c:v>174.9</c:v>
                </c:pt>
                <c:pt idx="1599">
                  <c:v>175.1</c:v>
                </c:pt>
                <c:pt idx="1600">
                  <c:v>175.4</c:v>
                </c:pt>
                <c:pt idx="1601">
                  <c:v>175.6</c:v>
                </c:pt>
                <c:pt idx="1602">
                  <c:v>175.9</c:v>
                </c:pt>
                <c:pt idx="1603">
                  <c:v>176.1</c:v>
                </c:pt>
                <c:pt idx="1604">
                  <c:v>176.4</c:v>
                </c:pt>
                <c:pt idx="1605">
                  <c:v>176.8</c:v>
                </c:pt>
                <c:pt idx="1606">
                  <c:v>177.1</c:v>
                </c:pt>
                <c:pt idx="1607">
                  <c:v>177.4</c:v>
                </c:pt>
                <c:pt idx="1608">
                  <c:v>177.7</c:v>
                </c:pt>
                <c:pt idx="1609">
                  <c:v>177.9</c:v>
                </c:pt>
                <c:pt idx="1610">
                  <c:v>178.2</c:v>
                </c:pt>
                <c:pt idx="1611">
                  <c:v>178.5</c:v>
                </c:pt>
                <c:pt idx="1612">
                  <c:v>178.8</c:v>
                </c:pt>
                <c:pt idx="1613">
                  <c:v>179</c:v>
                </c:pt>
                <c:pt idx="1614">
                  <c:v>179.3</c:v>
                </c:pt>
                <c:pt idx="1615">
                  <c:v>179.6</c:v>
                </c:pt>
                <c:pt idx="1616">
                  <c:v>180</c:v>
                </c:pt>
                <c:pt idx="1617">
                  <c:v>180.3</c:v>
                </c:pt>
                <c:pt idx="1618">
                  <c:v>180.6</c:v>
                </c:pt>
                <c:pt idx="1619">
                  <c:v>180.9</c:v>
                </c:pt>
                <c:pt idx="1620">
                  <c:v>181.3</c:v>
                </c:pt>
                <c:pt idx="1621">
                  <c:v>181.6</c:v>
                </c:pt>
                <c:pt idx="1622">
                  <c:v>181.9</c:v>
                </c:pt>
                <c:pt idx="1623">
                  <c:v>182.2</c:v>
                </c:pt>
                <c:pt idx="1624">
                  <c:v>182.5</c:v>
                </c:pt>
                <c:pt idx="1625">
                  <c:v>182.8</c:v>
                </c:pt>
                <c:pt idx="1626">
                  <c:v>183.1</c:v>
                </c:pt>
                <c:pt idx="1627">
                  <c:v>183.3</c:v>
                </c:pt>
                <c:pt idx="1628">
                  <c:v>183.6</c:v>
                </c:pt>
                <c:pt idx="1629">
                  <c:v>183.9</c:v>
                </c:pt>
                <c:pt idx="1630">
                  <c:v>184.2</c:v>
                </c:pt>
                <c:pt idx="1631">
                  <c:v>184.5</c:v>
                </c:pt>
                <c:pt idx="1632">
                  <c:v>184.8</c:v>
                </c:pt>
                <c:pt idx="1633">
                  <c:v>185.1</c:v>
                </c:pt>
                <c:pt idx="1634">
                  <c:v>185.3</c:v>
                </c:pt>
                <c:pt idx="1635">
                  <c:v>185.5</c:v>
                </c:pt>
                <c:pt idx="1636">
                  <c:v>185.7</c:v>
                </c:pt>
                <c:pt idx="1637">
                  <c:v>186</c:v>
                </c:pt>
                <c:pt idx="1638">
                  <c:v>186.3</c:v>
                </c:pt>
                <c:pt idx="1639">
                  <c:v>186.5</c:v>
                </c:pt>
                <c:pt idx="1640">
                  <c:v>186.8</c:v>
                </c:pt>
                <c:pt idx="1641">
                  <c:v>187.1</c:v>
                </c:pt>
                <c:pt idx="1642">
                  <c:v>187.3</c:v>
                </c:pt>
                <c:pt idx="1643">
                  <c:v>187.6</c:v>
                </c:pt>
                <c:pt idx="1644">
                  <c:v>187.8</c:v>
                </c:pt>
                <c:pt idx="1645">
                  <c:v>188</c:v>
                </c:pt>
                <c:pt idx="1646">
                  <c:v>188.1</c:v>
                </c:pt>
                <c:pt idx="1647">
                  <c:v>188.3</c:v>
                </c:pt>
                <c:pt idx="1648">
                  <c:v>188.5</c:v>
                </c:pt>
                <c:pt idx="1649">
                  <c:v>188.7</c:v>
                </c:pt>
                <c:pt idx="1650">
                  <c:v>188.9</c:v>
                </c:pt>
                <c:pt idx="1651">
                  <c:v>189.1</c:v>
                </c:pt>
                <c:pt idx="1652">
                  <c:v>189.3</c:v>
                </c:pt>
                <c:pt idx="1653">
                  <c:v>189.4</c:v>
                </c:pt>
                <c:pt idx="1654">
                  <c:v>189.6</c:v>
                </c:pt>
                <c:pt idx="1655">
                  <c:v>189.7</c:v>
                </c:pt>
                <c:pt idx="1656">
                  <c:v>189.9</c:v>
                </c:pt>
                <c:pt idx="1657">
                  <c:v>190</c:v>
                </c:pt>
                <c:pt idx="1658">
                  <c:v>190.2</c:v>
                </c:pt>
                <c:pt idx="1659">
                  <c:v>190.4</c:v>
                </c:pt>
                <c:pt idx="1660">
                  <c:v>190.5</c:v>
                </c:pt>
                <c:pt idx="1661">
                  <c:v>190.7</c:v>
                </c:pt>
                <c:pt idx="1662">
                  <c:v>190.8</c:v>
                </c:pt>
                <c:pt idx="1663">
                  <c:v>190.9</c:v>
                </c:pt>
                <c:pt idx="1664">
                  <c:v>191.1</c:v>
                </c:pt>
                <c:pt idx="1665">
                  <c:v>191.3</c:v>
                </c:pt>
                <c:pt idx="1666">
                  <c:v>191.5</c:v>
                </c:pt>
                <c:pt idx="1667">
                  <c:v>191.7</c:v>
                </c:pt>
                <c:pt idx="1668">
                  <c:v>192</c:v>
                </c:pt>
                <c:pt idx="1669">
                  <c:v>192.1</c:v>
                </c:pt>
                <c:pt idx="1670">
                  <c:v>192.3</c:v>
                </c:pt>
                <c:pt idx="1671">
                  <c:v>192.5</c:v>
                </c:pt>
                <c:pt idx="1672">
                  <c:v>192.7</c:v>
                </c:pt>
                <c:pt idx="1673">
                  <c:v>192.9</c:v>
                </c:pt>
                <c:pt idx="1674">
                  <c:v>193.2</c:v>
                </c:pt>
                <c:pt idx="1675">
                  <c:v>193.3</c:v>
                </c:pt>
                <c:pt idx="1676">
                  <c:v>193.5</c:v>
                </c:pt>
                <c:pt idx="1677">
                  <c:v>193.7</c:v>
                </c:pt>
                <c:pt idx="1678">
                  <c:v>194</c:v>
                </c:pt>
                <c:pt idx="1679">
                  <c:v>194.2</c:v>
                </c:pt>
                <c:pt idx="1680">
                  <c:v>194.4</c:v>
                </c:pt>
                <c:pt idx="1681">
                  <c:v>194.5</c:v>
                </c:pt>
                <c:pt idx="1682">
                  <c:v>194.8</c:v>
                </c:pt>
                <c:pt idx="1683">
                  <c:v>195</c:v>
                </c:pt>
                <c:pt idx="1684">
                  <c:v>195.3</c:v>
                </c:pt>
                <c:pt idx="1685">
                  <c:v>195.5</c:v>
                </c:pt>
                <c:pt idx="1686">
                  <c:v>195.7</c:v>
                </c:pt>
                <c:pt idx="1687">
                  <c:v>195.8</c:v>
                </c:pt>
                <c:pt idx="1688">
                  <c:v>196</c:v>
                </c:pt>
                <c:pt idx="1689">
                  <c:v>196.2</c:v>
                </c:pt>
                <c:pt idx="1690">
                  <c:v>196.4</c:v>
                </c:pt>
                <c:pt idx="1691">
                  <c:v>196.6</c:v>
                </c:pt>
                <c:pt idx="1692">
                  <c:v>196.8</c:v>
                </c:pt>
                <c:pt idx="1693">
                  <c:v>197</c:v>
                </c:pt>
                <c:pt idx="1694">
                  <c:v>197.2</c:v>
                </c:pt>
                <c:pt idx="1695">
                  <c:v>197.4</c:v>
                </c:pt>
                <c:pt idx="1696">
                  <c:v>197.6</c:v>
                </c:pt>
                <c:pt idx="1697">
                  <c:v>197.7</c:v>
                </c:pt>
                <c:pt idx="1698">
                  <c:v>197.9</c:v>
                </c:pt>
                <c:pt idx="1699">
                  <c:v>198.1</c:v>
                </c:pt>
                <c:pt idx="1700">
                  <c:v>198.3</c:v>
                </c:pt>
                <c:pt idx="1701">
                  <c:v>198.5</c:v>
                </c:pt>
                <c:pt idx="1702">
                  <c:v>198.6</c:v>
                </c:pt>
                <c:pt idx="1703">
                  <c:v>198.7</c:v>
                </c:pt>
                <c:pt idx="1704">
                  <c:v>198.8</c:v>
                </c:pt>
                <c:pt idx="1705">
                  <c:v>199</c:v>
                </c:pt>
                <c:pt idx="1706">
                  <c:v>199.1</c:v>
                </c:pt>
                <c:pt idx="1707">
                  <c:v>199.1</c:v>
                </c:pt>
                <c:pt idx="1708">
                  <c:v>199.2</c:v>
                </c:pt>
                <c:pt idx="1709">
                  <c:v>199.3</c:v>
                </c:pt>
                <c:pt idx="1710">
                  <c:v>199.3</c:v>
                </c:pt>
                <c:pt idx="1711">
                  <c:v>199.3</c:v>
                </c:pt>
                <c:pt idx="1712">
                  <c:v>199.4</c:v>
                </c:pt>
                <c:pt idx="1713">
                  <c:v>199.4</c:v>
                </c:pt>
                <c:pt idx="1714">
                  <c:v>199.4</c:v>
                </c:pt>
                <c:pt idx="1715">
                  <c:v>199.4</c:v>
                </c:pt>
                <c:pt idx="1716">
                  <c:v>199.3</c:v>
                </c:pt>
                <c:pt idx="1717">
                  <c:v>199.2</c:v>
                </c:pt>
                <c:pt idx="1718">
                  <c:v>199.1</c:v>
                </c:pt>
                <c:pt idx="1719">
                  <c:v>199</c:v>
                </c:pt>
                <c:pt idx="1720">
                  <c:v>198.9</c:v>
                </c:pt>
                <c:pt idx="1721">
                  <c:v>198.7</c:v>
                </c:pt>
                <c:pt idx="1722">
                  <c:v>198.5</c:v>
                </c:pt>
                <c:pt idx="1723">
                  <c:v>198.3</c:v>
                </c:pt>
                <c:pt idx="1724">
                  <c:v>198.2</c:v>
                </c:pt>
                <c:pt idx="1725">
                  <c:v>198</c:v>
                </c:pt>
                <c:pt idx="1726">
                  <c:v>197.7</c:v>
                </c:pt>
                <c:pt idx="1727">
                  <c:v>197.4</c:v>
                </c:pt>
                <c:pt idx="1728">
                  <c:v>197.3</c:v>
                </c:pt>
                <c:pt idx="1729">
                  <c:v>196.9</c:v>
                </c:pt>
                <c:pt idx="1730">
                  <c:v>196.6</c:v>
                </c:pt>
                <c:pt idx="1731">
                  <c:v>196.3</c:v>
                </c:pt>
                <c:pt idx="1732">
                  <c:v>196.1</c:v>
                </c:pt>
                <c:pt idx="1733">
                  <c:v>195.7</c:v>
                </c:pt>
                <c:pt idx="1734">
                  <c:v>195.3</c:v>
                </c:pt>
                <c:pt idx="1735">
                  <c:v>194.9</c:v>
                </c:pt>
                <c:pt idx="1736">
                  <c:v>194.7</c:v>
                </c:pt>
                <c:pt idx="1737">
                  <c:v>194.3</c:v>
                </c:pt>
                <c:pt idx="1738">
                  <c:v>194</c:v>
                </c:pt>
                <c:pt idx="1739">
                  <c:v>193.6</c:v>
                </c:pt>
                <c:pt idx="1740">
                  <c:v>193.5</c:v>
                </c:pt>
                <c:pt idx="1741">
                  <c:v>193.1</c:v>
                </c:pt>
                <c:pt idx="1742">
                  <c:v>192.8</c:v>
                </c:pt>
                <c:pt idx="1743">
                  <c:v>192.5</c:v>
                </c:pt>
                <c:pt idx="1744">
                  <c:v>192.3</c:v>
                </c:pt>
                <c:pt idx="1745">
                  <c:v>192</c:v>
                </c:pt>
                <c:pt idx="1746">
                  <c:v>191.7</c:v>
                </c:pt>
                <c:pt idx="1747">
                  <c:v>191.4</c:v>
                </c:pt>
                <c:pt idx="1748">
                  <c:v>191.1</c:v>
                </c:pt>
                <c:pt idx="1749">
                  <c:v>190.9</c:v>
                </c:pt>
                <c:pt idx="1750">
                  <c:v>190.6</c:v>
                </c:pt>
                <c:pt idx="1751">
                  <c:v>190.4</c:v>
                </c:pt>
                <c:pt idx="1752">
                  <c:v>190.1</c:v>
                </c:pt>
                <c:pt idx="1753">
                  <c:v>189.9</c:v>
                </c:pt>
                <c:pt idx="1754">
                  <c:v>189.6</c:v>
                </c:pt>
                <c:pt idx="1755">
                  <c:v>189.4</c:v>
                </c:pt>
                <c:pt idx="1756">
                  <c:v>189.2</c:v>
                </c:pt>
                <c:pt idx="1757">
                  <c:v>189</c:v>
                </c:pt>
                <c:pt idx="1758">
                  <c:v>188.9</c:v>
                </c:pt>
                <c:pt idx="1759">
                  <c:v>188.7</c:v>
                </c:pt>
                <c:pt idx="1760">
                  <c:v>188.4</c:v>
                </c:pt>
                <c:pt idx="1761">
                  <c:v>188</c:v>
                </c:pt>
                <c:pt idx="1762">
                  <c:v>187.7</c:v>
                </c:pt>
                <c:pt idx="1763">
                  <c:v>187.5</c:v>
                </c:pt>
                <c:pt idx="1764">
                  <c:v>187.2</c:v>
                </c:pt>
                <c:pt idx="1765">
                  <c:v>186.8</c:v>
                </c:pt>
                <c:pt idx="1766">
                  <c:v>186.4</c:v>
                </c:pt>
                <c:pt idx="1767">
                  <c:v>186</c:v>
                </c:pt>
                <c:pt idx="1768">
                  <c:v>185.8</c:v>
                </c:pt>
                <c:pt idx="1769">
                  <c:v>185.4</c:v>
                </c:pt>
                <c:pt idx="1770">
                  <c:v>185</c:v>
                </c:pt>
                <c:pt idx="1771">
                  <c:v>184.6</c:v>
                </c:pt>
                <c:pt idx="1772">
                  <c:v>184.2</c:v>
                </c:pt>
                <c:pt idx="1773">
                  <c:v>183.8</c:v>
                </c:pt>
                <c:pt idx="1774">
                  <c:v>183.6</c:v>
                </c:pt>
                <c:pt idx="1775">
                  <c:v>183.2</c:v>
                </c:pt>
                <c:pt idx="1776">
                  <c:v>182.8</c:v>
                </c:pt>
                <c:pt idx="1777">
                  <c:v>182.3</c:v>
                </c:pt>
                <c:pt idx="1778">
                  <c:v>181.8</c:v>
                </c:pt>
                <c:pt idx="1779">
                  <c:v>181.4</c:v>
                </c:pt>
                <c:pt idx="1780">
                  <c:v>181.2</c:v>
                </c:pt>
                <c:pt idx="1781">
                  <c:v>180.7</c:v>
                </c:pt>
                <c:pt idx="1782">
                  <c:v>180.3</c:v>
                </c:pt>
                <c:pt idx="1783">
                  <c:v>179.9</c:v>
                </c:pt>
                <c:pt idx="1784">
                  <c:v>179.5</c:v>
                </c:pt>
                <c:pt idx="1785">
                  <c:v>179.1</c:v>
                </c:pt>
                <c:pt idx="1786">
                  <c:v>178.7</c:v>
                </c:pt>
                <c:pt idx="1787">
                  <c:v>178.6</c:v>
                </c:pt>
                <c:pt idx="1788">
                  <c:v>178.3</c:v>
                </c:pt>
                <c:pt idx="1789">
                  <c:v>178</c:v>
                </c:pt>
                <c:pt idx="1790">
                  <c:v>177.7</c:v>
                </c:pt>
                <c:pt idx="1791">
                  <c:v>177.4</c:v>
                </c:pt>
                <c:pt idx="1792">
                  <c:v>177.1</c:v>
                </c:pt>
                <c:pt idx="1793">
                  <c:v>176.9</c:v>
                </c:pt>
                <c:pt idx="1794">
                  <c:v>176.7</c:v>
                </c:pt>
                <c:pt idx="1795">
                  <c:v>176.6</c:v>
                </c:pt>
                <c:pt idx="1796">
                  <c:v>176.3</c:v>
                </c:pt>
                <c:pt idx="1797">
                  <c:v>176.1</c:v>
                </c:pt>
                <c:pt idx="1798">
                  <c:v>175.9</c:v>
                </c:pt>
                <c:pt idx="1799">
                  <c:v>175.8</c:v>
                </c:pt>
                <c:pt idx="1800">
                  <c:v>175.6</c:v>
                </c:pt>
                <c:pt idx="1801">
                  <c:v>175.4</c:v>
                </c:pt>
                <c:pt idx="1802">
                  <c:v>175.3</c:v>
                </c:pt>
                <c:pt idx="1803">
                  <c:v>175.2</c:v>
                </c:pt>
                <c:pt idx="1804">
                  <c:v>175.1</c:v>
                </c:pt>
                <c:pt idx="1805">
                  <c:v>175</c:v>
                </c:pt>
                <c:pt idx="1806">
                  <c:v>174.9</c:v>
                </c:pt>
                <c:pt idx="1807">
                  <c:v>174.8</c:v>
                </c:pt>
                <c:pt idx="1808">
                  <c:v>174.7</c:v>
                </c:pt>
                <c:pt idx="1809">
                  <c:v>174.6</c:v>
                </c:pt>
                <c:pt idx="1810">
                  <c:v>174.5</c:v>
                </c:pt>
                <c:pt idx="1811">
                  <c:v>174.4</c:v>
                </c:pt>
                <c:pt idx="1812">
                  <c:v>174.4</c:v>
                </c:pt>
                <c:pt idx="1813">
                  <c:v>174.3</c:v>
                </c:pt>
                <c:pt idx="1814">
                  <c:v>174.3</c:v>
                </c:pt>
                <c:pt idx="1815">
                  <c:v>174.2</c:v>
                </c:pt>
                <c:pt idx="1816">
                  <c:v>174.1</c:v>
                </c:pt>
                <c:pt idx="1817">
                  <c:v>174.1</c:v>
                </c:pt>
                <c:pt idx="1818">
                  <c:v>174</c:v>
                </c:pt>
                <c:pt idx="1819">
                  <c:v>174</c:v>
                </c:pt>
                <c:pt idx="1820">
                  <c:v>174</c:v>
                </c:pt>
                <c:pt idx="1821">
                  <c:v>174</c:v>
                </c:pt>
                <c:pt idx="1822">
                  <c:v>173.9</c:v>
                </c:pt>
                <c:pt idx="1823">
                  <c:v>173.9</c:v>
                </c:pt>
                <c:pt idx="1824">
                  <c:v>173.9</c:v>
                </c:pt>
                <c:pt idx="1825">
                  <c:v>173.9</c:v>
                </c:pt>
                <c:pt idx="1826">
                  <c:v>173.9</c:v>
                </c:pt>
                <c:pt idx="1827">
                  <c:v>173.9</c:v>
                </c:pt>
                <c:pt idx="1828">
                  <c:v>173.9</c:v>
                </c:pt>
                <c:pt idx="1829">
                  <c:v>173.9</c:v>
                </c:pt>
                <c:pt idx="1830">
                  <c:v>173.9</c:v>
                </c:pt>
                <c:pt idx="1831">
                  <c:v>174</c:v>
                </c:pt>
                <c:pt idx="1832">
                  <c:v>174</c:v>
                </c:pt>
                <c:pt idx="1833">
                  <c:v>174.1</c:v>
                </c:pt>
                <c:pt idx="1834">
                  <c:v>174.1</c:v>
                </c:pt>
                <c:pt idx="1835">
                  <c:v>174.2</c:v>
                </c:pt>
                <c:pt idx="1836">
                  <c:v>174.3</c:v>
                </c:pt>
                <c:pt idx="1837">
                  <c:v>174.3</c:v>
                </c:pt>
                <c:pt idx="1838">
                  <c:v>174.4</c:v>
                </c:pt>
                <c:pt idx="1839">
                  <c:v>174.5</c:v>
                </c:pt>
                <c:pt idx="1840">
                  <c:v>174.6</c:v>
                </c:pt>
                <c:pt idx="1841">
                  <c:v>174.7</c:v>
                </c:pt>
                <c:pt idx="1842">
                  <c:v>174.8</c:v>
                </c:pt>
                <c:pt idx="1843">
                  <c:v>174.9</c:v>
                </c:pt>
                <c:pt idx="1844">
                  <c:v>175</c:v>
                </c:pt>
                <c:pt idx="1845">
                  <c:v>175.2</c:v>
                </c:pt>
                <c:pt idx="1846">
                  <c:v>175.3</c:v>
                </c:pt>
                <c:pt idx="1847">
                  <c:v>175.5</c:v>
                </c:pt>
                <c:pt idx="1848">
                  <c:v>175.6</c:v>
                </c:pt>
                <c:pt idx="1849">
                  <c:v>175.8</c:v>
                </c:pt>
                <c:pt idx="1850">
                  <c:v>176</c:v>
                </c:pt>
                <c:pt idx="1851">
                  <c:v>176.2</c:v>
                </c:pt>
                <c:pt idx="1852">
                  <c:v>176.4</c:v>
                </c:pt>
                <c:pt idx="1853">
                  <c:v>176.5</c:v>
                </c:pt>
                <c:pt idx="1854">
                  <c:v>176.7</c:v>
                </c:pt>
                <c:pt idx="1855">
                  <c:v>176.9</c:v>
                </c:pt>
                <c:pt idx="1856">
                  <c:v>177.1</c:v>
                </c:pt>
                <c:pt idx="1857">
                  <c:v>177.3</c:v>
                </c:pt>
                <c:pt idx="1858">
                  <c:v>177.6</c:v>
                </c:pt>
                <c:pt idx="1859">
                  <c:v>177.8</c:v>
                </c:pt>
                <c:pt idx="1860">
                  <c:v>178</c:v>
                </c:pt>
                <c:pt idx="1861">
                  <c:v>178.3</c:v>
                </c:pt>
                <c:pt idx="1862">
                  <c:v>178.4</c:v>
                </c:pt>
                <c:pt idx="1863">
                  <c:v>178.6</c:v>
                </c:pt>
                <c:pt idx="1864">
                  <c:v>178.7</c:v>
                </c:pt>
                <c:pt idx="1865">
                  <c:v>178.9</c:v>
                </c:pt>
                <c:pt idx="1866">
                  <c:v>179.1</c:v>
                </c:pt>
                <c:pt idx="1867">
                  <c:v>179.3</c:v>
                </c:pt>
                <c:pt idx="1868">
                  <c:v>179.5</c:v>
                </c:pt>
                <c:pt idx="1869">
                  <c:v>179.8</c:v>
                </c:pt>
                <c:pt idx="1870">
                  <c:v>180</c:v>
                </c:pt>
                <c:pt idx="1871">
                  <c:v>180.2</c:v>
                </c:pt>
                <c:pt idx="1872">
                  <c:v>180.4</c:v>
                </c:pt>
                <c:pt idx="1873">
                  <c:v>180.5</c:v>
                </c:pt>
                <c:pt idx="1874">
                  <c:v>180.8</c:v>
                </c:pt>
                <c:pt idx="1875">
                  <c:v>181</c:v>
                </c:pt>
                <c:pt idx="1876">
                  <c:v>181.2</c:v>
                </c:pt>
                <c:pt idx="1877">
                  <c:v>181.5</c:v>
                </c:pt>
                <c:pt idx="1878">
                  <c:v>181.7</c:v>
                </c:pt>
                <c:pt idx="1879">
                  <c:v>181.9</c:v>
                </c:pt>
                <c:pt idx="1880">
                  <c:v>182.2</c:v>
                </c:pt>
                <c:pt idx="1881">
                  <c:v>182.4</c:v>
                </c:pt>
                <c:pt idx="1882">
                  <c:v>182.6</c:v>
                </c:pt>
                <c:pt idx="1883">
                  <c:v>182.9</c:v>
                </c:pt>
                <c:pt idx="1884">
                  <c:v>183.2</c:v>
                </c:pt>
                <c:pt idx="1885">
                  <c:v>183.6</c:v>
                </c:pt>
                <c:pt idx="1886">
                  <c:v>183.9</c:v>
                </c:pt>
                <c:pt idx="1887">
                  <c:v>184.2</c:v>
                </c:pt>
                <c:pt idx="1888">
                  <c:v>184.6</c:v>
                </c:pt>
                <c:pt idx="1889">
                  <c:v>184.9</c:v>
                </c:pt>
                <c:pt idx="1890">
                  <c:v>185.1</c:v>
                </c:pt>
                <c:pt idx="1891">
                  <c:v>185.4</c:v>
                </c:pt>
                <c:pt idx="1892">
                  <c:v>185.7</c:v>
                </c:pt>
                <c:pt idx="1893">
                  <c:v>186</c:v>
                </c:pt>
                <c:pt idx="1894">
                  <c:v>186.3</c:v>
                </c:pt>
                <c:pt idx="1895">
                  <c:v>186.7</c:v>
                </c:pt>
                <c:pt idx="1896">
                  <c:v>187</c:v>
                </c:pt>
                <c:pt idx="1897">
                  <c:v>187.3</c:v>
                </c:pt>
                <c:pt idx="1898">
                  <c:v>187.4</c:v>
                </c:pt>
                <c:pt idx="1899">
                  <c:v>187.7</c:v>
                </c:pt>
                <c:pt idx="1900">
                  <c:v>188</c:v>
                </c:pt>
                <c:pt idx="1901">
                  <c:v>188.3</c:v>
                </c:pt>
                <c:pt idx="1902">
                  <c:v>188.5</c:v>
                </c:pt>
                <c:pt idx="1903">
                  <c:v>188.8</c:v>
                </c:pt>
                <c:pt idx="1904">
                  <c:v>189</c:v>
                </c:pt>
                <c:pt idx="1905">
                  <c:v>189.3</c:v>
                </c:pt>
                <c:pt idx="1906">
                  <c:v>189.4</c:v>
                </c:pt>
                <c:pt idx="1907">
                  <c:v>189.6</c:v>
                </c:pt>
                <c:pt idx="1908">
                  <c:v>189.8</c:v>
                </c:pt>
                <c:pt idx="1909">
                  <c:v>190.1</c:v>
                </c:pt>
                <c:pt idx="1910">
                  <c:v>190.3</c:v>
                </c:pt>
                <c:pt idx="1911">
                  <c:v>190.5</c:v>
                </c:pt>
                <c:pt idx="1912">
                  <c:v>190.6</c:v>
                </c:pt>
                <c:pt idx="1913">
                  <c:v>190.8</c:v>
                </c:pt>
                <c:pt idx="1914">
                  <c:v>190.9</c:v>
                </c:pt>
                <c:pt idx="1915">
                  <c:v>191.1</c:v>
                </c:pt>
                <c:pt idx="1916">
                  <c:v>191.3</c:v>
                </c:pt>
                <c:pt idx="1917">
                  <c:v>191.4</c:v>
                </c:pt>
                <c:pt idx="1918">
                  <c:v>191.6</c:v>
                </c:pt>
                <c:pt idx="1919">
                  <c:v>191.6</c:v>
                </c:pt>
                <c:pt idx="1920">
                  <c:v>191.8</c:v>
                </c:pt>
                <c:pt idx="1921">
                  <c:v>191.9</c:v>
                </c:pt>
                <c:pt idx="1922">
                  <c:v>192.1</c:v>
                </c:pt>
                <c:pt idx="1923">
                  <c:v>192.3</c:v>
                </c:pt>
                <c:pt idx="1924">
                  <c:v>192.4</c:v>
                </c:pt>
                <c:pt idx="1925">
                  <c:v>192.5</c:v>
                </c:pt>
                <c:pt idx="1926">
                  <c:v>192.7</c:v>
                </c:pt>
                <c:pt idx="1927">
                  <c:v>192.9</c:v>
                </c:pt>
                <c:pt idx="1928">
                  <c:v>193</c:v>
                </c:pt>
                <c:pt idx="1929">
                  <c:v>193.2</c:v>
                </c:pt>
                <c:pt idx="1930">
                  <c:v>193.4</c:v>
                </c:pt>
                <c:pt idx="1931">
                  <c:v>193.6</c:v>
                </c:pt>
                <c:pt idx="1932">
                  <c:v>193.6</c:v>
                </c:pt>
                <c:pt idx="1933">
                  <c:v>193.8</c:v>
                </c:pt>
                <c:pt idx="1934">
                  <c:v>194</c:v>
                </c:pt>
                <c:pt idx="1935">
                  <c:v>194.2</c:v>
                </c:pt>
                <c:pt idx="1936">
                  <c:v>194.4</c:v>
                </c:pt>
                <c:pt idx="1937">
                  <c:v>194.6</c:v>
                </c:pt>
                <c:pt idx="1938">
                  <c:v>194.7</c:v>
                </c:pt>
                <c:pt idx="1939">
                  <c:v>195</c:v>
                </c:pt>
                <c:pt idx="1940">
                  <c:v>195.2</c:v>
                </c:pt>
                <c:pt idx="1941">
                  <c:v>195.4</c:v>
                </c:pt>
                <c:pt idx="1942">
                  <c:v>195.6</c:v>
                </c:pt>
                <c:pt idx="1943">
                  <c:v>195.7</c:v>
                </c:pt>
                <c:pt idx="1944">
                  <c:v>195.9</c:v>
                </c:pt>
                <c:pt idx="1945">
                  <c:v>196.1</c:v>
                </c:pt>
                <c:pt idx="1946">
                  <c:v>196.2</c:v>
                </c:pt>
                <c:pt idx="1947">
                  <c:v>196.4</c:v>
                </c:pt>
                <c:pt idx="1948">
                  <c:v>196.5</c:v>
                </c:pt>
                <c:pt idx="1949">
                  <c:v>196.6</c:v>
                </c:pt>
                <c:pt idx="1950">
                  <c:v>196.7</c:v>
                </c:pt>
                <c:pt idx="1951">
                  <c:v>196.8</c:v>
                </c:pt>
                <c:pt idx="1952">
                  <c:v>196.9</c:v>
                </c:pt>
                <c:pt idx="1953">
                  <c:v>197</c:v>
                </c:pt>
                <c:pt idx="1954">
                  <c:v>197</c:v>
                </c:pt>
                <c:pt idx="1955">
                  <c:v>197</c:v>
                </c:pt>
                <c:pt idx="1956">
                  <c:v>197</c:v>
                </c:pt>
                <c:pt idx="1957">
                  <c:v>197.1</c:v>
                </c:pt>
                <c:pt idx="1958">
                  <c:v>197.1</c:v>
                </c:pt>
                <c:pt idx="1959">
                  <c:v>197</c:v>
                </c:pt>
                <c:pt idx="1960">
                  <c:v>196.8</c:v>
                </c:pt>
                <c:pt idx="1961">
                  <c:v>196.7</c:v>
                </c:pt>
                <c:pt idx="1962">
                  <c:v>196.6</c:v>
                </c:pt>
                <c:pt idx="1963">
                  <c:v>196.5</c:v>
                </c:pt>
                <c:pt idx="1964">
                  <c:v>196.3</c:v>
                </c:pt>
                <c:pt idx="1965">
                  <c:v>196.1</c:v>
                </c:pt>
                <c:pt idx="1966">
                  <c:v>195.8</c:v>
                </c:pt>
                <c:pt idx="1967">
                  <c:v>195.5</c:v>
                </c:pt>
                <c:pt idx="1968">
                  <c:v>195.2</c:v>
                </c:pt>
                <c:pt idx="1969">
                  <c:v>195</c:v>
                </c:pt>
                <c:pt idx="1970">
                  <c:v>194.7</c:v>
                </c:pt>
                <c:pt idx="1971">
                  <c:v>194.4</c:v>
                </c:pt>
                <c:pt idx="1972">
                  <c:v>194.1</c:v>
                </c:pt>
                <c:pt idx="1973">
                  <c:v>193.7</c:v>
                </c:pt>
                <c:pt idx="1974">
                  <c:v>193.4</c:v>
                </c:pt>
                <c:pt idx="1975">
                  <c:v>193</c:v>
                </c:pt>
                <c:pt idx="1976">
                  <c:v>192.6</c:v>
                </c:pt>
                <c:pt idx="1977">
                  <c:v>192.2</c:v>
                </c:pt>
                <c:pt idx="1978">
                  <c:v>192</c:v>
                </c:pt>
                <c:pt idx="1979">
                  <c:v>191.6</c:v>
                </c:pt>
                <c:pt idx="1980">
                  <c:v>191.1</c:v>
                </c:pt>
                <c:pt idx="1981">
                  <c:v>190.7</c:v>
                </c:pt>
                <c:pt idx="1982">
                  <c:v>190.3</c:v>
                </c:pt>
                <c:pt idx="1983">
                  <c:v>189.8</c:v>
                </c:pt>
                <c:pt idx="1984">
                  <c:v>189.4</c:v>
                </c:pt>
                <c:pt idx="1985">
                  <c:v>188.9</c:v>
                </c:pt>
                <c:pt idx="1986">
                  <c:v>188.6</c:v>
                </c:pt>
                <c:pt idx="1987">
                  <c:v>188.2</c:v>
                </c:pt>
                <c:pt idx="1988">
                  <c:v>187.8</c:v>
                </c:pt>
                <c:pt idx="1989">
                  <c:v>187.4</c:v>
                </c:pt>
                <c:pt idx="1990">
                  <c:v>186.9</c:v>
                </c:pt>
                <c:pt idx="1991">
                  <c:v>186.5</c:v>
                </c:pt>
                <c:pt idx="1992">
                  <c:v>186</c:v>
                </c:pt>
                <c:pt idx="1993">
                  <c:v>185.5</c:v>
                </c:pt>
                <c:pt idx="1994">
                  <c:v>185</c:v>
                </c:pt>
                <c:pt idx="1995">
                  <c:v>184.5</c:v>
                </c:pt>
                <c:pt idx="1996">
                  <c:v>183.4</c:v>
                </c:pt>
                <c:pt idx="1997">
                  <c:v>182.7</c:v>
                </c:pt>
                <c:pt idx="1998">
                  <c:v>182</c:v>
                </c:pt>
                <c:pt idx="1999">
                  <c:v>181.3</c:v>
                </c:pt>
                <c:pt idx="2000">
                  <c:v>180.4</c:v>
                </c:pt>
                <c:pt idx="2001">
                  <c:v>179.5</c:v>
                </c:pt>
                <c:pt idx="2002">
                  <c:v>178.6</c:v>
                </c:pt>
                <c:pt idx="2003">
                  <c:v>177.7</c:v>
                </c:pt>
                <c:pt idx="2004">
                  <c:v>176.8</c:v>
                </c:pt>
                <c:pt idx="2005">
                  <c:v>175.1</c:v>
                </c:pt>
                <c:pt idx="2006">
                  <c:v>174</c:v>
                </c:pt>
                <c:pt idx="2007">
                  <c:v>172.8</c:v>
                </c:pt>
                <c:pt idx="2008">
                  <c:v>171.7</c:v>
                </c:pt>
                <c:pt idx="2009">
                  <c:v>170.6</c:v>
                </c:pt>
                <c:pt idx="2010">
                  <c:v>169.3</c:v>
                </c:pt>
                <c:pt idx="2011">
                  <c:v>167.4</c:v>
                </c:pt>
                <c:pt idx="2012">
                  <c:v>166.2</c:v>
                </c:pt>
                <c:pt idx="2013">
                  <c:v>164.9</c:v>
                </c:pt>
                <c:pt idx="2014">
                  <c:v>163.80000000000001</c:v>
                </c:pt>
                <c:pt idx="2015">
                  <c:v>162.6</c:v>
                </c:pt>
                <c:pt idx="2016">
                  <c:v>161</c:v>
                </c:pt>
                <c:pt idx="2017">
                  <c:v>159.80000000000001</c:v>
                </c:pt>
                <c:pt idx="2018">
                  <c:v>158.80000000000001</c:v>
                </c:pt>
                <c:pt idx="2019">
                  <c:v>158</c:v>
                </c:pt>
                <c:pt idx="2020">
                  <c:v>156.69999999999999</c:v>
                </c:pt>
                <c:pt idx="2021">
                  <c:v>155.9</c:v>
                </c:pt>
                <c:pt idx="2022">
                  <c:v>155</c:v>
                </c:pt>
                <c:pt idx="2023">
                  <c:v>154.30000000000001</c:v>
                </c:pt>
                <c:pt idx="2024">
                  <c:v>153.19999999999999</c:v>
                </c:pt>
                <c:pt idx="2025">
                  <c:v>152.5</c:v>
                </c:pt>
                <c:pt idx="2026">
                  <c:v>151.80000000000001</c:v>
                </c:pt>
                <c:pt idx="2027">
                  <c:v>150.9</c:v>
                </c:pt>
                <c:pt idx="2028">
                  <c:v>150.30000000000001</c:v>
                </c:pt>
                <c:pt idx="2029">
                  <c:v>149.69999999999999</c:v>
                </c:pt>
                <c:pt idx="2030">
                  <c:v>149.19999999999999</c:v>
                </c:pt>
                <c:pt idx="2031">
                  <c:v>148.30000000000001</c:v>
                </c:pt>
                <c:pt idx="2032">
                  <c:v>147.80000000000001</c:v>
                </c:pt>
                <c:pt idx="2033">
                  <c:v>147.4</c:v>
                </c:pt>
                <c:pt idx="2034">
                  <c:v>146.6</c:v>
                </c:pt>
                <c:pt idx="2035">
                  <c:v>146.1</c:v>
                </c:pt>
                <c:pt idx="2036">
                  <c:v>145.6</c:v>
                </c:pt>
                <c:pt idx="2037">
                  <c:v>144.9</c:v>
                </c:pt>
                <c:pt idx="2038">
                  <c:v>144.30000000000001</c:v>
                </c:pt>
                <c:pt idx="2039">
                  <c:v>143.6</c:v>
                </c:pt>
                <c:pt idx="2040">
                  <c:v>143.1</c:v>
                </c:pt>
                <c:pt idx="2041">
                  <c:v>142.69999999999999</c:v>
                </c:pt>
                <c:pt idx="2042">
                  <c:v>142.1</c:v>
                </c:pt>
                <c:pt idx="2043">
                  <c:v>141.69999999999999</c:v>
                </c:pt>
                <c:pt idx="2044">
                  <c:v>141.1</c:v>
                </c:pt>
                <c:pt idx="2045">
                  <c:v>140.69999999999999</c:v>
                </c:pt>
                <c:pt idx="2046">
                  <c:v>140.30000000000001</c:v>
                </c:pt>
                <c:pt idx="2047">
                  <c:v>139.80000000000001</c:v>
                </c:pt>
                <c:pt idx="2048">
                  <c:v>139.4</c:v>
                </c:pt>
                <c:pt idx="2049">
                  <c:v>138.9</c:v>
                </c:pt>
                <c:pt idx="2050">
                  <c:v>138.5</c:v>
                </c:pt>
                <c:pt idx="2051">
                  <c:v>138</c:v>
                </c:pt>
                <c:pt idx="2052">
                  <c:v>137.69999999999999</c:v>
                </c:pt>
                <c:pt idx="2053">
                  <c:v>137.30000000000001</c:v>
                </c:pt>
                <c:pt idx="2054">
                  <c:v>136.80000000000001</c:v>
                </c:pt>
                <c:pt idx="2055">
                  <c:v>136.4</c:v>
                </c:pt>
                <c:pt idx="2056">
                  <c:v>135.9</c:v>
                </c:pt>
                <c:pt idx="2057">
                  <c:v>135.5</c:v>
                </c:pt>
                <c:pt idx="2058">
                  <c:v>134.9</c:v>
                </c:pt>
                <c:pt idx="2059">
                  <c:v>134.6</c:v>
                </c:pt>
                <c:pt idx="2060">
                  <c:v>134</c:v>
                </c:pt>
                <c:pt idx="2061">
                  <c:v>133.69999999999999</c:v>
                </c:pt>
                <c:pt idx="2062">
                  <c:v>133.19999999999999</c:v>
                </c:pt>
                <c:pt idx="2063">
                  <c:v>132.9</c:v>
                </c:pt>
                <c:pt idx="2064">
                  <c:v>132.4</c:v>
                </c:pt>
                <c:pt idx="2065">
                  <c:v>132</c:v>
                </c:pt>
                <c:pt idx="2066">
                  <c:v>131.5</c:v>
                </c:pt>
                <c:pt idx="2067">
                  <c:v>131.19999999999999</c:v>
                </c:pt>
                <c:pt idx="2068">
                  <c:v>130.6</c:v>
                </c:pt>
                <c:pt idx="2069">
                  <c:v>130.30000000000001</c:v>
                </c:pt>
                <c:pt idx="2070">
                  <c:v>129.80000000000001</c:v>
                </c:pt>
                <c:pt idx="2071">
                  <c:v>129.30000000000001</c:v>
                </c:pt>
                <c:pt idx="2072">
                  <c:v>129</c:v>
                </c:pt>
                <c:pt idx="2073">
                  <c:v>128.6</c:v>
                </c:pt>
                <c:pt idx="2074">
                  <c:v>128.30000000000001</c:v>
                </c:pt>
                <c:pt idx="2075">
                  <c:v>127.8</c:v>
                </c:pt>
                <c:pt idx="2076">
                  <c:v>127.4</c:v>
                </c:pt>
                <c:pt idx="2077">
                  <c:v>127</c:v>
                </c:pt>
                <c:pt idx="2078">
                  <c:v>126.5</c:v>
                </c:pt>
                <c:pt idx="2079">
                  <c:v>126.2</c:v>
                </c:pt>
                <c:pt idx="2080">
                  <c:v>125.8</c:v>
                </c:pt>
                <c:pt idx="2081">
                  <c:v>125.3</c:v>
                </c:pt>
                <c:pt idx="2082">
                  <c:v>125.1</c:v>
                </c:pt>
                <c:pt idx="2083">
                  <c:v>124.7</c:v>
                </c:pt>
                <c:pt idx="2084">
                  <c:v>124.3</c:v>
                </c:pt>
                <c:pt idx="2085">
                  <c:v>124</c:v>
                </c:pt>
                <c:pt idx="2086">
                  <c:v>123.6</c:v>
                </c:pt>
                <c:pt idx="2087">
                  <c:v>123.3</c:v>
                </c:pt>
                <c:pt idx="2088">
                  <c:v>123</c:v>
                </c:pt>
                <c:pt idx="2089">
                  <c:v>122.6</c:v>
                </c:pt>
                <c:pt idx="2090">
                  <c:v>122.4</c:v>
                </c:pt>
                <c:pt idx="2091">
                  <c:v>122</c:v>
                </c:pt>
                <c:pt idx="2092">
                  <c:v>121.7</c:v>
                </c:pt>
                <c:pt idx="2093">
                  <c:v>121.5</c:v>
                </c:pt>
                <c:pt idx="2094">
                  <c:v>121.2</c:v>
                </c:pt>
                <c:pt idx="2095">
                  <c:v>120.9</c:v>
                </c:pt>
                <c:pt idx="2096">
                  <c:v>120.5</c:v>
                </c:pt>
                <c:pt idx="2097">
                  <c:v>120.3</c:v>
                </c:pt>
                <c:pt idx="2098">
                  <c:v>120</c:v>
                </c:pt>
                <c:pt idx="2099">
                  <c:v>119.7</c:v>
                </c:pt>
                <c:pt idx="2100">
                  <c:v>119.5</c:v>
                </c:pt>
                <c:pt idx="2101">
                  <c:v>119.3</c:v>
                </c:pt>
                <c:pt idx="2102">
                  <c:v>119</c:v>
                </c:pt>
                <c:pt idx="2103">
                  <c:v>118.7</c:v>
                </c:pt>
                <c:pt idx="2104">
                  <c:v>118.5</c:v>
                </c:pt>
                <c:pt idx="2105">
                  <c:v>118.3</c:v>
                </c:pt>
                <c:pt idx="2106">
                  <c:v>118</c:v>
                </c:pt>
                <c:pt idx="2107">
                  <c:v>117.8</c:v>
                </c:pt>
                <c:pt idx="2108">
                  <c:v>117.6</c:v>
                </c:pt>
                <c:pt idx="2109">
                  <c:v>117.5</c:v>
                </c:pt>
                <c:pt idx="2110">
                  <c:v>117.4</c:v>
                </c:pt>
                <c:pt idx="2111">
                  <c:v>117.3</c:v>
                </c:pt>
                <c:pt idx="2112">
                  <c:v>117.2</c:v>
                </c:pt>
                <c:pt idx="2113">
                  <c:v>117.1</c:v>
                </c:pt>
                <c:pt idx="2114">
                  <c:v>117.1</c:v>
                </c:pt>
                <c:pt idx="2115">
                  <c:v>117</c:v>
                </c:pt>
                <c:pt idx="2116">
                  <c:v>116.9</c:v>
                </c:pt>
                <c:pt idx="2117">
                  <c:v>117</c:v>
                </c:pt>
                <c:pt idx="2118">
                  <c:v>117</c:v>
                </c:pt>
                <c:pt idx="2119">
                  <c:v>117.1</c:v>
                </c:pt>
                <c:pt idx="2120">
                  <c:v>117.2</c:v>
                </c:pt>
                <c:pt idx="2121">
                  <c:v>117.3</c:v>
                </c:pt>
                <c:pt idx="2122">
                  <c:v>117.3</c:v>
                </c:pt>
                <c:pt idx="2123">
                  <c:v>117.4</c:v>
                </c:pt>
                <c:pt idx="2124">
                  <c:v>117.5</c:v>
                </c:pt>
                <c:pt idx="2125">
                  <c:v>117.6</c:v>
                </c:pt>
                <c:pt idx="2126">
                  <c:v>117.7</c:v>
                </c:pt>
                <c:pt idx="2127">
                  <c:v>117.8</c:v>
                </c:pt>
                <c:pt idx="2128">
                  <c:v>118</c:v>
                </c:pt>
                <c:pt idx="2129">
                  <c:v>118.1</c:v>
                </c:pt>
                <c:pt idx="2130">
                  <c:v>118.3</c:v>
                </c:pt>
                <c:pt idx="2131">
                  <c:v>118.5</c:v>
                </c:pt>
                <c:pt idx="2132">
                  <c:v>118.6</c:v>
                </c:pt>
                <c:pt idx="2133">
                  <c:v>118.8</c:v>
                </c:pt>
                <c:pt idx="2134">
                  <c:v>119</c:v>
                </c:pt>
                <c:pt idx="2135">
                  <c:v>119.2</c:v>
                </c:pt>
                <c:pt idx="2136">
                  <c:v>119.4</c:v>
                </c:pt>
                <c:pt idx="2137">
                  <c:v>119.6</c:v>
                </c:pt>
                <c:pt idx="2138">
                  <c:v>119.8</c:v>
                </c:pt>
                <c:pt idx="2139">
                  <c:v>120</c:v>
                </c:pt>
                <c:pt idx="2140">
                  <c:v>120.2</c:v>
                </c:pt>
                <c:pt idx="2141">
                  <c:v>120.4</c:v>
                </c:pt>
                <c:pt idx="2142">
                  <c:v>120.7</c:v>
                </c:pt>
                <c:pt idx="2143">
                  <c:v>121</c:v>
                </c:pt>
                <c:pt idx="2144">
                  <c:v>121.2</c:v>
                </c:pt>
                <c:pt idx="2145">
                  <c:v>121.5</c:v>
                </c:pt>
                <c:pt idx="2146">
                  <c:v>121.8</c:v>
                </c:pt>
                <c:pt idx="2147">
                  <c:v>122.1</c:v>
                </c:pt>
                <c:pt idx="2148">
                  <c:v>122.3</c:v>
                </c:pt>
                <c:pt idx="2149">
                  <c:v>122.6</c:v>
                </c:pt>
                <c:pt idx="2150">
                  <c:v>123</c:v>
                </c:pt>
                <c:pt idx="2151">
                  <c:v>123.4</c:v>
                </c:pt>
                <c:pt idx="2152">
                  <c:v>123.7</c:v>
                </c:pt>
                <c:pt idx="2153">
                  <c:v>124.1</c:v>
                </c:pt>
                <c:pt idx="2154">
                  <c:v>124.4</c:v>
                </c:pt>
                <c:pt idx="2155">
                  <c:v>124.8</c:v>
                </c:pt>
                <c:pt idx="2156">
                  <c:v>125</c:v>
                </c:pt>
                <c:pt idx="2157">
                  <c:v>125.3</c:v>
                </c:pt>
                <c:pt idx="2158">
                  <c:v>125.7</c:v>
                </c:pt>
                <c:pt idx="2159">
                  <c:v>125.9</c:v>
                </c:pt>
                <c:pt idx="2160">
                  <c:v>126.3</c:v>
                </c:pt>
                <c:pt idx="2161">
                  <c:v>126.7</c:v>
                </c:pt>
                <c:pt idx="2162">
                  <c:v>126.9</c:v>
                </c:pt>
                <c:pt idx="2163">
                  <c:v>127.3</c:v>
                </c:pt>
                <c:pt idx="2164">
                  <c:v>127.7</c:v>
                </c:pt>
                <c:pt idx="2165">
                  <c:v>128</c:v>
                </c:pt>
                <c:pt idx="2166">
                  <c:v>128.4</c:v>
                </c:pt>
                <c:pt idx="2167">
                  <c:v>128.9</c:v>
                </c:pt>
                <c:pt idx="2168">
                  <c:v>129.19999999999999</c:v>
                </c:pt>
                <c:pt idx="2169">
                  <c:v>129.69999999999999</c:v>
                </c:pt>
                <c:pt idx="2170">
                  <c:v>130</c:v>
                </c:pt>
                <c:pt idx="2171">
                  <c:v>130.5</c:v>
                </c:pt>
                <c:pt idx="2172">
                  <c:v>130.9</c:v>
                </c:pt>
                <c:pt idx="2173">
                  <c:v>131.19999999999999</c:v>
                </c:pt>
                <c:pt idx="2174">
                  <c:v>131.6</c:v>
                </c:pt>
                <c:pt idx="2175">
                  <c:v>131.9</c:v>
                </c:pt>
                <c:pt idx="2176">
                  <c:v>132.4</c:v>
                </c:pt>
                <c:pt idx="2177">
                  <c:v>132.80000000000001</c:v>
                </c:pt>
                <c:pt idx="2178">
                  <c:v>133.19999999999999</c:v>
                </c:pt>
                <c:pt idx="2179">
                  <c:v>133.69999999999999</c:v>
                </c:pt>
                <c:pt idx="2180">
                  <c:v>134.1</c:v>
                </c:pt>
                <c:pt idx="2181">
                  <c:v>134.6</c:v>
                </c:pt>
                <c:pt idx="2182">
                  <c:v>134.9</c:v>
                </c:pt>
                <c:pt idx="2183">
                  <c:v>135.5</c:v>
                </c:pt>
                <c:pt idx="2184">
                  <c:v>135.9</c:v>
                </c:pt>
                <c:pt idx="2185">
                  <c:v>136.5</c:v>
                </c:pt>
                <c:pt idx="2186">
                  <c:v>136.80000000000001</c:v>
                </c:pt>
                <c:pt idx="2187">
                  <c:v>137.5</c:v>
                </c:pt>
                <c:pt idx="2188">
                  <c:v>137.9</c:v>
                </c:pt>
                <c:pt idx="2189">
                  <c:v>138.6</c:v>
                </c:pt>
                <c:pt idx="2190">
                  <c:v>139.1</c:v>
                </c:pt>
                <c:pt idx="2191">
                  <c:v>139.80000000000001</c:v>
                </c:pt>
                <c:pt idx="2192">
                  <c:v>140.19999999999999</c:v>
                </c:pt>
                <c:pt idx="2193">
                  <c:v>140.6</c:v>
                </c:pt>
                <c:pt idx="2194">
                  <c:v>141.30000000000001</c:v>
                </c:pt>
                <c:pt idx="2195">
                  <c:v>141.69999999999999</c:v>
                </c:pt>
                <c:pt idx="2196">
                  <c:v>142.30000000000001</c:v>
                </c:pt>
                <c:pt idx="2197">
                  <c:v>142.69999999999999</c:v>
                </c:pt>
                <c:pt idx="2198">
                  <c:v>143.30000000000001</c:v>
                </c:pt>
                <c:pt idx="2199">
                  <c:v>143.69999999999999</c:v>
                </c:pt>
                <c:pt idx="2200">
                  <c:v>144.1</c:v>
                </c:pt>
                <c:pt idx="2201">
                  <c:v>144.6</c:v>
                </c:pt>
                <c:pt idx="2202">
                  <c:v>145</c:v>
                </c:pt>
                <c:pt idx="2203">
                  <c:v>145.5</c:v>
                </c:pt>
                <c:pt idx="2204">
                  <c:v>145.80000000000001</c:v>
                </c:pt>
                <c:pt idx="2205">
                  <c:v>146.19999999999999</c:v>
                </c:pt>
                <c:pt idx="2206">
                  <c:v>146.69999999999999</c:v>
                </c:pt>
                <c:pt idx="2207">
                  <c:v>147</c:v>
                </c:pt>
                <c:pt idx="2208">
                  <c:v>147.4</c:v>
                </c:pt>
                <c:pt idx="2209">
                  <c:v>147.9</c:v>
                </c:pt>
                <c:pt idx="2210">
                  <c:v>148.19999999999999</c:v>
                </c:pt>
                <c:pt idx="2211">
                  <c:v>148.69999999999999</c:v>
                </c:pt>
                <c:pt idx="2212">
                  <c:v>149</c:v>
                </c:pt>
                <c:pt idx="2213">
                  <c:v>149.30000000000001</c:v>
                </c:pt>
                <c:pt idx="2214">
                  <c:v>149.80000000000001</c:v>
                </c:pt>
                <c:pt idx="2215">
                  <c:v>150.1</c:v>
                </c:pt>
                <c:pt idx="2216">
                  <c:v>150.4</c:v>
                </c:pt>
                <c:pt idx="2217">
                  <c:v>150.69999999999999</c:v>
                </c:pt>
                <c:pt idx="2218">
                  <c:v>151.19999999999999</c:v>
                </c:pt>
                <c:pt idx="2219">
                  <c:v>151.5</c:v>
                </c:pt>
                <c:pt idx="2220">
                  <c:v>151.9</c:v>
                </c:pt>
                <c:pt idx="2221">
                  <c:v>152.4</c:v>
                </c:pt>
                <c:pt idx="2222">
                  <c:v>152.69999999999999</c:v>
                </c:pt>
                <c:pt idx="2223">
                  <c:v>153</c:v>
                </c:pt>
                <c:pt idx="2224">
                  <c:v>153.4</c:v>
                </c:pt>
                <c:pt idx="2225">
                  <c:v>153.9</c:v>
                </c:pt>
                <c:pt idx="2226">
                  <c:v>154.19999999999999</c:v>
                </c:pt>
                <c:pt idx="2227">
                  <c:v>154.5</c:v>
                </c:pt>
                <c:pt idx="2228">
                  <c:v>155</c:v>
                </c:pt>
                <c:pt idx="2229">
                  <c:v>155.4</c:v>
                </c:pt>
                <c:pt idx="2230">
                  <c:v>155.69999999999999</c:v>
                </c:pt>
                <c:pt idx="2231">
                  <c:v>156.1</c:v>
                </c:pt>
                <c:pt idx="2232">
                  <c:v>156.6</c:v>
                </c:pt>
                <c:pt idx="2233">
                  <c:v>157</c:v>
                </c:pt>
                <c:pt idx="2234">
                  <c:v>157.30000000000001</c:v>
                </c:pt>
                <c:pt idx="2235">
                  <c:v>157.69999999999999</c:v>
                </c:pt>
                <c:pt idx="2236">
                  <c:v>158</c:v>
                </c:pt>
                <c:pt idx="2237">
                  <c:v>158.5</c:v>
                </c:pt>
                <c:pt idx="2238">
                  <c:v>158.80000000000001</c:v>
                </c:pt>
                <c:pt idx="2239">
                  <c:v>159.1</c:v>
                </c:pt>
                <c:pt idx="2240">
                  <c:v>159.4</c:v>
                </c:pt>
                <c:pt idx="2241">
                  <c:v>159.69999999999999</c:v>
                </c:pt>
                <c:pt idx="2242">
                  <c:v>160.19999999999999</c:v>
                </c:pt>
                <c:pt idx="2243">
                  <c:v>160.5</c:v>
                </c:pt>
                <c:pt idx="2244">
                  <c:v>160.80000000000001</c:v>
                </c:pt>
                <c:pt idx="2245">
                  <c:v>161.1</c:v>
                </c:pt>
                <c:pt idx="2246">
                  <c:v>161.5</c:v>
                </c:pt>
                <c:pt idx="2247">
                  <c:v>162</c:v>
                </c:pt>
                <c:pt idx="2248">
                  <c:v>162.30000000000001</c:v>
                </c:pt>
                <c:pt idx="2249">
                  <c:v>162.6</c:v>
                </c:pt>
                <c:pt idx="2250">
                  <c:v>163</c:v>
                </c:pt>
                <c:pt idx="2251">
                  <c:v>163.30000000000001</c:v>
                </c:pt>
                <c:pt idx="2252">
                  <c:v>163.80000000000001</c:v>
                </c:pt>
                <c:pt idx="2253">
                  <c:v>164.1</c:v>
                </c:pt>
                <c:pt idx="2254">
                  <c:v>164.5</c:v>
                </c:pt>
                <c:pt idx="2255">
                  <c:v>164.8</c:v>
                </c:pt>
                <c:pt idx="2256">
                  <c:v>165.2</c:v>
                </c:pt>
                <c:pt idx="2257">
                  <c:v>165.5</c:v>
                </c:pt>
                <c:pt idx="2258">
                  <c:v>165.8</c:v>
                </c:pt>
                <c:pt idx="2259">
                  <c:v>166.3</c:v>
                </c:pt>
                <c:pt idx="2260">
                  <c:v>166.6</c:v>
                </c:pt>
                <c:pt idx="2261">
                  <c:v>166.9</c:v>
                </c:pt>
                <c:pt idx="2262">
                  <c:v>167.2</c:v>
                </c:pt>
                <c:pt idx="2263">
                  <c:v>167.5</c:v>
                </c:pt>
                <c:pt idx="2264">
                  <c:v>167.8</c:v>
                </c:pt>
                <c:pt idx="2265">
                  <c:v>168</c:v>
                </c:pt>
                <c:pt idx="2266">
                  <c:v>168.3</c:v>
                </c:pt>
                <c:pt idx="2267">
                  <c:v>168.8</c:v>
                </c:pt>
                <c:pt idx="2268">
                  <c:v>169.1</c:v>
                </c:pt>
                <c:pt idx="2269">
                  <c:v>169.4</c:v>
                </c:pt>
                <c:pt idx="2270">
                  <c:v>169.7</c:v>
                </c:pt>
                <c:pt idx="2271">
                  <c:v>170</c:v>
                </c:pt>
                <c:pt idx="2272">
                  <c:v>170.3</c:v>
                </c:pt>
                <c:pt idx="2273">
                  <c:v>170.6</c:v>
                </c:pt>
                <c:pt idx="2274">
                  <c:v>170.9</c:v>
                </c:pt>
                <c:pt idx="2275">
                  <c:v>171.2</c:v>
                </c:pt>
                <c:pt idx="2276">
                  <c:v>171.5</c:v>
                </c:pt>
                <c:pt idx="2277">
                  <c:v>172.1</c:v>
                </c:pt>
                <c:pt idx="2278">
                  <c:v>172.4</c:v>
                </c:pt>
                <c:pt idx="2279">
                  <c:v>172.8</c:v>
                </c:pt>
                <c:pt idx="2280">
                  <c:v>173.1</c:v>
                </c:pt>
                <c:pt idx="2281">
                  <c:v>173.5</c:v>
                </c:pt>
                <c:pt idx="2282">
                  <c:v>173.8</c:v>
                </c:pt>
                <c:pt idx="2283">
                  <c:v>174.2</c:v>
                </c:pt>
                <c:pt idx="2284">
                  <c:v>174.5</c:v>
                </c:pt>
                <c:pt idx="2285">
                  <c:v>174.9</c:v>
                </c:pt>
                <c:pt idx="2286">
                  <c:v>175.2</c:v>
                </c:pt>
                <c:pt idx="2287">
                  <c:v>175.5</c:v>
                </c:pt>
                <c:pt idx="2288">
                  <c:v>175.9</c:v>
                </c:pt>
                <c:pt idx="2289">
                  <c:v>176.2</c:v>
                </c:pt>
                <c:pt idx="2290">
                  <c:v>176.5</c:v>
                </c:pt>
                <c:pt idx="2291">
                  <c:v>176.8</c:v>
                </c:pt>
                <c:pt idx="2292">
                  <c:v>177.1</c:v>
                </c:pt>
                <c:pt idx="2293">
                  <c:v>177.5</c:v>
                </c:pt>
                <c:pt idx="2294">
                  <c:v>177.8</c:v>
                </c:pt>
                <c:pt idx="2295">
                  <c:v>178.1</c:v>
                </c:pt>
                <c:pt idx="2296">
                  <c:v>178.4</c:v>
                </c:pt>
                <c:pt idx="2297">
                  <c:v>178.7</c:v>
                </c:pt>
                <c:pt idx="2298">
                  <c:v>179</c:v>
                </c:pt>
                <c:pt idx="2299">
                  <c:v>179.3</c:v>
                </c:pt>
                <c:pt idx="2300">
                  <c:v>179.7</c:v>
                </c:pt>
                <c:pt idx="2301">
                  <c:v>180</c:v>
                </c:pt>
                <c:pt idx="2302">
                  <c:v>180.3</c:v>
                </c:pt>
                <c:pt idx="2303">
                  <c:v>180.7</c:v>
                </c:pt>
                <c:pt idx="2304">
                  <c:v>181</c:v>
                </c:pt>
                <c:pt idx="2305">
                  <c:v>181.3</c:v>
                </c:pt>
                <c:pt idx="2306">
                  <c:v>181.6</c:v>
                </c:pt>
                <c:pt idx="2307">
                  <c:v>181.9</c:v>
                </c:pt>
                <c:pt idx="2308">
                  <c:v>182.2</c:v>
                </c:pt>
                <c:pt idx="2309">
                  <c:v>182.5</c:v>
                </c:pt>
                <c:pt idx="2310">
                  <c:v>182.8</c:v>
                </c:pt>
                <c:pt idx="2311">
                  <c:v>183.1</c:v>
                </c:pt>
                <c:pt idx="2312">
                  <c:v>183.3</c:v>
                </c:pt>
                <c:pt idx="2313">
                  <c:v>183.6</c:v>
                </c:pt>
                <c:pt idx="2314">
                  <c:v>183.9</c:v>
                </c:pt>
                <c:pt idx="2315">
                  <c:v>184.1</c:v>
                </c:pt>
                <c:pt idx="2316">
                  <c:v>184.4</c:v>
                </c:pt>
                <c:pt idx="2317">
                  <c:v>184.6</c:v>
                </c:pt>
                <c:pt idx="2318">
                  <c:v>184.9</c:v>
                </c:pt>
                <c:pt idx="2319">
                  <c:v>185.2</c:v>
                </c:pt>
                <c:pt idx="2320">
                  <c:v>185.5</c:v>
                </c:pt>
                <c:pt idx="2321">
                  <c:v>185.7</c:v>
                </c:pt>
                <c:pt idx="2322">
                  <c:v>186</c:v>
                </c:pt>
                <c:pt idx="2323">
                  <c:v>186.2</c:v>
                </c:pt>
                <c:pt idx="2324">
                  <c:v>186.4</c:v>
                </c:pt>
                <c:pt idx="2325">
                  <c:v>186.7</c:v>
                </c:pt>
                <c:pt idx="2326">
                  <c:v>186.9</c:v>
                </c:pt>
                <c:pt idx="2327">
                  <c:v>187.2</c:v>
                </c:pt>
                <c:pt idx="2328">
                  <c:v>187.3</c:v>
                </c:pt>
                <c:pt idx="2329">
                  <c:v>187.6</c:v>
                </c:pt>
                <c:pt idx="2330">
                  <c:v>187.9</c:v>
                </c:pt>
                <c:pt idx="2331">
                  <c:v>188.1</c:v>
                </c:pt>
                <c:pt idx="2332">
                  <c:v>188.4</c:v>
                </c:pt>
                <c:pt idx="2333">
                  <c:v>188.6</c:v>
                </c:pt>
                <c:pt idx="2334">
                  <c:v>188.8</c:v>
                </c:pt>
                <c:pt idx="2335">
                  <c:v>189.1</c:v>
                </c:pt>
                <c:pt idx="2336">
                  <c:v>189.3</c:v>
                </c:pt>
                <c:pt idx="2337">
                  <c:v>189.4</c:v>
                </c:pt>
                <c:pt idx="2338">
                  <c:v>189.7</c:v>
                </c:pt>
                <c:pt idx="2339">
                  <c:v>189.9</c:v>
                </c:pt>
                <c:pt idx="2340">
                  <c:v>190.1</c:v>
                </c:pt>
                <c:pt idx="2341">
                  <c:v>190.3</c:v>
                </c:pt>
                <c:pt idx="2342">
                  <c:v>190.6</c:v>
                </c:pt>
                <c:pt idx="2343">
                  <c:v>190.8</c:v>
                </c:pt>
                <c:pt idx="2344">
                  <c:v>191.1</c:v>
                </c:pt>
                <c:pt idx="2345">
                  <c:v>191.2</c:v>
                </c:pt>
                <c:pt idx="2346">
                  <c:v>191.4</c:v>
                </c:pt>
                <c:pt idx="2347">
                  <c:v>191.7</c:v>
                </c:pt>
                <c:pt idx="2348">
                  <c:v>191.9</c:v>
                </c:pt>
                <c:pt idx="2349">
                  <c:v>192.1</c:v>
                </c:pt>
                <c:pt idx="2350">
                  <c:v>192.4</c:v>
                </c:pt>
                <c:pt idx="2351">
                  <c:v>192.6</c:v>
                </c:pt>
                <c:pt idx="2352">
                  <c:v>192.7</c:v>
                </c:pt>
                <c:pt idx="2353">
                  <c:v>192.9</c:v>
                </c:pt>
                <c:pt idx="2354">
                  <c:v>193.1</c:v>
                </c:pt>
                <c:pt idx="2355">
                  <c:v>193.4</c:v>
                </c:pt>
                <c:pt idx="2356">
                  <c:v>193.6</c:v>
                </c:pt>
                <c:pt idx="2357">
                  <c:v>193.8</c:v>
                </c:pt>
                <c:pt idx="2358">
                  <c:v>193.9</c:v>
                </c:pt>
                <c:pt idx="2359">
                  <c:v>194.1</c:v>
                </c:pt>
                <c:pt idx="2360">
                  <c:v>194.3</c:v>
                </c:pt>
                <c:pt idx="2361">
                  <c:v>194.4</c:v>
                </c:pt>
                <c:pt idx="2362">
                  <c:v>194.6</c:v>
                </c:pt>
                <c:pt idx="2363">
                  <c:v>194.8</c:v>
                </c:pt>
                <c:pt idx="2364">
                  <c:v>194.9</c:v>
                </c:pt>
                <c:pt idx="2365">
                  <c:v>195</c:v>
                </c:pt>
                <c:pt idx="2366">
                  <c:v>195.2</c:v>
                </c:pt>
                <c:pt idx="2367">
                  <c:v>195.4</c:v>
                </c:pt>
                <c:pt idx="2368">
                  <c:v>195.5</c:v>
                </c:pt>
                <c:pt idx="2369">
                  <c:v>195.7</c:v>
                </c:pt>
                <c:pt idx="2370">
                  <c:v>195.8</c:v>
                </c:pt>
                <c:pt idx="2371">
                  <c:v>196.1</c:v>
                </c:pt>
                <c:pt idx="2372">
                  <c:v>196.4</c:v>
                </c:pt>
                <c:pt idx="2373">
                  <c:v>196.6</c:v>
                </c:pt>
                <c:pt idx="2374">
                  <c:v>196.9</c:v>
                </c:pt>
                <c:pt idx="2375">
                  <c:v>197</c:v>
                </c:pt>
                <c:pt idx="2376">
                  <c:v>197.2</c:v>
                </c:pt>
                <c:pt idx="2377">
                  <c:v>197.4</c:v>
                </c:pt>
                <c:pt idx="2378">
                  <c:v>197.6</c:v>
                </c:pt>
                <c:pt idx="2379">
                  <c:v>197.9</c:v>
                </c:pt>
                <c:pt idx="2380">
                  <c:v>198</c:v>
                </c:pt>
                <c:pt idx="2381">
                  <c:v>198.2</c:v>
                </c:pt>
                <c:pt idx="2382">
                  <c:v>198.5</c:v>
                </c:pt>
                <c:pt idx="2383">
                  <c:v>198.8</c:v>
                </c:pt>
                <c:pt idx="2384">
                  <c:v>199</c:v>
                </c:pt>
                <c:pt idx="2385">
                  <c:v>199.1</c:v>
                </c:pt>
                <c:pt idx="2386">
                  <c:v>199.4</c:v>
                </c:pt>
                <c:pt idx="2387">
                  <c:v>199.7</c:v>
                </c:pt>
                <c:pt idx="2388">
                  <c:v>200.1</c:v>
                </c:pt>
                <c:pt idx="2389">
                  <c:v>200.2</c:v>
                </c:pt>
                <c:pt idx="2390">
                  <c:v>200.5</c:v>
                </c:pt>
                <c:pt idx="2391">
                  <c:v>200.8</c:v>
                </c:pt>
                <c:pt idx="2392">
                  <c:v>201</c:v>
                </c:pt>
                <c:pt idx="2393">
                  <c:v>201.2</c:v>
                </c:pt>
                <c:pt idx="2394">
                  <c:v>201.3</c:v>
                </c:pt>
                <c:pt idx="2395">
                  <c:v>201.5</c:v>
                </c:pt>
                <c:pt idx="2396">
                  <c:v>201.6</c:v>
                </c:pt>
                <c:pt idx="2397">
                  <c:v>201.8</c:v>
                </c:pt>
                <c:pt idx="2398">
                  <c:v>202</c:v>
                </c:pt>
                <c:pt idx="2399">
                  <c:v>202.2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389-460F-904A-093416AA9F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2343120"/>
        <c:axId val="632344432"/>
      </c:scatterChart>
      <c:valAx>
        <c:axId val="632343120"/>
        <c:scaling>
          <c:orientation val="minMax"/>
          <c:max val="24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344432"/>
        <c:crosses val="autoZero"/>
        <c:crossBetween val="midCat"/>
        <c:majorUnit val="100"/>
      </c:valAx>
      <c:valAx>
        <c:axId val="632344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343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Suspension Travel per Meter</a:t>
            </a:r>
            <a:r>
              <a:rPr lang="en-GB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'2D data'!$E$4:$E$2403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'2D data'!$J$4:$J$2403</c:f>
              <c:numCache>
                <c:formatCode>General</c:formatCode>
                <c:ptCount val="2400"/>
                <c:pt idx="0">
                  <c:v>15.8</c:v>
                </c:pt>
                <c:pt idx="1">
                  <c:v>15.26</c:v>
                </c:pt>
                <c:pt idx="2">
                  <c:v>15.74</c:v>
                </c:pt>
                <c:pt idx="3">
                  <c:v>16.149999999999999</c:v>
                </c:pt>
                <c:pt idx="4">
                  <c:v>15.54</c:v>
                </c:pt>
                <c:pt idx="5">
                  <c:v>15.06</c:v>
                </c:pt>
                <c:pt idx="6">
                  <c:v>14.22</c:v>
                </c:pt>
                <c:pt idx="7">
                  <c:v>15.09</c:v>
                </c:pt>
                <c:pt idx="8">
                  <c:v>14.64</c:v>
                </c:pt>
                <c:pt idx="9">
                  <c:v>14.53</c:v>
                </c:pt>
                <c:pt idx="10">
                  <c:v>13</c:v>
                </c:pt>
                <c:pt idx="11">
                  <c:v>12.56</c:v>
                </c:pt>
                <c:pt idx="12">
                  <c:v>12.16</c:v>
                </c:pt>
                <c:pt idx="13">
                  <c:v>12.99</c:v>
                </c:pt>
                <c:pt idx="14">
                  <c:v>12.16</c:v>
                </c:pt>
                <c:pt idx="15">
                  <c:v>11.6</c:v>
                </c:pt>
                <c:pt idx="16">
                  <c:v>11.45</c:v>
                </c:pt>
                <c:pt idx="17">
                  <c:v>14.3</c:v>
                </c:pt>
                <c:pt idx="18">
                  <c:v>16.309999999999999</c:v>
                </c:pt>
                <c:pt idx="19">
                  <c:v>17.600000000000001</c:v>
                </c:pt>
                <c:pt idx="20">
                  <c:v>17.73</c:v>
                </c:pt>
                <c:pt idx="21">
                  <c:v>19.399999999999999</c:v>
                </c:pt>
                <c:pt idx="22">
                  <c:v>23.82</c:v>
                </c:pt>
                <c:pt idx="23">
                  <c:v>26.49</c:v>
                </c:pt>
                <c:pt idx="24">
                  <c:v>28.24</c:v>
                </c:pt>
                <c:pt idx="25">
                  <c:v>28.2</c:v>
                </c:pt>
                <c:pt idx="26">
                  <c:v>27.87</c:v>
                </c:pt>
                <c:pt idx="27">
                  <c:v>26.97</c:v>
                </c:pt>
                <c:pt idx="28">
                  <c:v>26.4</c:v>
                </c:pt>
                <c:pt idx="29">
                  <c:v>24.78</c:v>
                </c:pt>
                <c:pt idx="30">
                  <c:v>24.63</c:v>
                </c:pt>
                <c:pt idx="31">
                  <c:v>22.48</c:v>
                </c:pt>
                <c:pt idx="32">
                  <c:v>20.2</c:v>
                </c:pt>
                <c:pt idx="33">
                  <c:v>17.899999999999999</c:v>
                </c:pt>
                <c:pt idx="34">
                  <c:v>15.99</c:v>
                </c:pt>
                <c:pt idx="35">
                  <c:v>16.13</c:v>
                </c:pt>
                <c:pt idx="36">
                  <c:v>17.350000000000001</c:v>
                </c:pt>
                <c:pt idx="37">
                  <c:v>17.93</c:v>
                </c:pt>
                <c:pt idx="38">
                  <c:v>17.63</c:v>
                </c:pt>
                <c:pt idx="39">
                  <c:v>16.940000000000001</c:v>
                </c:pt>
                <c:pt idx="40">
                  <c:v>17.170000000000002</c:v>
                </c:pt>
                <c:pt idx="41">
                  <c:v>16.52</c:v>
                </c:pt>
                <c:pt idx="42">
                  <c:v>17.48</c:v>
                </c:pt>
                <c:pt idx="43">
                  <c:v>17.12</c:v>
                </c:pt>
                <c:pt idx="44">
                  <c:v>15.87</c:v>
                </c:pt>
                <c:pt idx="45">
                  <c:v>12.75</c:v>
                </c:pt>
                <c:pt idx="46">
                  <c:v>11.29</c:v>
                </c:pt>
                <c:pt idx="47">
                  <c:v>11.72</c:v>
                </c:pt>
                <c:pt idx="48">
                  <c:v>13.36</c:v>
                </c:pt>
                <c:pt idx="49">
                  <c:v>12.76</c:v>
                </c:pt>
                <c:pt idx="50">
                  <c:v>11.86</c:v>
                </c:pt>
                <c:pt idx="51">
                  <c:v>10.57</c:v>
                </c:pt>
                <c:pt idx="52">
                  <c:v>9.19</c:v>
                </c:pt>
                <c:pt idx="53">
                  <c:v>11.06</c:v>
                </c:pt>
                <c:pt idx="54">
                  <c:v>17.48</c:v>
                </c:pt>
                <c:pt idx="55">
                  <c:v>21.73</c:v>
                </c:pt>
                <c:pt idx="56">
                  <c:v>22.6</c:v>
                </c:pt>
                <c:pt idx="57">
                  <c:v>22.82</c:v>
                </c:pt>
                <c:pt idx="58">
                  <c:v>22.91</c:v>
                </c:pt>
                <c:pt idx="59">
                  <c:v>26.8</c:v>
                </c:pt>
                <c:pt idx="60">
                  <c:v>37.57</c:v>
                </c:pt>
                <c:pt idx="61">
                  <c:v>37.74</c:v>
                </c:pt>
                <c:pt idx="62">
                  <c:v>33.31</c:v>
                </c:pt>
                <c:pt idx="63">
                  <c:v>24.7</c:v>
                </c:pt>
                <c:pt idx="64">
                  <c:v>20.75</c:v>
                </c:pt>
                <c:pt idx="65">
                  <c:v>21.27</c:v>
                </c:pt>
                <c:pt idx="66">
                  <c:v>20.52</c:v>
                </c:pt>
                <c:pt idx="67">
                  <c:v>19.46</c:v>
                </c:pt>
                <c:pt idx="68">
                  <c:v>18.63</c:v>
                </c:pt>
                <c:pt idx="69">
                  <c:v>20.170000000000002</c:v>
                </c:pt>
                <c:pt idx="70">
                  <c:v>23.61</c:v>
                </c:pt>
                <c:pt idx="71">
                  <c:v>24.77</c:v>
                </c:pt>
                <c:pt idx="72">
                  <c:v>22.87</c:v>
                </c:pt>
                <c:pt idx="73">
                  <c:v>19.28</c:v>
                </c:pt>
                <c:pt idx="74">
                  <c:v>18.170000000000002</c:v>
                </c:pt>
                <c:pt idx="75">
                  <c:v>17.170000000000002</c:v>
                </c:pt>
                <c:pt idx="76">
                  <c:v>16.399999999999999</c:v>
                </c:pt>
                <c:pt idx="77">
                  <c:v>15.34</c:v>
                </c:pt>
                <c:pt idx="78">
                  <c:v>14.54</c:v>
                </c:pt>
                <c:pt idx="79">
                  <c:v>14.57</c:v>
                </c:pt>
                <c:pt idx="80">
                  <c:v>15.19</c:v>
                </c:pt>
                <c:pt idx="81">
                  <c:v>14.44</c:v>
                </c:pt>
                <c:pt idx="82">
                  <c:v>14.29</c:v>
                </c:pt>
                <c:pt idx="83">
                  <c:v>14.03</c:v>
                </c:pt>
                <c:pt idx="84">
                  <c:v>15.1</c:v>
                </c:pt>
                <c:pt idx="85">
                  <c:v>15.68</c:v>
                </c:pt>
                <c:pt idx="86">
                  <c:v>17.39</c:v>
                </c:pt>
                <c:pt idx="87">
                  <c:v>19.329999999999998</c:v>
                </c:pt>
                <c:pt idx="88">
                  <c:v>21.4</c:v>
                </c:pt>
                <c:pt idx="89">
                  <c:v>21.32</c:v>
                </c:pt>
                <c:pt idx="90">
                  <c:v>24.44</c:v>
                </c:pt>
                <c:pt idx="91">
                  <c:v>29.22</c:v>
                </c:pt>
                <c:pt idx="92">
                  <c:v>32.32</c:v>
                </c:pt>
                <c:pt idx="93">
                  <c:v>34.6</c:v>
                </c:pt>
                <c:pt idx="94">
                  <c:v>34.65</c:v>
                </c:pt>
                <c:pt idx="95">
                  <c:v>34.19</c:v>
                </c:pt>
                <c:pt idx="96">
                  <c:v>33.51</c:v>
                </c:pt>
                <c:pt idx="97">
                  <c:v>32.770000000000003</c:v>
                </c:pt>
                <c:pt idx="98">
                  <c:v>31.01</c:v>
                </c:pt>
                <c:pt idx="99">
                  <c:v>28.6</c:v>
                </c:pt>
                <c:pt idx="100">
                  <c:v>26.02</c:v>
                </c:pt>
                <c:pt idx="101">
                  <c:v>22.03</c:v>
                </c:pt>
                <c:pt idx="102">
                  <c:v>19.34</c:v>
                </c:pt>
                <c:pt idx="103">
                  <c:v>19.97</c:v>
                </c:pt>
                <c:pt idx="104">
                  <c:v>20.29</c:v>
                </c:pt>
                <c:pt idx="105">
                  <c:v>20.13</c:v>
                </c:pt>
                <c:pt idx="106">
                  <c:v>20.22</c:v>
                </c:pt>
                <c:pt idx="107">
                  <c:v>26.44</c:v>
                </c:pt>
                <c:pt idx="108">
                  <c:v>33.049999999999997</c:v>
                </c:pt>
                <c:pt idx="109">
                  <c:v>35.79</c:v>
                </c:pt>
                <c:pt idx="110">
                  <c:v>37.659999999999997</c:v>
                </c:pt>
                <c:pt idx="111">
                  <c:v>39.950000000000003</c:v>
                </c:pt>
                <c:pt idx="112">
                  <c:v>45.77</c:v>
                </c:pt>
                <c:pt idx="113">
                  <c:v>51.34</c:v>
                </c:pt>
                <c:pt idx="114">
                  <c:v>51.52</c:v>
                </c:pt>
                <c:pt idx="115">
                  <c:v>54.51</c:v>
                </c:pt>
                <c:pt idx="116">
                  <c:v>59.76</c:v>
                </c:pt>
                <c:pt idx="117">
                  <c:v>63.1</c:v>
                </c:pt>
                <c:pt idx="118">
                  <c:v>66.400000000000006</c:v>
                </c:pt>
                <c:pt idx="119">
                  <c:v>69.05</c:v>
                </c:pt>
                <c:pt idx="120">
                  <c:v>71.13</c:v>
                </c:pt>
                <c:pt idx="121">
                  <c:v>72.489999999999995</c:v>
                </c:pt>
                <c:pt idx="122">
                  <c:v>73.31</c:v>
                </c:pt>
                <c:pt idx="123">
                  <c:v>72.42</c:v>
                </c:pt>
                <c:pt idx="124">
                  <c:v>72.42</c:v>
                </c:pt>
                <c:pt idx="125">
                  <c:v>71.39</c:v>
                </c:pt>
                <c:pt idx="126">
                  <c:v>71</c:v>
                </c:pt>
                <c:pt idx="127">
                  <c:v>69.930000000000007</c:v>
                </c:pt>
                <c:pt idx="128">
                  <c:v>69.239999999999995</c:v>
                </c:pt>
                <c:pt idx="129">
                  <c:v>67.78</c:v>
                </c:pt>
                <c:pt idx="130">
                  <c:v>67.069999999999993</c:v>
                </c:pt>
                <c:pt idx="131">
                  <c:v>66.040000000000006</c:v>
                </c:pt>
                <c:pt idx="132">
                  <c:v>67.73</c:v>
                </c:pt>
                <c:pt idx="133">
                  <c:v>71.64</c:v>
                </c:pt>
                <c:pt idx="134">
                  <c:v>73.33</c:v>
                </c:pt>
                <c:pt idx="135">
                  <c:v>72.900000000000006</c:v>
                </c:pt>
                <c:pt idx="136">
                  <c:v>74.05</c:v>
                </c:pt>
                <c:pt idx="137">
                  <c:v>79.81</c:v>
                </c:pt>
                <c:pt idx="138">
                  <c:v>85.81</c:v>
                </c:pt>
                <c:pt idx="139">
                  <c:v>85.99</c:v>
                </c:pt>
                <c:pt idx="140">
                  <c:v>83.8</c:v>
                </c:pt>
                <c:pt idx="141">
                  <c:v>81.67</c:v>
                </c:pt>
                <c:pt idx="142">
                  <c:v>81.849999999999994</c:v>
                </c:pt>
                <c:pt idx="143">
                  <c:v>86.51</c:v>
                </c:pt>
                <c:pt idx="144">
                  <c:v>87.99</c:v>
                </c:pt>
                <c:pt idx="145">
                  <c:v>88.87</c:v>
                </c:pt>
                <c:pt idx="146">
                  <c:v>89.15</c:v>
                </c:pt>
                <c:pt idx="147">
                  <c:v>91.64</c:v>
                </c:pt>
                <c:pt idx="148">
                  <c:v>92.74</c:v>
                </c:pt>
                <c:pt idx="149">
                  <c:v>95.2</c:v>
                </c:pt>
                <c:pt idx="150">
                  <c:v>96.12</c:v>
                </c:pt>
                <c:pt idx="151">
                  <c:v>96.05</c:v>
                </c:pt>
                <c:pt idx="152">
                  <c:v>94.6</c:v>
                </c:pt>
                <c:pt idx="153">
                  <c:v>94.65</c:v>
                </c:pt>
                <c:pt idx="154">
                  <c:v>94.65</c:v>
                </c:pt>
                <c:pt idx="155">
                  <c:v>92.8</c:v>
                </c:pt>
                <c:pt idx="156">
                  <c:v>91.76</c:v>
                </c:pt>
                <c:pt idx="157">
                  <c:v>91.38</c:v>
                </c:pt>
                <c:pt idx="158">
                  <c:v>91.38</c:v>
                </c:pt>
                <c:pt idx="159">
                  <c:v>90.46</c:v>
                </c:pt>
                <c:pt idx="160">
                  <c:v>87.86</c:v>
                </c:pt>
                <c:pt idx="161">
                  <c:v>85.53</c:v>
                </c:pt>
                <c:pt idx="162">
                  <c:v>85.81</c:v>
                </c:pt>
                <c:pt idx="163">
                  <c:v>86.04</c:v>
                </c:pt>
                <c:pt idx="164">
                  <c:v>85.96</c:v>
                </c:pt>
                <c:pt idx="165">
                  <c:v>86.03</c:v>
                </c:pt>
                <c:pt idx="166">
                  <c:v>87.13</c:v>
                </c:pt>
                <c:pt idx="167">
                  <c:v>88.64</c:v>
                </c:pt>
                <c:pt idx="168">
                  <c:v>89.07</c:v>
                </c:pt>
                <c:pt idx="169">
                  <c:v>88.19</c:v>
                </c:pt>
                <c:pt idx="170">
                  <c:v>90.69</c:v>
                </c:pt>
                <c:pt idx="171">
                  <c:v>92.26</c:v>
                </c:pt>
                <c:pt idx="172">
                  <c:v>96.68</c:v>
                </c:pt>
                <c:pt idx="173">
                  <c:v>98.13</c:v>
                </c:pt>
                <c:pt idx="174">
                  <c:v>98.1</c:v>
                </c:pt>
                <c:pt idx="175">
                  <c:v>98.07</c:v>
                </c:pt>
                <c:pt idx="176">
                  <c:v>97.84</c:v>
                </c:pt>
                <c:pt idx="177">
                  <c:v>97.79</c:v>
                </c:pt>
                <c:pt idx="178">
                  <c:v>96.51</c:v>
                </c:pt>
                <c:pt idx="179">
                  <c:v>94.78</c:v>
                </c:pt>
                <c:pt idx="180">
                  <c:v>93.49</c:v>
                </c:pt>
                <c:pt idx="181">
                  <c:v>90.31</c:v>
                </c:pt>
                <c:pt idx="182">
                  <c:v>90.49</c:v>
                </c:pt>
                <c:pt idx="183">
                  <c:v>94.08</c:v>
                </c:pt>
                <c:pt idx="184">
                  <c:v>95.2</c:v>
                </c:pt>
                <c:pt idx="185">
                  <c:v>95.22</c:v>
                </c:pt>
                <c:pt idx="186">
                  <c:v>95.24</c:v>
                </c:pt>
                <c:pt idx="187">
                  <c:v>95.69</c:v>
                </c:pt>
                <c:pt idx="188">
                  <c:v>96.04</c:v>
                </c:pt>
                <c:pt idx="189">
                  <c:v>98.27</c:v>
                </c:pt>
                <c:pt idx="190">
                  <c:v>100.76</c:v>
                </c:pt>
                <c:pt idx="191">
                  <c:v>103.3</c:v>
                </c:pt>
                <c:pt idx="192">
                  <c:v>102.85</c:v>
                </c:pt>
                <c:pt idx="193">
                  <c:v>98.77</c:v>
                </c:pt>
                <c:pt idx="194">
                  <c:v>98.77</c:v>
                </c:pt>
                <c:pt idx="195">
                  <c:v>98.65</c:v>
                </c:pt>
                <c:pt idx="196">
                  <c:v>97.08</c:v>
                </c:pt>
                <c:pt idx="197">
                  <c:v>95.17</c:v>
                </c:pt>
                <c:pt idx="198">
                  <c:v>94.6</c:v>
                </c:pt>
                <c:pt idx="199">
                  <c:v>94.69</c:v>
                </c:pt>
                <c:pt idx="200">
                  <c:v>94.49</c:v>
                </c:pt>
                <c:pt idx="201">
                  <c:v>93.38</c:v>
                </c:pt>
                <c:pt idx="202">
                  <c:v>91.41</c:v>
                </c:pt>
                <c:pt idx="203">
                  <c:v>91.45</c:v>
                </c:pt>
                <c:pt idx="204">
                  <c:v>92.51</c:v>
                </c:pt>
                <c:pt idx="205">
                  <c:v>92.99</c:v>
                </c:pt>
                <c:pt idx="206">
                  <c:v>92.46</c:v>
                </c:pt>
                <c:pt idx="207">
                  <c:v>94.77</c:v>
                </c:pt>
                <c:pt idx="208">
                  <c:v>95.88</c:v>
                </c:pt>
                <c:pt idx="209">
                  <c:v>95.55</c:v>
                </c:pt>
                <c:pt idx="210">
                  <c:v>93.75</c:v>
                </c:pt>
                <c:pt idx="211">
                  <c:v>93.32</c:v>
                </c:pt>
                <c:pt idx="212">
                  <c:v>93.69</c:v>
                </c:pt>
                <c:pt idx="213">
                  <c:v>93.45</c:v>
                </c:pt>
                <c:pt idx="214">
                  <c:v>93.24</c:v>
                </c:pt>
                <c:pt idx="215">
                  <c:v>93.55</c:v>
                </c:pt>
                <c:pt idx="216">
                  <c:v>94.62</c:v>
                </c:pt>
                <c:pt idx="217">
                  <c:v>94.97</c:v>
                </c:pt>
                <c:pt idx="218">
                  <c:v>94.87</c:v>
                </c:pt>
                <c:pt idx="219">
                  <c:v>95.08</c:v>
                </c:pt>
                <c:pt idx="220">
                  <c:v>95.73</c:v>
                </c:pt>
                <c:pt idx="221">
                  <c:v>97.62</c:v>
                </c:pt>
                <c:pt idx="222">
                  <c:v>100.15</c:v>
                </c:pt>
                <c:pt idx="223">
                  <c:v>100.54</c:v>
                </c:pt>
                <c:pt idx="224">
                  <c:v>103.19</c:v>
                </c:pt>
                <c:pt idx="225">
                  <c:v>103.28</c:v>
                </c:pt>
                <c:pt idx="226">
                  <c:v>103.08</c:v>
                </c:pt>
                <c:pt idx="227">
                  <c:v>102.56</c:v>
                </c:pt>
                <c:pt idx="228">
                  <c:v>101.95</c:v>
                </c:pt>
                <c:pt idx="229">
                  <c:v>101.64</c:v>
                </c:pt>
                <c:pt idx="230">
                  <c:v>101.16</c:v>
                </c:pt>
                <c:pt idx="231">
                  <c:v>97.63</c:v>
                </c:pt>
                <c:pt idx="232">
                  <c:v>95.13</c:v>
                </c:pt>
                <c:pt idx="233">
                  <c:v>95.19</c:v>
                </c:pt>
                <c:pt idx="234">
                  <c:v>94.25</c:v>
                </c:pt>
                <c:pt idx="235">
                  <c:v>87.81</c:v>
                </c:pt>
                <c:pt idx="236">
                  <c:v>88.21</c:v>
                </c:pt>
                <c:pt idx="237">
                  <c:v>89.96</c:v>
                </c:pt>
                <c:pt idx="238">
                  <c:v>91.95</c:v>
                </c:pt>
                <c:pt idx="239">
                  <c:v>91.58</c:v>
                </c:pt>
                <c:pt idx="240">
                  <c:v>90.82</c:v>
                </c:pt>
                <c:pt idx="241">
                  <c:v>93.92</c:v>
                </c:pt>
                <c:pt idx="242">
                  <c:v>91.54</c:v>
                </c:pt>
                <c:pt idx="243">
                  <c:v>88.67</c:v>
                </c:pt>
                <c:pt idx="244">
                  <c:v>87.57</c:v>
                </c:pt>
                <c:pt idx="245">
                  <c:v>87.4</c:v>
                </c:pt>
                <c:pt idx="246">
                  <c:v>87.38</c:v>
                </c:pt>
                <c:pt idx="247">
                  <c:v>87.59</c:v>
                </c:pt>
                <c:pt idx="248">
                  <c:v>88.6</c:v>
                </c:pt>
                <c:pt idx="249">
                  <c:v>94</c:v>
                </c:pt>
                <c:pt idx="250">
                  <c:v>95.48</c:v>
                </c:pt>
                <c:pt idx="251">
                  <c:v>95.74</c:v>
                </c:pt>
                <c:pt idx="252">
                  <c:v>98.56</c:v>
                </c:pt>
                <c:pt idx="253">
                  <c:v>99.61</c:v>
                </c:pt>
                <c:pt idx="254">
                  <c:v>99.68</c:v>
                </c:pt>
                <c:pt idx="255">
                  <c:v>99.64</c:v>
                </c:pt>
                <c:pt idx="256">
                  <c:v>99.51</c:v>
                </c:pt>
                <c:pt idx="257">
                  <c:v>99.62</c:v>
                </c:pt>
                <c:pt idx="258">
                  <c:v>99.74</c:v>
                </c:pt>
                <c:pt idx="259">
                  <c:v>98.65</c:v>
                </c:pt>
                <c:pt idx="260">
                  <c:v>97.67</c:v>
                </c:pt>
                <c:pt idx="261">
                  <c:v>97.67</c:v>
                </c:pt>
                <c:pt idx="262">
                  <c:v>97.97</c:v>
                </c:pt>
                <c:pt idx="263">
                  <c:v>97.58</c:v>
                </c:pt>
                <c:pt idx="264">
                  <c:v>96.56</c:v>
                </c:pt>
                <c:pt idx="265">
                  <c:v>96.51</c:v>
                </c:pt>
                <c:pt idx="266">
                  <c:v>96.5</c:v>
                </c:pt>
                <c:pt idx="267">
                  <c:v>96.43</c:v>
                </c:pt>
                <c:pt idx="268">
                  <c:v>95.81</c:v>
                </c:pt>
                <c:pt idx="269">
                  <c:v>94.92</c:v>
                </c:pt>
                <c:pt idx="270">
                  <c:v>94.5</c:v>
                </c:pt>
                <c:pt idx="271">
                  <c:v>92.93</c:v>
                </c:pt>
                <c:pt idx="272">
                  <c:v>92.79</c:v>
                </c:pt>
                <c:pt idx="273">
                  <c:v>92.19</c:v>
                </c:pt>
                <c:pt idx="274">
                  <c:v>90.5</c:v>
                </c:pt>
                <c:pt idx="275">
                  <c:v>89.49</c:v>
                </c:pt>
                <c:pt idx="276">
                  <c:v>89.16</c:v>
                </c:pt>
                <c:pt idx="277">
                  <c:v>89.13</c:v>
                </c:pt>
                <c:pt idx="278">
                  <c:v>89.17</c:v>
                </c:pt>
                <c:pt idx="279">
                  <c:v>89.02</c:v>
                </c:pt>
                <c:pt idx="280">
                  <c:v>89.34</c:v>
                </c:pt>
                <c:pt idx="281">
                  <c:v>89.44</c:v>
                </c:pt>
                <c:pt idx="282">
                  <c:v>88.53</c:v>
                </c:pt>
                <c:pt idx="283">
                  <c:v>88.33</c:v>
                </c:pt>
                <c:pt idx="284">
                  <c:v>85.54</c:v>
                </c:pt>
                <c:pt idx="285">
                  <c:v>84.9</c:v>
                </c:pt>
                <c:pt idx="286">
                  <c:v>87.72</c:v>
                </c:pt>
                <c:pt idx="287">
                  <c:v>91.06</c:v>
                </c:pt>
                <c:pt idx="288">
                  <c:v>91.72</c:v>
                </c:pt>
                <c:pt idx="289">
                  <c:v>96.2</c:v>
                </c:pt>
                <c:pt idx="290">
                  <c:v>96.03</c:v>
                </c:pt>
                <c:pt idx="291">
                  <c:v>96.12</c:v>
                </c:pt>
                <c:pt idx="292">
                  <c:v>95.88</c:v>
                </c:pt>
                <c:pt idx="293">
                  <c:v>95.61</c:v>
                </c:pt>
                <c:pt idx="294">
                  <c:v>95.57</c:v>
                </c:pt>
                <c:pt idx="295">
                  <c:v>95.5</c:v>
                </c:pt>
                <c:pt idx="296">
                  <c:v>95.2</c:v>
                </c:pt>
                <c:pt idx="297">
                  <c:v>95.08</c:v>
                </c:pt>
                <c:pt idx="298">
                  <c:v>94.46</c:v>
                </c:pt>
                <c:pt idx="299">
                  <c:v>94.19</c:v>
                </c:pt>
                <c:pt idx="300">
                  <c:v>94.26</c:v>
                </c:pt>
                <c:pt idx="301">
                  <c:v>94.58</c:v>
                </c:pt>
                <c:pt idx="302">
                  <c:v>95.13</c:v>
                </c:pt>
                <c:pt idx="303">
                  <c:v>94.85</c:v>
                </c:pt>
                <c:pt idx="304">
                  <c:v>94.73</c:v>
                </c:pt>
                <c:pt idx="305">
                  <c:v>94.34</c:v>
                </c:pt>
                <c:pt idx="306">
                  <c:v>94.28</c:v>
                </c:pt>
                <c:pt idx="307">
                  <c:v>93.2</c:v>
                </c:pt>
                <c:pt idx="308">
                  <c:v>92.57</c:v>
                </c:pt>
                <c:pt idx="309">
                  <c:v>90.61</c:v>
                </c:pt>
                <c:pt idx="310">
                  <c:v>90.91</c:v>
                </c:pt>
                <c:pt idx="311">
                  <c:v>93.78</c:v>
                </c:pt>
                <c:pt idx="312">
                  <c:v>94.62</c:v>
                </c:pt>
                <c:pt idx="313">
                  <c:v>98.95</c:v>
                </c:pt>
                <c:pt idx="314">
                  <c:v>98.55</c:v>
                </c:pt>
                <c:pt idx="315">
                  <c:v>93.91</c:v>
                </c:pt>
                <c:pt idx="316">
                  <c:v>89.35</c:v>
                </c:pt>
                <c:pt idx="317">
                  <c:v>83.69</c:v>
                </c:pt>
                <c:pt idx="318">
                  <c:v>64.95</c:v>
                </c:pt>
                <c:pt idx="319">
                  <c:v>60.2</c:v>
                </c:pt>
                <c:pt idx="320">
                  <c:v>66.97</c:v>
                </c:pt>
                <c:pt idx="321">
                  <c:v>70.55</c:v>
                </c:pt>
                <c:pt idx="322">
                  <c:v>69.430000000000007</c:v>
                </c:pt>
                <c:pt idx="323">
                  <c:v>62.37</c:v>
                </c:pt>
                <c:pt idx="324">
                  <c:v>60.98</c:v>
                </c:pt>
                <c:pt idx="325">
                  <c:v>56.62</c:v>
                </c:pt>
                <c:pt idx="326">
                  <c:v>50</c:v>
                </c:pt>
                <c:pt idx="327">
                  <c:v>47.17</c:v>
                </c:pt>
                <c:pt idx="328">
                  <c:v>43.04</c:v>
                </c:pt>
                <c:pt idx="329">
                  <c:v>38.22</c:v>
                </c:pt>
                <c:pt idx="330">
                  <c:v>35.04</c:v>
                </c:pt>
                <c:pt idx="331">
                  <c:v>32.15</c:v>
                </c:pt>
                <c:pt idx="332">
                  <c:v>24.71</c:v>
                </c:pt>
                <c:pt idx="333">
                  <c:v>23.07</c:v>
                </c:pt>
                <c:pt idx="334">
                  <c:v>25.14</c:v>
                </c:pt>
                <c:pt idx="335">
                  <c:v>26.3</c:v>
                </c:pt>
                <c:pt idx="336">
                  <c:v>29.11</c:v>
                </c:pt>
                <c:pt idx="337">
                  <c:v>27.96</c:v>
                </c:pt>
                <c:pt idx="338">
                  <c:v>28.32</c:v>
                </c:pt>
                <c:pt idx="339">
                  <c:v>45.96</c:v>
                </c:pt>
                <c:pt idx="340">
                  <c:v>46.04</c:v>
                </c:pt>
                <c:pt idx="341">
                  <c:v>34.96</c:v>
                </c:pt>
                <c:pt idx="342">
                  <c:v>27.15</c:v>
                </c:pt>
                <c:pt idx="343">
                  <c:v>19.64</c:v>
                </c:pt>
                <c:pt idx="344">
                  <c:v>16.52</c:v>
                </c:pt>
                <c:pt idx="345">
                  <c:v>10.84</c:v>
                </c:pt>
                <c:pt idx="346">
                  <c:v>10.75</c:v>
                </c:pt>
                <c:pt idx="347">
                  <c:v>9.11</c:v>
                </c:pt>
                <c:pt idx="348">
                  <c:v>13.45</c:v>
                </c:pt>
                <c:pt idx="349">
                  <c:v>10.57</c:v>
                </c:pt>
                <c:pt idx="350">
                  <c:v>8.01</c:v>
                </c:pt>
                <c:pt idx="351">
                  <c:v>5.44</c:v>
                </c:pt>
                <c:pt idx="352">
                  <c:v>1.95</c:v>
                </c:pt>
                <c:pt idx="353">
                  <c:v>-7.0000000000000007E-2</c:v>
                </c:pt>
                <c:pt idx="354">
                  <c:v>-0.05</c:v>
                </c:pt>
                <c:pt idx="355">
                  <c:v>-0.04</c:v>
                </c:pt>
                <c:pt idx="356">
                  <c:v>-0.05</c:v>
                </c:pt>
                <c:pt idx="357">
                  <c:v>-0.01</c:v>
                </c:pt>
                <c:pt idx="358">
                  <c:v>-0.03</c:v>
                </c:pt>
                <c:pt idx="359">
                  <c:v>0.04</c:v>
                </c:pt>
                <c:pt idx="360">
                  <c:v>0.01</c:v>
                </c:pt>
                <c:pt idx="361">
                  <c:v>0.39</c:v>
                </c:pt>
                <c:pt idx="362">
                  <c:v>0.61</c:v>
                </c:pt>
                <c:pt idx="363">
                  <c:v>0.12</c:v>
                </c:pt>
                <c:pt idx="364">
                  <c:v>0.09</c:v>
                </c:pt>
                <c:pt idx="365">
                  <c:v>-7.0000000000000007E-2</c:v>
                </c:pt>
                <c:pt idx="366">
                  <c:v>27.52</c:v>
                </c:pt>
                <c:pt idx="367">
                  <c:v>34.39</c:v>
                </c:pt>
                <c:pt idx="368">
                  <c:v>32.54</c:v>
                </c:pt>
                <c:pt idx="369">
                  <c:v>25.93</c:v>
                </c:pt>
                <c:pt idx="370">
                  <c:v>21.31</c:v>
                </c:pt>
                <c:pt idx="371">
                  <c:v>15.91</c:v>
                </c:pt>
                <c:pt idx="372">
                  <c:v>8.65</c:v>
                </c:pt>
                <c:pt idx="373">
                  <c:v>5.21</c:v>
                </c:pt>
                <c:pt idx="374">
                  <c:v>4.59</c:v>
                </c:pt>
                <c:pt idx="375">
                  <c:v>2.59</c:v>
                </c:pt>
                <c:pt idx="376">
                  <c:v>0.64</c:v>
                </c:pt>
                <c:pt idx="377">
                  <c:v>1.1299999999999999</c:v>
                </c:pt>
                <c:pt idx="378">
                  <c:v>2.81</c:v>
                </c:pt>
                <c:pt idx="379">
                  <c:v>3.63</c:v>
                </c:pt>
                <c:pt idx="380">
                  <c:v>5.09</c:v>
                </c:pt>
                <c:pt idx="381">
                  <c:v>7.34</c:v>
                </c:pt>
                <c:pt idx="382">
                  <c:v>7.49</c:v>
                </c:pt>
                <c:pt idx="383">
                  <c:v>8.07</c:v>
                </c:pt>
                <c:pt idx="384">
                  <c:v>6.55</c:v>
                </c:pt>
                <c:pt idx="385">
                  <c:v>4.1399999999999997</c:v>
                </c:pt>
                <c:pt idx="386">
                  <c:v>1.84</c:v>
                </c:pt>
                <c:pt idx="387">
                  <c:v>0.69</c:v>
                </c:pt>
                <c:pt idx="388">
                  <c:v>0.09</c:v>
                </c:pt>
                <c:pt idx="389">
                  <c:v>0.1</c:v>
                </c:pt>
                <c:pt idx="390">
                  <c:v>0.12</c:v>
                </c:pt>
                <c:pt idx="391">
                  <c:v>1.3</c:v>
                </c:pt>
                <c:pt idx="392">
                  <c:v>1.94</c:v>
                </c:pt>
                <c:pt idx="393">
                  <c:v>3.83</c:v>
                </c:pt>
                <c:pt idx="394">
                  <c:v>5.09</c:v>
                </c:pt>
                <c:pt idx="395">
                  <c:v>7.8</c:v>
                </c:pt>
                <c:pt idx="396">
                  <c:v>14.05</c:v>
                </c:pt>
                <c:pt idx="397">
                  <c:v>22.76</c:v>
                </c:pt>
                <c:pt idx="398">
                  <c:v>31.6</c:v>
                </c:pt>
                <c:pt idx="399">
                  <c:v>39.56</c:v>
                </c:pt>
                <c:pt idx="400">
                  <c:v>46.79</c:v>
                </c:pt>
                <c:pt idx="401">
                  <c:v>55.22</c:v>
                </c:pt>
                <c:pt idx="402">
                  <c:v>56.42</c:v>
                </c:pt>
                <c:pt idx="403">
                  <c:v>56.65</c:v>
                </c:pt>
                <c:pt idx="404">
                  <c:v>56.91</c:v>
                </c:pt>
                <c:pt idx="405">
                  <c:v>56.74</c:v>
                </c:pt>
                <c:pt idx="406">
                  <c:v>56.7</c:v>
                </c:pt>
                <c:pt idx="407">
                  <c:v>56.71</c:v>
                </c:pt>
                <c:pt idx="408">
                  <c:v>56.7</c:v>
                </c:pt>
                <c:pt idx="409">
                  <c:v>56.1</c:v>
                </c:pt>
                <c:pt idx="410">
                  <c:v>57.2</c:v>
                </c:pt>
                <c:pt idx="411">
                  <c:v>57.21</c:v>
                </c:pt>
                <c:pt idx="412">
                  <c:v>57.69</c:v>
                </c:pt>
                <c:pt idx="413">
                  <c:v>58.13</c:v>
                </c:pt>
                <c:pt idx="414">
                  <c:v>58</c:v>
                </c:pt>
                <c:pt idx="415">
                  <c:v>57.52</c:v>
                </c:pt>
                <c:pt idx="416">
                  <c:v>57.25</c:v>
                </c:pt>
                <c:pt idx="417">
                  <c:v>57.03</c:v>
                </c:pt>
                <c:pt idx="418">
                  <c:v>57.08</c:v>
                </c:pt>
                <c:pt idx="419">
                  <c:v>56.79</c:v>
                </c:pt>
                <c:pt idx="420">
                  <c:v>56.82</c:v>
                </c:pt>
                <c:pt idx="421">
                  <c:v>56.82</c:v>
                </c:pt>
                <c:pt idx="422">
                  <c:v>57.17</c:v>
                </c:pt>
                <c:pt idx="423">
                  <c:v>59.32</c:v>
                </c:pt>
                <c:pt idx="424">
                  <c:v>64.84</c:v>
                </c:pt>
                <c:pt idx="425">
                  <c:v>70.02</c:v>
                </c:pt>
                <c:pt idx="426">
                  <c:v>73.540000000000006</c:v>
                </c:pt>
                <c:pt idx="427">
                  <c:v>78.13</c:v>
                </c:pt>
                <c:pt idx="428">
                  <c:v>77.95</c:v>
                </c:pt>
                <c:pt idx="429">
                  <c:v>79.53</c:v>
                </c:pt>
                <c:pt idx="430">
                  <c:v>76.86</c:v>
                </c:pt>
                <c:pt idx="431">
                  <c:v>77.02</c:v>
                </c:pt>
                <c:pt idx="432">
                  <c:v>76.64</c:v>
                </c:pt>
                <c:pt idx="433">
                  <c:v>76.75</c:v>
                </c:pt>
                <c:pt idx="434">
                  <c:v>76.37</c:v>
                </c:pt>
                <c:pt idx="435">
                  <c:v>73.849999999999994</c:v>
                </c:pt>
                <c:pt idx="436">
                  <c:v>70.69</c:v>
                </c:pt>
                <c:pt idx="437">
                  <c:v>66.099999999999994</c:v>
                </c:pt>
                <c:pt idx="438">
                  <c:v>65.87</c:v>
                </c:pt>
                <c:pt idx="439">
                  <c:v>66.06</c:v>
                </c:pt>
                <c:pt idx="440">
                  <c:v>69.400000000000006</c:v>
                </c:pt>
                <c:pt idx="441">
                  <c:v>69.790000000000006</c:v>
                </c:pt>
                <c:pt idx="442">
                  <c:v>68.819999999999993</c:v>
                </c:pt>
                <c:pt idx="443">
                  <c:v>67.989999999999995</c:v>
                </c:pt>
                <c:pt idx="444">
                  <c:v>69.680000000000007</c:v>
                </c:pt>
                <c:pt idx="445">
                  <c:v>71.23</c:v>
                </c:pt>
                <c:pt idx="446">
                  <c:v>74.290000000000006</c:v>
                </c:pt>
                <c:pt idx="447">
                  <c:v>72.150000000000006</c:v>
                </c:pt>
                <c:pt idx="448">
                  <c:v>70.56</c:v>
                </c:pt>
                <c:pt idx="449">
                  <c:v>61.52</c:v>
                </c:pt>
                <c:pt idx="450">
                  <c:v>59.59</c:v>
                </c:pt>
                <c:pt idx="451">
                  <c:v>52.37</c:v>
                </c:pt>
                <c:pt idx="452">
                  <c:v>48.18</c:v>
                </c:pt>
                <c:pt idx="453">
                  <c:v>44.08</c:v>
                </c:pt>
                <c:pt idx="454">
                  <c:v>43.91</c:v>
                </c:pt>
                <c:pt idx="455">
                  <c:v>40.479999999999997</c:v>
                </c:pt>
                <c:pt idx="456">
                  <c:v>49.34</c:v>
                </c:pt>
                <c:pt idx="457">
                  <c:v>52</c:v>
                </c:pt>
                <c:pt idx="458">
                  <c:v>55.73</c:v>
                </c:pt>
                <c:pt idx="459">
                  <c:v>58.88</c:v>
                </c:pt>
                <c:pt idx="460">
                  <c:v>60.45</c:v>
                </c:pt>
                <c:pt idx="461">
                  <c:v>59.98</c:v>
                </c:pt>
                <c:pt idx="462">
                  <c:v>59.54</c:v>
                </c:pt>
                <c:pt idx="463">
                  <c:v>60.37</c:v>
                </c:pt>
                <c:pt idx="464">
                  <c:v>61.52</c:v>
                </c:pt>
                <c:pt idx="465">
                  <c:v>59.46</c:v>
                </c:pt>
                <c:pt idx="466">
                  <c:v>59.26</c:v>
                </c:pt>
                <c:pt idx="467">
                  <c:v>57.15</c:v>
                </c:pt>
                <c:pt idx="468">
                  <c:v>58.13</c:v>
                </c:pt>
                <c:pt idx="469">
                  <c:v>57.26</c:v>
                </c:pt>
                <c:pt idx="470">
                  <c:v>58.08</c:v>
                </c:pt>
                <c:pt idx="471">
                  <c:v>57.55</c:v>
                </c:pt>
                <c:pt idx="472">
                  <c:v>56.13</c:v>
                </c:pt>
                <c:pt idx="473">
                  <c:v>57.34</c:v>
                </c:pt>
                <c:pt idx="474">
                  <c:v>54.47</c:v>
                </c:pt>
                <c:pt idx="475">
                  <c:v>54.66</c:v>
                </c:pt>
                <c:pt idx="476">
                  <c:v>51.68</c:v>
                </c:pt>
                <c:pt idx="477">
                  <c:v>51.38</c:v>
                </c:pt>
                <c:pt idx="478">
                  <c:v>50.65</c:v>
                </c:pt>
                <c:pt idx="479">
                  <c:v>50.53</c:v>
                </c:pt>
                <c:pt idx="480">
                  <c:v>50.49</c:v>
                </c:pt>
                <c:pt idx="481">
                  <c:v>44.18</c:v>
                </c:pt>
                <c:pt idx="482">
                  <c:v>43.44</c:v>
                </c:pt>
                <c:pt idx="483">
                  <c:v>42.52</c:v>
                </c:pt>
                <c:pt idx="484">
                  <c:v>42.44</c:v>
                </c:pt>
                <c:pt idx="485">
                  <c:v>41.42</c:v>
                </c:pt>
                <c:pt idx="486">
                  <c:v>37.880000000000003</c:v>
                </c:pt>
                <c:pt idx="487">
                  <c:v>34.28</c:v>
                </c:pt>
                <c:pt idx="488">
                  <c:v>35.89</c:v>
                </c:pt>
                <c:pt idx="489">
                  <c:v>32.869999999999997</c:v>
                </c:pt>
                <c:pt idx="490">
                  <c:v>35.32</c:v>
                </c:pt>
                <c:pt idx="491">
                  <c:v>38.21</c:v>
                </c:pt>
                <c:pt idx="492">
                  <c:v>33.01</c:v>
                </c:pt>
                <c:pt idx="493">
                  <c:v>32.049999999999997</c:v>
                </c:pt>
                <c:pt idx="494">
                  <c:v>30.38</c:v>
                </c:pt>
                <c:pt idx="495">
                  <c:v>28.5</c:v>
                </c:pt>
                <c:pt idx="496">
                  <c:v>29.09</c:v>
                </c:pt>
                <c:pt idx="497">
                  <c:v>29.44</c:v>
                </c:pt>
                <c:pt idx="498">
                  <c:v>26.57</c:v>
                </c:pt>
                <c:pt idx="499">
                  <c:v>26.6</c:v>
                </c:pt>
                <c:pt idx="500">
                  <c:v>26.55</c:v>
                </c:pt>
                <c:pt idx="501">
                  <c:v>24.6</c:v>
                </c:pt>
                <c:pt idx="502">
                  <c:v>25.04</c:v>
                </c:pt>
                <c:pt idx="503">
                  <c:v>25.01</c:v>
                </c:pt>
                <c:pt idx="504">
                  <c:v>24.66</c:v>
                </c:pt>
                <c:pt idx="505">
                  <c:v>21.61</c:v>
                </c:pt>
                <c:pt idx="506">
                  <c:v>21.41</c:v>
                </c:pt>
                <c:pt idx="507">
                  <c:v>21.26</c:v>
                </c:pt>
                <c:pt idx="508">
                  <c:v>21.07</c:v>
                </c:pt>
                <c:pt idx="509">
                  <c:v>21.69</c:v>
                </c:pt>
                <c:pt idx="510">
                  <c:v>23.26</c:v>
                </c:pt>
                <c:pt idx="511">
                  <c:v>20.53</c:v>
                </c:pt>
                <c:pt idx="512">
                  <c:v>18.89</c:v>
                </c:pt>
                <c:pt idx="513">
                  <c:v>16.39</c:v>
                </c:pt>
                <c:pt idx="514">
                  <c:v>11.72</c:v>
                </c:pt>
                <c:pt idx="515">
                  <c:v>7.22</c:v>
                </c:pt>
                <c:pt idx="516">
                  <c:v>4.96</c:v>
                </c:pt>
                <c:pt idx="517">
                  <c:v>2.5</c:v>
                </c:pt>
                <c:pt idx="518">
                  <c:v>1.19</c:v>
                </c:pt>
                <c:pt idx="519">
                  <c:v>3.67</c:v>
                </c:pt>
                <c:pt idx="520">
                  <c:v>17.66</c:v>
                </c:pt>
                <c:pt idx="521">
                  <c:v>22.03</c:v>
                </c:pt>
                <c:pt idx="522">
                  <c:v>20.41</c:v>
                </c:pt>
                <c:pt idx="523">
                  <c:v>17.21</c:v>
                </c:pt>
                <c:pt idx="524">
                  <c:v>13.61</c:v>
                </c:pt>
                <c:pt idx="525">
                  <c:v>11.06</c:v>
                </c:pt>
                <c:pt idx="526">
                  <c:v>7.23</c:v>
                </c:pt>
                <c:pt idx="527">
                  <c:v>6.58</c:v>
                </c:pt>
                <c:pt idx="528">
                  <c:v>8.7799999999999994</c:v>
                </c:pt>
                <c:pt idx="529">
                  <c:v>19.84</c:v>
                </c:pt>
                <c:pt idx="530">
                  <c:v>25.79</c:v>
                </c:pt>
                <c:pt idx="531">
                  <c:v>25.37</c:v>
                </c:pt>
                <c:pt idx="532">
                  <c:v>25.72</c:v>
                </c:pt>
                <c:pt idx="533">
                  <c:v>26.25</c:v>
                </c:pt>
                <c:pt idx="534">
                  <c:v>19.760000000000002</c:v>
                </c:pt>
                <c:pt idx="535">
                  <c:v>15.01</c:v>
                </c:pt>
                <c:pt idx="536">
                  <c:v>15.08</c:v>
                </c:pt>
                <c:pt idx="537">
                  <c:v>14.48</c:v>
                </c:pt>
                <c:pt idx="538">
                  <c:v>13.32</c:v>
                </c:pt>
                <c:pt idx="539">
                  <c:v>13.41</c:v>
                </c:pt>
                <c:pt idx="540">
                  <c:v>15.3</c:v>
                </c:pt>
                <c:pt idx="541">
                  <c:v>16.600000000000001</c:v>
                </c:pt>
                <c:pt idx="542">
                  <c:v>18.559999999999999</c:v>
                </c:pt>
                <c:pt idx="543">
                  <c:v>26.62</c:v>
                </c:pt>
                <c:pt idx="544">
                  <c:v>29.49</c:v>
                </c:pt>
                <c:pt idx="545">
                  <c:v>35.58</c:v>
                </c:pt>
                <c:pt idx="546">
                  <c:v>43.58</c:v>
                </c:pt>
                <c:pt idx="547">
                  <c:v>43.61</c:v>
                </c:pt>
                <c:pt idx="548">
                  <c:v>47.65</c:v>
                </c:pt>
                <c:pt idx="549">
                  <c:v>56.35</c:v>
                </c:pt>
                <c:pt idx="550">
                  <c:v>60.13</c:v>
                </c:pt>
                <c:pt idx="551">
                  <c:v>76.53</c:v>
                </c:pt>
                <c:pt idx="552">
                  <c:v>76.45</c:v>
                </c:pt>
                <c:pt idx="553">
                  <c:v>78.11</c:v>
                </c:pt>
                <c:pt idx="554">
                  <c:v>76.05</c:v>
                </c:pt>
                <c:pt idx="555">
                  <c:v>71.94</c:v>
                </c:pt>
                <c:pt idx="556">
                  <c:v>72.400000000000006</c:v>
                </c:pt>
                <c:pt idx="557">
                  <c:v>67.760000000000005</c:v>
                </c:pt>
                <c:pt idx="558">
                  <c:v>71.02</c:v>
                </c:pt>
                <c:pt idx="559">
                  <c:v>69.3</c:v>
                </c:pt>
                <c:pt idx="560">
                  <c:v>68.959999999999994</c:v>
                </c:pt>
                <c:pt idx="561">
                  <c:v>70.38</c:v>
                </c:pt>
                <c:pt idx="562">
                  <c:v>69.540000000000006</c:v>
                </c:pt>
                <c:pt idx="563">
                  <c:v>70.2</c:v>
                </c:pt>
                <c:pt idx="564">
                  <c:v>67.400000000000006</c:v>
                </c:pt>
                <c:pt idx="565">
                  <c:v>63.9</c:v>
                </c:pt>
                <c:pt idx="566">
                  <c:v>64.099999999999994</c:v>
                </c:pt>
                <c:pt idx="567">
                  <c:v>60.17</c:v>
                </c:pt>
                <c:pt idx="568">
                  <c:v>63.97</c:v>
                </c:pt>
                <c:pt idx="569">
                  <c:v>67.41</c:v>
                </c:pt>
                <c:pt idx="570">
                  <c:v>66.52</c:v>
                </c:pt>
                <c:pt idx="571">
                  <c:v>69.709999999999994</c:v>
                </c:pt>
                <c:pt idx="572">
                  <c:v>67.540000000000006</c:v>
                </c:pt>
                <c:pt idx="573">
                  <c:v>69.87</c:v>
                </c:pt>
                <c:pt idx="574">
                  <c:v>71.75</c:v>
                </c:pt>
                <c:pt idx="575">
                  <c:v>71.569999999999993</c:v>
                </c:pt>
                <c:pt idx="576">
                  <c:v>77.38</c:v>
                </c:pt>
                <c:pt idx="577">
                  <c:v>76.069999999999993</c:v>
                </c:pt>
                <c:pt idx="578">
                  <c:v>77.88</c:v>
                </c:pt>
                <c:pt idx="579">
                  <c:v>78.19</c:v>
                </c:pt>
                <c:pt idx="580">
                  <c:v>74.42</c:v>
                </c:pt>
                <c:pt idx="581">
                  <c:v>77.47</c:v>
                </c:pt>
                <c:pt idx="582">
                  <c:v>74.66</c:v>
                </c:pt>
                <c:pt idx="583">
                  <c:v>77.84</c:v>
                </c:pt>
                <c:pt idx="584">
                  <c:v>74.83</c:v>
                </c:pt>
                <c:pt idx="585">
                  <c:v>72.819999999999993</c:v>
                </c:pt>
                <c:pt idx="586">
                  <c:v>69.98</c:v>
                </c:pt>
                <c:pt idx="587">
                  <c:v>74.84</c:v>
                </c:pt>
                <c:pt idx="588">
                  <c:v>61.98</c:v>
                </c:pt>
                <c:pt idx="589">
                  <c:v>62.76</c:v>
                </c:pt>
                <c:pt idx="590">
                  <c:v>54.2</c:v>
                </c:pt>
                <c:pt idx="591">
                  <c:v>59.94</c:v>
                </c:pt>
                <c:pt idx="592">
                  <c:v>61.17</c:v>
                </c:pt>
                <c:pt idx="593">
                  <c:v>66.48</c:v>
                </c:pt>
                <c:pt idx="594">
                  <c:v>71.8</c:v>
                </c:pt>
                <c:pt idx="595">
                  <c:v>69.319999999999993</c:v>
                </c:pt>
                <c:pt idx="596">
                  <c:v>72.150000000000006</c:v>
                </c:pt>
                <c:pt idx="597">
                  <c:v>64.48</c:v>
                </c:pt>
                <c:pt idx="598">
                  <c:v>68.33</c:v>
                </c:pt>
                <c:pt idx="599">
                  <c:v>59.71</c:v>
                </c:pt>
                <c:pt idx="600">
                  <c:v>64.38</c:v>
                </c:pt>
                <c:pt idx="601">
                  <c:v>60.45</c:v>
                </c:pt>
                <c:pt idx="602">
                  <c:v>60.42</c:v>
                </c:pt>
                <c:pt idx="603">
                  <c:v>61.76</c:v>
                </c:pt>
                <c:pt idx="604">
                  <c:v>56.91</c:v>
                </c:pt>
                <c:pt idx="605">
                  <c:v>55.83</c:v>
                </c:pt>
                <c:pt idx="606">
                  <c:v>51.44</c:v>
                </c:pt>
                <c:pt idx="607">
                  <c:v>50.08</c:v>
                </c:pt>
                <c:pt idx="608">
                  <c:v>47.76</c:v>
                </c:pt>
                <c:pt idx="609">
                  <c:v>49.07</c:v>
                </c:pt>
                <c:pt idx="610">
                  <c:v>51.52</c:v>
                </c:pt>
                <c:pt idx="611">
                  <c:v>51.66</c:v>
                </c:pt>
                <c:pt idx="612">
                  <c:v>53.4</c:v>
                </c:pt>
                <c:pt idx="613">
                  <c:v>54.05</c:v>
                </c:pt>
                <c:pt idx="614">
                  <c:v>53.52</c:v>
                </c:pt>
                <c:pt idx="615">
                  <c:v>53.93</c:v>
                </c:pt>
                <c:pt idx="616">
                  <c:v>50.5</c:v>
                </c:pt>
                <c:pt idx="617">
                  <c:v>47.9</c:v>
                </c:pt>
                <c:pt idx="618">
                  <c:v>47.79</c:v>
                </c:pt>
                <c:pt idx="619">
                  <c:v>45.62</c:v>
                </c:pt>
                <c:pt idx="620">
                  <c:v>42.09</c:v>
                </c:pt>
                <c:pt idx="621">
                  <c:v>45.29</c:v>
                </c:pt>
                <c:pt idx="622">
                  <c:v>43.79</c:v>
                </c:pt>
                <c:pt idx="623">
                  <c:v>43.66</c:v>
                </c:pt>
                <c:pt idx="624">
                  <c:v>41.92</c:v>
                </c:pt>
                <c:pt idx="625">
                  <c:v>42.81</c:v>
                </c:pt>
                <c:pt idx="626">
                  <c:v>39.6</c:v>
                </c:pt>
                <c:pt idx="627">
                  <c:v>36.659999999999997</c:v>
                </c:pt>
                <c:pt idx="628">
                  <c:v>32.06</c:v>
                </c:pt>
                <c:pt idx="629">
                  <c:v>35</c:v>
                </c:pt>
                <c:pt idx="630">
                  <c:v>34.67</c:v>
                </c:pt>
                <c:pt idx="631">
                  <c:v>34.67</c:v>
                </c:pt>
                <c:pt idx="632">
                  <c:v>33.5</c:v>
                </c:pt>
                <c:pt idx="633">
                  <c:v>34.61</c:v>
                </c:pt>
                <c:pt idx="634">
                  <c:v>33.799999999999997</c:v>
                </c:pt>
                <c:pt idx="635">
                  <c:v>33.229999999999997</c:v>
                </c:pt>
                <c:pt idx="636">
                  <c:v>35.130000000000003</c:v>
                </c:pt>
                <c:pt idx="637">
                  <c:v>39.909999999999997</c:v>
                </c:pt>
                <c:pt idx="638">
                  <c:v>40.950000000000003</c:v>
                </c:pt>
                <c:pt idx="639">
                  <c:v>41.08</c:v>
                </c:pt>
                <c:pt idx="640">
                  <c:v>41.96</c:v>
                </c:pt>
                <c:pt idx="641">
                  <c:v>48.43</c:v>
                </c:pt>
                <c:pt idx="642">
                  <c:v>44.17</c:v>
                </c:pt>
                <c:pt idx="643">
                  <c:v>48.25</c:v>
                </c:pt>
                <c:pt idx="644">
                  <c:v>50.46</c:v>
                </c:pt>
                <c:pt idx="645">
                  <c:v>46.32</c:v>
                </c:pt>
                <c:pt idx="646">
                  <c:v>45.07</c:v>
                </c:pt>
                <c:pt idx="647">
                  <c:v>43.53</c:v>
                </c:pt>
                <c:pt idx="648">
                  <c:v>43.12</c:v>
                </c:pt>
                <c:pt idx="649">
                  <c:v>40.92</c:v>
                </c:pt>
                <c:pt idx="650">
                  <c:v>41.43</c:v>
                </c:pt>
                <c:pt idx="651">
                  <c:v>41.45</c:v>
                </c:pt>
                <c:pt idx="652">
                  <c:v>40.799999999999997</c:v>
                </c:pt>
                <c:pt idx="653">
                  <c:v>38.619999999999997</c:v>
                </c:pt>
                <c:pt idx="654">
                  <c:v>38.56</c:v>
                </c:pt>
                <c:pt idx="655">
                  <c:v>37.869999999999997</c:v>
                </c:pt>
                <c:pt idx="656">
                  <c:v>37.020000000000003</c:v>
                </c:pt>
                <c:pt idx="657">
                  <c:v>36.090000000000003</c:v>
                </c:pt>
                <c:pt idx="658">
                  <c:v>36</c:v>
                </c:pt>
                <c:pt idx="659">
                  <c:v>38.31</c:v>
                </c:pt>
                <c:pt idx="660">
                  <c:v>35.659999999999997</c:v>
                </c:pt>
                <c:pt idx="661">
                  <c:v>36.94</c:v>
                </c:pt>
                <c:pt idx="662">
                  <c:v>41.34</c:v>
                </c:pt>
                <c:pt idx="663">
                  <c:v>38.79</c:v>
                </c:pt>
                <c:pt idx="664">
                  <c:v>39.33</c:v>
                </c:pt>
                <c:pt idx="665">
                  <c:v>39.54</c:v>
                </c:pt>
                <c:pt idx="666">
                  <c:v>37.44</c:v>
                </c:pt>
                <c:pt idx="667">
                  <c:v>37.49</c:v>
                </c:pt>
                <c:pt idx="668">
                  <c:v>38.200000000000003</c:v>
                </c:pt>
                <c:pt idx="669">
                  <c:v>42.88</c:v>
                </c:pt>
                <c:pt idx="670">
                  <c:v>41.43</c:v>
                </c:pt>
                <c:pt idx="671">
                  <c:v>38.049999999999997</c:v>
                </c:pt>
                <c:pt idx="672">
                  <c:v>40.46</c:v>
                </c:pt>
                <c:pt idx="673">
                  <c:v>40.46</c:v>
                </c:pt>
                <c:pt idx="674">
                  <c:v>34.96</c:v>
                </c:pt>
                <c:pt idx="675">
                  <c:v>34.659999999999997</c:v>
                </c:pt>
                <c:pt idx="676">
                  <c:v>34.630000000000003</c:v>
                </c:pt>
                <c:pt idx="677">
                  <c:v>31.59</c:v>
                </c:pt>
                <c:pt idx="678">
                  <c:v>28.38</c:v>
                </c:pt>
                <c:pt idx="679">
                  <c:v>29.84</c:v>
                </c:pt>
                <c:pt idx="680">
                  <c:v>29.55</c:v>
                </c:pt>
                <c:pt idx="681">
                  <c:v>29.58</c:v>
                </c:pt>
                <c:pt idx="682">
                  <c:v>32.31</c:v>
                </c:pt>
                <c:pt idx="683">
                  <c:v>33.57</c:v>
                </c:pt>
                <c:pt idx="684">
                  <c:v>31.68</c:v>
                </c:pt>
                <c:pt idx="685">
                  <c:v>31.57</c:v>
                </c:pt>
                <c:pt idx="686">
                  <c:v>32.520000000000003</c:v>
                </c:pt>
                <c:pt idx="687">
                  <c:v>30.64</c:v>
                </c:pt>
                <c:pt idx="688">
                  <c:v>29.66</c:v>
                </c:pt>
                <c:pt idx="689">
                  <c:v>30.16</c:v>
                </c:pt>
                <c:pt idx="690">
                  <c:v>32.22</c:v>
                </c:pt>
                <c:pt idx="691">
                  <c:v>31.12</c:v>
                </c:pt>
                <c:pt idx="692">
                  <c:v>31.65</c:v>
                </c:pt>
                <c:pt idx="693">
                  <c:v>32.67</c:v>
                </c:pt>
                <c:pt idx="694">
                  <c:v>32.409999999999997</c:v>
                </c:pt>
                <c:pt idx="695">
                  <c:v>31.18</c:v>
                </c:pt>
                <c:pt idx="696">
                  <c:v>29.54</c:v>
                </c:pt>
                <c:pt idx="697">
                  <c:v>25.72</c:v>
                </c:pt>
                <c:pt idx="698">
                  <c:v>23.69</c:v>
                </c:pt>
                <c:pt idx="699">
                  <c:v>20.27</c:v>
                </c:pt>
                <c:pt idx="700">
                  <c:v>19.79</c:v>
                </c:pt>
                <c:pt idx="701">
                  <c:v>18.829999999999998</c:v>
                </c:pt>
                <c:pt idx="702">
                  <c:v>20.79</c:v>
                </c:pt>
                <c:pt idx="703">
                  <c:v>21.72</c:v>
                </c:pt>
                <c:pt idx="704">
                  <c:v>23</c:v>
                </c:pt>
                <c:pt idx="705">
                  <c:v>22.13</c:v>
                </c:pt>
                <c:pt idx="706">
                  <c:v>22.53</c:v>
                </c:pt>
                <c:pt idx="707">
                  <c:v>23.07</c:v>
                </c:pt>
                <c:pt idx="708">
                  <c:v>24.2</c:v>
                </c:pt>
                <c:pt idx="709">
                  <c:v>23.7</c:v>
                </c:pt>
                <c:pt idx="710">
                  <c:v>24.77</c:v>
                </c:pt>
                <c:pt idx="711">
                  <c:v>24.61</c:v>
                </c:pt>
                <c:pt idx="712">
                  <c:v>22.2</c:v>
                </c:pt>
                <c:pt idx="713">
                  <c:v>25.7</c:v>
                </c:pt>
                <c:pt idx="714">
                  <c:v>39.68</c:v>
                </c:pt>
                <c:pt idx="715">
                  <c:v>36.68</c:v>
                </c:pt>
                <c:pt idx="716">
                  <c:v>38.409999999999997</c:v>
                </c:pt>
                <c:pt idx="717">
                  <c:v>40.630000000000003</c:v>
                </c:pt>
                <c:pt idx="718">
                  <c:v>39.630000000000003</c:v>
                </c:pt>
                <c:pt idx="719">
                  <c:v>38.130000000000003</c:v>
                </c:pt>
                <c:pt idx="720">
                  <c:v>36.61</c:v>
                </c:pt>
                <c:pt idx="721">
                  <c:v>36.47</c:v>
                </c:pt>
                <c:pt idx="722">
                  <c:v>34.96</c:v>
                </c:pt>
                <c:pt idx="723">
                  <c:v>32.75</c:v>
                </c:pt>
                <c:pt idx="724">
                  <c:v>32.61</c:v>
                </c:pt>
                <c:pt idx="725">
                  <c:v>34.65</c:v>
                </c:pt>
                <c:pt idx="726">
                  <c:v>31.25</c:v>
                </c:pt>
                <c:pt idx="727">
                  <c:v>27.63</c:v>
                </c:pt>
                <c:pt idx="728">
                  <c:v>25.43</c:v>
                </c:pt>
                <c:pt idx="729">
                  <c:v>28.46</c:v>
                </c:pt>
                <c:pt idx="730">
                  <c:v>25.97</c:v>
                </c:pt>
                <c:pt idx="731">
                  <c:v>25.75</c:v>
                </c:pt>
                <c:pt idx="732">
                  <c:v>28.6</c:v>
                </c:pt>
                <c:pt idx="733">
                  <c:v>28.83</c:v>
                </c:pt>
                <c:pt idx="734">
                  <c:v>27.61</c:v>
                </c:pt>
                <c:pt idx="735">
                  <c:v>27.38</c:v>
                </c:pt>
                <c:pt idx="736">
                  <c:v>26.8</c:v>
                </c:pt>
                <c:pt idx="737">
                  <c:v>23.81</c:v>
                </c:pt>
                <c:pt idx="738">
                  <c:v>22.08</c:v>
                </c:pt>
                <c:pt idx="739">
                  <c:v>23.1</c:v>
                </c:pt>
                <c:pt idx="740">
                  <c:v>22.92</c:v>
                </c:pt>
                <c:pt idx="741">
                  <c:v>23.22</c:v>
                </c:pt>
                <c:pt idx="742">
                  <c:v>25.14</c:v>
                </c:pt>
                <c:pt idx="743">
                  <c:v>26.4</c:v>
                </c:pt>
                <c:pt idx="744">
                  <c:v>24.06</c:v>
                </c:pt>
                <c:pt idx="745">
                  <c:v>21.98</c:v>
                </c:pt>
                <c:pt idx="746">
                  <c:v>20.57</c:v>
                </c:pt>
                <c:pt idx="747">
                  <c:v>16.93</c:v>
                </c:pt>
                <c:pt idx="748">
                  <c:v>19.55</c:v>
                </c:pt>
                <c:pt idx="749">
                  <c:v>22.11</c:v>
                </c:pt>
                <c:pt idx="750">
                  <c:v>23.33</c:v>
                </c:pt>
                <c:pt idx="751">
                  <c:v>22.69</c:v>
                </c:pt>
                <c:pt idx="752">
                  <c:v>23.59</c:v>
                </c:pt>
                <c:pt idx="753">
                  <c:v>23.24</c:v>
                </c:pt>
                <c:pt idx="754">
                  <c:v>23.2</c:v>
                </c:pt>
                <c:pt idx="755">
                  <c:v>24.08</c:v>
                </c:pt>
                <c:pt idx="756">
                  <c:v>28.78</c:v>
                </c:pt>
                <c:pt idx="757">
                  <c:v>35.14</c:v>
                </c:pt>
                <c:pt idx="758">
                  <c:v>37.409999999999997</c:v>
                </c:pt>
                <c:pt idx="759">
                  <c:v>39.630000000000003</c:v>
                </c:pt>
                <c:pt idx="760">
                  <c:v>45.19</c:v>
                </c:pt>
                <c:pt idx="761">
                  <c:v>44</c:v>
                </c:pt>
                <c:pt idx="762">
                  <c:v>44.57</c:v>
                </c:pt>
                <c:pt idx="763">
                  <c:v>45.41</c:v>
                </c:pt>
                <c:pt idx="764">
                  <c:v>45.23</c:v>
                </c:pt>
                <c:pt idx="765">
                  <c:v>47.23</c:v>
                </c:pt>
                <c:pt idx="766">
                  <c:v>49.46</c:v>
                </c:pt>
                <c:pt idx="767">
                  <c:v>51.83</c:v>
                </c:pt>
                <c:pt idx="768">
                  <c:v>55.29</c:v>
                </c:pt>
                <c:pt idx="769">
                  <c:v>57.54</c:v>
                </c:pt>
                <c:pt idx="770">
                  <c:v>58.71</c:v>
                </c:pt>
                <c:pt idx="771">
                  <c:v>63.29</c:v>
                </c:pt>
                <c:pt idx="772">
                  <c:v>62.51</c:v>
                </c:pt>
                <c:pt idx="773">
                  <c:v>64.87</c:v>
                </c:pt>
                <c:pt idx="774">
                  <c:v>67.61</c:v>
                </c:pt>
                <c:pt idx="775">
                  <c:v>67.150000000000006</c:v>
                </c:pt>
                <c:pt idx="776">
                  <c:v>71.040000000000006</c:v>
                </c:pt>
                <c:pt idx="777">
                  <c:v>73.17</c:v>
                </c:pt>
                <c:pt idx="778">
                  <c:v>74.05</c:v>
                </c:pt>
                <c:pt idx="779">
                  <c:v>79.78</c:v>
                </c:pt>
                <c:pt idx="780">
                  <c:v>79.900000000000006</c:v>
                </c:pt>
                <c:pt idx="781">
                  <c:v>80.38</c:v>
                </c:pt>
                <c:pt idx="782">
                  <c:v>78.709999999999994</c:v>
                </c:pt>
                <c:pt idx="783">
                  <c:v>77.72</c:v>
                </c:pt>
                <c:pt idx="784">
                  <c:v>76.150000000000006</c:v>
                </c:pt>
                <c:pt idx="785">
                  <c:v>75.09</c:v>
                </c:pt>
                <c:pt idx="786">
                  <c:v>74.63</c:v>
                </c:pt>
                <c:pt idx="787">
                  <c:v>73.83</c:v>
                </c:pt>
                <c:pt idx="788">
                  <c:v>74.069999999999993</c:v>
                </c:pt>
                <c:pt idx="789">
                  <c:v>73.489999999999995</c:v>
                </c:pt>
                <c:pt idx="790">
                  <c:v>73.42</c:v>
                </c:pt>
                <c:pt idx="791">
                  <c:v>73.900000000000006</c:v>
                </c:pt>
                <c:pt idx="792">
                  <c:v>75.14</c:v>
                </c:pt>
                <c:pt idx="793">
                  <c:v>75.63</c:v>
                </c:pt>
                <c:pt idx="794">
                  <c:v>79.290000000000006</c:v>
                </c:pt>
                <c:pt idx="795">
                  <c:v>78.790000000000006</c:v>
                </c:pt>
                <c:pt idx="796">
                  <c:v>78.84</c:v>
                </c:pt>
                <c:pt idx="797">
                  <c:v>78.53</c:v>
                </c:pt>
                <c:pt idx="798">
                  <c:v>78.12</c:v>
                </c:pt>
                <c:pt idx="799">
                  <c:v>76.739999999999995</c:v>
                </c:pt>
                <c:pt idx="800">
                  <c:v>76.75</c:v>
                </c:pt>
                <c:pt idx="801">
                  <c:v>74.540000000000006</c:v>
                </c:pt>
                <c:pt idx="802">
                  <c:v>73.62</c:v>
                </c:pt>
                <c:pt idx="803">
                  <c:v>73.02</c:v>
                </c:pt>
                <c:pt idx="804">
                  <c:v>70.209999999999994</c:v>
                </c:pt>
                <c:pt idx="805">
                  <c:v>67.55</c:v>
                </c:pt>
                <c:pt idx="806">
                  <c:v>68.900000000000006</c:v>
                </c:pt>
                <c:pt idx="807">
                  <c:v>67.239999999999995</c:v>
                </c:pt>
                <c:pt idx="808">
                  <c:v>77.75</c:v>
                </c:pt>
                <c:pt idx="809">
                  <c:v>75.83</c:v>
                </c:pt>
                <c:pt idx="810">
                  <c:v>76.540000000000006</c:v>
                </c:pt>
                <c:pt idx="811">
                  <c:v>75.3</c:v>
                </c:pt>
                <c:pt idx="812">
                  <c:v>72.319999999999993</c:v>
                </c:pt>
                <c:pt idx="813">
                  <c:v>72.319999999999993</c:v>
                </c:pt>
                <c:pt idx="814">
                  <c:v>70.89</c:v>
                </c:pt>
                <c:pt idx="815">
                  <c:v>75.680000000000007</c:v>
                </c:pt>
                <c:pt idx="816">
                  <c:v>77.290000000000006</c:v>
                </c:pt>
                <c:pt idx="817">
                  <c:v>82.68</c:v>
                </c:pt>
                <c:pt idx="818">
                  <c:v>83</c:v>
                </c:pt>
                <c:pt idx="819">
                  <c:v>80.92</c:v>
                </c:pt>
                <c:pt idx="820">
                  <c:v>80.92</c:v>
                </c:pt>
                <c:pt idx="821">
                  <c:v>78.67</c:v>
                </c:pt>
                <c:pt idx="822">
                  <c:v>78.2</c:v>
                </c:pt>
                <c:pt idx="823">
                  <c:v>77.8</c:v>
                </c:pt>
                <c:pt idx="824">
                  <c:v>76</c:v>
                </c:pt>
                <c:pt idx="825">
                  <c:v>75.86</c:v>
                </c:pt>
                <c:pt idx="826">
                  <c:v>72.650000000000006</c:v>
                </c:pt>
                <c:pt idx="827">
                  <c:v>74.31</c:v>
                </c:pt>
                <c:pt idx="828">
                  <c:v>73.64</c:v>
                </c:pt>
                <c:pt idx="829">
                  <c:v>73.8</c:v>
                </c:pt>
                <c:pt idx="830">
                  <c:v>74.02</c:v>
                </c:pt>
                <c:pt idx="831">
                  <c:v>71.8</c:v>
                </c:pt>
                <c:pt idx="832">
                  <c:v>69.489999999999995</c:v>
                </c:pt>
                <c:pt idx="833">
                  <c:v>68.510000000000005</c:v>
                </c:pt>
                <c:pt idx="834">
                  <c:v>64.930000000000007</c:v>
                </c:pt>
                <c:pt idx="835">
                  <c:v>67.44</c:v>
                </c:pt>
                <c:pt idx="836">
                  <c:v>66.63</c:v>
                </c:pt>
                <c:pt idx="837">
                  <c:v>66.540000000000006</c:v>
                </c:pt>
                <c:pt idx="838">
                  <c:v>66.98</c:v>
                </c:pt>
                <c:pt idx="839">
                  <c:v>65.55</c:v>
                </c:pt>
                <c:pt idx="840">
                  <c:v>68.84</c:v>
                </c:pt>
                <c:pt idx="841">
                  <c:v>66.38</c:v>
                </c:pt>
                <c:pt idx="842">
                  <c:v>65.34</c:v>
                </c:pt>
                <c:pt idx="843">
                  <c:v>57.05</c:v>
                </c:pt>
                <c:pt idx="844">
                  <c:v>59.56</c:v>
                </c:pt>
                <c:pt idx="845">
                  <c:v>49.76</c:v>
                </c:pt>
                <c:pt idx="846">
                  <c:v>55.18</c:v>
                </c:pt>
                <c:pt idx="847">
                  <c:v>52.13</c:v>
                </c:pt>
                <c:pt idx="848">
                  <c:v>54.74</c:v>
                </c:pt>
                <c:pt idx="849">
                  <c:v>55.01</c:v>
                </c:pt>
                <c:pt idx="850">
                  <c:v>52.4</c:v>
                </c:pt>
                <c:pt idx="851">
                  <c:v>54.47</c:v>
                </c:pt>
                <c:pt idx="852">
                  <c:v>49.26</c:v>
                </c:pt>
                <c:pt idx="853">
                  <c:v>45.98</c:v>
                </c:pt>
                <c:pt idx="854">
                  <c:v>44.38</c:v>
                </c:pt>
                <c:pt idx="855">
                  <c:v>39.840000000000003</c:v>
                </c:pt>
                <c:pt idx="856">
                  <c:v>42.74</c:v>
                </c:pt>
                <c:pt idx="857">
                  <c:v>42.58</c:v>
                </c:pt>
                <c:pt idx="858">
                  <c:v>43.25</c:v>
                </c:pt>
                <c:pt idx="859">
                  <c:v>43.66</c:v>
                </c:pt>
                <c:pt idx="860">
                  <c:v>43.97</c:v>
                </c:pt>
                <c:pt idx="861">
                  <c:v>44.74</c:v>
                </c:pt>
                <c:pt idx="862">
                  <c:v>43.7</c:v>
                </c:pt>
                <c:pt idx="863">
                  <c:v>49.17</c:v>
                </c:pt>
                <c:pt idx="864">
                  <c:v>50.71</c:v>
                </c:pt>
                <c:pt idx="865">
                  <c:v>48.71</c:v>
                </c:pt>
                <c:pt idx="866">
                  <c:v>48.34</c:v>
                </c:pt>
                <c:pt idx="867">
                  <c:v>48.9</c:v>
                </c:pt>
                <c:pt idx="868">
                  <c:v>43.05</c:v>
                </c:pt>
                <c:pt idx="869">
                  <c:v>44.69</c:v>
                </c:pt>
                <c:pt idx="870">
                  <c:v>44.43</c:v>
                </c:pt>
                <c:pt idx="871">
                  <c:v>42.89</c:v>
                </c:pt>
                <c:pt idx="872">
                  <c:v>42.55</c:v>
                </c:pt>
                <c:pt idx="873">
                  <c:v>40.79</c:v>
                </c:pt>
                <c:pt idx="874">
                  <c:v>38.11</c:v>
                </c:pt>
                <c:pt idx="875">
                  <c:v>38.93</c:v>
                </c:pt>
                <c:pt idx="876">
                  <c:v>36.96</c:v>
                </c:pt>
                <c:pt idx="877">
                  <c:v>32.96</c:v>
                </c:pt>
                <c:pt idx="878">
                  <c:v>32.51</c:v>
                </c:pt>
                <c:pt idx="879">
                  <c:v>32.86</c:v>
                </c:pt>
                <c:pt idx="880">
                  <c:v>30.67</c:v>
                </c:pt>
                <c:pt idx="881">
                  <c:v>31.39</c:v>
                </c:pt>
                <c:pt idx="882">
                  <c:v>34.619999999999997</c:v>
                </c:pt>
                <c:pt idx="883">
                  <c:v>44.49</c:v>
                </c:pt>
                <c:pt idx="884">
                  <c:v>43.67</c:v>
                </c:pt>
                <c:pt idx="885">
                  <c:v>42.91</c:v>
                </c:pt>
                <c:pt idx="886">
                  <c:v>51.99</c:v>
                </c:pt>
                <c:pt idx="887">
                  <c:v>50.3</c:v>
                </c:pt>
                <c:pt idx="888">
                  <c:v>52.64</c:v>
                </c:pt>
                <c:pt idx="889">
                  <c:v>52.83</c:v>
                </c:pt>
                <c:pt idx="890">
                  <c:v>52.01</c:v>
                </c:pt>
                <c:pt idx="891">
                  <c:v>50.37</c:v>
                </c:pt>
                <c:pt idx="892">
                  <c:v>48.38</c:v>
                </c:pt>
                <c:pt idx="893">
                  <c:v>46.47</c:v>
                </c:pt>
                <c:pt idx="894">
                  <c:v>46.52</c:v>
                </c:pt>
                <c:pt idx="895">
                  <c:v>44.6</c:v>
                </c:pt>
                <c:pt idx="896">
                  <c:v>44.46</c:v>
                </c:pt>
                <c:pt idx="897">
                  <c:v>44.06</c:v>
                </c:pt>
                <c:pt idx="898">
                  <c:v>42.93</c:v>
                </c:pt>
                <c:pt idx="899">
                  <c:v>39.47</c:v>
                </c:pt>
                <c:pt idx="900">
                  <c:v>41.35</c:v>
                </c:pt>
                <c:pt idx="901">
                  <c:v>43.75</c:v>
                </c:pt>
                <c:pt idx="902">
                  <c:v>41.87</c:v>
                </c:pt>
                <c:pt idx="903">
                  <c:v>38.619999999999997</c:v>
                </c:pt>
                <c:pt idx="904">
                  <c:v>37.11</c:v>
                </c:pt>
                <c:pt idx="905">
                  <c:v>34.82</c:v>
                </c:pt>
                <c:pt idx="906">
                  <c:v>33.409999999999997</c:v>
                </c:pt>
                <c:pt idx="907">
                  <c:v>30.84</c:v>
                </c:pt>
                <c:pt idx="908">
                  <c:v>30.76</c:v>
                </c:pt>
                <c:pt idx="909">
                  <c:v>33.65</c:v>
                </c:pt>
                <c:pt idx="910">
                  <c:v>31.76</c:v>
                </c:pt>
                <c:pt idx="911">
                  <c:v>29.92</c:v>
                </c:pt>
                <c:pt idx="912">
                  <c:v>29.19</c:v>
                </c:pt>
                <c:pt idx="913">
                  <c:v>31.55</c:v>
                </c:pt>
                <c:pt idx="914">
                  <c:v>29.58</c:v>
                </c:pt>
                <c:pt idx="915">
                  <c:v>29.4</c:v>
                </c:pt>
                <c:pt idx="916">
                  <c:v>29.1</c:v>
                </c:pt>
                <c:pt idx="917">
                  <c:v>28.05</c:v>
                </c:pt>
                <c:pt idx="918">
                  <c:v>23.03</c:v>
                </c:pt>
                <c:pt idx="919">
                  <c:v>27.26</c:v>
                </c:pt>
                <c:pt idx="920">
                  <c:v>27.42</c:v>
                </c:pt>
                <c:pt idx="921">
                  <c:v>31.3</c:v>
                </c:pt>
                <c:pt idx="922">
                  <c:v>33.159999999999997</c:v>
                </c:pt>
                <c:pt idx="923">
                  <c:v>31.48</c:v>
                </c:pt>
                <c:pt idx="924">
                  <c:v>30.5</c:v>
                </c:pt>
                <c:pt idx="925">
                  <c:v>29.77</c:v>
                </c:pt>
                <c:pt idx="926">
                  <c:v>28.33</c:v>
                </c:pt>
                <c:pt idx="927">
                  <c:v>29.44</c:v>
                </c:pt>
                <c:pt idx="928">
                  <c:v>28.53</c:v>
                </c:pt>
                <c:pt idx="929">
                  <c:v>28.08</c:v>
                </c:pt>
                <c:pt idx="930">
                  <c:v>27.45</c:v>
                </c:pt>
                <c:pt idx="931">
                  <c:v>27.33</c:v>
                </c:pt>
                <c:pt idx="932">
                  <c:v>27.36</c:v>
                </c:pt>
                <c:pt idx="933">
                  <c:v>25.81</c:v>
                </c:pt>
                <c:pt idx="934">
                  <c:v>23.87</c:v>
                </c:pt>
                <c:pt idx="935">
                  <c:v>21.69</c:v>
                </c:pt>
                <c:pt idx="936">
                  <c:v>23.21</c:v>
                </c:pt>
                <c:pt idx="937">
                  <c:v>24.5</c:v>
                </c:pt>
                <c:pt idx="938">
                  <c:v>24.63</c:v>
                </c:pt>
                <c:pt idx="939">
                  <c:v>21.26</c:v>
                </c:pt>
                <c:pt idx="940">
                  <c:v>19.62</c:v>
                </c:pt>
                <c:pt idx="941">
                  <c:v>19.579999999999998</c:v>
                </c:pt>
                <c:pt idx="942">
                  <c:v>21.29</c:v>
                </c:pt>
                <c:pt idx="943">
                  <c:v>21.53</c:v>
                </c:pt>
                <c:pt idx="944">
                  <c:v>25.46</c:v>
                </c:pt>
                <c:pt idx="945">
                  <c:v>26.3</c:v>
                </c:pt>
                <c:pt idx="946">
                  <c:v>25.26</c:v>
                </c:pt>
                <c:pt idx="947">
                  <c:v>26.86</c:v>
                </c:pt>
                <c:pt idx="948">
                  <c:v>27.82</c:v>
                </c:pt>
                <c:pt idx="949">
                  <c:v>22.85</c:v>
                </c:pt>
                <c:pt idx="950">
                  <c:v>21.12</c:v>
                </c:pt>
                <c:pt idx="951">
                  <c:v>24.71</c:v>
                </c:pt>
                <c:pt idx="952">
                  <c:v>26.3</c:v>
                </c:pt>
                <c:pt idx="953">
                  <c:v>22.17</c:v>
                </c:pt>
                <c:pt idx="954">
                  <c:v>21.64</c:v>
                </c:pt>
                <c:pt idx="955">
                  <c:v>23.27</c:v>
                </c:pt>
                <c:pt idx="956">
                  <c:v>21.66</c:v>
                </c:pt>
                <c:pt idx="957">
                  <c:v>19.86</c:v>
                </c:pt>
                <c:pt idx="958">
                  <c:v>18.82</c:v>
                </c:pt>
                <c:pt idx="959">
                  <c:v>17.63</c:v>
                </c:pt>
                <c:pt idx="960">
                  <c:v>16.260000000000002</c:v>
                </c:pt>
                <c:pt idx="961">
                  <c:v>16.27</c:v>
                </c:pt>
                <c:pt idx="962">
                  <c:v>12.68</c:v>
                </c:pt>
                <c:pt idx="963">
                  <c:v>11.67</c:v>
                </c:pt>
                <c:pt idx="964">
                  <c:v>11.31</c:v>
                </c:pt>
                <c:pt idx="965">
                  <c:v>11.22</c:v>
                </c:pt>
                <c:pt idx="966">
                  <c:v>9.48</c:v>
                </c:pt>
                <c:pt idx="967">
                  <c:v>9.68</c:v>
                </c:pt>
                <c:pt idx="968">
                  <c:v>9.9600000000000009</c:v>
                </c:pt>
                <c:pt idx="969">
                  <c:v>11.68</c:v>
                </c:pt>
                <c:pt idx="970">
                  <c:v>9.6199999999999992</c:v>
                </c:pt>
                <c:pt idx="971">
                  <c:v>9.5</c:v>
                </c:pt>
                <c:pt idx="972">
                  <c:v>8.59</c:v>
                </c:pt>
                <c:pt idx="973">
                  <c:v>9.39</c:v>
                </c:pt>
                <c:pt idx="974">
                  <c:v>10.24</c:v>
                </c:pt>
                <c:pt idx="975">
                  <c:v>16.52</c:v>
                </c:pt>
                <c:pt idx="976">
                  <c:v>17.399999999999999</c:v>
                </c:pt>
                <c:pt idx="977">
                  <c:v>19.3</c:v>
                </c:pt>
                <c:pt idx="978">
                  <c:v>18.440000000000001</c:v>
                </c:pt>
                <c:pt idx="979">
                  <c:v>18.079999999999998</c:v>
                </c:pt>
                <c:pt idx="980">
                  <c:v>18.190000000000001</c:v>
                </c:pt>
                <c:pt idx="981">
                  <c:v>15.1</c:v>
                </c:pt>
                <c:pt idx="982">
                  <c:v>14.97</c:v>
                </c:pt>
                <c:pt idx="983">
                  <c:v>17.5</c:v>
                </c:pt>
                <c:pt idx="984">
                  <c:v>16.11</c:v>
                </c:pt>
                <c:pt idx="985">
                  <c:v>13.33</c:v>
                </c:pt>
                <c:pt idx="986">
                  <c:v>12.03</c:v>
                </c:pt>
                <c:pt idx="987">
                  <c:v>11.35</c:v>
                </c:pt>
                <c:pt idx="988">
                  <c:v>11.35</c:v>
                </c:pt>
                <c:pt idx="989">
                  <c:v>9.33</c:v>
                </c:pt>
                <c:pt idx="990">
                  <c:v>10.07</c:v>
                </c:pt>
                <c:pt idx="991">
                  <c:v>10.09</c:v>
                </c:pt>
                <c:pt idx="992">
                  <c:v>10.71</c:v>
                </c:pt>
                <c:pt idx="993">
                  <c:v>9.17</c:v>
                </c:pt>
                <c:pt idx="994">
                  <c:v>10.47</c:v>
                </c:pt>
                <c:pt idx="995">
                  <c:v>10.91</c:v>
                </c:pt>
                <c:pt idx="996">
                  <c:v>13.32</c:v>
                </c:pt>
                <c:pt idx="997">
                  <c:v>12.05</c:v>
                </c:pt>
                <c:pt idx="998">
                  <c:v>12.14</c:v>
                </c:pt>
                <c:pt idx="999">
                  <c:v>11.3</c:v>
                </c:pt>
                <c:pt idx="1000">
                  <c:v>13.26</c:v>
                </c:pt>
                <c:pt idx="1001">
                  <c:v>13.07</c:v>
                </c:pt>
                <c:pt idx="1002">
                  <c:v>11.95</c:v>
                </c:pt>
                <c:pt idx="1003">
                  <c:v>11.98</c:v>
                </c:pt>
                <c:pt idx="1004">
                  <c:v>12.97</c:v>
                </c:pt>
                <c:pt idx="1005">
                  <c:v>13.69</c:v>
                </c:pt>
                <c:pt idx="1006">
                  <c:v>13.48</c:v>
                </c:pt>
                <c:pt idx="1007">
                  <c:v>12.65</c:v>
                </c:pt>
                <c:pt idx="1008">
                  <c:v>11.62</c:v>
                </c:pt>
                <c:pt idx="1009">
                  <c:v>12.33</c:v>
                </c:pt>
                <c:pt idx="1010">
                  <c:v>14.59</c:v>
                </c:pt>
                <c:pt idx="1011">
                  <c:v>13.12</c:v>
                </c:pt>
                <c:pt idx="1012">
                  <c:v>13.3</c:v>
                </c:pt>
                <c:pt idx="1013">
                  <c:v>17.71</c:v>
                </c:pt>
                <c:pt idx="1014">
                  <c:v>20.38</c:v>
                </c:pt>
                <c:pt idx="1015">
                  <c:v>25.17</c:v>
                </c:pt>
                <c:pt idx="1016">
                  <c:v>27.86</c:v>
                </c:pt>
                <c:pt idx="1017">
                  <c:v>32.47</c:v>
                </c:pt>
                <c:pt idx="1018">
                  <c:v>36.380000000000003</c:v>
                </c:pt>
                <c:pt idx="1019">
                  <c:v>41.41</c:v>
                </c:pt>
                <c:pt idx="1020">
                  <c:v>42.7</c:v>
                </c:pt>
                <c:pt idx="1021">
                  <c:v>45.74</c:v>
                </c:pt>
                <c:pt idx="1022">
                  <c:v>49.43</c:v>
                </c:pt>
                <c:pt idx="1023">
                  <c:v>53.55</c:v>
                </c:pt>
                <c:pt idx="1024">
                  <c:v>54.58</c:v>
                </c:pt>
                <c:pt idx="1025">
                  <c:v>57.95</c:v>
                </c:pt>
                <c:pt idx="1026">
                  <c:v>60.36</c:v>
                </c:pt>
                <c:pt idx="1027">
                  <c:v>61.15</c:v>
                </c:pt>
                <c:pt idx="1028">
                  <c:v>61.59</c:v>
                </c:pt>
                <c:pt idx="1029">
                  <c:v>61.98</c:v>
                </c:pt>
                <c:pt idx="1030">
                  <c:v>63.52</c:v>
                </c:pt>
                <c:pt idx="1031">
                  <c:v>63.59</c:v>
                </c:pt>
                <c:pt idx="1032">
                  <c:v>64.099999999999994</c:v>
                </c:pt>
                <c:pt idx="1033">
                  <c:v>63.92</c:v>
                </c:pt>
                <c:pt idx="1034">
                  <c:v>63.89</c:v>
                </c:pt>
                <c:pt idx="1035">
                  <c:v>62.93</c:v>
                </c:pt>
                <c:pt idx="1036">
                  <c:v>63.99</c:v>
                </c:pt>
                <c:pt idx="1037">
                  <c:v>64</c:v>
                </c:pt>
                <c:pt idx="1038">
                  <c:v>64.66</c:v>
                </c:pt>
                <c:pt idx="1039">
                  <c:v>65.05</c:v>
                </c:pt>
                <c:pt idx="1040">
                  <c:v>68.05</c:v>
                </c:pt>
                <c:pt idx="1041">
                  <c:v>69.42</c:v>
                </c:pt>
                <c:pt idx="1042">
                  <c:v>71.86</c:v>
                </c:pt>
                <c:pt idx="1043">
                  <c:v>72.41</c:v>
                </c:pt>
                <c:pt idx="1044">
                  <c:v>76.2</c:v>
                </c:pt>
                <c:pt idx="1045">
                  <c:v>76.44</c:v>
                </c:pt>
                <c:pt idx="1046">
                  <c:v>77.22</c:v>
                </c:pt>
                <c:pt idx="1047">
                  <c:v>77.63</c:v>
                </c:pt>
                <c:pt idx="1048">
                  <c:v>77.88</c:v>
                </c:pt>
                <c:pt idx="1049">
                  <c:v>78.08</c:v>
                </c:pt>
                <c:pt idx="1050">
                  <c:v>78.67</c:v>
                </c:pt>
                <c:pt idx="1051">
                  <c:v>79.510000000000005</c:v>
                </c:pt>
                <c:pt idx="1052">
                  <c:v>80.06</c:v>
                </c:pt>
                <c:pt idx="1053">
                  <c:v>80.38</c:v>
                </c:pt>
                <c:pt idx="1054">
                  <c:v>80.87</c:v>
                </c:pt>
                <c:pt idx="1055">
                  <c:v>82.11</c:v>
                </c:pt>
                <c:pt idx="1056">
                  <c:v>82.44</c:v>
                </c:pt>
                <c:pt idx="1057">
                  <c:v>82.77</c:v>
                </c:pt>
                <c:pt idx="1058">
                  <c:v>82.87</c:v>
                </c:pt>
                <c:pt idx="1059">
                  <c:v>82.81</c:v>
                </c:pt>
                <c:pt idx="1060">
                  <c:v>82.04</c:v>
                </c:pt>
                <c:pt idx="1061">
                  <c:v>82.06</c:v>
                </c:pt>
                <c:pt idx="1062">
                  <c:v>80.94</c:v>
                </c:pt>
                <c:pt idx="1063">
                  <c:v>80.16</c:v>
                </c:pt>
                <c:pt idx="1064">
                  <c:v>78.3</c:v>
                </c:pt>
                <c:pt idx="1065">
                  <c:v>77.61</c:v>
                </c:pt>
                <c:pt idx="1066">
                  <c:v>74.37</c:v>
                </c:pt>
                <c:pt idx="1067">
                  <c:v>73.11</c:v>
                </c:pt>
                <c:pt idx="1068">
                  <c:v>71.3</c:v>
                </c:pt>
                <c:pt idx="1069">
                  <c:v>70.459999999999994</c:v>
                </c:pt>
                <c:pt idx="1070">
                  <c:v>68.67</c:v>
                </c:pt>
                <c:pt idx="1071">
                  <c:v>66.02</c:v>
                </c:pt>
                <c:pt idx="1072">
                  <c:v>64.72</c:v>
                </c:pt>
                <c:pt idx="1073">
                  <c:v>63.79</c:v>
                </c:pt>
                <c:pt idx="1074">
                  <c:v>62.16</c:v>
                </c:pt>
                <c:pt idx="1075">
                  <c:v>61.83</c:v>
                </c:pt>
                <c:pt idx="1076">
                  <c:v>60.8</c:v>
                </c:pt>
                <c:pt idx="1077">
                  <c:v>60.49</c:v>
                </c:pt>
                <c:pt idx="1078">
                  <c:v>60.76</c:v>
                </c:pt>
                <c:pt idx="1079">
                  <c:v>59.41</c:v>
                </c:pt>
                <c:pt idx="1080">
                  <c:v>59.08</c:v>
                </c:pt>
                <c:pt idx="1081">
                  <c:v>59.49</c:v>
                </c:pt>
                <c:pt idx="1082">
                  <c:v>59.85</c:v>
                </c:pt>
                <c:pt idx="1083">
                  <c:v>63.5</c:v>
                </c:pt>
                <c:pt idx="1084">
                  <c:v>65.760000000000005</c:v>
                </c:pt>
                <c:pt idx="1085">
                  <c:v>65.84</c:v>
                </c:pt>
                <c:pt idx="1086">
                  <c:v>67.98</c:v>
                </c:pt>
                <c:pt idx="1087">
                  <c:v>67.58</c:v>
                </c:pt>
                <c:pt idx="1088">
                  <c:v>68.040000000000006</c:v>
                </c:pt>
                <c:pt idx="1089">
                  <c:v>69.849999999999994</c:v>
                </c:pt>
                <c:pt idx="1090">
                  <c:v>72.44</c:v>
                </c:pt>
                <c:pt idx="1091">
                  <c:v>73.16</c:v>
                </c:pt>
                <c:pt idx="1092">
                  <c:v>73.3</c:v>
                </c:pt>
                <c:pt idx="1093">
                  <c:v>74.09</c:v>
                </c:pt>
                <c:pt idx="1094">
                  <c:v>70</c:v>
                </c:pt>
                <c:pt idx="1095">
                  <c:v>68.849999999999994</c:v>
                </c:pt>
                <c:pt idx="1096">
                  <c:v>68.91</c:v>
                </c:pt>
                <c:pt idx="1097">
                  <c:v>65.540000000000006</c:v>
                </c:pt>
                <c:pt idx="1098">
                  <c:v>65.86</c:v>
                </c:pt>
                <c:pt idx="1099">
                  <c:v>65.63</c:v>
                </c:pt>
                <c:pt idx="1100">
                  <c:v>67.17</c:v>
                </c:pt>
                <c:pt idx="1101">
                  <c:v>69.45</c:v>
                </c:pt>
                <c:pt idx="1102">
                  <c:v>69.3</c:v>
                </c:pt>
                <c:pt idx="1103">
                  <c:v>73.819999999999993</c:v>
                </c:pt>
                <c:pt idx="1104">
                  <c:v>72.98</c:v>
                </c:pt>
                <c:pt idx="1105">
                  <c:v>73.37</c:v>
                </c:pt>
                <c:pt idx="1106">
                  <c:v>74.72</c:v>
                </c:pt>
                <c:pt idx="1107">
                  <c:v>74.569999999999993</c:v>
                </c:pt>
                <c:pt idx="1108">
                  <c:v>75.81</c:v>
                </c:pt>
                <c:pt idx="1109">
                  <c:v>75.39</c:v>
                </c:pt>
                <c:pt idx="1110">
                  <c:v>75.040000000000006</c:v>
                </c:pt>
                <c:pt idx="1111">
                  <c:v>75.45</c:v>
                </c:pt>
                <c:pt idx="1112">
                  <c:v>73.930000000000007</c:v>
                </c:pt>
                <c:pt idx="1113">
                  <c:v>74.680000000000007</c:v>
                </c:pt>
                <c:pt idx="1114">
                  <c:v>74.62</c:v>
                </c:pt>
                <c:pt idx="1115">
                  <c:v>72.95</c:v>
                </c:pt>
                <c:pt idx="1116">
                  <c:v>72.63</c:v>
                </c:pt>
                <c:pt idx="1117">
                  <c:v>70.7</c:v>
                </c:pt>
                <c:pt idx="1118">
                  <c:v>68.02</c:v>
                </c:pt>
                <c:pt idx="1119">
                  <c:v>67.95</c:v>
                </c:pt>
                <c:pt idx="1120">
                  <c:v>66.91</c:v>
                </c:pt>
                <c:pt idx="1121">
                  <c:v>66.63</c:v>
                </c:pt>
                <c:pt idx="1122">
                  <c:v>67.010000000000005</c:v>
                </c:pt>
                <c:pt idx="1123">
                  <c:v>66.150000000000006</c:v>
                </c:pt>
                <c:pt idx="1124">
                  <c:v>66.239999999999995</c:v>
                </c:pt>
                <c:pt idx="1125">
                  <c:v>68.239999999999995</c:v>
                </c:pt>
                <c:pt idx="1126">
                  <c:v>69.260000000000005</c:v>
                </c:pt>
                <c:pt idx="1127">
                  <c:v>70.41</c:v>
                </c:pt>
                <c:pt idx="1128">
                  <c:v>75.62</c:v>
                </c:pt>
                <c:pt idx="1129">
                  <c:v>75.069999999999993</c:v>
                </c:pt>
                <c:pt idx="1130">
                  <c:v>75.180000000000007</c:v>
                </c:pt>
                <c:pt idx="1131">
                  <c:v>74.66</c:v>
                </c:pt>
                <c:pt idx="1132">
                  <c:v>73.55</c:v>
                </c:pt>
                <c:pt idx="1133">
                  <c:v>73.319999999999993</c:v>
                </c:pt>
                <c:pt idx="1134">
                  <c:v>73.34</c:v>
                </c:pt>
                <c:pt idx="1135">
                  <c:v>73.47</c:v>
                </c:pt>
                <c:pt idx="1136">
                  <c:v>71.959999999999994</c:v>
                </c:pt>
                <c:pt idx="1137">
                  <c:v>71.900000000000006</c:v>
                </c:pt>
                <c:pt idx="1138">
                  <c:v>71.34</c:v>
                </c:pt>
                <c:pt idx="1139">
                  <c:v>70.849999999999994</c:v>
                </c:pt>
                <c:pt idx="1140">
                  <c:v>72.209999999999994</c:v>
                </c:pt>
                <c:pt idx="1141">
                  <c:v>71.56</c:v>
                </c:pt>
                <c:pt idx="1142">
                  <c:v>71.34</c:v>
                </c:pt>
                <c:pt idx="1143">
                  <c:v>71.81</c:v>
                </c:pt>
                <c:pt idx="1144">
                  <c:v>69.23</c:v>
                </c:pt>
                <c:pt idx="1145">
                  <c:v>69.19</c:v>
                </c:pt>
                <c:pt idx="1146">
                  <c:v>70.7</c:v>
                </c:pt>
                <c:pt idx="1147">
                  <c:v>67.92</c:v>
                </c:pt>
                <c:pt idx="1148">
                  <c:v>66.88</c:v>
                </c:pt>
                <c:pt idx="1149">
                  <c:v>67.27</c:v>
                </c:pt>
                <c:pt idx="1150">
                  <c:v>64.650000000000006</c:v>
                </c:pt>
                <c:pt idx="1151">
                  <c:v>66.540000000000006</c:v>
                </c:pt>
                <c:pt idx="1152">
                  <c:v>67.819999999999993</c:v>
                </c:pt>
                <c:pt idx="1153">
                  <c:v>66.72</c:v>
                </c:pt>
                <c:pt idx="1154">
                  <c:v>65.650000000000006</c:v>
                </c:pt>
                <c:pt idx="1155">
                  <c:v>63.34</c:v>
                </c:pt>
                <c:pt idx="1156">
                  <c:v>62.11</c:v>
                </c:pt>
                <c:pt idx="1157">
                  <c:v>59.31</c:v>
                </c:pt>
                <c:pt idx="1158">
                  <c:v>58.6</c:v>
                </c:pt>
                <c:pt idx="1159">
                  <c:v>59.45</c:v>
                </c:pt>
                <c:pt idx="1160">
                  <c:v>57.23</c:v>
                </c:pt>
                <c:pt idx="1161">
                  <c:v>57.2</c:v>
                </c:pt>
                <c:pt idx="1162">
                  <c:v>58.5</c:v>
                </c:pt>
                <c:pt idx="1163">
                  <c:v>57.19</c:v>
                </c:pt>
                <c:pt idx="1164">
                  <c:v>55.09</c:v>
                </c:pt>
                <c:pt idx="1165">
                  <c:v>52.66</c:v>
                </c:pt>
                <c:pt idx="1166">
                  <c:v>48.62</c:v>
                </c:pt>
                <c:pt idx="1167">
                  <c:v>45.33</c:v>
                </c:pt>
                <c:pt idx="1168">
                  <c:v>43.37</c:v>
                </c:pt>
                <c:pt idx="1169">
                  <c:v>38.85</c:v>
                </c:pt>
                <c:pt idx="1170">
                  <c:v>36.74</c:v>
                </c:pt>
                <c:pt idx="1171">
                  <c:v>36.58</c:v>
                </c:pt>
                <c:pt idx="1172">
                  <c:v>36.869999999999997</c:v>
                </c:pt>
                <c:pt idx="1173">
                  <c:v>35.75</c:v>
                </c:pt>
                <c:pt idx="1174">
                  <c:v>40.03</c:v>
                </c:pt>
                <c:pt idx="1175">
                  <c:v>44.66</c:v>
                </c:pt>
                <c:pt idx="1176">
                  <c:v>44.86</c:v>
                </c:pt>
                <c:pt idx="1177">
                  <c:v>49.12</c:v>
                </c:pt>
                <c:pt idx="1178">
                  <c:v>48.97</c:v>
                </c:pt>
                <c:pt idx="1179">
                  <c:v>49.56</c:v>
                </c:pt>
                <c:pt idx="1180">
                  <c:v>49.92</c:v>
                </c:pt>
                <c:pt idx="1181">
                  <c:v>45.06</c:v>
                </c:pt>
                <c:pt idx="1182">
                  <c:v>43.92</c:v>
                </c:pt>
                <c:pt idx="1183">
                  <c:v>43.14</c:v>
                </c:pt>
                <c:pt idx="1184">
                  <c:v>39.619999999999997</c:v>
                </c:pt>
                <c:pt idx="1185">
                  <c:v>37.15</c:v>
                </c:pt>
                <c:pt idx="1186">
                  <c:v>37.4</c:v>
                </c:pt>
                <c:pt idx="1187">
                  <c:v>37.04</c:v>
                </c:pt>
                <c:pt idx="1188">
                  <c:v>36.06</c:v>
                </c:pt>
                <c:pt idx="1189">
                  <c:v>35.97</c:v>
                </c:pt>
                <c:pt idx="1190">
                  <c:v>36.74</c:v>
                </c:pt>
                <c:pt idx="1191">
                  <c:v>35.270000000000003</c:v>
                </c:pt>
                <c:pt idx="1192">
                  <c:v>35.380000000000003</c:v>
                </c:pt>
                <c:pt idx="1193">
                  <c:v>35.479999999999997</c:v>
                </c:pt>
                <c:pt idx="1194">
                  <c:v>33.93</c:v>
                </c:pt>
                <c:pt idx="1195">
                  <c:v>30.68</c:v>
                </c:pt>
                <c:pt idx="1196">
                  <c:v>29.74</c:v>
                </c:pt>
                <c:pt idx="1197">
                  <c:v>27.64</c:v>
                </c:pt>
                <c:pt idx="1198">
                  <c:v>26.8</c:v>
                </c:pt>
                <c:pt idx="1199">
                  <c:v>24.11</c:v>
                </c:pt>
                <c:pt idx="1200">
                  <c:v>23.88</c:v>
                </c:pt>
                <c:pt idx="1201">
                  <c:v>23.41</c:v>
                </c:pt>
                <c:pt idx="1202">
                  <c:v>20.78</c:v>
                </c:pt>
                <c:pt idx="1203">
                  <c:v>21.23</c:v>
                </c:pt>
                <c:pt idx="1204">
                  <c:v>22.24</c:v>
                </c:pt>
                <c:pt idx="1205">
                  <c:v>25.16</c:v>
                </c:pt>
                <c:pt idx="1206">
                  <c:v>22.29</c:v>
                </c:pt>
                <c:pt idx="1207">
                  <c:v>22.92</c:v>
                </c:pt>
                <c:pt idx="1208">
                  <c:v>26.22</c:v>
                </c:pt>
                <c:pt idx="1209">
                  <c:v>23.93</c:v>
                </c:pt>
                <c:pt idx="1210">
                  <c:v>22.89</c:v>
                </c:pt>
                <c:pt idx="1211">
                  <c:v>33.31</c:v>
                </c:pt>
                <c:pt idx="1212">
                  <c:v>31.94</c:v>
                </c:pt>
                <c:pt idx="1213">
                  <c:v>29.51</c:v>
                </c:pt>
                <c:pt idx="1214">
                  <c:v>29.02</c:v>
                </c:pt>
                <c:pt idx="1215">
                  <c:v>29.11</c:v>
                </c:pt>
                <c:pt idx="1216">
                  <c:v>28.09</c:v>
                </c:pt>
                <c:pt idx="1217">
                  <c:v>27.35</c:v>
                </c:pt>
                <c:pt idx="1218">
                  <c:v>23.54</c:v>
                </c:pt>
                <c:pt idx="1219">
                  <c:v>22.23</c:v>
                </c:pt>
                <c:pt idx="1220">
                  <c:v>20.29</c:v>
                </c:pt>
                <c:pt idx="1221">
                  <c:v>16.64</c:v>
                </c:pt>
                <c:pt idx="1222">
                  <c:v>17.62</c:v>
                </c:pt>
                <c:pt idx="1223">
                  <c:v>18.54</c:v>
                </c:pt>
                <c:pt idx="1224">
                  <c:v>18.48</c:v>
                </c:pt>
                <c:pt idx="1225">
                  <c:v>16.87</c:v>
                </c:pt>
                <c:pt idx="1226">
                  <c:v>16.63</c:v>
                </c:pt>
                <c:pt idx="1227">
                  <c:v>15.39</c:v>
                </c:pt>
                <c:pt idx="1228">
                  <c:v>15.42</c:v>
                </c:pt>
                <c:pt idx="1229">
                  <c:v>13.52</c:v>
                </c:pt>
                <c:pt idx="1230">
                  <c:v>12.85</c:v>
                </c:pt>
                <c:pt idx="1231">
                  <c:v>11.85</c:v>
                </c:pt>
                <c:pt idx="1232">
                  <c:v>10.82</c:v>
                </c:pt>
                <c:pt idx="1233">
                  <c:v>8.59</c:v>
                </c:pt>
                <c:pt idx="1234">
                  <c:v>6.88</c:v>
                </c:pt>
                <c:pt idx="1235">
                  <c:v>5.37</c:v>
                </c:pt>
                <c:pt idx="1236">
                  <c:v>5.36</c:v>
                </c:pt>
                <c:pt idx="1237">
                  <c:v>6.01</c:v>
                </c:pt>
                <c:pt idx="1238">
                  <c:v>8.5</c:v>
                </c:pt>
                <c:pt idx="1239">
                  <c:v>7.73</c:v>
                </c:pt>
                <c:pt idx="1240">
                  <c:v>8.2200000000000006</c:v>
                </c:pt>
                <c:pt idx="1241">
                  <c:v>9.3699999999999992</c:v>
                </c:pt>
                <c:pt idx="1242">
                  <c:v>8.84</c:v>
                </c:pt>
                <c:pt idx="1243">
                  <c:v>9.57</c:v>
                </c:pt>
                <c:pt idx="1244">
                  <c:v>10.76</c:v>
                </c:pt>
                <c:pt idx="1245">
                  <c:v>11.08</c:v>
                </c:pt>
                <c:pt idx="1246">
                  <c:v>10.14</c:v>
                </c:pt>
                <c:pt idx="1247">
                  <c:v>10.5</c:v>
                </c:pt>
                <c:pt idx="1248">
                  <c:v>10.99</c:v>
                </c:pt>
                <c:pt idx="1249">
                  <c:v>11.08</c:v>
                </c:pt>
                <c:pt idx="1250">
                  <c:v>9.18</c:v>
                </c:pt>
                <c:pt idx="1251">
                  <c:v>8.81</c:v>
                </c:pt>
                <c:pt idx="1252">
                  <c:v>7.89</c:v>
                </c:pt>
                <c:pt idx="1253">
                  <c:v>7.42</c:v>
                </c:pt>
                <c:pt idx="1254">
                  <c:v>6.91</c:v>
                </c:pt>
                <c:pt idx="1255">
                  <c:v>7.82</c:v>
                </c:pt>
                <c:pt idx="1256">
                  <c:v>7.03</c:v>
                </c:pt>
                <c:pt idx="1257">
                  <c:v>7.14</c:v>
                </c:pt>
                <c:pt idx="1258">
                  <c:v>8.14</c:v>
                </c:pt>
                <c:pt idx="1259">
                  <c:v>10.199999999999999</c:v>
                </c:pt>
                <c:pt idx="1260">
                  <c:v>10.27</c:v>
                </c:pt>
                <c:pt idx="1261">
                  <c:v>11.23</c:v>
                </c:pt>
                <c:pt idx="1262">
                  <c:v>11.9</c:v>
                </c:pt>
                <c:pt idx="1263">
                  <c:v>11.79</c:v>
                </c:pt>
                <c:pt idx="1264">
                  <c:v>9.76</c:v>
                </c:pt>
                <c:pt idx="1265">
                  <c:v>8.14</c:v>
                </c:pt>
                <c:pt idx="1266">
                  <c:v>7.99</c:v>
                </c:pt>
                <c:pt idx="1267">
                  <c:v>7.34</c:v>
                </c:pt>
                <c:pt idx="1268">
                  <c:v>5.41</c:v>
                </c:pt>
                <c:pt idx="1269">
                  <c:v>4.3499999999999996</c:v>
                </c:pt>
                <c:pt idx="1270">
                  <c:v>3.98</c:v>
                </c:pt>
                <c:pt idx="1271">
                  <c:v>4.42</c:v>
                </c:pt>
                <c:pt idx="1272">
                  <c:v>5.81</c:v>
                </c:pt>
                <c:pt idx="1273">
                  <c:v>6.28</c:v>
                </c:pt>
                <c:pt idx="1274">
                  <c:v>6.99</c:v>
                </c:pt>
                <c:pt idx="1275">
                  <c:v>8.73</c:v>
                </c:pt>
                <c:pt idx="1276">
                  <c:v>12.28</c:v>
                </c:pt>
                <c:pt idx="1277">
                  <c:v>15.02</c:v>
                </c:pt>
                <c:pt idx="1278">
                  <c:v>21.45</c:v>
                </c:pt>
                <c:pt idx="1279">
                  <c:v>29.18</c:v>
                </c:pt>
                <c:pt idx="1280">
                  <c:v>41.96</c:v>
                </c:pt>
                <c:pt idx="1281">
                  <c:v>47.82</c:v>
                </c:pt>
                <c:pt idx="1282">
                  <c:v>58.09</c:v>
                </c:pt>
                <c:pt idx="1283">
                  <c:v>64.790000000000006</c:v>
                </c:pt>
                <c:pt idx="1284">
                  <c:v>72.8</c:v>
                </c:pt>
                <c:pt idx="1285">
                  <c:v>77.400000000000006</c:v>
                </c:pt>
                <c:pt idx="1286">
                  <c:v>81.540000000000006</c:v>
                </c:pt>
                <c:pt idx="1287">
                  <c:v>81.69</c:v>
                </c:pt>
                <c:pt idx="1288">
                  <c:v>81.69</c:v>
                </c:pt>
                <c:pt idx="1289">
                  <c:v>81.8</c:v>
                </c:pt>
                <c:pt idx="1290">
                  <c:v>81.8</c:v>
                </c:pt>
                <c:pt idx="1291">
                  <c:v>82.63</c:v>
                </c:pt>
                <c:pt idx="1292">
                  <c:v>83.23</c:v>
                </c:pt>
                <c:pt idx="1293">
                  <c:v>85.22</c:v>
                </c:pt>
                <c:pt idx="1294">
                  <c:v>85.55</c:v>
                </c:pt>
                <c:pt idx="1295">
                  <c:v>87.64</c:v>
                </c:pt>
                <c:pt idx="1296">
                  <c:v>88.98</c:v>
                </c:pt>
                <c:pt idx="1297">
                  <c:v>89.1</c:v>
                </c:pt>
                <c:pt idx="1298">
                  <c:v>89.39</c:v>
                </c:pt>
                <c:pt idx="1299">
                  <c:v>91.47</c:v>
                </c:pt>
                <c:pt idx="1300">
                  <c:v>92.37</c:v>
                </c:pt>
                <c:pt idx="1301">
                  <c:v>93.98</c:v>
                </c:pt>
                <c:pt idx="1302">
                  <c:v>94.78</c:v>
                </c:pt>
                <c:pt idx="1303">
                  <c:v>95.55</c:v>
                </c:pt>
                <c:pt idx="1304">
                  <c:v>96.02</c:v>
                </c:pt>
                <c:pt idx="1305">
                  <c:v>95.94</c:v>
                </c:pt>
                <c:pt idx="1306">
                  <c:v>95.92</c:v>
                </c:pt>
                <c:pt idx="1307">
                  <c:v>95.71</c:v>
                </c:pt>
                <c:pt idx="1308">
                  <c:v>95.77</c:v>
                </c:pt>
                <c:pt idx="1309">
                  <c:v>95.63</c:v>
                </c:pt>
                <c:pt idx="1310">
                  <c:v>95.75</c:v>
                </c:pt>
                <c:pt idx="1311">
                  <c:v>95.53</c:v>
                </c:pt>
                <c:pt idx="1312">
                  <c:v>94.48</c:v>
                </c:pt>
                <c:pt idx="1313">
                  <c:v>94.41</c:v>
                </c:pt>
                <c:pt idx="1314">
                  <c:v>94.3</c:v>
                </c:pt>
                <c:pt idx="1315">
                  <c:v>92.82</c:v>
                </c:pt>
                <c:pt idx="1316">
                  <c:v>93.04</c:v>
                </c:pt>
                <c:pt idx="1317">
                  <c:v>92.99</c:v>
                </c:pt>
                <c:pt idx="1318">
                  <c:v>93</c:v>
                </c:pt>
                <c:pt idx="1319">
                  <c:v>92.17</c:v>
                </c:pt>
                <c:pt idx="1320">
                  <c:v>92.65</c:v>
                </c:pt>
                <c:pt idx="1321">
                  <c:v>92.54</c:v>
                </c:pt>
                <c:pt idx="1322">
                  <c:v>92.1</c:v>
                </c:pt>
                <c:pt idx="1323">
                  <c:v>92.29</c:v>
                </c:pt>
                <c:pt idx="1324">
                  <c:v>93.06</c:v>
                </c:pt>
                <c:pt idx="1325">
                  <c:v>92.73</c:v>
                </c:pt>
                <c:pt idx="1326">
                  <c:v>92.76</c:v>
                </c:pt>
                <c:pt idx="1327">
                  <c:v>92.96</c:v>
                </c:pt>
                <c:pt idx="1328">
                  <c:v>92.61</c:v>
                </c:pt>
                <c:pt idx="1329">
                  <c:v>92.49</c:v>
                </c:pt>
                <c:pt idx="1330">
                  <c:v>92.48</c:v>
                </c:pt>
                <c:pt idx="1331">
                  <c:v>92.06</c:v>
                </c:pt>
                <c:pt idx="1332">
                  <c:v>91.67</c:v>
                </c:pt>
                <c:pt idx="1333">
                  <c:v>91.82</c:v>
                </c:pt>
                <c:pt idx="1334">
                  <c:v>91.8</c:v>
                </c:pt>
                <c:pt idx="1335">
                  <c:v>91.78</c:v>
                </c:pt>
                <c:pt idx="1336">
                  <c:v>91.76</c:v>
                </c:pt>
                <c:pt idx="1337">
                  <c:v>91.93</c:v>
                </c:pt>
                <c:pt idx="1338">
                  <c:v>91.69</c:v>
                </c:pt>
                <c:pt idx="1339">
                  <c:v>91.67</c:v>
                </c:pt>
                <c:pt idx="1340">
                  <c:v>91.65</c:v>
                </c:pt>
                <c:pt idx="1341">
                  <c:v>91.1</c:v>
                </c:pt>
                <c:pt idx="1342">
                  <c:v>90.22</c:v>
                </c:pt>
                <c:pt idx="1343">
                  <c:v>90.06</c:v>
                </c:pt>
                <c:pt idx="1344">
                  <c:v>89.03</c:v>
                </c:pt>
                <c:pt idx="1345">
                  <c:v>87.8</c:v>
                </c:pt>
                <c:pt idx="1346">
                  <c:v>86.5</c:v>
                </c:pt>
                <c:pt idx="1347">
                  <c:v>86.18</c:v>
                </c:pt>
                <c:pt idx="1348">
                  <c:v>86.39</c:v>
                </c:pt>
                <c:pt idx="1349">
                  <c:v>86.91</c:v>
                </c:pt>
                <c:pt idx="1350">
                  <c:v>86.96</c:v>
                </c:pt>
                <c:pt idx="1351">
                  <c:v>86.73</c:v>
                </c:pt>
                <c:pt idx="1352">
                  <c:v>86.01</c:v>
                </c:pt>
                <c:pt idx="1353">
                  <c:v>83.52</c:v>
                </c:pt>
                <c:pt idx="1354">
                  <c:v>80.37</c:v>
                </c:pt>
                <c:pt idx="1355">
                  <c:v>78.33</c:v>
                </c:pt>
                <c:pt idx="1356">
                  <c:v>70.91</c:v>
                </c:pt>
                <c:pt idx="1357">
                  <c:v>69.61</c:v>
                </c:pt>
                <c:pt idx="1358">
                  <c:v>65.930000000000007</c:v>
                </c:pt>
                <c:pt idx="1359">
                  <c:v>66.010000000000005</c:v>
                </c:pt>
                <c:pt idx="1360">
                  <c:v>65.19</c:v>
                </c:pt>
                <c:pt idx="1361">
                  <c:v>67.37</c:v>
                </c:pt>
                <c:pt idx="1362">
                  <c:v>69.599999999999994</c:v>
                </c:pt>
                <c:pt idx="1363">
                  <c:v>73.3</c:v>
                </c:pt>
                <c:pt idx="1364">
                  <c:v>73.680000000000007</c:v>
                </c:pt>
                <c:pt idx="1365">
                  <c:v>74.260000000000005</c:v>
                </c:pt>
                <c:pt idx="1366">
                  <c:v>72.12</c:v>
                </c:pt>
                <c:pt idx="1367">
                  <c:v>71.83</c:v>
                </c:pt>
                <c:pt idx="1368">
                  <c:v>71.52</c:v>
                </c:pt>
                <c:pt idx="1369">
                  <c:v>72.05</c:v>
                </c:pt>
                <c:pt idx="1370">
                  <c:v>72.63</c:v>
                </c:pt>
                <c:pt idx="1371">
                  <c:v>72.27</c:v>
                </c:pt>
                <c:pt idx="1372">
                  <c:v>74.42</c:v>
                </c:pt>
                <c:pt idx="1373">
                  <c:v>77.650000000000006</c:v>
                </c:pt>
                <c:pt idx="1374">
                  <c:v>75.94</c:v>
                </c:pt>
                <c:pt idx="1375">
                  <c:v>71.56</c:v>
                </c:pt>
                <c:pt idx="1376">
                  <c:v>68.37</c:v>
                </c:pt>
                <c:pt idx="1377">
                  <c:v>64.739999999999995</c:v>
                </c:pt>
                <c:pt idx="1378">
                  <c:v>66.400000000000006</c:v>
                </c:pt>
                <c:pt idx="1379">
                  <c:v>69.989999999999995</c:v>
                </c:pt>
                <c:pt idx="1380">
                  <c:v>69.2</c:v>
                </c:pt>
                <c:pt idx="1381">
                  <c:v>68.34</c:v>
                </c:pt>
                <c:pt idx="1382">
                  <c:v>65.52</c:v>
                </c:pt>
                <c:pt idx="1383">
                  <c:v>63.53</c:v>
                </c:pt>
                <c:pt idx="1384">
                  <c:v>63.28</c:v>
                </c:pt>
                <c:pt idx="1385">
                  <c:v>60.59</c:v>
                </c:pt>
                <c:pt idx="1386">
                  <c:v>60.51</c:v>
                </c:pt>
                <c:pt idx="1387">
                  <c:v>60.43</c:v>
                </c:pt>
                <c:pt idx="1388">
                  <c:v>60.44</c:v>
                </c:pt>
                <c:pt idx="1389">
                  <c:v>62.88</c:v>
                </c:pt>
                <c:pt idx="1390">
                  <c:v>60.01</c:v>
                </c:pt>
                <c:pt idx="1391">
                  <c:v>59.45</c:v>
                </c:pt>
                <c:pt idx="1392">
                  <c:v>55.05</c:v>
                </c:pt>
                <c:pt idx="1393">
                  <c:v>51.62</c:v>
                </c:pt>
                <c:pt idx="1394">
                  <c:v>46.75</c:v>
                </c:pt>
                <c:pt idx="1395">
                  <c:v>43.63</c:v>
                </c:pt>
                <c:pt idx="1396">
                  <c:v>42.28</c:v>
                </c:pt>
                <c:pt idx="1397">
                  <c:v>50.88</c:v>
                </c:pt>
                <c:pt idx="1398">
                  <c:v>53.45</c:v>
                </c:pt>
                <c:pt idx="1399">
                  <c:v>57.27</c:v>
                </c:pt>
                <c:pt idx="1400">
                  <c:v>61.5</c:v>
                </c:pt>
                <c:pt idx="1401">
                  <c:v>60.7</c:v>
                </c:pt>
                <c:pt idx="1402">
                  <c:v>65.2</c:v>
                </c:pt>
                <c:pt idx="1403">
                  <c:v>71.069999999999993</c:v>
                </c:pt>
                <c:pt idx="1404">
                  <c:v>61.36</c:v>
                </c:pt>
                <c:pt idx="1405">
                  <c:v>74</c:v>
                </c:pt>
                <c:pt idx="1406">
                  <c:v>68.58</c:v>
                </c:pt>
                <c:pt idx="1407">
                  <c:v>81.67</c:v>
                </c:pt>
                <c:pt idx="1408">
                  <c:v>81.209999999999994</c:v>
                </c:pt>
                <c:pt idx="1409">
                  <c:v>78.13</c:v>
                </c:pt>
                <c:pt idx="1410">
                  <c:v>75.650000000000006</c:v>
                </c:pt>
                <c:pt idx="1411">
                  <c:v>75.66</c:v>
                </c:pt>
                <c:pt idx="1412">
                  <c:v>85.02</c:v>
                </c:pt>
                <c:pt idx="1413">
                  <c:v>85.88</c:v>
                </c:pt>
                <c:pt idx="1414">
                  <c:v>81.86</c:v>
                </c:pt>
                <c:pt idx="1415">
                  <c:v>78.260000000000005</c:v>
                </c:pt>
                <c:pt idx="1416">
                  <c:v>70.3</c:v>
                </c:pt>
                <c:pt idx="1417">
                  <c:v>69.87</c:v>
                </c:pt>
                <c:pt idx="1418">
                  <c:v>66.95</c:v>
                </c:pt>
                <c:pt idx="1419">
                  <c:v>67.09</c:v>
                </c:pt>
                <c:pt idx="1420">
                  <c:v>67.78</c:v>
                </c:pt>
                <c:pt idx="1421">
                  <c:v>60.61</c:v>
                </c:pt>
                <c:pt idx="1422">
                  <c:v>64.040000000000006</c:v>
                </c:pt>
                <c:pt idx="1423">
                  <c:v>61.06</c:v>
                </c:pt>
                <c:pt idx="1424">
                  <c:v>60.05</c:v>
                </c:pt>
                <c:pt idx="1425">
                  <c:v>58.75</c:v>
                </c:pt>
                <c:pt idx="1426">
                  <c:v>53.47</c:v>
                </c:pt>
                <c:pt idx="1427">
                  <c:v>51.17</c:v>
                </c:pt>
                <c:pt idx="1428">
                  <c:v>43.42</c:v>
                </c:pt>
                <c:pt idx="1429">
                  <c:v>39.979999999999997</c:v>
                </c:pt>
                <c:pt idx="1430">
                  <c:v>36.299999999999997</c:v>
                </c:pt>
                <c:pt idx="1431">
                  <c:v>33.020000000000003</c:v>
                </c:pt>
                <c:pt idx="1432">
                  <c:v>33.46</c:v>
                </c:pt>
                <c:pt idx="1433">
                  <c:v>29.77</c:v>
                </c:pt>
                <c:pt idx="1434">
                  <c:v>27.99</c:v>
                </c:pt>
                <c:pt idx="1435">
                  <c:v>32.64</c:v>
                </c:pt>
                <c:pt idx="1436">
                  <c:v>36.32</c:v>
                </c:pt>
                <c:pt idx="1437">
                  <c:v>36.85</c:v>
                </c:pt>
                <c:pt idx="1438">
                  <c:v>35.69</c:v>
                </c:pt>
                <c:pt idx="1439">
                  <c:v>33.19</c:v>
                </c:pt>
                <c:pt idx="1440">
                  <c:v>32.71</c:v>
                </c:pt>
                <c:pt idx="1441">
                  <c:v>31.28</c:v>
                </c:pt>
                <c:pt idx="1442">
                  <c:v>26.1</c:v>
                </c:pt>
                <c:pt idx="1443">
                  <c:v>25.41</c:v>
                </c:pt>
                <c:pt idx="1444">
                  <c:v>21.78</c:v>
                </c:pt>
                <c:pt idx="1445">
                  <c:v>19.53</c:v>
                </c:pt>
                <c:pt idx="1446">
                  <c:v>20.47</c:v>
                </c:pt>
                <c:pt idx="1447">
                  <c:v>19.5</c:v>
                </c:pt>
                <c:pt idx="1448">
                  <c:v>17.61</c:v>
                </c:pt>
                <c:pt idx="1449">
                  <c:v>23.92</c:v>
                </c:pt>
                <c:pt idx="1450">
                  <c:v>23.26</c:v>
                </c:pt>
                <c:pt idx="1451">
                  <c:v>21.05</c:v>
                </c:pt>
                <c:pt idx="1452">
                  <c:v>21.59</c:v>
                </c:pt>
                <c:pt idx="1453">
                  <c:v>19.96</c:v>
                </c:pt>
                <c:pt idx="1454">
                  <c:v>18.22</c:v>
                </c:pt>
                <c:pt idx="1455">
                  <c:v>19.18</c:v>
                </c:pt>
                <c:pt idx="1456">
                  <c:v>21.53</c:v>
                </c:pt>
                <c:pt idx="1457">
                  <c:v>17.600000000000001</c:v>
                </c:pt>
                <c:pt idx="1458">
                  <c:v>18.09</c:v>
                </c:pt>
                <c:pt idx="1459">
                  <c:v>15.72</c:v>
                </c:pt>
                <c:pt idx="1460">
                  <c:v>12.87</c:v>
                </c:pt>
                <c:pt idx="1461">
                  <c:v>12.32</c:v>
                </c:pt>
                <c:pt idx="1462">
                  <c:v>11.78</c:v>
                </c:pt>
                <c:pt idx="1463">
                  <c:v>8.06</c:v>
                </c:pt>
                <c:pt idx="1464">
                  <c:v>5.48</c:v>
                </c:pt>
                <c:pt idx="1465">
                  <c:v>5.82</c:v>
                </c:pt>
                <c:pt idx="1466">
                  <c:v>5.37</c:v>
                </c:pt>
                <c:pt idx="1467">
                  <c:v>3.36</c:v>
                </c:pt>
                <c:pt idx="1468">
                  <c:v>10.94</c:v>
                </c:pt>
                <c:pt idx="1469">
                  <c:v>14</c:v>
                </c:pt>
                <c:pt idx="1470">
                  <c:v>11.14</c:v>
                </c:pt>
                <c:pt idx="1471">
                  <c:v>10.09</c:v>
                </c:pt>
                <c:pt idx="1472">
                  <c:v>8.93</c:v>
                </c:pt>
                <c:pt idx="1473">
                  <c:v>5.97</c:v>
                </c:pt>
                <c:pt idx="1474">
                  <c:v>4.2699999999999996</c:v>
                </c:pt>
                <c:pt idx="1475">
                  <c:v>1.83</c:v>
                </c:pt>
                <c:pt idx="1476">
                  <c:v>0.66</c:v>
                </c:pt>
                <c:pt idx="1477">
                  <c:v>0.02</c:v>
                </c:pt>
                <c:pt idx="1478">
                  <c:v>-0.06</c:v>
                </c:pt>
                <c:pt idx="1479">
                  <c:v>-0.03</c:v>
                </c:pt>
                <c:pt idx="1480">
                  <c:v>-0.1</c:v>
                </c:pt>
                <c:pt idx="1481">
                  <c:v>0.08</c:v>
                </c:pt>
                <c:pt idx="1482">
                  <c:v>4.62</c:v>
                </c:pt>
                <c:pt idx="1483">
                  <c:v>6.76</c:v>
                </c:pt>
                <c:pt idx="1484">
                  <c:v>9.5299999999999994</c:v>
                </c:pt>
                <c:pt idx="1485">
                  <c:v>9.64</c:v>
                </c:pt>
                <c:pt idx="1486">
                  <c:v>7.44</c:v>
                </c:pt>
                <c:pt idx="1487">
                  <c:v>5.98</c:v>
                </c:pt>
                <c:pt idx="1488">
                  <c:v>4.3600000000000003</c:v>
                </c:pt>
                <c:pt idx="1489">
                  <c:v>3.03</c:v>
                </c:pt>
                <c:pt idx="1490">
                  <c:v>1.34</c:v>
                </c:pt>
                <c:pt idx="1491">
                  <c:v>0.45</c:v>
                </c:pt>
                <c:pt idx="1492">
                  <c:v>-0.03</c:v>
                </c:pt>
                <c:pt idx="1493">
                  <c:v>-0.08</c:v>
                </c:pt>
                <c:pt idx="1494">
                  <c:v>-0.02</c:v>
                </c:pt>
                <c:pt idx="1495">
                  <c:v>2.4300000000000002</c:v>
                </c:pt>
                <c:pt idx="1496">
                  <c:v>5.33</c:v>
                </c:pt>
                <c:pt idx="1497">
                  <c:v>8.83</c:v>
                </c:pt>
                <c:pt idx="1498">
                  <c:v>11.81</c:v>
                </c:pt>
                <c:pt idx="1499">
                  <c:v>11.74</c:v>
                </c:pt>
                <c:pt idx="1500">
                  <c:v>10.08</c:v>
                </c:pt>
                <c:pt idx="1501">
                  <c:v>7.8</c:v>
                </c:pt>
                <c:pt idx="1502">
                  <c:v>7.83</c:v>
                </c:pt>
                <c:pt idx="1503">
                  <c:v>6.34</c:v>
                </c:pt>
                <c:pt idx="1504">
                  <c:v>4.7300000000000004</c:v>
                </c:pt>
                <c:pt idx="1505">
                  <c:v>5.94</c:v>
                </c:pt>
                <c:pt idx="1506">
                  <c:v>6.36</c:v>
                </c:pt>
                <c:pt idx="1507">
                  <c:v>5.22</c:v>
                </c:pt>
                <c:pt idx="1508">
                  <c:v>6.06</c:v>
                </c:pt>
                <c:pt idx="1509">
                  <c:v>15.17</c:v>
                </c:pt>
                <c:pt idx="1510">
                  <c:v>26.44</c:v>
                </c:pt>
                <c:pt idx="1511">
                  <c:v>22.06</c:v>
                </c:pt>
                <c:pt idx="1512">
                  <c:v>18.940000000000001</c:v>
                </c:pt>
                <c:pt idx="1513">
                  <c:v>19.91</c:v>
                </c:pt>
                <c:pt idx="1514">
                  <c:v>18.18</c:v>
                </c:pt>
                <c:pt idx="1515">
                  <c:v>13.23</c:v>
                </c:pt>
                <c:pt idx="1516">
                  <c:v>8.51</c:v>
                </c:pt>
                <c:pt idx="1517">
                  <c:v>7.48</c:v>
                </c:pt>
                <c:pt idx="1518">
                  <c:v>12.25</c:v>
                </c:pt>
                <c:pt idx="1519">
                  <c:v>13.52</c:v>
                </c:pt>
                <c:pt idx="1520">
                  <c:v>12.46</c:v>
                </c:pt>
                <c:pt idx="1521">
                  <c:v>10.67</c:v>
                </c:pt>
                <c:pt idx="1522">
                  <c:v>10.45</c:v>
                </c:pt>
                <c:pt idx="1523">
                  <c:v>9.9700000000000006</c:v>
                </c:pt>
                <c:pt idx="1524">
                  <c:v>12.03</c:v>
                </c:pt>
                <c:pt idx="1525">
                  <c:v>11.35</c:v>
                </c:pt>
                <c:pt idx="1526">
                  <c:v>11.13</c:v>
                </c:pt>
                <c:pt idx="1527">
                  <c:v>11.43</c:v>
                </c:pt>
                <c:pt idx="1528">
                  <c:v>11.99</c:v>
                </c:pt>
                <c:pt idx="1529">
                  <c:v>10.86</c:v>
                </c:pt>
                <c:pt idx="1530">
                  <c:v>8.2899999999999991</c:v>
                </c:pt>
                <c:pt idx="1531">
                  <c:v>7.17</c:v>
                </c:pt>
                <c:pt idx="1532">
                  <c:v>10.56</c:v>
                </c:pt>
                <c:pt idx="1533">
                  <c:v>11.51</c:v>
                </c:pt>
                <c:pt idx="1534">
                  <c:v>10.8</c:v>
                </c:pt>
                <c:pt idx="1535">
                  <c:v>11.43</c:v>
                </c:pt>
                <c:pt idx="1536">
                  <c:v>12.52</c:v>
                </c:pt>
                <c:pt idx="1537">
                  <c:v>12.52</c:v>
                </c:pt>
                <c:pt idx="1538">
                  <c:v>11.17</c:v>
                </c:pt>
                <c:pt idx="1539">
                  <c:v>13.05</c:v>
                </c:pt>
                <c:pt idx="1540">
                  <c:v>12.41</c:v>
                </c:pt>
                <c:pt idx="1541">
                  <c:v>11.9</c:v>
                </c:pt>
                <c:pt idx="1542">
                  <c:v>9.84</c:v>
                </c:pt>
                <c:pt idx="1543">
                  <c:v>9.99</c:v>
                </c:pt>
                <c:pt idx="1544">
                  <c:v>9.57</c:v>
                </c:pt>
                <c:pt idx="1545">
                  <c:v>8.61</c:v>
                </c:pt>
                <c:pt idx="1546">
                  <c:v>6.01</c:v>
                </c:pt>
                <c:pt idx="1547">
                  <c:v>5.25</c:v>
                </c:pt>
                <c:pt idx="1548">
                  <c:v>4.76</c:v>
                </c:pt>
                <c:pt idx="1549">
                  <c:v>6.19</c:v>
                </c:pt>
                <c:pt idx="1550">
                  <c:v>5.76</c:v>
                </c:pt>
                <c:pt idx="1551">
                  <c:v>6.89</c:v>
                </c:pt>
                <c:pt idx="1552">
                  <c:v>9.08</c:v>
                </c:pt>
                <c:pt idx="1553">
                  <c:v>10.37</c:v>
                </c:pt>
                <c:pt idx="1554">
                  <c:v>10.41</c:v>
                </c:pt>
                <c:pt idx="1555">
                  <c:v>10.5</c:v>
                </c:pt>
                <c:pt idx="1556">
                  <c:v>10.43</c:v>
                </c:pt>
                <c:pt idx="1557">
                  <c:v>11.77</c:v>
                </c:pt>
                <c:pt idx="1558">
                  <c:v>11.48</c:v>
                </c:pt>
                <c:pt idx="1559">
                  <c:v>10.130000000000001</c:v>
                </c:pt>
                <c:pt idx="1560">
                  <c:v>9.74</c:v>
                </c:pt>
                <c:pt idx="1561">
                  <c:v>9.9</c:v>
                </c:pt>
                <c:pt idx="1562">
                  <c:v>11.43</c:v>
                </c:pt>
                <c:pt idx="1563">
                  <c:v>12.46</c:v>
                </c:pt>
                <c:pt idx="1564">
                  <c:v>13.12</c:v>
                </c:pt>
                <c:pt idx="1565">
                  <c:v>13.68</c:v>
                </c:pt>
                <c:pt idx="1566">
                  <c:v>21.61</c:v>
                </c:pt>
                <c:pt idx="1567">
                  <c:v>27.43</c:v>
                </c:pt>
                <c:pt idx="1568">
                  <c:v>25.95</c:v>
                </c:pt>
                <c:pt idx="1569">
                  <c:v>18.77</c:v>
                </c:pt>
                <c:pt idx="1570">
                  <c:v>20.85</c:v>
                </c:pt>
                <c:pt idx="1571">
                  <c:v>21.74</c:v>
                </c:pt>
                <c:pt idx="1572">
                  <c:v>20.13</c:v>
                </c:pt>
                <c:pt idx="1573">
                  <c:v>16.48</c:v>
                </c:pt>
                <c:pt idx="1574">
                  <c:v>15.61</c:v>
                </c:pt>
                <c:pt idx="1575">
                  <c:v>15.8</c:v>
                </c:pt>
                <c:pt idx="1576">
                  <c:v>22.18</c:v>
                </c:pt>
                <c:pt idx="1577">
                  <c:v>20.079999999999998</c:v>
                </c:pt>
                <c:pt idx="1578">
                  <c:v>15.98</c:v>
                </c:pt>
                <c:pt idx="1579">
                  <c:v>13.79</c:v>
                </c:pt>
                <c:pt idx="1580">
                  <c:v>14.33</c:v>
                </c:pt>
                <c:pt idx="1581">
                  <c:v>16.079999999999998</c:v>
                </c:pt>
                <c:pt idx="1582">
                  <c:v>17.59</c:v>
                </c:pt>
                <c:pt idx="1583">
                  <c:v>15.78</c:v>
                </c:pt>
                <c:pt idx="1584">
                  <c:v>15.46</c:v>
                </c:pt>
                <c:pt idx="1585">
                  <c:v>17.21</c:v>
                </c:pt>
                <c:pt idx="1586">
                  <c:v>18.87</c:v>
                </c:pt>
                <c:pt idx="1587">
                  <c:v>16.82</c:v>
                </c:pt>
                <c:pt idx="1588">
                  <c:v>15.65</c:v>
                </c:pt>
                <c:pt idx="1589">
                  <c:v>17.309999999999999</c:v>
                </c:pt>
                <c:pt idx="1590">
                  <c:v>16.39</c:v>
                </c:pt>
                <c:pt idx="1591">
                  <c:v>14.64</c:v>
                </c:pt>
                <c:pt idx="1592">
                  <c:v>12.09</c:v>
                </c:pt>
                <c:pt idx="1593">
                  <c:v>11.86</c:v>
                </c:pt>
                <c:pt idx="1594">
                  <c:v>10.4</c:v>
                </c:pt>
                <c:pt idx="1595">
                  <c:v>10.38</c:v>
                </c:pt>
                <c:pt idx="1596">
                  <c:v>9.61</c:v>
                </c:pt>
                <c:pt idx="1597">
                  <c:v>8.61</c:v>
                </c:pt>
                <c:pt idx="1598">
                  <c:v>6.91</c:v>
                </c:pt>
                <c:pt idx="1599">
                  <c:v>9.91</c:v>
                </c:pt>
                <c:pt idx="1600">
                  <c:v>9.77</c:v>
                </c:pt>
                <c:pt idx="1601">
                  <c:v>9.6199999999999992</c:v>
                </c:pt>
                <c:pt idx="1602">
                  <c:v>8.7100000000000009</c:v>
                </c:pt>
                <c:pt idx="1603">
                  <c:v>10.46</c:v>
                </c:pt>
                <c:pt idx="1604">
                  <c:v>10.86</c:v>
                </c:pt>
                <c:pt idx="1605">
                  <c:v>12.45</c:v>
                </c:pt>
                <c:pt idx="1606">
                  <c:v>12.44</c:v>
                </c:pt>
                <c:pt idx="1607">
                  <c:v>12.04</c:v>
                </c:pt>
                <c:pt idx="1608">
                  <c:v>14.84</c:v>
                </c:pt>
                <c:pt idx="1609">
                  <c:v>14.94</c:v>
                </c:pt>
                <c:pt idx="1610">
                  <c:v>16.350000000000001</c:v>
                </c:pt>
                <c:pt idx="1611">
                  <c:v>17.77</c:v>
                </c:pt>
                <c:pt idx="1612">
                  <c:v>18.28</c:v>
                </c:pt>
                <c:pt idx="1613">
                  <c:v>17.21</c:v>
                </c:pt>
                <c:pt idx="1614">
                  <c:v>15.6</c:v>
                </c:pt>
                <c:pt idx="1615">
                  <c:v>14</c:v>
                </c:pt>
                <c:pt idx="1616">
                  <c:v>12.85</c:v>
                </c:pt>
                <c:pt idx="1617">
                  <c:v>11.99</c:v>
                </c:pt>
                <c:pt idx="1618">
                  <c:v>12.03</c:v>
                </c:pt>
                <c:pt idx="1619">
                  <c:v>10.78</c:v>
                </c:pt>
                <c:pt idx="1620">
                  <c:v>12.13</c:v>
                </c:pt>
                <c:pt idx="1621">
                  <c:v>13.95</c:v>
                </c:pt>
                <c:pt idx="1622">
                  <c:v>14.63</c:v>
                </c:pt>
                <c:pt idx="1623">
                  <c:v>12.23</c:v>
                </c:pt>
                <c:pt idx="1624">
                  <c:v>13.17</c:v>
                </c:pt>
                <c:pt idx="1625">
                  <c:v>13.72</c:v>
                </c:pt>
                <c:pt idx="1626">
                  <c:v>14.92</c:v>
                </c:pt>
                <c:pt idx="1627">
                  <c:v>16.64</c:v>
                </c:pt>
                <c:pt idx="1628">
                  <c:v>17.62</c:v>
                </c:pt>
                <c:pt idx="1629">
                  <c:v>15.81</c:v>
                </c:pt>
                <c:pt idx="1630">
                  <c:v>15.43</c:v>
                </c:pt>
                <c:pt idx="1631">
                  <c:v>17.38</c:v>
                </c:pt>
                <c:pt idx="1632">
                  <c:v>18.670000000000002</c:v>
                </c:pt>
                <c:pt idx="1633">
                  <c:v>16.57</c:v>
                </c:pt>
                <c:pt idx="1634">
                  <c:v>13.91</c:v>
                </c:pt>
                <c:pt idx="1635">
                  <c:v>13.54</c:v>
                </c:pt>
                <c:pt idx="1636">
                  <c:v>13.85</c:v>
                </c:pt>
                <c:pt idx="1637">
                  <c:v>11.69</c:v>
                </c:pt>
                <c:pt idx="1638">
                  <c:v>10.119999999999999</c:v>
                </c:pt>
                <c:pt idx="1639">
                  <c:v>9.51</c:v>
                </c:pt>
                <c:pt idx="1640">
                  <c:v>8.2799999999999994</c:v>
                </c:pt>
                <c:pt idx="1641">
                  <c:v>10.029999999999999</c:v>
                </c:pt>
                <c:pt idx="1642">
                  <c:v>10.63</c:v>
                </c:pt>
                <c:pt idx="1643">
                  <c:v>10.29</c:v>
                </c:pt>
                <c:pt idx="1644">
                  <c:v>9.4</c:v>
                </c:pt>
                <c:pt idx="1645">
                  <c:v>10.95</c:v>
                </c:pt>
                <c:pt idx="1646">
                  <c:v>10.79</c:v>
                </c:pt>
                <c:pt idx="1647">
                  <c:v>12.46</c:v>
                </c:pt>
                <c:pt idx="1648">
                  <c:v>14.19</c:v>
                </c:pt>
                <c:pt idx="1649">
                  <c:v>15.63</c:v>
                </c:pt>
                <c:pt idx="1650">
                  <c:v>15.87</c:v>
                </c:pt>
                <c:pt idx="1651">
                  <c:v>16.399999999999999</c:v>
                </c:pt>
                <c:pt idx="1652">
                  <c:v>15.26</c:v>
                </c:pt>
                <c:pt idx="1653">
                  <c:v>14.58</c:v>
                </c:pt>
                <c:pt idx="1654">
                  <c:v>15.81</c:v>
                </c:pt>
                <c:pt idx="1655">
                  <c:v>16.27</c:v>
                </c:pt>
                <c:pt idx="1656">
                  <c:v>14.23</c:v>
                </c:pt>
                <c:pt idx="1657">
                  <c:v>13.58</c:v>
                </c:pt>
                <c:pt idx="1658">
                  <c:v>14.63</c:v>
                </c:pt>
                <c:pt idx="1659">
                  <c:v>15.14</c:v>
                </c:pt>
                <c:pt idx="1660">
                  <c:v>15.31</c:v>
                </c:pt>
                <c:pt idx="1661">
                  <c:v>15.56</c:v>
                </c:pt>
                <c:pt idx="1662">
                  <c:v>16.690000000000001</c:v>
                </c:pt>
                <c:pt idx="1663">
                  <c:v>21.41</c:v>
                </c:pt>
                <c:pt idx="1664">
                  <c:v>25.82</c:v>
                </c:pt>
                <c:pt idx="1665">
                  <c:v>26.5</c:v>
                </c:pt>
                <c:pt idx="1666">
                  <c:v>26.76</c:v>
                </c:pt>
                <c:pt idx="1667">
                  <c:v>27.14</c:v>
                </c:pt>
                <c:pt idx="1668">
                  <c:v>28.36</c:v>
                </c:pt>
                <c:pt idx="1669">
                  <c:v>27.39</c:v>
                </c:pt>
                <c:pt idx="1670">
                  <c:v>25.74</c:v>
                </c:pt>
                <c:pt idx="1671">
                  <c:v>21.44</c:v>
                </c:pt>
                <c:pt idx="1672">
                  <c:v>19.46</c:v>
                </c:pt>
                <c:pt idx="1673">
                  <c:v>17.95</c:v>
                </c:pt>
                <c:pt idx="1674">
                  <c:v>17.59</c:v>
                </c:pt>
                <c:pt idx="1675">
                  <c:v>16.690000000000001</c:v>
                </c:pt>
                <c:pt idx="1676">
                  <c:v>16.16</c:v>
                </c:pt>
                <c:pt idx="1677">
                  <c:v>13.33</c:v>
                </c:pt>
                <c:pt idx="1678">
                  <c:v>13.04</c:v>
                </c:pt>
                <c:pt idx="1679">
                  <c:v>12.37</c:v>
                </c:pt>
                <c:pt idx="1680">
                  <c:v>10.81</c:v>
                </c:pt>
                <c:pt idx="1681">
                  <c:v>9.99</c:v>
                </c:pt>
                <c:pt idx="1682">
                  <c:v>10.32</c:v>
                </c:pt>
                <c:pt idx="1683">
                  <c:v>10.15</c:v>
                </c:pt>
                <c:pt idx="1684">
                  <c:v>10.23</c:v>
                </c:pt>
                <c:pt idx="1685">
                  <c:v>10.88</c:v>
                </c:pt>
                <c:pt idx="1686">
                  <c:v>11.92</c:v>
                </c:pt>
                <c:pt idx="1687">
                  <c:v>12.35</c:v>
                </c:pt>
                <c:pt idx="1688">
                  <c:v>13.33</c:v>
                </c:pt>
                <c:pt idx="1689">
                  <c:v>14.03</c:v>
                </c:pt>
                <c:pt idx="1690">
                  <c:v>13.49</c:v>
                </c:pt>
                <c:pt idx="1691">
                  <c:v>13.3</c:v>
                </c:pt>
                <c:pt idx="1692">
                  <c:v>12.85</c:v>
                </c:pt>
                <c:pt idx="1693">
                  <c:v>12.7</c:v>
                </c:pt>
                <c:pt idx="1694">
                  <c:v>10.1</c:v>
                </c:pt>
                <c:pt idx="1695">
                  <c:v>9.5299999999999994</c:v>
                </c:pt>
                <c:pt idx="1696">
                  <c:v>9.83</c:v>
                </c:pt>
                <c:pt idx="1697">
                  <c:v>11.56</c:v>
                </c:pt>
                <c:pt idx="1698">
                  <c:v>13.58</c:v>
                </c:pt>
                <c:pt idx="1699">
                  <c:v>15.53</c:v>
                </c:pt>
                <c:pt idx="1700">
                  <c:v>16.600000000000001</c:v>
                </c:pt>
                <c:pt idx="1701">
                  <c:v>18.100000000000001</c:v>
                </c:pt>
                <c:pt idx="1702">
                  <c:v>16.82</c:v>
                </c:pt>
                <c:pt idx="1703">
                  <c:v>15.18</c:v>
                </c:pt>
                <c:pt idx="1704">
                  <c:v>14.03</c:v>
                </c:pt>
                <c:pt idx="1705">
                  <c:v>14.21</c:v>
                </c:pt>
                <c:pt idx="1706">
                  <c:v>18.34</c:v>
                </c:pt>
                <c:pt idx="1707">
                  <c:v>21.91</c:v>
                </c:pt>
                <c:pt idx="1708">
                  <c:v>21.57</c:v>
                </c:pt>
                <c:pt idx="1709">
                  <c:v>20.010000000000002</c:v>
                </c:pt>
                <c:pt idx="1710">
                  <c:v>23.1</c:v>
                </c:pt>
                <c:pt idx="1711">
                  <c:v>24.32</c:v>
                </c:pt>
                <c:pt idx="1712">
                  <c:v>24.39</c:v>
                </c:pt>
                <c:pt idx="1713">
                  <c:v>24.96</c:v>
                </c:pt>
                <c:pt idx="1714">
                  <c:v>23.36</c:v>
                </c:pt>
                <c:pt idx="1715">
                  <c:v>22.35</c:v>
                </c:pt>
                <c:pt idx="1716">
                  <c:v>23.28</c:v>
                </c:pt>
                <c:pt idx="1717">
                  <c:v>25.69</c:v>
                </c:pt>
                <c:pt idx="1718">
                  <c:v>29.73</c:v>
                </c:pt>
                <c:pt idx="1719">
                  <c:v>30.93</c:v>
                </c:pt>
                <c:pt idx="1720">
                  <c:v>31.2</c:v>
                </c:pt>
                <c:pt idx="1721">
                  <c:v>27.93</c:v>
                </c:pt>
                <c:pt idx="1722">
                  <c:v>25.75</c:v>
                </c:pt>
                <c:pt idx="1723">
                  <c:v>26.55</c:v>
                </c:pt>
                <c:pt idx="1724">
                  <c:v>26.07</c:v>
                </c:pt>
                <c:pt idx="1725">
                  <c:v>21.57</c:v>
                </c:pt>
                <c:pt idx="1726">
                  <c:v>22.69</c:v>
                </c:pt>
                <c:pt idx="1727">
                  <c:v>23.03</c:v>
                </c:pt>
                <c:pt idx="1728">
                  <c:v>22.97</c:v>
                </c:pt>
                <c:pt idx="1729">
                  <c:v>24.66</c:v>
                </c:pt>
                <c:pt idx="1730">
                  <c:v>37.08</c:v>
                </c:pt>
                <c:pt idx="1731">
                  <c:v>45.21</c:v>
                </c:pt>
                <c:pt idx="1732">
                  <c:v>47.71</c:v>
                </c:pt>
                <c:pt idx="1733">
                  <c:v>51.19</c:v>
                </c:pt>
                <c:pt idx="1734">
                  <c:v>61.02</c:v>
                </c:pt>
                <c:pt idx="1735">
                  <c:v>71.17</c:v>
                </c:pt>
                <c:pt idx="1736">
                  <c:v>72.98</c:v>
                </c:pt>
                <c:pt idx="1737">
                  <c:v>75.260000000000005</c:v>
                </c:pt>
                <c:pt idx="1738">
                  <c:v>79.95</c:v>
                </c:pt>
                <c:pt idx="1739">
                  <c:v>81.3</c:v>
                </c:pt>
                <c:pt idx="1740">
                  <c:v>79.77</c:v>
                </c:pt>
                <c:pt idx="1741">
                  <c:v>74</c:v>
                </c:pt>
                <c:pt idx="1742">
                  <c:v>67.23</c:v>
                </c:pt>
                <c:pt idx="1743">
                  <c:v>65.02</c:v>
                </c:pt>
                <c:pt idx="1744">
                  <c:v>63.41</c:v>
                </c:pt>
                <c:pt idx="1745">
                  <c:v>62.76</c:v>
                </c:pt>
                <c:pt idx="1746">
                  <c:v>63.39</c:v>
                </c:pt>
                <c:pt idx="1747">
                  <c:v>66.58</c:v>
                </c:pt>
                <c:pt idx="1748">
                  <c:v>65.290000000000006</c:v>
                </c:pt>
                <c:pt idx="1749">
                  <c:v>64.66</c:v>
                </c:pt>
                <c:pt idx="1750">
                  <c:v>61.43</c:v>
                </c:pt>
                <c:pt idx="1751">
                  <c:v>59.15</c:v>
                </c:pt>
                <c:pt idx="1752">
                  <c:v>58.38</c:v>
                </c:pt>
                <c:pt idx="1753">
                  <c:v>59.44</c:v>
                </c:pt>
                <c:pt idx="1754">
                  <c:v>59.92</c:v>
                </c:pt>
                <c:pt idx="1755">
                  <c:v>61.21</c:v>
                </c:pt>
                <c:pt idx="1756">
                  <c:v>63.19</c:v>
                </c:pt>
                <c:pt idx="1757">
                  <c:v>65.72</c:v>
                </c:pt>
                <c:pt idx="1758">
                  <c:v>67.069999999999993</c:v>
                </c:pt>
                <c:pt idx="1759">
                  <c:v>68.84</c:v>
                </c:pt>
                <c:pt idx="1760">
                  <c:v>69.959999999999994</c:v>
                </c:pt>
                <c:pt idx="1761">
                  <c:v>70.260000000000005</c:v>
                </c:pt>
                <c:pt idx="1762">
                  <c:v>69.67</c:v>
                </c:pt>
                <c:pt idx="1763">
                  <c:v>67.91</c:v>
                </c:pt>
                <c:pt idx="1764">
                  <c:v>65.66</c:v>
                </c:pt>
                <c:pt idx="1765">
                  <c:v>62.72</c:v>
                </c:pt>
                <c:pt idx="1766">
                  <c:v>61.29</c:v>
                </c:pt>
                <c:pt idx="1767">
                  <c:v>60.78</c:v>
                </c:pt>
                <c:pt idx="1768">
                  <c:v>63.12</c:v>
                </c:pt>
                <c:pt idx="1769">
                  <c:v>65.290000000000006</c:v>
                </c:pt>
                <c:pt idx="1770">
                  <c:v>68.41</c:v>
                </c:pt>
                <c:pt idx="1771">
                  <c:v>72.92</c:v>
                </c:pt>
                <c:pt idx="1772">
                  <c:v>73.540000000000006</c:v>
                </c:pt>
                <c:pt idx="1773">
                  <c:v>73.92</c:v>
                </c:pt>
                <c:pt idx="1774">
                  <c:v>75.400000000000006</c:v>
                </c:pt>
                <c:pt idx="1775">
                  <c:v>75.36</c:v>
                </c:pt>
                <c:pt idx="1776">
                  <c:v>74.87</c:v>
                </c:pt>
                <c:pt idx="1777">
                  <c:v>74.150000000000006</c:v>
                </c:pt>
                <c:pt idx="1778">
                  <c:v>73.040000000000006</c:v>
                </c:pt>
                <c:pt idx="1779">
                  <c:v>72.599999999999994</c:v>
                </c:pt>
                <c:pt idx="1780">
                  <c:v>71.58</c:v>
                </c:pt>
                <c:pt idx="1781">
                  <c:v>70.17</c:v>
                </c:pt>
                <c:pt idx="1782">
                  <c:v>69.849999999999994</c:v>
                </c:pt>
                <c:pt idx="1783">
                  <c:v>69.099999999999994</c:v>
                </c:pt>
                <c:pt idx="1784">
                  <c:v>63.36</c:v>
                </c:pt>
                <c:pt idx="1785">
                  <c:v>61.94</c:v>
                </c:pt>
                <c:pt idx="1786">
                  <c:v>59.21</c:v>
                </c:pt>
                <c:pt idx="1787">
                  <c:v>57.94</c:v>
                </c:pt>
                <c:pt idx="1788">
                  <c:v>54.58</c:v>
                </c:pt>
                <c:pt idx="1789">
                  <c:v>53.8</c:v>
                </c:pt>
                <c:pt idx="1790">
                  <c:v>54.14</c:v>
                </c:pt>
                <c:pt idx="1791">
                  <c:v>53.66</c:v>
                </c:pt>
                <c:pt idx="1792">
                  <c:v>50.63</c:v>
                </c:pt>
                <c:pt idx="1793">
                  <c:v>50.59</c:v>
                </c:pt>
                <c:pt idx="1794">
                  <c:v>47.08</c:v>
                </c:pt>
                <c:pt idx="1795">
                  <c:v>45.19</c:v>
                </c:pt>
                <c:pt idx="1796">
                  <c:v>43.01</c:v>
                </c:pt>
                <c:pt idx="1797">
                  <c:v>47.97</c:v>
                </c:pt>
                <c:pt idx="1798">
                  <c:v>45.54</c:v>
                </c:pt>
                <c:pt idx="1799">
                  <c:v>45.35</c:v>
                </c:pt>
                <c:pt idx="1800">
                  <c:v>50.94</c:v>
                </c:pt>
                <c:pt idx="1801">
                  <c:v>50.3</c:v>
                </c:pt>
                <c:pt idx="1802">
                  <c:v>48.32</c:v>
                </c:pt>
                <c:pt idx="1803">
                  <c:v>47.66</c:v>
                </c:pt>
                <c:pt idx="1804">
                  <c:v>47.27</c:v>
                </c:pt>
                <c:pt idx="1805">
                  <c:v>49.85</c:v>
                </c:pt>
                <c:pt idx="1806">
                  <c:v>52.5</c:v>
                </c:pt>
                <c:pt idx="1807">
                  <c:v>52.74</c:v>
                </c:pt>
                <c:pt idx="1808">
                  <c:v>51.92</c:v>
                </c:pt>
                <c:pt idx="1809">
                  <c:v>51.26</c:v>
                </c:pt>
                <c:pt idx="1810">
                  <c:v>50.1</c:v>
                </c:pt>
                <c:pt idx="1811">
                  <c:v>45.61</c:v>
                </c:pt>
                <c:pt idx="1812">
                  <c:v>46.66</c:v>
                </c:pt>
                <c:pt idx="1813">
                  <c:v>50.8</c:v>
                </c:pt>
                <c:pt idx="1814">
                  <c:v>55.78</c:v>
                </c:pt>
                <c:pt idx="1815">
                  <c:v>57.26</c:v>
                </c:pt>
                <c:pt idx="1816">
                  <c:v>61.3</c:v>
                </c:pt>
                <c:pt idx="1817">
                  <c:v>65.349999999999994</c:v>
                </c:pt>
                <c:pt idx="1818">
                  <c:v>67.3</c:v>
                </c:pt>
                <c:pt idx="1819">
                  <c:v>62.18</c:v>
                </c:pt>
                <c:pt idx="1820">
                  <c:v>61.88</c:v>
                </c:pt>
                <c:pt idx="1821">
                  <c:v>68.81</c:v>
                </c:pt>
                <c:pt idx="1822">
                  <c:v>73.150000000000006</c:v>
                </c:pt>
                <c:pt idx="1823">
                  <c:v>68.77</c:v>
                </c:pt>
                <c:pt idx="1824">
                  <c:v>69.540000000000006</c:v>
                </c:pt>
                <c:pt idx="1825">
                  <c:v>70.67</c:v>
                </c:pt>
                <c:pt idx="1826">
                  <c:v>71.790000000000006</c:v>
                </c:pt>
                <c:pt idx="1827">
                  <c:v>70.84</c:v>
                </c:pt>
                <c:pt idx="1828">
                  <c:v>67.31</c:v>
                </c:pt>
                <c:pt idx="1829">
                  <c:v>61.06</c:v>
                </c:pt>
                <c:pt idx="1830">
                  <c:v>57.1</c:v>
                </c:pt>
                <c:pt idx="1831">
                  <c:v>55.25</c:v>
                </c:pt>
                <c:pt idx="1832">
                  <c:v>50.24</c:v>
                </c:pt>
                <c:pt idx="1833">
                  <c:v>39.31</c:v>
                </c:pt>
                <c:pt idx="1834">
                  <c:v>31.21</c:v>
                </c:pt>
                <c:pt idx="1835">
                  <c:v>41.96</c:v>
                </c:pt>
                <c:pt idx="1836">
                  <c:v>43.32</c:v>
                </c:pt>
                <c:pt idx="1837">
                  <c:v>38.5</c:v>
                </c:pt>
                <c:pt idx="1838">
                  <c:v>37.75</c:v>
                </c:pt>
                <c:pt idx="1839">
                  <c:v>40.909999999999997</c:v>
                </c:pt>
                <c:pt idx="1840">
                  <c:v>39.380000000000003</c:v>
                </c:pt>
                <c:pt idx="1841">
                  <c:v>33.619999999999997</c:v>
                </c:pt>
                <c:pt idx="1842">
                  <c:v>30.43</c:v>
                </c:pt>
                <c:pt idx="1843">
                  <c:v>30.32</c:v>
                </c:pt>
                <c:pt idx="1844">
                  <c:v>29.4</c:v>
                </c:pt>
                <c:pt idx="1845">
                  <c:v>30.06</c:v>
                </c:pt>
                <c:pt idx="1846">
                  <c:v>28.77</c:v>
                </c:pt>
                <c:pt idx="1847">
                  <c:v>30.43</c:v>
                </c:pt>
                <c:pt idx="1848">
                  <c:v>30.67</c:v>
                </c:pt>
                <c:pt idx="1849">
                  <c:v>27.1</c:v>
                </c:pt>
                <c:pt idx="1850">
                  <c:v>27.23</c:v>
                </c:pt>
                <c:pt idx="1851">
                  <c:v>31.37</c:v>
                </c:pt>
                <c:pt idx="1852">
                  <c:v>30.09</c:v>
                </c:pt>
                <c:pt idx="1853">
                  <c:v>27.67</c:v>
                </c:pt>
                <c:pt idx="1854">
                  <c:v>25.33</c:v>
                </c:pt>
                <c:pt idx="1855">
                  <c:v>26.71</c:v>
                </c:pt>
                <c:pt idx="1856">
                  <c:v>27.19</c:v>
                </c:pt>
                <c:pt idx="1857">
                  <c:v>26.75</c:v>
                </c:pt>
                <c:pt idx="1858">
                  <c:v>25.6</c:v>
                </c:pt>
                <c:pt idx="1859">
                  <c:v>20.27</c:v>
                </c:pt>
                <c:pt idx="1860">
                  <c:v>18.559999999999999</c:v>
                </c:pt>
                <c:pt idx="1861">
                  <c:v>24.24</c:v>
                </c:pt>
                <c:pt idx="1862">
                  <c:v>33.56</c:v>
                </c:pt>
                <c:pt idx="1863">
                  <c:v>31.25</c:v>
                </c:pt>
                <c:pt idx="1864">
                  <c:v>30.26</c:v>
                </c:pt>
                <c:pt idx="1865">
                  <c:v>28.92</c:v>
                </c:pt>
                <c:pt idx="1866">
                  <c:v>32.78</c:v>
                </c:pt>
                <c:pt idx="1867">
                  <c:v>32.369999999999997</c:v>
                </c:pt>
                <c:pt idx="1868">
                  <c:v>32.21</c:v>
                </c:pt>
                <c:pt idx="1869">
                  <c:v>31.99</c:v>
                </c:pt>
                <c:pt idx="1870">
                  <c:v>31.68</c:v>
                </c:pt>
                <c:pt idx="1871">
                  <c:v>30.47</c:v>
                </c:pt>
                <c:pt idx="1872">
                  <c:v>27.48</c:v>
                </c:pt>
                <c:pt idx="1873">
                  <c:v>25.76</c:v>
                </c:pt>
                <c:pt idx="1874">
                  <c:v>24.99</c:v>
                </c:pt>
                <c:pt idx="1875">
                  <c:v>24.32</c:v>
                </c:pt>
                <c:pt idx="1876">
                  <c:v>25.93</c:v>
                </c:pt>
                <c:pt idx="1877">
                  <c:v>27.5</c:v>
                </c:pt>
                <c:pt idx="1878">
                  <c:v>27.85</c:v>
                </c:pt>
                <c:pt idx="1879">
                  <c:v>29.4</c:v>
                </c:pt>
                <c:pt idx="1880">
                  <c:v>28.28</c:v>
                </c:pt>
                <c:pt idx="1881">
                  <c:v>28.17</c:v>
                </c:pt>
                <c:pt idx="1882">
                  <c:v>27.16</c:v>
                </c:pt>
                <c:pt idx="1883">
                  <c:v>24.52</c:v>
                </c:pt>
                <c:pt idx="1884">
                  <c:v>20.3</c:v>
                </c:pt>
                <c:pt idx="1885">
                  <c:v>20.45</c:v>
                </c:pt>
                <c:pt idx="1886">
                  <c:v>20.36</c:v>
                </c:pt>
                <c:pt idx="1887">
                  <c:v>20.2</c:v>
                </c:pt>
                <c:pt idx="1888">
                  <c:v>17.05</c:v>
                </c:pt>
                <c:pt idx="1889">
                  <c:v>16.54</c:v>
                </c:pt>
                <c:pt idx="1890">
                  <c:v>16.52</c:v>
                </c:pt>
                <c:pt idx="1891">
                  <c:v>19.28</c:v>
                </c:pt>
                <c:pt idx="1892">
                  <c:v>19.25</c:v>
                </c:pt>
                <c:pt idx="1893">
                  <c:v>20.83</c:v>
                </c:pt>
                <c:pt idx="1894">
                  <c:v>18.53</c:v>
                </c:pt>
                <c:pt idx="1895">
                  <c:v>16.850000000000001</c:v>
                </c:pt>
                <c:pt idx="1896">
                  <c:v>14.87</c:v>
                </c:pt>
                <c:pt idx="1897">
                  <c:v>11.96</c:v>
                </c:pt>
                <c:pt idx="1898">
                  <c:v>9.98</c:v>
                </c:pt>
                <c:pt idx="1899">
                  <c:v>7.71</c:v>
                </c:pt>
                <c:pt idx="1900">
                  <c:v>6.67</c:v>
                </c:pt>
                <c:pt idx="1901">
                  <c:v>9.18</c:v>
                </c:pt>
                <c:pt idx="1902">
                  <c:v>10.01</c:v>
                </c:pt>
                <c:pt idx="1903">
                  <c:v>10.57</c:v>
                </c:pt>
                <c:pt idx="1904">
                  <c:v>13.75</c:v>
                </c:pt>
                <c:pt idx="1905">
                  <c:v>16.309999999999999</c:v>
                </c:pt>
                <c:pt idx="1906">
                  <c:v>16.64</c:v>
                </c:pt>
                <c:pt idx="1907">
                  <c:v>16.16</c:v>
                </c:pt>
                <c:pt idx="1908">
                  <c:v>16.28</c:v>
                </c:pt>
                <c:pt idx="1909">
                  <c:v>15.98</c:v>
                </c:pt>
                <c:pt idx="1910">
                  <c:v>18.850000000000001</c:v>
                </c:pt>
                <c:pt idx="1911">
                  <c:v>21.77</c:v>
                </c:pt>
                <c:pt idx="1912">
                  <c:v>23.64</c:v>
                </c:pt>
                <c:pt idx="1913">
                  <c:v>24.95</c:v>
                </c:pt>
                <c:pt idx="1914">
                  <c:v>27.02</c:v>
                </c:pt>
                <c:pt idx="1915">
                  <c:v>26.79</c:v>
                </c:pt>
                <c:pt idx="1916">
                  <c:v>27.98</c:v>
                </c:pt>
                <c:pt idx="1917">
                  <c:v>26.36</c:v>
                </c:pt>
                <c:pt idx="1918">
                  <c:v>25.75</c:v>
                </c:pt>
                <c:pt idx="1919">
                  <c:v>25.22</c:v>
                </c:pt>
                <c:pt idx="1920">
                  <c:v>24.12</c:v>
                </c:pt>
                <c:pt idx="1921">
                  <c:v>19.73</c:v>
                </c:pt>
                <c:pt idx="1922">
                  <c:v>18.079999999999998</c:v>
                </c:pt>
                <c:pt idx="1923">
                  <c:v>17.559999999999999</c:v>
                </c:pt>
                <c:pt idx="1924">
                  <c:v>16.16</c:v>
                </c:pt>
                <c:pt idx="1925">
                  <c:v>15.31</c:v>
                </c:pt>
                <c:pt idx="1926">
                  <c:v>14.15</c:v>
                </c:pt>
                <c:pt idx="1927">
                  <c:v>12.82</c:v>
                </c:pt>
                <c:pt idx="1928">
                  <c:v>12.02</c:v>
                </c:pt>
                <c:pt idx="1929">
                  <c:v>11.91</c:v>
                </c:pt>
                <c:pt idx="1930">
                  <c:v>10.85</c:v>
                </c:pt>
                <c:pt idx="1931">
                  <c:v>10.94</c:v>
                </c:pt>
                <c:pt idx="1932">
                  <c:v>10.41</c:v>
                </c:pt>
                <c:pt idx="1933">
                  <c:v>11.12</c:v>
                </c:pt>
                <c:pt idx="1934">
                  <c:v>13.33</c:v>
                </c:pt>
                <c:pt idx="1935">
                  <c:v>14.8</c:v>
                </c:pt>
                <c:pt idx="1936">
                  <c:v>12.79</c:v>
                </c:pt>
                <c:pt idx="1937">
                  <c:v>11.26</c:v>
                </c:pt>
                <c:pt idx="1938">
                  <c:v>10.47</c:v>
                </c:pt>
                <c:pt idx="1939">
                  <c:v>12.86</c:v>
                </c:pt>
                <c:pt idx="1940">
                  <c:v>11.86</c:v>
                </c:pt>
                <c:pt idx="1941">
                  <c:v>10</c:v>
                </c:pt>
                <c:pt idx="1942">
                  <c:v>7.49</c:v>
                </c:pt>
                <c:pt idx="1943">
                  <c:v>7.9</c:v>
                </c:pt>
                <c:pt idx="1944">
                  <c:v>10.23</c:v>
                </c:pt>
                <c:pt idx="1945">
                  <c:v>11.91</c:v>
                </c:pt>
                <c:pt idx="1946">
                  <c:v>10.199999999999999</c:v>
                </c:pt>
                <c:pt idx="1947">
                  <c:v>8.7100000000000009</c:v>
                </c:pt>
                <c:pt idx="1948">
                  <c:v>9.1300000000000008</c:v>
                </c:pt>
                <c:pt idx="1949">
                  <c:v>10.42</c:v>
                </c:pt>
                <c:pt idx="1950">
                  <c:v>12.14</c:v>
                </c:pt>
                <c:pt idx="1951">
                  <c:v>14.18</c:v>
                </c:pt>
                <c:pt idx="1952">
                  <c:v>18.690000000000001</c:v>
                </c:pt>
                <c:pt idx="1953">
                  <c:v>26.06</c:v>
                </c:pt>
                <c:pt idx="1954">
                  <c:v>30.29</c:v>
                </c:pt>
                <c:pt idx="1955">
                  <c:v>34.630000000000003</c:v>
                </c:pt>
                <c:pt idx="1956">
                  <c:v>39.729999999999997</c:v>
                </c:pt>
                <c:pt idx="1957">
                  <c:v>47.93</c:v>
                </c:pt>
                <c:pt idx="1958">
                  <c:v>52.71</c:v>
                </c:pt>
                <c:pt idx="1959">
                  <c:v>56.9</c:v>
                </c:pt>
                <c:pt idx="1960">
                  <c:v>56.81</c:v>
                </c:pt>
                <c:pt idx="1961">
                  <c:v>57.1</c:v>
                </c:pt>
                <c:pt idx="1962">
                  <c:v>62.63</c:v>
                </c:pt>
                <c:pt idx="1963">
                  <c:v>62.3</c:v>
                </c:pt>
                <c:pt idx="1964">
                  <c:v>60.5</c:v>
                </c:pt>
                <c:pt idx="1965">
                  <c:v>58.59</c:v>
                </c:pt>
                <c:pt idx="1966">
                  <c:v>61.15</c:v>
                </c:pt>
                <c:pt idx="1967">
                  <c:v>63.14</c:v>
                </c:pt>
                <c:pt idx="1968">
                  <c:v>66.87</c:v>
                </c:pt>
                <c:pt idx="1969">
                  <c:v>67.77</c:v>
                </c:pt>
                <c:pt idx="1970">
                  <c:v>73.39</c:v>
                </c:pt>
                <c:pt idx="1971">
                  <c:v>77.94</c:v>
                </c:pt>
                <c:pt idx="1972">
                  <c:v>81.239999999999995</c:v>
                </c:pt>
                <c:pt idx="1973">
                  <c:v>84.92</c:v>
                </c:pt>
                <c:pt idx="1974">
                  <c:v>86.87</c:v>
                </c:pt>
                <c:pt idx="1975">
                  <c:v>87.12</c:v>
                </c:pt>
                <c:pt idx="1976">
                  <c:v>87.39</c:v>
                </c:pt>
                <c:pt idx="1977">
                  <c:v>87.6</c:v>
                </c:pt>
                <c:pt idx="1978">
                  <c:v>87.31</c:v>
                </c:pt>
                <c:pt idx="1979">
                  <c:v>87.89</c:v>
                </c:pt>
                <c:pt idx="1980">
                  <c:v>88.17</c:v>
                </c:pt>
                <c:pt idx="1981">
                  <c:v>89.6</c:v>
                </c:pt>
                <c:pt idx="1982">
                  <c:v>89.77</c:v>
                </c:pt>
                <c:pt idx="1983">
                  <c:v>90.42</c:v>
                </c:pt>
                <c:pt idx="1984">
                  <c:v>91.34</c:v>
                </c:pt>
                <c:pt idx="1985">
                  <c:v>94.4</c:v>
                </c:pt>
                <c:pt idx="1986">
                  <c:v>94.85</c:v>
                </c:pt>
                <c:pt idx="1987">
                  <c:v>94.82</c:v>
                </c:pt>
                <c:pt idx="1988">
                  <c:v>95.07</c:v>
                </c:pt>
                <c:pt idx="1989">
                  <c:v>95.28</c:v>
                </c:pt>
                <c:pt idx="1990">
                  <c:v>95.34</c:v>
                </c:pt>
                <c:pt idx="1991">
                  <c:v>94.42</c:v>
                </c:pt>
                <c:pt idx="1992">
                  <c:v>93.94</c:v>
                </c:pt>
                <c:pt idx="1993">
                  <c:v>93.84</c:v>
                </c:pt>
                <c:pt idx="1994">
                  <c:v>93.99</c:v>
                </c:pt>
                <c:pt idx="1995">
                  <c:v>93.56</c:v>
                </c:pt>
                <c:pt idx="1996">
                  <c:v>93.43</c:v>
                </c:pt>
                <c:pt idx="1997">
                  <c:v>93.35</c:v>
                </c:pt>
                <c:pt idx="1998">
                  <c:v>92.91</c:v>
                </c:pt>
                <c:pt idx="1999">
                  <c:v>90.14</c:v>
                </c:pt>
                <c:pt idx="2000">
                  <c:v>88.46</c:v>
                </c:pt>
                <c:pt idx="2001">
                  <c:v>85.63</c:v>
                </c:pt>
                <c:pt idx="2002">
                  <c:v>85.73</c:v>
                </c:pt>
                <c:pt idx="2003">
                  <c:v>86.24</c:v>
                </c:pt>
                <c:pt idx="2004">
                  <c:v>87.02</c:v>
                </c:pt>
                <c:pt idx="2005">
                  <c:v>85.07</c:v>
                </c:pt>
                <c:pt idx="2006">
                  <c:v>84.81</c:v>
                </c:pt>
                <c:pt idx="2007">
                  <c:v>83.91</c:v>
                </c:pt>
                <c:pt idx="2008">
                  <c:v>87.67</c:v>
                </c:pt>
                <c:pt idx="2009">
                  <c:v>87.67</c:v>
                </c:pt>
                <c:pt idx="2010">
                  <c:v>87.51</c:v>
                </c:pt>
                <c:pt idx="2011">
                  <c:v>88.98</c:v>
                </c:pt>
                <c:pt idx="2012">
                  <c:v>89.48</c:v>
                </c:pt>
                <c:pt idx="2013">
                  <c:v>88.92</c:v>
                </c:pt>
                <c:pt idx="2014">
                  <c:v>88.28</c:v>
                </c:pt>
                <c:pt idx="2015">
                  <c:v>88.13</c:v>
                </c:pt>
                <c:pt idx="2016">
                  <c:v>88.07</c:v>
                </c:pt>
                <c:pt idx="2017">
                  <c:v>88.05</c:v>
                </c:pt>
                <c:pt idx="2018">
                  <c:v>86.8</c:v>
                </c:pt>
                <c:pt idx="2019">
                  <c:v>85.94</c:v>
                </c:pt>
                <c:pt idx="2020">
                  <c:v>85.14</c:v>
                </c:pt>
                <c:pt idx="2021">
                  <c:v>83.26</c:v>
                </c:pt>
                <c:pt idx="2022">
                  <c:v>82.78</c:v>
                </c:pt>
                <c:pt idx="2023">
                  <c:v>82.61</c:v>
                </c:pt>
                <c:pt idx="2024">
                  <c:v>81.760000000000005</c:v>
                </c:pt>
                <c:pt idx="2025">
                  <c:v>81.48</c:v>
                </c:pt>
                <c:pt idx="2026">
                  <c:v>80.55</c:v>
                </c:pt>
                <c:pt idx="2027">
                  <c:v>80.12</c:v>
                </c:pt>
                <c:pt idx="2028">
                  <c:v>78.91</c:v>
                </c:pt>
                <c:pt idx="2029">
                  <c:v>77.72</c:v>
                </c:pt>
                <c:pt idx="2030">
                  <c:v>74.86</c:v>
                </c:pt>
                <c:pt idx="2031">
                  <c:v>72.8</c:v>
                </c:pt>
                <c:pt idx="2032">
                  <c:v>70.48</c:v>
                </c:pt>
                <c:pt idx="2033">
                  <c:v>69.88</c:v>
                </c:pt>
                <c:pt idx="2034">
                  <c:v>67.89</c:v>
                </c:pt>
                <c:pt idx="2035">
                  <c:v>68.05</c:v>
                </c:pt>
                <c:pt idx="2036">
                  <c:v>69.83</c:v>
                </c:pt>
                <c:pt idx="2037">
                  <c:v>70.58</c:v>
                </c:pt>
                <c:pt idx="2038">
                  <c:v>71.69</c:v>
                </c:pt>
                <c:pt idx="2039">
                  <c:v>71.67</c:v>
                </c:pt>
                <c:pt idx="2040">
                  <c:v>70.599999999999994</c:v>
                </c:pt>
                <c:pt idx="2041">
                  <c:v>68.42</c:v>
                </c:pt>
                <c:pt idx="2042">
                  <c:v>66.81</c:v>
                </c:pt>
                <c:pt idx="2043">
                  <c:v>65.05</c:v>
                </c:pt>
                <c:pt idx="2044">
                  <c:v>65.53</c:v>
                </c:pt>
                <c:pt idx="2045">
                  <c:v>65.3</c:v>
                </c:pt>
                <c:pt idx="2046">
                  <c:v>65.42</c:v>
                </c:pt>
                <c:pt idx="2047">
                  <c:v>65.75</c:v>
                </c:pt>
                <c:pt idx="2048">
                  <c:v>66.069999999999993</c:v>
                </c:pt>
                <c:pt idx="2049">
                  <c:v>65.040000000000006</c:v>
                </c:pt>
                <c:pt idx="2050">
                  <c:v>66.25</c:v>
                </c:pt>
                <c:pt idx="2051">
                  <c:v>67.42</c:v>
                </c:pt>
                <c:pt idx="2052">
                  <c:v>72.510000000000005</c:v>
                </c:pt>
                <c:pt idx="2053">
                  <c:v>78.040000000000006</c:v>
                </c:pt>
                <c:pt idx="2054">
                  <c:v>85.09</c:v>
                </c:pt>
                <c:pt idx="2055">
                  <c:v>89.06</c:v>
                </c:pt>
                <c:pt idx="2056">
                  <c:v>91.1</c:v>
                </c:pt>
                <c:pt idx="2057">
                  <c:v>91.1</c:v>
                </c:pt>
                <c:pt idx="2058">
                  <c:v>89.02</c:v>
                </c:pt>
                <c:pt idx="2059">
                  <c:v>86.52</c:v>
                </c:pt>
                <c:pt idx="2060">
                  <c:v>84.05</c:v>
                </c:pt>
                <c:pt idx="2061">
                  <c:v>83.56</c:v>
                </c:pt>
                <c:pt idx="2062">
                  <c:v>78.75</c:v>
                </c:pt>
                <c:pt idx="2063">
                  <c:v>78.72</c:v>
                </c:pt>
                <c:pt idx="2064">
                  <c:v>75.36</c:v>
                </c:pt>
                <c:pt idx="2065">
                  <c:v>73.349999999999994</c:v>
                </c:pt>
                <c:pt idx="2066">
                  <c:v>73.06</c:v>
                </c:pt>
                <c:pt idx="2067">
                  <c:v>72.34</c:v>
                </c:pt>
                <c:pt idx="2068">
                  <c:v>73.8</c:v>
                </c:pt>
                <c:pt idx="2069">
                  <c:v>75.099999999999994</c:v>
                </c:pt>
                <c:pt idx="2070">
                  <c:v>78.95</c:v>
                </c:pt>
                <c:pt idx="2071">
                  <c:v>77.69</c:v>
                </c:pt>
                <c:pt idx="2072">
                  <c:v>81.66</c:v>
                </c:pt>
                <c:pt idx="2073">
                  <c:v>79.209999999999994</c:v>
                </c:pt>
                <c:pt idx="2074">
                  <c:v>80.22</c:v>
                </c:pt>
                <c:pt idx="2075">
                  <c:v>86.64</c:v>
                </c:pt>
                <c:pt idx="2076">
                  <c:v>85.56</c:v>
                </c:pt>
                <c:pt idx="2077">
                  <c:v>90.11</c:v>
                </c:pt>
                <c:pt idx="2078">
                  <c:v>87.82</c:v>
                </c:pt>
                <c:pt idx="2079">
                  <c:v>86.41</c:v>
                </c:pt>
                <c:pt idx="2080">
                  <c:v>84.8</c:v>
                </c:pt>
                <c:pt idx="2081">
                  <c:v>79.58</c:v>
                </c:pt>
                <c:pt idx="2082">
                  <c:v>76.150000000000006</c:v>
                </c:pt>
                <c:pt idx="2083">
                  <c:v>72.5</c:v>
                </c:pt>
                <c:pt idx="2084">
                  <c:v>68.03</c:v>
                </c:pt>
                <c:pt idx="2085">
                  <c:v>64.78</c:v>
                </c:pt>
                <c:pt idx="2086">
                  <c:v>73.67</c:v>
                </c:pt>
                <c:pt idx="2087">
                  <c:v>73.38</c:v>
                </c:pt>
                <c:pt idx="2088">
                  <c:v>78.400000000000006</c:v>
                </c:pt>
                <c:pt idx="2089">
                  <c:v>83.29</c:v>
                </c:pt>
                <c:pt idx="2090">
                  <c:v>82.72</c:v>
                </c:pt>
                <c:pt idx="2091">
                  <c:v>81.98</c:v>
                </c:pt>
                <c:pt idx="2092">
                  <c:v>79.010000000000005</c:v>
                </c:pt>
                <c:pt idx="2093">
                  <c:v>78.61</c:v>
                </c:pt>
                <c:pt idx="2094">
                  <c:v>75.150000000000006</c:v>
                </c:pt>
                <c:pt idx="2095">
                  <c:v>79.69</c:v>
                </c:pt>
                <c:pt idx="2096">
                  <c:v>78.39</c:v>
                </c:pt>
                <c:pt idx="2097">
                  <c:v>74.78</c:v>
                </c:pt>
                <c:pt idx="2098">
                  <c:v>78.83</c:v>
                </c:pt>
                <c:pt idx="2099">
                  <c:v>72.12</c:v>
                </c:pt>
                <c:pt idx="2100">
                  <c:v>70.11</c:v>
                </c:pt>
                <c:pt idx="2101">
                  <c:v>69.05</c:v>
                </c:pt>
                <c:pt idx="2102">
                  <c:v>70.61</c:v>
                </c:pt>
                <c:pt idx="2103">
                  <c:v>69.099999999999994</c:v>
                </c:pt>
                <c:pt idx="2104">
                  <c:v>70.39</c:v>
                </c:pt>
                <c:pt idx="2105">
                  <c:v>68.099999999999994</c:v>
                </c:pt>
                <c:pt idx="2106">
                  <c:v>68.239999999999995</c:v>
                </c:pt>
                <c:pt idx="2107">
                  <c:v>66.38</c:v>
                </c:pt>
                <c:pt idx="2108">
                  <c:v>66.63</c:v>
                </c:pt>
                <c:pt idx="2109">
                  <c:v>68.47</c:v>
                </c:pt>
                <c:pt idx="2110">
                  <c:v>63.14</c:v>
                </c:pt>
                <c:pt idx="2111">
                  <c:v>67.36</c:v>
                </c:pt>
                <c:pt idx="2112">
                  <c:v>63.92</c:v>
                </c:pt>
                <c:pt idx="2113">
                  <c:v>63.61</c:v>
                </c:pt>
                <c:pt idx="2114">
                  <c:v>61.96</c:v>
                </c:pt>
                <c:pt idx="2115">
                  <c:v>60.79</c:v>
                </c:pt>
                <c:pt idx="2116">
                  <c:v>60.76</c:v>
                </c:pt>
                <c:pt idx="2117">
                  <c:v>57.86</c:v>
                </c:pt>
                <c:pt idx="2118">
                  <c:v>55.05</c:v>
                </c:pt>
                <c:pt idx="2119">
                  <c:v>48.94</c:v>
                </c:pt>
                <c:pt idx="2120">
                  <c:v>45.62</c:v>
                </c:pt>
                <c:pt idx="2121">
                  <c:v>46.43</c:v>
                </c:pt>
                <c:pt idx="2122">
                  <c:v>46.56</c:v>
                </c:pt>
                <c:pt idx="2123">
                  <c:v>53.84</c:v>
                </c:pt>
                <c:pt idx="2124">
                  <c:v>54.48</c:v>
                </c:pt>
                <c:pt idx="2125">
                  <c:v>56.39</c:v>
                </c:pt>
                <c:pt idx="2126">
                  <c:v>56.68</c:v>
                </c:pt>
                <c:pt idx="2127">
                  <c:v>55.82</c:v>
                </c:pt>
                <c:pt idx="2128">
                  <c:v>60.13</c:v>
                </c:pt>
                <c:pt idx="2129">
                  <c:v>62.71</c:v>
                </c:pt>
                <c:pt idx="2130">
                  <c:v>66.150000000000006</c:v>
                </c:pt>
                <c:pt idx="2131">
                  <c:v>62.83</c:v>
                </c:pt>
                <c:pt idx="2132">
                  <c:v>58.72</c:v>
                </c:pt>
                <c:pt idx="2133">
                  <c:v>55</c:v>
                </c:pt>
                <c:pt idx="2134">
                  <c:v>50.04</c:v>
                </c:pt>
                <c:pt idx="2135">
                  <c:v>48.39</c:v>
                </c:pt>
                <c:pt idx="2136">
                  <c:v>48.74</c:v>
                </c:pt>
                <c:pt idx="2137">
                  <c:v>49.95</c:v>
                </c:pt>
                <c:pt idx="2138">
                  <c:v>49.75</c:v>
                </c:pt>
                <c:pt idx="2139">
                  <c:v>46.62</c:v>
                </c:pt>
                <c:pt idx="2140">
                  <c:v>45.85</c:v>
                </c:pt>
                <c:pt idx="2141">
                  <c:v>45.08</c:v>
                </c:pt>
                <c:pt idx="2142">
                  <c:v>40.86</c:v>
                </c:pt>
                <c:pt idx="2143">
                  <c:v>42.29</c:v>
                </c:pt>
                <c:pt idx="2144">
                  <c:v>42.07</c:v>
                </c:pt>
                <c:pt idx="2145">
                  <c:v>38.56</c:v>
                </c:pt>
                <c:pt idx="2146">
                  <c:v>42.48</c:v>
                </c:pt>
                <c:pt idx="2147">
                  <c:v>44.24</c:v>
                </c:pt>
                <c:pt idx="2148">
                  <c:v>42.49</c:v>
                </c:pt>
                <c:pt idx="2149">
                  <c:v>40.07</c:v>
                </c:pt>
                <c:pt idx="2150">
                  <c:v>45.74</c:v>
                </c:pt>
                <c:pt idx="2151">
                  <c:v>43.95</c:v>
                </c:pt>
                <c:pt idx="2152">
                  <c:v>43.28</c:v>
                </c:pt>
                <c:pt idx="2153">
                  <c:v>44.45</c:v>
                </c:pt>
                <c:pt idx="2154">
                  <c:v>43.71</c:v>
                </c:pt>
                <c:pt idx="2155">
                  <c:v>42.3</c:v>
                </c:pt>
                <c:pt idx="2156">
                  <c:v>41.12</c:v>
                </c:pt>
                <c:pt idx="2157">
                  <c:v>39.270000000000003</c:v>
                </c:pt>
                <c:pt idx="2158">
                  <c:v>34.380000000000003</c:v>
                </c:pt>
                <c:pt idx="2159">
                  <c:v>35.450000000000003</c:v>
                </c:pt>
                <c:pt idx="2160">
                  <c:v>37.9</c:v>
                </c:pt>
                <c:pt idx="2161">
                  <c:v>33.119999999999997</c:v>
                </c:pt>
                <c:pt idx="2162">
                  <c:v>38.51</c:v>
                </c:pt>
                <c:pt idx="2163">
                  <c:v>41.17</c:v>
                </c:pt>
                <c:pt idx="2164">
                  <c:v>38.11</c:v>
                </c:pt>
                <c:pt idx="2165">
                  <c:v>37.82</c:v>
                </c:pt>
                <c:pt idx="2166">
                  <c:v>37.950000000000003</c:v>
                </c:pt>
                <c:pt idx="2167">
                  <c:v>34.479999999999997</c:v>
                </c:pt>
                <c:pt idx="2168">
                  <c:v>31.85</c:v>
                </c:pt>
                <c:pt idx="2169">
                  <c:v>33.44</c:v>
                </c:pt>
                <c:pt idx="2170">
                  <c:v>31.73</c:v>
                </c:pt>
                <c:pt idx="2171">
                  <c:v>29.02</c:v>
                </c:pt>
                <c:pt idx="2172">
                  <c:v>29.34</c:v>
                </c:pt>
                <c:pt idx="2173">
                  <c:v>29.6</c:v>
                </c:pt>
                <c:pt idx="2174">
                  <c:v>25.53</c:v>
                </c:pt>
                <c:pt idx="2175">
                  <c:v>24.06</c:v>
                </c:pt>
                <c:pt idx="2176">
                  <c:v>23.75</c:v>
                </c:pt>
                <c:pt idx="2177">
                  <c:v>26.33</c:v>
                </c:pt>
                <c:pt idx="2178">
                  <c:v>23.14</c:v>
                </c:pt>
                <c:pt idx="2179">
                  <c:v>25.13</c:v>
                </c:pt>
                <c:pt idx="2180">
                  <c:v>29.11</c:v>
                </c:pt>
                <c:pt idx="2181">
                  <c:v>27.23</c:v>
                </c:pt>
                <c:pt idx="2182">
                  <c:v>26.14</c:v>
                </c:pt>
                <c:pt idx="2183">
                  <c:v>26</c:v>
                </c:pt>
                <c:pt idx="2184">
                  <c:v>24.98</c:v>
                </c:pt>
                <c:pt idx="2185">
                  <c:v>22.01</c:v>
                </c:pt>
                <c:pt idx="2186">
                  <c:v>21.23</c:v>
                </c:pt>
                <c:pt idx="2187">
                  <c:v>20.399999999999999</c:v>
                </c:pt>
                <c:pt idx="2188">
                  <c:v>21.14</c:v>
                </c:pt>
                <c:pt idx="2189">
                  <c:v>21.13</c:v>
                </c:pt>
                <c:pt idx="2190">
                  <c:v>21.78</c:v>
                </c:pt>
                <c:pt idx="2191">
                  <c:v>23.61</c:v>
                </c:pt>
                <c:pt idx="2192">
                  <c:v>23.56</c:v>
                </c:pt>
                <c:pt idx="2193">
                  <c:v>22.91</c:v>
                </c:pt>
                <c:pt idx="2194">
                  <c:v>23.11</c:v>
                </c:pt>
                <c:pt idx="2195">
                  <c:v>24.3</c:v>
                </c:pt>
                <c:pt idx="2196">
                  <c:v>25.69</c:v>
                </c:pt>
                <c:pt idx="2197">
                  <c:v>27.41</c:v>
                </c:pt>
                <c:pt idx="2198">
                  <c:v>27.35</c:v>
                </c:pt>
                <c:pt idx="2199">
                  <c:v>25.07</c:v>
                </c:pt>
                <c:pt idx="2200">
                  <c:v>25.02</c:v>
                </c:pt>
                <c:pt idx="2201">
                  <c:v>21.42</c:v>
                </c:pt>
                <c:pt idx="2202">
                  <c:v>16.149999999999999</c:v>
                </c:pt>
                <c:pt idx="2203">
                  <c:v>8.74</c:v>
                </c:pt>
                <c:pt idx="2204">
                  <c:v>7.45</c:v>
                </c:pt>
                <c:pt idx="2205">
                  <c:v>16.84</c:v>
                </c:pt>
                <c:pt idx="2206">
                  <c:v>25.82</c:v>
                </c:pt>
                <c:pt idx="2207">
                  <c:v>25.79</c:v>
                </c:pt>
                <c:pt idx="2208">
                  <c:v>25.78</c:v>
                </c:pt>
                <c:pt idx="2209">
                  <c:v>24.13</c:v>
                </c:pt>
                <c:pt idx="2210">
                  <c:v>21.02</c:v>
                </c:pt>
                <c:pt idx="2211">
                  <c:v>17.63</c:v>
                </c:pt>
                <c:pt idx="2212">
                  <c:v>17.18</c:v>
                </c:pt>
                <c:pt idx="2213">
                  <c:v>17.34</c:v>
                </c:pt>
                <c:pt idx="2214">
                  <c:v>19.41</c:v>
                </c:pt>
                <c:pt idx="2215">
                  <c:v>22.46</c:v>
                </c:pt>
                <c:pt idx="2216">
                  <c:v>22.19</c:v>
                </c:pt>
                <c:pt idx="2217">
                  <c:v>21.22</c:v>
                </c:pt>
                <c:pt idx="2218">
                  <c:v>20.27</c:v>
                </c:pt>
                <c:pt idx="2219">
                  <c:v>20.48</c:v>
                </c:pt>
                <c:pt idx="2220">
                  <c:v>17.940000000000001</c:v>
                </c:pt>
                <c:pt idx="2221">
                  <c:v>17.3</c:v>
                </c:pt>
                <c:pt idx="2222">
                  <c:v>19.62</c:v>
                </c:pt>
                <c:pt idx="2223">
                  <c:v>19.23</c:v>
                </c:pt>
                <c:pt idx="2224">
                  <c:v>14.86</c:v>
                </c:pt>
                <c:pt idx="2225">
                  <c:v>11.36</c:v>
                </c:pt>
                <c:pt idx="2226">
                  <c:v>13.64</c:v>
                </c:pt>
                <c:pt idx="2227">
                  <c:v>18.61</c:v>
                </c:pt>
                <c:pt idx="2228">
                  <c:v>17.420000000000002</c:v>
                </c:pt>
                <c:pt idx="2229">
                  <c:v>19.63</c:v>
                </c:pt>
                <c:pt idx="2230">
                  <c:v>19.940000000000001</c:v>
                </c:pt>
                <c:pt idx="2231">
                  <c:v>18.920000000000002</c:v>
                </c:pt>
                <c:pt idx="2232">
                  <c:v>19.5</c:v>
                </c:pt>
                <c:pt idx="2233">
                  <c:v>19.57</c:v>
                </c:pt>
                <c:pt idx="2234">
                  <c:v>18.510000000000002</c:v>
                </c:pt>
                <c:pt idx="2235">
                  <c:v>17.920000000000002</c:v>
                </c:pt>
                <c:pt idx="2236">
                  <c:v>19.82</c:v>
                </c:pt>
                <c:pt idx="2237">
                  <c:v>19.16</c:v>
                </c:pt>
                <c:pt idx="2238">
                  <c:v>17.52</c:v>
                </c:pt>
                <c:pt idx="2239">
                  <c:v>20.04</c:v>
                </c:pt>
                <c:pt idx="2240">
                  <c:v>22.92</c:v>
                </c:pt>
                <c:pt idx="2241">
                  <c:v>19.73</c:v>
                </c:pt>
                <c:pt idx="2242">
                  <c:v>18.18</c:v>
                </c:pt>
                <c:pt idx="2243">
                  <c:v>17.91</c:v>
                </c:pt>
                <c:pt idx="2244">
                  <c:v>15.85</c:v>
                </c:pt>
                <c:pt idx="2245">
                  <c:v>11.46</c:v>
                </c:pt>
                <c:pt idx="2246">
                  <c:v>10.119999999999999</c:v>
                </c:pt>
                <c:pt idx="2247">
                  <c:v>6.9</c:v>
                </c:pt>
                <c:pt idx="2248">
                  <c:v>6.49</c:v>
                </c:pt>
                <c:pt idx="2249">
                  <c:v>5.91</c:v>
                </c:pt>
                <c:pt idx="2250">
                  <c:v>8.5299999999999994</c:v>
                </c:pt>
                <c:pt idx="2251">
                  <c:v>9.9499999999999993</c:v>
                </c:pt>
                <c:pt idx="2252">
                  <c:v>11.51</c:v>
                </c:pt>
                <c:pt idx="2253">
                  <c:v>13.66</c:v>
                </c:pt>
                <c:pt idx="2254">
                  <c:v>15.34</c:v>
                </c:pt>
                <c:pt idx="2255">
                  <c:v>15.5</c:v>
                </c:pt>
                <c:pt idx="2256">
                  <c:v>17.350000000000001</c:v>
                </c:pt>
                <c:pt idx="2257">
                  <c:v>17.579999999999998</c:v>
                </c:pt>
                <c:pt idx="2258">
                  <c:v>18.04</c:v>
                </c:pt>
                <c:pt idx="2259">
                  <c:v>17.989999999999998</c:v>
                </c:pt>
                <c:pt idx="2260">
                  <c:v>16.34</c:v>
                </c:pt>
                <c:pt idx="2261">
                  <c:v>16.93</c:v>
                </c:pt>
                <c:pt idx="2262">
                  <c:v>19.11</c:v>
                </c:pt>
                <c:pt idx="2263">
                  <c:v>20.52</c:v>
                </c:pt>
                <c:pt idx="2264">
                  <c:v>19.28</c:v>
                </c:pt>
                <c:pt idx="2265">
                  <c:v>15.42</c:v>
                </c:pt>
                <c:pt idx="2266">
                  <c:v>13.22</c:v>
                </c:pt>
                <c:pt idx="2267">
                  <c:v>15.26</c:v>
                </c:pt>
                <c:pt idx="2268">
                  <c:v>14.8</c:v>
                </c:pt>
                <c:pt idx="2269">
                  <c:v>13.22</c:v>
                </c:pt>
                <c:pt idx="2270">
                  <c:v>9.86</c:v>
                </c:pt>
                <c:pt idx="2271">
                  <c:v>8.7200000000000006</c:v>
                </c:pt>
                <c:pt idx="2272">
                  <c:v>7.9</c:v>
                </c:pt>
                <c:pt idx="2273">
                  <c:v>7.33</c:v>
                </c:pt>
                <c:pt idx="2274">
                  <c:v>4.9400000000000004</c:v>
                </c:pt>
                <c:pt idx="2275">
                  <c:v>4.7300000000000004</c:v>
                </c:pt>
                <c:pt idx="2276">
                  <c:v>5.09</c:v>
                </c:pt>
                <c:pt idx="2277">
                  <c:v>10.98</c:v>
                </c:pt>
                <c:pt idx="2278">
                  <c:v>12.28</c:v>
                </c:pt>
                <c:pt idx="2279">
                  <c:v>17.059999999999999</c:v>
                </c:pt>
                <c:pt idx="2280">
                  <c:v>19.5</c:v>
                </c:pt>
                <c:pt idx="2281">
                  <c:v>19.059999999999999</c:v>
                </c:pt>
                <c:pt idx="2282">
                  <c:v>17.59</c:v>
                </c:pt>
                <c:pt idx="2283">
                  <c:v>15.28</c:v>
                </c:pt>
                <c:pt idx="2284">
                  <c:v>14.89</c:v>
                </c:pt>
                <c:pt idx="2285">
                  <c:v>15.25</c:v>
                </c:pt>
                <c:pt idx="2286">
                  <c:v>14.9</c:v>
                </c:pt>
                <c:pt idx="2287">
                  <c:v>13.88</c:v>
                </c:pt>
                <c:pt idx="2288">
                  <c:v>12.6</c:v>
                </c:pt>
                <c:pt idx="2289">
                  <c:v>10.96</c:v>
                </c:pt>
                <c:pt idx="2290">
                  <c:v>11.94</c:v>
                </c:pt>
                <c:pt idx="2291">
                  <c:v>9.89</c:v>
                </c:pt>
                <c:pt idx="2292">
                  <c:v>9.65</c:v>
                </c:pt>
                <c:pt idx="2293">
                  <c:v>13.41</c:v>
                </c:pt>
                <c:pt idx="2294">
                  <c:v>18.5</c:v>
                </c:pt>
                <c:pt idx="2295">
                  <c:v>15.71</c:v>
                </c:pt>
                <c:pt idx="2296">
                  <c:v>12.14</c:v>
                </c:pt>
                <c:pt idx="2297">
                  <c:v>8.91</c:v>
                </c:pt>
                <c:pt idx="2298">
                  <c:v>11.12</c:v>
                </c:pt>
                <c:pt idx="2299">
                  <c:v>12.59</c:v>
                </c:pt>
                <c:pt idx="2300">
                  <c:v>13.18</c:v>
                </c:pt>
                <c:pt idx="2301">
                  <c:v>12.52</c:v>
                </c:pt>
                <c:pt idx="2302">
                  <c:v>20</c:v>
                </c:pt>
                <c:pt idx="2303">
                  <c:v>21.47</c:v>
                </c:pt>
                <c:pt idx="2304">
                  <c:v>17.96</c:v>
                </c:pt>
                <c:pt idx="2305">
                  <c:v>13.56</c:v>
                </c:pt>
                <c:pt idx="2306">
                  <c:v>13.96</c:v>
                </c:pt>
                <c:pt idx="2307">
                  <c:v>13.13</c:v>
                </c:pt>
                <c:pt idx="2308">
                  <c:v>16.100000000000001</c:v>
                </c:pt>
                <c:pt idx="2309">
                  <c:v>15.03</c:v>
                </c:pt>
                <c:pt idx="2310">
                  <c:v>14.52</c:v>
                </c:pt>
                <c:pt idx="2311">
                  <c:v>18.43</c:v>
                </c:pt>
                <c:pt idx="2312">
                  <c:v>20.27</c:v>
                </c:pt>
                <c:pt idx="2313">
                  <c:v>17.600000000000001</c:v>
                </c:pt>
                <c:pt idx="2314">
                  <c:v>16.57</c:v>
                </c:pt>
                <c:pt idx="2315">
                  <c:v>17.89</c:v>
                </c:pt>
                <c:pt idx="2316">
                  <c:v>18.579999999999998</c:v>
                </c:pt>
                <c:pt idx="2317">
                  <c:v>14.96</c:v>
                </c:pt>
                <c:pt idx="2318">
                  <c:v>10.82</c:v>
                </c:pt>
                <c:pt idx="2319">
                  <c:v>9.1</c:v>
                </c:pt>
                <c:pt idx="2320">
                  <c:v>6.95</c:v>
                </c:pt>
                <c:pt idx="2321">
                  <c:v>9.11</c:v>
                </c:pt>
                <c:pt idx="2322">
                  <c:v>10.26</c:v>
                </c:pt>
                <c:pt idx="2323">
                  <c:v>9.86</c:v>
                </c:pt>
                <c:pt idx="2324">
                  <c:v>7.28</c:v>
                </c:pt>
                <c:pt idx="2325">
                  <c:v>8.44</c:v>
                </c:pt>
                <c:pt idx="2326">
                  <c:v>12.65</c:v>
                </c:pt>
                <c:pt idx="2327">
                  <c:v>20.28</c:v>
                </c:pt>
                <c:pt idx="2328">
                  <c:v>22.85</c:v>
                </c:pt>
                <c:pt idx="2329">
                  <c:v>31.65</c:v>
                </c:pt>
                <c:pt idx="2330">
                  <c:v>33.18</c:v>
                </c:pt>
                <c:pt idx="2331">
                  <c:v>31.31</c:v>
                </c:pt>
                <c:pt idx="2332">
                  <c:v>29.73</c:v>
                </c:pt>
                <c:pt idx="2333">
                  <c:v>32.909999999999997</c:v>
                </c:pt>
                <c:pt idx="2334">
                  <c:v>32.770000000000003</c:v>
                </c:pt>
                <c:pt idx="2335">
                  <c:v>27.62</c:v>
                </c:pt>
                <c:pt idx="2336">
                  <c:v>25.16</c:v>
                </c:pt>
                <c:pt idx="2337">
                  <c:v>24.64</c:v>
                </c:pt>
                <c:pt idx="2338">
                  <c:v>25.91</c:v>
                </c:pt>
                <c:pt idx="2339">
                  <c:v>28.57</c:v>
                </c:pt>
                <c:pt idx="2340">
                  <c:v>25.05</c:v>
                </c:pt>
                <c:pt idx="2341">
                  <c:v>20.25</c:v>
                </c:pt>
                <c:pt idx="2342">
                  <c:v>21.32</c:v>
                </c:pt>
                <c:pt idx="2343">
                  <c:v>18.77</c:v>
                </c:pt>
                <c:pt idx="2344">
                  <c:v>15.51</c:v>
                </c:pt>
                <c:pt idx="2345">
                  <c:v>13.25</c:v>
                </c:pt>
                <c:pt idx="2346">
                  <c:v>15.91</c:v>
                </c:pt>
                <c:pt idx="2347">
                  <c:v>18.09</c:v>
                </c:pt>
                <c:pt idx="2348">
                  <c:v>17.03</c:v>
                </c:pt>
                <c:pt idx="2349">
                  <c:v>13.89</c:v>
                </c:pt>
                <c:pt idx="2350">
                  <c:v>16.16</c:v>
                </c:pt>
                <c:pt idx="2351">
                  <c:v>17.559999999999999</c:v>
                </c:pt>
                <c:pt idx="2352">
                  <c:v>16.98</c:v>
                </c:pt>
                <c:pt idx="2353">
                  <c:v>12.92</c:v>
                </c:pt>
                <c:pt idx="2354">
                  <c:v>11.13</c:v>
                </c:pt>
                <c:pt idx="2355">
                  <c:v>11.04</c:v>
                </c:pt>
                <c:pt idx="2356">
                  <c:v>14.24</c:v>
                </c:pt>
                <c:pt idx="2357">
                  <c:v>16.25</c:v>
                </c:pt>
                <c:pt idx="2358">
                  <c:v>18.66</c:v>
                </c:pt>
                <c:pt idx="2359">
                  <c:v>20.88</c:v>
                </c:pt>
                <c:pt idx="2360">
                  <c:v>20.36</c:v>
                </c:pt>
                <c:pt idx="2361">
                  <c:v>18.14</c:v>
                </c:pt>
                <c:pt idx="2362">
                  <c:v>15.93</c:v>
                </c:pt>
                <c:pt idx="2363">
                  <c:v>15.1</c:v>
                </c:pt>
                <c:pt idx="2364">
                  <c:v>14.46</c:v>
                </c:pt>
                <c:pt idx="2365">
                  <c:v>16.739999999999998</c:v>
                </c:pt>
                <c:pt idx="2366">
                  <c:v>19.25</c:v>
                </c:pt>
                <c:pt idx="2367">
                  <c:v>18.88</c:v>
                </c:pt>
                <c:pt idx="2368">
                  <c:v>20.99</c:v>
                </c:pt>
                <c:pt idx="2369">
                  <c:v>25.23</c:v>
                </c:pt>
                <c:pt idx="2370">
                  <c:v>24.35</c:v>
                </c:pt>
                <c:pt idx="2371">
                  <c:v>23.41</c:v>
                </c:pt>
                <c:pt idx="2372">
                  <c:v>23.26</c:v>
                </c:pt>
                <c:pt idx="2373">
                  <c:v>21.65</c:v>
                </c:pt>
                <c:pt idx="2374">
                  <c:v>16.13</c:v>
                </c:pt>
                <c:pt idx="2375">
                  <c:v>13.93</c:v>
                </c:pt>
                <c:pt idx="2376">
                  <c:v>9.18</c:v>
                </c:pt>
                <c:pt idx="2377">
                  <c:v>9.0399999999999991</c:v>
                </c:pt>
                <c:pt idx="2378">
                  <c:v>8.08</c:v>
                </c:pt>
                <c:pt idx="2379">
                  <c:v>6.48</c:v>
                </c:pt>
                <c:pt idx="2380">
                  <c:v>5.61</c:v>
                </c:pt>
                <c:pt idx="2381">
                  <c:v>6.96</c:v>
                </c:pt>
                <c:pt idx="2382">
                  <c:v>14.74</c:v>
                </c:pt>
                <c:pt idx="2383">
                  <c:v>22.32</c:v>
                </c:pt>
                <c:pt idx="2384">
                  <c:v>21.9</c:v>
                </c:pt>
                <c:pt idx="2385">
                  <c:v>20.87</c:v>
                </c:pt>
                <c:pt idx="2386">
                  <c:v>19.22</c:v>
                </c:pt>
                <c:pt idx="2387">
                  <c:v>17.13</c:v>
                </c:pt>
                <c:pt idx="2388">
                  <c:v>16.489999999999998</c:v>
                </c:pt>
                <c:pt idx="2389">
                  <c:v>15.82</c:v>
                </c:pt>
                <c:pt idx="2390">
                  <c:v>15.04</c:v>
                </c:pt>
                <c:pt idx="2391">
                  <c:v>13.81</c:v>
                </c:pt>
                <c:pt idx="2392">
                  <c:v>18.920000000000002</c:v>
                </c:pt>
                <c:pt idx="2393">
                  <c:v>22.73</c:v>
                </c:pt>
                <c:pt idx="2394">
                  <c:v>22.57</c:v>
                </c:pt>
                <c:pt idx="2395">
                  <c:v>19.82</c:v>
                </c:pt>
                <c:pt idx="2396">
                  <c:v>19.170000000000002</c:v>
                </c:pt>
                <c:pt idx="2397">
                  <c:v>17.8</c:v>
                </c:pt>
                <c:pt idx="2398">
                  <c:v>18.13</c:v>
                </c:pt>
                <c:pt idx="2399">
                  <c:v>16.8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644-4B8C-AC59-199EEE835F47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'2D data'!$E$4:$E$2403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'2D data'!$I$4:$I$2403</c:f>
              <c:numCache>
                <c:formatCode>General</c:formatCode>
                <c:ptCount val="2400"/>
                <c:pt idx="0">
                  <c:v>4.5999999999999996</c:v>
                </c:pt>
                <c:pt idx="1">
                  <c:v>4.5</c:v>
                </c:pt>
                <c:pt idx="2">
                  <c:v>4.3</c:v>
                </c:pt>
                <c:pt idx="3">
                  <c:v>4.3</c:v>
                </c:pt>
                <c:pt idx="4">
                  <c:v>4.3</c:v>
                </c:pt>
                <c:pt idx="5">
                  <c:v>4.7</c:v>
                </c:pt>
                <c:pt idx="6">
                  <c:v>4.9000000000000004</c:v>
                </c:pt>
                <c:pt idx="7">
                  <c:v>4.9000000000000004</c:v>
                </c:pt>
                <c:pt idx="8">
                  <c:v>4.9000000000000004</c:v>
                </c:pt>
                <c:pt idx="9">
                  <c:v>4.8</c:v>
                </c:pt>
                <c:pt idx="10">
                  <c:v>4.8</c:v>
                </c:pt>
                <c:pt idx="11">
                  <c:v>4.3</c:v>
                </c:pt>
                <c:pt idx="12">
                  <c:v>4</c:v>
                </c:pt>
                <c:pt idx="13">
                  <c:v>3.4</c:v>
                </c:pt>
                <c:pt idx="14">
                  <c:v>3</c:v>
                </c:pt>
                <c:pt idx="15">
                  <c:v>2.8</c:v>
                </c:pt>
                <c:pt idx="16">
                  <c:v>2.7</c:v>
                </c:pt>
                <c:pt idx="17">
                  <c:v>2.7</c:v>
                </c:pt>
                <c:pt idx="18">
                  <c:v>3.3</c:v>
                </c:pt>
                <c:pt idx="19">
                  <c:v>3.8</c:v>
                </c:pt>
                <c:pt idx="20">
                  <c:v>5.7</c:v>
                </c:pt>
                <c:pt idx="21">
                  <c:v>8</c:v>
                </c:pt>
                <c:pt idx="22">
                  <c:v>10</c:v>
                </c:pt>
                <c:pt idx="23">
                  <c:v>10.199999999999999</c:v>
                </c:pt>
                <c:pt idx="24">
                  <c:v>9.1</c:v>
                </c:pt>
                <c:pt idx="25">
                  <c:v>7.5</c:v>
                </c:pt>
                <c:pt idx="26">
                  <c:v>7.5</c:v>
                </c:pt>
                <c:pt idx="27">
                  <c:v>6.9</c:v>
                </c:pt>
                <c:pt idx="28">
                  <c:v>6.2</c:v>
                </c:pt>
                <c:pt idx="29">
                  <c:v>5.4</c:v>
                </c:pt>
                <c:pt idx="30">
                  <c:v>4.8</c:v>
                </c:pt>
                <c:pt idx="31">
                  <c:v>4.2</c:v>
                </c:pt>
                <c:pt idx="32">
                  <c:v>4.2</c:v>
                </c:pt>
                <c:pt idx="33">
                  <c:v>4.4000000000000004</c:v>
                </c:pt>
                <c:pt idx="34">
                  <c:v>4.5</c:v>
                </c:pt>
                <c:pt idx="35">
                  <c:v>3.6</c:v>
                </c:pt>
                <c:pt idx="36">
                  <c:v>3.3</c:v>
                </c:pt>
                <c:pt idx="37">
                  <c:v>3.1</c:v>
                </c:pt>
                <c:pt idx="38">
                  <c:v>4.5</c:v>
                </c:pt>
                <c:pt idx="39">
                  <c:v>6.4</c:v>
                </c:pt>
                <c:pt idx="40">
                  <c:v>7</c:v>
                </c:pt>
                <c:pt idx="41">
                  <c:v>7</c:v>
                </c:pt>
                <c:pt idx="42">
                  <c:v>5.7</c:v>
                </c:pt>
                <c:pt idx="43">
                  <c:v>5</c:v>
                </c:pt>
                <c:pt idx="44">
                  <c:v>4.0999999999999996</c:v>
                </c:pt>
                <c:pt idx="45">
                  <c:v>3.5</c:v>
                </c:pt>
                <c:pt idx="46">
                  <c:v>2.9</c:v>
                </c:pt>
                <c:pt idx="47">
                  <c:v>2.8</c:v>
                </c:pt>
                <c:pt idx="48">
                  <c:v>2.8</c:v>
                </c:pt>
                <c:pt idx="49">
                  <c:v>3.3</c:v>
                </c:pt>
                <c:pt idx="50">
                  <c:v>3.6</c:v>
                </c:pt>
                <c:pt idx="51">
                  <c:v>3.6</c:v>
                </c:pt>
                <c:pt idx="52">
                  <c:v>2.7</c:v>
                </c:pt>
                <c:pt idx="53">
                  <c:v>2</c:v>
                </c:pt>
                <c:pt idx="54">
                  <c:v>1.3</c:v>
                </c:pt>
                <c:pt idx="55">
                  <c:v>2.5</c:v>
                </c:pt>
                <c:pt idx="56">
                  <c:v>4.5</c:v>
                </c:pt>
                <c:pt idx="57">
                  <c:v>8.8000000000000007</c:v>
                </c:pt>
                <c:pt idx="58">
                  <c:v>10.8</c:v>
                </c:pt>
                <c:pt idx="59">
                  <c:v>10.5</c:v>
                </c:pt>
                <c:pt idx="60">
                  <c:v>9.6</c:v>
                </c:pt>
                <c:pt idx="61">
                  <c:v>11.3</c:v>
                </c:pt>
                <c:pt idx="62">
                  <c:v>13</c:v>
                </c:pt>
                <c:pt idx="63">
                  <c:v>13.5</c:v>
                </c:pt>
                <c:pt idx="64">
                  <c:v>10.5</c:v>
                </c:pt>
                <c:pt idx="65">
                  <c:v>8.5</c:v>
                </c:pt>
                <c:pt idx="66">
                  <c:v>6.5</c:v>
                </c:pt>
                <c:pt idx="67">
                  <c:v>6.3</c:v>
                </c:pt>
                <c:pt idx="68">
                  <c:v>6.7</c:v>
                </c:pt>
                <c:pt idx="69">
                  <c:v>6.7</c:v>
                </c:pt>
                <c:pt idx="70">
                  <c:v>5.4</c:v>
                </c:pt>
                <c:pt idx="71">
                  <c:v>4.5999999999999996</c:v>
                </c:pt>
                <c:pt idx="72">
                  <c:v>3.6</c:v>
                </c:pt>
                <c:pt idx="73">
                  <c:v>3</c:v>
                </c:pt>
                <c:pt idx="74">
                  <c:v>3</c:v>
                </c:pt>
                <c:pt idx="75">
                  <c:v>2.9</c:v>
                </c:pt>
                <c:pt idx="76">
                  <c:v>3.3</c:v>
                </c:pt>
                <c:pt idx="77">
                  <c:v>3.4</c:v>
                </c:pt>
                <c:pt idx="78">
                  <c:v>3.7</c:v>
                </c:pt>
                <c:pt idx="79">
                  <c:v>3.6</c:v>
                </c:pt>
                <c:pt idx="80">
                  <c:v>3.6</c:v>
                </c:pt>
                <c:pt idx="81">
                  <c:v>3.4</c:v>
                </c:pt>
                <c:pt idx="82">
                  <c:v>3.4</c:v>
                </c:pt>
                <c:pt idx="83">
                  <c:v>3.4</c:v>
                </c:pt>
                <c:pt idx="84">
                  <c:v>3.7</c:v>
                </c:pt>
                <c:pt idx="85">
                  <c:v>3.9</c:v>
                </c:pt>
                <c:pt idx="86">
                  <c:v>4.2</c:v>
                </c:pt>
                <c:pt idx="87">
                  <c:v>4.8</c:v>
                </c:pt>
                <c:pt idx="88">
                  <c:v>5.8</c:v>
                </c:pt>
                <c:pt idx="89">
                  <c:v>6.1</c:v>
                </c:pt>
                <c:pt idx="90">
                  <c:v>6.1</c:v>
                </c:pt>
                <c:pt idx="91">
                  <c:v>6</c:v>
                </c:pt>
                <c:pt idx="92">
                  <c:v>6.2</c:v>
                </c:pt>
                <c:pt idx="93">
                  <c:v>7.8</c:v>
                </c:pt>
                <c:pt idx="94">
                  <c:v>9.6999999999999993</c:v>
                </c:pt>
                <c:pt idx="95">
                  <c:v>10.1</c:v>
                </c:pt>
                <c:pt idx="96">
                  <c:v>10.1</c:v>
                </c:pt>
                <c:pt idx="97">
                  <c:v>9.6</c:v>
                </c:pt>
                <c:pt idx="98">
                  <c:v>8.3000000000000007</c:v>
                </c:pt>
                <c:pt idx="99">
                  <c:v>6.8</c:v>
                </c:pt>
                <c:pt idx="100">
                  <c:v>6.1</c:v>
                </c:pt>
                <c:pt idx="101">
                  <c:v>4.0999999999999996</c:v>
                </c:pt>
                <c:pt idx="102">
                  <c:v>2.2000000000000002</c:v>
                </c:pt>
                <c:pt idx="103">
                  <c:v>1.5</c:v>
                </c:pt>
                <c:pt idx="104">
                  <c:v>0.9</c:v>
                </c:pt>
                <c:pt idx="105">
                  <c:v>1.2</c:v>
                </c:pt>
                <c:pt idx="106">
                  <c:v>1.8</c:v>
                </c:pt>
                <c:pt idx="107">
                  <c:v>2.5</c:v>
                </c:pt>
                <c:pt idx="108">
                  <c:v>4.2</c:v>
                </c:pt>
                <c:pt idx="109">
                  <c:v>5</c:v>
                </c:pt>
                <c:pt idx="110">
                  <c:v>5.8</c:v>
                </c:pt>
                <c:pt idx="111">
                  <c:v>5.7</c:v>
                </c:pt>
                <c:pt idx="112">
                  <c:v>5.0999999999999996</c:v>
                </c:pt>
                <c:pt idx="113">
                  <c:v>5.0999999999999996</c:v>
                </c:pt>
                <c:pt idx="114">
                  <c:v>5.4</c:v>
                </c:pt>
                <c:pt idx="115">
                  <c:v>5.9</c:v>
                </c:pt>
                <c:pt idx="116">
                  <c:v>5.2</c:v>
                </c:pt>
                <c:pt idx="117">
                  <c:v>4.8</c:v>
                </c:pt>
                <c:pt idx="118">
                  <c:v>4.4000000000000004</c:v>
                </c:pt>
                <c:pt idx="119">
                  <c:v>4.3</c:v>
                </c:pt>
                <c:pt idx="120">
                  <c:v>4.5999999999999996</c:v>
                </c:pt>
                <c:pt idx="121">
                  <c:v>4.8</c:v>
                </c:pt>
                <c:pt idx="122">
                  <c:v>4.8</c:v>
                </c:pt>
                <c:pt idx="123">
                  <c:v>4.8</c:v>
                </c:pt>
                <c:pt idx="124">
                  <c:v>4.3</c:v>
                </c:pt>
                <c:pt idx="125">
                  <c:v>3.2</c:v>
                </c:pt>
                <c:pt idx="126">
                  <c:v>2.1</c:v>
                </c:pt>
                <c:pt idx="127">
                  <c:v>2</c:v>
                </c:pt>
                <c:pt idx="128">
                  <c:v>1.5</c:v>
                </c:pt>
                <c:pt idx="129">
                  <c:v>1.3</c:v>
                </c:pt>
                <c:pt idx="130">
                  <c:v>0.4</c:v>
                </c:pt>
                <c:pt idx="131">
                  <c:v>0.2</c:v>
                </c:pt>
                <c:pt idx="132">
                  <c:v>-1.2</c:v>
                </c:pt>
                <c:pt idx="133">
                  <c:v>-1.9</c:v>
                </c:pt>
                <c:pt idx="134">
                  <c:v>-2</c:v>
                </c:pt>
                <c:pt idx="135">
                  <c:v>-1.5</c:v>
                </c:pt>
                <c:pt idx="136">
                  <c:v>-1.7</c:v>
                </c:pt>
                <c:pt idx="137">
                  <c:v>-2.9</c:v>
                </c:pt>
                <c:pt idx="138">
                  <c:v>-3.5</c:v>
                </c:pt>
                <c:pt idx="139">
                  <c:v>-3.2</c:v>
                </c:pt>
                <c:pt idx="140">
                  <c:v>-1.5</c:v>
                </c:pt>
                <c:pt idx="141">
                  <c:v>-1.3</c:v>
                </c:pt>
                <c:pt idx="142">
                  <c:v>-3.3</c:v>
                </c:pt>
                <c:pt idx="143">
                  <c:v>-3.7</c:v>
                </c:pt>
                <c:pt idx="144">
                  <c:v>-3.7</c:v>
                </c:pt>
                <c:pt idx="145">
                  <c:v>-3.4</c:v>
                </c:pt>
                <c:pt idx="146">
                  <c:v>-3.5</c:v>
                </c:pt>
                <c:pt idx="147">
                  <c:v>0.2</c:v>
                </c:pt>
                <c:pt idx="148">
                  <c:v>4.4000000000000004</c:v>
                </c:pt>
                <c:pt idx="149">
                  <c:v>4.5</c:v>
                </c:pt>
                <c:pt idx="150">
                  <c:v>2.9</c:v>
                </c:pt>
                <c:pt idx="151">
                  <c:v>0.6</c:v>
                </c:pt>
                <c:pt idx="152">
                  <c:v>-0.5</c:v>
                </c:pt>
                <c:pt idx="153">
                  <c:v>-1.4</c:v>
                </c:pt>
                <c:pt idx="154">
                  <c:v>-0.2</c:v>
                </c:pt>
                <c:pt idx="155">
                  <c:v>1.2</c:v>
                </c:pt>
                <c:pt idx="156">
                  <c:v>1.4</c:v>
                </c:pt>
                <c:pt idx="157">
                  <c:v>-0.3</c:v>
                </c:pt>
                <c:pt idx="158">
                  <c:v>-2.4</c:v>
                </c:pt>
                <c:pt idx="159">
                  <c:v>-3.7</c:v>
                </c:pt>
                <c:pt idx="160">
                  <c:v>-3.7</c:v>
                </c:pt>
                <c:pt idx="161">
                  <c:v>-3.7</c:v>
                </c:pt>
                <c:pt idx="162">
                  <c:v>-3.7</c:v>
                </c:pt>
                <c:pt idx="163">
                  <c:v>-3</c:v>
                </c:pt>
                <c:pt idx="164">
                  <c:v>-2.6</c:v>
                </c:pt>
                <c:pt idx="165">
                  <c:v>-2.6</c:v>
                </c:pt>
                <c:pt idx="166">
                  <c:v>-2.9</c:v>
                </c:pt>
                <c:pt idx="167">
                  <c:v>-3.3</c:v>
                </c:pt>
                <c:pt idx="168">
                  <c:v>-3.7</c:v>
                </c:pt>
                <c:pt idx="169">
                  <c:v>-3</c:v>
                </c:pt>
                <c:pt idx="170">
                  <c:v>-2.2999999999999998</c:v>
                </c:pt>
                <c:pt idx="171">
                  <c:v>-1.4</c:v>
                </c:pt>
                <c:pt idx="172">
                  <c:v>-1.4</c:v>
                </c:pt>
                <c:pt idx="173">
                  <c:v>-1.4</c:v>
                </c:pt>
                <c:pt idx="174">
                  <c:v>-1.4</c:v>
                </c:pt>
                <c:pt idx="175">
                  <c:v>-1.3</c:v>
                </c:pt>
                <c:pt idx="176">
                  <c:v>-2.4</c:v>
                </c:pt>
                <c:pt idx="177">
                  <c:v>-3.1</c:v>
                </c:pt>
                <c:pt idx="178">
                  <c:v>-3.7</c:v>
                </c:pt>
                <c:pt idx="179">
                  <c:v>-3.8</c:v>
                </c:pt>
                <c:pt idx="180">
                  <c:v>-3.8</c:v>
                </c:pt>
                <c:pt idx="181">
                  <c:v>-3.8</c:v>
                </c:pt>
                <c:pt idx="182">
                  <c:v>-3.8</c:v>
                </c:pt>
                <c:pt idx="183">
                  <c:v>-3.8</c:v>
                </c:pt>
                <c:pt idx="184">
                  <c:v>-3.8</c:v>
                </c:pt>
                <c:pt idx="185">
                  <c:v>-3.8</c:v>
                </c:pt>
                <c:pt idx="186">
                  <c:v>-3.8</c:v>
                </c:pt>
                <c:pt idx="187">
                  <c:v>-3.8</c:v>
                </c:pt>
                <c:pt idx="188">
                  <c:v>-3.5</c:v>
                </c:pt>
                <c:pt idx="189">
                  <c:v>-2.4</c:v>
                </c:pt>
                <c:pt idx="190">
                  <c:v>-1.7</c:v>
                </c:pt>
                <c:pt idx="191">
                  <c:v>-2.1</c:v>
                </c:pt>
                <c:pt idx="192">
                  <c:v>-2.4</c:v>
                </c:pt>
                <c:pt idx="193">
                  <c:v>-2.9</c:v>
                </c:pt>
                <c:pt idx="194">
                  <c:v>-3.7</c:v>
                </c:pt>
                <c:pt idx="195">
                  <c:v>-3.7</c:v>
                </c:pt>
                <c:pt idx="196">
                  <c:v>-3.7</c:v>
                </c:pt>
                <c:pt idx="197">
                  <c:v>-3.2</c:v>
                </c:pt>
                <c:pt idx="198">
                  <c:v>-2.8</c:v>
                </c:pt>
                <c:pt idx="199">
                  <c:v>-2.8</c:v>
                </c:pt>
                <c:pt idx="200">
                  <c:v>-2.9</c:v>
                </c:pt>
                <c:pt idx="201">
                  <c:v>-2.9</c:v>
                </c:pt>
                <c:pt idx="202">
                  <c:v>-2.8</c:v>
                </c:pt>
                <c:pt idx="203">
                  <c:v>-3.1</c:v>
                </c:pt>
                <c:pt idx="204">
                  <c:v>-3.7</c:v>
                </c:pt>
                <c:pt idx="205">
                  <c:v>-3.5</c:v>
                </c:pt>
                <c:pt idx="206">
                  <c:v>-1.8</c:v>
                </c:pt>
                <c:pt idx="207">
                  <c:v>-1.5</c:v>
                </c:pt>
                <c:pt idx="208">
                  <c:v>-2.2000000000000002</c:v>
                </c:pt>
                <c:pt idx="209">
                  <c:v>-3.2</c:v>
                </c:pt>
                <c:pt idx="210">
                  <c:v>-3.7</c:v>
                </c:pt>
                <c:pt idx="211">
                  <c:v>-3.7</c:v>
                </c:pt>
                <c:pt idx="212">
                  <c:v>-3.7</c:v>
                </c:pt>
                <c:pt idx="213">
                  <c:v>-3.7</c:v>
                </c:pt>
                <c:pt idx="214">
                  <c:v>-3.8</c:v>
                </c:pt>
                <c:pt idx="215">
                  <c:v>-3.8</c:v>
                </c:pt>
                <c:pt idx="216">
                  <c:v>-3.8</c:v>
                </c:pt>
                <c:pt idx="217">
                  <c:v>-3.8</c:v>
                </c:pt>
                <c:pt idx="218">
                  <c:v>-3.8</c:v>
                </c:pt>
                <c:pt idx="219">
                  <c:v>-3.8</c:v>
                </c:pt>
                <c:pt idx="220">
                  <c:v>-3.8</c:v>
                </c:pt>
                <c:pt idx="221">
                  <c:v>-3.8</c:v>
                </c:pt>
                <c:pt idx="222">
                  <c:v>-3.8</c:v>
                </c:pt>
                <c:pt idx="223">
                  <c:v>-3.5</c:v>
                </c:pt>
                <c:pt idx="224">
                  <c:v>-3.4</c:v>
                </c:pt>
                <c:pt idx="225">
                  <c:v>-3.4</c:v>
                </c:pt>
                <c:pt idx="226">
                  <c:v>-3.4</c:v>
                </c:pt>
                <c:pt idx="227">
                  <c:v>-3.7</c:v>
                </c:pt>
                <c:pt idx="228">
                  <c:v>-3.7</c:v>
                </c:pt>
                <c:pt idx="229">
                  <c:v>-3.7</c:v>
                </c:pt>
                <c:pt idx="230">
                  <c:v>-3.7</c:v>
                </c:pt>
                <c:pt idx="231">
                  <c:v>-3.7</c:v>
                </c:pt>
                <c:pt idx="232">
                  <c:v>-2.8</c:v>
                </c:pt>
                <c:pt idx="233">
                  <c:v>-3.5</c:v>
                </c:pt>
                <c:pt idx="234">
                  <c:v>-3.6</c:v>
                </c:pt>
                <c:pt idx="235">
                  <c:v>-3.2</c:v>
                </c:pt>
                <c:pt idx="236">
                  <c:v>-2.6</c:v>
                </c:pt>
                <c:pt idx="237">
                  <c:v>-2.6</c:v>
                </c:pt>
                <c:pt idx="238">
                  <c:v>-2</c:v>
                </c:pt>
                <c:pt idx="239">
                  <c:v>-1</c:v>
                </c:pt>
                <c:pt idx="240">
                  <c:v>-0.6</c:v>
                </c:pt>
                <c:pt idx="241">
                  <c:v>-1.1000000000000001</c:v>
                </c:pt>
                <c:pt idx="242">
                  <c:v>-3.6</c:v>
                </c:pt>
                <c:pt idx="243">
                  <c:v>-3.7</c:v>
                </c:pt>
                <c:pt idx="244">
                  <c:v>-3.8</c:v>
                </c:pt>
                <c:pt idx="245">
                  <c:v>-3.8</c:v>
                </c:pt>
                <c:pt idx="246">
                  <c:v>-3.8</c:v>
                </c:pt>
                <c:pt idx="247">
                  <c:v>-3.8</c:v>
                </c:pt>
                <c:pt idx="248">
                  <c:v>-3.8</c:v>
                </c:pt>
                <c:pt idx="249">
                  <c:v>-3.8</c:v>
                </c:pt>
                <c:pt idx="250">
                  <c:v>-3.8</c:v>
                </c:pt>
                <c:pt idx="251">
                  <c:v>-3.8</c:v>
                </c:pt>
                <c:pt idx="252">
                  <c:v>-3.2</c:v>
                </c:pt>
                <c:pt idx="253">
                  <c:v>-3.2</c:v>
                </c:pt>
                <c:pt idx="254">
                  <c:v>-3.4</c:v>
                </c:pt>
                <c:pt idx="255">
                  <c:v>-3.6</c:v>
                </c:pt>
                <c:pt idx="256">
                  <c:v>-3.7</c:v>
                </c:pt>
                <c:pt idx="257">
                  <c:v>-3.7</c:v>
                </c:pt>
                <c:pt idx="258">
                  <c:v>-3.7</c:v>
                </c:pt>
                <c:pt idx="259">
                  <c:v>-3.7</c:v>
                </c:pt>
                <c:pt idx="260">
                  <c:v>-3.7</c:v>
                </c:pt>
                <c:pt idx="261">
                  <c:v>-3.7</c:v>
                </c:pt>
                <c:pt idx="262">
                  <c:v>-3.7</c:v>
                </c:pt>
                <c:pt idx="263">
                  <c:v>-3.7</c:v>
                </c:pt>
                <c:pt idx="264">
                  <c:v>-3.7</c:v>
                </c:pt>
                <c:pt idx="265">
                  <c:v>-3.7</c:v>
                </c:pt>
                <c:pt idx="266">
                  <c:v>-2.8</c:v>
                </c:pt>
                <c:pt idx="267">
                  <c:v>-1.8</c:v>
                </c:pt>
                <c:pt idx="268">
                  <c:v>-1.8</c:v>
                </c:pt>
                <c:pt idx="269">
                  <c:v>-0.8</c:v>
                </c:pt>
                <c:pt idx="270">
                  <c:v>-2.2000000000000002</c:v>
                </c:pt>
                <c:pt idx="271">
                  <c:v>-2.2999999999999998</c:v>
                </c:pt>
                <c:pt idx="272">
                  <c:v>-3.5</c:v>
                </c:pt>
                <c:pt idx="273">
                  <c:v>-3.6</c:v>
                </c:pt>
                <c:pt idx="274">
                  <c:v>-3.7</c:v>
                </c:pt>
                <c:pt idx="275">
                  <c:v>-3.4</c:v>
                </c:pt>
                <c:pt idx="276">
                  <c:v>-2.7</c:v>
                </c:pt>
                <c:pt idx="277">
                  <c:v>-1.6</c:v>
                </c:pt>
                <c:pt idx="278">
                  <c:v>-1.1000000000000001</c:v>
                </c:pt>
                <c:pt idx="279">
                  <c:v>-0.2</c:v>
                </c:pt>
                <c:pt idx="280">
                  <c:v>-0.2</c:v>
                </c:pt>
                <c:pt idx="281">
                  <c:v>0</c:v>
                </c:pt>
                <c:pt idx="282">
                  <c:v>0.4</c:v>
                </c:pt>
                <c:pt idx="283">
                  <c:v>-0.9</c:v>
                </c:pt>
                <c:pt idx="284">
                  <c:v>-1.3</c:v>
                </c:pt>
                <c:pt idx="285">
                  <c:v>-2.2000000000000002</c:v>
                </c:pt>
                <c:pt idx="286">
                  <c:v>-2.9</c:v>
                </c:pt>
                <c:pt idx="287">
                  <c:v>-3.7</c:v>
                </c:pt>
                <c:pt idx="288">
                  <c:v>-3.7</c:v>
                </c:pt>
                <c:pt idx="289">
                  <c:v>-3.7</c:v>
                </c:pt>
                <c:pt idx="290">
                  <c:v>-3.7</c:v>
                </c:pt>
                <c:pt idx="291">
                  <c:v>-3.7</c:v>
                </c:pt>
                <c:pt idx="292">
                  <c:v>-3.8</c:v>
                </c:pt>
                <c:pt idx="293">
                  <c:v>-2.8</c:v>
                </c:pt>
                <c:pt idx="294">
                  <c:v>-2.7</c:v>
                </c:pt>
                <c:pt idx="295">
                  <c:v>-2.4</c:v>
                </c:pt>
                <c:pt idx="296">
                  <c:v>-2.5</c:v>
                </c:pt>
                <c:pt idx="297">
                  <c:v>-3.2</c:v>
                </c:pt>
                <c:pt idx="298">
                  <c:v>-3.6</c:v>
                </c:pt>
                <c:pt idx="299">
                  <c:v>-3.6</c:v>
                </c:pt>
                <c:pt idx="300">
                  <c:v>-3.6</c:v>
                </c:pt>
                <c:pt idx="301">
                  <c:v>-3.3</c:v>
                </c:pt>
                <c:pt idx="302">
                  <c:v>-3.6</c:v>
                </c:pt>
                <c:pt idx="303">
                  <c:v>-3.6</c:v>
                </c:pt>
                <c:pt idx="304">
                  <c:v>-3.6</c:v>
                </c:pt>
                <c:pt idx="305">
                  <c:v>-3.6</c:v>
                </c:pt>
                <c:pt idx="306">
                  <c:v>-2.6</c:v>
                </c:pt>
                <c:pt idx="307">
                  <c:v>-2</c:v>
                </c:pt>
                <c:pt idx="308">
                  <c:v>-2.5</c:v>
                </c:pt>
                <c:pt idx="309">
                  <c:v>-2.6</c:v>
                </c:pt>
                <c:pt idx="310">
                  <c:v>-1.7</c:v>
                </c:pt>
                <c:pt idx="311">
                  <c:v>1</c:v>
                </c:pt>
                <c:pt idx="312">
                  <c:v>2.4</c:v>
                </c:pt>
                <c:pt idx="313">
                  <c:v>4.8</c:v>
                </c:pt>
                <c:pt idx="314">
                  <c:v>5.0999999999999996</c:v>
                </c:pt>
                <c:pt idx="315">
                  <c:v>4.4000000000000004</c:v>
                </c:pt>
                <c:pt idx="316">
                  <c:v>3.5</c:v>
                </c:pt>
                <c:pt idx="317">
                  <c:v>5.3</c:v>
                </c:pt>
                <c:pt idx="318">
                  <c:v>7.3</c:v>
                </c:pt>
                <c:pt idx="319">
                  <c:v>8.6999999999999993</c:v>
                </c:pt>
                <c:pt idx="320">
                  <c:v>9.6</c:v>
                </c:pt>
                <c:pt idx="321">
                  <c:v>11.1</c:v>
                </c:pt>
                <c:pt idx="322">
                  <c:v>12.4</c:v>
                </c:pt>
                <c:pt idx="323">
                  <c:v>13.4</c:v>
                </c:pt>
                <c:pt idx="324">
                  <c:v>14.8</c:v>
                </c:pt>
                <c:pt idx="325">
                  <c:v>15.5</c:v>
                </c:pt>
                <c:pt idx="326">
                  <c:v>14.4</c:v>
                </c:pt>
                <c:pt idx="327">
                  <c:v>13.2</c:v>
                </c:pt>
                <c:pt idx="328">
                  <c:v>11.8</c:v>
                </c:pt>
                <c:pt idx="329">
                  <c:v>11</c:v>
                </c:pt>
                <c:pt idx="330">
                  <c:v>10.3</c:v>
                </c:pt>
                <c:pt idx="331">
                  <c:v>10.3</c:v>
                </c:pt>
                <c:pt idx="332">
                  <c:v>10.3</c:v>
                </c:pt>
                <c:pt idx="333">
                  <c:v>11.4</c:v>
                </c:pt>
                <c:pt idx="334">
                  <c:v>10</c:v>
                </c:pt>
                <c:pt idx="335">
                  <c:v>10</c:v>
                </c:pt>
                <c:pt idx="336">
                  <c:v>11</c:v>
                </c:pt>
                <c:pt idx="337">
                  <c:v>11.1</c:v>
                </c:pt>
                <c:pt idx="338">
                  <c:v>11.1</c:v>
                </c:pt>
                <c:pt idx="339">
                  <c:v>11.3</c:v>
                </c:pt>
                <c:pt idx="340">
                  <c:v>16.5</c:v>
                </c:pt>
                <c:pt idx="341">
                  <c:v>17.8</c:v>
                </c:pt>
                <c:pt idx="342">
                  <c:v>16.7</c:v>
                </c:pt>
                <c:pt idx="343">
                  <c:v>13.1</c:v>
                </c:pt>
                <c:pt idx="344">
                  <c:v>9.1</c:v>
                </c:pt>
                <c:pt idx="345">
                  <c:v>7</c:v>
                </c:pt>
                <c:pt idx="346">
                  <c:v>5.9</c:v>
                </c:pt>
                <c:pt idx="347">
                  <c:v>5.8</c:v>
                </c:pt>
                <c:pt idx="348">
                  <c:v>7.3</c:v>
                </c:pt>
                <c:pt idx="349">
                  <c:v>9.1</c:v>
                </c:pt>
                <c:pt idx="350">
                  <c:v>9.8000000000000007</c:v>
                </c:pt>
                <c:pt idx="351">
                  <c:v>8</c:v>
                </c:pt>
                <c:pt idx="352">
                  <c:v>5.0999999999999996</c:v>
                </c:pt>
                <c:pt idx="353">
                  <c:v>2.7</c:v>
                </c:pt>
                <c:pt idx="354">
                  <c:v>1.5</c:v>
                </c:pt>
                <c:pt idx="355">
                  <c:v>2.6</c:v>
                </c:pt>
                <c:pt idx="356">
                  <c:v>3</c:v>
                </c:pt>
                <c:pt idx="357">
                  <c:v>3.7</c:v>
                </c:pt>
                <c:pt idx="358">
                  <c:v>4.7</c:v>
                </c:pt>
                <c:pt idx="359">
                  <c:v>4.0999999999999996</c:v>
                </c:pt>
                <c:pt idx="360">
                  <c:v>3.3</c:v>
                </c:pt>
                <c:pt idx="361">
                  <c:v>4.3</c:v>
                </c:pt>
                <c:pt idx="362">
                  <c:v>0.4</c:v>
                </c:pt>
                <c:pt idx="363">
                  <c:v>-3.7</c:v>
                </c:pt>
                <c:pt idx="364">
                  <c:v>3.8</c:v>
                </c:pt>
                <c:pt idx="365">
                  <c:v>3</c:v>
                </c:pt>
                <c:pt idx="366">
                  <c:v>4.0999999999999996</c:v>
                </c:pt>
                <c:pt idx="367">
                  <c:v>11.3</c:v>
                </c:pt>
                <c:pt idx="368">
                  <c:v>12.6</c:v>
                </c:pt>
                <c:pt idx="369">
                  <c:v>12.2</c:v>
                </c:pt>
                <c:pt idx="370">
                  <c:v>10.6</c:v>
                </c:pt>
                <c:pt idx="371">
                  <c:v>6.9</c:v>
                </c:pt>
                <c:pt idx="372">
                  <c:v>4.0999999999999996</c:v>
                </c:pt>
                <c:pt idx="373">
                  <c:v>2.2000000000000002</c:v>
                </c:pt>
                <c:pt idx="374">
                  <c:v>2</c:v>
                </c:pt>
                <c:pt idx="375">
                  <c:v>2.5</c:v>
                </c:pt>
                <c:pt idx="376">
                  <c:v>3</c:v>
                </c:pt>
                <c:pt idx="377">
                  <c:v>2.6</c:v>
                </c:pt>
                <c:pt idx="378">
                  <c:v>2.5</c:v>
                </c:pt>
                <c:pt idx="379">
                  <c:v>3.1</c:v>
                </c:pt>
                <c:pt idx="380">
                  <c:v>3.6</c:v>
                </c:pt>
                <c:pt idx="381">
                  <c:v>4.3</c:v>
                </c:pt>
                <c:pt idx="382">
                  <c:v>5.9</c:v>
                </c:pt>
                <c:pt idx="383">
                  <c:v>6.3</c:v>
                </c:pt>
                <c:pt idx="384">
                  <c:v>6.3</c:v>
                </c:pt>
                <c:pt idx="385">
                  <c:v>5.2</c:v>
                </c:pt>
                <c:pt idx="386">
                  <c:v>3.6</c:v>
                </c:pt>
                <c:pt idx="387">
                  <c:v>2</c:v>
                </c:pt>
                <c:pt idx="388">
                  <c:v>1.5</c:v>
                </c:pt>
                <c:pt idx="389">
                  <c:v>1.5</c:v>
                </c:pt>
                <c:pt idx="390">
                  <c:v>2.2999999999999998</c:v>
                </c:pt>
                <c:pt idx="391">
                  <c:v>3.9</c:v>
                </c:pt>
                <c:pt idx="392">
                  <c:v>4.5</c:v>
                </c:pt>
                <c:pt idx="393">
                  <c:v>4.7</c:v>
                </c:pt>
                <c:pt idx="394">
                  <c:v>4.4000000000000004</c:v>
                </c:pt>
                <c:pt idx="395">
                  <c:v>4.3</c:v>
                </c:pt>
                <c:pt idx="396">
                  <c:v>4.3</c:v>
                </c:pt>
                <c:pt idx="397">
                  <c:v>4.5</c:v>
                </c:pt>
                <c:pt idx="398">
                  <c:v>4.7</c:v>
                </c:pt>
                <c:pt idx="399">
                  <c:v>5.8</c:v>
                </c:pt>
                <c:pt idx="400">
                  <c:v>7.7</c:v>
                </c:pt>
                <c:pt idx="401">
                  <c:v>7.5</c:v>
                </c:pt>
                <c:pt idx="402">
                  <c:v>7.5</c:v>
                </c:pt>
                <c:pt idx="403">
                  <c:v>7.4</c:v>
                </c:pt>
                <c:pt idx="404">
                  <c:v>6.3</c:v>
                </c:pt>
                <c:pt idx="405">
                  <c:v>6</c:v>
                </c:pt>
                <c:pt idx="406">
                  <c:v>6</c:v>
                </c:pt>
                <c:pt idx="407">
                  <c:v>6</c:v>
                </c:pt>
                <c:pt idx="408">
                  <c:v>6.2</c:v>
                </c:pt>
                <c:pt idx="409">
                  <c:v>6.9</c:v>
                </c:pt>
                <c:pt idx="410">
                  <c:v>8.3000000000000007</c:v>
                </c:pt>
                <c:pt idx="411">
                  <c:v>9.6999999999999993</c:v>
                </c:pt>
                <c:pt idx="412">
                  <c:v>10.9</c:v>
                </c:pt>
                <c:pt idx="413">
                  <c:v>11</c:v>
                </c:pt>
                <c:pt idx="414">
                  <c:v>11.5</c:v>
                </c:pt>
                <c:pt idx="415">
                  <c:v>11.6</c:v>
                </c:pt>
                <c:pt idx="416">
                  <c:v>10.8</c:v>
                </c:pt>
                <c:pt idx="417">
                  <c:v>10.3</c:v>
                </c:pt>
                <c:pt idx="418">
                  <c:v>9.5</c:v>
                </c:pt>
                <c:pt idx="419">
                  <c:v>9.3000000000000007</c:v>
                </c:pt>
                <c:pt idx="420">
                  <c:v>8.6999999999999993</c:v>
                </c:pt>
                <c:pt idx="421">
                  <c:v>8.1999999999999993</c:v>
                </c:pt>
                <c:pt idx="422">
                  <c:v>8.1999999999999993</c:v>
                </c:pt>
                <c:pt idx="423">
                  <c:v>8.1999999999999993</c:v>
                </c:pt>
                <c:pt idx="424">
                  <c:v>9.1</c:v>
                </c:pt>
                <c:pt idx="425">
                  <c:v>10.4</c:v>
                </c:pt>
                <c:pt idx="426">
                  <c:v>11.7</c:v>
                </c:pt>
                <c:pt idx="427">
                  <c:v>13.9</c:v>
                </c:pt>
                <c:pt idx="428">
                  <c:v>15.6</c:v>
                </c:pt>
                <c:pt idx="429">
                  <c:v>17.8</c:v>
                </c:pt>
                <c:pt idx="430">
                  <c:v>17.899999999999999</c:v>
                </c:pt>
                <c:pt idx="431">
                  <c:v>18</c:v>
                </c:pt>
                <c:pt idx="432">
                  <c:v>17.2</c:v>
                </c:pt>
                <c:pt idx="433">
                  <c:v>17.7</c:v>
                </c:pt>
                <c:pt idx="434">
                  <c:v>18.100000000000001</c:v>
                </c:pt>
                <c:pt idx="435">
                  <c:v>18.100000000000001</c:v>
                </c:pt>
                <c:pt idx="436">
                  <c:v>16.899999999999999</c:v>
                </c:pt>
                <c:pt idx="437">
                  <c:v>14.2</c:v>
                </c:pt>
                <c:pt idx="438">
                  <c:v>11.8</c:v>
                </c:pt>
                <c:pt idx="439">
                  <c:v>11.1</c:v>
                </c:pt>
                <c:pt idx="440">
                  <c:v>11.5</c:v>
                </c:pt>
                <c:pt idx="441">
                  <c:v>13</c:v>
                </c:pt>
                <c:pt idx="442">
                  <c:v>14.2</c:v>
                </c:pt>
                <c:pt idx="443">
                  <c:v>14.9</c:v>
                </c:pt>
                <c:pt idx="444">
                  <c:v>14.8</c:v>
                </c:pt>
                <c:pt idx="445">
                  <c:v>15.7</c:v>
                </c:pt>
                <c:pt idx="446">
                  <c:v>17.5</c:v>
                </c:pt>
                <c:pt idx="447">
                  <c:v>19.8</c:v>
                </c:pt>
                <c:pt idx="448">
                  <c:v>19.3</c:v>
                </c:pt>
                <c:pt idx="449">
                  <c:v>18.600000000000001</c:v>
                </c:pt>
                <c:pt idx="450">
                  <c:v>17.100000000000001</c:v>
                </c:pt>
                <c:pt idx="451">
                  <c:v>15.5</c:v>
                </c:pt>
                <c:pt idx="452">
                  <c:v>13.3</c:v>
                </c:pt>
                <c:pt idx="453">
                  <c:v>10.6</c:v>
                </c:pt>
                <c:pt idx="454">
                  <c:v>8.1</c:v>
                </c:pt>
                <c:pt idx="455">
                  <c:v>7.7</c:v>
                </c:pt>
                <c:pt idx="456">
                  <c:v>8.3000000000000007</c:v>
                </c:pt>
                <c:pt idx="457">
                  <c:v>9.1999999999999993</c:v>
                </c:pt>
                <c:pt idx="458">
                  <c:v>14.4</c:v>
                </c:pt>
                <c:pt idx="459">
                  <c:v>17.899999999999999</c:v>
                </c:pt>
                <c:pt idx="460">
                  <c:v>19.3</c:v>
                </c:pt>
                <c:pt idx="461">
                  <c:v>19.3</c:v>
                </c:pt>
                <c:pt idx="462">
                  <c:v>18.8</c:v>
                </c:pt>
                <c:pt idx="463">
                  <c:v>17.8</c:v>
                </c:pt>
                <c:pt idx="464">
                  <c:v>17.100000000000001</c:v>
                </c:pt>
                <c:pt idx="465">
                  <c:v>17.100000000000001</c:v>
                </c:pt>
                <c:pt idx="466">
                  <c:v>17.399999999999999</c:v>
                </c:pt>
                <c:pt idx="467">
                  <c:v>16.8</c:v>
                </c:pt>
                <c:pt idx="468">
                  <c:v>15.9</c:v>
                </c:pt>
                <c:pt idx="469">
                  <c:v>15.9</c:v>
                </c:pt>
                <c:pt idx="470">
                  <c:v>16.5</c:v>
                </c:pt>
                <c:pt idx="471">
                  <c:v>17.100000000000001</c:v>
                </c:pt>
                <c:pt idx="472">
                  <c:v>17.100000000000001</c:v>
                </c:pt>
                <c:pt idx="473">
                  <c:v>17.100000000000001</c:v>
                </c:pt>
                <c:pt idx="474">
                  <c:v>16.5</c:v>
                </c:pt>
                <c:pt idx="475">
                  <c:v>16.3</c:v>
                </c:pt>
                <c:pt idx="476">
                  <c:v>16.3</c:v>
                </c:pt>
                <c:pt idx="477">
                  <c:v>16.3</c:v>
                </c:pt>
                <c:pt idx="478">
                  <c:v>16.3</c:v>
                </c:pt>
                <c:pt idx="479">
                  <c:v>17.100000000000001</c:v>
                </c:pt>
                <c:pt idx="480">
                  <c:v>18.5</c:v>
                </c:pt>
                <c:pt idx="481">
                  <c:v>18.5</c:v>
                </c:pt>
                <c:pt idx="482">
                  <c:v>16.8</c:v>
                </c:pt>
                <c:pt idx="483">
                  <c:v>14.6</c:v>
                </c:pt>
                <c:pt idx="484">
                  <c:v>13.9</c:v>
                </c:pt>
                <c:pt idx="485">
                  <c:v>14.7</c:v>
                </c:pt>
                <c:pt idx="486">
                  <c:v>15.7</c:v>
                </c:pt>
                <c:pt idx="487">
                  <c:v>15.1</c:v>
                </c:pt>
                <c:pt idx="488">
                  <c:v>11.5</c:v>
                </c:pt>
                <c:pt idx="489">
                  <c:v>10.7</c:v>
                </c:pt>
                <c:pt idx="490">
                  <c:v>11.1</c:v>
                </c:pt>
                <c:pt idx="491">
                  <c:v>11.7</c:v>
                </c:pt>
                <c:pt idx="492">
                  <c:v>12.6</c:v>
                </c:pt>
                <c:pt idx="493">
                  <c:v>12.7</c:v>
                </c:pt>
                <c:pt idx="494">
                  <c:v>12.3</c:v>
                </c:pt>
                <c:pt idx="495">
                  <c:v>12</c:v>
                </c:pt>
                <c:pt idx="496">
                  <c:v>11.6</c:v>
                </c:pt>
                <c:pt idx="497">
                  <c:v>12</c:v>
                </c:pt>
                <c:pt idx="498">
                  <c:v>13.6</c:v>
                </c:pt>
                <c:pt idx="499">
                  <c:v>14.6</c:v>
                </c:pt>
                <c:pt idx="500">
                  <c:v>14.3</c:v>
                </c:pt>
                <c:pt idx="501">
                  <c:v>13.9</c:v>
                </c:pt>
                <c:pt idx="502">
                  <c:v>13.3</c:v>
                </c:pt>
                <c:pt idx="503">
                  <c:v>12.8</c:v>
                </c:pt>
                <c:pt idx="504">
                  <c:v>12.8</c:v>
                </c:pt>
                <c:pt idx="505">
                  <c:v>12.9</c:v>
                </c:pt>
                <c:pt idx="506">
                  <c:v>13.3</c:v>
                </c:pt>
                <c:pt idx="507">
                  <c:v>14.5</c:v>
                </c:pt>
                <c:pt idx="508">
                  <c:v>16.5</c:v>
                </c:pt>
                <c:pt idx="509">
                  <c:v>17.8</c:v>
                </c:pt>
                <c:pt idx="510">
                  <c:v>18.399999999999999</c:v>
                </c:pt>
                <c:pt idx="511">
                  <c:v>18</c:v>
                </c:pt>
                <c:pt idx="512">
                  <c:v>15.2</c:v>
                </c:pt>
                <c:pt idx="513">
                  <c:v>10.7</c:v>
                </c:pt>
                <c:pt idx="514">
                  <c:v>7.1</c:v>
                </c:pt>
                <c:pt idx="515">
                  <c:v>2.9</c:v>
                </c:pt>
                <c:pt idx="516">
                  <c:v>0.2</c:v>
                </c:pt>
                <c:pt idx="517">
                  <c:v>-0.9</c:v>
                </c:pt>
                <c:pt idx="518">
                  <c:v>-0.6</c:v>
                </c:pt>
                <c:pt idx="519">
                  <c:v>0.5</c:v>
                </c:pt>
                <c:pt idx="520">
                  <c:v>2.9</c:v>
                </c:pt>
                <c:pt idx="521">
                  <c:v>5.0999999999999996</c:v>
                </c:pt>
                <c:pt idx="522">
                  <c:v>7.8</c:v>
                </c:pt>
                <c:pt idx="523">
                  <c:v>7.5</c:v>
                </c:pt>
                <c:pt idx="524">
                  <c:v>4.5999999999999996</c:v>
                </c:pt>
                <c:pt idx="525">
                  <c:v>3</c:v>
                </c:pt>
                <c:pt idx="526">
                  <c:v>2.9</c:v>
                </c:pt>
                <c:pt idx="527">
                  <c:v>3.8</c:v>
                </c:pt>
                <c:pt idx="528">
                  <c:v>4.5</c:v>
                </c:pt>
                <c:pt idx="529">
                  <c:v>4.5</c:v>
                </c:pt>
                <c:pt idx="530">
                  <c:v>1.2</c:v>
                </c:pt>
                <c:pt idx="531">
                  <c:v>5</c:v>
                </c:pt>
                <c:pt idx="532">
                  <c:v>4.7</c:v>
                </c:pt>
                <c:pt idx="533">
                  <c:v>3</c:v>
                </c:pt>
                <c:pt idx="534">
                  <c:v>3.1</c:v>
                </c:pt>
                <c:pt idx="535">
                  <c:v>3.9</c:v>
                </c:pt>
                <c:pt idx="536">
                  <c:v>4.0999999999999996</c:v>
                </c:pt>
                <c:pt idx="537">
                  <c:v>4.0999999999999996</c:v>
                </c:pt>
                <c:pt idx="538">
                  <c:v>4.7</c:v>
                </c:pt>
                <c:pt idx="539">
                  <c:v>4.7</c:v>
                </c:pt>
                <c:pt idx="540">
                  <c:v>3.5</c:v>
                </c:pt>
                <c:pt idx="541">
                  <c:v>3.3</c:v>
                </c:pt>
                <c:pt idx="542">
                  <c:v>3.3</c:v>
                </c:pt>
                <c:pt idx="543">
                  <c:v>3.9</c:v>
                </c:pt>
                <c:pt idx="544">
                  <c:v>4.8</c:v>
                </c:pt>
                <c:pt idx="545">
                  <c:v>6.4</c:v>
                </c:pt>
                <c:pt idx="546">
                  <c:v>8.1</c:v>
                </c:pt>
                <c:pt idx="547">
                  <c:v>9.6999999999999993</c:v>
                </c:pt>
                <c:pt idx="548">
                  <c:v>11.8</c:v>
                </c:pt>
                <c:pt idx="549">
                  <c:v>11.7</c:v>
                </c:pt>
                <c:pt idx="550">
                  <c:v>13.8</c:v>
                </c:pt>
                <c:pt idx="551">
                  <c:v>15.6</c:v>
                </c:pt>
                <c:pt idx="552">
                  <c:v>19.600000000000001</c:v>
                </c:pt>
                <c:pt idx="553">
                  <c:v>20.5</c:v>
                </c:pt>
                <c:pt idx="554">
                  <c:v>19.3</c:v>
                </c:pt>
                <c:pt idx="555">
                  <c:v>17.899999999999999</c:v>
                </c:pt>
                <c:pt idx="556">
                  <c:v>16.2</c:v>
                </c:pt>
                <c:pt idx="557">
                  <c:v>15.4</c:v>
                </c:pt>
                <c:pt idx="558">
                  <c:v>14.1</c:v>
                </c:pt>
                <c:pt idx="559">
                  <c:v>13.2</c:v>
                </c:pt>
                <c:pt idx="560">
                  <c:v>13.1</c:v>
                </c:pt>
                <c:pt idx="561">
                  <c:v>12.9</c:v>
                </c:pt>
                <c:pt idx="562">
                  <c:v>13.8</c:v>
                </c:pt>
                <c:pt idx="563">
                  <c:v>14.1</c:v>
                </c:pt>
                <c:pt idx="564">
                  <c:v>14.1</c:v>
                </c:pt>
                <c:pt idx="565">
                  <c:v>13.3</c:v>
                </c:pt>
                <c:pt idx="566">
                  <c:v>10.7</c:v>
                </c:pt>
                <c:pt idx="567">
                  <c:v>9.4</c:v>
                </c:pt>
                <c:pt idx="568">
                  <c:v>9.3000000000000007</c:v>
                </c:pt>
                <c:pt idx="569">
                  <c:v>9.6</c:v>
                </c:pt>
                <c:pt idx="570">
                  <c:v>11.8</c:v>
                </c:pt>
                <c:pt idx="571">
                  <c:v>12.8</c:v>
                </c:pt>
                <c:pt idx="572">
                  <c:v>13.5</c:v>
                </c:pt>
                <c:pt idx="573">
                  <c:v>13.7</c:v>
                </c:pt>
                <c:pt idx="574">
                  <c:v>14.1</c:v>
                </c:pt>
                <c:pt idx="575">
                  <c:v>14.3</c:v>
                </c:pt>
                <c:pt idx="576">
                  <c:v>15</c:v>
                </c:pt>
                <c:pt idx="577">
                  <c:v>15.3</c:v>
                </c:pt>
                <c:pt idx="578">
                  <c:v>16.399999999999999</c:v>
                </c:pt>
                <c:pt idx="579">
                  <c:v>15.8</c:v>
                </c:pt>
                <c:pt idx="580">
                  <c:v>15.9</c:v>
                </c:pt>
                <c:pt idx="581">
                  <c:v>15.9</c:v>
                </c:pt>
                <c:pt idx="582">
                  <c:v>17.3</c:v>
                </c:pt>
                <c:pt idx="583">
                  <c:v>17.7</c:v>
                </c:pt>
                <c:pt idx="584">
                  <c:v>17.899999999999999</c:v>
                </c:pt>
                <c:pt idx="585">
                  <c:v>17.7</c:v>
                </c:pt>
                <c:pt idx="586">
                  <c:v>17.3</c:v>
                </c:pt>
                <c:pt idx="587">
                  <c:v>15.7</c:v>
                </c:pt>
                <c:pt idx="588">
                  <c:v>14.7</c:v>
                </c:pt>
                <c:pt idx="589">
                  <c:v>10</c:v>
                </c:pt>
                <c:pt idx="590">
                  <c:v>6.4</c:v>
                </c:pt>
                <c:pt idx="591">
                  <c:v>6.4</c:v>
                </c:pt>
                <c:pt idx="592">
                  <c:v>6</c:v>
                </c:pt>
                <c:pt idx="593">
                  <c:v>12.1</c:v>
                </c:pt>
                <c:pt idx="594">
                  <c:v>14.2</c:v>
                </c:pt>
                <c:pt idx="595">
                  <c:v>20.3</c:v>
                </c:pt>
                <c:pt idx="596">
                  <c:v>21.7</c:v>
                </c:pt>
                <c:pt idx="597">
                  <c:v>22</c:v>
                </c:pt>
                <c:pt idx="598">
                  <c:v>21.8</c:v>
                </c:pt>
                <c:pt idx="599">
                  <c:v>19</c:v>
                </c:pt>
                <c:pt idx="600">
                  <c:v>17.600000000000001</c:v>
                </c:pt>
                <c:pt idx="601">
                  <c:v>14.1</c:v>
                </c:pt>
                <c:pt idx="602">
                  <c:v>14.1</c:v>
                </c:pt>
                <c:pt idx="603">
                  <c:v>14.1</c:v>
                </c:pt>
                <c:pt idx="604">
                  <c:v>14.3</c:v>
                </c:pt>
                <c:pt idx="605">
                  <c:v>14.4</c:v>
                </c:pt>
                <c:pt idx="606">
                  <c:v>13.7</c:v>
                </c:pt>
                <c:pt idx="607">
                  <c:v>12.9</c:v>
                </c:pt>
                <c:pt idx="608">
                  <c:v>12.3</c:v>
                </c:pt>
                <c:pt idx="609">
                  <c:v>12.2</c:v>
                </c:pt>
                <c:pt idx="610">
                  <c:v>12.3</c:v>
                </c:pt>
                <c:pt idx="611">
                  <c:v>13.9</c:v>
                </c:pt>
                <c:pt idx="612">
                  <c:v>16.100000000000001</c:v>
                </c:pt>
                <c:pt idx="613">
                  <c:v>17</c:v>
                </c:pt>
                <c:pt idx="614">
                  <c:v>17.7</c:v>
                </c:pt>
                <c:pt idx="615">
                  <c:v>18.100000000000001</c:v>
                </c:pt>
                <c:pt idx="616">
                  <c:v>18.100000000000001</c:v>
                </c:pt>
                <c:pt idx="617">
                  <c:v>17.7</c:v>
                </c:pt>
                <c:pt idx="618">
                  <c:v>15.5</c:v>
                </c:pt>
                <c:pt idx="619">
                  <c:v>14.5</c:v>
                </c:pt>
                <c:pt idx="620">
                  <c:v>14.2</c:v>
                </c:pt>
                <c:pt idx="621">
                  <c:v>13.7</c:v>
                </c:pt>
                <c:pt idx="622">
                  <c:v>12.8</c:v>
                </c:pt>
                <c:pt idx="623">
                  <c:v>13</c:v>
                </c:pt>
                <c:pt idx="624">
                  <c:v>13.4</c:v>
                </c:pt>
                <c:pt idx="625">
                  <c:v>14.2</c:v>
                </c:pt>
                <c:pt idx="626">
                  <c:v>13.9</c:v>
                </c:pt>
                <c:pt idx="627">
                  <c:v>13.2</c:v>
                </c:pt>
                <c:pt idx="628">
                  <c:v>11.2</c:v>
                </c:pt>
                <c:pt idx="629">
                  <c:v>9.6</c:v>
                </c:pt>
                <c:pt idx="630">
                  <c:v>8.4</c:v>
                </c:pt>
                <c:pt idx="631">
                  <c:v>8.6999999999999993</c:v>
                </c:pt>
                <c:pt idx="632">
                  <c:v>10.5</c:v>
                </c:pt>
                <c:pt idx="633">
                  <c:v>11.7</c:v>
                </c:pt>
                <c:pt idx="634">
                  <c:v>11.8</c:v>
                </c:pt>
                <c:pt idx="635">
                  <c:v>12.4</c:v>
                </c:pt>
                <c:pt idx="636">
                  <c:v>12.9</c:v>
                </c:pt>
                <c:pt idx="637">
                  <c:v>14.2</c:v>
                </c:pt>
                <c:pt idx="638">
                  <c:v>15</c:v>
                </c:pt>
                <c:pt idx="639">
                  <c:v>15.5</c:v>
                </c:pt>
                <c:pt idx="640">
                  <c:v>15.5</c:v>
                </c:pt>
                <c:pt idx="641">
                  <c:v>15.5</c:v>
                </c:pt>
                <c:pt idx="642">
                  <c:v>16</c:v>
                </c:pt>
                <c:pt idx="643">
                  <c:v>16.899999999999999</c:v>
                </c:pt>
                <c:pt idx="644">
                  <c:v>16.3</c:v>
                </c:pt>
                <c:pt idx="645">
                  <c:v>16.100000000000001</c:v>
                </c:pt>
                <c:pt idx="646">
                  <c:v>16.2</c:v>
                </c:pt>
                <c:pt idx="647">
                  <c:v>14.9</c:v>
                </c:pt>
                <c:pt idx="648">
                  <c:v>13.7</c:v>
                </c:pt>
                <c:pt idx="649">
                  <c:v>12.9</c:v>
                </c:pt>
                <c:pt idx="650">
                  <c:v>13.5</c:v>
                </c:pt>
                <c:pt idx="651">
                  <c:v>14.3</c:v>
                </c:pt>
                <c:pt idx="652">
                  <c:v>14.9</c:v>
                </c:pt>
                <c:pt idx="653">
                  <c:v>14.6</c:v>
                </c:pt>
                <c:pt idx="654">
                  <c:v>14.1</c:v>
                </c:pt>
                <c:pt idx="655">
                  <c:v>13.5</c:v>
                </c:pt>
                <c:pt idx="656">
                  <c:v>12.8</c:v>
                </c:pt>
                <c:pt idx="657">
                  <c:v>11.3</c:v>
                </c:pt>
                <c:pt idx="658">
                  <c:v>10.9</c:v>
                </c:pt>
                <c:pt idx="659">
                  <c:v>10.3</c:v>
                </c:pt>
                <c:pt idx="660">
                  <c:v>11.1</c:v>
                </c:pt>
                <c:pt idx="661">
                  <c:v>12.3</c:v>
                </c:pt>
                <c:pt idx="662">
                  <c:v>12.5</c:v>
                </c:pt>
                <c:pt idx="663">
                  <c:v>12.2</c:v>
                </c:pt>
                <c:pt idx="664">
                  <c:v>13.4</c:v>
                </c:pt>
                <c:pt idx="665">
                  <c:v>14</c:v>
                </c:pt>
                <c:pt idx="666">
                  <c:v>14.3</c:v>
                </c:pt>
                <c:pt idx="667">
                  <c:v>14.3</c:v>
                </c:pt>
                <c:pt idx="668">
                  <c:v>13.7</c:v>
                </c:pt>
                <c:pt idx="669">
                  <c:v>14.6</c:v>
                </c:pt>
                <c:pt idx="670">
                  <c:v>16.5</c:v>
                </c:pt>
                <c:pt idx="671">
                  <c:v>17.3</c:v>
                </c:pt>
                <c:pt idx="672">
                  <c:v>16.100000000000001</c:v>
                </c:pt>
                <c:pt idx="673">
                  <c:v>14.3</c:v>
                </c:pt>
                <c:pt idx="674">
                  <c:v>13.6</c:v>
                </c:pt>
                <c:pt idx="675">
                  <c:v>13.1</c:v>
                </c:pt>
                <c:pt idx="676">
                  <c:v>12</c:v>
                </c:pt>
                <c:pt idx="677">
                  <c:v>10.6</c:v>
                </c:pt>
                <c:pt idx="678">
                  <c:v>9.6</c:v>
                </c:pt>
                <c:pt idx="679">
                  <c:v>8.5</c:v>
                </c:pt>
                <c:pt idx="680">
                  <c:v>8.4</c:v>
                </c:pt>
                <c:pt idx="681">
                  <c:v>9.5</c:v>
                </c:pt>
                <c:pt idx="682">
                  <c:v>10.3</c:v>
                </c:pt>
                <c:pt idx="683">
                  <c:v>11.8</c:v>
                </c:pt>
                <c:pt idx="684">
                  <c:v>14.7</c:v>
                </c:pt>
                <c:pt idx="685">
                  <c:v>15.4</c:v>
                </c:pt>
                <c:pt idx="686">
                  <c:v>15.4</c:v>
                </c:pt>
                <c:pt idx="687">
                  <c:v>15.1</c:v>
                </c:pt>
                <c:pt idx="688">
                  <c:v>14.3</c:v>
                </c:pt>
                <c:pt idx="689">
                  <c:v>13.7</c:v>
                </c:pt>
                <c:pt idx="690">
                  <c:v>13.3</c:v>
                </c:pt>
                <c:pt idx="691">
                  <c:v>13.2</c:v>
                </c:pt>
                <c:pt idx="692">
                  <c:v>13.1</c:v>
                </c:pt>
                <c:pt idx="693">
                  <c:v>12.5</c:v>
                </c:pt>
                <c:pt idx="694">
                  <c:v>11.7</c:v>
                </c:pt>
                <c:pt idx="695">
                  <c:v>11.5</c:v>
                </c:pt>
                <c:pt idx="696">
                  <c:v>11.1</c:v>
                </c:pt>
                <c:pt idx="697">
                  <c:v>9.6</c:v>
                </c:pt>
                <c:pt idx="698">
                  <c:v>8.3000000000000007</c:v>
                </c:pt>
                <c:pt idx="699">
                  <c:v>6.8</c:v>
                </c:pt>
                <c:pt idx="700">
                  <c:v>6.3</c:v>
                </c:pt>
                <c:pt idx="701">
                  <c:v>6.1</c:v>
                </c:pt>
                <c:pt idx="702">
                  <c:v>6.1</c:v>
                </c:pt>
                <c:pt idx="703">
                  <c:v>6.1</c:v>
                </c:pt>
                <c:pt idx="704">
                  <c:v>6.3</c:v>
                </c:pt>
                <c:pt idx="705">
                  <c:v>7.1</c:v>
                </c:pt>
                <c:pt idx="706">
                  <c:v>8</c:v>
                </c:pt>
                <c:pt idx="707">
                  <c:v>8.6</c:v>
                </c:pt>
                <c:pt idx="708">
                  <c:v>9.5</c:v>
                </c:pt>
                <c:pt idx="709">
                  <c:v>10.1</c:v>
                </c:pt>
                <c:pt idx="710">
                  <c:v>10.199999999999999</c:v>
                </c:pt>
                <c:pt idx="711">
                  <c:v>10.1</c:v>
                </c:pt>
                <c:pt idx="712">
                  <c:v>9.6999999999999993</c:v>
                </c:pt>
                <c:pt idx="713">
                  <c:v>9.1</c:v>
                </c:pt>
                <c:pt idx="714">
                  <c:v>8.4</c:v>
                </c:pt>
                <c:pt idx="715">
                  <c:v>11.5</c:v>
                </c:pt>
                <c:pt idx="716">
                  <c:v>17.100000000000001</c:v>
                </c:pt>
                <c:pt idx="717">
                  <c:v>17.899999999999999</c:v>
                </c:pt>
                <c:pt idx="718">
                  <c:v>18.600000000000001</c:v>
                </c:pt>
                <c:pt idx="719">
                  <c:v>19.8</c:v>
                </c:pt>
                <c:pt idx="720">
                  <c:v>20.100000000000001</c:v>
                </c:pt>
                <c:pt idx="721">
                  <c:v>19.100000000000001</c:v>
                </c:pt>
                <c:pt idx="722">
                  <c:v>17</c:v>
                </c:pt>
                <c:pt idx="723">
                  <c:v>15.3</c:v>
                </c:pt>
                <c:pt idx="724">
                  <c:v>13.8</c:v>
                </c:pt>
                <c:pt idx="725">
                  <c:v>12.2</c:v>
                </c:pt>
                <c:pt idx="726">
                  <c:v>11.8</c:v>
                </c:pt>
                <c:pt idx="727">
                  <c:v>11.6</c:v>
                </c:pt>
                <c:pt idx="728">
                  <c:v>10.3</c:v>
                </c:pt>
                <c:pt idx="729">
                  <c:v>7.2</c:v>
                </c:pt>
                <c:pt idx="730">
                  <c:v>7</c:v>
                </c:pt>
                <c:pt idx="731">
                  <c:v>7.6</c:v>
                </c:pt>
                <c:pt idx="732">
                  <c:v>9.8000000000000007</c:v>
                </c:pt>
                <c:pt idx="733">
                  <c:v>11.5</c:v>
                </c:pt>
                <c:pt idx="734">
                  <c:v>13.9</c:v>
                </c:pt>
                <c:pt idx="735">
                  <c:v>15.4</c:v>
                </c:pt>
                <c:pt idx="736">
                  <c:v>16.3</c:v>
                </c:pt>
                <c:pt idx="737">
                  <c:v>16.2</c:v>
                </c:pt>
                <c:pt idx="738">
                  <c:v>14.9</c:v>
                </c:pt>
                <c:pt idx="739">
                  <c:v>12.3</c:v>
                </c:pt>
                <c:pt idx="740">
                  <c:v>9</c:v>
                </c:pt>
                <c:pt idx="741">
                  <c:v>7.9</c:v>
                </c:pt>
                <c:pt idx="742">
                  <c:v>7.5</c:v>
                </c:pt>
                <c:pt idx="743">
                  <c:v>8.1</c:v>
                </c:pt>
                <c:pt idx="744">
                  <c:v>10.199999999999999</c:v>
                </c:pt>
                <c:pt idx="745">
                  <c:v>11.2</c:v>
                </c:pt>
                <c:pt idx="746">
                  <c:v>10.7</c:v>
                </c:pt>
                <c:pt idx="747">
                  <c:v>10</c:v>
                </c:pt>
                <c:pt idx="748">
                  <c:v>7.5</c:v>
                </c:pt>
                <c:pt idx="749">
                  <c:v>7</c:v>
                </c:pt>
                <c:pt idx="750">
                  <c:v>6.9</c:v>
                </c:pt>
                <c:pt idx="751">
                  <c:v>8</c:v>
                </c:pt>
                <c:pt idx="752">
                  <c:v>8</c:v>
                </c:pt>
                <c:pt idx="753">
                  <c:v>7.9</c:v>
                </c:pt>
                <c:pt idx="754">
                  <c:v>7.7</c:v>
                </c:pt>
                <c:pt idx="755">
                  <c:v>8.1999999999999993</c:v>
                </c:pt>
                <c:pt idx="756">
                  <c:v>8.1999999999999993</c:v>
                </c:pt>
                <c:pt idx="757">
                  <c:v>8.9</c:v>
                </c:pt>
                <c:pt idx="758">
                  <c:v>10.1</c:v>
                </c:pt>
                <c:pt idx="759">
                  <c:v>11.1</c:v>
                </c:pt>
                <c:pt idx="760">
                  <c:v>11.1</c:v>
                </c:pt>
                <c:pt idx="761">
                  <c:v>11.5</c:v>
                </c:pt>
                <c:pt idx="762">
                  <c:v>11.6</c:v>
                </c:pt>
                <c:pt idx="763">
                  <c:v>10.7</c:v>
                </c:pt>
                <c:pt idx="764">
                  <c:v>10.4</c:v>
                </c:pt>
                <c:pt idx="765">
                  <c:v>8.8000000000000007</c:v>
                </c:pt>
                <c:pt idx="766">
                  <c:v>7.8</c:v>
                </c:pt>
                <c:pt idx="767">
                  <c:v>7.3</c:v>
                </c:pt>
                <c:pt idx="768">
                  <c:v>6.8</c:v>
                </c:pt>
                <c:pt idx="769">
                  <c:v>6.6</c:v>
                </c:pt>
                <c:pt idx="770">
                  <c:v>6.4</c:v>
                </c:pt>
                <c:pt idx="771">
                  <c:v>6.4</c:v>
                </c:pt>
                <c:pt idx="772">
                  <c:v>6.3</c:v>
                </c:pt>
                <c:pt idx="773">
                  <c:v>6.1</c:v>
                </c:pt>
                <c:pt idx="774">
                  <c:v>4.5999999999999996</c:v>
                </c:pt>
                <c:pt idx="775">
                  <c:v>4.5</c:v>
                </c:pt>
                <c:pt idx="776">
                  <c:v>5.6</c:v>
                </c:pt>
                <c:pt idx="777">
                  <c:v>5.9</c:v>
                </c:pt>
                <c:pt idx="778">
                  <c:v>6.7</c:v>
                </c:pt>
                <c:pt idx="779">
                  <c:v>6.6</c:v>
                </c:pt>
                <c:pt idx="780">
                  <c:v>6.8</c:v>
                </c:pt>
                <c:pt idx="781">
                  <c:v>7.7</c:v>
                </c:pt>
                <c:pt idx="782">
                  <c:v>7.3</c:v>
                </c:pt>
                <c:pt idx="783">
                  <c:v>5.8</c:v>
                </c:pt>
                <c:pt idx="784">
                  <c:v>3.3</c:v>
                </c:pt>
                <c:pt idx="785">
                  <c:v>2.9</c:v>
                </c:pt>
                <c:pt idx="786">
                  <c:v>2.5</c:v>
                </c:pt>
                <c:pt idx="787">
                  <c:v>2.2999999999999998</c:v>
                </c:pt>
                <c:pt idx="788">
                  <c:v>2.2999999999999998</c:v>
                </c:pt>
                <c:pt idx="789">
                  <c:v>2.5</c:v>
                </c:pt>
                <c:pt idx="790">
                  <c:v>2.6</c:v>
                </c:pt>
                <c:pt idx="791">
                  <c:v>2.6</c:v>
                </c:pt>
                <c:pt idx="792">
                  <c:v>2.7</c:v>
                </c:pt>
                <c:pt idx="793">
                  <c:v>4.0999999999999996</c:v>
                </c:pt>
                <c:pt idx="794">
                  <c:v>4.2</c:v>
                </c:pt>
                <c:pt idx="795">
                  <c:v>4.5</c:v>
                </c:pt>
                <c:pt idx="796">
                  <c:v>5.0999999999999996</c:v>
                </c:pt>
                <c:pt idx="797">
                  <c:v>5.0999999999999996</c:v>
                </c:pt>
                <c:pt idx="798">
                  <c:v>5.0999999999999996</c:v>
                </c:pt>
                <c:pt idx="799">
                  <c:v>5.2</c:v>
                </c:pt>
                <c:pt idx="800">
                  <c:v>5.4</c:v>
                </c:pt>
                <c:pt idx="801">
                  <c:v>5.5</c:v>
                </c:pt>
                <c:pt idx="802">
                  <c:v>5.7</c:v>
                </c:pt>
                <c:pt idx="803">
                  <c:v>5.3</c:v>
                </c:pt>
                <c:pt idx="804">
                  <c:v>5.4</c:v>
                </c:pt>
                <c:pt idx="805">
                  <c:v>5.6</c:v>
                </c:pt>
                <c:pt idx="806">
                  <c:v>4.8</c:v>
                </c:pt>
                <c:pt idx="807">
                  <c:v>4.7</c:v>
                </c:pt>
                <c:pt idx="808">
                  <c:v>5.5</c:v>
                </c:pt>
                <c:pt idx="809">
                  <c:v>5.8</c:v>
                </c:pt>
                <c:pt idx="810">
                  <c:v>10.1</c:v>
                </c:pt>
                <c:pt idx="811">
                  <c:v>8.6999999999999993</c:v>
                </c:pt>
                <c:pt idx="812">
                  <c:v>9.1</c:v>
                </c:pt>
                <c:pt idx="813">
                  <c:v>7.3</c:v>
                </c:pt>
                <c:pt idx="814">
                  <c:v>6.8</c:v>
                </c:pt>
                <c:pt idx="815">
                  <c:v>6.4</c:v>
                </c:pt>
                <c:pt idx="816">
                  <c:v>7.3</c:v>
                </c:pt>
                <c:pt idx="817">
                  <c:v>9.6</c:v>
                </c:pt>
                <c:pt idx="818">
                  <c:v>10.1</c:v>
                </c:pt>
                <c:pt idx="819">
                  <c:v>11.1</c:v>
                </c:pt>
                <c:pt idx="820">
                  <c:v>10.1</c:v>
                </c:pt>
                <c:pt idx="821">
                  <c:v>9.1</c:v>
                </c:pt>
                <c:pt idx="822">
                  <c:v>9.1</c:v>
                </c:pt>
                <c:pt idx="823">
                  <c:v>8.6999999999999993</c:v>
                </c:pt>
                <c:pt idx="824">
                  <c:v>9</c:v>
                </c:pt>
                <c:pt idx="825">
                  <c:v>9</c:v>
                </c:pt>
                <c:pt idx="826">
                  <c:v>10.1</c:v>
                </c:pt>
                <c:pt idx="827">
                  <c:v>10.7</c:v>
                </c:pt>
                <c:pt idx="828">
                  <c:v>11.6</c:v>
                </c:pt>
                <c:pt idx="829">
                  <c:v>13.7</c:v>
                </c:pt>
                <c:pt idx="830">
                  <c:v>14</c:v>
                </c:pt>
                <c:pt idx="831">
                  <c:v>15.9</c:v>
                </c:pt>
                <c:pt idx="832">
                  <c:v>15.7</c:v>
                </c:pt>
                <c:pt idx="833">
                  <c:v>14</c:v>
                </c:pt>
                <c:pt idx="834">
                  <c:v>13.3</c:v>
                </c:pt>
                <c:pt idx="835">
                  <c:v>13.1</c:v>
                </c:pt>
                <c:pt idx="836">
                  <c:v>12.1</c:v>
                </c:pt>
                <c:pt idx="837">
                  <c:v>12.9</c:v>
                </c:pt>
                <c:pt idx="838">
                  <c:v>12.8</c:v>
                </c:pt>
                <c:pt idx="839">
                  <c:v>13.9</c:v>
                </c:pt>
                <c:pt idx="840">
                  <c:v>14.3</c:v>
                </c:pt>
                <c:pt idx="841">
                  <c:v>15.2</c:v>
                </c:pt>
                <c:pt idx="842">
                  <c:v>16.2</c:v>
                </c:pt>
                <c:pt idx="843">
                  <c:v>15.2</c:v>
                </c:pt>
                <c:pt idx="844">
                  <c:v>12.2</c:v>
                </c:pt>
                <c:pt idx="845">
                  <c:v>9.8000000000000007</c:v>
                </c:pt>
                <c:pt idx="846">
                  <c:v>9.8000000000000007</c:v>
                </c:pt>
                <c:pt idx="847">
                  <c:v>9.5</c:v>
                </c:pt>
                <c:pt idx="848">
                  <c:v>11.4</c:v>
                </c:pt>
                <c:pt idx="849">
                  <c:v>13.6</c:v>
                </c:pt>
                <c:pt idx="850">
                  <c:v>17</c:v>
                </c:pt>
                <c:pt idx="851">
                  <c:v>19.399999999999999</c:v>
                </c:pt>
                <c:pt idx="852">
                  <c:v>19.600000000000001</c:v>
                </c:pt>
                <c:pt idx="853">
                  <c:v>18.899999999999999</c:v>
                </c:pt>
                <c:pt idx="854">
                  <c:v>14.6</c:v>
                </c:pt>
                <c:pt idx="855">
                  <c:v>11.7</c:v>
                </c:pt>
                <c:pt idx="856">
                  <c:v>9.8000000000000007</c:v>
                </c:pt>
                <c:pt idx="857">
                  <c:v>7.8</c:v>
                </c:pt>
                <c:pt idx="858">
                  <c:v>9.6999999999999993</c:v>
                </c:pt>
                <c:pt idx="859">
                  <c:v>11.4</c:v>
                </c:pt>
                <c:pt idx="860">
                  <c:v>14</c:v>
                </c:pt>
                <c:pt idx="861">
                  <c:v>15.7</c:v>
                </c:pt>
                <c:pt idx="862">
                  <c:v>16.8</c:v>
                </c:pt>
                <c:pt idx="863">
                  <c:v>17</c:v>
                </c:pt>
                <c:pt idx="864">
                  <c:v>16.899999999999999</c:v>
                </c:pt>
                <c:pt idx="865">
                  <c:v>16.600000000000001</c:v>
                </c:pt>
                <c:pt idx="866">
                  <c:v>15.2</c:v>
                </c:pt>
                <c:pt idx="867">
                  <c:v>13.4</c:v>
                </c:pt>
                <c:pt idx="868">
                  <c:v>12.7</c:v>
                </c:pt>
                <c:pt idx="869">
                  <c:v>12.7</c:v>
                </c:pt>
                <c:pt idx="870">
                  <c:v>12.8</c:v>
                </c:pt>
                <c:pt idx="871">
                  <c:v>13.9</c:v>
                </c:pt>
                <c:pt idx="872">
                  <c:v>14.8</c:v>
                </c:pt>
                <c:pt idx="873">
                  <c:v>15</c:v>
                </c:pt>
                <c:pt idx="874">
                  <c:v>15.1</c:v>
                </c:pt>
                <c:pt idx="875">
                  <c:v>13.6</c:v>
                </c:pt>
                <c:pt idx="876">
                  <c:v>13.1</c:v>
                </c:pt>
                <c:pt idx="877">
                  <c:v>12.8</c:v>
                </c:pt>
                <c:pt idx="878">
                  <c:v>10.9</c:v>
                </c:pt>
                <c:pt idx="879">
                  <c:v>8.5</c:v>
                </c:pt>
                <c:pt idx="880">
                  <c:v>7.4</c:v>
                </c:pt>
                <c:pt idx="881">
                  <c:v>7.9</c:v>
                </c:pt>
                <c:pt idx="882">
                  <c:v>8.6999999999999993</c:v>
                </c:pt>
                <c:pt idx="883">
                  <c:v>12.5</c:v>
                </c:pt>
                <c:pt idx="884">
                  <c:v>14.4</c:v>
                </c:pt>
                <c:pt idx="885">
                  <c:v>18.899999999999999</c:v>
                </c:pt>
                <c:pt idx="886">
                  <c:v>19.899999999999999</c:v>
                </c:pt>
                <c:pt idx="887">
                  <c:v>20.5</c:v>
                </c:pt>
                <c:pt idx="888">
                  <c:v>21.2</c:v>
                </c:pt>
                <c:pt idx="889">
                  <c:v>21.3</c:v>
                </c:pt>
                <c:pt idx="890">
                  <c:v>20.2</c:v>
                </c:pt>
                <c:pt idx="891">
                  <c:v>19.100000000000001</c:v>
                </c:pt>
                <c:pt idx="892">
                  <c:v>17.600000000000001</c:v>
                </c:pt>
                <c:pt idx="893">
                  <c:v>16</c:v>
                </c:pt>
                <c:pt idx="894">
                  <c:v>15.3</c:v>
                </c:pt>
                <c:pt idx="895">
                  <c:v>14.8</c:v>
                </c:pt>
                <c:pt idx="896">
                  <c:v>14.7</c:v>
                </c:pt>
                <c:pt idx="897">
                  <c:v>15.3</c:v>
                </c:pt>
                <c:pt idx="898">
                  <c:v>16.3</c:v>
                </c:pt>
                <c:pt idx="899">
                  <c:v>16.3</c:v>
                </c:pt>
                <c:pt idx="900">
                  <c:v>16</c:v>
                </c:pt>
                <c:pt idx="901">
                  <c:v>15.4</c:v>
                </c:pt>
                <c:pt idx="902">
                  <c:v>16.100000000000001</c:v>
                </c:pt>
                <c:pt idx="903">
                  <c:v>17.100000000000001</c:v>
                </c:pt>
                <c:pt idx="904">
                  <c:v>15.6</c:v>
                </c:pt>
                <c:pt idx="905">
                  <c:v>13.4</c:v>
                </c:pt>
                <c:pt idx="906">
                  <c:v>11.6</c:v>
                </c:pt>
                <c:pt idx="907">
                  <c:v>10.1</c:v>
                </c:pt>
                <c:pt idx="908">
                  <c:v>10</c:v>
                </c:pt>
                <c:pt idx="909">
                  <c:v>9.6999999999999993</c:v>
                </c:pt>
                <c:pt idx="910">
                  <c:v>10</c:v>
                </c:pt>
                <c:pt idx="911">
                  <c:v>11.4</c:v>
                </c:pt>
                <c:pt idx="912">
                  <c:v>11.8</c:v>
                </c:pt>
                <c:pt idx="913">
                  <c:v>11.9</c:v>
                </c:pt>
                <c:pt idx="914">
                  <c:v>12.5</c:v>
                </c:pt>
                <c:pt idx="915">
                  <c:v>12.9</c:v>
                </c:pt>
                <c:pt idx="916">
                  <c:v>12.8</c:v>
                </c:pt>
                <c:pt idx="917">
                  <c:v>12.1</c:v>
                </c:pt>
                <c:pt idx="918">
                  <c:v>10.3</c:v>
                </c:pt>
                <c:pt idx="919">
                  <c:v>8.9</c:v>
                </c:pt>
                <c:pt idx="920">
                  <c:v>7.2</c:v>
                </c:pt>
                <c:pt idx="921">
                  <c:v>8.3000000000000007</c:v>
                </c:pt>
                <c:pt idx="922">
                  <c:v>11.5</c:v>
                </c:pt>
                <c:pt idx="923">
                  <c:v>14.1</c:v>
                </c:pt>
                <c:pt idx="924">
                  <c:v>15.7</c:v>
                </c:pt>
                <c:pt idx="925">
                  <c:v>15.9</c:v>
                </c:pt>
                <c:pt idx="926">
                  <c:v>15.9</c:v>
                </c:pt>
                <c:pt idx="927">
                  <c:v>15.9</c:v>
                </c:pt>
                <c:pt idx="928">
                  <c:v>15.5</c:v>
                </c:pt>
                <c:pt idx="929">
                  <c:v>15</c:v>
                </c:pt>
                <c:pt idx="930">
                  <c:v>13.9</c:v>
                </c:pt>
                <c:pt idx="931">
                  <c:v>12.7</c:v>
                </c:pt>
                <c:pt idx="932">
                  <c:v>12.1</c:v>
                </c:pt>
                <c:pt idx="933">
                  <c:v>12</c:v>
                </c:pt>
                <c:pt idx="934">
                  <c:v>12</c:v>
                </c:pt>
                <c:pt idx="935">
                  <c:v>11.6</c:v>
                </c:pt>
                <c:pt idx="936">
                  <c:v>10.7</c:v>
                </c:pt>
                <c:pt idx="937">
                  <c:v>10.3</c:v>
                </c:pt>
                <c:pt idx="938">
                  <c:v>11.2</c:v>
                </c:pt>
                <c:pt idx="939">
                  <c:v>12.5</c:v>
                </c:pt>
                <c:pt idx="940">
                  <c:v>13.1</c:v>
                </c:pt>
                <c:pt idx="941">
                  <c:v>12.4</c:v>
                </c:pt>
                <c:pt idx="942">
                  <c:v>11.8</c:v>
                </c:pt>
                <c:pt idx="943">
                  <c:v>11.9</c:v>
                </c:pt>
                <c:pt idx="944">
                  <c:v>12.9</c:v>
                </c:pt>
                <c:pt idx="945">
                  <c:v>14.4</c:v>
                </c:pt>
                <c:pt idx="946">
                  <c:v>15</c:v>
                </c:pt>
                <c:pt idx="947">
                  <c:v>15</c:v>
                </c:pt>
                <c:pt idx="948">
                  <c:v>13.9</c:v>
                </c:pt>
                <c:pt idx="949">
                  <c:v>13.9</c:v>
                </c:pt>
                <c:pt idx="950">
                  <c:v>12.7</c:v>
                </c:pt>
                <c:pt idx="951">
                  <c:v>9.3000000000000007</c:v>
                </c:pt>
                <c:pt idx="952">
                  <c:v>8.6</c:v>
                </c:pt>
                <c:pt idx="953">
                  <c:v>8.9</c:v>
                </c:pt>
                <c:pt idx="954">
                  <c:v>9.4</c:v>
                </c:pt>
                <c:pt idx="955">
                  <c:v>8.8000000000000007</c:v>
                </c:pt>
                <c:pt idx="956">
                  <c:v>8.4</c:v>
                </c:pt>
                <c:pt idx="957">
                  <c:v>8.5</c:v>
                </c:pt>
                <c:pt idx="958">
                  <c:v>8.1999999999999993</c:v>
                </c:pt>
                <c:pt idx="959">
                  <c:v>7.7</c:v>
                </c:pt>
                <c:pt idx="960">
                  <c:v>7.4</c:v>
                </c:pt>
                <c:pt idx="961">
                  <c:v>6.3</c:v>
                </c:pt>
                <c:pt idx="962">
                  <c:v>4.9000000000000004</c:v>
                </c:pt>
                <c:pt idx="963">
                  <c:v>3.9</c:v>
                </c:pt>
                <c:pt idx="964">
                  <c:v>3.3</c:v>
                </c:pt>
                <c:pt idx="965">
                  <c:v>3.1</c:v>
                </c:pt>
                <c:pt idx="966">
                  <c:v>3.9</c:v>
                </c:pt>
                <c:pt idx="967">
                  <c:v>3.6</c:v>
                </c:pt>
                <c:pt idx="968">
                  <c:v>3.2</c:v>
                </c:pt>
                <c:pt idx="969">
                  <c:v>2.5</c:v>
                </c:pt>
                <c:pt idx="970">
                  <c:v>2.6</c:v>
                </c:pt>
                <c:pt idx="971">
                  <c:v>2.8</c:v>
                </c:pt>
                <c:pt idx="972">
                  <c:v>4.2</c:v>
                </c:pt>
                <c:pt idx="973">
                  <c:v>5.2</c:v>
                </c:pt>
                <c:pt idx="974">
                  <c:v>6.8</c:v>
                </c:pt>
                <c:pt idx="975">
                  <c:v>9.3000000000000007</c:v>
                </c:pt>
                <c:pt idx="976">
                  <c:v>11.1</c:v>
                </c:pt>
                <c:pt idx="977">
                  <c:v>12.3</c:v>
                </c:pt>
                <c:pt idx="978">
                  <c:v>13</c:v>
                </c:pt>
                <c:pt idx="979">
                  <c:v>12.9</c:v>
                </c:pt>
                <c:pt idx="980">
                  <c:v>11.7</c:v>
                </c:pt>
                <c:pt idx="981">
                  <c:v>11.4</c:v>
                </c:pt>
                <c:pt idx="982">
                  <c:v>9.1</c:v>
                </c:pt>
                <c:pt idx="983">
                  <c:v>6.4</c:v>
                </c:pt>
                <c:pt idx="984">
                  <c:v>5.2</c:v>
                </c:pt>
                <c:pt idx="985">
                  <c:v>5</c:v>
                </c:pt>
                <c:pt idx="986">
                  <c:v>3</c:v>
                </c:pt>
                <c:pt idx="987">
                  <c:v>2.6</c:v>
                </c:pt>
                <c:pt idx="988">
                  <c:v>2.2999999999999998</c:v>
                </c:pt>
                <c:pt idx="989">
                  <c:v>3.3</c:v>
                </c:pt>
                <c:pt idx="990">
                  <c:v>3.6</c:v>
                </c:pt>
                <c:pt idx="991">
                  <c:v>3.9</c:v>
                </c:pt>
                <c:pt idx="992">
                  <c:v>4.0999999999999996</c:v>
                </c:pt>
                <c:pt idx="993">
                  <c:v>5.5</c:v>
                </c:pt>
                <c:pt idx="994">
                  <c:v>5.5</c:v>
                </c:pt>
                <c:pt idx="995">
                  <c:v>5.6</c:v>
                </c:pt>
                <c:pt idx="996">
                  <c:v>5.6</c:v>
                </c:pt>
                <c:pt idx="997">
                  <c:v>6.1</c:v>
                </c:pt>
                <c:pt idx="998">
                  <c:v>6</c:v>
                </c:pt>
                <c:pt idx="999">
                  <c:v>5.7</c:v>
                </c:pt>
                <c:pt idx="1000">
                  <c:v>4.8</c:v>
                </c:pt>
                <c:pt idx="1001">
                  <c:v>4.5999999999999996</c:v>
                </c:pt>
                <c:pt idx="1002">
                  <c:v>4.5</c:v>
                </c:pt>
                <c:pt idx="1003">
                  <c:v>4.4000000000000004</c:v>
                </c:pt>
                <c:pt idx="1004">
                  <c:v>4</c:v>
                </c:pt>
                <c:pt idx="1005">
                  <c:v>4</c:v>
                </c:pt>
                <c:pt idx="1006">
                  <c:v>4.5999999999999996</c:v>
                </c:pt>
                <c:pt idx="1007">
                  <c:v>5.4</c:v>
                </c:pt>
                <c:pt idx="1008">
                  <c:v>5.4</c:v>
                </c:pt>
                <c:pt idx="1009">
                  <c:v>5.2</c:v>
                </c:pt>
                <c:pt idx="1010">
                  <c:v>4.7</c:v>
                </c:pt>
                <c:pt idx="1011">
                  <c:v>4.8</c:v>
                </c:pt>
                <c:pt idx="1012">
                  <c:v>5.6</c:v>
                </c:pt>
                <c:pt idx="1013">
                  <c:v>5.7</c:v>
                </c:pt>
                <c:pt idx="1014">
                  <c:v>5.3</c:v>
                </c:pt>
                <c:pt idx="1015">
                  <c:v>4.0999999999999996</c:v>
                </c:pt>
                <c:pt idx="1016">
                  <c:v>4.3</c:v>
                </c:pt>
                <c:pt idx="1017">
                  <c:v>4.0999999999999996</c:v>
                </c:pt>
                <c:pt idx="1018">
                  <c:v>3.2</c:v>
                </c:pt>
                <c:pt idx="1019">
                  <c:v>2.7</c:v>
                </c:pt>
                <c:pt idx="1020">
                  <c:v>2.9</c:v>
                </c:pt>
                <c:pt idx="1021">
                  <c:v>3.4</c:v>
                </c:pt>
                <c:pt idx="1022">
                  <c:v>4</c:v>
                </c:pt>
                <c:pt idx="1023">
                  <c:v>4.7</c:v>
                </c:pt>
                <c:pt idx="1024">
                  <c:v>4.8</c:v>
                </c:pt>
                <c:pt idx="1025">
                  <c:v>4.3</c:v>
                </c:pt>
                <c:pt idx="1026">
                  <c:v>3.9</c:v>
                </c:pt>
                <c:pt idx="1027">
                  <c:v>4.2</c:v>
                </c:pt>
                <c:pt idx="1028">
                  <c:v>4.8</c:v>
                </c:pt>
                <c:pt idx="1029">
                  <c:v>4.8</c:v>
                </c:pt>
                <c:pt idx="1030">
                  <c:v>4.0999999999999996</c:v>
                </c:pt>
                <c:pt idx="1031">
                  <c:v>3.5</c:v>
                </c:pt>
                <c:pt idx="1032">
                  <c:v>2.7</c:v>
                </c:pt>
                <c:pt idx="1033">
                  <c:v>1.8</c:v>
                </c:pt>
                <c:pt idx="1034">
                  <c:v>0.9</c:v>
                </c:pt>
                <c:pt idx="1035">
                  <c:v>-0.2</c:v>
                </c:pt>
                <c:pt idx="1036">
                  <c:v>-1.1000000000000001</c:v>
                </c:pt>
                <c:pt idx="1037">
                  <c:v>-1.2</c:v>
                </c:pt>
                <c:pt idx="1038">
                  <c:v>-1.2</c:v>
                </c:pt>
                <c:pt idx="1039">
                  <c:v>-0.3</c:v>
                </c:pt>
                <c:pt idx="1040">
                  <c:v>-0.1</c:v>
                </c:pt>
                <c:pt idx="1041">
                  <c:v>0.3</c:v>
                </c:pt>
                <c:pt idx="1042">
                  <c:v>0.3</c:v>
                </c:pt>
                <c:pt idx="1043">
                  <c:v>0.8</c:v>
                </c:pt>
                <c:pt idx="1044">
                  <c:v>1.3</c:v>
                </c:pt>
                <c:pt idx="1045">
                  <c:v>1.9</c:v>
                </c:pt>
                <c:pt idx="1046">
                  <c:v>2.1</c:v>
                </c:pt>
                <c:pt idx="1047">
                  <c:v>2</c:v>
                </c:pt>
                <c:pt idx="1048">
                  <c:v>1.4</c:v>
                </c:pt>
                <c:pt idx="1049">
                  <c:v>1.1000000000000001</c:v>
                </c:pt>
                <c:pt idx="1050">
                  <c:v>0.8</c:v>
                </c:pt>
                <c:pt idx="1051">
                  <c:v>0.7</c:v>
                </c:pt>
                <c:pt idx="1052">
                  <c:v>1.1000000000000001</c:v>
                </c:pt>
                <c:pt idx="1053">
                  <c:v>1</c:v>
                </c:pt>
                <c:pt idx="1054">
                  <c:v>1.5</c:v>
                </c:pt>
                <c:pt idx="1055">
                  <c:v>1.5</c:v>
                </c:pt>
                <c:pt idx="1056">
                  <c:v>2.6</c:v>
                </c:pt>
                <c:pt idx="1057">
                  <c:v>3.6</c:v>
                </c:pt>
                <c:pt idx="1058">
                  <c:v>4.5</c:v>
                </c:pt>
                <c:pt idx="1059">
                  <c:v>4.8</c:v>
                </c:pt>
                <c:pt idx="1060">
                  <c:v>6.6</c:v>
                </c:pt>
                <c:pt idx="1061">
                  <c:v>7.2</c:v>
                </c:pt>
                <c:pt idx="1062">
                  <c:v>8.6</c:v>
                </c:pt>
                <c:pt idx="1063">
                  <c:v>10</c:v>
                </c:pt>
                <c:pt idx="1064">
                  <c:v>10.199999999999999</c:v>
                </c:pt>
                <c:pt idx="1065">
                  <c:v>10.199999999999999</c:v>
                </c:pt>
                <c:pt idx="1066">
                  <c:v>10</c:v>
                </c:pt>
                <c:pt idx="1067">
                  <c:v>9.6999999999999993</c:v>
                </c:pt>
                <c:pt idx="1068">
                  <c:v>9.1</c:v>
                </c:pt>
                <c:pt idx="1069">
                  <c:v>8.6</c:v>
                </c:pt>
                <c:pt idx="1070">
                  <c:v>8.5</c:v>
                </c:pt>
                <c:pt idx="1071">
                  <c:v>8.5</c:v>
                </c:pt>
                <c:pt idx="1072">
                  <c:v>8</c:v>
                </c:pt>
                <c:pt idx="1073">
                  <c:v>7.6</c:v>
                </c:pt>
                <c:pt idx="1074">
                  <c:v>7.5</c:v>
                </c:pt>
                <c:pt idx="1075">
                  <c:v>8</c:v>
                </c:pt>
                <c:pt idx="1076">
                  <c:v>8.6999999999999993</c:v>
                </c:pt>
                <c:pt idx="1077">
                  <c:v>8.9</c:v>
                </c:pt>
                <c:pt idx="1078">
                  <c:v>8.6</c:v>
                </c:pt>
                <c:pt idx="1079">
                  <c:v>8.6</c:v>
                </c:pt>
                <c:pt idx="1080">
                  <c:v>8.6</c:v>
                </c:pt>
                <c:pt idx="1081">
                  <c:v>8.1999999999999993</c:v>
                </c:pt>
                <c:pt idx="1082">
                  <c:v>8</c:v>
                </c:pt>
                <c:pt idx="1083">
                  <c:v>8.9</c:v>
                </c:pt>
                <c:pt idx="1084">
                  <c:v>9.6999999999999993</c:v>
                </c:pt>
                <c:pt idx="1085">
                  <c:v>11.8</c:v>
                </c:pt>
                <c:pt idx="1086">
                  <c:v>11.7</c:v>
                </c:pt>
                <c:pt idx="1087">
                  <c:v>11.6</c:v>
                </c:pt>
                <c:pt idx="1088">
                  <c:v>11.4</c:v>
                </c:pt>
                <c:pt idx="1089">
                  <c:v>11.7</c:v>
                </c:pt>
                <c:pt idx="1090">
                  <c:v>13.3</c:v>
                </c:pt>
                <c:pt idx="1091">
                  <c:v>14.1</c:v>
                </c:pt>
                <c:pt idx="1092">
                  <c:v>15</c:v>
                </c:pt>
                <c:pt idx="1093">
                  <c:v>15.2</c:v>
                </c:pt>
                <c:pt idx="1094">
                  <c:v>15.2</c:v>
                </c:pt>
                <c:pt idx="1095">
                  <c:v>15</c:v>
                </c:pt>
                <c:pt idx="1096">
                  <c:v>11</c:v>
                </c:pt>
                <c:pt idx="1097">
                  <c:v>10.6</c:v>
                </c:pt>
                <c:pt idx="1098">
                  <c:v>9.6999999999999993</c:v>
                </c:pt>
                <c:pt idx="1099">
                  <c:v>9.1999999999999993</c:v>
                </c:pt>
                <c:pt idx="1100">
                  <c:v>9.5</c:v>
                </c:pt>
                <c:pt idx="1101">
                  <c:v>10.199999999999999</c:v>
                </c:pt>
                <c:pt idx="1102">
                  <c:v>13.6</c:v>
                </c:pt>
                <c:pt idx="1103">
                  <c:v>14.2</c:v>
                </c:pt>
                <c:pt idx="1104">
                  <c:v>15</c:v>
                </c:pt>
                <c:pt idx="1105">
                  <c:v>16</c:v>
                </c:pt>
                <c:pt idx="1106">
                  <c:v>16</c:v>
                </c:pt>
                <c:pt idx="1107">
                  <c:v>16</c:v>
                </c:pt>
                <c:pt idx="1108">
                  <c:v>16</c:v>
                </c:pt>
                <c:pt idx="1109">
                  <c:v>15.7</c:v>
                </c:pt>
                <c:pt idx="1110">
                  <c:v>15.8</c:v>
                </c:pt>
                <c:pt idx="1111">
                  <c:v>15.3</c:v>
                </c:pt>
                <c:pt idx="1112">
                  <c:v>15.3</c:v>
                </c:pt>
                <c:pt idx="1113">
                  <c:v>15.3</c:v>
                </c:pt>
                <c:pt idx="1114">
                  <c:v>14.8</c:v>
                </c:pt>
                <c:pt idx="1115">
                  <c:v>15</c:v>
                </c:pt>
                <c:pt idx="1116">
                  <c:v>15.5</c:v>
                </c:pt>
                <c:pt idx="1117">
                  <c:v>14.9</c:v>
                </c:pt>
                <c:pt idx="1118">
                  <c:v>14</c:v>
                </c:pt>
                <c:pt idx="1119">
                  <c:v>13.3</c:v>
                </c:pt>
                <c:pt idx="1120">
                  <c:v>12.9</c:v>
                </c:pt>
                <c:pt idx="1121">
                  <c:v>12.9</c:v>
                </c:pt>
                <c:pt idx="1122">
                  <c:v>12.9</c:v>
                </c:pt>
                <c:pt idx="1123">
                  <c:v>12.6</c:v>
                </c:pt>
                <c:pt idx="1124">
                  <c:v>12.6</c:v>
                </c:pt>
                <c:pt idx="1125">
                  <c:v>12.7</c:v>
                </c:pt>
                <c:pt idx="1126">
                  <c:v>13.7</c:v>
                </c:pt>
                <c:pt idx="1127">
                  <c:v>14.8</c:v>
                </c:pt>
                <c:pt idx="1128">
                  <c:v>16.399999999999999</c:v>
                </c:pt>
                <c:pt idx="1129">
                  <c:v>17.7</c:v>
                </c:pt>
                <c:pt idx="1130">
                  <c:v>18.600000000000001</c:v>
                </c:pt>
                <c:pt idx="1131">
                  <c:v>18.3</c:v>
                </c:pt>
                <c:pt idx="1132">
                  <c:v>17</c:v>
                </c:pt>
                <c:pt idx="1133">
                  <c:v>15.7</c:v>
                </c:pt>
                <c:pt idx="1134">
                  <c:v>15.5</c:v>
                </c:pt>
                <c:pt idx="1135">
                  <c:v>15.5</c:v>
                </c:pt>
                <c:pt idx="1136">
                  <c:v>15.3</c:v>
                </c:pt>
                <c:pt idx="1137">
                  <c:v>14.6</c:v>
                </c:pt>
                <c:pt idx="1138">
                  <c:v>14.4</c:v>
                </c:pt>
                <c:pt idx="1139">
                  <c:v>15</c:v>
                </c:pt>
                <c:pt idx="1140">
                  <c:v>15.9</c:v>
                </c:pt>
                <c:pt idx="1141">
                  <c:v>16.600000000000001</c:v>
                </c:pt>
                <c:pt idx="1142">
                  <c:v>16.5</c:v>
                </c:pt>
                <c:pt idx="1143">
                  <c:v>16.2</c:v>
                </c:pt>
                <c:pt idx="1144">
                  <c:v>15.9</c:v>
                </c:pt>
                <c:pt idx="1145">
                  <c:v>15.3</c:v>
                </c:pt>
                <c:pt idx="1146">
                  <c:v>15.1</c:v>
                </c:pt>
                <c:pt idx="1147">
                  <c:v>15.9</c:v>
                </c:pt>
                <c:pt idx="1148">
                  <c:v>16.399999999999999</c:v>
                </c:pt>
                <c:pt idx="1149">
                  <c:v>15.3</c:v>
                </c:pt>
                <c:pt idx="1150">
                  <c:v>14.8</c:v>
                </c:pt>
                <c:pt idx="1151">
                  <c:v>15.8</c:v>
                </c:pt>
                <c:pt idx="1152">
                  <c:v>18.100000000000001</c:v>
                </c:pt>
                <c:pt idx="1153">
                  <c:v>19.399999999999999</c:v>
                </c:pt>
                <c:pt idx="1154">
                  <c:v>19.5</c:v>
                </c:pt>
                <c:pt idx="1155">
                  <c:v>18.399999999999999</c:v>
                </c:pt>
                <c:pt idx="1156">
                  <c:v>16.7</c:v>
                </c:pt>
                <c:pt idx="1157">
                  <c:v>15.3</c:v>
                </c:pt>
                <c:pt idx="1158">
                  <c:v>14.6</c:v>
                </c:pt>
                <c:pt idx="1159">
                  <c:v>14.4</c:v>
                </c:pt>
                <c:pt idx="1160">
                  <c:v>14.5</c:v>
                </c:pt>
                <c:pt idx="1161">
                  <c:v>16.899999999999999</c:v>
                </c:pt>
                <c:pt idx="1162">
                  <c:v>18.399999999999999</c:v>
                </c:pt>
                <c:pt idx="1163">
                  <c:v>19.5</c:v>
                </c:pt>
                <c:pt idx="1164">
                  <c:v>19.600000000000001</c:v>
                </c:pt>
                <c:pt idx="1165">
                  <c:v>18.5</c:v>
                </c:pt>
                <c:pt idx="1166">
                  <c:v>16.100000000000001</c:v>
                </c:pt>
                <c:pt idx="1167">
                  <c:v>12.7</c:v>
                </c:pt>
                <c:pt idx="1168">
                  <c:v>10.6</c:v>
                </c:pt>
                <c:pt idx="1169">
                  <c:v>9</c:v>
                </c:pt>
                <c:pt idx="1170">
                  <c:v>7.9</c:v>
                </c:pt>
                <c:pt idx="1171">
                  <c:v>7.6</c:v>
                </c:pt>
                <c:pt idx="1172">
                  <c:v>7.9</c:v>
                </c:pt>
                <c:pt idx="1173">
                  <c:v>10</c:v>
                </c:pt>
                <c:pt idx="1174">
                  <c:v>12.2</c:v>
                </c:pt>
                <c:pt idx="1175">
                  <c:v>13.4</c:v>
                </c:pt>
                <c:pt idx="1176">
                  <c:v>15.2</c:v>
                </c:pt>
                <c:pt idx="1177">
                  <c:v>18.3</c:v>
                </c:pt>
                <c:pt idx="1178">
                  <c:v>19.100000000000001</c:v>
                </c:pt>
                <c:pt idx="1179">
                  <c:v>19.5</c:v>
                </c:pt>
                <c:pt idx="1180">
                  <c:v>18.399999999999999</c:v>
                </c:pt>
                <c:pt idx="1181">
                  <c:v>17.5</c:v>
                </c:pt>
                <c:pt idx="1182">
                  <c:v>16.8</c:v>
                </c:pt>
                <c:pt idx="1183">
                  <c:v>14.8</c:v>
                </c:pt>
                <c:pt idx="1184">
                  <c:v>13.2</c:v>
                </c:pt>
                <c:pt idx="1185">
                  <c:v>11.8</c:v>
                </c:pt>
                <c:pt idx="1186">
                  <c:v>11.1</c:v>
                </c:pt>
                <c:pt idx="1187">
                  <c:v>11</c:v>
                </c:pt>
                <c:pt idx="1188">
                  <c:v>11.8</c:v>
                </c:pt>
                <c:pt idx="1189">
                  <c:v>12.7</c:v>
                </c:pt>
                <c:pt idx="1190">
                  <c:v>13.5</c:v>
                </c:pt>
                <c:pt idx="1191">
                  <c:v>14.3</c:v>
                </c:pt>
                <c:pt idx="1192">
                  <c:v>14.8</c:v>
                </c:pt>
                <c:pt idx="1193">
                  <c:v>14.9</c:v>
                </c:pt>
                <c:pt idx="1194">
                  <c:v>15.2</c:v>
                </c:pt>
                <c:pt idx="1195">
                  <c:v>14.7</c:v>
                </c:pt>
                <c:pt idx="1196">
                  <c:v>13.7</c:v>
                </c:pt>
                <c:pt idx="1197">
                  <c:v>11.2</c:v>
                </c:pt>
                <c:pt idx="1198">
                  <c:v>9.6999999999999993</c:v>
                </c:pt>
                <c:pt idx="1199">
                  <c:v>9</c:v>
                </c:pt>
                <c:pt idx="1200">
                  <c:v>9</c:v>
                </c:pt>
                <c:pt idx="1201">
                  <c:v>8.1999999999999993</c:v>
                </c:pt>
                <c:pt idx="1202">
                  <c:v>8.1</c:v>
                </c:pt>
                <c:pt idx="1203">
                  <c:v>8</c:v>
                </c:pt>
                <c:pt idx="1204">
                  <c:v>8.1</c:v>
                </c:pt>
                <c:pt idx="1205">
                  <c:v>9.6</c:v>
                </c:pt>
                <c:pt idx="1206">
                  <c:v>10.6</c:v>
                </c:pt>
                <c:pt idx="1207">
                  <c:v>10.9</c:v>
                </c:pt>
                <c:pt idx="1208">
                  <c:v>10.7</c:v>
                </c:pt>
                <c:pt idx="1209">
                  <c:v>10.6</c:v>
                </c:pt>
                <c:pt idx="1210">
                  <c:v>11.7</c:v>
                </c:pt>
                <c:pt idx="1211">
                  <c:v>12.6</c:v>
                </c:pt>
                <c:pt idx="1212">
                  <c:v>13</c:v>
                </c:pt>
                <c:pt idx="1213">
                  <c:v>15.3</c:v>
                </c:pt>
                <c:pt idx="1214">
                  <c:v>15.3</c:v>
                </c:pt>
                <c:pt idx="1215">
                  <c:v>14.6</c:v>
                </c:pt>
                <c:pt idx="1216">
                  <c:v>14.1</c:v>
                </c:pt>
                <c:pt idx="1217">
                  <c:v>14.2</c:v>
                </c:pt>
                <c:pt idx="1218">
                  <c:v>14.2</c:v>
                </c:pt>
                <c:pt idx="1219">
                  <c:v>13.4</c:v>
                </c:pt>
                <c:pt idx="1220">
                  <c:v>12.4</c:v>
                </c:pt>
                <c:pt idx="1221">
                  <c:v>11</c:v>
                </c:pt>
                <c:pt idx="1222">
                  <c:v>9.8000000000000007</c:v>
                </c:pt>
                <c:pt idx="1223">
                  <c:v>8.3000000000000007</c:v>
                </c:pt>
                <c:pt idx="1224">
                  <c:v>8.3000000000000007</c:v>
                </c:pt>
                <c:pt idx="1225">
                  <c:v>8.1</c:v>
                </c:pt>
                <c:pt idx="1226">
                  <c:v>7.3</c:v>
                </c:pt>
                <c:pt idx="1227">
                  <c:v>5.7</c:v>
                </c:pt>
                <c:pt idx="1228">
                  <c:v>5.0999999999999996</c:v>
                </c:pt>
                <c:pt idx="1229">
                  <c:v>5.0999999999999996</c:v>
                </c:pt>
                <c:pt idx="1230">
                  <c:v>5</c:v>
                </c:pt>
                <c:pt idx="1231">
                  <c:v>4.5999999999999996</c:v>
                </c:pt>
                <c:pt idx="1232">
                  <c:v>4.0999999999999996</c:v>
                </c:pt>
                <c:pt idx="1233">
                  <c:v>4</c:v>
                </c:pt>
                <c:pt idx="1234">
                  <c:v>3.9</c:v>
                </c:pt>
                <c:pt idx="1235">
                  <c:v>3.7</c:v>
                </c:pt>
                <c:pt idx="1236">
                  <c:v>3</c:v>
                </c:pt>
                <c:pt idx="1237">
                  <c:v>2.8</c:v>
                </c:pt>
                <c:pt idx="1238">
                  <c:v>2.8</c:v>
                </c:pt>
                <c:pt idx="1239">
                  <c:v>3.3</c:v>
                </c:pt>
                <c:pt idx="1240">
                  <c:v>3.8</c:v>
                </c:pt>
                <c:pt idx="1241">
                  <c:v>4.0999999999999996</c:v>
                </c:pt>
                <c:pt idx="1242">
                  <c:v>4.8</c:v>
                </c:pt>
                <c:pt idx="1243">
                  <c:v>5.6</c:v>
                </c:pt>
                <c:pt idx="1244">
                  <c:v>6.5</c:v>
                </c:pt>
                <c:pt idx="1245">
                  <c:v>7.9</c:v>
                </c:pt>
                <c:pt idx="1246">
                  <c:v>8.8000000000000007</c:v>
                </c:pt>
                <c:pt idx="1247">
                  <c:v>8.8000000000000007</c:v>
                </c:pt>
                <c:pt idx="1248">
                  <c:v>7.7</c:v>
                </c:pt>
                <c:pt idx="1249">
                  <c:v>6.9</c:v>
                </c:pt>
                <c:pt idx="1250">
                  <c:v>6.3</c:v>
                </c:pt>
                <c:pt idx="1251">
                  <c:v>5.4</c:v>
                </c:pt>
                <c:pt idx="1252">
                  <c:v>4.4000000000000004</c:v>
                </c:pt>
                <c:pt idx="1253">
                  <c:v>2.9</c:v>
                </c:pt>
                <c:pt idx="1254">
                  <c:v>2.4</c:v>
                </c:pt>
                <c:pt idx="1255">
                  <c:v>2.2999999999999998</c:v>
                </c:pt>
                <c:pt idx="1256">
                  <c:v>3.1</c:v>
                </c:pt>
                <c:pt idx="1257">
                  <c:v>3.9</c:v>
                </c:pt>
                <c:pt idx="1258">
                  <c:v>4.8</c:v>
                </c:pt>
                <c:pt idx="1259">
                  <c:v>5.6</c:v>
                </c:pt>
                <c:pt idx="1260">
                  <c:v>6.6</c:v>
                </c:pt>
                <c:pt idx="1261">
                  <c:v>7.8</c:v>
                </c:pt>
                <c:pt idx="1262">
                  <c:v>8</c:v>
                </c:pt>
                <c:pt idx="1263">
                  <c:v>7.9</c:v>
                </c:pt>
                <c:pt idx="1264">
                  <c:v>7.2</c:v>
                </c:pt>
                <c:pt idx="1265">
                  <c:v>4.9000000000000004</c:v>
                </c:pt>
                <c:pt idx="1266">
                  <c:v>3.1</c:v>
                </c:pt>
                <c:pt idx="1267">
                  <c:v>2</c:v>
                </c:pt>
                <c:pt idx="1268">
                  <c:v>1.1000000000000001</c:v>
                </c:pt>
                <c:pt idx="1269">
                  <c:v>1</c:v>
                </c:pt>
                <c:pt idx="1270">
                  <c:v>0.9</c:v>
                </c:pt>
                <c:pt idx="1271">
                  <c:v>1.2</c:v>
                </c:pt>
                <c:pt idx="1272">
                  <c:v>1.7</c:v>
                </c:pt>
                <c:pt idx="1273">
                  <c:v>3</c:v>
                </c:pt>
                <c:pt idx="1274">
                  <c:v>3.9</c:v>
                </c:pt>
                <c:pt idx="1275">
                  <c:v>5.5</c:v>
                </c:pt>
                <c:pt idx="1276">
                  <c:v>6.1</c:v>
                </c:pt>
                <c:pt idx="1277">
                  <c:v>8.4</c:v>
                </c:pt>
                <c:pt idx="1278">
                  <c:v>9.1999999999999993</c:v>
                </c:pt>
                <c:pt idx="1279">
                  <c:v>9.1</c:v>
                </c:pt>
                <c:pt idx="1280">
                  <c:v>8.4</c:v>
                </c:pt>
                <c:pt idx="1281">
                  <c:v>8.5</c:v>
                </c:pt>
                <c:pt idx="1282">
                  <c:v>7.8</c:v>
                </c:pt>
                <c:pt idx="1283">
                  <c:v>7.2</c:v>
                </c:pt>
                <c:pt idx="1284">
                  <c:v>6.6</c:v>
                </c:pt>
                <c:pt idx="1285">
                  <c:v>4.9000000000000004</c:v>
                </c:pt>
                <c:pt idx="1286">
                  <c:v>3.5</c:v>
                </c:pt>
                <c:pt idx="1287">
                  <c:v>2.1</c:v>
                </c:pt>
                <c:pt idx="1288">
                  <c:v>1.2</c:v>
                </c:pt>
                <c:pt idx="1289">
                  <c:v>0.4</c:v>
                </c:pt>
                <c:pt idx="1290">
                  <c:v>0</c:v>
                </c:pt>
                <c:pt idx="1291">
                  <c:v>-1.3</c:v>
                </c:pt>
                <c:pt idx="1292">
                  <c:v>-1.6</c:v>
                </c:pt>
                <c:pt idx="1293">
                  <c:v>-1.9</c:v>
                </c:pt>
                <c:pt idx="1294">
                  <c:v>-1.7</c:v>
                </c:pt>
                <c:pt idx="1295">
                  <c:v>-1.7</c:v>
                </c:pt>
                <c:pt idx="1296">
                  <c:v>-2</c:v>
                </c:pt>
                <c:pt idx="1297">
                  <c:v>-2.2999999999999998</c:v>
                </c:pt>
                <c:pt idx="1298">
                  <c:v>-2.4</c:v>
                </c:pt>
                <c:pt idx="1299">
                  <c:v>-3.2</c:v>
                </c:pt>
                <c:pt idx="1300">
                  <c:v>-3.3</c:v>
                </c:pt>
                <c:pt idx="1301">
                  <c:v>-3.5</c:v>
                </c:pt>
                <c:pt idx="1302">
                  <c:v>-3.5</c:v>
                </c:pt>
                <c:pt idx="1303">
                  <c:v>-3.7</c:v>
                </c:pt>
                <c:pt idx="1304">
                  <c:v>-3.8</c:v>
                </c:pt>
                <c:pt idx="1305">
                  <c:v>-3.8</c:v>
                </c:pt>
                <c:pt idx="1306">
                  <c:v>-3.8</c:v>
                </c:pt>
                <c:pt idx="1307">
                  <c:v>-3.8</c:v>
                </c:pt>
                <c:pt idx="1308">
                  <c:v>-3.8</c:v>
                </c:pt>
                <c:pt idx="1309">
                  <c:v>-3.6</c:v>
                </c:pt>
                <c:pt idx="1310">
                  <c:v>-3.3</c:v>
                </c:pt>
                <c:pt idx="1311">
                  <c:v>-3.2</c:v>
                </c:pt>
                <c:pt idx="1312">
                  <c:v>-1.9</c:v>
                </c:pt>
                <c:pt idx="1313">
                  <c:v>-2.2999999999999998</c:v>
                </c:pt>
                <c:pt idx="1314">
                  <c:v>-2.8</c:v>
                </c:pt>
                <c:pt idx="1315">
                  <c:v>-1.2</c:v>
                </c:pt>
                <c:pt idx="1316">
                  <c:v>-1</c:v>
                </c:pt>
                <c:pt idx="1317">
                  <c:v>-1.2</c:v>
                </c:pt>
                <c:pt idx="1318">
                  <c:v>-1</c:v>
                </c:pt>
                <c:pt idx="1319">
                  <c:v>-0.8</c:v>
                </c:pt>
                <c:pt idx="1320">
                  <c:v>-1.3</c:v>
                </c:pt>
                <c:pt idx="1321">
                  <c:v>-2</c:v>
                </c:pt>
                <c:pt idx="1322">
                  <c:v>-1.4</c:v>
                </c:pt>
                <c:pt idx="1323">
                  <c:v>-1.2</c:v>
                </c:pt>
                <c:pt idx="1324">
                  <c:v>-1.8</c:v>
                </c:pt>
                <c:pt idx="1325">
                  <c:v>-1.9</c:v>
                </c:pt>
                <c:pt idx="1326">
                  <c:v>-2.4</c:v>
                </c:pt>
                <c:pt idx="1327">
                  <c:v>-2.4</c:v>
                </c:pt>
                <c:pt idx="1328">
                  <c:v>-2.6</c:v>
                </c:pt>
                <c:pt idx="1329">
                  <c:v>-2.5</c:v>
                </c:pt>
                <c:pt idx="1330">
                  <c:v>-3.1</c:v>
                </c:pt>
                <c:pt idx="1331">
                  <c:v>-3.1</c:v>
                </c:pt>
                <c:pt idx="1332">
                  <c:v>-3.1</c:v>
                </c:pt>
                <c:pt idx="1333">
                  <c:v>-3.1</c:v>
                </c:pt>
                <c:pt idx="1334">
                  <c:v>-2.4</c:v>
                </c:pt>
                <c:pt idx="1335">
                  <c:v>-1.8</c:v>
                </c:pt>
                <c:pt idx="1336">
                  <c:v>-1.1000000000000001</c:v>
                </c:pt>
                <c:pt idx="1337">
                  <c:v>-1.1000000000000001</c:v>
                </c:pt>
                <c:pt idx="1338">
                  <c:v>-0.9</c:v>
                </c:pt>
                <c:pt idx="1339">
                  <c:v>-1</c:v>
                </c:pt>
                <c:pt idx="1340">
                  <c:v>-1.2</c:v>
                </c:pt>
                <c:pt idx="1341">
                  <c:v>-1.6</c:v>
                </c:pt>
                <c:pt idx="1342">
                  <c:v>-0.9</c:v>
                </c:pt>
                <c:pt idx="1343">
                  <c:v>-0.5</c:v>
                </c:pt>
                <c:pt idx="1344">
                  <c:v>0.2</c:v>
                </c:pt>
                <c:pt idx="1345">
                  <c:v>0.6</c:v>
                </c:pt>
                <c:pt idx="1346">
                  <c:v>0.6</c:v>
                </c:pt>
                <c:pt idx="1347">
                  <c:v>0.7</c:v>
                </c:pt>
                <c:pt idx="1348">
                  <c:v>1.7</c:v>
                </c:pt>
                <c:pt idx="1349">
                  <c:v>3.7</c:v>
                </c:pt>
                <c:pt idx="1350">
                  <c:v>5.4</c:v>
                </c:pt>
                <c:pt idx="1351">
                  <c:v>6.1</c:v>
                </c:pt>
                <c:pt idx="1352">
                  <c:v>6.7</c:v>
                </c:pt>
                <c:pt idx="1353">
                  <c:v>7.6</c:v>
                </c:pt>
                <c:pt idx="1354">
                  <c:v>8.1999999999999993</c:v>
                </c:pt>
                <c:pt idx="1355">
                  <c:v>8</c:v>
                </c:pt>
                <c:pt idx="1356">
                  <c:v>8.3000000000000007</c:v>
                </c:pt>
                <c:pt idx="1357">
                  <c:v>8.1999999999999993</c:v>
                </c:pt>
                <c:pt idx="1358">
                  <c:v>8.1999999999999993</c:v>
                </c:pt>
                <c:pt idx="1359">
                  <c:v>8.1999999999999993</c:v>
                </c:pt>
                <c:pt idx="1360">
                  <c:v>8.6999999999999993</c:v>
                </c:pt>
                <c:pt idx="1361">
                  <c:v>9.1</c:v>
                </c:pt>
                <c:pt idx="1362">
                  <c:v>11.5</c:v>
                </c:pt>
                <c:pt idx="1363">
                  <c:v>12.4</c:v>
                </c:pt>
                <c:pt idx="1364">
                  <c:v>15.6</c:v>
                </c:pt>
                <c:pt idx="1365">
                  <c:v>16.2</c:v>
                </c:pt>
                <c:pt idx="1366">
                  <c:v>16</c:v>
                </c:pt>
                <c:pt idx="1367">
                  <c:v>14.3</c:v>
                </c:pt>
                <c:pt idx="1368">
                  <c:v>13.8</c:v>
                </c:pt>
                <c:pt idx="1369">
                  <c:v>13.7</c:v>
                </c:pt>
                <c:pt idx="1370">
                  <c:v>13.6</c:v>
                </c:pt>
                <c:pt idx="1371">
                  <c:v>13.2</c:v>
                </c:pt>
                <c:pt idx="1372">
                  <c:v>16.3</c:v>
                </c:pt>
                <c:pt idx="1373">
                  <c:v>16.2</c:v>
                </c:pt>
                <c:pt idx="1374">
                  <c:v>17.899999999999999</c:v>
                </c:pt>
                <c:pt idx="1375">
                  <c:v>17.3</c:v>
                </c:pt>
                <c:pt idx="1376">
                  <c:v>15.2</c:v>
                </c:pt>
                <c:pt idx="1377">
                  <c:v>12.2</c:v>
                </c:pt>
                <c:pt idx="1378">
                  <c:v>11.3</c:v>
                </c:pt>
                <c:pt idx="1379">
                  <c:v>11.3</c:v>
                </c:pt>
                <c:pt idx="1380">
                  <c:v>13</c:v>
                </c:pt>
                <c:pt idx="1381">
                  <c:v>16.5</c:v>
                </c:pt>
                <c:pt idx="1382">
                  <c:v>15.6</c:v>
                </c:pt>
                <c:pt idx="1383">
                  <c:v>13.7</c:v>
                </c:pt>
                <c:pt idx="1384">
                  <c:v>14.1</c:v>
                </c:pt>
                <c:pt idx="1385">
                  <c:v>14.4</c:v>
                </c:pt>
                <c:pt idx="1386">
                  <c:v>16.2</c:v>
                </c:pt>
                <c:pt idx="1387">
                  <c:v>16.8</c:v>
                </c:pt>
                <c:pt idx="1388">
                  <c:v>18.100000000000001</c:v>
                </c:pt>
                <c:pt idx="1389">
                  <c:v>19.8</c:v>
                </c:pt>
                <c:pt idx="1390">
                  <c:v>19.600000000000001</c:v>
                </c:pt>
                <c:pt idx="1391">
                  <c:v>18.5</c:v>
                </c:pt>
                <c:pt idx="1392">
                  <c:v>17.2</c:v>
                </c:pt>
                <c:pt idx="1393">
                  <c:v>15.1</c:v>
                </c:pt>
                <c:pt idx="1394">
                  <c:v>11.4</c:v>
                </c:pt>
                <c:pt idx="1395">
                  <c:v>7.9</c:v>
                </c:pt>
                <c:pt idx="1396">
                  <c:v>6.4</c:v>
                </c:pt>
                <c:pt idx="1397">
                  <c:v>7</c:v>
                </c:pt>
                <c:pt idx="1398">
                  <c:v>9.6999999999999993</c:v>
                </c:pt>
                <c:pt idx="1399">
                  <c:v>14.1</c:v>
                </c:pt>
                <c:pt idx="1400">
                  <c:v>16.600000000000001</c:v>
                </c:pt>
                <c:pt idx="1401">
                  <c:v>16.3</c:v>
                </c:pt>
                <c:pt idx="1402">
                  <c:v>15.9</c:v>
                </c:pt>
                <c:pt idx="1403">
                  <c:v>16.5</c:v>
                </c:pt>
                <c:pt idx="1404">
                  <c:v>16.8</c:v>
                </c:pt>
                <c:pt idx="1405">
                  <c:v>15.1</c:v>
                </c:pt>
                <c:pt idx="1406">
                  <c:v>9.3000000000000007</c:v>
                </c:pt>
                <c:pt idx="1407">
                  <c:v>13.3</c:v>
                </c:pt>
                <c:pt idx="1408">
                  <c:v>17.8</c:v>
                </c:pt>
                <c:pt idx="1409">
                  <c:v>17.600000000000001</c:v>
                </c:pt>
                <c:pt idx="1410">
                  <c:v>15.8</c:v>
                </c:pt>
                <c:pt idx="1411">
                  <c:v>15.9</c:v>
                </c:pt>
                <c:pt idx="1412">
                  <c:v>18.8</c:v>
                </c:pt>
                <c:pt idx="1413">
                  <c:v>21.2</c:v>
                </c:pt>
                <c:pt idx="1414">
                  <c:v>22</c:v>
                </c:pt>
                <c:pt idx="1415">
                  <c:v>20.100000000000001</c:v>
                </c:pt>
                <c:pt idx="1416">
                  <c:v>16.7</c:v>
                </c:pt>
                <c:pt idx="1417">
                  <c:v>14.5</c:v>
                </c:pt>
                <c:pt idx="1418">
                  <c:v>13.4</c:v>
                </c:pt>
                <c:pt idx="1419">
                  <c:v>14</c:v>
                </c:pt>
                <c:pt idx="1420">
                  <c:v>14.2</c:v>
                </c:pt>
                <c:pt idx="1421">
                  <c:v>15.4</c:v>
                </c:pt>
                <c:pt idx="1422">
                  <c:v>17.3</c:v>
                </c:pt>
                <c:pt idx="1423">
                  <c:v>17.2</c:v>
                </c:pt>
                <c:pt idx="1424">
                  <c:v>17.7</c:v>
                </c:pt>
                <c:pt idx="1425">
                  <c:v>18.2</c:v>
                </c:pt>
                <c:pt idx="1426">
                  <c:v>17.7</c:v>
                </c:pt>
                <c:pt idx="1427">
                  <c:v>16.5</c:v>
                </c:pt>
                <c:pt idx="1428">
                  <c:v>14.8</c:v>
                </c:pt>
                <c:pt idx="1429">
                  <c:v>13</c:v>
                </c:pt>
                <c:pt idx="1430">
                  <c:v>10.199999999999999</c:v>
                </c:pt>
                <c:pt idx="1431">
                  <c:v>9.6999999999999993</c:v>
                </c:pt>
                <c:pt idx="1432">
                  <c:v>9.6999999999999993</c:v>
                </c:pt>
                <c:pt idx="1433">
                  <c:v>10.199999999999999</c:v>
                </c:pt>
                <c:pt idx="1434">
                  <c:v>10.6</c:v>
                </c:pt>
                <c:pt idx="1435">
                  <c:v>10.5</c:v>
                </c:pt>
                <c:pt idx="1436">
                  <c:v>11.1</c:v>
                </c:pt>
                <c:pt idx="1437">
                  <c:v>13.9</c:v>
                </c:pt>
                <c:pt idx="1438">
                  <c:v>17.899999999999999</c:v>
                </c:pt>
                <c:pt idx="1439">
                  <c:v>18</c:v>
                </c:pt>
                <c:pt idx="1440">
                  <c:v>17.2</c:v>
                </c:pt>
                <c:pt idx="1441">
                  <c:v>15.5</c:v>
                </c:pt>
                <c:pt idx="1442">
                  <c:v>13.9</c:v>
                </c:pt>
                <c:pt idx="1443">
                  <c:v>11.5</c:v>
                </c:pt>
                <c:pt idx="1444">
                  <c:v>8.6</c:v>
                </c:pt>
                <c:pt idx="1445">
                  <c:v>6.8</c:v>
                </c:pt>
                <c:pt idx="1446">
                  <c:v>5.9</c:v>
                </c:pt>
                <c:pt idx="1447">
                  <c:v>5.7</c:v>
                </c:pt>
                <c:pt idx="1448">
                  <c:v>6.4</c:v>
                </c:pt>
                <c:pt idx="1449">
                  <c:v>7.2</c:v>
                </c:pt>
                <c:pt idx="1450">
                  <c:v>9.5</c:v>
                </c:pt>
                <c:pt idx="1451">
                  <c:v>12.6</c:v>
                </c:pt>
                <c:pt idx="1452">
                  <c:v>13.3</c:v>
                </c:pt>
                <c:pt idx="1453">
                  <c:v>12.8</c:v>
                </c:pt>
                <c:pt idx="1454">
                  <c:v>12</c:v>
                </c:pt>
                <c:pt idx="1455">
                  <c:v>11.3</c:v>
                </c:pt>
                <c:pt idx="1456">
                  <c:v>10.8</c:v>
                </c:pt>
                <c:pt idx="1457">
                  <c:v>10.9</c:v>
                </c:pt>
                <c:pt idx="1458">
                  <c:v>12.1</c:v>
                </c:pt>
                <c:pt idx="1459">
                  <c:v>12</c:v>
                </c:pt>
                <c:pt idx="1460">
                  <c:v>11.5</c:v>
                </c:pt>
                <c:pt idx="1461">
                  <c:v>10</c:v>
                </c:pt>
                <c:pt idx="1462">
                  <c:v>9.3000000000000007</c:v>
                </c:pt>
                <c:pt idx="1463">
                  <c:v>9.1</c:v>
                </c:pt>
                <c:pt idx="1464">
                  <c:v>6.6</c:v>
                </c:pt>
                <c:pt idx="1465">
                  <c:v>3.5</c:v>
                </c:pt>
                <c:pt idx="1466">
                  <c:v>3</c:v>
                </c:pt>
                <c:pt idx="1467">
                  <c:v>3.9</c:v>
                </c:pt>
                <c:pt idx="1468">
                  <c:v>3.5</c:v>
                </c:pt>
                <c:pt idx="1469">
                  <c:v>3.6</c:v>
                </c:pt>
                <c:pt idx="1470">
                  <c:v>4.5999999999999996</c:v>
                </c:pt>
                <c:pt idx="1471">
                  <c:v>5.2</c:v>
                </c:pt>
                <c:pt idx="1472">
                  <c:v>5.2</c:v>
                </c:pt>
                <c:pt idx="1473">
                  <c:v>5.3</c:v>
                </c:pt>
                <c:pt idx="1474">
                  <c:v>4.5</c:v>
                </c:pt>
                <c:pt idx="1475">
                  <c:v>2.9</c:v>
                </c:pt>
                <c:pt idx="1476">
                  <c:v>1.9</c:v>
                </c:pt>
                <c:pt idx="1477">
                  <c:v>1.9</c:v>
                </c:pt>
                <c:pt idx="1478">
                  <c:v>2.4</c:v>
                </c:pt>
                <c:pt idx="1479">
                  <c:v>2.7</c:v>
                </c:pt>
                <c:pt idx="1480">
                  <c:v>2.2000000000000002</c:v>
                </c:pt>
                <c:pt idx="1481">
                  <c:v>2.2000000000000002</c:v>
                </c:pt>
                <c:pt idx="1482">
                  <c:v>2.8</c:v>
                </c:pt>
                <c:pt idx="1483">
                  <c:v>4</c:v>
                </c:pt>
                <c:pt idx="1484">
                  <c:v>5.2</c:v>
                </c:pt>
                <c:pt idx="1485">
                  <c:v>5.4</c:v>
                </c:pt>
                <c:pt idx="1486">
                  <c:v>5.4</c:v>
                </c:pt>
                <c:pt idx="1487">
                  <c:v>4</c:v>
                </c:pt>
                <c:pt idx="1488">
                  <c:v>2.7</c:v>
                </c:pt>
                <c:pt idx="1489">
                  <c:v>1.9</c:v>
                </c:pt>
                <c:pt idx="1490">
                  <c:v>1.8</c:v>
                </c:pt>
                <c:pt idx="1491">
                  <c:v>1.7</c:v>
                </c:pt>
                <c:pt idx="1492">
                  <c:v>1.5</c:v>
                </c:pt>
                <c:pt idx="1493">
                  <c:v>1.7</c:v>
                </c:pt>
                <c:pt idx="1494">
                  <c:v>3.2</c:v>
                </c:pt>
                <c:pt idx="1495">
                  <c:v>3.6</c:v>
                </c:pt>
                <c:pt idx="1496">
                  <c:v>5.2</c:v>
                </c:pt>
                <c:pt idx="1497">
                  <c:v>5.6</c:v>
                </c:pt>
                <c:pt idx="1498">
                  <c:v>5.4</c:v>
                </c:pt>
                <c:pt idx="1499">
                  <c:v>5.2</c:v>
                </c:pt>
                <c:pt idx="1500">
                  <c:v>5.3</c:v>
                </c:pt>
                <c:pt idx="1501">
                  <c:v>4.7</c:v>
                </c:pt>
                <c:pt idx="1502">
                  <c:v>3.5</c:v>
                </c:pt>
                <c:pt idx="1503">
                  <c:v>2.7</c:v>
                </c:pt>
                <c:pt idx="1504">
                  <c:v>2.6</c:v>
                </c:pt>
                <c:pt idx="1505">
                  <c:v>2.2999999999999998</c:v>
                </c:pt>
                <c:pt idx="1506">
                  <c:v>3.2</c:v>
                </c:pt>
                <c:pt idx="1507">
                  <c:v>4.2</c:v>
                </c:pt>
                <c:pt idx="1508">
                  <c:v>5</c:v>
                </c:pt>
                <c:pt idx="1509">
                  <c:v>3</c:v>
                </c:pt>
                <c:pt idx="1510">
                  <c:v>2.1</c:v>
                </c:pt>
                <c:pt idx="1511">
                  <c:v>7</c:v>
                </c:pt>
                <c:pt idx="1512">
                  <c:v>10.3</c:v>
                </c:pt>
                <c:pt idx="1513">
                  <c:v>8.4</c:v>
                </c:pt>
                <c:pt idx="1514">
                  <c:v>3.9</c:v>
                </c:pt>
                <c:pt idx="1515">
                  <c:v>3.4</c:v>
                </c:pt>
                <c:pt idx="1516">
                  <c:v>4.2</c:v>
                </c:pt>
                <c:pt idx="1517">
                  <c:v>3.2</c:v>
                </c:pt>
                <c:pt idx="1518">
                  <c:v>2</c:v>
                </c:pt>
                <c:pt idx="1519">
                  <c:v>2.2999999999999998</c:v>
                </c:pt>
                <c:pt idx="1520">
                  <c:v>6.4</c:v>
                </c:pt>
                <c:pt idx="1521">
                  <c:v>8</c:v>
                </c:pt>
                <c:pt idx="1522">
                  <c:v>7.8</c:v>
                </c:pt>
                <c:pt idx="1523">
                  <c:v>6.7</c:v>
                </c:pt>
                <c:pt idx="1524">
                  <c:v>6</c:v>
                </c:pt>
                <c:pt idx="1525">
                  <c:v>5.9</c:v>
                </c:pt>
                <c:pt idx="1526">
                  <c:v>5.9</c:v>
                </c:pt>
                <c:pt idx="1527">
                  <c:v>4.2</c:v>
                </c:pt>
                <c:pt idx="1528">
                  <c:v>3.4</c:v>
                </c:pt>
                <c:pt idx="1529">
                  <c:v>3</c:v>
                </c:pt>
                <c:pt idx="1530">
                  <c:v>3.2</c:v>
                </c:pt>
                <c:pt idx="1531">
                  <c:v>3.3</c:v>
                </c:pt>
                <c:pt idx="1532">
                  <c:v>3.2</c:v>
                </c:pt>
                <c:pt idx="1533">
                  <c:v>3.3</c:v>
                </c:pt>
                <c:pt idx="1534">
                  <c:v>4.8</c:v>
                </c:pt>
                <c:pt idx="1535">
                  <c:v>5.9</c:v>
                </c:pt>
                <c:pt idx="1536">
                  <c:v>6.3</c:v>
                </c:pt>
                <c:pt idx="1537">
                  <c:v>6.2</c:v>
                </c:pt>
                <c:pt idx="1538">
                  <c:v>6.2</c:v>
                </c:pt>
                <c:pt idx="1539">
                  <c:v>5.9</c:v>
                </c:pt>
                <c:pt idx="1540">
                  <c:v>5.8</c:v>
                </c:pt>
                <c:pt idx="1541">
                  <c:v>5.0999999999999996</c:v>
                </c:pt>
                <c:pt idx="1542">
                  <c:v>4.2</c:v>
                </c:pt>
                <c:pt idx="1543">
                  <c:v>3.1</c:v>
                </c:pt>
                <c:pt idx="1544">
                  <c:v>2.7</c:v>
                </c:pt>
                <c:pt idx="1545">
                  <c:v>2.6</c:v>
                </c:pt>
                <c:pt idx="1546">
                  <c:v>3.4</c:v>
                </c:pt>
                <c:pt idx="1547">
                  <c:v>3.3</c:v>
                </c:pt>
                <c:pt idx="1548">
                  <c:v>3.2</c:v>
                </c:pt>
                <c:pt idx="1549">
                  <c:v>2.5</c:v>
                </c:pt>
                <c:pt idx="1550">
                  <c:v>2.6</c:v>
                </c:pt>
                <c:pt idx="1551">
                  <c:v>2.6</c:v>
                </c:pt>
                <c:pt idx="1552">
                  <c:v>2.8</c:v>
                </c:pt>
                <c:pt idx="1553">
                  <c:v>3.7</c:v>
                </c:pt>
                <c:pt idx="1554">
                  <c:v>4.7</c:v>
                </c:pt>
                <c:pt idx="1555">
                  <c:v>5.5</c:v>
                </c:pt>
                <c:pt idx="1556">
                  <c:v>6.1</c:v>
                </c:pt>
                <c:pt idx="1557">
                  <c:v>6.1</c:v>
                </c:pt>
                <c:pt idx="1558">
                  <c:v>6</c:v>
                </c:pt>
                <c:pt idx="1559">
                  <c:v>5.6</c:v>
                </c:pt>
                <c:pt idx="1560">
                  <c:v>5</c:v>
                </c:pt>
                <c:pt idx="1561">
                  <c:v>3.9</c:v>
                </c:pt>
                <c:pt idx="1562">
                  <c:v>2.8</c:v>
                </c:pt>
                <c:pt idx="1563">
                  <c:v>2.6</c:v>
                </c:pt>
                <c:pt idx="1564">
                  <c:v>3.4</c:v>
                </c:pt>
                <c:pt idx="1565">
                  <c:v>5.2</c:v>
                </c:pt>
                <c:pt idx="1566">
                  <c:v>5</c:v>
                </c:pt>
                <c:pt idx="1567">
                  <c:v>2.9</c:v>
                </c:pt>
                <c:pt idx="1568">
                  <c:v>3.8</c:v>
                </c:pt>
                <c:pt idx="1569">
                  <c:v>9.5</c:v>
                </c:pt>
                <c:pt idx="1570">
                  <c:v>9.1999999999999993</c:v>
                </c:pt>
                <c:pt idx="1571">
                  <c:v>6</c:v>
                </c:pt>
                <c:pt idx="1572">
                  <c:v>4.5999999999999996</c:v>
                </c:pt>
                <c:pt idx="1573">
                  <c:v>5</c:v>
                </c:pt>
                <c:pt idx="1574">
                  <c:v>5.4</c:v>
                </c:pt>
                <c:pt idx="1575">
                  <c:v>5.0999999999999996</c:v>
                </c:pt>
                <c:pt idx="1576">
                  <c:v>3.9</c:v>
                </c:pt>
                <c:pt idx="1577">
                  <c:v>4.4000000000000004</c:v>
                </c:pt>
                <c:pt idx="1578">
                  <c:v>6.7</c:v>
                </c:pt>
                <c:pt idx="1579">
                  <c:v>7.2</c:v>
                </c:pt>
                <c:pt idx="1580">
                  <c:v>5.8</c:v>
                </c:pt>
                <c:pt idx="1581">
                  <c:v>4</c:v>
                </c:pt>
                <c:pt idx="1582">
                  <c:v>4</c:v>
                </c:pt>
                <c:pt idx="1583">
                  <c:v>5.4</c:v>
                </c:pt>
                <c:pt idx="1584">
                  <c:v>6.2</c:v>
                </c:pt>
                <c:pt idx="1585">
                  <c:v>6.2</c:v>
                </c:pt>
                <c:pt idx="1586">
                  <c:v>5.8</c:v>
                </c:pt>
                <c:pt idx="1587">
                  <c:v>5.8</c:v>
                </c:pt>
                <c:pt idx="1588">
                  <c:v>5.8</c:v>
                </c:pt>
                <c:pt idx="1589">
                  <c:v>5</c:v>
                </c:pt>
                <c:pt idx="1590">
                  <c:v>4.5999999999999996</c:v>
                </c:pt>
                <c:pt idx="1591">
                  <c:v>3.7</c:v>
                </c:pt>
                <c:pt idx="1592">
                  <c:v>3.6</c:v>
                </c:pt>
                <c:pt idx="1593">
                  <c:v>2.9</c:v>
                </c:pt>
                <c:pt idx="1594">
                  <c:v>2.6</c:v>
                </c:pt>
                <c:pt idx="1595">
                  <c:v>1.8</c:v>
                </c:pt>
                <c:pt idx="1596">
                  <c:v>1.7</c:v>
                </c:pt>
                <c:pt idx="1597">
                  <c:v>1.8</c:v>
                </c:pt>
                <c:pt idx="1598">
                  <c:v>2.2999999999999998</c:v>
                </c:pt>
                <c:pt idx="1599">
                  <c:v>2.2000000000000002</c:v>
                </c:pt>
                <c:pt idx="1600">
                  <c:v>2.2000000000000002</c:v>
                </c:pt>
                <c:pt idx="1601">
                  <c:v>2.4</c:v>
                </c:pt>
                <c:pt idx="1602">
                  <c:v>3.5</c:v>
                </c:pt>
                <c:pt idx="1603">
                  <c:v>3.7</c:v>
                </c:pt>
                <c:pt idx="1604">
                  <c:v>3.8</c:v>
                </c:pt>
                <c:pt idx="1605">
                  <c:v>4.0999999999999996</c:v>
                </c:pt>
                <c:pt idx="1606">
                  <c:v>4.7</c:v>
                </c:pt>
                <c:pt idx="1607">
                  <c:v>4.9000000000000004</c:v>
                </c:pt>
                <c:pt idx="1608">
                  <c:v>4.9000000000000004</c:v>
                </c:pt>
                <c:pt idx="1609">
                  <c:v>4.5999999999999996</c:v>
                </c:pt>
                <c:pt idx="1610">
                  <c:v>4.5999999999999996</c:v>
                </c:pt>
                <c:pt idx="1611">
                  <c:v>4.8</c:v>
                </c:pt>
                <c:pt idx="1612">
                  <c:v>5.8</c:v>
                </c:pt>
                <c:pt idx="1613">
                  <c:v>6</c:v>
                </c:pt>
                <c:pt idx="1614">
                  <c:v>6.2</c:v>
                </c:pt>
                <c:pt idx="1615">
                  <c:v>5.7</c:v>
                </c:pt>
                <c:pt idx="1616">
                  <c:v>4.5999999999999996</c:v>
                </c:pt>
                <c:pt idx="1617">
                  <c:v>3.5</c:v>
                </c:pt>
                <c:pt idx="1618">
                  <c:v>2.9</c:v>
                </c:pt>
                <c:pt idx="1619">
                  <c:v>2.7</c:v>
                </c:pt>
                <c:pt idx="1620">
                  <c:v>2.7</c:v>
                </c:pt>
                <c:pt idx="1621">
                  <c:v>3.1</c:v>
                </c:pt>
                <c:pt idx="1622">
                  <c:v>4.4000000000000004</c:v>
                </c:pt>
                <c:pt idx="1623">
                  <c:v>5.6</c:v>
                </c:pt>
                <c:pt idx="1624">
                  <c:v>5.7</c:v>
                </c:pt>
                <c:pt idx="1625">
                  <c:v>5.6</c:v>
                </c:pt>
                <c:pt idx="1626">
                  <c:v>5.5</c:v>
                </c:pt>
                <c:pt idx="1627">
                  <c:v>5.5</c:v>
                </c:pt>
                <c:pt idx="1628">
                  <c:v>6.2</c:v>
                </c:pt>
                <c:pt idx="1629">
                  <c:v>6.8</c:v>
                </c:pt>
                <c:pt idx="1630">
                  <c:v>6.5</c:v>
                </c:pt>
                <c:pt idx="1631">
                  <c:v>5.5</c:v>
                </c:pt>
                <c:pt idx="1632">
                  <c:v>5.0999999999999996</c:v>
                </c:pt>
                <c:pt idx="1633">
                  <c:v>5.0999999999999996</c:v>
                </c:pt>
                <c:pt idx="1634">
                  <c:v>5</c:v>
                </c:pt>
                <c:pt idx="1635">
                  <c:v>4.5</c:v>
                </c:pt>
                <c:pt idx="1636">
                  <c:v>3.5</c:v>
                </c:pt>
                <c:pt idx="1637">
                  <c:v>2.7</c:v>
                </c:pt>
                <c:pt idx="1638">
                  <c:v>2.1</c:v>
                </c:pt>
                <c:pt idx="1639">
                  <c:v>2</c:v>
                </c:pt>
                <c:pt idx="1640">
                  <c:v>1.8</c:v>
                </c:pt>
                <c:pt idx="1641">
                  <c:v>1.8</c:v>
                </c:pt>
                <c:pt idx="1642">
                  <c:v>2.5</c:v>
                </c:pt>
                <c:pt idx="1643">
                  <c:v>3.1</c:v>
                </c:pt>
                <c:pt idx="1644">
                  <c:v>4.0999999999999996</c:v>
                </c:pt>
                <c:pt idx="1645">
                  <c:v>4.0999999999999996</c:v>
                </c:pt>
                <c:pt idx="1646">
                  <c:v>4.0999999999999996</c:v>
                </c:pt>
                <c:pt idx="1647">
                  <c:v>4.0999999999999996</c:v>
                </c:pt>
                <c:pt idx="1648">
                  <c:v>4.7</c:v>
                </c:pt>
                <c:pt idx="1649">
                  <c:v>5.4</c:v>
                </c:pt>
                <c:pt idx="1650">
                  <c:v>6.7</c:v>
                </c:pt>
                <c:pt idx="1651">
                  <c:v>7</c:v>
                </c:pt>
                <c:pt idx="1652">
                  <c:v>7.3</c:v>
                </c:pt>
                <c:pt idx="1653">
                  <c:v>6.4</c:v>
                </c:pt>
                <c:pt idx="1654">
                  <c:v>5.6</c:v>
                </c:pt>
                <c:pt idx="1655">
                  <c:v>5</c:v>
                </c:pt>
                <c:pt idx="1656">
                  <c:v>4.7</c:v>
                </c:pt>
                <c:pt idx="1657">
                  <c:v>4</c:v>
                </c:pt>
                <c:pt idx="1658">
                  <c:v>3.5</c:v>
                </c:pt>
                <c:pt idx="1659">
                  <c:v>3.1</c:v>
                </c:pt>
                <c:pt idx="1660">
                  <c:v>3.5</c:v>
                </c:pt>
                <c:pt idx="1661">
                  <c:v>5.6</c:v>
                </c:pt>
                <c:pt idx="1662">
                  <c:v>6.8</c:v>
                </c:pt>
                <c:pt idx="1663">
                  <c:v>7</c:v>
                </c:pt>
                <c:pt idx="1664">
                  <c:v>5.0999999999999996</c:v>
                </c:pt>
                <c:pt idx="1665">
                  <c:v>5.5</c:v>
                </c:pt>
                <c:pt idx="1666">
                  <c:v>5.8</c:v>
                </c:pt>
                <c:pt idx="1667">
                  <c:v>6.5</c:v>
                </c:pt>
                <c:pt idx="1668">
                  <c:v>6.5</c:v>
                </c:pt>
                <c:pt idx="1669">
                  <c:v>6.2</c:v>
                </c:pt>
                <c:pt idx="1670">
                  <c:v>5.2</c:v>
                </c:pt>
                <c:pt idx="1671">
                  <c:v>4.7</c:v>
                </c:pt>
                <c:pt idx="1672">
                  <c:v>4.3</c:v>
                </c:pt>
                <c:pt idx="1673">
                  <c:v>3.8</c:v>
                </c:pt>
                <c:pt idx="1674">
                  <c:v>3.4</c:v>
                </c:pt>
                <c:pt idx="1675">
                  <c:v>3.4</c:v>
                </c:pt>
                <c:pt idx="1676">
                  <c:v>3.7</c:v>
                </c:pt>
                <c:pt idx="1677">
                  <c:v>4.5</c:v>
                </c:pt>
                <c:pt idx="1678">
                  <c:v>4.5</c:v>
                </c:pt>
                <c:pt idx="1679">
                  <c:v>3.9</c:v>
                </c:pt>
                <c:pt idx="1680">
                  <c:v>2.8</c:v>
                </c:pt>
                <c:pt idx="1681">
                  <c:v>2.4</c:v>
                </c:pt>
                <c:pt idx="1682">
                  <c:v>1.7</c:v>
                </c:pt>
                <c:pt idx="1683">
                  <c:v>1.7</c:v>
                </c:pt>
                <c:pt idx="1684">
                  <c:v>2.4</c:v>
                </c:pt>
                <c:pt idx="1685">
                  <c:v>3.5</c:v>
                </c:pt>
                <c:pt idx="1686">
                  <c:v>4</c:v>
                </c:pt>
                <c:pt idx="1687">
                  <c:v>4</c:v>
                </c:pt>
                <c:pt idx="1688">
                  <c:v>3.8</c:v>
                </c:pt>
                <c:pt idx="1689">
                  <c:v>2.9</c:v>
                </c:pt>
                <c:pt idx="1690">
                  <c:v>2.4</c:v>
                </c:pt>
                <c:pt idx="1691">
                  <c:v>2.2999999999999998</c:v>
                </c:pt>
                <c:pt idx="1692">
                  <c:v>2.2000000000000002</c:v>
                </c:pt>
                <c:pt idx="1693">
                  <c:v>2.6</c:v>
                </c:pt>
                <c:pt idx="1694">
                  <c:v>3</c:v>
                </c:pt>
                <c:pt idx="1695">
                  <c:v>3.2</c:v>
                </c:pt>
                <c:pt idx="1696">
                  <c:v>3.2</c:v>
                </c:pt>
                <c:pt idx="1697">
                  <c:v>3.2</c:v>
                </c:pt>
                <c:pt idx="1698">
                  <c:v>3.5</c:v>
                </c:pt>
                <c:pt idx="1699">
                  <c:v>4.5999999999999996</c:v>
                </c:pt>
                <c:pt idx="1700">
                  <c:v>5.7</c:v>
                </c:pt>
                <c:pt idx="1701">
                  <c:v>6.5</c:v>
                </c:pt>
                <c:pt idx="1702">
                  <c:v>7</c:v>
                </c:pt>
                <c:pt idx="1703">
                  <c:v>7.3</c:v>
                </c:pt>
                <c:pt idx="1704">
                  <c:v>7</c:v>
                </c:pt>
                <c:pt idx="1705">
                  <c:v>5.7</c:v>
                </c:pt>
                <c:pt idx="1706">
                  <c:v>5.0999999999999996</c:v>
                </c:pt>
                <c:pt idx="1707">
                  <c:v>5.0999999999999996</c:v>
                </c:pt>
                <c:pt idx="1708">
                  <c:v>6.2</c:v>
                </c:pt>
                <c:pt idx="1709">
                  <c:v>7</c:v>
                </c:pt>
                <c:pt idx="1710">
                  <c:v>6.6</c:v>
                </c:pt>
                <c:pt idx="1711">
                  <c:v>6</c:v>
                </c:pt>
                <c:pt idx="1712">
                  <c:v>5</c:v>
                </c:pt>
                <c:pt idx="1713">
                  <c:v>4.5</c:v>
                </c:pt>
                <c:pt idx="1714">
                  <c:v>4.5</c:v>
                </c:pt>
                <c:pt idx="1715">
                  <c:v>4.5</c:v>
                </c:pt>
                <c:pt idx="1716">
                  <c:v>4.3</c:v>
                </c:pt>
                <c:pt idx="1717">
                  <c:v>4.0999999999999996</c:v>
                </c:pt>
                <c:pt idx="1718">
                  <c:v>4.0999999999999996</c:v>
                </c:pt>
                <c:pt idx="1719">
                  <c:v>5.6</c:v>
                </c:pt>
                <c:pt idx="1720">
                  <c:v>6.2</c:v>
                </c:pt>
                <c:pt idx="1721">
                  <c:v>7.1</c:v>
                </c:pt>
                <c:pt idx="1722">
                  <c:v>5.6</c:v>
                </c:pt>
                <c:pt idx="1723">
                  <c:v>2.8</c:v>
                </c:pt>
                <c:pt idx="1724">
                  <c:v>1.6</c:v>
                </c:pt>
                <c:pt idx="1725">
                  <c:v>1.3</c:v>
                </c:pt>
                <c:pt idx="1726">
                  <c:v>1.1000000000000001</c:v>
                </c:pt>
                <c:pt idx="1727">
                  <c:v>2.1</c:v>
                </c:pt>
                <c:pt idx="1728">
                  <c:v>2.7</c:v>
                </c:pt>
                <c:pt idx="1729">
                  <c:v>3.5</c:v>
                </c:pt>
                <c:pt idx="1730">
                  <c:v>3.4</c:v>
                </c:pt>
                <c:pt idx="1731">
                  <c:v>4.7</c:v>
                </c:pt>
                <c:pt idx="1732">
                  <c:v>6.8</c:v>
                </c:pt>
                <c:pt idx="1733">
                  <c:v>10.8</c:v>
                </c:pt>
                <c:pt idx="1734">
                  <c:v>11.6</c:v>
                </c:pt>
                <c:pt idx="1735">
                  <c:v>11.9</c:v>
                </c:pt>
                <c:pt idx="1736">
                  <c:v>13.3</c:v>
                </c:pt>
                <c:pt idx="1737">
                  <c:v>17.7</c:v>
                </c:pt>
                <c:pt idx="1738">
                  <c:v>20.5</c:v>
                </c:pt>
                <c:pt idx="1739">
                  <c:v>21.9</c:v>
                </c:pt>
                <c:pt idx="1740">
                  <c:v>22.5</c:v>
                </c:pt>
                <c:pt idx="1741">
                  <c:v>22.3</c:v>
                </c:pt>
                <c:pt idx="1742">
                  <c:v>18</c:v>
                </c:pt>
                <c:pt idx="1743">
                  <c:v>10.199999999999999</c:v>
                </c:pt>
                <c:pt idx="1744">
                  <c:v>7.6</c:v>
                </c:pt>
                <c:pt idx="1745">
                  <c:v>5.9</c:v>
                </c:pt>
                <c:pt idx="1746">
                  <c:v>7.3</c:v>
                </c:pt>
                <c:pt idx="1747">
                  <c:v>8.6</c:v>
                </c:pt>
                <c:pt idx="1748">
                  <c:v>10.1</c:v>
                </c:pt>
                <c:pt idx="1749">
                  <c:v>10.5</c:v>
                </c:pt>
                <c:pt idx="1750">
                  <c:v>11</c:v>
                </c:pt>
                <c:pt idx="1751">
                  <c:v>11</c:v>
                </c:pt>
                <c:pt idx="1752">
                  <c:v>10.9</c:v>
                </c:pt>
                <c:pt idx="1753">
                  <c:v>10.8</c:v>
                </c:pt>
                <c:pt idx="1754">
                  <c:v>11.6</c:v>
                </c:pt>
                <c:pt idx="1755">
                  <c:v>13</c:v>
                </c:pt>
                <c:pt idx="1756">
                  <c:v>13.5</c:v>
                </c:pt>
                <c:pt idx="1757">
                  <c:v>13.4</c:v>
                </c:pt>
                <c:pt idx="1758">
                  <c:v>13.5</c:v>
                </c:pt>
                <c:pt idx="1759">
                  <c:v>14.3</c:v>
                </c:pt>
                <c:pt idx="1760">
                  <c:v>15.2</c:v>
                </c:pt>
                <c:pt idx="1761">
                  <c:v>15.2</c:v>
                </c:pt>
                <c:pt idx="1762">
                  <c:v>15.2</c:v>
                </c:pt>
                <c:pt idx="1763">
                  <c:v>15.2</c:v>
                </c:pt>
                <c:pt idx="1764">
                  <c:v>14.5</c:v>
                </c:pt>
                <c:pt idx="1765">
                  <c:v>12.8</c:v>
                </c:pt>
                <c:pt idx="1766">
                  <c:v>10.5</c:v>
                </c:pt>
                <c:pt idx="1767">
                  <c:v>9.3000000000000007</c:v>
                </c:pt>
                <c:pt idx="1768">
                  <c:v>8.9</c:v>
                </c:pt>
                <c:pt idx="1769">
                  <c:v>9.4</c:v>
                </c:pt>
                <c:pt idx="1770">
                  <c:v>11.9</c:v>
                </c:pt>
                <c:pt idx="1771">
                  <c:v>14.2</c:v>
                </c:pt>
                <c:pt idx="1772">
                  <c:v>15.2</c:v>
                </c:pt>
                <c:pt idx="1773">
                  <c:v>16.899999999999999</c:v>
                </c:pt>
                <c:pt idx="1774">
                  <c:v>17.5</c:v>
                </c:pt>
                <c:pt idx="1775">
                  <c:v>18.399999999999999</c:v>
                </c:pt>
                <c:pt idx="1776">
                  <c:v>19.8</c:v>
                </c:pt>
                <c:pt idx="1777">
                  <c:v>20.399999999999999</c:v>
                </c:pt>
                <c:pt idx="1778">
                  <c:v>20.6</c:v>
                </c:pt>
                <c:pt idx="1779">
                  <c:v>19.8</c:v>
                </c:pt>
                <c:pt idx="1780">
                  <c:v>19.399999999999999</c:v>
                </c:pt>
                <c:pt idx="1781">
                  <c:v>18.600000000000001</c:v>
                </c:pt>
                <c:pt idx="1782">
                  <c:v>17.899999999999999</c:v>
                </c:pt>
                <c:pt idx="1783">
                  <c:v>17.399999999999999</c:v>
                </c:pt>
                <c:pt idx="1784">
                  <c:v>17.100000000000001</c:v>
                </c:pt>
                <c:pt idx="1785">
                  <c:v>15.6</c:v>
                </c:pt>
                <c:pt idx="1786">
                  <c:v>13.3</c:v>
                </c:pt>
                <c:pt idx="1787">
                  <c:v>12</c:v>
                </c:pt>
                <c:pt idx="1788">
                  <c:v>11.3</c:v>
                </c:pt>
                <c:pt idx="1789">
                  <c:v>11.3</c:v>
                </c:pt>
                <c:pt idx="1790">
                  <c:v>11.9</c:v>
                </c:pt>
                <c:pt idx="1791">
                  <c:v>12.3</c:v>
                </c:pt>
                <c:pt idx="1792">
                  <c:v>13.6</c:v>
                </c:pt>
                <c:pt idx="1793">
                  <c:v>14.3</c:v>
                </c:pt>
                <c:pt idx="1794">
                  <c:v>14.5</c:v>
                </c:pt>
                <c:pt idx="1795">
                  <c:v>14.2</c:v>
                </c:pt>
                <c:pt idx="1796">
                  <c:v>13.1</c:v>
                </c:pt>
                <c:pt idx="1797">
                  <c:v>11.1</c:v>
                </c:pt>
                <c:pt idx="1798">
                  <c:v>10.8</c:v>
                </c:pt>
                <c:pt idx="1799">
                  <c:v>11.3</c:v>
                </c:pt>
                <c:pt idx="1800">
                  <c:v>11.9</c:v>
                </c:pt>
                <c:pt idx="1801">
                  <c:v>11.9</c:v>
                </c:pt>
                <c:pt idx="1802">
                  <c:v>11.9</c:v>
                </c:pt>
                <c:pt idx="1803">
                  <c:v>11.9</c:v>
                </c:pt>
                <c:pt idx="1804">
                  <c:v>11.9</c:v>
                </c:pt>
                <c:pt idx="1805">
                  <c:v>11.6</c:v>
                </c:pt>
                <c:pt idx="1806">
                  <c:v>11.7</c:v>
                </c:pt>
                <c:pt idx="1807">
                  <c:v>14.1</c:v>
                </c:pt>
                <c:pt idx="1808">
                  <c:v>16</c:v>
                </c:pt>
                <c:pt idx="1809">
                  <c:v>16.399999999999999</c:v>
                </c:pt>
                <c:pt idx="1810">
                  <c:v>14.3</c:v>
                </c:pt>
                <c:pt idx="1811">
                  <c:v>12</c:v>
                </c:pt>
                <c:pt idx="1812">
                  <c:v>10.8</c:v>
                </c:pt>
                <c:pt idx="1813">
                  <c:v>10.1</c:v>
                </c:pt>
                <c:pt idx="1814">
                  <c:v>11.5</c:v>
                </c:pt>
                <c:pt idx="1815">
                  <c:v>15.5</c:v>
                </c:pt>
                <c:pt idx="1816">
                  <c:v>19.3</c:v>
                </c:pt>
                <c:pt idx="1817">
                  <c:v>21.9</c:v>
                </c:pt>
                <c:pt idx="1818">
                  <c:v>23.6</c:v>
                </c:pt>
                <c:pt idx="1819">
                  <c:v>25.6</c:v>
                </c:pt>
                <c:pt idx="1820">
                  <c:v>26.2</c:v>
                </c:pt>
                <c:pt idx="1821">
                  <c:v>26.7</c:v>
                </c:pt>
                <c:pt idx="1822">
                  <c:v>25.8</c:v>
                </c:pt>
                <c:pt idx="1823">
                  <c:v>25.8</c:v>
                </c:pt>
                <c:pt idx="1824">
                  <c:v>26.4</c:v>
                </c:pt>
                <c:pt idx="1825">
                  <c:v>26.2</c:v>
                </c:pt>
                <c:pt idx="1826">
                  <c:v>25.1</c:v>
                </c:pt>
                <c:pt idx="1827">
                  <c:v>24.9</c:v>
                </c:pt>
                <c:pt idx="1828">
                  <c:v>26.2</c:v>
                </c:pt>
                <c:pt idx="1829">
                  <c:v>26.7</c:v>
                </c:pt>
                <c:pt idx="1830">
                  <c:v>26.1</c:v>
                </c:pt>
                <c:pt idx="1831">
                  <c:v>21.4</c:v>
                </c:pt>
                <c:pt idx="1832">
                  <c:v>15.2</c:v>
                </c:pt>
                <c:pt idx="1833">
                  <c:v>11.6</c:v>
                </c:pt>
                <c:pt idx="1834">
                  <c:v>8.9</c:v>
                </c:pt>
                <c:pt idx="1835">
                  <c:v>4.7</c:v>
                </c:pt>
                <c:pt idx="1836">
                  <c:v>3.4</c:v>
                </c:pt>
                <c:pt idx="1837">
                  <c:v>5.3</c:v>
                </c:pt>
                <c:pt idx="1838">
                  <c:v>8.1999999999999993</c:v>
                </c:pt>
                <c:pt idx="1839">
                  <c:v>8.6999999999999993</c:v>
                </c:pt>
                <c:pt idx="1840">
                  <c:v>9.5</c:v>
                </c:pt>
                <c:pt idx="1841">
                  <c:v>11.1</c:v>
                </c:pt>
                <c:pt idx="1842">
                  <c:v>12.2</c:v>
                </c:pt>
                <c:pt idx="1843">
                  <c:v>12.7</c:v>
                </c:pt>
                <c:pt idx="1844">
                  <c:v>12.3</c:v>
                </c:pt>
                <c:pt idx="1845">
                  <c:v>11.7</c:v>
                </c:pt>
                <c:pt idx="1846">
                  <c:v>11.9</c:v>
                </c:pt>
                <c:pt idx="1847">
                  <c:v>12.4</c:v>
                </c:pt>
                <c:pt idx="1848">
                  <c:v>13.1</c:v>
                </c:pt>
                <c:pt idx="1849">
                  <c:v>13</c:v>
                </c:pt>
                <c:pt idx="1850">
                  <c:v>11.6</c:v>
                </c:pt>
                <c:pt idx="1851">
                  <c:v>10.199999999999999</c:v>
                </c:pt>
                <c:pt idx="1852">
                  <c:v>10</c:v>
                </c:pt>
                <c:pt idx="1853">
                  <c:v>10.199999999999999</c:v>
                </c:pt>
                <c:pt idx="1854">
                  <c:v>10.9</c:v>
                </c:pt>
                <c:pt idx="1855">
                  <c:v>10.1</c:v>
                </c:pt>
                <c:pt idx="1856">
                  <c:v>8.6</c:v>
                </c:pt>
                <c:pt idx="1857">
                  <c:v>8.1</c:v>
                </c:pt>
                <c:pt idx="1858">
                  <c:v>8.5</c:v>
                </c:pt>
                <c:pt idx="1859">
                  <c:v>9.6</c:v>
                </c:pt>
                <c:pt idx="1860">
                  <c:v>8.8000000000000007</c:v>
                </c:pt>
                <c:pt idx="1861">
                  <c:v>7.4</c:v>
                </c:pt>
                <c:pt idx="1862">
                  <c:v>6.8</c:v>
                </c:pt>
                <c:pt idx="1863">
                  <c:v>10.199999999999999</c:v>
                </c:pt>
                <c:pt idx="1864">
                  <c:v>12.3</c:v>
                </c:pt>
                <c:pt idx="1865">
                  <c:v>14.6</c:v>
                </c:pt>
                <c:pt idx="1866">
                  <c:v>14.6</c:v>
                </c:pt>
                <c:pt idx="1867">
                  <c:v>14.7</c:v>
                </c:pt>
                <c:pt idx="1868">
                  <c:v>15.9</c:v>
                </c:pt>
                <c:pt idx="1869">
                  <c:v>18.5</c:v>
                </c:pt>
                <c:pt idx="1870">
                  <c:v>19.600000000000001</c:v>
                </c:pt>
                <c:pt idx="1871">
                  <c:v>19.899999999999999</c:v>
                </c:pt>
                <c:pt idx="1872">
                  <c:v>18.5</c:v>
                </c:pt>
                <c:pt idx="1873">
                  <c:v>17.2</c:v>
                </c:pt>
                <c:pt idx="1874">
                  <c:v>14.1</c:v>
                </c:pt>
                <c:pt idx="1875">
                  <c:v>11.9</c:v>
                </c:pt>
                <c:pt idx="1876">
                  <c:v>10.5</c:v>
                </c:pt>
                <c:pt idx="1877">
                  <c:v>10.5</c:v>
                </c:pt>
                <c:pt idx="1878">
                  <c:v>10.9</c:v>
                </c:pt>
                <c:pt idx="1879">
                  <c:v>11.6</c:v>
                </c:pt>
                <c:pt idx="1880">
                  <c:v>11.5</c:v>
                </c:pt>
                <c:pt idx="1881">
                  <c:v>9.4</c:v>
                </c:pt>
                <c:pt idx="1882">
                  <c:v>8.5</c:v>
                </c:pt>
                <c:pt idx="1883">
                  <c:v>6.8</c:v>
                </c:pt>
                <c:pt idx="1884">
                  <c:v>5.7</c:v>
                </c:pt>
                <c:pt idx="1885">
                  <c:v>4.5999999999999996</c:v>
                </c:pt>
                <c:pt idx="1886">
                  <c:v>4.5</c:v>
                </c:pt>
                <c:pt idx="1887">
                  <c:v>4.7</c:v>
                </c:pt>
                <c:pt idx="1888">
                  <c:v>5.6</c:v>
                </c:pt>
                <c:pt idx="1889">
                  <c:v>5.3</c:v>
                </c:pt>
                <c:pt idx="1890">
                  <c:v>5.0999999999999996</c:v>
                </c:pt>
                <c:pt idx="1891">
                  <c:v>4.7</c:v>
                </c:pt>
                <c:pt idx="1892">
                  <c:v>5.5</c:v>
                </c:pt>
                <c:pt idx="1893">
                  <c:v>6.7</c:v>
                </c:pt>
                <c:pt idx="1894">
                  <c:v>8.1999999999999993</c:v>
                </c:pt>
                <c:pt idx="1895">
                  <c:v>8</c:v>
                </c:pt>
                <c:pt idx="1896">
                  <c:v>6.6</c:v>
                </c:pt>
                <c:pt idx="1897">
                  <c:v>4.0999999999999996</c:v>
                </c:pt>
                <c:pt idx="1898">
                  <c:v>3.5</c:v>
                </c:pt>
                <c:pt idx="1899">
                  <c:v>1.5</c:v>
                </c:pt>
                <c:pt idx="1900">
                  <c:v>0.3</c:v>
                </c:pt>
                <c:pt idx="1901">
                  <c:v>-0.7</c:v>
                </c:pt>
                <c:pt idx="1902">
                  <c:v>-0.5</c:v>
                </c:pt>
                <c:pt idx="1903">
                  <c:v>0.7</c:v>
                </c:pt>
                <c:pt idx="1904">
                  <c:v>2.4</c:v>
                </c:pt>
                <c:pt idx="1905">
                  <c:v>4.3</c:v>
                </c:pt>
                <c:pt idx="1906">
                  <c:v>5.4</c:v>
                </c:pt>
                <c:pt idx="1907">
                  <c:v>7.3</c:v>
                </c:pt>
                <c:pt idx="1908">
                  <c:v>9.5</c:v>
                </c:pt>
                <c:pt idx="1909">
                  <c:v>10.9</c:v>
                </c:pt>
                <c:pt idx="1910">
                  <c:v>11.4</c:v>
                </c:pt>
                <c:pt idx="1911">
                  <c:v>11.8</c:v>
                </c:pt>
                <c:pt idx="1912">
                  <c:v>12.1</c:v>
                </c:pt>
                <c:pt idx="1913">
                  <c:v>13.3</c:v>
                </c:pt>
                <c:pt idx="1914">
                  <c:v>14.2</c:v>
                </c:pt>
                <c:pt idx="1915">
                  <c:v>14.5</c:v>
                </c:pt>
                <c:pt idx="1916">
                  <c:v>14.4</c:v>
                </c:pt>
                <c:pt idx="1917">
                  <c:v>13.9</c:v>
                </c:pt>
                <c:pt idx="1918">
                  <c:v>13.1</c:v>
                </c:pt>
                <c:pt idx="1919">
                  <c:v>12.4</c:v>
                </c:pt>
                <c:pt idx="1920">
                  <c:v>11.3</c:v>
                </c:pt>
                <c:pt idx="1921">
                  <c:v>9.9</c:v>
                </c:pt>
                <c:pt idx="1922">
                  <c:v>7.4</c:v>
                </c:pt>
                <c:pt idx="1923">
                  <c:v>4.9000000000000004</c:v>
                </c:pt>
                <c:pt idx="1924">
                  <c:v>3.5</c:v>
                </c:pt>
                <c:pt idx="1925">
                  <c:v>3.2</c:v>
                </c:pt>
                <c:pt idx="1926">
                  <c:v>3</c:v>
                </c:pt>
                <c:pt idx="1927">
                  <c:v>2.9</c:v>
                </c:pt>
                <c:pt idx="1928">
                  <c:v>2.6</c:v>
                </c:pt>
                <c:pt idx="1929">
                  <c:v>2.4</c:v>
                </c:pt>
                <c:pt idx="1930">
                  <c:v>2.4</c:v>
                </c:pt>
                <c:pt idx="1931">
                  <c:v>2.9</c:v>
                </c:pt>
                <c:pt idx="1932">
                  <c:v>3.3</c:v>
                </c:pt>
                <c:pt idx="1933">
                  <c:v>3.6</c:v>
                </c:pt>
                <c:pt idx="1934">
                  <c:v>4</c:v>
                </c:pt>
                <c:pt idx="1935">
                  <c:v>4.4000000000000004</c:v>
                </c:pt>
                <c:pt idx="1936">
                  <c:v>5.0999999999999996</c:v>
                </c:pt>
                <c:pt idx="1937">
                  <c:v>4.9000000000000004</c:v>
                </c:pt>
                <c:pt idx="1938">
                  <c:v>4.4000000000000004</c:v>
                </c:pt>
                <c:pt idx="1939">
                  <c:v>2.6</c:v>
                </c:pt>
                <c:pt idx="1940">
                  <c:v>1.9</c:v>
                </c:pt>
                <c:pt idx="1941">
                  <c:v>1</c:v>
                </c:pt>
                <c:pt idx="1942">
                  <c:v>0.9</c:v>
                </c:pt>
                <c:pt idx="1943">
                  <c:v>0.4</c:v>
                </c:pt>
                <c:pt idx="1944">
                  <c:v>0</c:v>
                </c:pt>
                <c:pt idx="1945">
                  <c:v>-0.2</c:v>
                </c:pt>
                <c:pt idx="1946">
                  <c:v>0.5</c:v>
                </c:pt>
                <c:pt idx="1947">
                  <c:v>1.5</c:v>
                </c:pt>
                <c:pt idx="1948">
                  <c:v>2.2000000000000002</c:v>
                </c:pt>
                <c:pt idx="1949">
                  <c:v>2.2000000000000002</c:v>
                </c:pt>
                <c:pt idx="1950">
                  <c:v>2.8</c:v>
                </c:pt>
                <c:pt idx="1951">
                  <c:v>4.2</c:v>
                </c:pt>
                <c:pt idx="1952">
                  <c:v>7.6</c:v>
                </c:pt>
                <c:pt idx="1953">
                  <c:v>10.6</c:v>
                </c:pt>
                <c:pt idx="1954">
                  <c:v>11.5</c:v>
                </c:pt>
                <c:pt idx="1955">
                  <c:v>12.1</c:v>
                </c:pt>
                <c:pt idx="1956">
                  <c:v>11.7</c:v>
                </c:pt>
                <c:pt idx="1957">
                  <c:v>10.4</c:v>
                </c:pt>
                <c:pt idx="1958">
                  <c:v>10.4</c:v>
                </c:pt>
                <c:pt idx="1959">
                  <c:v>12.9</c:v>
                </c:pt>
                <c:pt idx="1960">
                  <c:v>14.8</c:v>
                </c:pt>
                <c:pt idx="1961">
                  <c:v>14.7</c:v>
                </c:pt>
                <c:pt idx="1962">
                  <c:v>12.6</c:v>
                </c:pt>
                <c:pt idx="1963">
                  <c:v>11.7</c:v>
                </c:pt>
                <c:pt idx="1964">
                  <c:v>11.1</c:v>
                </c:pt>
                <c:pt idx="1965">
                  <c:v>10.7</c:v>
                </c:pt>
                <c:pt idx="1966">
                  <c:v>8.3000000000000007</c:v>
                </c:pt>
                <c:pt idx="1967">
                  <c:v>4.8</c:v>
                </c:pt>
                <c:pt idx="1968">
                  <c:v>2.4</c:v>
                </c:pt>
                <c:pt idx="1969">
                  <c:v>2</c:v>
                </c:pt>
                <c:pt idx="1970">
                  <c:v>0.9</c:v>
                </c:pt>
                <c:pt idx="1971">
                  <c:v>0.8</c:v>
                </c:pt>
                <c:pt idx="1972">
                  <c:v>0.6</c:v>
                </c:pt>
                <c:pt idx="1973">
                  <c:v>0.2</c:v>
                </c:pt>
                <c:pt idx="1974">
                  <c:v>-0.1</c:v>
                </c:pt>
                <c:pt idx="1975">
                  <c:v>-0.9</c:v>
                </c:pt>
                <c:pt idx="1976">
                  <c:v>-1</c:v>
                </c:pt>
                <c:pt idx="1977">
                  <c:v>-1</c:v>
                </c:pt>
                <c:pt idx="1978">
                  <c:v>-1</c:v>
                </c:pt>
                <c:pt idx="1979">
                  <c:v>-1.2</c:v>
                </c:pt>
                <c:pt idx="1980">
                  <c:v>-2</c:v>
                </c:pt>
                <c:pt idx="1981">
                  <c:v>-3</c:v>
                </c:pt>
                <c:pt idx="1982">
                  <c:v>-3.3</c:v>
                </c:pt>
                <c:pt idx="1983">
                  <c:v>-3.6</c:v>
                </c:pt>
                <c:pt idx="1984">
                  <c:v>-3.6</c:v>
                </c:pt>
                <c:pt idx="1985">
                  <c:v>-3.6</c:v>
                </c:pt>
                <c:pt idx="1986">
                  <c:v>-3.3</c:v>
                </c:pt>
                <c:pt idx="1987">
                  <c:v>-3.2</c:v>
                </c:pt>
                <c:pt idx="1988">
                  <c:v>-3.1</c:v>
                </c:pt>
                <c:pt idx="1989">
                  <c:v>-3.4</c:v>
                </c:pt>
                <c:pt idx="1990">
                  <c:v>-3.5</c:v>
                </c:pt>
                <c:pt idx="1991">
                  <c:v>-3.6</c:v>
                </c:pt>
                <c:pt idx="1992">
                  <c:v>-3.6</c:v>
                </c:pt>
                <c:pt idx="1993">
                  <c:v>-3.6</c:v>
                </c:pt>
                <c:pt idx="1994">
                  <c:v>-3.4</c:v>
                </c:pt>
                <c:pt idx="1995">
                  <c:v>-2.2999999999999998</c:v>
                </c:pt>
                <c:pt idx="1996">
                  <c:v>-1.7</c:v>
                </c:pt>
                <c:pt idx="1997">
                  <c:v>-1.9</c:v>
                </c:pt>
                <c:pt idx="1998">
                  <c:v>-2.6</c:v>
                </c:pt>
                <c:pt idx="1999">
                  <c:v>-2.2999999999999998</c:v>
                </c:pt>
                <c:pt idx="2000">
                  <c:v>-1.4</c:v>
                </c:pt>
                <c:pt idx="2001">
                  <c:v>0.1</c:v>
                </c:pt>
                <c:pt idx="2002">
                  <c:v>0.5</c:v>
                </c:pt>
                <c:pt idx="2003">
                  <c:v>0.5</c:v>
                </c:pt>
                <c:pt idx="2004">
                  <c:v>-0.1</c:v>
                </c:pt>
                <c:pt idx="2005">
                  <c:v>-1.1000000000000001</c:v>
                </c:pt>
                <c:pt idx="2006">
                  <c:v>-1.7</c:v>
                </c:pt>
                <c:pt idx="2007">
                  <c:v>-2.4</c:v>
                </c:pt>
                <c:pt idx="2008">
                  <c:v>-2.6</c:v>
                </c:pt>
                <c:pt idx="2009">
                  <c:v>-2.6</c:v>
                </c:pt>
                <c:pt idx="2010">
                  <c:v>-1.3</c:v>
                </c:pt>
                <c:pt idx="2011">
                  <c:v>-0.8</c:v>
                </c:pt>
                <c:pt idx="2012">
                  <c:v>-0.8</c:v>
                </c:pt>
                <c:pt idx="2013">
                  <c:v>-0.5</c:v>
                </c:pt>
                <c:pt idx="2014">
                  <c:v>-0.1</c:v>
                </c:pt>
                <c:pt idx="2015">
                  <c:v>-0.1</c:v>
                </c:pt>
                <c:pt idx="2016">
                  <c:v>-0.1</c:v>
                </c:pt>
                <c:pt idx="2017">
                  <c:v>0.5</c:v>
                </c:pt>
                <c:pt idx="2018">
                  <c:v>2.1</c:v>
                </c:pt>
                <c:pt idx="2019">
                  <c:v>2.7</c:v>
                </c:pt>
                <c:pt idx="2020">
                  <c:v>2.7</c:v>
                </c:pt>
                <c:pt idx="2021">
                  <c:v>2.5</c:v>
                </c:pt>
                <c:pt idx="2022">
                  <c:v>2.6</c:v>
                </c:pt>
                <c:pt idx="2023">
                  <c:v>2.1</c:v>
                </c:pt>
                <c:pt idx="2024">
                  <c:v>2.5</c:v>
                </c:pt>
                <c:pt idx="2025">
                  <c:v>2.8</c:v>
                </c:pt>
                <c:pt idx="2026">
                  <c:v>3.6</c:v>
                </c:pt>
                <c:pt idx="2027">
                  <c:v>3.6</c:v>
                </c:pt>
                <c:pt idx="2028">
                  <c:v>3.6</c:v>
                </c:pt>
                <c:pt idx="2029">
                  <c:v>3.6</c:v>
                </c:pt>
                <c:pt idx="2030">
                  <c:v>3.8</c:v>
                </c:pt>
                <c:pt idx="2031">
                  <c:v>3.8</c:v>
                </c:pt>
                <c:pt idx="2032">
                  <c:v>3.6</c:v>
                </c:pt>
                <c:pt idx="2033">
                  <c:v>3.5</c:v>
                </c:pt>
                <c:pt idx="2034">
                  <c:v>3.5</c:v>
                </c:pt>
                <c:pt idx="2035">
                  <c:v>3.6</c:v>
                </c:pt>
                <c:pt idx="2036">
                  <c:v>3.8</c:v>
                </c:pt>
                <c:pt idx="2037">
                  <c:v>5.4</c:v>
                </c:pt>
                <c:pt idx="2038">
                  <c:v>6</c:v>
                </c:pt>
                <c:pt idx="2039">
                  <c:v>6.4</c:v>
                </c:pt>
                <c:pt idx="2040">
                  <c:v>6.4</c:v>
                </c:pt>
                <c:pt idx="2041">
                  <c:v>5.7</c:v>
                </c:pt>
                <c:pt idx="2042">
                  <c:v>3.9</c:v>
                </c:pt>
                <c:pt idx="2043">
                  <c:v>3.5</c:v>
                </c:pt>
                <c:pt idx="2044">
                  <c:v>3.4</c:v>
                </c:pt>
                <c:pt idx="2045">
                  <c:v>3.7</c:v>
                </c:pt>
                <c:pt idx="2046">
                  <c:v>4.2</c:v>
                </c:pt>
                <c:pt idx="2047">
                  <c:v>4.2</c:v>
                </c:pt>
                <c:pt idx="2048">
                  <c:v>3.8</c:v>
                </c:pt>
                <c:pt idx="2049">
                  <c:v>3.1</c:v>
                </c:pt>
                <c:pt idx="2050">
                  <c:v>2.2999999999999998</c:v>
                </c:pt>
                <c:pt idx="2051">
                  <c:v>2.1</c:v>
                </c:pt>
                <c:pt idx="2052">
                  <c:v>2.5</c:v>
                </c:pt>
                <c:pt idx="2053">
                  <c:v>3.4</c:v>
                </c:pt>
                <c:pt idx="2054">
                  <c:v>6.5</c:v>
                </c:pt>
                <c:pt idx="2055">
                  <c:v>9.1</c:v>
                </c:pt>
                <c:pt idx="2056">
                  <c:v>12.6</c:v>
                </c:pt>
                <c:pt idx="2057">
                  <c:v>15.3</c:v>
                </c:pt>
                <c:pt idx="2058">
                  <c:v>16.7</c:v>
                </c:pt>
                <c:pt idx="2059">
                  <c:v>16.8</c:v>
                </c:pt>
                <c:pt idx="2060">
                  <c:v>14.5</c:v>
                </c:pt>
                <c:pt idx="2061">
                  <c:v>12.4</c:v>
                </c:pt>
                <c:pt idx="2062">
                  <c:v>10.8</c:v>
                </c:pt>
                <c:pt idx="2063">
                  <c:v>10.6</c:v>
                </c:pt>
                <c:pt idx="2064">
                  <c:v>8.4</c:v>
                </c:pt>
                <c:pt idx="2065">
                  <c:v>8.1</c:v>
                </c:pt>
                <c:pt idx="2066">
                  <c:v>6.8</c:v>
                </c:pt>
                <c:pt idx="2067">
                  <c:v>6.7</c:v>
                </c:pt>
                <c:pt idx="2068">
                  <c:v>8.3000000000000007</c:v>
                </c:pt>
                <c:pt idx="2069">
                  <c:v>8.6</c:v>
                </c:pt>
                <c:pt idx="2070">
                  <c:v>9.4</c:v>
                </c:pt>
                <c:pt idx="2071">
                  <c:v>10.199999999999999</c:v>
                </c:pt>
                <c:pt idx="2072">
                  <c:v>11.1</c:v>
                </c:pt>
                <c:pt idx="2073">
                  <c:v>10.6</c:v>
                </c:pt>
                <c:pt idx="2074">
                  <c:v>11.3</c:v>
                </c:pt>
                <c:pt idx="2075">
                  <c:v>10</c:v>
                </c:pt>
                <c:pt idx="2076">
                  <c:v>12</c:v>
                </c:pt>
                <c:pt idx="2077">
                  <c:v>13.6</c:v>
                </c:pt>
                <c:pt idx="2078">
                  <c:v>14.7</c:v>
                </c:pt>
                <c:pt idx="2079">
                  <c:v>15.4</c:v>
                </c:pt>
                <c:pt idx="2080">
                  <c:v>14.6</c:v>
                </c:pt>
                <c:pt idx="2081">
                  <c:v>13.9</c:v>
                </c:pt>
                <c:pt idx="2082">
                  <c:v>13</c:v>
                </c:pt>
                <c:pt idx="2083">
                  <c:v>11.5</c:v>
                </c:pt>
                <c:pt idx="2084">
                  <c:v>8.1999999999999993</c:v>
                </c:pt>
                <c:pt idx="2085">
                  <c:v>7.3</c:v>
                </c:pt>
                <c:pt idx="2086">
                  <c:v>7.1</c:v>
                </c:pt>
                <c:pt idx="2087">
                  <c:v>7.8</c:v>
                </c:pt>
                <c:pt idx="2088">
                  <c:v>15.4</c:v>
                </c:pt>
                <c:pt idx="2089">
                  <c:v>18.5</c:v>
                </c:pt>
                <c:pt idx="2090">
                  <c:v>21</c:v>
                </c:pt>
                <c:pt idx="2091">
                  <c:v>22.5</c:v>
                </c:pt>
                <c:pt idx="2092">
                  <c:v>21.7</c:v>
                </c:pt>
                <c:pt idx="2093">
                  <c:v>20.399999999999999</c:v>
                </c:pt>
                <c:pt idx="2094">
                  <c:v>17.600000000000001</c:v>
                </c:pt>
                <c:pt idx="2095">
                  <c:v>16.899999999999999</c:v>
                </c:pt>
                <c:pt idx="2096">
                  <c:v>16</c:v>
                </c:pt>
                <c:pt idx="2097">
                  <c:v>16.600000000000001</c:v>
                </c:pt>
                <c:pt idx="2098">
                  <c:v>17.100000000000001</c:v>
                </c:pt>
                <c:pt idx="2099">
                  <c:v>15.2</c:v>
                </c:pt>
                <c:pt idx="2100">
                  <c:v>14.5</c:v>
                </c:pt>
                <c:pt idx="2101">
                  <c:v>14.3</c:v>
                </c:pt>
                <c:pt idx="2102">
                  <c:v>14</c:v>
                </c:pt>
                <c:pt idx="2103">
                  <c:v>14.1</c:v>
                </c:pt>
                <c:pt idx="2104">
                  <c:v>15.2</c:v>
                </c:pt>
                <c:pt idx="2105">
                  <c:v>15.4</c:v>
                </c:pt>
                <c:pt idx="2106">
                  <c:v>15.9</c:v>
                </c:pt>
                <c:pt idx="2107">
                  <c:v>15.7</c:v>
                </c:pt>
                <c:pt idx="2108">
                  <c:v>16.5</c:v>
                </c:pt>
                <c:pt idx="2109">
                  <c:v>16.399999999999999</c:v>
                </c:pt>
                <c:pt idx="2110">
                  <c:v>17</c:v>
                </c:pt>
                <c:pt idx="2111">
                  <c:v>18</c:v>
                </c:pt>
                <c:pt idx="2112">
                  <c:v>18</c:v>
                </c:pt>
                <c:pt idx="2113">
                  <c:v>18</c:v>
                </c:pt>
                <c:pt idx="2114">
                  <c:v>17.899999999999999</c:v>
                </c:pt>
                <c:pt idx="2115">
                  <c:v>17.2</c:v>
                </c:pt>
                <c:pt idx="2116">
                  <c:v>16.7</c:v>
                </c:pt>
                <c:pt idx="2117">
                  <c:v>16.7</c:v>
                </c:pt>
                <c:pt idx="2118">
                  <c:v>17.100000000000001</c:v>
                </c:pt>
                <c:pt idx="2119">
                  <c:v>14.9</c:v>
                </c:pt>
                <c:pt idx="2120">
                  <c:v>10</c:v>
                </c:pt>
                <c:pt idx="2121">
                  <c:v>7.8</c:v>
                </c:pt>
                <c:pt idx="2122">
                  <c:v>8.1</c:v>
                </c:pt>
                <c:pt idx="2123">
                  <c:v>11.6</c:v>
                </c:pt>
                <c:pt idx="2124">
                  <c:v>14</c:v>
                </c:pt>
                <c:pt idx="2125">
                  <c:v>16.100000000000001</c:v>
                </c:pt>
                <c:pt idx="2126">
                  <c:v>16.100000000000001</c:v>
                </c:pt>
                <c:pt idx="2127">
                  <c:v>16.100000000000001</c:v>
                </c:pt>
                <c:pt idx="2128">
                  <c:v>16.3</c:v>
                </c:pt>
                <c:pt idx="2129">
                  <c:v>16.3</c:v>
                </c:pt>
                <c:pt idx="2130">
                  <c:v>17.100000000000001</c:v>
                </c:pt>
                <c:pt idx="2131">
                  <c:v>18.3</c:v>
                </c:pt>
                <c:pt idx="2132">
                  <c:v>18.5</c:v>
                </c:pt>
                <c:pt idx="2133">
                  <c:v>17.600000000000001</c:v>
                </c:pt>
                <c:pt idx="2134">
                  <c:v>13.2</c:v>
                </c:pt>
                <c:pt idx="2135">
                  <c:v>12.1</c:v>
                </c:pt>
                <c:pt idx="2136">
                  <c:v>12</c:v>
                </c:pt>
                <c:pt idx="2137">
                  <c:v>14.3</c:v>
                </c:pt>
                <c:pt idx="2138">
                  <c:v>17</c:v>
                </c:pt>
                <c:pt idx="2139">
                  <c:v>18.399999999999999</c:v>
                </c:pt>
                <c:pt idx="2140">
                  <c:v>18.5</c:v>
                </c:pt>
                <c:pt idx="2141">
                  <c:v>18.399999999999999</c:v>
                </c:pt>
                <c:pt idx="2142">
                  <c:v>16.899999999999999</c:v>
                </c:pt>
                <c:pt idx="2143">
                  <c:v>14.5</c:v>
                </c:pt>
                <c:pt idx="2144">
                  <c:v>12.8</c:v>
                </c:pt>
                <c:pt idx="2145">
                  <c:v>12.1</c:v>
                </c:pt>
                <c:pt idx="2146">
                  <c:v>11.5</c:v>
                </c:pt>
                <c:pt idx="2147">
                  <c:v>11.1</c:v>
                </c:pt>
                <c:pt idx="2148">
                  <c:v>12</c:v>
                </c:pt>
                <c:pt idx="2149">
                  <c:v>13.9</c:v>
                </c:pt>
                <c:pt idx="2150">
                  <c:v>14</c:v>
                </c:pt>
                <c:pt idx="2151">
                  <c:v>13.7</c:v>
                </c:pt>
                <c:pt idx="2152">
                  <c:v>14.9</c:v>
                </c:pt>
                <c:pt idx="2153">
                  <c:v>15.8</c:v>
                </c:pt>
                <c:pt idx="2154">
                  <c:v>16</c:v>
                </c:pt>
                <c:pt idx="2155">
                  <c:v>15.8</c:v>
                </c:pt>
                <c:pt idx="2156">
                  <c:v>15.6</c:v>
                </c:pt>
                <c:pt idx="2157">
                  <c:v>14.9</c:v>
                </c:pt>
                <c:pt idx="2158">
                  <c:v>13.7</c:v>
                </c:pt>
                <c:pt idx="2159">
                  <c:v>12.7</c:v>
                </c:pt>
                <c:pt idx="2160">
                  <c:v>11.6</c:v>
                </c:pt>
                <c:pt idx="2161">
                  <c:v>12.2</c:v>
                </c:pt>
                <c:pt idx="2162">
                  <c:v>13.6</c:v>
                </c:pt>
                <c:pt idx="2163">
                  <c:v>13.6</c:v>
                </c:pt>
                <c:pt idx="2164">
                  <c:v>15.4</c:v>
                </c:pt>
                <c:pt idx="2165">
                  <c:v>16.100000000000001</c:v>
                </c:pt>
                <c:pt idx="2166">
                  <c:v>16</c:v>
                </c:pt>
                <c:pt idx="2167">
                  <c:v>15.3</c:v>
                </c:pt>
                <c:pt idx="2168">
                  <c:v>14.6</c:v>
                </c:pt>
                <c:pt idx="2169">
                  <c:v>12.9</c:v>
                </c:pt>
                <c:pt idx="2170">
                  <c:v>12.3</c:v>
                </c:pt>
                <c:pt idx="2171">
                  <c:v>12.2</c:v>
                </c:pt>
                <c:pt idx="2172">
                  <c:v>12.2</c:v>
                </c:pt>
                <c:pt idx="2173">
                  <c:v>12.2</c:v>
                </c:pt>
                <c:pt idx="2174">
                  <c:v>12.5</c:v>
                </c:pt>
                <c:pt idx="2175">
                  <c:v>12.6</c:v>
                </c:pt>
                <c:pt idx="2176">
                  <c:v>11.6</c:v>
                </c:pt>
                <c:pt idx="2177">
                  <c:v>10.6</c:v>
                </c:pt>
                <c:pt idx="2178">
                  <c:v>9.6999999999999993</c:v>
                </c:pt>
                <c:pt idx="2179">
                  <c:v>9.6999999999999993</c:v>
                </c:pt>
                <c:pt idx="2180">
                  <c:v>10</c:v>
                </c:pt>
                <c:pt idx="2181">
                  <c:v>11.6</c:v>
                </c:pt>
                <c:pt idx="2182">
                  <c:v>13</c:v>
                </c:pt>
                <c:pt idx="2183">
                  <c:v>13.1</c:v>
                </c:pt>
                <c:pt idx="2184">
                  <c:v>12.7</c:v>
                </c:pt>
                <c:pt idx="2185">
                  <c:v>12.3</c:v>
                </c:pt>
                <c:pt idx="2186">
                  <c:v>11.4</c:v>
                </c:pt>
                <c:pt idx="2187">
                  <c:v>9.6</c:v>
                </c:pt>
                <c:pt idx="2188">
                  <c:v>9</c:v>
                </c:pt>
                <c:pt idx="2189">
                  <c:v>8.6</c:v>
                </c:pt>
                <c:pt idx="2190">
                  <c:v>8.6</c:v>
                </c:pt>
                <c:pt idx="2191">
                  <c:v>9.5</c:v>
                </c:pt>
                <c:pt idx="2192">
                  <c:v>10.199999999999999</c:v>
                </c:pt>
                <c:pt idx="2193">
                  <c:v>11.2</c:v>
                </c:pt>
                <c:pt idx="2194">
                  <c:v>11.4</c:v>
                </c:pt>
                <c:pt idx="2195">
                  <c:v>11.7</c:v>
                </c:pt>
                <c:pt idx="2196">
                  <c:v>12.7</c:v>
                </c:pt>
                <c:pt idx="2197">
                  <c:v>14.1</c:v>
                </c:pt>
                <c:pt idx="2198">
                  <c:v>15.4</c:v>
                </c:pt>
                <c:pt idx="2199">
                  <c:v>15.8</c:v>
                </c:pt>
                <c:pt idx="2200">
                  <c:v>15.1</c:v>
                </c:pt>
                <c:pt idx="2201">
                  <c:v>12.3</c:v>
                </c:pt>
                <c:pt idx="2202">
                  <c:v>9.8000000000000007</c:v>
                </c:pt>
                <c:pt idx="2203">
                  <c:v>3.4</c:v>
                </c:pt>
                <c:pt idx="2204">
                  <c:v>-1.7</c:v>
                </c:pt>
                <c:pt idx="2205">
                  <c:v>-2.6</c:v>
                </c:pt>
                <c:pt idx="2206">
                  <c:v>2.7</c:v>
                </c:pt>
                <c:pt idx="2207">
                  <c:v>6.8</c:v>
                </c:pt>
                <c:pt idx="2208">
                  <c:v>9.6999999999999993</c:v>
                </c:pt>
                <c:pt idx="2209">
                  <c:v>13.5</c:v>
                </c:pt>
                <c:pt idx="2210">
                  <c:v>15.1</c:v>
                </c:pt>
                <c:pt idx="2211">
                  <c:v>15.5</c:v>
                </c:pt>
                <c:pt idx="2212">
                  <c:v>15</c:v>
                </c:pt>
                <c:pt idx="2213">
                  <c:v>13.4</c:v>
                </c:pt>
                <c:pt idx="2214">
                  <c:v>11.1</c:v>
                </c:pt>
                <c:pt idx="2215">
                  <c:v>9.6999999999999993</c:v>
                </c:pt>
                <c:pt idx="2216">
                  <c:v>9.5</c:v>
                </c:pt>
                <c:pt idx="2217">
                  <c:v>8.6999999999999993</c:v>
                </c:pt>
                <c:pt idx="2218">
                  <c:v>6.9</c:v>
                </c:pt>
                <c:pt idx="2219">
                  <c:v>5.4</c:v>
                </c:pt>
                <c:pt idx="2220">
                  <c:v>5.3</c:v>
                </c:pt>
                <c:pt idx="2221">
                  <c:v>5.9</c:v>
                </c:pt>
                <c:pt idx="2222">
                  <c:v>6.8</c:v>
                </c:pt>
                <c:pt idx="2223">
                  <c:v>7.3</c:v>
                </c:pt>
                <c:pt idx="2224">
                  <c:v>8.3000000000000007</c:v>
                </c:pt>
                <c:pt idx="2225">
                  <c:v>7.2</c:v>
                </c:pt>
                <c:pt idx="2226">
                  <c:v>5.9</c:v>
                </c:pt>
                <c:pt idx="2227">
                  <c:v>5.3</c:v>
                </c:pt>
                <c:pt idx="2228">
                  <c:v>7.5</c:v>
                </c:pt>
                <c:pt idx="2229">
                  <c:v>8.3000000000000007</c:v>
                </c:pt>
                <c:pt idx="2230">
                  <c:v>8.4</c:v>
                </c:pt>
                <c:pt idx="2231">
                  <c:v>8.3000000000000007</c:v>
                </c:pt>
                <c:pt idx="2232">
                  <c:v>8</c:v>
                </c:pt>
                <c:pt idx="2233">
                  <c:v>7.9</c:v>
                </c:pt>
                <c:pt idx="2234">
                  <c:v>8.3000000000000007</c:v>
                </c:pt>
                <c:pt idx="2235">
                  <c:v>8.4</c:v>
                </c:pt>
                <c:pt idx="2236">
                  <c:v>7.9</c:v>
                </c:pt>
                <c:pt idx="2237">
                  <c:v>7.2</c:v>
                </c:pt>
                <c:pt idx="2238">
                  <c:v>7.1</c:v>
                </c:pt>
                <c:pt idx="2239">
                  <c:v>7.1</c:v>
                </c:pt>
                <c:pt idx="2240">
                  <c:v>7.3</c:v>
                </c:pt>
                <c:pt idx="2241">
                  <c:v>8.6</c:v>
                </c:pt>
                <c:pt idx="2242">
                  <c:v>7.4</c:v>
                </c:pt>
                <c:pt idx="2243">
                  <c:v>5.2</c:v>
                </c:pt>
                <c:pt idx="2244">
                  <c:v>3.4</c:v>
                </c:pt>
                <c:pt idx="2245">
                  <c:v>2.9</c:v>
                </c:pt>
                <c:pt idx="2246">
                  <c:v>2.2000000000000002</c:v>
                </c:pt>
                <c:pt idx="2247">
                  <c:v>1.8</c:v>
                </c:pt>
                <c:pt idx="2248">
                  <c:v>1.2</c:v>
                </c:pt>
                <c:pt idx="2249">
                  <c:v>1.2</c:v>
                </c:pt>
                <c:pt idx="2250">
                  <c:v>1.1000000000000001</c:v>
                </c:pt>
                <c:pt idx="2251">
                  <c:v>1.7</c:v>
                </c:pt>
                <c:pt idx="2252">
                  <c:v>4.3</c:v>
                </c:pt>
                <c:pt idx="2253">
                  <c:v>6.4</c:v>
                </c:pt>
                <c:pt idx="2254">
                  <c:v>8.4</c:v>
                </c:pt>
                <c:pt idx="2255">
                  <c:v>10.1</c:v>
                </c:pt>
                <c:pt idx="2256">
                  <c:v>10.7</c:v>
                </c:pt>
                <c:pt idx="2257">
                  <c:v>11.2</c:v>
                </c:pt>
                <c:pt idx="2258">
                  <c:v>11.1</c:v>
                </c:pt>
                <c:pt idx="2259">
                  <c:v>9.8000000000000007</c:v>
                </c:pt>
                <c:pt idx="2260">
                  <c:v>8.6999999999999993</c:v>
                </c:pt>
                <c:pt idx="2261">
                  <c:v>7.3</c:v>
                </c:pt>
                <c:pt idx="2262">
                  <c:v>6.3</c:v>
                </c:pt>
                <c:pt idx="2263">
                  <c:v>6.1</c:v>
                </c:pt>
                <c:pt idx="2264">
                  <c:v>6.5</c:v>
                </c:pt>
                <c:pt idx="2265">
                  <c:v>6.7</c:v>
                </c:pt>
                <c:pt idx="2266">
                  <c:v>6.1</c:v>
                </c:pt>
                <c:pt idx="2267">
                  <c:v>3</c:v>
                </c:pt>
                <c:pt idx="2268">
                  <c:v>2.5</c:v>
                </c:pt>
                <c:pt idx="2269">
                  <c:v>2.6</c:v>
                </c:pt>
                <c:pt idx="2270">
                  <c:v>3.2</c:v>
                </c:pt>
                <c:pt idx="2271">
                  <c:v>2.9</c:v>
                </c:pt>
                <c:pt idx="2272">
                  <c:v>2</c:v>
                </c:pt>
                <c:pt idx="2273">
                  <c:v>1.2</c:v>
                </c:pt>
                <c:pt idx="2274">
                  <c:v>1.2</c:v>
                </c:pt>
                <c:pt idx="2275">
                  <c:v>1.1000000000000001</c:v>
                </c:pt>
                <c:pt idx="2276">
                  <c:v>1.2</c:v>
                </c:pt>
                <c:pt idx="2277">
                  <c:v>1.9</c:v>
                </c:pt>
                <c:pt idx="2278">
                  <c:v>3.1</c:v>
                </c:pt>
                <c:pt idx="2279">
                  <c:v>6</c:v>
                </c:pt>
                <c:pt idx="2280">
                  <c:v>8.5</c:v>
                </c:pt>
                <c:pt idx="2281">
                  <c:v>10.9</c:v>
                </c:pt>
                <c:pt idx="2282">
                  <c:v>11.6</c:v>
                </c:pt>
                <c:pt idx="2283">
                  <c:v>10.9</c:v>
                </c:pt>
                <c:pt idx="2284">
                  <c:v>8.1999999999999993</c:v>
                </c:pt>
                <c:pt idx="2285">
                  <c:v>5.9</c:v>
                </c:pt>
                <c:pt idx="2286">
                  <c:v>4.4000000000000004</c:v>
                </c:pt>
                <c:pt idx="2287">
                  <c:v>3.8</c:v>
                </c:pt>
                <c:pt idx="2288">
                  <c:v>3.2</c:v>
                </c:pt>
                <c:pt idx="2289">
                  <c:v>2.8</c:v>
                </c:pt>
                <c:pt idx="2290">
                  <c:v>2</c:v>
                </c:pt>
                <c:pt idx="2291">
                  <c:v>1.8</c:v>
                </c:pt>
                <c:pt idx="2292">
                  <c:v>1.8</c:v>
                </c:pt>
                <c:pt idx="2293">
                  <c:v>2.2000000000000002</c:v>
                </c:pt>
                <c:pt idx="2294">
                  <c:v>3.7</c:v>
                </c:pt>
                <c:pt idx="2295">
                  <c:v>6.6</c:v>
                </c:pt>
                <c:pt idx="2296">
                  <c:v>8.1</c:v>
                </c:pt>
                <c:pt idx="2297">
                  <c:v>7.7</c:v>
                </c:pt>
                <c:pt idx="2298">
                  <c:v>5.9</c:v>
                </c:pt>
                <c:pt idx="2299">
                  <c:v>4.9000000000000004</c:v>
                </c:pt>
                <c:pt idx="2300">
                  <c:v>4.5999999999999996</c:v>
                </c:pt>
                <c:pt idx="2301">
                  <c:v>4.5999999999999996</c:v>
                </c:pt>
                <c:pt idx="2302">
                  <c:v>4.2</c:v>
                </c:pt>
                <c:pt idx="2303">
                  <c:v>4.8</c:v>
                </c:pt>
                <c:pt idx="2304">
                  <c:v>6.1</c:v>
                </c:pt>
                <c:pt idx="2305">
                  <c:v>6.8</c:v>
                </c:pt>
                <c:pt idx="2306">
                  <c:v>5.9</c:v>
                </c:pt>
                <c:pt idx="2307">
                  <c:v>4.8</c:v>
                </c:pt>
                <c:pt idx="2308">
                  <c:v>4.0999999999999996</c:v>
                </c:pt>
                <c:pt idx="2309">
                  <c:v>4.0999999999999996</c:v>
                </c:pt>
                <c:pt idx="2310">
                  <c:v>4.9000000000000004</c:v>
                </c:pt>
                <c:pt idx="2311">
                  <c:v>4.8</c:v>
                </c:pt>
                <c:pt idx="2312">
                  <c:v>6.1</c:v>
                </c:pt>
                <c:pt idx="2313">
                  <c:v>7.3</c:v>
                </c:pt>
                <c:pt idx="2314">
                  <c:v>8.3000000000000007</c:v>
                </c:pt>
                <c:pt idx="2315">
                  <c:v>8.3000000000000007</c:v>
                </c:pt>
                <c:pt idx="2316">
                  <c:v>8</c:v>
                </c:pt>
                <c:pt idx="2317">
                  <c:v>7.3</c:v>
                </c:pt>
                <c:pt idx="2318">
                  <c:v>5.8</c:v>
                </c:pt>
                <c:pt idx="2319">
                  <c:v>3.2</c:v>
                </c:pt>
                <c:pt idx="2320">
                  <c:v>0.9</c:v>
                </c:pt>
                <c:pt idx="2321">
                  <c:v>-0.8</c:v>
                </c:pt>
                <c:pt idx="2322">
                  <c:v>-1</c:v>
                </c:pt>
                <c:pt idx="2323">
                  <c:v>-0.1</c:v>
                </c:pt>
                <c:pt idx="2324">
                  <c:v>1.6</c:v>
                </c:pt>
                <c:pt idx="2325">
                  <c:v>2.2999999999999998</c:v>
                </c:pt>
                <c:pt idx="2326">
                  <c:v>3.4</c:v>
                </c:pt>
                <c:pt idx="2327">
                  <c:v>3.9</c:v>
                </c:pt>
                <c:pt idx="2328">
                  <c:v>4.0999999999999996</c:v>
                </c:pt>
                <c:pt idx="2329">
                  <c:v>3.8</c:v>
                </c:pt>
                <c:pt idx="2330">
                  <c:v>8</c:v>
                </c:pt>
                <c:pt idx="2331">
                  <c:v>13.1</c:v>
                </c:pt>
                <c:pt idx="2332">
                  <c:v>13.5</c:v>
                </c:pt>
                <c:pt idx="2333">
                  <c:v>9.6999999999999993</c:v>
                </c:pt>
                <c:pt idx="2334">
                  <c:v>8.1999999999999993</c:v>
                </c:pt>
                <c:pt idx="2335">
                  <c:v>9.6999999999999993</c:v>
                </c:pt>
                <c:pt idx="2336">
                  <c:v>11.1</c:v>
                </c:pt>
                <c:pt idx="2337">
                  <c:v>11</c:v>
                </c:pt>
                <c:pt idx="2338">
                  <c:v>9.8000000000000007</c:v>
                </c:pt>
                <c:pt idx="2339">
                  <c:v>8.3000000000000007</c:v>
                </c:pt>
                <c:pt idx="2340">
                  <c:v>8.6</c:v>
                </c:pt>
                <c:pt idx="2341">
                  <c:v>9.1999999999999993</c:v>
                </c:pt>
                <c:pt idx="2342">
                  <c:v>8.1999999999999993</c:v>
                </c:pt>
                <c:pt idx="2343">
                  <c:v>6</c:v>
                </c:pt>
                <c:pt idx="2344">
                  <c:v>3.1</c:v>
                </c:pt>
                <c:pt idx="2345">
                  <c:v>2.2000000000000002</c:v>
                </c:pt>
                <c:pt idx="2346">
                  <c:v>1.5</c:v>
                </c:pt>
                <c:pt idx="2347">
                  <c:v>1.6</c:v>
                </c:pt>
                <c:pt idx="2348">
                  <c:v>2.7</c:v>
                </c:pt>
                <c:pt idx="2349">
                  <c:v>3.5</c:v>
                </c:pt>
                <c:pt idx="2350">
                  <c:v>3.6</c:v>
                </c:pt>
                <c:pt idx="2351">
                  <c:v>3.7</c:v>
                </c:pt>
                <c:pt idx="2352">
                  <c:v>4</c:v>
                </c:pt>
                <c:pt idx="2353">
                  <c:v>4.3</c:v>
                </c:pt>
                <c:pt idx="2354">
                  <c:v>4.2</c:v>
                </c:pt>
                <c:pt idx="2355">
                  <c:v>3.1</c:v>
                </c:pt>
                <c:pt idx="2356">
                  <c:v>2</c:v>
                </c:pt>
                <c:pt idx="2357">
                  <c:v>1.7</c:v>
                </c:pt>
                <c:pt idx="2358">
                  <c:v>2.1</c:v>
                </c:pt>
                <c:pt idx="2359">
                  <c:v>4.9000000000000004</c:v>
                </c:pt>
                <c:pt idx="2360">
                  <c:v>7.8</c:v>
                </c:pt>
                <c:pt idx="2361">
                  <c:v>8.6999999999999993</c:v>
                </c:pt>
                <c:pt idx="2362">
                  <c:v>8</c:v>
                </c:pt>
                <c:pt idx="2363">
                  <c:v>5.7</c:v>
                </c:pt>
                <c:pt idx="2364">
                  <c:v>5.0999999999999996</c:v>
                </c:pt>
                <c:pt idx="2365">
                  <c:v>4.4000000000000004</c:v>
                </c:pt>
                <c:pt idx="2366">
                  <c:v>5.2</c:v>
                </c:pt>
                <c:pt idx="2367">
                  <c:v>6.1</c:v>
                </c:pt>
                <c:pt idx="2368">
                  <c:v>6.6</c:v>
                </c:pt>
                <c:pt idx="2369">
                  <c:v>6.9</c:v>
                </c:pt>
                <c:pt idx="2370">
                  <c:v>7.3</c:v>
                </c:pt>
                <c:pt idx="2371">
                  <c:v>7.4</c:v>
                </c:pt>
                <c:pt idx="2372">
                  <c:v>7</c:v>
                </c:pt>
                <c:pt idx="2373">
                  <c:v>6.4</c:v>
                </c:pt>
                <c:pt idx="2374">
                  <c:v>5.3</c:v>
                </c:pt>
                <c:pt idx="2375">
                  <c:v>3.8</c:v>
                </c:pt>
                <c:pt idx="2376">
                  <c:v>1.3</c:v>
                </c:pt>
                <c:pt idx="2377">
                  <c:v>-0.8</c:v>
                </c:pt>
                <c:pt idx="2378">
                  <c:v>-0.9</c:v>
                </c:pt>
                <c:pt idx="2379">
                  <c:v>0.7</c:v>
                </c:pt>
                <c:pt idx="2380">
                  <c:v>2.2000000000000002</c:v>
                </c:pt>
                <c:pt idx="2381">
                  <c:v>3.5</c:v>
                </c:pt>
                <c:pt idx="2382">
                  <c:v>3.9</c:v>
                </c:pt>
                <c:pt idx="2383">
                  <c:v>4.0999999999999996</c:v>
                </c:pt>
                <c:pt idx="2384">
                  <c:v>4.8</c:v>
                </c:pt>
                <c:pt idx="2385">
                  <c:v>4.8</c:v>
                </c:pt>
                <c:pt idx="2386">
                  <c:v>4.5</c:v>
                </c:pt>
                <c:pt idx="2387">
                  <c:v>3.1</c:v>
                </c:pt>
                <c:pt idx="2388">
                  <c:v>2.2999999999999998</c:v>
                </c:pt>
                <c:pt idx="2389">
                  <c:v>2</c:v>
                </c:pt>
                <c:pt idx="2390">
                  <c:v>2.8</c:v>
                </c:pt>
                <c:pt idx="2391">
                  <c:v>4.5999999999999996</c:v>
                </c:pt>
                <c:pt idx="2392">
                  <c:v>6.4</c:v>
                </c:pt>
                <c:pt idx="2393">
                  <c:v>8.1999999999999993</c:v>
                </c:pt>
                <c:pt idx="2394">
                  <c:v>9.1999999999999993</c:v>
                </c:pt>
                <c:pt idx="2395">
                  <c:v>9.8000000000000007</c:v>
                </c:pt>
                <c:pt idx="2396">
                  <c:v>9.5</c:v>
                </c:pt>
                <c:pt idx="2397">
                  <c:v>8.1</c:v>
                </c:pt>
                <c:pt idx="2398">
                  <c:v>7.5</c:v>
                </c:pt>
                <c:pt idx="2399">
                  <c:v>6.5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644-4B8C-AC59-199EEE835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2343120"/>
        <c:axId val="632344432"/>
      </c:scatterChart>
      <c:valAx>
        <c:axId val="632343120"/>
        <c:scaling>
          <c:orientation val="minMax"/>
          <c:max val="24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344432"/>
        <c:crosses val="autoZero"/>
        <c:crossBetween val="midCat"/>
        <c:majorUnit val="100"/>
      </c:valAx>
      <c:valAx>
        <c:axId val="632344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Suspension Travel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343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Lean Angle per Meter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'2D data'!$E$4:$E$2403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'2D data'!$K$4:$K$2403</c:f>
              <c:numCache>
                <c:formatCode>General</c:formatCode>
                <c:ptCount val="2400"/>
                <c:pt idx="0">
                  <c:v>-5</c:v>
                </c:pt>
                <c:pt idx="1">
                  <c:v>-5</c:v>
                </c:pt>
                <c:pt idx="2">
                  <c:v>-5</c:v>
                </c:pt>
                <c:pt idx="3">
                  <c:v>-5</c:v>
                </c:pt>
                <c:pt idx="4">
                  <c:v>-5</c:v>
                </c:pt>
                <c:pt idx="5">
                  <c:v>-6</c:v>
                </c:pt>
                <c:pt idx="6">
                  <c:v>-7.4</c:v>
                </c:pt>
                <c:pt idx="7">
                  <c:v>-8.8000000000000007</c:v>
                </c:pt>
                <c:pt idx="8">
                  <c:v>-9.5</c:v>
                </c:pt>
                <c:pt idx="9">
                  <c:v>-10</c:v>
                </c:pt>
                <c:pt idx="10">
                  <c:v>-6.9</c:v>
                </c:pt>
                <c:pt idx="11">
                  <c:v>-3.8</c:v>
                </c:pt>
                <c:pt idx="12">
                  <c:v>-2.2999999999999998</c:v>
                </c:pt>
                <c:pt idx="13">
                  <c:v>0.8</c:v>
                </c:pt>
                <c:pt idx="14">
                  <c:v>0</c:v>
                </c:pt>
                <c:pt idx="15">
                  <c:v>-2.7</c:v>
                </c:pt>
                <c:pt idx="16">
                  <c:v>-4</c:v>
                </c:pt>
                <c:pt idx="17">
                  <c:v>-6.6</c:v>
                </c:pt>
                <c:pt idx="18">
                  <c:v>-8.3000000000000007</c:v>
                </c:pt>
                <c:pt idx="19">
                  <c:v>-7</c:v>
                </c:pt>
                <c:pt idx="20">
                  <c:v>-4.3</c:v>
                </c:pt>
                <c:pt idx="21">
                  <c:v>-1.7</c:v>
                </c:pt>
                <c:pt idx="22">
                  <c:v>1</c:v>
                </c:pt>
                <c:pt idx="23">
                  <c:v>1.8</c:v>
                </c:pt>
                <c:pt idx="24">
                  <c:v>1.8</c:v>
                </c:pt>
                <c:pt idx="25">
                  <c:v>1.8</c:v>
                </c:pt>
                <c:pt idx="26">
                  <c:v>1.8</c:v>
                </c:pt>
                <c:pt idx="27">
                  <c:v>1.8</c:v>
                </c:pt>
                <c:pt idx="28">
                  <c:v>-0.2</c:v>
                </c:pt>
                <c:pt idx="29">
                  <c:v>-3.2</c:v>
                </c:pt>
                <c:pt idx="30">
                  <c:v>-4.7</c:v>
                </c:pt>
                <c:pt idx="31">
                  <c:v>-7.6</c:v>
                </c:pt>
                <c:pt idx="32">
                  <c:v>-9.1</c:v>
                </c:pt>
                <c:pt idx="33">
                  <c:v>-6.5</c:v>
                </c:pt>
                <c:pt idx="34">
                  <c:v>-1.3</c:v>
                </c:pt>
                <c:pt idx="35">
                  <c:v>3.9</c:v>
                </c:pt>
                <c:pt idx="36">
                  <c:v>6.4</c:v>
                </c:pt>
                <c:pt idx="37">
                  <c:v>10.1</c:v>
                </c:pt>
                <c:pt idx="38">
                  <c:v>7.7</c:v>
                </c:pt>
                <c:pt idx="39">
                  <c:v>5.0999999999999996</c:v>
                </c:pt>
                <c:pt idx="40">
                  <c:v>3.9</c:v>
                </c:pt>
                <c:pt idx="41">
                  <c:v>1.4</c:v>
                </c:pt>
                <c:pt idx="42">
                  <c:v>5</c:v>
                </c:pt>
                <c:pt idx="43">
                  <c:v>8.1999999999999993</c:v>
                </c:pt>
                <c:pt idx="44">
                  <c:v>14.5</c:v>
                </c:pt>
                <c:pt idx="45">
                  <c:v>20.9</c:v>
                </c:pt>
                <c:pt idx="46">
                  <c:v>26.1</c:v>
                </c:pt>
                <c:pt idx="47">
                  <c:v>26.1</c:v>
                </c:pt>
                <c:pt idx="48">
                  <c:v>26.1</c:v>
                </c:pt>
                <c:pt idx="49">
                  <c:v>26.1</c:v>
                </c:pt>
                <c:pt idx="50">
                  <c:v>26.1</c:v>
                </c:pt>
                <c:pt idx="51">
                  <c:v>23.4</c:v>
                </c:pt>
                <c:pt idx="52">
                  <c:v>9.1</c:v>
                </c:pt>
                <c:pt idx="53">
                  <c:v>1.9</c:v>
                </c:pt>
                <c:pt idx="54">
                  <c:v>-12.4</c:v>
                </c:pt>
                <c:pt idx="55">
                  <c:v>-26.7</c:v>
                </c:pt>
                <c:pt idx="56">
                  <c:v>-29.6</c:v>
                </c:pt>
                <c:pt idx="57">
                  <c:v>-21.2</c:v>
                </c:pt>
                <c:pt idx="58">
                  <c:v>-12.7</c:v>
                </c:pt>
                <c:pt idx="59">
                  <c:v>-8.5</c:v>
                </c:pt>
                <c:pt idx="60">
                  <c:v>-0.1</c:v>
                </c:pt>
                <c:pt idx="61">
                  <c:v>-2.6</c:v>
                </c:pt>
                <c:pt idx="62">
                  <c:v>-6.3</c:v>
                </c:pt>
                <c:pt idx="63">
                  <c:v>-13.7</c:v>
                </c:pt>
                <c:pt idx="64">
                  <c:v>-21.1</c:v>
                </c:pt>
                <c:pt idx="65">
                  <c:v>-24.8</c:v>
                </c:pt>
                <c:pt idx="66">
                  <c:v>-18.2</c:v>
                </c:pt>
                <c:pt idx="67">
                  <c:v>-5.3</c:v>
                </c:pt>
                <c:pt idx="68">
                  <c:v>1.1000000000000001</c:v>
                </c:pt>
                <c:pt idx="69">
                  <c:v>14</c:v>
                </c:pt>
                <c:pt idx="70">
                  <c:v>24.5</c:v>
                </c:pt>
                <c:pt idx="71">
                  <c:v>24.5</c:v>
                </c:pt>
                <c:pt idx="72">
                  <c:v>24.5</c:v>
                </c:pt>
                <c:pt idx="73">
                  <c:v>24.5</c:v>
                </c:pt>
                <c:pt idx="74">
                  <c:v>24.5</c:v>
                </c:pt>
                <c:pt idx="75">
                  <c:v>21.9</c:v>
                </c:pt>
                <c:pt idx="76">
                  <c:v>8.3000000000000007</c:v>
                </c:pt>
                <c:pt idx="77">
                  <c:v>1.5</c:v>
                </c:pt>
                <c:pt idx="78">
                  <c:v>-12.3</c:v>
                </c:pt>
                <c:pt idx="79">
                  <c:v>-25.9</c:v>
                </c:pt>
                <c:pt idx="80">
                  <c:v>-28</c:v>
                </c:pt>
                <c:pt idx="81">
                  <c:v>-16.100000000000001</c:v>
                </c:pt>
                <c:pt idx="82">
                  <c:v>-4.3</c:v>
                </c:pt>
                <c:pt idx="83">
                  <c:v>1.7</c:v>
                </c:pt>
                <c:pt idx="84">
                  <c:v>13.5</c:v>
                </c:pt>
                <c:pt idx="85">
                  <c:v>13</c:v>
                </c:pt>
                <c:pt idx="86">
                  <c:v>9.9</c:v>
                </c:pt>
                <c:pt idx="87">
                  <c:v>3.7</c:v>
                </c:pt>
                <c:pt idx="88">
                  <c:v>-2.4</c:v>
                </c:pt>
                <c:pt idx="89">
                  <c:v>-5.5</c:v>
                </c:pt>
                <c:pt idx="90">
                  <c:v>-7.7</c:v>
                </c:pt>
                <c:pt idx="91">
                  <c:v>-8.1999999999999993</c:v>
                </c:pt>
                <c:pt idx="92">
                  <c:v>-8.4</c:v>
                </c:pt>
                <c:pt idx="93">
                  <c:v>-8.9</c:v>
                </c:pt>
                <c:pt idx="94">
                  <c:v>-9.3000000000000007</c:v>
                </c:pt>
                <c:pt idx="95">
                  <c:v>-9.3000000000000007</c:v>
                </c:pt>
                <c:pt idx="96">
                  <c:v>-9.3000000000000007</c:v>
                </c:pt>
                <c:pt idx="97">
                  <c:v>-9.3000000000000007</c:v>
                </c:pt>
                <c:pt idx="98">
                  <c:v>-9.3000000000000007</c:v>
                </c:pt>
                <c:pt idx="99">
                  <c:v>-8.9</c:v>
                </c:pt>
                <c:pt idx="100">
                  <c:v>-7.9</c:v>
                </c:pt>
                <c:pt idx="101">
                  <c:v>-5.9</c:v>
                </c:pt>
                <c:pt idx="102">
                  <c:v>-3.9</c:v>
                </c:pt>
                <c:pt idx="103">
                  <c:v>-2.9</c:v>
                </c:pt>
                <c:pt idx="104">
                  <c:v>-1.1000000000000001</c:v>
                </c:pt>
                <c:pt idx="105">
                  <c:v>-0.5</c:v>
                </c:pt>
                <c:pt idx="106">
                  <c:v>-0.2</c:v>
                </c:pt>
                <c:pt idx="107">
                  <c:v>0.4</c:v>
                </c:pt>
                <c:pt idx="108">
                  <c:v>1</c:v>
                </c:pt>
                <c:pt idx="109">
                  <c:v>1.1000000000000001</c:v>
                </c:pt>
                <c:pt idx="110">
                  <c:v>0.5</c:v>
                </c:pt>
                <c:pt idx="111">
                  <c:v>0.2</c:v>
                </c:pt>
                <c:pt idx="112">
                  <c:v>-0.4</c:v>
                </c:pt>
                <c:pt idx="113">
                  <c:v>-1</c:v>
                </c:pt>
                <c:pt idx="114">
                  <c:v>-1.2</c:v>
                </c:pt>
                <c:pt idx="115">
                  <c:v>-1.2</c:v>
                </c:pt>
                <c:pt idx="116">
                  <c:v>-1.2</c:v>
                </c:pt>
                <c:pt idx="117">
                  <c:v>-1.2</c:v>
                </c:pt>
                <c:pt idx="118">
                  <c:v>-1.2</c:v>
                </c:pt>
                <c:pt idx="119">
                  <c:v>-1.2</c:v>
                </c:pt>
                <c:pt idx="120">
                  <c:v>-1.2</c:v>
                </c:pt>
                <c:pt idx="121">
                  <c:v>-1.2</c:v>
                </c:pt>
                <c:pt idx="122">
                  <c:v>-1.2</c:v>
                </c:pt>
                <c:pt idx="123">
                  <c:v>-1.3</c:v>
                </c:pt>
                <c:pt idx="124">
                  <c:v>-1.5</c:v>
                </c:pt>
                <c:pt idx="125">
                  <c:v>-2</c:v>
                </c:pt>
                <c:pt idx="126">
                  <c:v>-2.5</c:v>
                </c:pt>
                <c:pt idx="127">
                  <c:v>-2.7</c:v>
                </c:pt>
                <c:pt idx="128">
                  <c:v>-3.6</c:v>
                </c:pt>
                <c:pt idx="129">
                  <c:v>-6.2</c:v>
                </c:pt>
                <c:pt idx="130">
                  <c:v>-8.8000000000000007</c:v>
                </c:pt>
                <c:pt idx="131">
                  <c:v>-10.1</c:v>
                </c:pt>
                <c:pt idx="132">
                  <c:v>-12.8</c:v>
                </c:pt>
                <c:pt idx="133">
                  <c:v>-9.6999999999999993</c:v>
                </c:pt>
                <c:pt idx="134">
                  <c:v>-4.0999999999999996</c:v>
                </c:pt>
                <c:pt idx="135">
                  <c:v>-1.3</c:v>
                </c:pt>
                <c:pt idx="136">
                  <c:v>4.3</c:v>
                </c:pt>
                <c:pt idx="137">
                  <c:v>8.1</c:v>
                </c:pt>
                <c:pt idx="138">
                  <c:v>4.0999999999999996</c:v>
                </c:pt>
                <c:pt idx="139">
                  <c:v>2.1</c:v>
                </c:pt>
                <c:pt idx="140">
                  <c:v>-1.7</c:v>
                </c:pt>
                <c:pt idx="141">
                  <c:v>-5.7</c:v>
                </c:pt>
                <c:pt idx="142">
                  <c:v>-6.9</c:v>
                </c:pt>
                <c:pt idx="143">
                  <c:v>-6.9</c:v>
                </c:pt>
                <c:pt idx="144">
                  <c:v>-6.9</c:v>
                </c:pt>
                <c:pt idx="145">
                  <c:v>-6.9</c:v>
                </c:pt>
                <c:pt idx="146">
                  <c:v>-7.2</c:v>
                </c:pt>
                <c:pt idx="147">
                  <c:v>-8.6999999999999993</c:v>
                </c:pt>
                <c:pt idx="148">
                  <c:v>-10.199999999999999</c:v>
                </c:pt>
                <c:pt idx="149">
                  <c:v>-11</c:v>
                </c:pt>
                <c:pt idx="150">
                  <c:v>-12.5</c:v>
                </c:pt>
                <c:pt idx="151">
                  <c:v>-15.3</c:v>
                </c:pt>
                <c:pt idx="152">
                  <c:v>-18.7</c:v>
                </c:pt>
                <c:pt idx="153">
                  <c:v>-22.1</c:v>
                </c:pt>
                <c:pt idx="154">
                  <c:v>-25.5</c:v>
                </c:pt>
                <c:pt idx="155">
                  <c:v>-23.9</c:v>
                </c:pt>
                <c:pt idx="156">
                  <c:v>-21.9</c:v>
                </c:pt>
                <c:pt idx="157">
                  <c:v>-17.899999999999999</c:v>
                </c:pt>
                <c:pt idx="158">
                  <c:v>-13.9</c:v>
                </c:pt>
                <c:pt idx="159">
                  <c:v>-9.9</c:v>
                </c:pt>
                <c:pt idx="160">
                  <c:v>-6.1</c:v>
                </c:pt>
                <c:pt idx="161">
                  <c:v>-2.4</c:v>
                </c:pt>
                <c:pt idx="162">
                  <c:v>1.4</c:v>
                </c:pt>
                <c:pt idx="163">
                  <c:v>4.4000000000000004</c:v>
                </c:pt>
                <c:pt idx="164">
                  <c:v>4.4000000000000004</c:v>
                </c:pt>
                <c:pt idx="165">
                  <c:v>4.4000000000000004</c:v>
                </c:pt>
                <c:pt idx="166">
                  <c:v>4.4000000000000004</c:v>
                </c:pt>
                <c:pt idx="167">
                  <c:v>4.4000000000000004</c:v>
                </c:pt>
                <c:pt idx="168">
                  <c:v>2.1</c:v>
                </c:pt>
                <c:pt idx="169">
                  <c:v>-1.2</c:v>
                </c:pt>
                <c:pt idx="170">
                  <c:v>-4.5</c:v>
                </c:pt>
                <c:pt idx="171">
                  <c:v>-7.8</c:v>
                </c:pt>
                <c:pt idx="172">
                  <c:v>-10.7</c:v>
                </c:pt>
                <c:pt idx="173">
                  <c:v>-13.5</c:v>
                </c:pt>
                <c:pt idx="174">
                  <c:v>-16.399999999999999</c:v>
                </c:pt>
                <c:pt idx="175">
                  <c:v>-19.2</c:v>
                </c:pt>
                <c:pt idx="176">
                  <c:v>-19.7</c:v>
                </c:pt>
                <c:pt idx="177">
                  <c:v>-19.100000000000001</c:v>
                </c:pt>
                <c:pt idx="178">
                  <c:v>-18.5</c:v>
                </c:pt>
                <c:pt idx="179">
                  <c:v>-18</c:v>
                </c:pt>
                <c:pt idx="180">
                  <c:v>-17.2</c:v>
                </c:pt>
                <c:pt idx="181">
                  <c:v>-16.3</c:v>
                </c:pt>
                <c:pt idx="182">
                  <c:v>-15</c:v>
                </c:pt>
                <c:pt idx="183">
                  <c:v>-14.3</c:v>
                </c:pt>
                <c:pt idx="184">
                  <c:v>-14.3</c:v>
                </c:pt>
                <c:pt idx="185">
                  <c:v>-14.3</c:v>
                </c:pt>
                <c:pt idx="186">
                  <c:v>-14.3</c:v>
                </c:pt>
                <c:pt idx="187">
                  <c:v>-14.3</c:v>
                </c:pt>
                <c:pt idx="188">
                  <c:v>-14.1</c:v>
                </c:pt>
                <c:pt idx="189">
                  <c:v>-13.9</c:v>
                </c:pt>
                <c:pt idx="190">
                  <c:v>-13.7</c:v>
                </c:pt>
                <c:pt idx="191">
                  <c:v>-13.1</c:v>
                </c:pt>
                <c:pt idx="192">
                  <c:v>-10.9</c:v>
                </c:pt>
                <c:pt idx="193">
                  <c:v>-7.5</c:v>
                </c:pt>
                <c:pt idx="194">
                  <c:v>-5.0999999999999996</c:v>
                </c:pt>
                <c:pt idx="195">
                  <c:v>-5.9</c:v>
                </c:pt>
                <c:pt idx="196">
                  <c:v>-8.3000000000000007</c:v>
                </c:pt>
                <c:pt idx="197">
                  <c:v>-10.5</c:v>
                </c:pt>
                <c:pt idx="198">
                  <c:v>-13.9</c:v>
                </c:pt>
                <c:pt idx="199">
                  <c:v>-15.2</c:v>
                </c:pt>
                <c:pt idx="200">
                  <c:v>-16.5</c:v>
                </c:pt>
                <c:pt idx="201">
                  <c:v>-17.8</c:v>
                </c:pt>
                <c:pt idx="202">
                  <c:v>-18.899999999999999</c:v>
                </c:pt>
                <c:pt idx="203">
                  <c:v>-18.899999999999999</c:v>
                </c:pt>
                <c:pt idx="204">
                  <c:v>-18.899999999999999</c:v>
                </c:pt>
                <c:pt idx="205">
                  <c:v>-18.899999999999999</c:v>
                </c:pt>
                <c:pt idx="206">
                  <c:v>-18.7</c:v>
                </c:pt>
                <c:pt idx="207">
                  <c:v>-18.600000000000001</c:v>
                </c:pt>
                <c:pt idx="208">
                  <c:v>-18.399999999999999</c:v>
                </c:pt>
                <c:pt idx="209">
                  <c:v>-18</c:v>
                </c:pt>
                <c:pt idx="210">
                  <c:v>-15.6</c:v>
                </c:pt>
                <c:pt idx="211">
                  <c:v>-13.9</c:v>
                </c:pt>
                <c:pt idx="212">
                  <c:v>-11.5</c:v>
                </c:pt>
                <c:pt idx="213">
                  <c:v>-10</c:v>
                </c:pt>
                <c:pt idx="214">
                  <c:v>-8.4</c:v>
                </c:pt>
                <c:pt idx="215">
                  <c:v>-6.1</c:v>
                </c:pt>
                <c:pt idx="216">
                  <c:v>-6.1</c:v>
                </c:pt>
                <c:pt idx="217">
                  <c:v>-7.3</c:v>
                </c:pt>
                <c:pt idx="218">
                  <c:v>-8.1</c:v>
                </c:pt>
                <c:pt idx="219">
                  <c:v>-8.8000000000000007</c:v>
                </c:pt>
                <c:pt idx="220">
                  <c:v>-8.8000000000000007</c:v>
                </c:pt>
                <c:pt idx="221">
                  <c:v>-8.8000000000000007</c:v>
                </c:pt>
                <c:pt idx="222">
                  <c:v>-8.9</c:v>
                </c:pt>
                <c:pt idx="223">
                  <c:v>-9.5</c:v>
                </c:pt>
                <c:pt idx="224">
                  <c:v>-10.4</c:v>
                </c:pt>
                <c:pt idx="225">
                  <c:v>-11</c:v>
                </c:pt>
                <c:pt idx="226">
                  <c:v>-9.5</c:v>
                </c:pt>
                <c:pt idx="227">
                  <c:v>-7.4</c:v>
                </c:pt>
                <c:pt idx="228">
                  <c:v>-6</c:v>
                </c:pt>
                <c:pt idx="229">
                  <c:v>-4.9000000000000004</c:v>
                </c:pt>
                <c:pt idx="230">
                  <c:v>-4.2</c:v>
                </c:pt>
                <c:pt idx="231">
                  <c:v>-3.3</c:v>
                </c:pt>
                <c:pt idx="232">
                  <c:v>-1.4</c:v>
                </c:pt>
                <c:pt idx="233">
                  <c:v>0</c:v>
                </c:pt>
                <c:pt idx="234">
                  <c:v>2.1</c:v>
                </c:pt>
                <c:pt idx="235">
                  <c:v>2.5</c:v>
                </c:pt>
                <c:pt idx="236">
                  <c:v>2.5</c:v>
                </c:pt>
                <c:pt idx="237">
                  <c:v>2.5</c:v>
                </c:pt>
                <c:pt idx="238">
                  <c:v>0.8</c:v>
                </c:pt>
                <c:pt idx="239">
                  <c:v>-1.3</c:v>
                </c:pt>
                <c:pt idx="240">
                  <c:v>-2.7</c:v>
                </c:pt>
                <c:pt idx="241">
                  <c:v>-4.4000000000000004</c:v>
                </c:pt>
                <c:pt idx="242">
                  <c:v>-6</c:v>
                </c:pt>
                <c:pt idx="243">
                  <c:v>-7.3</c:v>
                </c:pt>
                <c:pt idx="244">
                  <c:v>-5.9</c:v>
                </c:pt>
                <c:pt idx="245">
                  <c:v>-4.5</c:v>
                </c:pt>
                <c:pt idx="246">
                  <c:v>-3.5</c:v>
                </c:pt>
                <c:pt idx="247">
                  <c:v>-3.2</c:v>
                </c:pt>
                <c:pt idx="248">
                  <c:v>-2.7</c:v>
                </c:pt>
                <c:pt idx="249">
                  <c:v>-2.5</c:v>
                </c:pt>
                <c:pt idx="250">
                  <c:v>-2.5</c:v>
                </c:pt>
                <c:pt idx="251">
                  <c:v>-2.5</c:v>
                </c:pt>
                <c:pt idx="252">
                  <c:v>-3.1</c:v>
                </c:pt>
                <c:pt idx="253">
                  <c:v>-3.8</c:v>
                </c:pt>
                <c:pt idx="254">
                  <c:v>-4.0999999999999996</c:v>
                </c:pt>
                <c:pt idx="255">
                  <c:v>-1.7</c:v>
                </c:pt>
                <c:pt idx="256">
                  <c:v>0.2</c:v>
                </c:pt>
                <c:pt idx="257">
                  <c:v>2.1</c:v>
                </c:pt>
                <c:pt idx="258">
                  <c:v>3.9</c:v>
                </c:pt>
                <c:pt idx="259">
                  <c:v>5.3</c:v>
                </c:pt>
                <c:pt idx="260">
                  <c:v>2.5</c:v>
                </c:pt>
                <c:pt idx="261">
                  <c:v>0.4</c:v>
                </c:pt>
                <c:pt idx="262">
                  <c:v>0</c:v>
                </c:pt>
                <c:pt idx="263">
                  <c:v>0</c:v>
                </c:pt>
                <c:pt idx="264">
                  <c:v>0.3</c:v>
                </c:pt>
                <c:pt idx="265">
                  <c:v>1</c:v>
                </c:pt>
                <c:pt idx="266">
                  <c:v>1.7</c:v>
                </c:pt>
                <c:pt idx="267">
                  <c:v>1.3</c:v>
                </c:pt>
                <c:pt idx="268">
                  <c:v>0.7</c:v>
                </c:pt>
                <c:pt idx="269">
                  <c:v>0.9</c:v>
                </c:pt>
                <c:pt idx="270">
                  <c:v>1.5</c:v>
                </c:pt>
                <c:pt idx="271">
                  <c:v>1.8</c:v>
                </c:pt>
                <c:pt idx="272">
                  <c:v>1.8</c:v>
                </c:pt>
                <c:pt idx="273">
                  <c:v>1.8</c:v>
                </c:pt>
                <c:pt idx="274">
                  <c:v>1.8</c:v>
                </c:pt>
                <c:pt idx="275">
                  <c:v>1.1000000000000001</c:v>
                </c:pt>
                <c:pt idx="276">
                  <c:v>-0.1</c:v>
                </c:pt>
                <c:pt idx="277">
                  <c:v>-1.9</c:v>
                </c:pt>
                <c:pt idx="278">
                  <c:v>-2.8</c:v>
                </c:pt>
                <c:pt idx="279">
                  <c:v>-3.5</c:v>
                </c:pt>
                <c:pt idx="280">
                  <c:v>-1.3</c:v>
                </c:pt>
                <c:pt idx="281">
                  <c:v>0.7</c:v>
                </c:pt>
                <c:pt idx="282">
                  <c:v>1.3</c:v>
                </c:pt>
                <c:pt idx="283">
                  <c:v>1.8</c:v>
                </c:pt>
                <c:pt idx="284">
                  <c:v>1.8</c:v>
                </c:pt>
                <c:pt idx="285">
                  <c:v>1.8</c:v>
                </c:pt>
                <c:pt idx="286">
                  <c:v>2.2999999999999998</c:v>
                </c:pt>
                <c:pt idx="287">
                  <c:v>2.2000000000000002</c:v>
                </c:pt>
                <c:pt idx="288">
                  <c:v>1.2</c:v>
                </c:pt>
                <c:pt idx="289">
                  <c:v>0.9</c:v>
                </c:pt>
                <c:pt idx="290">
                  <c:v>1.5</c:v>
                </c:pt>
                <c:pt idx="291">
                  <c:v>0.8</c:v>
                </c:pt>
                <c:pt idx="292">
                  <c:v>-0.6</c:v>
                </c:pt>
                <c:pt idx="293">
                  <c:v>-0.6</c:v>
                </c:pt>
                <c:pt idx="294">
                  <c:v>-0.5</c:v>
                </c:pt>
                <c:pt idx="295">
                  <c:v>-0.1</c:v>
                </c:pt>
                <c:pt idx="296">
                  <c:v>-0.3</c:v>
                </c:pt>
                <c:pt idx="297">
                  <c:v>-1.1000000000000001</c:v>
                </c:pt>
                <c:pt idx="298">
                  <c:v>-3.1</c:v>
                </c:pt>
                <c:pt idx="299">
                  <c:v>-3.5</c:v>
                </c:pt>
                <c:pt idx="300">
                  <c:v>-3.1</c:v>
                </c:pt>
                <c:pt idx="301">
                  <c:v>-3.1</c:v>
                </c:pt>
                <c:pt idx="302">
                  <c:v>-6.5</c:v>
                </c:pt>
                <c:pt idx="303">
                  <c:v>-11.1</c:v>
                </c:pt>
                <c:pt idx="304">
                  <c:v>-15.1</c:v>
                </c:pt>
                <c:pt idx="305">
                  <c:v>-10.4</c:v>
                </c:pt>
                <c:pt idx="306">
                  <c:v>-15.3</c:v>
                </c:pt>
                <c:pt idx="307">
                  <c:v>-17.8</c:v>
                </c:pt>
                <c:pt idx="308">
                  <c:v>-19.7</c:v>
                </c:pt>
                <c:pt idx="309">
                  <c:v>-17.7</c:v>
                </c:pt>
                <c:pt idx="310">
                  <c:v>-9.6999999999999993</c:v>
                </c:pt>
                <c:pt idx="311">
                  <c:v>-24.6</c:v>
                </c:pt>
                <c:pt idx="312">
                  <c:v>-33.1</c:v>
                </c:pt>
                <c:pt idx="313">
                  <c:v>-33.1</c:v>
                </c:pt>
                <c:pt idx="314">
                  <c:v>-34.299999999999997</c:v>
                </c:pt>
                <c:pt idx="315">
                  <c:v>-40.200000000000003</c:v>
                </c:pt>
                <c:pt idx="316">
                  <c:v>-44.3</c:v>
                </c:pt>
                <c:pt idx="317">
                  <c:v>-44.1</c:v>
                </c:pt>
                <c:pt idx="318">
                  <c:v>-43.6</c:v>
                </c:pt>
                <c:pt idx="319">
                  <c:v>-44.3</c:v>
                </c:pt>
                <c:pt idx="320">
                  <c:v>-47.2</c:v>
                </c:pt>
                <c:pt idx="321">
                  <c:v>-13.5</c:v>
                </c:pt>
                <c:pt idx="322">
                  <c:v>-11.3</c:v>
                </c:pt>
                <c:pt idx="323">
                  <c:v>-26.9</c:v>
                </c:pt>
                <c:pt idx="324">
                  <c:v>-37.5</c:v>
                </c:pt>
                <c:pt idx="325">
                  <c:v>-59.1</c:v>
                </c:pt>
                <c:pt idx="326">
                  <c:v>-58.6</c:v>
                </c:pt>
                <c:pt idx="327">
                  <c:v>-57.9</c:v>
                </c:pt>
                <c:pt idx="328">
                  <c:v>-52.2</c:v>
                </c:pt>
                <c:pt idx="329">
                  <c:v>-46.4</c:v>
                </c:pt>
                <c:pt idx="330">
                  <c:v>-45.3</c:v>
                </c:pt>
                <c:pt idx="331">
                  <c:v>-45.5</c:v>
                </c:pt>
                <c:pt idx="332">
                  <c:v>-44.3</c:v>
                </c:pt>
                <c:pt idx="333">
                  <c:v>-28.1</c:v>
                </c:pt>
                <c:pt idx="334">
                  <c:v>-17.899999999999999</c:v>
                </c:pt>
                <c:pt idx="335">
                  <c:v>-32.200000000000003</c:v>
                </c:pt>
                <c:pt idx="336">
                  <c:v>-31.5</c:v>
                </c:pt>
                <c:pt idx="337">
                  <c:v>-18.399999999999999</c:v>
                </c:pt>
                <c:pt idx="338">
                  <c:v>-24.9</c:v>
                </c:pt>
                <c:pt idx="339">
                  <c:v>-34</c:v>
                </c:pt>
                <c:pt idx="340">
                  <c:v>-40.5</c:v>
                </c:pt>
                <c:pt idx="341">
                  <c:v>-40.299999999999997</c:v>
                </c:pt>
                <c:pt idx="342">
                  <c:v>-65.3</c:v>
                </c:pt>
                <c:pt idx="343">
                  <c:v>-78.400000000000006</c:v>
                </c:pt>
                <c:pt idx="344">
                  <c:v>-74.400000000000006</c:v>
                </c:pt>
                <c:pt idx="345">
                  <c:v>-59.9</c:v>
                </c:pt>
                <c:pt idx="346">
                  <c:v>-52.3</c:v>
                </c:pt>
                <c:pt idx="347">
                  <c:v>-48.5</c:v>
                </c:pt>
                <c:pt idx="348">
                  <c:v>-44</c:v>
                </c:pt>
                <c:pt idx="349">
                  <c:v>-24.3</c:v>
                </c:pt>
                <c:pt idx="350">
                  <c:v>-9.3000000000000007</c:v>
                </c:pt>
                <c:pt idx="351">
                  <c:v>-9.3000000000000007</c:v>
                </c:pt>
                <c:pt idx="352">
                  <c:v>-18.2</c:v>
                </c:pt>
                <c:pt idx="353">
                  <c:v>-36.9</c:v>
                </c:pt>
                <c:pt idx="354">
                  <c:v>-43.4</c:v>
                </c:pt>
                <c:pt idx="355">
                  <c:v>-44.2</c:v>
                </c:pt>
                <c:pt idx="356">
                  <c:v>-38.700000000000003</c:v>
                </c:pt>
                <c:pt idx="357">
                  <c:v>-35.299999999999997</c:v>
                </c:pt>
                <c:pt idx="358">
                  <c:v>-33.1</c:v>
                </c:pt>
                <c:pt idx="359">
                  <c:v>-33.1</c:v>
                </c:pt>
                <c:pt idx="360">
                  <c:v>-29.3</c:v>
                </c:pt>
                <c:pt idx="361">
                  <c:v>-23.1</c:v>
                </c:pt>
                <c:pt idx="362">
                  <c:v>-20.399999999999999</c:v>
                </c:pt>
                <c:pt idx="363">
                  <c:v>-18.100000000000001</c:v>
                </c:pt>
                <c:pt idx="364">
                  <c:v>-14.5</c:v>
                </c:pt>
                <c:pt idx="365">
                  <c:v>-9.1</c:v>
                </c:pt>
                <c:pt idx="366">
                  <c:v>-7.4</c:v>
                </c:pt>
                <c:pt idx="367">
                  <c:v>-7.4</c:v>
                </c:pt>
                <c:pt idx="368">
                  <c:v>-5.3</c:v>
                </c:pt>
                <c:pt idx="369">
                  <c:v>-2.9</c:v>
                </c:pt>
                <c:pt idx="370">
                  <c:v>-1.5</c:v>
                </c:pt>
                <c:pt idx="371">
                  <c:v>-0.1</c:v>
                </c:pt>
                <c:pt idx="372">
                  <c:v>0.6</c:v>
                </c:pt>
                <c:pt idx="373">
                  <c:v>0.6</c:v>
                </c:pt>
                <c:pt idx="374">
                  <c:v>0.8</c:v>
                </c:pt>
                <c:pt idx="375">
                  <c:v>1.4</c:v>
                </c:pt>
                <c:pt idx="376">
                  <c:v>1.8</c:v>
                </c:pt>
                <c:pt idx="377">
                  <c:v>1.8</c:v>
                </c:pt>
                <c:pt idx="378">
                  <c:v>1.9</c:v>
                </c:pt>
                <c:pt idx="379">
                  <c:v>3.1</c:v>
                </c:pt>
                <c:pt idx="380">
                  <c:v>4.7</c:v>
                </c:pt>
                <c:pt idx="381">
                  <c:v>4.4000000000000004</c:v>
                </c:pt>
                <c:pt idx="382">
                  <c:v>3.5</c:v>
                </c:pt>
                <c:pt idx="383">
                  <c:v>3.1</c:v>
                </c:pt>
                <c:pt idx="384">
                  <c:v>3.1</c:v>
                </c:pt>
                <c:pt idx="385">
                  <c:v>3.1</c:v>
                </c:pt>
                <c:pt idx="386">
                  <c:v>3.1</c:v>
                </c:pt>
                <c:pt idx="387">
                  <c:v>3.1</c:v>
                </c:pt>
                <c:pt idx="388">
                  <c:v>3.1</c:v>
                </c:pt>
                <c:pt idx="389">
                  <c:v>3.1</c:v>
                </c:pt>
                <c:pt idx="390">
                  <c:v>3.2</c:v>
                </c:pt>
                <c:pt idx="391">
                  <c:v>3.4</c:v>
                </c:pt>
                <c:pt idx="392">
                  <c:v>3.7</c:v>
                </c:pt>
                <c:pt idx="393">
                  <c:v>3.3</c:v>
                </c:pt>
                <c:pt idx="394">
                  <c:v>2.7</c:v>
                </c:pt>
                <c:pt idx="395">
                  <c:v>3.6</c:v>
                </c:pt>
                <c:pt idx="396">
                  <c:v>5.9</c:v>
                </c:pt>
                <c:pt idx="397">
                  <c:v>8.3000000000000007</c:v>
                </c:pt>
                <c:pt idx="398">
                  <c:v>7.1</c:v>
                </c:pt>
                <c:pt idx="399">
                  <c:v>5</c:v>
                </c:pt>
                <c:pt idx="400">
                  <c:v>3.1</c:v>
                </c:pt>
                <c:pt idx="401">
                  <c:v>3.1</c:v>
                </c:pt>
                <c:pt idx="402">
                  <c:v>3.1</c:v>
                </c:pt>
                <c:pt idx="403">
                  <c:v>2</c:v>
                </c:pt>
                <c:pt idx="404">
                  <c:v>-0.3</c:v>
                </c:pt>
                <c:pt idx="405">
                  <c:v>-2.6</c:v>
                </c:pt>
                <c:pt idx="406">
                  <c:v>-6.4</c:v>
                </c:pt>
                <c:pt idx="407">
                  <c:v>-10.6</c:v>
                </c:pt>
                <c:pt idx="408">
                  <c:v>-14.3</c:v>
                </c:pt>
                <c:pt idx="409">
                  <c:v>-13.7</c:v>
                </c:pt>
                <c:pt idx="410">
                  <c:v>-13.1</c:v>
                </c:pt>
                <c:pt idx="411">
                  <c:v>-15.9</c:v>
                </c:pt>
                <c:pt idx="412">
                  <c:v>-19.5</c:v>
                </c:pt>
                <c:pt idx="413">
                  <c:v>-22.8</c:v>
                </c:pt>
                <c:pt idx="414">
                  <c:v>-22.8</c:v>
                </c:pt>
                <c:pt idx="415">
                  <c:v>-22.8</c:v>
                </c:pt>
                <c:pt idx="416">
                  <c:v>-24.1</c:v>
                </c:pt>
                <c:pt idx="417">
                  <c:v>-27.1</c:v>
                </c:pt>
                <c:pt idx="418">
                  <c:v>-30</c:v>
                </c:pt>
                <c:pt idx="419">
                  <c:v>-33.299999999999997</c:v>
                </c:pt>
                <c:pt idx="420">
                  <c:v>-35.799999999999997</c:v>
                </c:pt>
                <c:pt idx="421">
                  <c:v>-37.9</c:v>
                </c:pt>
                <c:pt idx="422">
                  <c:v>-39.9</c:v>
                </c:pt>
                <c:pt idx="423">
                  <c:v>-41.7</c:v>
                </c:pt>
                <c:pt idx="424">
                  <c:v>-42.6</c:v>
                </c:pt>
                <c:pt idx="425">
                  <c:v>-43.1</c:v>
                </c:pt>
                <c:pt idx="426">
                  <c:v>-43.3</c:v>
                </c:pt>
                <c:pt idx="427">
                  <c:v>-43.3</c:v>
                </c:pt>
                <c:pt idx="428">
                  <c:v>-43.3</c:v>
                </c:pt>
                <c:pt idx="429">
                  <c:v>-42.3</c:v>
                </c:pt>
                <c:pt idx="430">
                  <c:v>-41.5</c:v>
                </c:pt>
                <c:pt idx="431">
                  <c:v>-37.6</c:v>
                </c:pt>
                <c:pt idx="432">
                  <c:v>-30.2</c:v>
                </c:pt>
                <c:pt idx="433">
                  <c:v>-22.5</c:v>
                </c:pt>
                <c:pt idx="434">
                  <c:v>-32.299999999999997</c:v>
                </c:pt>
                <c:pt idx="435">
                  <c:v>-42.3</c:v>
                </c:pt>
                <c:pt idx="436">
                  <c:v>-50.9</c:v>
                </c:pt>
                <c:pt idx="437">
                  <c:v>-60.7</c:v>
                </c:pt>
                <c:pt idx="438">
                  <c:v>-67.099999999999994</c:v>
                </c:pt>
                <c:pt idx="439">
                  <c:v>-67.099999999999994</c:v>
                </c:pt>
                <c:pt idx="440">
                  <c:v>-67.099999999999994</c:v>
                </c:pt>
                <c:pt idx="441">
                  <c:v>-64.3</c:v>
                </c:pt>
                <c:pt idx="442">
                  <c:v>-59.3</c:v>
                </c:pt>
                <c:pt idx="443">
                  <c:v>-57.1</c:v>
                </c:pt>
                <c:pt idx="444">
                  <c:v>-56.5</c:v>
                </c:pt>
                <c:pt idx="445">
                  <c:v>-55.5</c:v>
                </c:pt>
                <c:pt idx="446">
                  <c:v>-54.3</c:v>
                </c:pt>
                <c:pt idx="447">
                  <c:v>-52.5</c:v>
                </c:pt>
                <c:pt idx="448">
                  <c:v>-53.6</c:v>
                </c:pt>
                <c:pt idx="449">
                  <c:v>-55.3</c:v>
                </c:pt>
                <c:pt idx="450">
                  <c:v>-56.9</c:v>
                </c:pt>
                <c:pt idx="451">
                  <c:v>-56.9</c:v>
                </c:pt>
                <c:pt idx="452">
                  <c:v>-56.8</c:v>
                </c:pt>
                <c:pt idx="453">
                  <c:v>-56.2</c:v>
                </c:pt>
                <c:pt idx="454">
                  <c:v>-55.3</c:v>
                </c:pt>
                <c:pt idx="455">
                  <c:v>-54.5</c:v>
                </c:pt>
                <c:pt idx="456">
                  <c:v>-53.3</c:v>
                </c:pt>
                <c:pt idx="457">
                  <c:v>-52.4</c:v>
                </c:pt>
                <c:pt idx="458">
                  <c:v>-51.2</c:v>
                </c:pt>
                <c:pt idx="459">
                  <c:v>-49.2</c:v>
                </c:pt>
                <c:pt idx="460">
                  <c:v>-39.5</c:v>
                </c:pt>
                <c:pt idx="461">
                  <c:v>-26.5</c:v>
                </c:pt>
                <c:pt idx="462">
                  <c:v>-24.5</c:v>
                </c:pt>
                <c:pt idx="463">
                  <c:v>-24.5</c:v>
                </c:pt>
                <c:pt idx="464">
                  <c:v>-30.1</c:v>
                </c:pt>
                <c:pt idx="465">
                  <c:v>-42.2</c:v>
                </c:pt>
                <c:pt idx="466">
                  <c:v>-56.9</c:v>
                </c:pt>
                <c:pt idx="467">
                  <c:v>-57.3</c:v>
                </c:pt>
                <c:pt idx="468">
                  <c:v>-57.8</c:v>
                </c:pt>
                <c:pt idx="469">
                  <c:v>-57.1</c:v>
                </c:pt>
                <c:pt idx="470">
                  <c:v>-55.7</c:v>
                </c:pt>
                <c:pt idx="471">
                  <c:v>-55.2</c:v>
                </c:pt>
                <c:pt idx="472">
                  <c:v>-55.1</c:v>
                </c:pt>
                <c:pt idx="473">
                  <c:v>-55</c:v>
                </c:pt>
                <c:pt idx="474">
                  <c:v>-55</c:v>
                </c:pt>
                <c:pt idx="475">
                  <c:v>-55</c:v>
                </c:pt>
                <c:pt idx="476">
                  <c:v>-54.3</c:v>
                </c:pt>
                <c:pt idx="477">
                  <c:v>-53.5</c:v>
                </c:pt>
                <c:pt idx="478">
                  <c:v>-52.5</c:v>
                </c:pt>
                <c:pt idx="479">
                  <c:v>-51.8</c:v>
                </c:pt>
                <c:pt idx="480">
                  <c:v>-51.1</c:v>
                </c:pt>
                <c:pt idx="481">
                  <c:v>-52.5</c:v>
                </c:pt>
                <c:pt idx="482">
                  <c:v>-53.9</c:v>
                </c:pt>
                <c:pt idx="483">
                  <c:v>-54.3</c:v>
                </c:pt>
                <c:pt idx="484">
                  <c:v>-53.6</c:v>
                </c:pt>
                <c:pt idx="485">
                  <c:v>-53.1</c:v>
                </c:pt>
                <c:pt idx="486">
                  <c:v>-53.1</c:v>
                </c:pt>
                <c:pt idx="487">
                  <c:v>-53.1</c:v>
                </c:pt>
                <c:pt idx="488">
                  <c:v>-53.3</c:v>
                </c:pt>
                <c:pt idx="489">
                  <c:v>-53.7</c:v>
                </c:pt>
                <c:pt idx="490">
                  <c:v>-52.3</c:v>
                </c:pt>
                <c:pt idx="491">
                  <c:v>-39.4</c:v>
                </c:pt>
                <c:pt idx="492">
                  <c:v>-22.2</c:v>
                </c:pt>
                <c:pt idx="493">
                  <c:v>-30.3</c:v>
                </c:pt>
                <c:pt idx="494">
                  <c:v>-44</c:v>
                </c:pt>
                <c:pt idx="495">
                  <c:v>-55.8</c:v>
                </c:pt>
                <c:pt idx="496">
                  <c:v>-55.2</c:v>
                </c:pt>
                <c:pt idx="497">
                  <c:v>-54.3</c:v>
                </c:pt>
                <c:pt idx="498">
                  <c:v>-54.2</c:v>
                </c:pt>
                <c:pt idx="499">
                  <c:v>-54.2</c:v>
                </c:pt>
                <c:pt idx="500">
                  <c:v>-54.1</c:v>
                </c:pt>
                <c:pt idx="501">
                  <c:v>-53.5</c:v>
                </c:pt>
                <c:pt idx="502">
                  <c:v>-52.9</c:v>
                </c:pt>
                <c:pt idx="503">
                  <c:v>-51.9</c:v>
                </c:pt>
                <c:pt idx="504">
                  <c:v>-50.5</c:v>
                </c:pt>
                <c:pt idx="505">
                  <c:v>-49.1</c:v>
                </c:pt>
                <c:pt idx="506">
                  <c:v>-48.2</c:v>
                </c:pt>
                <c:pt idx="507">
                  <c:v>-47.5</c:v>
                </c:pt>
                <c:pt idx="508">
                  <c:v>-46.9</c:v>
                </c:pt>
                <c:pt idx="509">
                  <c:v>-47.8</c:v>
                </c:pt>
                <c:pt idx="510">
                  <c:v>-48.6</c:v>
                </c:pt>
                <c:pt idx="511">
                  <c:v>-49.1</c:v>
                </c:pt>
                <c:pt idx="512">
                  <c:v>-49.1</c:v>
                </c:pt>
                <c:pt idx="513">
                  <c:v>-49.1</c:v>
                </c:pt>
                <c:pt idx="514">
                  <c:v>-49.5</c:v>
                </c:pt>
                <c:pt idx="515">
                  <c:v>-50</c:v>
                </c:pt>
                <c:pt idx="516">
                  <c:v>-50.3</c:v>
                </c:pt>
                <c:pt idx="517">
                  <c:v>-49.6</c:v>
                </c:pt>
                <c:pt idx="518">
                  <c:v>-48.9</c:v>
                </c:pt>
                <c:pt idx="519">
                  <c:v>-42.6</c:v>
                </c:pt>
                <c:pt idx="520">
                  <c:v>-29.8</c:v>
                </c:pt>
                <c:pt idx="521">
                  <c:v>-21.3</c:v>
                </c:pt>
                <c:pt idx="522">
                  <c:v>-13.2</c:v>
                </c:pt>
                <c:pt idx="523">
                  <c:v>-10.9</c:v>
                </c:pt>
                <c:pt idx="524">
                  <c:v>-8.6</c:v>
                </c:pt>
                <c:pt idx="525">
                  <c:v>-8.1</c:v>
                </c:pt>
                <c:pt idx="526">
                  <c:v>-8.1</c:v>
                </c:pt>
                <c:pt idx="527">
                  <c:v>-8.6999999999999993</c:v>
                </c:pt>
                <c:pt idx="528">
                  <c:v>-11.8</c:v>
                </c:pt>
                <c:pt idx="529">
                  <c:v>-16.5</c:v>
                </c:pt>
                <c:pt idx="530">
                  <c:v>-19.899999999999999</c:v>
                </c:pt>
                <c:pt idx="531">
                  <c:v>-13.7</c:v>
                </c:pt>
                <c:pt idx="532">
                  <c:v>-7.7</c:v>
                </c:pt>
                <c:pt idx="533">
                  <c:v>-3.8</c:v>
                </c:pt>
                <c:pt idx="534">
                  <c:v>1.2</c:v>
                </c:pt>
                <c:pt idx="535">
                  <c:v>6.1</c:v>
                </c:pt>
                <c:pt idx="536">
                  <c:v>9.5</c:v>
                </c:pt>
                <c:pt idx="537">
                  <c:v>10.3</c:v>
                </c:pt>
                <c:pt idx="538">
                  <c:v>11.7</c:v>
                </c:pt>
                <c:pt idx="539">
                  <c:v>12.4</c:v>
                </c:pt>
                <c:pt idx="540">
                  <c:v>12.4</c:v>
                </c:pt>
                <c:pt idx="541">
                  <c:v>12.4</c:v>
                </c:pt>
                <c:pt idx="542">
                  <c:v>12.5</c:v>
                </c:pt>
                <c:pt idx="543">
                  <c:v>12.7</c:v>
                </c:pt>
                <c:pt idx="544">
                  <c:v>12.9</c:v>
                </c:pt>
                <c:pt idx="545">
                  <c:v>13.3</c:v>
                </c:pt>
                <c:pt idx="546">
                  <c:v>14</c:v>
                </c:pt>
                <c:pt idx="547">
                  <c:v>14.4</c:v>
                </c:pt>
                <c:pt idx="548">
                  <c:v>16.3</c:v>
                </c:pt>
                <c:pt idx="549">
                  <c:v>19.5</c:v>
                </c:pt>
                <c:pt idx="550">
                  <c:v>21.7</c:v>
                </c:pt>
                <c:pt idx="551">
                  <c:v>26.3</c:v>
                </c:pt>
                <c:pt idx="552">
                  <c:v>32.700000000000003</c:v>
                </c:pt>
                <c:pt idx="553">
                  <c:v>37</c:v>
                </c:pt>
                <c:pt idx="554">
                  <c:v>40.5</c:v>
                </c:pt>
                <c:pt idx="555">
                  <c:v>40.5</c:v>
                </c:pt>
                <c:pt idx="556">
                  <c:v>40.5</c:v>
                </c:pt>
                <c:pt idx="557">
                  <c:v>41.6</c:v>
                </c:pt>
                <c:pt idx="558">
                  <c:v>44.1</c:v>
                </c:pt>
                <c:pt idx="559">
                  <c:v>45.8</c:v>
                </c:pt>
                <c:pt idx="560">
                  <c:v>42.9</c:v>
                </c:pt>
                <c:pt idx="561">
                  <c:v>33.799999999999997</c:v>
                </c:pt>
                <c:pt idx="562">
                  <c:v>27.7</c:v>
                </c:pt>
                <c:pt idx="563">
                  <c:v>25.9</c:v>
                </c:pt>
                <c:pt idx="564">
                  <c:v>32.5</c:v>
                </c:pt>
                <c:pt idx="565">
                  <c:v>39.1</c:v>
                </c:pt>
                <c:pt idx="566">
                  <c:v>40.4</c:v>
                </c:pt>
                <c:pt idx="567">
                  <c:v>40.299999999999997</c:v>
                </c:pt>
                <c:pt idx="568">
                  <c:v>40.1</c:v>
                </c:pt>
                <c:pt idx="569">
                  <c:v>40.1</c:v>
                </c:pt>
                <c:pt idx="570">
                  <c:v>40.1</c:v>
                </c:pt>
                <c:pt idx="571">
                  <c:v>40.1</c:v>
                </c:pt>
                <c:pt idx="572">
                  <c:v>38.700000000000003</c:v>
                </c:pt>
                <c:pt idx="573">
                  <c:v>36.9</c:v>
                </c:pt>
                <c:pt idx="574">
                  <c:v>35.700000000000003</c:v>
                </c:pt>
                <c:pt idx="575">
                  <c:v>32.9</c:v>
                </c:pt>
                <c:pt idx="576">
                  <c:v>29.8</c:v>
                </c:pt>
                <c:pt idx="577">
                  <c:v>27.4</c:v>
                </c:pt>
                <c:pt idx="578">
                  <c:v>30.1</c:v>
                </c:pt>
                <c:pt idx="579">
                  <c:v>31.8</c:v>
                </c:pt>
                <c:pt idx="580">
                  <c:v>35.1</c:v>
                </c:pt>
                <c:pt idx="581">
                  <c:v>42.7</c:v>
                </c:pt>
                <c:pt idx="582">
                  <c:v>50.5</c:v>
                </c:pt>
                <c:pt idx="583">
                  <c:v>54.6</c:v>
                </c:pt>
                <c:pt idx="584">
                  <c:v>54.6</c:v>
                </c:pt>
                <c:pt idx="585">
                  <c:v>54.6</c:v>
                </c:pt>
                <c:pt idx="586">
                  <c:v>57.4</c:v>
                </c:pt>
                <c:pt idx="587">
                  <c:v>63.5</c:v>
                </c:pt>
                <c:pt idx="588">
                  <c:v>69.7</c:v>
                </c:pt>
                <c:pt idx="589">
                  <c:v>70.7</c:v>
                </c:pt>
                <c:pt idx="590">
                  <c:v>70.400000000000006</c:v>
                </c:pt>
                <c:pt idx="591">
                  <c:v>70</c:v>
                </c:pt>
                <c:pt idx="592">
                  <c:v>68.5</c:v>
                </c:pt>
                <c:pt idx="593">
                  <c:v>67.099999999999994</c:v>
                </c:pt>
                <c:pt idx="594">
                  <c:v>60.7</c:v>
                </c:pt>
                <c:pt idx="595">
                  <c:v>48.4</c:v>
                </c:pt>
                <c:pt idx="596">
                  <c:v>36.1</c:v>
                </c:pt>
                <c:pt idx="597">
                  <c:v>33.6</c:v>
                </c:pt>
                <c:pt idx="598">
                  <c:v>33.6</c:v>
                </c:pt>
                <c:pt idx="599">
                  <c:v>33.6</c:v>
                </c:pt>
                <c:pt idx="600">
                  <c:v>43.4</c:v>
                </c:pt>
                <c:pt idx="601">
                  <c:v>55.8</c:v>
                </c:pt>
                <c:pt idx="602">
                  <c:v>66.400000000000006</c:v>
                </c:pt>
                <c:pt idx="603">
                  <c:v>64.8</c:v>
                </c:pt>
                <c:pt idx="604">
                  <c:v>63.2</c:v>
                </c:pt>
                <c:pt idx="605">
                  <c:v>61.5</c:v>
                </c:pt>
                <c:pt idx="606">
                  <c:v>59.8</c:v>
                </c:pt>
                <c:pt idx="607">
                  <c:v>58.1</c:v>
                </c:pt>
                <c:pt idx="608">
                  <c:v>56.9</c:v>
                </c:pt>
                <c:pt idx="609">
                  <c:v>55.9</c:v>
                </c:pt>
                <c:pt idx="610">
                  <c:v>55</c:v>
                </c:pt>
                <c:pt idx="611">
                  <c:v>55</c:v>
                </c:pt>
                <c:pt idx="612">
                  <c:v>55</c:v>
                </c:pt>
                <c:pt idx="613">
                  <c:v>54.8</c:v>
                </c:pt>
                <c:pt idx="614">
                  <c:v>54.5</c:v>
                </c:pt>
                <c:pt idx="615">
                  <c:v>54.1</c:v>
                </c:pt>
                <c:pt idx="616">
                  <c:v>53.5</c:v>
                </c:pt>
                <c:pt idx="617">
                  <c:v>52.5</c:v>
                </c:pt>
                <c:pt idx="618">
                  <c:v>51.5</c:v>
                </c:pt>
                <c:pt idx="619">
                  <c:v>52</c:v>
                </c:pt>
                <c:pt idx="620">
                  <c:v>52.9</c:v>
                </c:pt>
                <c:pt idx="621">
                  <c:v>53.4</c:v>
                </c:pt>
                <c:pt idx="622">
                  <c:v>52</c:v>
                </c:pt>
                <c:pt idx="623">
                  <c:v>50.5</c:v>
                </c:pt>
                <c:pt idx="624">
                  <c:v>49.8</c:v>
                </c:pt>
                <c:pt idx="625">
                  <c:v>49.8</c:v>
                </c:pt>
                <c:pt idx="626">
                  <c:v>49.8</c:v>
                </c:pt>
                <c:pt idx="627">
                  <c:v>50</c:v>
                </c:pt>
                <c:pt idx="628">
                  <c:v>50.5</c:v>
                </c:pt>
                <c:pt idx="629">
                  <c:v>50.9</c:v>
                </c:pt>
                <c:pt idx="630">
                  <c:v>42.6</c:v>
                </c:pt>
                <c:pt idx="631">
                  <c:v>35.6</c:v>
                </c:pt>
                <c:pt idx="632">
                  <c:v>25</c:v>
                </c:pt>
                <c:pt idx="633">
                  <c:v>31.8</c:v>
                </c:pt>
                <c:pt idx="634">
                  <c:v>43.1</c:v>
                </c:pt>
                <c:pt idx="635">
                  <c:v>53.1</c:v>
                </c:pt>
                <c:pt idx="636">
                  <c:v>52.8</c:v>
                </c:pt>
                <c:pt idx="637">
                  <c:v>52.5</c:v>
                </c:pt>
                <c:pt idx="638">
                  <c:v>52.2</c:v>
                </c:pt>
                <c:pt idx="639">
                  <c:v>52.2</c:v>
                </c:pt>
                <c:pt idx="640">
                  <c:v>52.2</c:v>
                </c:pt>
                <c:pt idx="641">
                  <c:v>52.2</c:v>
                </c:pt>
                <c:pt idx="642">
                  <c:v>52</c:v>
                </c:pt>
                <c:pt idx="643">
                  <c:v>51.8</c:v>
                </c:pt>
                <c:pt idx="644">
                  <c:v>51.7</c:v>
                </c:pt>
                <c:pt idx="645">
                  <c:v>51.5</c:v>
                </c:pt>
                <c:pt idx="646">
                  <c:v>51.4</c:v>
                </c:pt>
                <c:pt idx="647">
                  <c:v>51.4</c:v>
                </c:pt>
                <c:pt idx="648">
                  <c:v>51.5</c:v>
                </c:pt>
                <c:pt idx="649">
                  <c:v>51.6</c:v>
                </c:pt>
                <c:pt idx="650">
                  <c:v>51.5</c:v>
                </c:pt>
                <c:pt idx="651">
                  <c:v>51.1</c:v>
                </c:pt>
                <c:pt idx="652">
                  <c:v>50.7</c:v>
                </c:pt>
                <c:pt idx="653">
                  <c:v>50.4</c:v>
                </c:pt>
                <c:pt idx="654">
                  <c:v>50.4</c:v>
                </c:pt>
                <c:pt idx="655">
                  <c:v>50.4</c:v>
                </c:pt>
                <c:pt idx="656">
                  <c:v>51.1</c:v>
                </c:pt>
                <c:pt idx="657">
                  <c:v>52.5</c:v>
                </c:pt>
                <c:pt idx="658">
                  <c:v>53.5</c:v>
                </c:pt>
                <c:pt idx="659">
                  <c:v>53.1</c:v>
                </c:pt>
                <c:pt idx="660">
                  <c:v>50.6</c:v>
                </c:pt>
                <c:pt idx="661">
                  <c:v>48.9</c:v>
                </c:pt>
                <c:pt idx="662">
                  <c:v>47.4</c:v>
                </c:pt>
                <c:pt idx="663">
                  <c:v>47.1</c:v>
                </c:pt>
                <c:pt idx="664">
                  <c:v>46.7</c:v>
                </c:pt>
                <c:pt idx="665">
                  <c:v>42.1</c:v>
                </c:pt>
                <c:pt idx="666">
                  <c:v>35.6</c:v>
                </c:pt>
                <c:pt idx="667">
                  <c:v>25.9</c:v>
                </c:pt>
                <c:pt idx="668">
                  <c:v>20.6</c:v>
                </c:pt>
                <c:pt idx="669">
                  <c:v>20.6</c:v>
                </c:pt>
                <c:pt idx="670">
                  <c:v>20.6</c:v>
                </c:pt>
                <c:pt idx="671">
                  <c:v>22.3</c:v>
                </c:pt>
                <c:pt idx="672">
                  <c:v>35.6</c:v>
                </c:pt>
                <c:pt idx="673">
                  <c:v>44.5</c:v>
                </c:pt>
                <c:pt idx="674">
                  <c:v>56.2</c:v>
                </c:pt>
                <c:pt idx="675">
                  <c:v>56.1</c:v>
                </c:pt>
                <c:pt idx="676">
                  <c:v>56</c:v>
                </c:pt>
                <c:pt idx="677">
                  <c:v>55.7</c:v>
                </c:pt>
                <c:pt idx="678">
                  <c:v>54.9</c:v>
                </c:pt>
                <c:pt idx="679">
                  <c:v>53.7</c:v>
                </c:pt>
                <c:pt idx="680">
                  <c:v>52.7</c:v>
                </c:pt>
                <c:pt idx="681">
                  <c:v>50.4</c:v>
                </c:pt>
                <c:pt idx="682">
                  <c:v>48.7</c:v>
                </c:pt>
                <c:pt idx="683">
                  <c:v>46.1</c:v>
                </c:pt>
                <c:pt idx="684">
                  <c:v>45.5</c:v>
                </c:pt>
                <c:pt idx="685">
                  <c:v>45.5</c:v>
                </c:pt>
                <c:pt idx="686">
                  <c:v>45.5</c:v>
                </c:pt>
                <c:pt idx="687">
                  <c:v>45.5</c:v>
                </c:pt>
                <c:pt idx="688">
                  <c:v>45.5</c:v>
                </c:pt>
                <c:pt idx="689">
                  <c:v>45.5</c:v>
                </c:pt>
                <c:pt idx="690">
                  <c:v>45.9</c:v>
                </c:pt>
                <c:pt idx="691">
                  <c:v>46.7</c:v>
                </c:pt>
                <c:pt idx="692">
                  <c:v>47.7</c:v>
                </c:pt>
                <c:pt idx="693">
                  <c:v>48.3</c:v>
                </c:pt>
                <c:pt idx="694">
                  <c:v>49</c:v>
                </c:pt>
                <c:pt idx="695">
                  <c:v>49.5</c:v>
                </c:pt>
                <c:pt idx="696">
                  <c:v>49.9</c:v>
                </c:pt>
                <c:pt idx="697">
                  <c:v>48.9</c:v>
                </c:pt>
                <c:pt idx="698">
                  <c:v>47.9</c:v>
                </c:pt>
                <c:pt idx="699">
                  <c:v>46.5</c:v>
                </c:pt>
                <c:pt idx="700">
                  <c:v>46.2</c:v>
                </c:pt>
                <c:pt idx="701">
                  <c:v>46.2</c:v>
                </c:pt>
                <c:pt idx="702">
                  <c:v>46.2</c:v>
                </c:pt>
                <c:pt idx="703">
                  <c:v>45.5</c:v>
                </c:pt>
                <c:pt idx="704">
                  <c:v>44.7</c:v>
                </c:pt>
                <c:pt idx="705">
                  <c:v>43.7</c:v>
                </c:pt>
                <c:pt idx="706">
                  <c:v>41.3</c:v>
                </c:pt>
                <c:pt idx="707">
                  <c:v>34.6</c:v>
                </c:pt>
                <c:pt idx="708">
                  <c:v>24.7</c:v>
                </c:pt>
                <c:pt idx="709">
                  <c:v>18.100000000000001</c:v>
                </c:pt>
                <c:pt idx="710">
                  <c:v>19.899999999999999</c:v>
                </c:pt>
                <c:pt idx="711">
                  <c:v>28.5</c:v>
                </c:pt>
                <c:pt idx="712">
                  <c:v>34.299999999999997</c:v>
                </c:pt>
                <c:pt idx="713">
                  <c:v>39</c:v>
                </c:pt>
                <c:pt idx="714">
                  <c:v>39.6</c:v>
                </c:pt>
                <c:pt idx="715">
                  <c:v>40</c:v>
                </c:pt>
                <c:pt idx="716">
                  <c:v>40.5</c:v>
                </c:pt>
                <c:pt idx="717">
                  <c:v>40.5</c:v>
                </c:pt>
                <c:pt idx="718">
                  <c:v>40.5</c:v>
                </c:pt>
                <c:pt idx="719">
                  <c:v>40.5</c:v>
                </c:pt>
                <c:pt idx="720">
                  <c:v>41.6</c:v>
                </c:pt>
                <c:pt idx="721">
                  <c:v>43.2</c:v>
                </c:pt>
                <c:pt idx="722">
                  <c:v>45.5</c:v>
                </c:pt>
                <c:pt idx="723">
                  <c:v>47</c:v>
                </c:pt>
                <c:pt idx="724">
                  <c:v>48.1</c:v>
                </c:pt>
                <c:pt idx="725">
                  <c:v>49.1</c:v>
                </c:pt>
                <c:pt idx="726">
                  <c:v>50.7</c:v>
                </c:pt>
                <c:pt idx="727">
                  <c:v>50.6</c:v>
                </c:pt>
                <c:pt idx="728">
                  <c:v>50.1</c:v>
                </c:pt>
                <c:pt idx="729">
                  <c:v>49.2</c:v>
                </c:pt>
                <c:pt idx="730">
                  <c:v>48.5</c:v>
                </c:pt>
                <c:pt idx="731">
                  <c:v>47.3</c:v>
                </c:pt>
                <c:pt idx="732">
                  <c:v>45.3</c:v>
                </c:pt>
                <c:pt idx="733">
                  <c:v>44</c:v>
                </c:pt>
                <c:pt idx="734">
                  <c:v>43.6</c:v>
                </c:pt>
                <c:pt idx="735">
                  <c:v>43.6</c:v>
                </c:pt>
                <c:pt idx="736">
                  <c:v>43.6</c:v>
                </c:pt>
                <c:pt idx="737">
                  <c:v>43.8</c:v>
                </c:pt>
                <c:pt idx="738">
                  <c:v>44.9</c:v>
                </c:pt>
                <c:pt idx="739">
                  <c:v>45.9</c:v>
                </c:pt>
                <c:pt idx="740">
                  <c:v>47.6</c:v>
                </c:pt>
                <c:pt idx="741">
                  <c:v>48</c:v>
                </c:pt>
                <c:pt idx="742">
                  <c:v>48.1</c:v>
                </c:pt>
                <c:pt idx="743">
                  <c:v>48.3</c:v>
                </c:pt>
                <c:pt idx="744">
                  <c:v>48.2</c:v>
                </c:pt>
                <c:pt idx="745">
                  <c:v>46.4</c:v>
                </c:pt>
                <c:pt idx="746">
                  <c:v>44.6</c:v>
                </c:pt>
                <c:pt idx="747">
                  <c:v>42.8</c:v>
                </c:pt>
                <c:pt idx="748">
                  <c:v>37.299999999999997</c:v>
                </c:pt>
                <c:pt idx="749">
                  <c:v>31.6</c:v>
                </c:pt>
                <c:pt idx="750">
                  <c:v>25.9</c:v>
                </c:pt>
                <c:pt idx="751">
                  <c:v>20.100000000000001</c:v>
                </c:pt>
                <c:pt idx="752">
                  <c:v>18.3</c:v>
                </c:pt>
                <c:pt idx="753">
                  <c:v>18.3</c:v>
                </c:pt>
                <c:pt idx="754">
                  <c:v>18.3</c:v>
                </c:pt>
                <c:pt idx="755">
                  <c:v>19.600000000000001</c:v>
                </c:pt>
                <c:pt idx="756">
                  <c:v>26.6</c:v>
                </c:pt>
                <c:pt idx="757">
                  <c:v>37.1</c:v>
                </c:pt>
                <c:pt idx="758">
                  <c:v>44</c:v>
                </c:pt>
                <c:pt idx="759">
                  <c:v>45.5</c:v>
                </c:pt>
                <c:pt idx="760">
                  <c:v>44.5</c:v>
                </c:pt>
                <c:pt idx="761">
                  <c:v>42.9</c:v>
                </c:pt>
                <c:pt idx="762">
                  <c:v>41.8</c:v>
                </c:pt>
                <c:pt idx="763">
                  <c:v>40.200000000000003</c:v>
                </c:pt>
                <c:pt idx="764">
                  <c:v>38.700000000000003</c:v>
                </c:pt>
                <c:pt idx="765">
                  <c:v>37.1</c:v>
                </c:pt>
                <c:pt idx="766">
                  <c:v>35.6</c:v>
                </c:pt>
                <c:pt idx="767">
                  <c:v>35.299999999999997</c:v>
                </c:pt>
                <c:pt idx="768">
                  <c:v>34.9</c:v>
                </c:pt>
                <c:pt idx="769">
                  <c:v>34.5</c:v>
                </c:pt>
                <c:pt idx="770">
                  <c:v>34.5</c:v>
                </c:pt>
                <c:pt idx="771">
                  <c:v>34.5</c:v>
                </c:pt>
                <c:pt idx="772">
                  <c:v>34.5</c:v>
                </c:pt>
                <c:pt idx="773">
                  <c:v>34.700000000000003</c:v>
                </c:pt>
                <c:pt idx="774">
                  <c:v>35.1</c:v>
                </c:pt>
                <c:pt idx="775">
                  <c:v>35.4</c:v>
                </c:pt>
                <c:pt idx="776">
                  <c:v>35.700000000000003</c:v>
                </c:pt>
                <c:pt idx="777">
                  <c:v>35.1</c:v>
                </c:pt>
                <c:pt idx="778">
                  <c:v>34.6</c:v>
                </c:pt>
                <c:pt idx="779">
                  <c:v>33.799999999999997</c:v>
                </c:pt>
                <c:pt idx="780">
                  <c:v>33.9</c:v>
                </c:pt>
                <c:pt idx="781">
                  <c:v>34.299999999999997</c:v>
                </c:pt>
                <c:pt idx="782">
                  <c:v>35</c:v>
                </c:pt>
                <c:pt idx="783">
                  <c:v>35.6</c:v>
                </c:pt>
                <c:pt idx="784">
                  <c:v>37.1</c:v>
                </c:pt>
                <c:pt idx="785">
                  <c:v>38</c:v>
                </c:pt>
                <c:pt idx="786">
                  <c:v>39</c:v>
                </c:pt>
                <c:pt idx="787">
                  <c:v>39.299999999999997</c:v>
                </c:pt>
                <c:pt idx="788">
                  <c:v>39.299999999999997</c:v>
                </c:pt>
                <c:pt idx="789">
                  <c:v>39.299999999999997</c:v>
                </c:pt>
                <c:pt idx="790">
                  <c:v>38</c:v>
                </c:pt>
                <c:pt idx="791">
                  <c:v>35.1</c:v>
                </c:pt>
                <c:pt idx="792">
                  <c:v>33.1</c:v>
                </c:pt>
                <c:pt idx="793">
                  <c:v>28.5</c:v>
                </c:pt>
                <c:pt idx="794">
                  <c:v>24</c:v>
                </c:pt>
                <c:pt idx="795">
                  <c:v>17.3</c:v>
                </c:pt>
                <c:pt idx="796">
                  <c:v>14.9</c:v>
                </c:pt>
                <c:pt idx="797">
                  <c:v>25.5</c:v>
                </c:pt>
                <c:pt idx="798">
                  <c:v>32.5</c:v>
                </c:pt>
                <c:pt idx="799">
                  <c:v>41.8</c:v>
                </c:pt>
                <c:pt idx="800">
                  <c:v>42</c:v>
                </c:pt>
                <c:pt idx="801">
                  <c:v>42.3</c:v>
                </c:pt>
                <c:pt idx="802">
                  <c:v>42.5</c:v>
                </c:pt>
                <c:pt idx="803">
                  <c:v>42.5</c:v>
                </c:pt>
                <c:pt idx="804">
                  <c:v>42.5</c:v>
                </c:pt>
                <c:pt idx="805">
                  <c:v>42.5</c:v>
                </c:pt>
                <c:pt idx="806">
                  <c:v>42.6</c:v>
                </c:pt>
                <c:pt idx="807">
                  <c:v>42.7</c:v>
                </c:pt>
                <c:pt idx="808">
                  <c:v>42.9</c:v>
                </c:pt>
                <c:pt idx="809">
                  <c:v>42.3</c:v>
                </c:pt>
                <c:pt idx="810">
                  <c:v>40.9</c:v>
                </c:pt>
                <c:pt idx="811">
                  <c:v>39.5</c:v>
                </c:pt>
                <c:pt idx="812">
                  <c:v>40.700000000000003</c:v>
                </c:pt>
                <c:pt idx="813">
                  <c:v>43.9</c:v>
                </c:pt>
                <c:pt idx="814">
                  <c:v>46.9</c:v>
                </c:pt>
                <c:pt idx="815">
                  <c:v>47.2</c:v>
                </c:pt>
                <c:pt idx="816">
                  <c:v>46.5</c:v>
                </c:pt>
                <c:pt idx="817">
                  <c:v>45.7</c:v>
                </c:pt>
                <c:pt idx="818">
                  <c:v>45.5</c:v>
                </c:pt>
                <c:pt idx="819">
                  <c:v>45.5</c:v>
                </c:pt>
                <c:pt idx="820">
                  <c:v>45.5</c:v>
                </c:pt>
                <c:pt idx="821">
                  <c:v>45.9</c:v>
                </c:pt>
                <c:pt idx="822">
                  <c:v>46.2</c:v>
                </c:pt>
                <c:pt idx="823">
                  <c:v>46.7</c:v>
                </c:pt>
                <c:pt idx="824">
                  <c:v>46.3</c:v>
                </c:pt>
                <c:pt idx="825">
                  <c:v>45.9</c:v>
                </c:pt>
                <c:pt idx="826">
                  <c:v>45.3</c:v>
                </c:pt>
                <c:pt idx="827">
                  <c:v>45.6</c:v>
                </c:pt>
                <c:pt idx="828">
                  <c:v>46.3</c:v>
                </c:pt>
                <c:pt idx="829">
                  <c:v>45.5</c:v>
                </c:pt>
                <c:pt idx="830">
                  <c:v>38.9</c:v>
                </c:pt>
                <c:pt idx="831">
                  <c:v>28.9</c:v>
                </c:pt>
                <c:pt idx="832">
                  <c:v>20.100000000000001</c:v>
                </c:pt>
                <c:pt idx="833">
                  <c:v>20.100000000000001</c:v>
                </c:pt>
                <c:pt idx="834">
                  <c:v>20.100000000000001</c:v>
                </c:pt>
                <c:pt idx="835">
                  <c:v>21.9</c:v>
                </c:pt>
                <c:pt idx="836">
                  <c:v>36.1</c:v>
                </c:pt>
                <c:pt idx="837">
                  <c:v>50.2</c:v>
                </c:pt>
                <c:pt idx="838">
                  <c:v>57.5</c:v>
                </c:pt>
                <c:pt idx="839">
                  <c:v>56.7</c:v>
                </c:pt>
                <c:pt idx="840">
                  <c:v>55.9</c:v>
                </c:pt>
                <c:pt idx="841">
                  <c:v>55.2</c:v>
                </c:pt>
                <c:pt idx="842">
                  <c:v>54.1</c:v>
                </c:pt>
                <c:pt idx="843">
                  <c:v>53.1</c:v>
                </c:pt>
                <c:pt idx="844">
                  <c:v>52.1</c:v>
                </c:pt>
                <c:pt idx="845">
                  <c:v>51.2</c:v>
                </c:pt>
                <c:pt idx="846">
                  <c:v>50.4</c:v>
                </c:pt>
                <c:pt idx="847">
                  <c:v>50.4</c:v>
                </c:pt>
                <c:pt idx="848">
                  <c:v>50.4</c:v>
                </c:pt>
                <c:pt idx="849">
                  <c:v>50.3</c:v>
                </c:pt>
                <c:pt idx="850">
                  <c:v>49.5</c:v>
                </c:pt>
                <c:pt idx="851">
                  <c:v>48.6</c:v>
                </c:pt>
                <c:pt idx="852">
                  <c:v>48.6</c:v>
                </c:pt>
                <c:pt idx="853">
                  <c:v>49.4</c:v>
                </c:pt>
                <c:pt idx="854">
                  <c:v>50.2</c:v>
                </c:pt>
                <c:pt idx="855">
                  <c:v>51.1</c:v>
                </c:pt>
                <c:pt idx="856">
                  <c:v>52.6</c:v>
                </c:pt>
                <c:pt idx="857">
                  <c:v>54.1</c:v>
                </c:pt>
                <c:pt idx="858">
                  <c:v>53.3</c:v>
                </c:pt>
                <c:pt idx="859">
                  <c:v>51.9</c:v>
                </c:pt>
                <c:pt idx="860">
                  <c:v>50.7</c:v>
                </c:pt>
                <c:pt idx="861">
                  <c:v>50.7</c:v>
                </c:pt>
                <c:pt idx="862">
                  <c:v>50.7</c:v>
                </c:pt>
                <c:pt idx="863">
                  <c:v>50.7</c:v>
                </c:pt>
                <c:pt idx="864">
                  <c:v>50.6</c:v>
                </c:pt>
                <c:pt idx="865">
                  <c:v>50.5</c:v>
                </c:pt>
                <c:pt idx="866">
                  <c:v>44.7</c:v>
                </c:pt>
                <c:pt idx="867">
                  <c:v>36.4</c:v>
                </c:pt>
                <c:pt idx="868">
                  <c:v>23.9</c:v>
                </c:pt>
                <c:pt idx="869">
                  <c:v>23.6</c:v>
                </c:pt>
                <c:pt idx="870">
                  <c:v>37.5</c:v>
                </c:pt>
                <c:pt idx="871">
                  <c:v>51.5</c:v>
                </c:pt>
                <c:pt idx="872">
                  <c:v>54.9</c:v>
                </c:pt>
                <c:pt idx="873">
                  <c:v>55.9</c:v>
                </c:pt>
                <c:pt idx="874">
                  <c:v>57</c:v>
                </c:pt>
                <c:pt idx="875">
                  <c:v>57.2</c:v>
                </c:pt>
                <c:pt idx="876">
                  <c:v>57.2</c:v>
                </c:pt>
                <c:pt idx="877">
                  <c:v>57.2</c:v>
                </c:pt>
                <c:pt idx="878">
                  <c:v>56.3</c:v>
                </c:pt>
                <c:pt idx="879">
                  <c:v>54.9</c:v>
                </c:pt>
                <c:pt idx="880">
                  <c:v>53.7</c:v>
                </c:pt>
                <c:pt idx="881">
                  <c:v>52.4</c:v>
                </c:pt>
                <c:pt idx="882">
                  <c:v>50.5</c:v>
                </c:pt>
                <c:pt idx="883">
                  <c:v>48.7</c:v>
                </c:pt>
                <c:pt idx="884">
                  <c:v>48.3</c:v>
                </c:pt>
                <c:pt idx="885">
                  <c:v>47.7</c:v>
                </c:pt>
                <c:pt idx="886">
                  <c:v>47.3</c:v>
                </c:pt>
                <c:pt idx="887">
                  <c:v>48.5</c:v>
                </c:pt>
                <c:pt idx="888">
                  <c:v>49.3</c:v>
                </c:pt>
                <c:pt idx="889">
                  <c:v>50.4</c:v>
                </c:pt>
                <c:pt idx="890">
                  <c:v>50.4</c:v>
                </c:pt>
                <c:pt idx="891">
                  <c:v>50.4</c:v>
                </c:pt>
                <c:pt idx="892">
                  <c:v>50.6</c:v>
                </c:pt>
                <c:pt idx="893">
                  <c:v>52</c:v>
                </c:pt>
                <c:pt idx="894">
                  <c:v>52.9</c:v>
                </c:pt>
                <c:pt idx="895">
                  <c:v>54.1</c:v>
                </c:pt>
                <c:pt idx="896">
                  <c:v>52.9</c:v>
                </c:pt>
                <c:pt idx="897">
                  <c:v>52.3</c:v>
                </c:pt>
                <c:pt idx="898">
                  <c:v>51.4</c:v>
                </c:pt>
                <c:pt idx="899">
                  <c:v>52.1</c:v>
                </c:pt>
                <c:pt idx="900">
                  <c:v>52.6</c:v>
                </c:pt>
                <c:pt idx="901">
                  <c:v>51.7</c:v>
                </c:pt>
                <c:pt idx="902">
                  <c:v>42.9</c:v>
                </c:pt>
                <c:pt idx="903">
                  <c:v>29.7</c:v>
                </c:pt>
                <c:pt idx="904">
                  <c:v>18.3</c:v>
                </c:pt>
                <c:pt idx="905">
                  <c:v>18.3</c:v>
                </c:pt>
                <c:pt idx="906">
                  <c:v>18.3</c:v>
                </c:pt>
                <c:pt idx="907">
                  <c:v>20.100000000000001</c:v>
                </c:pt>
                <c:pt idx="908">
                  <c:v>29.5</c:v>
                </c:pt>
                <c:pt idx="909">
                  <c:v>43.8</c:v>
                </c:pt>
                <c:pt idx="910">
                  <c:v>53.2</c:v>
                </c:pt>
                <c:pt idx="911">
                  <c:v>56</c:v>
                </c:pt>
                <c:pt idx="912">
                  <c:v>55.8</c:v>
                </c:pt>
                <c:pt idx="913">
                  <c:v>55.5</c:v>
                </c:pt>
                <c:pt idx="914">
                  <c:v>54.5</c:v>
                </c:pt>
                <c:pt idx="915">
                  <c:v>53.5</c:v>
                </c:pt>
                <c:pt idx="916">
                  <c:v>52.1</c:v>
                </c:pt>
                <c:pt idx="917">
                  <c:v>51.9</c:v>
                </c:pt>
                <c:pt idx="918">
                  <c:v>51.9</c:v>
                </c:pt>
                <c:pt idx="919">
                  <c:v>51.9</c:v>
                </c:pt>
                <c:pt idx="920">
                  <c:v>51.9</c:v>
                </c:pt>
                <c:pt idx="921">
                  <c:v>51.9</c:v>
                </c:pt>
                <c:pt idx="922">
                  <c:v>51.9</c:v>
                </c:pt>
                <c:pt idx="923">
                  <c:v>51.7</c:v>
                </c:pt>
                <c:pt idx="924">
                  <c:v>49.7</c:v>
                </c:pt>
                <c:pt idx="925">
                  <c:v>48.5</c:v>
                </c:pt>
                <c:pt idx="926">
                  <c:v>46.9</c:v>
                </c:pt>
                <c:pt idx="927">
                  <c:v>47.3</c:v>
                </c:pt>
                <c:pt idx="928">
                  <c:v>47.9</c:v>
                </c:pt>
                <c:pt idx="929">
                  <c:v>48.3</c:v>
                </c:pt>
                <c:pt idx="930">
                  <c:v>48.7</c:v>
                </c:pt>
                <c:pt idx="931">
                  <c:v>49.2</c:v>
                </c:pt>
                <c:pt idx="932">
                  <c:v>49.5</c:v>
                </c:pt>
                <c:pt idx="933">
                  <c:v>49.1</c:v>
                </c:pt>
                <c:pt idx="934">
                  <c:v>48</c:v>
                </c:pt>
                <c:pt idx="935">
                  <c:v>46.4</c:v>
                </c:pt>
                <c:pt idx="936">
                  <c:v>45.5</c:v>
                </c:pt>
                <c:pt idx="937">
                  <c:v>45.5</c:v>
                </c:pt>
                <c:pt idx="938">
                  <c:v>45.5</c:v>
                </c:pt>
                <c:pt idx="939">
                  <c:v>45.5</c:v>
                </c:pt>
                <c:pt idx="940">
                  <c:v>45.7</c:v>
                </c:pt>
                <c:pt idx="941">
                  <c:v>45.9</c:v>
                </c:pt>
                <c:pt idx="942">
                  <c:v>46.1</c:v>
                </c:pt>
                <c:pt idx="943">
                  <c:v>41.4</c:v>
                </c:pt>
                <c:pt idx="944">
                  <c:v>34.4</c:v>
                </c:pt>
                <c:pt idx="945">
                  <c:v>24</c:v>
                </c:pt>
                <c:pt idx="946">
                  <c:v>20</c:v>
                </c:pt>
                <c:pt idx="947">
                  <c:v>28.9</c:v>
                </c:pt>
                <c:pt idx="948">
                  <c:v>42.4</c:v>
                </c:pt>
                <c:pt idx="949">
                  <c:v>51.4</c:v>
                </c:pt>
                <c:pt idx="950">
                  <c:v>53.7</c:v>
                </c:pt>
                <c:pt idx="951">
                  <c:v>52.6</c:v>
                </c:pt>
                <c:pt idx="952">
                  <c:v>51.9</c:v>
                </c:pt>
                <c:pt idx="953">
                  <c:v>51.3</c:v>
                </c:pt>
                <c:pt idx="954">
                  <c:v>51.3</c:v>
                </c:pt>
                <c:pt idx="955">
                  <c:v>51.3</c:v>
                </c:pt>
                <c:pt idx="956">
                  <c:v>51.3</c:v>
                </c:pt>
                <c:pt idx="957">
                  <c:v>50.2</c:v>
                </c:pt>
                <c:pt idx="958">
                  <c:v>47.7</c:v>
                </c:pt>
                <c:pt idx="959">
                  <c:v>46</c:v>
                </c:pt>
                <c:pt idx="960">
                  <c:v>44.7</c:v>
                </c:pt>
                <c:pt idx="961">
                  <c:v>44.3</c:v>
                </c:pt>
                <c:pt idx="962">
                  <c:v>43.7</c:v>
                </c:pt>
                <c:pt idx="963">
                  <c:v>43.4</c:v>
                </c:pt>
                <c:pt idx="964">
                  <c:v>41.9</c:v>
                </c:pt>
                <c:pt idx="965">
                  <c:v>39.9</c:v>
                </c:pt>
                <c:pt idx="966">
                  <c:v>37</c:v>
                </c:pt>
                <c:pt idx="967">
                  <c:v>34.9</c:v>
                </c:pt>
                <c:pt idx="968">
                  <c:v>32.5</c:v>
                </c:pt>
                <c:pt idx="969">
                  <c:v>30.1</c:v>
                </c:pt>
                <c:pt idx="970">
                  <c:v>26.3</c:v>
                </c:pt>
                <c:pt idx="971">
                  <c:v>25.6</c:v>
                </c:pt>
                <c:pt idx="972">
                  <c:v>25.6</c:v>
                </c:pt>
                <c:pt idx="973">
                  <c:v>25.6</c:v>
                </c:pt>
                <c:pt idx="974">
                  <c:v>25.6</c:v>
                </c:pt>
                <c:pt idx="975">
                  <c:v>24.7</c:v>
                </c:pt>
                <c:pt idx="976">
                  <c:v>23.7</c:v>
                </c:pt>
                <c:pt idx="977">
                  <c:v>22.9</c:v>
                </c:pt>
                <c:pt idx="978">
                  <c:v>22.5</c:v>
                </c:pt>
                <c:pt idx="979">
                  <c:v>23.5</c:v>
                </c:pt>
                <c:pt idx="980">
                  <c:v>24.9</c:v>
                </c:pt>
                <c:pt idx="981">
                  <c:v>25.8</c:v>
                </c:pt>
                <c:pt idx="982">
                  <c:v>26.5</c:v>
                </c:pt>
                <c:pt idx="983">
                  <c:v>27</c:v>
                </c:pt>
                <c:pt idx="984">
                  <c:v>27.5</c:v>
                </c:pt>
                <c:pt idx="985">
                  <c:v>28</c:v>
                </c:pt>
                <c:pt idx="986">
                  <c:v>22</c:v>
                </c:pt>
                <c:pt idx="987">
                  <c:v>16.8</c:v>
                </c:pt>
                <c:pt idx="988">
                  <c:v>11.6</c:v>
                </c:pt>
                <c:pt idx="989">
                  <c:v>7.4</c:v>
                </c:pt>
                <c:pt idx="990">
                  <c:v>7.4</c:v>
                </c:pt>
                <c:pt idx="991">
                  <c:v>7.4</c:v>
                </c:pt>
                <c:pt idx="992">
                  <c:v>7.4</c:v>
                </c:pt>
                <c:pt idx="993">
                  <c:v>10.1</c:v>
                </c:pt>
                <c:pt idx="994">
                  <c:v>14.1</c:v>
                </c:pt>
                <c:pt idx="995">
                  <c:v>18.100000000000001</c:v>
                </c:pt>
                <c:pt idx="996">
                  <c:v>22.1</c:v>
                </c:pt>
                <c:pt idx="997">
                  <c:v>22.9</c:v>
                </c:pt>
                <c:pt idx="998">
                  <c:v>22.2</c:v>
                </c:pt>
                <c:pt idx="999">
                  <c:v>21.5</c:v>
                </c:pt>
                <c:pt idx="1000">
                  <c:v>20.8</c:v>
                </c:pt>
                <c:pt idx="1001">
                  <c:v>21.3</c:v>
                </c:pt>
                <c:pt idx="1002">
                  <c:v>21.8</c:v>
                </c:pt>
                <c:pt idx="1003">
                  <c:v>22.4</c:v>
                </c:pt>
                <c:pt idx="1004">
                  <c:v>22.5</c:v>
                </c:pt>
                <c:pt idx="1005">
                  <c:v>21.3</c:v>
                </c:pt>
                <c:pt idx="1006">
                  <c:v>20.100000000000001</c:v>
                </c:pt>
                <c:pt idx="1007">
                  <c:v>18.8</c:v>
                </c:pt>
                <c:pt idx="1008">
                  <c:v>17.8</c:v>
                </c:pt>
                <c:pt idx="1009">
                  <c:v>17.8</c:v>
                </c:pt>
                <c:pt idx="1010">
                  <c:v>17.8</c:v>
                </c:pt>
                <c:pt idx="1011">
                  <c:v>17.8</c:v>
                </c:pt>
                <c:pt idx="1012">
                  <c:v>17.600000000000001</c:v>
                </c:pt>
                <c:pt idx="1013">
                  <c:v>17.3</c:v>
                </c:pt>
                <c:pt idx="1014">
                  <c:v>17</c:v>
                </c:pt>
                <c:pt idx="1015">
                  <c:v>16.7</c:v>
                </c:pt>
                <c:pt idx="1016">
                  <c:v>15.7</c:v>
                </c:pt>
                <c:pt idx="1017">
                  <c:v>14.3</c:v>
                </c:pt>
                <c:pt idx="1018">
                  <c:v>13</c:v>
                </c:pt>
                <c:pt idx="1019">
                  <c:v>11.6</c:v>
                </c:pt>
                <c:pt idx="1020">
                  <c:v>11.2</c:v>
                </c:pt>
                <c:pt idx="1021">
                  <c:v>11.2</c:v>
                </c:pt>
                <c:pt idx="1022">
                  <c:v>11.2</c:v>
                </c:pt>
                <c:pt idx="1023">
                  <c:v>11</c:v>
                </c:pt>
                <c:pt idx="1024">
                  <c:v>10.1</c:v>
                </c:pt>
                <c:pt idx="1025">
                  <c:v>9.1</c:v>
                </c:pt>
                <c:pt idx="1026">
                  <c:v>8.1</c:v>
                </c:pt>
                <c:pt idx="1027">
                  <c:v>7.4</c:v>
                </c:pt>
                <c:pt idx="1028">
                  <c:v>7.4</c:v>
                </c:pt>
                <c:pt idx="1029">
                  <c:v>7.4</c:v>
                </c:pt>
                <c:pt idx="1030">
                  <c:v>7.4</c:v>
                </c:pt>
                <c:pt idx="1031">
                  <c:v>5.9</c:v>
                </c:pt>
                <c:pt idx="1032">
                  <c:v>3.8</c:v>
                </c:pt>
                <c:pt idx="1033">
                  <c:v>1.6</c:v>
                </c:pt>
                <c:pt idx="1034">
                  <c:v>-0.5</c:v>
                </c:pt>
                <c:pt idx="1035">
                  <c:v>-0.3</c:v>
                </c:pt>
                <c:pt idx="1036">
                  <c:v>0.5</c:v>
                </c:pt>
                <c:pt idx="1037">
                  <c:v>1.2</c:v>
                </c:pt>
                <c:pt idx="1038">
                  <c:v>2.2999999999999998</c:v>
                </c:pt>
                <c:pt idx="1039">
                  <c:v>5.3</c:v>
                </c:pt>
                <c:pt idx="1040">
                  <c:v>9.6999999999999993</c:v>
                </c:pt>
                <c:pt idx="1041">
                  <c:v>12.7</c:v>
                </c:pt>
                <c:pt idx="1042">
                  <c:v>10.4</c:v>
                </c:pt>
                <c:pt idx="1043">
                  <c:v>5.7</c:v>
                </c:pt>
                <c:pt idx="1044">
                  <c:v>-1.2</c:v>
                </c:pt>
                <c:pt idx="1045">
                  <c:v>-5</c:v>
                </c:pt>
                <c:pt idx="1046">
                  <c:v>-5</c:v>
                </c:pt>
                <c:pt idx="1047">
                  <c:v>-5</c:v>
                </c:pt>
                <c:pt idx="1048">
                  <c:v>-5</c:v>
                </c:pt>
                <c:pt idx="1049">
                  <c:v>-5.7</c:v>
                </c:pt>
                <c:pt idx="1050">
                  <c:v>-6.6</c:v>
                </c:pt>
                <c:pt idx="1051">
                  <c:v>-8.1</c:v>
                </c:pt>
                <c:pt idx="1052">
                  <c:v>-8.5</c:v>
                </c:pt>
                <c:pt idx="1053">
                  <c:v>-6.5</c:v>
                </c:pt>
                <c:pt idx="1054">
                  <c:v>-3.7</c:v>
                </c:pt>
                <c:pt idx="1055">
                  <c:v>-1.8</c:v>
                </c:pt>
                <c:pt idx="1056">
                  <c:v>-3.7</c:v>
                </c:pt>
                <c:pt idx="1057">
                  <c:v>-8.9</c:v>
                </c:pt>
                <c:pt idx="1058">
                  <c:v>-12.5</c:v>
                </c:pt>
                <c:pt idx="1059">
                  <c:v>-17.3</c:v>
                </c:pt>
                <c:pt idx="1060">
                  <c:v>-32.5</c:v>
                </c:pt>
                <c:pt idx="1061">
                  <c:v>-42.6</c:v>
                </c:pt>
                <c:pt idx="1062">
                  <c:v>-52.7</c:v>
                </c:pt>
                <c:pt idx="1063">
                  <c:v>-55.9</c:v>
                </c:pt>
                <c:pt idx="1064">
                  <c:v>-55.9</c:v>
                </c:pt>
                <c:pt idx="1065">
                  <c:v>-55.9</c:v>
                </c:pt>
                <c:pt idx="1066">
                  <c:v>-52.9</c:v>
                </c:pt>
                <c:pt idx="1067">
                  <c:v>-48.5</c:v>
                </c:pt>
                <c:pt idx="1068">
                  <c:v>-44.2</c:v>
                </c:pt>
                <c:pt idx="1069">
                  <c:v>-38.4</c:v>
                </c:pt>
                <c:pt idx="1070">
                  <c:v>-38</c:v>
                </c:pt>
                <c:pt idx="1071">
                  <c:v>-37.299999999999997</c:v>
                </c:pt>
                <c:pt idx="1072">
                  <c:v>-36.9</c:v>
                </c:pt>
                <c:pt idx="1073">
                  <c:v>-37.5</c:v>
                </c:pt>
                <c:pt idx="1074">
                  <c:v>-39.200000000000003</c:v>
                </c:pt>
                <c:pt idx="1075">
                  <c:v>-40.299999999999997</c:v>
                </c:pt>
                <c:pt idx="1076">
                  <c:v>-37.700000000000003</c:v>
                </c:pt>
                <c:pt idx="1077">
                  <c:v>-32.5</c:v>
                </c:pt>
                <c:pt idx="1078">
                  <c:v>-27.4</c:v>
                </c:pt>
                <c:pt idx="1079">
                  <c:v>-20.6</c:v>
                </c:pt>
                <c:pt idx="1080">
                  <c:v>-20.6</c:v>
                </c:pt>
                <c:pt idx="1081">
                  <c:v>-20.6</c:v>
                </c:pt>
                <c:pt idx="1082">
                  <c:v>-20.6</c:v>
                </c:pt>
                <c:pt idx="1083">
                  <c:v>-29.8</c:v>
                </c:pt>
                <c:pt idx="1084">
                  <c:v>-37.6</c:v>
                </c:pt>
                <c:pt idx="1085">
                  <c:v>-49.3</c:v>
                </c:pt>
                <c:pt idx="1086">
                  <c:v>-51.6</c:v>
                </c:pt>
                <c:pt idx="1087">
                  <c:v>-51.4</c:v>
                </c:pt>
                <c:pt idx="1088">
                  <c:v>-51.1</c:v>
                </c:pt>
                <c:pt idx="1089">
                  <c:v>-50.7</c:v>
                </c:pt>
                <c:pt idx="1090">
                  <c:v>-48.3</c:v>
                </c:pt>
                <c:pt idx="1091">
                  <c:v>-46.8</c:v>
                </c:pt>
                <c:pt idx="1092">
                  <c:v>-45</c:v>
                </c:pt>
                <c:pt idx="1093">
                  <c:v>-46.8</c:v>
                </c:pt>
                <c:pt idx="1094">
                  <c:v>-49.5</c:v>
                </c:pt>
                <c:pt idx="1095">
                  <c:v>-51.3</c:v>
                </c:pt>
                <c:pt idx="1096">
                  <c:v>-51.9</c:v>
                </c:pt>
                <c:pt idx="1097">
                  <c:v>-51.9</c:v>
                </c:pt>
                <c:pt idx="1098">
                  <c:v>-51.9</c:v>
                </c:pt>
                <c:pt idx="1099">
                  <c:v>-52</c:v>
                </c:pt>
                <c:pt idx="1100">
                  <c:v>-52.2</c:v>
                </c:pt>
                <c:pt idx="1101">
                  <c:v>-52.4</c:v>
                </c:pt>
                <c:pt idx="1102">
                  <c:v>-52.1</c:v>
                </c:pt>
                <c:pt idx="1103">
                  <c:v>-51.5</c:v>
                </c:pt>
                <c:pt idx="1104">
                  <c:v>-50.6</c:v>
                </c:pt>
                <c:pt idx="1105">
                  <c:v>-50.2</c:v>
                </c:pt>
                <c:pt idx="1106">
                  <c:v>-51</c:v>
                </c:pt>
                <c:pt idx="1107">
                  <c:v>-51.8</c:v>
                </c:pt>
                <c:pt idx="1108">
                  <c:v>-52.2</c:v>
                </c:pt>
                <c:pt idx="1109">
                  <c:v>-52.3</c:v>
                </c:pt>
                <c:pt idx="1110">
                  <c:v>-52.4</c:v>
                </c:pt>
                <c:pt idx="1111">
                  <c:v>-52.5</c:v>
                </c:pt>
                <c:pt idx="1112">
                  <c:v>-52.5</c:v>
                </c:pt>
                <c:pt idx="1113">
                  <c:v>-52.5</c:v>
                </c:pt>
                <c:pt idx="1114">
                  <c:v>-52.3</c:v>
                </c:pt>
                <c:pt idx="1115">
                  <c:v>-51.7</c:v>
                </c:pt>
                <c:pt idx="1116">
                  <c:v>-50.7</c:v>
                </c:pt>
                <c:pt idx="1117">
                  <c:v>-48.6</c:v>
                </c:pt>
                <c:pt idx="1118">
                  <c:v>-42.1</c:v>
                </c:pt>
                <c:pt idx="1119">
                  <c:v>-32.4</c:v>
                </c:pt>
                <c:pt idx="1120">
                  <c:v>-25.5</c:v>
                </c:pt>
                <c:pt idx="1121">
                  <c:v>-34.5</c:v>
                </c:pt>
                <c:pt idx="1122">
                  <c:v>-47.8</c:v>
                </c:pt>
                <c:pt idx="1123">
                  <c:v>-59.5</c:v>
                </c:pt>
                <c:pt idx="1124">
                  <c:v>-59.2</c:v>
                </c:pt>
                <c:pt idx="1125">
                  <c:v>-58.9</c:v>
                </c:pt>
                <c:pt idx="1126">
                  <c:v>-58.6</c:v>
                </c:pt>
                <c:pt idx="1127">
                  <c:v>-58.6</c:v>
                </c:pt>
                <c:pt idx="1128">
                  <c:v>-58.6</c:v>
                </c:pt>
                <c:pt idx="1129">
                  <c:v>-58.4</c:v>
                </c:pt>
                <c:pt idx="1130">
                  <c:v>-57.4</c:v>
                </c:pt>
                <c:pt idx="1131">
                  <c:v>-55.9</c:v>
                </c:pt>
                <c:pt idx="1132">
                  <c:v>-54.7</c:v>
                </c:pt>
                <c:pt idx="1133">
                  <c:v>-55</c:v>
                </c:pt>
                <c:pt idx="1134">
                  <c:v>-55.2</c:v>
                </c:pt>
                <c:pt idx="1135">
                  <c:v>-55.5</c:v>
                </c:pt>
                <c:pt idx="1136">
                  <c:v>-55.3</c:v>
                </c:pt>
                <c:pt idx="1137">
                  <c:v>-55.1</c:v>
                </c:pt>
                <c:pt idx="1138">
                  <c:v>-55.1</c:v>
                </c:pt>
                <c:pt idx="1139">
                  <c:v>-55.4</c:v>
                </c:pt>
                <c:pt idx="1140">
                  <c:v>-55.7</c:v>
                </c:pt>
                <c:pt idx="1141">
                  <c:v>-55.9</c:v>
                </c:pt>
                <c:pt idx="1142">
                  <c:v>-55.9</c:v>
                </c:pt>
                <c:pt idx="1143">
                  <c:v>-55.9</c:v>
                </c:pt>
                <c:pt idx="1144">
                  <c:v>-55.6</c:v>
                </c:pt>
                <c:pt idx="1145">
                  <c:v>-54.8</c:v>
                </c:pt>
                <c:pt idx="1146">
                  <c:v>-54.1</c:v>
                </c:pt>
                <c:pt idx="1147">
                  <c:v>-54</c:v>
                </c:pt>
                <c:pt idx="1148">
                  <c:v>-54.1</c:v>
                </c:pt>
                <c:pt idx="1149">
                  <c:v>-54.1</c:v>
                </c:pt>
                <c:pt idx="1150">
                  <c:v>-52.9</c:v>
                </c:pt>
                <c:pt idx="1151">
                  <c:v>-52.3</c:v>
                </c:pt>
                <c:pt idx="1152">
                  <c:v>-50.1</c:v>
                </c:pt>
                <c:pt idx="1153">
                  <c:v>-40.700000000000003</c:v>
                </c:pt>
                <c:pt idx="1154">
                  <c:v>-31.2</c:v>
                </c:pt>
                <c:pt idx="1155">
                  <c:v>-26.1</c:v>
                </c:pt>
                <c:pt idx="1156">
                  <c:v>-26.1</c:v>
                </c:pt>
                <c:pt idx="1157">
                  <c:v>-26.1</c:v>
                </c:pt>
                <c:pt idx="1158">
                  <c:v>-36.299999999999997</c:v>
                </c:pt>
                <c:pt idx="1159">
                  <c:v>-44.8</c:v>
                </c:pt>
                <c:pt idx="1160">
                  <c:v>-57.6</c:v>
                </c:pt>
                <c:pt idx="1161">
                  <c:v>-60</c:v>
                </c:pt>
                <c:pt idx="1162">
                  <c:v>-59.5</c:v>
                </c:pt>
                <c:pt idx="1163">
                  <c:v>-59.1</c:v>
                </c:pt>
                <c:pt idx="1164">
                  <c:v>-58.2</c:v>
                </c:pt>
                <c:pt idx="1165">
                  <c:v>-57.4</c:v>
                </c:pt>
                <c:pt idx="1166">
                  <c:v>-56.9</c:v>
                </c:pt>
                <c:pt idx="1167">
                  <c:v>-57.1</c:v>
                </c:pt>
                <c:pt idx="1168">
                  <c:v>-57.1</c:v>
                </c:pt>
                <c:pt idx="1169">
                  <c:v>-57.2</c:v>
                </c:pt>
                <c:pt idx="1170">
                  <c:v>-57.2</c:v>
                </c:pt>
                <c:pt idx="1171">
                  <c:v>-57.2</c:v>
                </c:pt>
                <c:pt idx="1172">
                  <c:v>-55.3</c:v>
                </c:pt>
                <c:pt idx="1173">
                  <c:v>-52.8</c:v>
                </c:pt>
                <c:pt idx="1174">
                  <c:v>-50.6</c:v>
                </c:pt>
                <c:pt idx="1175">
                  <c:v>-50</c:v>
                </c:pt>
                <c:pt idx="1176">
                  <c:v>-49.2</c:v>
                </c:pt>
                <c:pt idx="1177">
                  <c:v>-48.3</c:v>
                </c:pt>
                <c:pt idx="1178">
                  <c:v>-47.3</c:v>
                </c:pt>
                <c:pt idx="1179">
                  <c:v>-46.1</c:v>
                </c:pt>
                <c:pt idx="1180">
                  <c:v>-46.5</c:v>
                </c:pt>
                <c:pt idx="1181">
                  <c:v>-48.7</c:v>
                </c:pt>
                <c:pt idx="1182">
                  <c:v>-50.1</c:v>
                </c:pt>
                <c:pt idx="1183">
                  <c:v>-51.3</c:v>
                </c:pt>
                <c:pt idx="1184">
                  <c:v>-51.3</c:v>
                </c:pt>
                <c:pt idx="1185">
                  <c:v>-51.3</c:v>
                </c:pt>
                <c:pt idx="1186">
                  <c:v>-50.6</c:v>
                </c:pt>
                <c:pt idx="1187">
                  <c:v>-49.8</c:v>
                </c:pt>
                <c:pt idx="1188">
                  <c:v>-49.3</c:v>
                </c:pt>
                <c:pt idx="1189">
                  <c:v>-39.6</c:v>
                </c:pt>
                <c:pt idx="1190">
                  <c:v>-27.7</c:v>
                </c:pt>
                <c:pt idx="1191">
                  <c:v>-18.899999999999999</c:v>
                </c:pt>
                <c:pt idx="1192">
                  <c:v>-27.7</c:v>
                </c:pt>
                <c:pt idx="1193">
                  <c:v>-41.1</c:v>
                </c:pt>
                <c:pt idx="1194">
                  <c:v>-52.8</c:v>
                </c:pt>
                <c:pt idx="1195">
                  <c:v>-53</c:v>
                </c:pt>
                <c:pt idx="1196">
                  <c:v>-53.1</c:v>
                </c:pt>
                <c:pt idx="1197">
                  <c:v>-53.3</c:v>
                </c:pt>
                <c:pt idx="1198">
                  <c:v>-53.3</c:v>
                </c:pt>
                <c:pt idx="1199">
                  <c:v>-53.3</c:v>
                </c:pt>
                <c:pt idx="1200">
                  <c:v>-53.1</c:v>
                </c:pt>
                <c:pt idx="1201">
                  <c:v>-51.9</c:v>
                </c:pt>
                <c:pt idx="1202">
                  <c:v>-50.7</c:v>
                </c:pt>
                <c:pt idx="1203">
                  <c:v>-49.4</c:v>
                </c:pt>
                <c:pt idx="1204">
                  <c:v>-48.3</c:v>
                </c:pt>
                <c:pt idx="1205">
                  <c:v>-46.7</c:v>
                </c:pt>
                <c:pt idx="1206">
                  <c:v>-46</c:v>
                </c:pt>
                <c:pt idx="1207">
                  <c:v>-46.2</c:v>
                </c:pt>
                <c:pt idx="1208">
                  <c:v>-46.6</c:v>
                </c:pt>
                <c:pt idx="1209">
                  <c:v>-46</c:v>
                </c:pt>
                <c:pt idx="1210">
                  <c:v>-44.8</c:v>
                </c:pt>
                <c:pt idx="1211">
                  <c:v>-43.1</c:v>
                </c:pt>
                <c:pt idx="1212">
                  <c:v>-42.1</c:v>
                </c:pt>
                <c:pt idx="1213">
                  <c:v>-42.1</c:v>
                </c:pt>
                <c:pt idx="1214">
                  <c:v>-42.1</c:v>
                </c:pt>
                <c:pt idx="1215">
                  <c:v>-42.1</c:v>
                </c:pt>
                <c:pt idx="1216">
                  <c:v>-42.1</c:v>
                </c:pt>
                <c:pt idx="1217">
                  <c:v>-42.1</c:v>
                </c:pt>
                <c:pt idx="1218">
                  <c:v>-42.3</c:v>
                </c:pt>
                <c:pt idx="1219">
                  <c:v>-43.9</c:v>
                </c:pt>
                <c:pt idx="1220">
                  <c:v>-45.1</c:v>
                </c:pt>
                <c:pt idx="1221">
                  <c:v>-46.5</c:v>
                </c:pt>
                <c:pt idx="1222">
                  <c:v>-46.7</c:v>
                </c:pt>
                <c:pt idx="1223">
                  <c:v>-46.9</c:v>
                </c:pt>
                <c:pt idx="1224">
                  <c:v>-47.1</c:v>
                </c:pt>
                <c:pt idx="1225">
                  <c:v>-37.1</c:v>
                </c:pt>
                <c:pt idx="1226">
                  <c:v>-28.8</c:v>
                </c:pt>
                <c:pt idx="1227">
                  <c:v>-16.2</c:v>
                </c:pt>
                <c:pt idx="1228">
                  <c:v>-13.6</c:v>
                </c:pt>
                <c:pt idx="1229">
                  <c:v>-13.6</c:v>
                </c:pt>
                <c:pt idx="1230">
                  <c:v>-13.6</c:v>
                </c:pt>
                <c:pt idx="1231">
                  <c:v>-18.2</c:v>
                </c:pt>
                <c:pt idx="1232">
                  <c:v>-28.3</c:v>
                </c:pt>
                <c:pt idx="1233">
                  <c:v>-35.1</c:v>
                </c:pt>
                <c:pt idx="1234">
                  <c:v>-39.799999999999997</c:v>
                </c:pt>
                <c:pt idx="1235">
                  <c:v>-38.700000000000003</c:v>
                </c:pt>
                <c:pt idx="1236">
                  <c:v>-37.1</c:v>
                </c:pt>
                <c:pt idx="1237">
                  <c:v>-35.4</c:v>
                </c:pt>
                <c:pt idx="1238">
                  <c:v>-28</c:v>
                </c:pt>
                <c:pt idx="1239">
                  <c:v>-23.1</c:v>
                </c:pt>
                <c:pt idx="1240">
                  <c:v>-18.100000000000001</c:v>
                </c:pt>
                <c:pt idx="1241">
                  <c:v>-16.8</c:v>
                </c:pt>
                <c:pt idx="1242">
                  <c:v>-16.899999999999999</c:v>
                </c:pt>
                <c:pt idx="1243">
                  <c:v>-17.100000000000001</c:v>
                </c:pt>
                <c:pt idx="1244">
                  <c:v>-17.2</c:v>
                </c:pt>
                <c:pt idx="1245">
                  <c:v>-17.2</c:v>
                </c:pt>
                <c:pt idx="1246">
                  <c:v>-17.2</c:v>
                </c:pt>
                <c:pt idx="1247">
                  <c:v>-17.5</c:v>
                </c:pt>
                <c:pt idx="1248">
                  <c:v>-19.3</c:v>
                </c:pt>
                <c:pt idx="1249">
                  <c:v>-20.6</c:v>
                </c:pt>
                <c:pt idx="1250">
                  <c:v>-22.2</c:v>
                </c:pt>
                <c:pt idx="1251">
                  <c:v>-21.6</c:v>
                </c:pt>
                <c:pt idx="1252">
                  <c:v>-21.1</c:v>
                </c:pt>
                <c:pt idx="1253">
                  <c:v>-20.3</c:v>
                </c:pt>
                <c:pt idx="1254">
                  <c:v>-19.399999999999999</c:v>
                </c:pt>
                <c:pt idx="1255">
                  <c:v>-17.899999999999999</c:v>
                </c:pt>
                <c:pt idx="1256">
                  <c:v>-16.8</c:v>
                </c:pt>
                <c:pt idx="1257">
                  <c:v>-16</c:v>
                </c:pt>
                <c:pt idx="1258">
                  <c:v>-15.7</c:v>
                </c:pt>
                <c:pt idx="1259">
                  <c:v>-15.6</c:v>
                </c:pt>
                <c:pt idx="1260">
                  <c:v>-15.5</c:v>
                </c:pt>
                <c:pt idx="1261">
                  <c:v>-15.4</c:v>
                </c:pt>
                <c:pt idx="1262">
                  <c:v>-15.4</c:v>
                </c:pt>
                <c:pt idx="1263">
                  <c:v>-15.4</c:v>
                </c:pt>
                <c:pt idx="1264">
                  <c:v>-15.3</c:v>
                </c:pt>
                <c:pt idx="1265">
                  <c:v>-14.1</c:v>
                </c:pt>
                <c:pt idx="1266">
                  <c:v>-13.3</c:v>
                </c:pt>
                <c:pt idx="1267">
                  <c:v>-12.7</c:v>
                </c:pt>
                <c:pt idx="1268">
                  <c:v>-9.6999999999999993</c:v>
                </c:pt>
                <c:pt idx="1269">
                  <c:v>-7.3</c:v>
                </c:pt>
                <c:pt idx="1270">
                  <c:v>-5</c:v>
                </c:pt>
                <c:pt idx="1271">
                  <c:v>-5.3</c:v>
                </c:pt>
                <c:pt idx="1272">
                  <c:v>-8.5</c:v>
                </c:pt>
                <c:pt idx="1273">
                  <c:v>-11.8</c:v>
                </c:pt>
                <c:pt idx="1274">
                  <c:v>-15</c:v>
                </c:pt>
                <c:pt idx="1275">
                  <c:v>-14.9</c:v>
                </c:pt>
                <c:pt idx="1276">
                  <c:v>-14.1</c:v>
                </c:pt>
                <c:pt idx="1277">
                  <c:v>-13.1</c:v>
                </c:pt>
                <c:pt idx="1278">
                  <c:v>-12.4</c:v>
                </c:pt>
                <c:pt idx="1279">
                  <c:v>-12.4</c:v>
                </c:pt>
                <c:pt idx="1280">
                  <c:v>-12.4</c:v>
                </c:pt>
                <c:pt idx="1281">
                  <c:v>-12.4</c:v>
                </c:pt>
                <c:pt idx="1282">
                  <c:v>-12.7</c:v>
                </c:pt>
                <c:pt idx="1283">
                  <c:v>-13.2</c:v>
                </c:pt>
                <c:pt idx="1284">
                  <c:v>-13.9</c:v>
                </c:pt>
                <c:pt idx="1285">
                  <c:v>-14.3</c:v>
                </c:pt>
                <c:pt idx="1286">
                  <c:v>-14.1</c:v>
                </c:pt>
                <c:pt idx="1287">
                  <c:v>-13.9</c:v>
                </c:pt>
                <c:pt idx="1288">
                  <c:v>-13.7</c:v>
                </c:pt>
                <c:pt idx="1289">
                  <c:v>-12.9</c:v>
                </c:pt>
                <c:pt idx="1290">
                  <c:v>-12.1</c:v>
                </c:pt>
                <c:pt idx="1291">
                  <c:v>-10.7</c:v>
                </c:pt>
                <c:pt idx="1292">
                  <c:v>-10.3</c:v>
                </c:pt>
                <c:pt idx="1293">
                  <c:v>-12</c:v>
                </c:pt>
                <c:pt idx="1294">
                  <c:v>-14.4</c:v>
                </c:pt>
                <c:pt idx="1295">
                  <c:v>-16.100000000000001</c:v>
                </c:pt>
                <c:pt idx="1296">
                  <c:v>-16.600000000000001</c:v>
                </c:pt>
                <c:pt idx="1297">
                  <c:v>-16.600000000000001</c:v>
                </c:pt>
                <c:pt idx="1298">
                  <c:v>-16.600000000000001</c:v>
                </c:pt>
                <c:pt idx="1299">
                  <c:v>-16.7</c:v>
                </c:pt>
                <c:pt idx="1300">
                  <c:v>-16.899999999999999</c:v>
                </c:pt>
                <c:pt idx="1301">
                  <c:v>-17.100000000000001</c:v>
                </c:pt>
                <c:pt idx="1302">
                  <c:v>-17.5</c:v>
                </c:pt>
                <c:pt idx="1303">
                  <c:v>-20.3</c:v>
                </c:pt>
                <c:pt idx="1304">
                  <c:v>-22.1</c:v>
                </c:pt>
                <c:pt idx="1305">
                  <c:v>-24.6</c:v>
                </c:pt>
                <c:pt idx="1306">
                  <c:v>-25</c:v>
                </c:pt>
                <c:pt idx="1307">
                  <c:v>-25.6</c:v>
                </c:pt>
                <c:pt idx="1308">
                  <c:v>-26</c:v>
                </c:pt>
                <c:pt idx="1309">
                  <c:v>-21.1</c:v>
                </c:pt>
                <c:pt idx="1310">
                  <c:v>-14.8</c:v>
                </c:pt>
                <c:pt idx="1311">
                  <c:v>-10.6</c:v>
                </c:pt>
                <c:pt idx="1312">
                  <c:v>-9.3000000000000007</c:v>
                </c:pt>
                <c:pt idx="1313">
                  <c:v>-9.3000000000000007</c:v>
                </c:pt>
                <c:pt idx="1314">
                  <c:v>-9.3000000000000007</c:v>
                </c:pt>
                <c:pt idx="1315">
                  <c:v>-12.3</c:v>
                </c:pt>
                <c:pt idx="1316">
                  <c:v>-16.100000000000001</c:v>
                </c:pt>
                <c:pt idx="1317">
                  <c:v>-18.7</c:v>
                </c:pt>
                <c:pt idx="1318">
                  <c:v>-14.8</c:v>
                </c:pt>
                <c:pt idx="1319">
                  <c:v>-8.9</c:v>
                </c:pt>
                <c:pt idx="1320">
                  <c:v>-3.1</c:v>
                </c:pt>
                <c:pt idx="1321">
                  <c:v>0</c:v>
                </c:pt>
                <c:pt idx="1322">
                  <c:v>4.7</c:v>
                </c:pt>
                <c:pt idx="1323">
                  <c:v>8.4</c:v>
                </c:pt>
                <c:pt idx="1324">
                  <c:v>5.0999999999999996</c:v>
                </c:pt>
                <c:pt idx="1325">
                  <c:v>1.8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-10.6</c:v>
                </c:pt>
                <c:pt idx="1330">
                  <c:v>-24.1</c:v>
                </c:pt>
                <c:pt idx="1331">
                  <c:v>-35.4</c:v>
                </c:pt>
                <c:pt idx="1332">
                  <c:v>-32.4</c:v>
                </c:pt>
                <c:pt idx="1333">
                  <c:v>-29.3</c:v>
                </c:pt>
                <c:pt idx="1334">
                  <c:v>-28.2</c:v>
                </c:pt>
                <c:pt idx="1335">
                  <c:v>-29.3</c:v>
                </c:pt>
                <c:pt idx="1336">
                  <c:v>-30.3</c:v>
                </c:pt>
                <c:pt idx="1337">
                  <c:v>-30.3</c:v>
                </c:pt>
                <c:pt idx="1338">
                  <c:v>-29.9</c:v>
                </c:pt>
                <c:pt idx="1339">
                  <c:v>-29.7</c:v>
                </c:pt>
                <c:pt idx="1340">
                  <c:v>-29.7</c:v>
                </c:pt>
                <c:pt idx="1341">
                  <c:v>-29.7</c:v>
                </c:pt>
                <c:pt idx="1342">
                  <c:v>-29.9</c:v>
                </c:pt>
                <c:pt idx="1343">
                  <c:v>-30.1</c:v>
                </c:pt>
                <c:pt idx="1344">
                  <c:v>-27.3</c:v>
                </c:pt>
                <c:pt idx="1345">
                  <c:v>-18.7</c:v>
                </c:pt>
                <c:pt idx="1346">
                  <c:v>-14.2</c:v>
                </c:pt>
                <c:pt idx="1347">
                  <c:v>-23.5</c:v>
                </c:pt>
                <c:pt idx="1348">
                  <c:v>-36.1</c:v>
                </c:pt>
                <c:pt idx="1349">
                  <c:v>-36.700000000000003</c:v>
                </c:pt>
                <c:pt idx="1350">
                  <c:v>-34.5</c:v>
                </c:pt>
                <c:pt idx="1351">
                  <c:v>-33.6</c:v>
                </c:pt>
                <c:pt idx="1352">
                  <c:v>-33.6</c:v>
                </c:pt>
                <c:pt idx="1353">
                  <c:v>-34</c:v>
                </c:pt>
                <c:pt idx="1354">
                  <c:v>-38.299999999999997</c:v>
                </c:pt>
                <c:pt idx="1355">
                  <c:v>-41.4</c:v>
                </c:pt>
                <c:pt idx="1356">
                  <c:v>-42</c:v>
                </c:pt>
                <c:pt idx="1357">
                  <c:v>-41.9</c:v>
                </c:pt>
                <c:pt idx="1358">
                  <c:v>-41.7</c:v>
                </c:pt>
                <c:pt idx="1359">
                  <c:v>-41.5</c:v>
                </c:pt>
                <c:pt idx="1360">
                  <c:v>-40.799999999999997</c:v>
                </c:pt>
                <c:pt idx="1361">
                  <c:v>-39.700000000000003</c:v>
                </c:pt>
                <c:pt idx="1362">
                  <c:v>-38.5</c:v>
                </c:pt>
                <c:pt idx="1363">
                  <c:v>-38.5</c:v>
                </c:pt>
                <c:pt idx="1364">
                  <c:v>-38.5</c:v>
                </c:pt>
                <c:pt idx="1365">
                  <c:v>-42</c:v>
                </c:pt>
                <c:pt idx="1366">
                  <c:v>-45.1</c:v>
                </c:pt>
                <c:pt idx="1367">
                  <c:v>-47.2</c:v>
                </c:pt>
                <c:pt idx="1368">
                  <c:v>-47.9</c:v>
                </c:pt>
                <c:pt idx="1369">
                  <c:v>-48</c:v>
                </c:pt>
                <c:pt idx="1370">
                  <c:v>-47.5</c:v>
                </c:pt>
                <c:pt idx="1371">
                  <c:v>-41.1</c:v>
                </c:pt>
                <c:pt idx="1372">
                  <c:v>-28.1</c:v>
                </c:pt>
                <c:pt idx="1373">
                  <c:v>-12.4</c:v>
                </c:pt>
                <c:pt idx="1374">
                  <c:v>-12.4</c:v>
                </c:pt>
                <c:pt idx="1375">
                  <c:v>-13.3</c:v>
                </c:pt>
                <c:pt idx="1376">
                  <c:v>-20.5</c:v>
                </c:pt>
                <c:pt idx="1377">
                  <c:v>-30.1</c:v>
                </c:pt>
                <c:pt idx="1378">
                  <c:v>-35.299999999999997</c:v>
                </c:pt>
                <c:pt idx="1379">
                  <c:v>-39.799999999999997</c:v>
                </c:pt>
                <c:pt idx="1380">
                  <c:v>-54.3</c:v>
                </c:pt>
                <c:pt idx="1381">
                  <c:v>-70.5</c:v>
                </c:pt>
                <c:pt idx="1382">
                  <c:v>-62.7</c:v>
                </c:pt>
                <c:pt idx="1383">
                  <c:v>-53.5</c:v>
                </c:pt>
                <c:pt idx="1384">
                  <c:v>-48.5</c:v>
                </c:pt>
                <c:pt idx="1385">
                  <c:v>-48.5</c:v>
                </c:pt>
                <c:pt idx="1386">
                  <c:v>-48</c:v>
                </c:pt>
                <c:pt idx="1387">
                  <c:v>-47.1</c:v>
                </c:pt>
                <c:pt idx="1388">
                  <c:v>-48.1</c:v>
                </c:pt>
                <c:pt idx="1389">
                  <c:v>-50.1</c:v>
                </c:pt>
                <c:pt idx="1390">
                  <c:v>-51.4</c:v>
                </c:pt>
                <c:pt idx="1391">
                  <c:v>-52.4</c:v>
                </c:pt>
                <c:pt idx="1392">
                  <c:v>-53.7</c:v>
                </c:pt>
                <c:pt idx="1393">
                  <c:v>-55.1</c:v>
                </c:pt>
                <c:pt idx="1394">
                  <c:v>-56.2</c:v>
                </c:pt>
                <c:pt idx="1395">
                  <c:v>-56.2</c:v>
                </c:pt>
                <c:pt idx="1396">
                  <c:v>-55.5</c:v>
                </c:pt>
                <c:pt idx="1397">
                  <c:v>-53.7</c:v>
                </c:pt>
                <c:pt idx="1398">
                  <c:v>-50.7</c:v>
                </c:pt>
                <c:pt idx="1399">
                  <c:v>-31.9</c:v>
                </c:pt>
                <c:pt idx="1400">
                  <c:v>-16.5</c:v>
                </c:pt>
                <c:pt idx="1401">
                  <c:v>-33.9</c:v>
                </c:pt>
                <c:pt idx="1402">
                  <c:v>-50.1</c:v>
                </c:pt>
                <c:pt idx="1403">
                  <c:v>-53.5</c:v>
                </c:pt>
                <c:pt idx="1404">
                  <c:v>-56</c:v>
                </c:pt>
                <c:pt idx="1405">
                  <c:v>-56.5</c:v>
                </c:pt>
                <c:pt idx="1406">
                  <c:v>-56.5</c:v>
                </c:pt>
                <c:pt idx="1407">
                  <c:v>-55.4</c:v>
                </c:pt>
                <c:pt idx="1408">
                  <c:v>-54.1</c:v>
                </c:pt>
                <c:pt idx="1409">
                  <c:v>-53.3</c:v>
                </c:pt>
                <c:pt idx="1410">
                  <c:v>-52.6</c:v>
                </c:pt>
                <c:pt idx="1411">
                  <c:v>-51.3</c:v>
                </c:pt>
                <c:pt idx="1412">
                  <c:v>-49.7</c:v>
                </c:pt>
                <c:pt idx="1413">
                  <c:v>-52</c:v>
                </c:pt>
                <c:pt idx="1414">
                  <c:v>-55</c:v>
                </c:pt>
                <c:pt idx="1415">
                  <c:v>-55.5</c:v>
                </c:pt>
                <c:pt idx="1416">
                  <c:v>-55.5</c:v>
                </c:pt>
                <c:pt idx="1417">
                  <c:v>-57.3</c:v>
                </c:pt>
                <c:pt idx="1418">
                  <c:v>-59.7</c:v>
                </c:pt>
                <c:pt idx="1419">
                  <c:v>-58.1</c:v>
                </c:pt>
                <c:pt idx="1420">
                  <c:v>-56.3</c:v>
                </c:pt>
                <c:pt idx="1421">
                  <c:v>-54.9</c:v>
                </c:pt>
                <c:pt idx="1422">
                  <c:v>-51.7</c:v>
                </c:pt>
                <c:pt idx="1423">
                  <c:v>-32.1</c:v>
                </c:pt>
                <c:pt idx="1424">
                  <c:v>-14.3</c:v>
                </c:pt>
                <c:pt idx="1425">
                  <c:v>-14.3</c:v>
                </c:pt>
                <c:pt idx="1426">
                  <c:v>-16.100000000000001</c:v>
                </c:pt>
                <c:pt idx="1427">
                  <c:v>-21.1</c:v>
                </c:pt>
                <c:pt idx="1428">
                  <c:v>-26.3</c:v>
                </c:pt>
                <c:pt idx="1429">
                  <c:v>-31.5</c:v>
                </c:pt>
                <c:pt idx="1430">
                  <c:v>-36.700000000000003</c:v>
                </c:pt>
                <c:pt idx="1431">
                  <c:v>-41.7</c:v>
                </c:pt>
                <c:pt idx="1432">
                  <c:v>-45.1</c:v>
                </c:pt>
                <c:pt idx="1433">
                  <c:v>-45.1</c:v>
                </c:pt>
                <c:pt idx="1434">
                  <c:v>-45.4</c:v>
                </c:pt>
                <c:pt idx="1435">
                  <c:v>-46.3</c:v>
                </c:pt>
                <c:pt idx="1436">
                  <c:v>-52.2</c:v>
                </c:pt>
                <c:pt idx="1437">
                  <c:v>-67.900000000000006</c:v>
                </c:pt>
                <c:pt idx="1438">
                  <c:v>-73.7</c:v>
                </c:pt>
                <c:pt idx="1439">
                  <c:v>-60.5</c:v>
                </c:pt>
                <c:pt idx="1440">
                  <c:v>-51.7</c:v>
                </c:pt>
                <c:pt idx="1441">
                  <c:v>-49.9</c:v>
                </c:pt>
                <c:pt idx="1442">
                  <c:v>-48.3</c:v>
                </c:pt>
                <c:pt idx="1443">
                  <c:v>-49.2</c:v>
                </c:pt>
                <c:pt idx="1444">
                  <c:v>-49.9</c:v>
                </c:pt>
                <c:pt idx="1445">
                  <c:v>-50.1</c:v>
                </c:pt>
                <c:pt idx="1446">
                  <c:v>-50.1</c:v>
                </c:pt>
                <c:pt idx="1447">
                  <c:v>-48.9</c:v>
                </c:pt>
                <c:pt idx="1448">
                  <c:v>-47</c:v>
                </c:pt>
                <c:pt idx="1449">
                  <c:v>-40.9</c:v>
                </c:pt>
                <c:pt idx="1450">
                  <c:v>-34.1</c:v>
                </c:pt>
                <c:pt idx="1451">
                  <c:v>-27.9</c:v>
                </c:pt>
                <c:pt idx="1452">
                  <c:v>-27.3</c:v>
                </c:pt>
                <c:pt idx="1453">
                  <c:v>-26.6</c:v>
                </c:pt>
                <c:pt idx="1454">
                  <c:v>-26.6</c:v>
                </c:pt>
                <c:pt idx="1455">
                  <c:v>-26.6</c:v>
                </c:pt>
                <c:pt idx="1456">
                  <c:v>-26.1</c:v>
                </c:pt>
                <c:pt idx="1457">
                  <c:v>-25.5</c:v>
                </c:pt>
                <c:pt idx="1458">
                  <c:v>-25.1</c:v>
                </c:pt>
                <c:pt idx="1459">
                  <c:v>-25.3</c:v>
                </c:pt>
                <c:pt idx="1460">
                  <c:v>-25.5</c:v>
                </c:pt>
                <c:pt idx="1461">
                  <c:v>-32.5</c:v>
                </c:pt>
                <c:pt idx="1462">
                  <c:v>-38.5</c:v>
                </c:pt>
                <c:pt idx="1463">
                  <c:v>-47.5</c:v>
                </c:pt>
                <c:pt idx="1464">
                  <c:v>-59.9</c:v>
                </c:pt>
                <c:pt idx="1465">
                  <c:v>-73.5</c:v>
                </c:pt>
                <c:pt idx="1466">
                  <c:v>-62.7</c:v>
                </c:pt>
                <c:pt idx="1467">
                  <c:v>-52</c:v>
                </c:pt>
                <c:pt idx="1468">
                  <c:v>-46.2</c:v>
                </c:pt>
                <c:pt idx="1469">
                  <c:v>-46.2</c:v>
                </c:pt>
                <c:pt idx="1470">
                  <c:v>-46.2</c:v>
                </c:pt>
                <c:pt idx="1471">
                  <c:v>-48.9</c:v>
                </c:pt>
                <c:pt idx="1472">
                  <c:v>-53.3</c:v>
                </c:pt>
                <c:pt idx="1473">
                  <c:v>-50.1</c:v>
                </c:pt>
                <c:pt idx="1474">
                  <c:v>-39</c:v>
                </c:pt>
                <c:pt idx="1475">
                  <c:v>-27.9</c:v>
                </c:pt>
                <c:pt idx="1476">
                  <c:v>-25.9</c:v>
                </c:pt>
                <c:pt idx="1477">
                  <c:v>-26.3</c:v>
                </c:pt>
                <c:pt idx="1478">
                  <c:v>-25.6</c:v>
                </c:pt>
                <c:pt idx="1479">
                  <c:v>-17.5</c:v>
                </c:pt>
                <c:pt idx="1480">
                  <c:v>-9.4</c:v>
                </c:pt>
                <c:pt idx="1481">
                  <c:v>-5</c:v>
                </c:pt>
                <c:pt idx="1482">
                  <c:v>-5</c:v>
                </c:pt>
                <c:pt idx="1483">
                  <c:v>-5</c:v>
                </c:pt>
                <c:pt idx="1484">
                  <c:v>-7</c:v>
                </c:pt>
                <c:pt idx="1485">
                  <c:v>-9.6</c:v>
                </c:pt>
                <c:pt idx="1486">
                  <c:v>-11.7</c:v>
                </c:pt>
                <c:pt idx="1487">
                  <c:v>-11.1</c:v>
                </c:pt>
                <c:pt idx="1488">
                  <c:v>-10.4</c:v>
                </c:pt>
                <c:pt idx="1489">
                  <c:v>-9.8000000000000007</c:v>
                </c:pt>
                <c:pt idx="1490">
                  <c:v>-8.1</c:v>
                </c:pt>
                <c:pt idx="1491">
                  <c:v>-6.5</c:v>
                </c:pt>
                <c:pt idx="1492">
                  <c:v>-4.2</c:v>
                </c:pt>
                <c:pt idx="1493">
                  <c:v>-1.1000000000000001</c:v>
                </c:pt>
                <c:pt idx="1494">
                  <c:v>1.9</c:v>
                </c:pt>
                <c:pt idx="1495">
                  <c:v>2.5</c:v>
                </c:pt>
                <c:pt idx="1496">
                  <c:v>2.5</c:v>
                </c:pt>
                <c:pt idx="1497">
                  <c:v>2.5</c:v>
                </c:pt>
                <c:pt idx="1498">
                  <c:v>2.7</c:v>
                </c:pt>
                <c:pt idx="1499">
                  <c:v>2.8</c:v>
                </c:pt>
                <c:pt idx="1500">
                  <c:v>3.1</c:v>
                </c:pt>
                <c:pt idx="1501">
                  <c:v>3.5</c:v>
                </c:pt>
                <c:pt idx="1502">
                  <c:v>3.8</c:v>
                </c:pt>
                <c:pt idx="1503">
                  <c:v>4.3</c:v>
                </c:pt>
                <c:pt idx="1504">
                  <c:v>4.3</c:v>
                </c:pt>
                <c:pt idx="1505">
                  <c:v>4</c:v>
                </c:pt>
                <c:pt idx="1506">
                  <c:v>3.7</c:v>
                </c:pt>
                <c:pt idx="1507">
                  <c:v>3.6</c:v>
                </c:pt>
                <c:pt idx="1508">
                  <c:v>3.4</c:v>
                </c:pt>
                <c:pt idx="1509">
                  <c:v>3.2</c:v>
                </c:pt>
                <c:pt idx="1510">
                  <c:v>3.1</c:v>
                </c:pt>
                <c:pt idx="1511">
                  <c:v>3.1</c:v>
                </c:pt>
                <c:pt idx="1512">
                  <c:v>3.1</c:v>
                </c:pt>
                <c:pt idx="1513">
                  <c:v>3.3</c:v>
                </c:pt>
                <c:pt idx="1514">
                  <c:v>5.2</c:v>
                </c:pt>
                <c:pt idx="1515">
                  <c:v>6.5</c:v>
                </c:pt>
                <c:pt idx="1516">
                  <c:v>7.8</c:v>
                </c:pt>
                <c:pt idx="1517">
                  <c:v>6.1</c:v>
                </c:pt>
                <c:pt idx="1518">
                  <c:v>3.5</c:v>
                </c:pt>
                <c:pt idx="1519">
                  <c:v>1.7</c:v>
                </c:pt>
                <c:pt idx="1520">
                  <c:v>1.8</c:v>
                </c:pt>
                <c:pt idx="1521">
                  <c:v>2.2000000000000002</c:v>
                </c:pt>
                <c:pt idx="1522">
                  <c:v>2.9</c:v>
                </c:pt>
                <c:pt idx="1523">
                  <c:v>3.8</c:v>
                </c:pt>
                <c:pt idx="1524">
                  <c:v>4.9000000000000004</c:v>
                </c:pt>
                <c:pt idx="1525">
                  <c:v>6.5</c:v>
                </c:pt>
                <c:pt idx="1526">
                  <c:v>7.4</c:v>
                </c:pt>
                <c:pt idx="1527">
                  <c:v>7.4</c:v>
                </c:pt>
                <c:pt idx="1528">
                  <c:v>7.4</c:v>
                </c:pt>
                <c:pt idx="1529">
                  <c:v>7.4</c:v>
                </c:pt>
                <c:pt idx="1530">
                  <c:v>7.8</c:v>
                </c:pt>
                <c:pt idx="1531">
                  <c:v>8.1</c:v>
                </c:pt>
                <c:pt idx="1532">
                  <c:v>8.6999999999999993</c:v>
                </c:pt>
                <c:pt idx="1533">
                  <c:v>8.3000000000000007</c:v>
                </c:pt>
                <c:pt idx="1534">
                  <c:v>7.7</c:v>
                </c:pt>
                <c:pt idx="1535">
                  <c:v>6.7</c:v>
                </c:pt>
                <c:pt idx="1536">
                  <c:v>6.3</c:v>
                </c:pt>
                <c:pt idx="1537">
                  <c:v>7.1</c:v>
                </c:pt>
                <c:pt idx="1538">
                  <c:v>8.3000000000000007</c:v>
                </c:pt>
                <c:pt idx="1539">
                  <c:v>9.1</c:v>
                </c:pt>
                <c:pt idx="1540">
                  <c:v>9.3000000000000007</c:v>
                </c:pt>
                <c:pt idx="1541">
                  <c:v>9.3000000000000007</c:v>
                </c:pt>
                <c:pt idx="1542">
                  <c:v>9.3000000000000007</c:v>
                </c:pt>
                <c:pt idx="1543">
                  <c:v>9.3000000000000007</c:v>
                </c:pt>
                <c:pt idx="1544">
                  <c:v>9.3000000000000007</c:v>
                </c:pt>
                <c:pt idx="1545">
                  <c:v>9.3000000000000007</c:v>
                </c:pt>
                <c:pt idx="1546">
                  <c:v>9.3000000000000007</c:v>
                </c:pt>
                <c:pt idx="1547">
                  <c:v>9.1</c:v>
                </c:pt>
                <c:pt idx="1548">
                  <c:v>8.8000000000000007</c:v>
                </c:pt>
                <c:pt idx="1549">
                  <c:v>8.3000000000000007</c:v>
                </c:pt>
                <c:pt idx="1550">
                  <c:v>7.8</c:v>
                </c:pt>
                <c:pt idx="1551">
                  <c:v>6.2</c:v>
                </c:pt>
                <c:pt idx="1552">
                  <c:v>3.9</c:v>
                </c:pt>
                <c:pt idx="1553">
                  <c:v>2.2999999999999998</c:v>
                </c:pt>
                <c:pt idx="1554">
                  <c:v>2.5</c:v>
                </c:pt>
                <c:pt idx="1555">
                  <c:v>3.4</c:v>
                </c:pt>
                <c:pt idx="1556">
                  <c:v>4.3</c:v>
                </c:pt>
                <c:pt idx="1557">
                  <c:v>5.3</c:v>
                </c:pt>
                <c:pt idx="1558">
                  <c:v>4.0999999999999996</c:v>
                </c:pt>
                <c:pt idx="1559">
                  <c:v>2.9</c:v>
                </c:pt>
                <c:pt idx="1560">
                  <c:v>1.6</c:v>
                </c:pt>
                <c:pt idx="1561">
                  <c:v>0.6</c:v>
                </c:pt>
                <c:pt idx="1562">
                  <c:v>0.6</c:v>
                </c:pt>
                <c:pt idx="1563">
                  <c:v>0.6</c:v>
                </c:pt>
                <c:pt idx="1564">
                  <c:v>0.6</c:v>
                </c:pt>
                <c:pt idx="1565">
                  <c:v>1.3</c:v>
                </c:pt>
                <c:pt idx="1566">
                  <c:v>2.2000000000000002</c:v>
                </c:pt>
                <c:pt idx="1567">
                  <c:v>3.1</c:v>
                </c:pt>
                <c:pt idx="1568">
                  <c:v>4.0999999999999996</c:v>
                </c:pt>
                <c:pt idx="1569">
                  <c:v>3.6</c:v>
                </c:pt>
                <c:pt idx="1570">
                  <c:v>3</c:v>
                </c:pt>
                <c:pt idx="1571">
                  <c:v>2.2999999999999998</c:v>
                </c:pt>
                <c:pt idx="1572">
                  <c:v>2</c:v>
                </c:pt>
                <c:pt idx="1573">
                  <c:v>2.9</c:v>
                </c:pt>
                <c:pt idx="1574">
                  <c:v>3.9</c:v>
                </c:pt>
                <c:pt idx="1575">
                  <c:v>4.9000000000000004</c:v>
                </c:pt>
                <c:pt idx="1576">
                  <c:v>5.5</c:v>
                </c:pt>
                <c:pt idx="1577">
                  <c:v>5.3</c:v>
                </c:pt>
                <c:pt idx="1578">
                  <c:v>5.2</c:v>
                </c:pt>
                <c:pt idx="1579">
                  <c:v>5.0999999999999996</c:v>
                </c:pt>
                <c:pt idx="1580">
                  <c:v>5</c:v>
                </c:pt>
                <c:pt idx="1581">
                  <c:v>5</c:v>
                </c:pt>
                <c:pt idx="1582">
                  <c:v>5</c:v>
                </c:pt>
                <c:pt idx="1583">
                  <c:v>5</c:v>
                </c:pt>
                <c:pt idx="1584">
                  <c:v>4.7</c:v>
                </c:pt>
                <c:pt idx="1585">
                  <c:v>4.2</c:v>
                </c:pt>
                <c:pt idx="1586">
                  <c:v>3.5</c:v>
                </c:pt>
                <c:pt idx="1587">
                  <c:v>3.4</c:v>
                </c:pt>
                <c:pt idx="1588">
                  <c:v>4.9000000000000004</c:v>
                </c:pt>
                <c:pt idx="1589">
                  <c:v>6.5</c:v>
                </c:pt>
                <c:pt idx="1590">
                  <c:v>8</c:v>
                </c:pt>
                <c:pt idx="1591">
                  <c:v>9.1</c:v>
                </c:pt>
                <c:pt idx="1592">
                  <c:v>8.3000000000000007</c:v>
                </c:pt>
                <c:pt idx="1593">
                  <c:v>7.6</c:v>
                </c:pt>
                <c:pt idx="1594">
                  <c:v>6.9</c:v>
                </c:pt>
                <c:pt idx="1595">
                  <c:v>5.9</c:v>
                </c:pt>
                <c:pt idx="1596">
                  <c:v>4</c:v>
                </c:pt>
                <c:pt idx="1597">
                  <c:v>2.1</c:v>
                </c:pt>
                <c:pt idx="1598">
                  <c:v>0.3</c:v>
                </c:pt>
                <c:pt idx="1599">
                  <c:v>-1.2</c:v>
                </c:pt>
                <c:pt idx="1600">
                  <c:v>-1.2</c:v>
                </c:pt>
                <c:pt idx="1601">
                  <c:v>-1.2</c:v>
                </c:pt>
                <c:pt idx="1602">
                  <c:v>-1.2</c:v>
                </c:pt>
                <c:pt idx="1603">
                  <c:v>-1.1000000000000001</c:v>
                </c:pt>
                <c:pt idx="1604">
                  <c:v>-0.9</c:v>
                </c:pt>
                <c:pt idx="1605">
                  <c:v>-0.4</c:v>
                </c:pt>
                <c:pt idx="1606">
                  <c:v>-0.1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0.7</c:v>
                </c:pt>
                <c:pt idx="1612">
                  <c:v>1.5</c:v>
                </c:pt>
                <c:pt idx="1613">
                  <c:v>2.1</c:v>
                </c:pt>
                <c:pt idx="1614">
                  <c:v>2.9</c:v>
                </c:pt>
                <c:pt idx="1615">
                  <c:v>3.9</c:v>
                </c:pt>
                <c:pt idx="1616">
                  <c:v>4.7</c:v>
                </c:pt>
                <c:pt idx="1617">
                  <c:v>5.5</c:v>
                </c:pt>
                <c:pt idx="1618">
                  <c:v>6.3</c:v>
                </c:pt>
                <c:pt idx="1619">
                  <c:v>6.9</c:v>
                </c:pt>
                <c:pt idx="1620">
                  <c:v>6.9</c:v>
                </c:pt>
                <c:pt idx="1621">
                  <c:v>6.9</c:v>
                </c:pt>
                <c:pt idx="1622">
                  <c:v>6.9</c:v>
                </c:pt>
                <c:pt idx="1623">
                  <c:v>6.8</c:v>
                </c:pt>
                <c:pt idx="1624">
                  <c:v>6.1</c:v>
                </c:pt>
                <c:pt idx="1625">
                  <c:v>5.5</c:v>
                </c:pt>
                <c:pt idx="1626">
                  <c:v>4.9000000000000004</c:v>
                </c:pt>
                <c:pt idx="1627">
                  <c:v>4.5</c:v>
                </c:pt>
                <c:pt idx="1628">
                  <c:v>5.5</c:v>
                </c:pt>
                <c:pt idx="1629">
                  <c:v>6.5</c:v>
                </c:pt>
                <c:pt idx="1630">
                  <c:v>7.3</c:v>
                </c:pt>
                <c:pt idx="1631">
                  <c:v>7.8</c:v>
                </c:pt>
                <c:pt idx="1632">
                  <c:v>6.1</c:v>
                </c:pt>
                <c:pt idx="1633">
                  <c:v>4.3</c:v>
                </c:pt>
                <c:pt idx="1634">
                  <c:v>2.6</c:v>
                </c:pt>
                <c:pt idx="1635">
                  <c:v>1.7</c:v>
                </c:pt>
                <c:pt idx="1636">
                  <c:v>0.7</c:v>
                </c:pt>
                <c:pt idx="1637">
                  <c:v>-0.1</c:v>
                </c:pt>
                <c:pt idx="1638">
                  <c:v>-0.9</c:v>
                </c:pt>
                <c:pt idx="1639">
                  <c:v>-1.5</c:v>
                </c:pt>
                <c:pt idx="1640">
                  <c:v>-1.8</c:v>
                </c:pt>
                <c:pt idx="1641">
                  <c:v>-1.8</c:v>
                </c:pt>
                <c:pt idx="1642">
                  <c:v>-1.8</c:v>
                </c:pt>
                <c:pt idx="1643">
                  <c:v>-1.8</c:v>
                </c:pt>
                <c:pt idx="1644">
                  <c:v>-1.4</c:v>
                </c:pt>
                <c:pt idx="1645">
                  <c:v>-0.8</c:v>
                </c:pt>
                <c:pt idx="1646">
                  <c:v>-0.5</c:v>
                </c:pt>
                <c:pt idx="1647">
                  <c:v>0.1</c:v>
                </c:pt>
                <c:pt idx="1648">
                  <c:v>0.9</c:v>
                </c:pt>
                <c:pt idx="1649">
                  <c:v>2.2999999999999998</c:v>
                </c:pt>
                <c:pt idx="1650">
                  <c:v>3.7</c:v>
                </c:pt>
                <c:pt idx="1651">
                  <c:v>5.0999999999999996</c:v>
                </c:pt>
                <c:pt idx="1652">
                  <c:v>6.1</c:v>
                </c:pt>
                <c:pt idx="1653">
                  <c:v>5.3</c:v>
                </c:pt>
                <c:pt idx="1654">
                  <c:v>4.5</c:v>
                </c:pt>
                <c:pt idx="1655">
                  <c:v>4.0999999999999996</c:v>
                </c:pt>
                <c:pt idx="1656">
                  <c:v>3.3</c:v>
                </c:pt>
                <c:pt idx="1657">
                  <c:v>2.4</c:v>
                </c:pt>
                <c:pt idx="1658">
                  <c:v>1.3</c:v>
                </c:pt>
                <c:pt idx="1659">
                  <c:v>0.2</c:v>
                </c:pt>
                <c:pt idx="1660">
                  <c:v>-0.9</c:v>
                </c:pt>
                <c:pt idx="1661">
                  <c:v>-1.2</c:v>
                </c:pt>
                <c:pt idx="1662">
                  <c:v>-1.2</c:v>
                </c:pt>
                <c:pt idx="1663">
                  <c:v>-1.2</c:v>
                </c:pt>
                <c:pt idx="1664">
                  <c:v>-1.2</c:v>
                </c:pt>
                <c:pt idx="1665">
                  <c:v>-1.5</c:v>
                </c:pt>
                <c:pt idx="1666">
                  <c:v>-3.5</c:v>
                </c:pt>
                <c:pt idx="1667">
                  <c:v>-5.3</c:v>
                </c:pt>
                <c:pt idx="1668">
                  <c:v>-7.3</c:v>
                </c:pt>
                <c:pt idx="1669">
                  <c:v>-8.1999999999999993</c:v>
                </c:pt>
                <c:pt idx="1670">
                  <c:v>-3.9</c:v>
                </c:pt>
                <c:pt idx="1671">
                  <c:v>3.1</c:v>
                </c:pt>
                <c:pt idx="1672">
                  <c:v>10.199999999999999</c:v>
                </c:pt>
                <c:pt idx="1673">
                  <c:v>17.3</c:v>
                </c:pt>
                <c:pt idx="1674">
                  <c:v>12.4</c:v>
                </c:pt>
                <c:pt idx="1675">
                  <c:v>7.3</c:v>
                </c:pt>
                <c:pt idx="1676">
                  <c:v>-3.1</c:v>
                </c:pt>
                <c:pt idx="1677">
                  <c:v>-13.3</c:v>
                </c:pt>
                <c:pt idx="1678">
                  <c:v>-20.5</c:v>
                </c:pt>
                <c:pt idx="1679">
                  <c:v>-13.9</c:v>
                </c:pt>
                <c:pt idx="1680">
                  <c:v>-7.4</c:v>
                </c:pt>
                <c:pt idx="1681">
                  <c:v>-4.2</c:v>
                </c:pt>
                <c:pt idx="1682">
                  <c:v>2.4</c:v>
                </c:pt>
                <c:pt idx="1683">
                  <c:v>4.4000000000000004</c:v>
                </c:pt>
                <c:pt idx="1684">
                  <c:v>4.4000000000000004</c:v>
                </c:pt>
                <c:pt idx="1685">
                  <c:v>4.4000000000000004</c:v>
                </c:pt>
                <c:pt idx="1686">
                  <c:v>4.4000000000000004</c:v>
                </c:pt>
                <c:pt idx="1687">
                  <c:v>3.1</c:v>
                </c:pt>
                <c:pt idx="1688">
                  <c:v>-3.9</c:v>
                </c:pt>
                <c:pt idx="1689">
                  <c:v>-10.8</c:v>
                </c:pt>
                <c:pt idx="1690">
                  <c:v>-17.8</c:v>
                </c:pt>
                <c:pt idx="1691">
                  <c:v>-21.9</c:v>
                </c:pt>
                <c:pt idx="1692">
                  <c:v>-17.7</c:v>
                </c:pt>
                <c:pt idx="1693">
                  <c:v>-9.3000000000000007</c:v>
                </c:pt>
                <c:pt idx="1694">
                  <c:v>-0.9</c:v>
                </c:pt>
                <c:pt idx="1695">
                  <c:v>7.4</c:v>
                </c:pt>
                <c:pt idx="1696">
                  <c:v>5.6</c:v>
                </c:pt>
                <c:pt idx="1697">
                  <c:v>2.5</c:v>
                </c:pt>
                <c:pt idx="1698">
                  <c:v>-3.9</c:v>
                </c:pt>
                <c:pt idx="1699">
                  <c:v>-10.199999999999999</c:v>
                </c:pt>
                <c:pt idx="1700">
                  <c:v>-15.1</c:v>
                </c:pt>
                <c:pt idx="1701">
                  <c:v>-13.6</c:v>
                </c:pt>
                <c:pt idx="1702">
                  <c:v>-12.8</c:v>
                </c:pt>
                <c:pt idx="1703">
                  <c:v>-11.3</c:v>
                </c:pt>
                <c:pt idx="1704">
                  <c:v>-9.8000000000000007</c:v>
                </c:pt>
                <c:pt idx="1705">
                  <c:v>-9.3000000000000007</c:v>
                </c:pt>
                <c:pt idx="1706">
                  <c:v>-9.3000000000000007</c:v>
                </c:pt>
                <c:pt idx="1707">
                  <c:v>-9.3000000000000007</c:v>
                </c:pt>
                <c:pt idx="1708">
                  <c:v>-9.3000000000000007</c:v>
                </c:pt>
                <c:pt idx="1709">
                  <c:v>-9.9</c:v>
                </c:pt>
                <c:pt idx="1710">
                  <c:v>-13.2</c:v>
                </c:pt>
                <c:pt idx="1711">
                  <c:v>-14.8</c:v>
                </c:pt>
                <c:pt idx="1712">
                  <c:v>-18</c:v>
                </c:pt>
                <c:pt idx="1713">
                  <c:v>-21.3</c:v>
                </c:pt>
                <c:pt idx="1714">
                  <c:v>-18.100000000000001</c:v>
                </c:pt>
                <c:pt idx="1715">
                  <c:v>-15.1</c:v>
                </c:pt>
                <c:pt idx="1716">
                  <c:v>-9.1</c:v>
                </c:pt>
                <c:pt idx="1717">
                  <c:v>-3.1</c:v>
                </c:pt>
                <c:pt idx="1718">
                  <c:v>0.5</c:v>
                </c:pt>
                <c:pt idx="1719">
                  <c:v>-6.1</c:v>
                </c:pt>
                <c:pt idx="1720">
                  <c:v>-9.5</c:v>
                </c:pt>
                <c:pt idx="1721">
                  <c:v>-16.2</c:v>
                </c:pt>
                <c:pt idx="1722">
                  <c:v>-22.9</c:v>
                </c:pt>
                <c:pt idx="1723">
                  <c:v>-24.1</c:v>
                </c:pt>
                <c:pt idx="1724">
                  <c:v>-23.5</c:v>
                </c:pt>
                <c:pt idx="1725">
                  <c:v>-22.3</c:v>
                </c:pt>
                <c:pt idx="1726">
                  <c:v>-21.1</c:v>
                </c:pt>
                <c:pt idx="1727">
                  <c:v>-20.100000000000001</c:v>
                </c:pt>
                <c:pt idx="1728">
                  <c:v>-20.100000000000001</c:v>
                </c:pt>
                <c:pt idx="1729">
                  <c:v>-20.100000000000001</c:v>
                </c:pt>
                <c:pt idx="1730">
                  <c:v>-20.100000000000001</c:v>
                </c:pt>
                <c:pt idx="1731">
                  <c:v>-20.100000000000001</c:v>
                </c:pt>
                <c:pt idx="1732">
                  <c:v>-19.899999999999999</c:v>
                </c:pt>
                <c:pt idx="1733">
                  <c:v>-19.3</c:v>
                </c:pt>
                <c:pt idx="1734">
                  <c:v>-18.5</c:v>
                </c:pt>
                <c:pt idx="1735">
                  <c:v>-17.8</c:v>
                </c:pt>
                <c:pt idx="1736">
                  <c:v>-17.5</c:v>
                </c:pt>
                <c:pt idx="1737">
                  <c:v>-20.5</c:v>
                </c:pt>
                <c:pt idx="1738">
                  <c:v>-25.4</c:v>
                </c:pt>
                <c:pt idx="1739">
                  <c:v>-30.3</c:v>
                </c:pt>
                <c:pt idx="1740">
                  <c:v>-32.700000000000003</c:v>
                </c:pt>
                <c:pt idx="1741">
                  <c:v>-36.9</c:v>
                </c:pt>
                <c:pt idx="1742">
                  <c:v>-37.6</c:v>
                </c:pt>
                <c:pt idx="1743">
                  <c:v>-38.299999999999997</c:v>
                </c:pt>
                <c:pt idx="1744">
                  <c:v>-38.700000000000003</c:v>
                </c:pt>
                <c:pt idx="1745">
                  <c:v>-39.5</c:v>
                </c:pt>
                <c:pt idx="1746">
                  <c:v>-37.5</c:v>
                </c:pt>
                <c:pt idx="1747">
                  <c:v>-34.4</c:v>
                </c:pt>
                <c:pt idx="1748">
                  <c:v>-31.2</c:v>
                </c:pt>
                <c:pt idx="1749">
                  <c:v>-29.7</c:v>
                </c:pt>
                <c:pt idx="1750">
                  <c:v>-27.1</c:v>
                </c:pt>
                <c:pt idx="1751">
                  <c:v>-27.1</c:v>
                </c:pt>
                <c:pt idx="1752">
                  <c:v>-27.1</c:v>
                </c:pt>
                <c:pt idx="1753">
                  <c:v>-27.1</c:v>
                </c:pt>
                <c:pt idx="1754">
                  <c:v>-27.1</c:v>
                </c:pt>
                <c:pt idx="1755">
                  <c:v>-28.6</c:v>
                </c:pt>
                <c:pt idx="1756">
                  <c:v>-30.8</c:v>
                </c:pt>
                <c:pt idx="1757">
                  <c:v>-32.9</c:v>
                </c:pt>
                <c:pt idx="1758">
                  <c:v>-34</c:v>
                </c:pt>
                <c:pt idx="1759">
                  <c:v>-35.700000000000003</c:v>
                </c:pt>
                <c:pt idx="1760">
                  <c:v>-35.1</c:v>
                </c:pt>
                <c:pt idx="1761">
                  <c:v>-34.6</c:v>
                </c:pt>
                <c:pt idx="1762">
                  <c:v>-34</c:v>
                </c:pt>
                <c:pt idx="1763">
                  <c:v>-33.799999999999997</c:v>
                </c:pt>
                <c:pt idx="1764">
                  <c:v>-35.5</c:v>
                </c:pt>
                <c:pt idx="1765">
                  <c:v>-38.299999999999997</c:v>
                </c:pt>
                <c:pt idx="1766">
                  <c:v>-41.1</c:v>
                </c:pt>
                <c:pt idx="1767">
                  <c:v>-43.9</c:v>
                </c:pt>
                <c:pt idx="1768">
                  <c:v>-43.3</c:v>
                </c:pt>
                <c:pt idx="1769">
                  <c:v>-36</c:v>
                </c:pt>
                <c:pt idx="1770">
                  <c:v>-28.7</c:v>
                </c:pt>
                <c:pt idx="1771">
                  <c:v>-21.3</c:v>
                </c:pt>
                <c:pt idx="1772">
                  <c:v>-15.4</c:v>
                </c:pt>
                <c:pt idx="1773">
                  <c:v>-15.4</c:v>
                </c:pt>
                <c:pt idx="1774">
                  <c:v>-15.4</c:v>
                </c:pt>
                <c:pt idx="1775">
                  <c:v>-15.4</c:v>
                </c:pt>
                <c:pt idx="1776">
                  <c:v>-15.4</c:v>
                </c:pt>
                <c:pt idx="1777">
                  <c:v>-21.8</c:v>
                </c:pt>
                <c:pt idx="1778">
                  <c:v>-31.2</c:v>
                </c:pt>
                <c:pt idx="1779">
                  <c:v>-40.5</c:v>
                </c:pt>
                <c:pt idx="1780">
                  <c:v>-45.2</c:v>
                </c:pt>
                <c:pt idx="1781">
                  <c:v>-53.2</c:v>
                </c:pt>
                <c:pt idx="1782">
                  <c:v>-55.3</c:v>
                </c:pt>
                <c:pt idx="1783">
                  <c:v>-57.5</c:v>
                </c:pt>
                <c:pt idx="1784">
                  <c:v>-59.6</c:v>
                </c:pt>
                <c:pt idx="1785">
                  <c:v>-61.3</c:v>
                </c:pt>
                <c:pt idx="1786">
                  <c:v>-61.3</c:v>
                </c:pt>
                <c:pt idx="1787">
                  <c:v>-61.3</c:v>
                </c:pt>
                <c:pt idx="1788">
                  <c:v>-61.3</c:v>
                </c:pt>
                <c:pt idx="1789">
                  <c:v>-61.3</c:v>
                </c:pt>
                <c:pt idx="1790">
                  <c:v>-60.6</c:v>
                </c:pt>
                <c:pt idx="1791">
                  <c:v>-59.6</c:v>
                </c:pt>
                <c:pt idx="1792">
                  <c:v>-58.5</c:v>
                </c:pt>
                <c:pt idx="1793">
                  <c:v>-57.5</c:v>
                </c:pt>
                <c:pt idx="1794">
                  <c:v>-57.2</c:v>
                </c:pt>
                <c:pt idx="1795">
                  <c:v>-57.2</c:v>
                </c:pt>
                <c:pt idx="1796">
                  <c:v>-57.2</c:v>
                </c:pt>
                <c:pt idx="1797">
                  <c:v>-57.2</c:v>
                </c:pt>
                <c:pt idx="1798">
                  <c:v>-57.1</c:v>
                </c:pt>
                <c:pt idx="1799">
                  <c:v>-56.7</c:v>
                </c:pt>
                <c:pt idx="1800">
                  <c:v>-56.4</c:v>
                </c:pt>
                <c:pt idx="1801">
                  <c:v>-56</c:v>
                </c:pt>
                <c:pt idx="1802">
                  <c:v>-55.6</c:v>
                </c:pt>
                <c:pt idx="1803">
                  <c:v>-55.4</c:v>
                </c:pt>
                <c:pt idx="1804">
                  <c:v>-54.9</c:v>
                </c:pt>
                <c:pt idx="1805">
                  <c:v>-54.5</c:v>
                </c:pt>
                <c:pt idx="1806">
                  <c:v>-54.1</c:v>
                </c:pt>
                <c:pt idx="1807">
                  <c:v>-53.9</c:v>
                </c:pt>
                <c:pt idx="1808">
                  <c:v>-53.9</c:v>
                </c:pt>
                <c:pt idx="1809">
                  <c:v>-53.9</c:v>
                </c:pt>
                <c:pt idx="1810">
                  <c:v>-53.9</c:v>
                </c:pt>
                <c:pt idx="1811">
                  <c:v>-53.3</c:v>
                </c:pt>
                <c:pt idx="1812">
                  <c:v>-52.7</c:v>
                </c:pt>
                <c:pt idx="1813">
                  <c:v>-51.8</c:v>
                </c:pt>
                <c:pt idx="1814">
                  <c:v>-50.9</c:v>
                </c:pt>
                <c:pt idx="1815">
                  <c:v>-50.1</c:v>
                </c:pt>
                <c:pt idx="1816">
                  <c:v>-50.1</c:v>
                </c:pt>
                <c:pt idx="1817">
                  <c:v>-50.1</c:v>
                </c:pt>
                <c:pt idx="1818">
                  <c:v>-50.1</c:v>
                </c:pt>
                <c:pt idx="1819">
                  <c:v>-50.1</c:v>
                </c:pt>
                <c:pt idx="1820">
                  <c:v>-50.3</c:v>
                </c:pt>
                <c:pt idx="1821">
                  <c:v>-50.6</c:v>
                </c:pt>
                <c:pt idx="1822">
                  <c:v>-50.9</c:v>
                </c:pt>
                <c:pt idx="1823">
                  <c:v>-51.2</c:v>
                </c:pt>
                <c:pt idx="1824">
                  <c:v>-46.7</c:v>
                </c:pt>
                <c:pt idx="1825">
                  <c:v>-40</c:v>
                </c:pt>
                <c:pt idx="1826">
                  <c:v>-33.299999999999997</c:v>
                </c:pt>
                <c:pt idx="1827">
                  <c:v>-26.6</c:v>
                </c:pt>
                <c:pt idx="1828">
                  <c:v>-31.2</c:v>
                </c:pt>
                <c:pt idx="1829">
                  <c:v>-40.9</c:v>
                </c:pt>
                <c:pt idx="1830">
                  <c:v>-45.8</c:v>
                </c:pt>
                <c:pt idx="1831">
                  <c:v>-55.5</c:v>
                </c:pt>
                <c:pt idx="1832">
                  <c:v>-63.5</c:v>
                </c:pt>
                <c:pt idx="1833">
                  <c:v>-64</c:v>
                </c:pt>
                <c:pt idx="1834">
                  <c:v>-64.5</c:v>
                </c:pt>
                <c:pt idx="1835">
                  <c:v>-65.099999999999994</c:v>
                </c:pt>
                <c:pt idx="1836">
                  <c:v>-65.5</c:v>
                </c:pt>
                <c:pt idx="1837">
                  <c:v>-65.5</c:v>
                </c:pt>
                <c:pt idx="1838">
                  <c:v>-65.5</c:v>
                </c:pt>
                <c:pt idx="1839">
                  <c:v>-65.5</c:v>
                </c:pt>
                <c:pt idx="1840">
                  <c:v>-65.2</c:v>
                </c:pt>
                <c:pt idx="1841">
                  <c:v>-63.5</c:v>
                </c:pt>
                <c:pt idx="1842">
                  <c:v>-62.7</c:v>
                </c:pt>
                <c:pt idx="1843">
                  <c:v>-61</c:v>
                </c:pt>
                <c:pt idx="1844">
                  <c:v>-59.3</c:v>
                </c:pt>
                <c:pt idx="1845">
                  <c:v>-57</c:v>
                </c:pt>
                <c:pt idx="1846">
                  <c:v>-54.3</c:v>
                </c:pt>
                <c:pt idx="1847">
                  <c:v>-51.7</c:v>
                </c:pt>
                <c:pt idx="1848">
                  <c:v>-49</c:v>
                </c:pt>
                <c:pt idx="1849">
                  <c:v>-47.7</c:v>
                </c:pt>
                <c:pt idx="1850">
                  <c:v>-47.1</c:v>
                </c:pt>
                <c:pt idx="1851">
                  <c:v>-46.4</c:v>
                </c:pt>
                <c:pt idx="1852">
                  <c:v>-45.7</c:v>
                </c:pt>
                <c:pt idx="1853">
                  <c:v>-45.6</c:v>
                </c:pt>
                <c:pt idx="1854">
                  <c:v>-46.2</c:v>
                </c:pt>
                <c:pt idx="1855">
                  <c:v>-46.8</c:v>
                </c:pt>
                <c:pt idx="1856">
                  <c:v>-47.4</c:v>
                </c:pt>
                <c:pt idx="1857">
                  <c:v>-47.9</c:v>
                </c:pt>
                <c:pt idx="1858">
                  <c:v>-47.9</c:v>
                </c:pt>
                <c:pt idx="1859">
                  <c:v>-47.9</c:v>
                </c:pt>
                <c:pt idx="1860">
                  <c:v>-47.9</c:v>
                </c:pt>
                <c:pt idx="1861">
                  <c:v>-47.9</c:v>
                </c:pt>
                <c:pt idx="1862">
                  <c:v>-47.7</c:v>
                </c:pt>
                <c:pt idx="1863">
                  <c:v>-47.5</c:v>
                </c:pt>
                <c:pt idx="1864">
                  <c:v>-47.3</c:v>
                </c:pt>
                <c:pt idx="1865">
                  <c:v>-47.1</c:v>
                </c:pt>
                <c:pt idx="1866">
                  <c:v>-46.7</c:v>
                </c:pt>
                <c:pt idx="1867">
                  <c:v>-45.9</c:v>
                </c:pt>
                <c:pt idx="1868">
                  <c:v>-45.3</c:v>
                </c:pt>
                <c:pt idx="1869">
                  <c:v>-44.6</c:v>
                </c:pt>
                <c:pt idx="1870">
                  <c:v>-44.3</c:v>
                </c:pt>
                <c:pt idx="1871">
                  <c:v>-44.1</c:v>
                </c:pt>
                <c:pt idx="1872">
                  <c:v>-43.9</c:v>
                </c:pt>
                <c:pt idx="1873">
                  <c:v>-43.7</c:v>
                </c:pt>
                <c:pt idx="1874">
                  <c:v>-42.5</c:v>
                </c:pt>
                <c:pt idx="1875">
                  <c:v>-36.299999999999997</c:v>
                </c:pt>
                <c:pt idx="1876">
                  <c:v>-30.1</c:v>
                </c:pt>
                <c:pt idx="1877">
                  <c:v>-23.9</c:v>
                </c:pt>
                <c:pt idx="1878">
                  <c:v>-18.899999999999999</c:v>
                </c:pt>
                <c:pt idx="1879">
                  <c:v>-18.899999999999999</c:v>
                </c:pt>
                <c:pt idx="1880">
                  <c:v>-18.899999999999999</c:v>
                </c:pt>
                <c:pt idx="1881">
                  <c:v>-18.899999999999999</c:v>
                </c:pt>
                <c:pt idx="1882">
                  <c:v>-18.899999999999999</c:v>
                </c:pt>
                <c:pt idx="1883">
                  <c:v>-24</c:v>
                </c:pt>
                <c:pt idx="1884">
                  <c:v>-31.5</c:v>
                </c:pt>
                <c:pt idx="1885">
                  <c:v>-39</c:v>
                </c:pt>
                <c:pt idx="1886">
                  <c:v>-46.5</c:v>
                </c:pt>
                <c:pt idx="1887">
                  <c:v>-48.3</c:v>
                </c:pt>
                <c:pt idx="1888">
                  <c:v>-47.5</c:v>
                </c:pt>
                <c:pt idx="1889">
                  <c:v>-46.5</c:v>
                </c:pt>
                <c:pt idx="1890">
                  <c:v>-46.1</c:v>
                </c:pt>
                <c:pt idx="1891">
                  <c:v>-45.2</c:v>
                </c:pt>
                <c:pt idx="1892">
                  <c:v>-43.8</c:v>
                </c:pt>
                <c:pt idx="1893">
                  <c:v>-42.3</c:v>
                </c:pt>
                <c:pt idx="1894">
                  <c:v>-40.9</c:v>
                </c:pt>
                <c:pt idx="1895">
                  <c:v>-39.6</c:v>
                </c:pt>
                <c:pt idx="1896">
                  <c:v>-38.9</c:v>
                </c:pt>
                <c:pt idx="1897">
                  <c:v>-38.299999999999997</c:v>
                </c:pt>
                <c:pt idx="1898">
                  <c:v>-37.9</c:v>
                </c:pt>
                <c:pt idx="1899">
                  <c:v>-37.299999999999997</c:v>
                </c:pt>
                <c:pt idx="1900">
                  <c:v>-37.1</c:v>
                </c:pt>
                <c:pt idx="1901">
                  <c:v>-37.1</c:v>
                </c:pt>
                <c:pt idx="1902">
                  <c:v>-37.1</c:v>
                </c:pt>
                <c:pt idx="1903">
                  <c:v>-37.1</c:v>
                </c:pt>
                <c:pt idx="1904">
                  <c:v>-34.700000000000003</c:v>
                </c:pt>
                <c:pt idx="1905">
                  <c:v>-31.3</c:v>
                </c:pt>
                <c:pt idx="1906">
                  <c:v>-29.6</c:v>
                </c:pt>
                <c:pt idx="1907">
                  <c:v>-26.2</c:v>
                </c:pt>
                <c:pt idx="1908">
                  <c:v>-23.2</c:v>
                </c:pt>
                <c:pt idx="1909">
                  <c:v>-22.1</c:v>
                </c:pt>
                <c:pt idx="1910">
                  <c:v>-20.9</c:v>
                </c:pt>
                <c:pt idx="1911">
                  <c:v>-19.8</c:v>
                </c:pt>
                <c:pt idx="1912">
                  <c:v>-19.3</c:v>
                </c:pt>
                <c:pt idx="1913">
                  <c:v>-19.2</c:v>
                </c:pt>
                <c:pt idx="1914">
                  <c:v>-19.600000000000001</c:v>
                </c:pt>
                <c:pt idx="1915">
                  <c:v>-20.100000000000001</c:v>
                </c:pt>
                <c:pt idx="1916">
                  <c:v>-20.5</c:v>
                </c:pt>
                <c:pt idx="1917">
                  <c:v>-20.5</c:v>
                </c:pt>
                <c:pt idx="1918">
                  <c:v>-20.399999999999999</c:v>
                </c:pt>
                <c:pt idx="1919">
                  <c:v>-20.3</c:v>
                </c:pt>
                <c:pt idx="1920">
                  <c:v>-20.2</c:v>
                </c:pt>
                <c:pt idx="1921">
                  <c:v>-20.100000000000001</c:v>
                </c:pt>
                <c:pt idx="1922">
                  <c:v>-20.100000000000001</c:v>
                </c:pt>
                <c:pt idx="1923">
                  <c:v>-20.100000000000001</c:v>
                </c:pt>
                <c:pt idx="1924">
                  <c:v>-20.100000000000001</c:v>
                </c:pt>
                <c:pt idx="1925">
                  <c:v>-20.100000000000001</c:v>
                </c:pt>
                <c:pt idx="1926">
                  <c:v>-20.399999999999999</c:v>
                </c:pt>
                <c:pt idx="1927">
                  <c:v>-20.8</c:v>
                </c:pt>
                <c:pt idx="1928">
                  <c:v>-21.2</c:v>
                </c:pt>
                <c:pt idx="1929">
                  <c:v>-21.6</c:v>
                </c:pt>
                <c:pt idx="1930">
                  <c:v>-18.8</c:v>
                </c:pt>
                <c:pt idx="1931">
                  <c:v>-14.7</c:v>
                </c:pt>
                <c:pt idx="1932">
                  <c:v>-12.5</c:v>
                </c:pt>
                <c:pt idx="1933">
                  <c:v>-8.4</c:v>
                </c:pt>
                <c:pt idx="1934">
                  <c:v>-5.7</c:v>
                </c:pt>
                <c:pt idx="1935">
                  <c:v>-9.1</c:v>
                </c:pt>
                <c:pt idx="1936">
                  <c:v>-12.6</c:v>
                </c:pt>
                <c:pt idx="1937">
                  <c:v>-16.100000000000001</c:v>
                </c:pt>
                <c:pt idx="1938">
                  <c:v>-17.8</c:v>
                </c:pt>
                <c:pt idx="1939">
                  <c:v>-19.100000000000001</c:v>
                </c:pt>
                <c:pt idx="1940">
                  <c:v>-19.399999999999999</c:v>
                </c:pt>
                <c:pt idx="1941">
                  <c:v>-19.7</c:v>
                </c:pt>
                <c:pt idx="1942">
                  <c:v>-20</c:v>
                </c:pt>
                <c:pt idx="1943">
                  <c:v>-20.100000000000001</c:v>
                </c:pt>
                <c:pt idx="1944">
                  <c:v>-20.100000000000001</c:v>
                </c:pt>
                <c:pt idx="1945">
                  <c:v>-20.100000000000001</c:v>
                </c:pt>
                <c:pt idx="1946">
                  <c:v>-20.100000000000001</c:v>
                </c:pt>
                <c:pt idx="1947">
                  <c:v>-19.899999999999999</c:v>
                </c:pt>
                <c:pt idx="1948">
                  <c:v>-18.899999999999999</c:v>
                </c:pt>
                <c:pt idx="1949">
                  <c:v>-18.399999999999999</c:v>
                </c:pt>
                <c:pt idx="1950">
                  <c:v>-17.3</c:v>
                </c:pt>
                <c:pt idx="1951">
                  <c:v>-16.3</c:v>
                </c:pt>
                <c:pt idx="1952">
                  <c:v>-15.1</c:v>
                </c:pt>
                <c:pt idx="1953">
                  <c:v>-13.7</c:v>
                </c:pt>
                <c:pt idx="1954">
                  <c:v>-13.1</c:v>
                </c:pt>
                <c:pt idx="1955">
                  <c:v>-11.7</c:v>
                </c:pt>
                <c:pt idx="1956">
                  <c:v>-10.9</c:v>
                </c:pt>
                <c:pt idx="1957">
                  <c:v>-12.4</c:v>
                </c:pt>
                <c:pt idx="1958">
                  <c:v>-13.1</c:v>
                </c:pt>
                <c:pt idx="1959">
                  <c:v>-14.6</c:v>
                </c:pt>
                <c:pt idx="1960">
                  <c:v>-16.100000000000001</c:v>
                </c:pt>
                <c:pt idx="1961">
                  <c:v>-17.399999999999999</c:v>
                </c:pt>
                <c:pt idx="1962">
                  <c:v>-18.5</c:v>
                </c:pt>
                <c:pt idx="1963">
                  <c:v>-19.100000000000001</c:v>
                </c:pt>
                <c:pt idx="1964">
                  <c:v>-20.3</c:v>
                </c:pt>
                <c:pt idx="1965">
                  <c:v>-21.2</c:v>
                </c:pt>
                <c:pt idx="1966">
                  <c:v>-21.2</c:v>
                </c:pt>
                <c:pt idx="1967">
                  <c:v>-21.2</c:v>
                </c:pt>
                <c:pt idx="1968">
                  <c:v>-21.2</c:v>
                </c:pt>
                <c:pt idx="1969">
                  <c:v>-21.2</c:v>
                </c:pt>
                <c:pt idx="1970">
                  <c:v>-21.9</c:v>
                </c:pt>
                <c:pt idx="1971">
                  <c:v>-22.8</c:v>
                </c:pt>
                <c:pt idx="1972">
                  <c:v>-23.7</c:v>
                </c:pt>
                <c:pt idx="1973">
                  <c:v>-24.7</c:v>
                </c:pt>
                <c:pt idx="1974">
                  <c:v>-25.2</c:v>
                </c:pt>
                <c:pt idx="1975">
                  <c:v>-25.5</c:v>
                </c:pt>
                <c:pt idx="1976">
                  <c:v>-25.7</c:v>
                </c:pt>
                <c:pt idx="1977">
                  <c:v>-26</c:v>
                </c:pt>
                <c:pt idx="1978">
                  <c:v>-26</c:v>
                </c:pt>
                <c:pt idx="1979">
                  <c:v>-25.6</c:v>
                </c:pt>
                <c:pt idx="1980">
                  <c:v>-25.2</c:v>
                </c:pt>
                <c:pt idx="1981">
                  <c:v>-24.8</c:v>
                </c:pt>
                <c:pt idx="1982">
                  <c:v>-23.8</c:v>
                </c:pt>
                <c:pt idx="1983">
                  <c:v>-20.2</c:v>
                </c:pt>
                <c:pt idx="1984">
                  <c:v>-16.600000000000001</c:v>
                </c:pt>
                <c:pt idx="1985">
                  <c:v>-12.9</c:v>
                </c:pt>
                <c:pt idx="1986">
                  <c:v>-10</c:v>
                </c:pt>
                <c:pt idx="1987">
                  <c:v>-10</c:v>
                </c:pt>
                <c:pt idx="1988">
                  <c:v>-10</c:v>
                </c:pt>
                <c:pt idx="1989">
                  <c:v>-10</c:v>
                </c:pt>
                <c:pt idx="1990">
                  <c:v>-10.4</c:v>
                </c:pt>
                <c:pt idx="1991">
                  <c:v>-12.5</c:v>
                </c:pt>
                <c:pt idx="1992">
                  <c:v>-14.5</c:v>
                </c:pt>
                <c:pt idx="1993">
                  <c:v>-16.600000000000001</c:v>
                </c:pt>
                <c:pt idx="1994">
                  <c:v>-18.2</c:v>
                </c:pt>
                <c:pt idx="1995">
                  <c:v>-17.8</c:v>
                </c:pt>
                <c:pt idx="1996">
                  <c:v>-17.100000000000001</c:v>
                </c:pt>
                <c:pt idx="1997">
                  <c:v>-16.7</c:v>
                </c:pt>
                <c:pt idx="1998">
                  <c:v>-11.7</c:v>
                </c:pt>
                <c:pt idx="1999">
                  <c:v>-4.3</c:v>
                </c:pt>
                <c:pt idx="2000">
                  <c:v>2.9</c:v>
                </c:pt>
                <c:pt idx="2001">
                  <c:v>10.1</c:v>
                </c:pt>
                <c:pt idx="2002">
                  <c:v>10.7</c:v>
                </c:pt>
                <c:pt idx="2003">
                  <c:v>8.3000000000000007</c:v>
                </c:pt>
                <c:pt idx="2004">
                  <c:v>5.7</c:v>
                </c:pt>
                <c:pt idx="2005">
                  <c:v>2.5</c:v>
                </c:pt>
                <c:pt idx="2006">
                  <c:v>2.5</c:v>
                </c:pt>
                <c:pt idx="2007">
                  <c:v>2.5</c:v>
                </c:pt>
                <c:pt idx="2008">
                  <c:v>2.5</c:v>
                </c:pt>
                <c:pt idx="2009">
                  <c:v>0.1</c:v>
                </c:pt>
                <c:pt idx="2010">
                  <c:v>-12.4</c:v>
                </c:pt>
                <c:pt idx="2011">
                  <c:v>-31.1</c:v>
                </c:pt>
                <c:pt idx="2012">
                  <c:v>-43.7</c:v>
                </c:pt>
                <c:pt idx="2013">
                  <c:v>-45.4</c:v>
                </c:pt>
                <c:pt idx="2014">
                  <c:v>-42.2</c:v>
                </c:pt>
                <c:pt idx="2015">
                  <c:v>-39.1</c:v>
                </c:pt>
                <c:pt idx="2016">
                  <c:v>-34.700000000000003</c:v>
                </c:pt>
                <c:pt idx="2017">
                  <c:v>-33.5</c:v>
                </c:pt>
                <c:pt idx="2018">
                  <c:v>-32.299999999999997</c:v>
                </c:pt>
                <c:pt idx="2019">
                  <c:v>-31.1</c:v>
                </c:pt>
                <c:pt idx="2020">
                  <c:v>-30.5</c:v>
                </c:pt>
                <c:pt idx="2021">
                  <c:v>-30.8</c:v>
                </c:pt>
                <c:pt idx="2022">
                  <c:v>-31.1</c:v>
                </c:pt>
                <c:pt idx="2023">
                  <c:v>-31.5</c:v>
                </c:pt>
                <c:pt idx="2024">
                  <c:v>-31.6</c:v>
                </c:pt>
                <c:pt idx="2025">
                  <c:v>-31.6</c:v>
                </c:pt>
                <c:pt idx="2026">
                  <c:v>-31.6</c:v>
                </c:pt>
                <c:pt idx="2027">
                  <c:v>-31.5</c:v>
                </c:pt>
                <c:pt idx="2028">
                  <c:v>-31.4</c:v>
                </c:pt>
                <c:pt idx="2029">
                  <c:v>-31.3</c:v>
                </c:pt>
                <c:pt idx="2030">
                  <c:v>-31.2</c:v>
                </c:pt>
                <c:pt idx="2031">
                  <c:v>-26.3</c:v>
                </c:pt>
                <c:pt idx="2032">
                  <c:v>-22.3</c:v>
                </c:pt>
                <c:pt idx="2033">
                  <c:v>-18.100000000000001</c:v>
                </c:pt>
                <c:pt idx="2034">
                  <c:v>-19.5</c:v>
                </c:pt>
                <c:pt idx="2035">
                  <c:v>-26.2</c:v>
                </c:pt>
                <c:pt idx="2036">
                  <c:v>-32.9</c:v>
                </c:pt>
                <c:pt idx="2037">
                  <c:v>-41.7</c:v>
                </c:pt>
                <c:pt idx="2038">
                  <c:v>-41.1</c:v>
                </c:pt>
                <c:pt idx="2039">
                  <c:v>-40.1</c:v>
                </c:pt>
                <c:pt idx="2040">
                  <c:v>-39.5</c:v>
                </c:pt>
                <c:pt idx="2041">
                  <c:v>-39.299999999999997</c:v>
                </c:pt>
                <c:pt idx="2042">
                  <c:v>-39.299999999999997</c:v>
                </c:pt>
                <c:pt idx="2043">
                  <c:v>-39.299999999999997</c:v>
                </c:pt>
                <c:pt idx="2044">
                  <c:v>-38.700000000000003</c:v>
                </c:pt>
                <c:pt idx="2045">
                  <c:v>-38.1</c:v>
                </c:pt>
                <c:pt idx="2046">
                  <c:v>-37.299999999999997</c:v>
                </c:pt>
                <c:pt idx="2047">
                  <c:v>-36.299999999999997</c:v>
                </c:pt>
                <c:pt idx="2048">
                  <c:v>-36.1</c:v>
                </c:pt>
                <c:pt idx="2049">
                  <c:v>-36</c:v>
                </c:pt>
                <c:pt idx="2050">
                  <c:v>-35.799999999999997</c:v>
                </c:pt>
                <c:pt idx="2051">
                  <c:v>-35.700000000000003</c:v>
                </c:pt>
                <c:pt idx="2052">
                  <c:v>-35.6</c:v>
                </c:pt>
                <c:pt idx="2053">
                  <c:v>-35.5</c:v>
                </c:pt>
                <c:pt idx="2054">
                  <c:v>-35.799999999999997</c:v>
                </c:pt>
                <c:pt idx="2055">
                  <c:v>-36.299999999999997</c:v>
                </c:pt>
                <c:pt idx="2056">
                  <c:v>-37.200000000000003</c:v>
                </c:pt>
                <c:pt idx="2057">
                  <c:v>-37.6</c:v>
                </c:pt>
                <c:pt idx="2058">
                  <c:v>-37.6</c:v>
                </c:pt>
                <c:pt idx="2059">
                  <c:v>-37.6</c:v>
                </c:pt>
                <c:pt idx="2060">
                  <c:v>-38.200000000000003</c:v>
                </c:pt>
                <c:pt idx="2061">
                  <c:v>-41.4</c:v>
                </c:pt>
                <c:pt idx="2062">
                  <c:v>-46.2</c:v>
                </c:pt>
                <c:pt idx="2063">
                  <c:v>-49.4</c:v>
                </c:pt>
                <c:pt idx="2064">
                  <c:v>-51.5</c:v>
                </c:pt>
                <c:pt idx="2065">
                  <c:v>-52.5</c:v>
                </c:pt>
                <c:pt idx="2066">
                  <c:v>-53.9</c:v>
                </c:pt>
                <c:pt idx="2067">
                  <c:v>-53</c:v>
                </c:pt>
                <c:pt idx="2068">
                  <c:v>-50.3</c:v>
                </c:pt>
                <c:pt idx="2069">
                  <c:v>-48.5</c:v>
                </c:pt>
                <c:pt idx="2070">
                  <c:v>-42.4</c:v>
                </c:pt>
                <c:pt idx="2071">
                  <c:v>-32</c:v>
                </c:pt>
                <c:pt idx="2072">
                  <c:v>-25.1</c:v>
                </c:pt>
                <c:pt idx="2073">
                  <c:v>-19.5</c:v>
                </c:pt>
                <c:pt idx="2074">
                  <c:v>-19.5</c:v>
                </c:pt>
                <c:pt idx="2075">
                  <c:v>-19.5</c:v>
                </c:pt>
                <c:pt idx="2076">
                  <c:v>-25.9</c:v>
                </c:pt>
                <c:pt idx="2077">
                  <c:v>-35.299999999999997</c:v>
                </c:pt>
                <c:pt idx="2078">
                  <c:v>-49.3</c:v>
                </c:pt>
                <c:pt idx="2079">
                  <c:v>-57.1</c:v>
                </c:pt>
                <c:pt idx="2080">
                  <c:v>-58.6</c:v>
                </c:pt>
                <c:pt idx="2081">
                  <c:v>-60.1</c:v>
                </c:pt>
                <c:pt idx="2082">
                  <c:v>-60.7</c:v>
                </c:pt>
                <c:pt idx="2083">
                  <c:v>-59.7</c:v>
                </c:pt>
                <c:pt idx="2084">
                  <c:v>-58.7</c:v>
                </c:pt>
                <c:pt idx="2085">
                  <c:v>-57.7</c:v>
                </c:pt>
                <c:pt idx="2086">
                  <c:v>-54.7</c:v>
                </c:pt>
                <c:pt idx="2087">
                  <c:v>-52.7</c:v>
                </c:pt>
                <c:pt idx="2088">
                  <c:v>-50.1</c:v>
                </c:pt>
                <c:pt idx="2089">
                  <c:v>-50.1</c:v>
                </c:pt>
                <c:pt idx="2090">
                  <c:v>-50.1</c:v>
                </c:pt>
                <c:pt idx="2091">
                  <c:v>-50.3</c:v>
                </c:pt>
                <c:pt idx="2092">
                  <c:v>-51.8</c:v>
                </c:pt>
                <c:pt idx="2093">
                  <c:v>-52.9</c:v>
                </c:pt>
                <c:pt idx="2094">
                  <c:v>-54.3</c:v>
                </c:pt>
                <c:pt idx="2095">
                  <c:v>-55.3</c:v>
                </c:pt>
                <c:pt idx="2096">
                  <c:v>-56.3</c:v>
                </c:pt>
                <c:pt idx="2097">
                  <c:v>-56.9</c:v>
                </c:pt>
                <c:pt idx="2098">
                  <c:v>-57.3</c:v>
                </c:pt>
                <c:pt idx="2099">
                  <c:v>-57.7</c:v>
                </c:pt>
                <c:pt idx="2100">
                  <c:v>-57.6</c:v>
                </c:pt>
                <c:pt idx="2101">
                  <c:v>-57.1</c:v>
                </c:pt>
                <c:pt idx="2102">
                  <c:v>-56.3</c:v>
                </c:pt>
                <c:pt idx="2103">
                  <c:v>-55.9</c:v>
                </c:pt>
                <c:pt idx="2104">
                  <c:v>-55.9</c:v>
                </c:pt>
                <c:pt idx="2105">
                  <c:v>-55.9</c:v>
                </c:pt>
                <c:pt idx="2106">
                  <c:v>-55.2</c:v>
                </c:pt>
                <c:pt idx="2107">
                  <c:v>-53.6</c:v>
                </c:pt>
                <c:pt idx="2108">
                  <c:v>-52</c:v>
                </c:pt>
                <c:pt idx="2109">
                  <c:v>-47.2</c:v>
                </c:pt>
                <c:pt idx="2110">
                  <c:v>-37.4</c:v>
                </c:pt>
                <c:pt idx="2111">
                  <c:v>-27.6</c:v>
                </c:pt>
                <c:pt idx="2112">
                  <c:v>-35.799999999999997</c:v>
                </c:pt>
                <c:pt idx="2113">
                  <c:v>-44.3</c:v>
                </c:pt>
                <c:pt idx="2114">
                  <c:v>-57.2</c:v>
                </c:pt>
                <c:pt idx="2115">
                  <c:v>-60</c:v>
                </c:pt>
                <c:pt idx="2116">
                  <c:v>-60</c:v>
                </c:pt>
                <c:pt idx="2117">
                  <c:v>-60.1</c:v>
                </c:pt>
                <c:pt idx="2118">
                  <c:v>-60.1</c:v>
                </c:pt>
                <c:pt idx="2119">
                  <c:v>-60.1</c:v>
                </c:pt>
                <c:pt idx="2120">
                  <c:v>-59.9</c:v>
                </c:pt>
                <c:pt idx="2121">
                  <c:v>-58.7</c:v>
                </c:pt>
                <c:pt idx="2122">
                  <c:v>-57.9</c:v>
                </c:pt>
                <c:pt idx="2123">
                  <c:v>-56.7</c:v>
                </c:pt>
                <c:pt idx="2124">
                  <c:v>-55.3</c:v>
                </c:pt>
                <c:pt idx="2125">
                  <c:v>-53.9</c:v>
                </c:pt>
                <c:pt idx="2126">
                  <c:v>-53.5</c:v>
                </c:pt>
                <c:pt idx="2127">
                  <c:v>-54.1</c:v>
                </c:pt>
                <c:pt idx="2128">
                  <c:v>-55</c:v>
                </c:pt>
                <c:pt idx="2129">
                  <c:v>-55.1</c:v>
                </c:pt>
                <c:pt idx="2130">
                  <c:v>-54</c:v>
                </c:pt>
                <c:pt idx="2131">
                  <c:v>-53</c:v>
                </c:pt>
                <c:pt idx="2132">
                  <c:v>-52.8</c:v>
                </c:pt>
                <c:pt idx="2133">
                  <c:v>-52.8</c:v>
                </c:pt>
                <c:pt idx="2134">
                  <c:v>-52.8</c:v>
                </c:pt>
                <c:pt idx="2135">
                  <c:v>-53.7</c:v>
                </c:pt>
                <c:pt idx="2136">
                  <c:v>-54.4</c:v>
                </c:pt>
                <c:pt idx="2137">
                  <c:v>-55.5</c:v>
                </c:pt>
                <c:pt idx="2138">
                  <c:v>-54.2</c:v>
                </c:pt>
                <c:pt idx="2139">
                  <c:v>-52.3</c:v>
                </c:pt>
                <c:pt idx="2140">
                  <c:v>-51.1</c:v>
                </c:pt>
                <c:pt idx="2141">
                  <c:v>-51.8</c:v>
                </c:pt>
                <c:pt idx="2142">
                  <c:v>-53.2</c:v>
                </c:pt>
                <c:pt idx="2143">
                  <c:v>-53.1</c:v>
                </c:pt>
                <c:pt idx="2144">
                  <c:v>-46.5</c:v>
                </c:pt>
                <c:pt idx="2145">
                  <c:v>-36.5</c:v>
                </c:pt>
                <c:pt idx="2146">
                  <c:v>-27.7</c:v>
                </c:pt>
                <c:pt idx="2147">
                  <c:v>-27.7</c:v>
                </c:pt>
                <c:pt idx="2148">
                  <c:v>-27.7</c:v>
                </c:pt>
                <c:pt idx="2149">
                  <c:v>-29.2</c:v>
                </c:pt>
                <c:pt idx="2150">
                  <c:v>-40.9</c:v>
                </c:pt>
                <c:pt idx="2151">
                  <c:v>-52.7</c:v>
                </c:pt>
                <c:pt idx="2152">
                  <c:v>-58.9</c:v>
                </c:pt>
                <c:pt idx="2153">
                  <c:v>-57.9</c:v>
                </c:pt>
                <c:pt idx="2154">
                  <c:v>-57</c:v>
                </c:pt>
                <c:pt idx="2155">
                  <c:v>-55.9</c:v>
                </c:pt>
                <c:pt idx="2156">
                  <c:v>-54.9</c:v>
                </c:pt>
                <c:pt idx="2157">
                  <c:v>-53.5</c:v>
                </c:pt>
                <c:pt idx="2158">
                  <c:v>-52.6</c:v>
                </c:pt>
                <c:pt idx="2159">
                  <c:v>-52.3</c:v>
                </c:pt>
                <c:pt idx="2160">
                  <c:v>-51.9</c:v>
                </c:pt>
                <c:pt idx="2161">
                  <c:v>-51.7</c:v>
                </c:pt>
                <c:pt idx="2162">
                  <c:v>-51.7</c:v>
                </c:pt>
                <c:pt idx="2163">
                  <c:v>-51.7</c:v>
                </c:pt>
                <c:pt idx="2164">
                  <c:v>-51.2</c:v>
                </c:pt>
                <c:pt idx="2165">
                  <c:v>-50.5</c:v>
                </c:pt>
                <c:pt idx="2166">
                  <c:v>-49.4</c:v>
                </c:pt>
                <c:pt idx="2167">
                  <c:v>-49.3</c:v>
                </c:pt>
                <c:pt idx="2168">
                  <c:v>-50.1</c:v>
                </c:pt>
                <c:pt idx="2169">
                  <c:v>-51.1</c:v>
                </c:pt>
                <c:pt idx="2170">
                  <c:v>-51.7</c:v>
                </c:pt>
                <c:pt idx="2171">
                  <c:v>-51.3</c:v>
                </c:pt>
                <c:pt idx="2172">
                  <c:v>-50.9</c:v>
                </c:pt>
                <c:pt idx="2173">
                  <c:v>-50.6</c:v>
                </c:pt>
                <c:pt idx="2174">
                  <c:v>-49.8</c:v>
                </c:pt>
                <c:pt idx="2175">
                  <c:v>-49.2</c:v>
                </c:pt>
                <c:pt idx="2176">
                  <c:v>-48.5</c:v>
                </c:pt>
                <c:pt idx="2177">
                  <c:v>-48.5</c:v>
                </c:pt>
                <c:pt idx="2178">
                  <c:v>-48.5</c:v>
                </c:pt>
                <c:pt idx="2179">
                  <c:v>-48.5</c:v>
                </c:pt>
                <c:pt idx="2180">
                  <c:v>-48.8</c:v>
                </c:pt>
                <c:pt idx="2181">
                  <c:v>-49.2</c:v>
                </c:pt>
                <c:pt idx="2182">
                  <c:v>-49.4</c:v>
                </c:pt>
                <c:pt idx="2183">
                  <c:v>-41.1</c:v>
                </c:pt>
                <c:pt idx="2184">
                  <c:v>-34</c:v>
                </c:pt>
                <c:pt idx="2185">
                  <c:v>-23.4</c:v>
                </c:pt>
                <c:pt idx="2186">
                  <c:v>-26.6</c:v>
                </c:pt>
                <c:pt idx="2187">
                  <c:v>-38.299999999999997</c:v>
                </c:pt>
                <c:pt idx="2188">
                  <c:v>-46.1</c:v>
                </c:pt>
                <c:pt idx="2189">
                  <c:v>-52.5</c:v>
                </c:pt>
                <c:pt idx="2190">
                  <c:v>-52.4</c:v>
                </c:pt>
                <c:pt idx="2191">
                  <c:v>-52.3</c:v>
                </c:pt>
                <c:pt idx="2192">
                  <c:v>-52.2</c:v>
                </c:pt>
                <c:pt idx="2193">
                  <c:v>-52.2</c:v>
                </c:pt>
                <c:pt idx="2194">
                  <c:v>-52.2</c:v>
                </c:pt>
                <c:pt idx="2195">
                  <c:v>-52.2</c:v>
                </c:pt>
                <c:pt idx="2196">
                  <c:v>-50.7</c:v>
                </c:pt>
                <c:pt idx="2197">
                  <c:v>-49.4</c:v>
                </c:pt>
                <c:pt idx="2198">
                  <c:v>-47.5</c:v>
                </c:pt>
                <c:pt idx="2199">
                  <c:v>-46.8</c:v>
                </c:pt>
                <c:pt idx="2200">
                  <c:v>-46.4</c:v>
                </c:pt>
                <c:pt idx="2201">
                  <c:v>-45.8</c:v>
                </c:pt>
                <c:pt idx="2202">
                  <c:v>-45.5</c:v>
                </c:pt>
                <c:pt idx="2203">
                  <c:v>-46.1</c:v>
                </c:pt>
                <c:pt idx="2204">
                  <c:v>-46.4</c:v>
                </c:pt>
                <c:pt idx="2205">
                  <c:v>-46.7</c:v>
                </c:pt>
                <c:pt idx="2206">
                  <c:v>-43</c:v>
                </c:pt>
                <c:pt idx="2207">
                  <c:v>-39.9</c:v>
                </c:pt>
                <c:pt idx="2208">
                  <c:v>-36.700000000000003</c:v>
                </c:pt>
                <c:pt idx="2209">
                  <c:v>-34.1</c:v>
                </c:pt>
                <c:pt idx="2210">
                  <c:v>-34.1</c:v>
                </c:pt>
                <c:pt idx="2211">
                  <c:v>-34.1</c:v>
                </c:pt>
                <c:pt idx="2212">
                  <c:v>-34.799999999999997</c:v>
                </c:pt>
                <c:pt idx="2213">
                  <c:v>-38.4</c:v>
                </c:pt>
                <c:pt idx="2214">
                  <c:v>-43.8</c:v>
                </c:pt>
                <c:pt idx="2215">
                  <c:v>-47.4</c:v>
                </c:pt>
                <c:pt idx="2216">
                  <c:v>-47.4</c:v>
                </c:pt>
                <c:pt idx="2217">
                  <c:v>-45.8</c:v>
                </c:pt>
                <c:pt idx="2218">
                  <c:v>-43.4</c:v>
                </c:pt>
                <c:pt idx="2219">
                  <c:v>-41.8</c:v>
                </c:pt>
                <c:pt idx="2220">
                  <c:v>-40.1</c:v>
                </c:pt>
                <c:pt idx="2221">
                  <c:v>-37.6</c:v>
                </c:pt>
                <c:pt idx="2222">
                  <c:v>-35.9</c:v>
                </c:pt>
                <c:pt idx="2223">
                  <c:v>-31.5</c:v>
                </c:pt>
                <c:pt idx="2224">
                  <c:v>-25.9</c:v>
                </c:pt>
                <c:pt idx="2225">
                  <c:v>-17.5</c:v>
                </c:pt>
                <c:pt idx="2226">
                  <c:v>-13</c:v>
                </c:pt>
                <c:pt idx="2227">
                  <c:v>-13</c:v>
                </c:pt>
                <c:pt idx="2228">
                  <c:v>-13</c:v>
                </c:pt>
                <c:pt idx="2229">
                  <c:v>-13</c:v>
                </c:pt>
                <c:pt idx="2230">
                  <c:v>-17.100000000000001</c:v>
                </c:pt>
                <c:pt idx="2231">
                  <c:v>-23.1</c:v>
                </c:pt>
                <c:pt idx="2232">
                  <c:v>-32.200000000000003</c:v>
                </c:pt>
                <c:pt idx="2233">
                  <c:v>-37.299999999999997</c:v>
                </c:pt>
                <c:pt idx="2234">
                  <c:v>-38.299999999999997</c:v>
                </c:pt>
                <c:pt idx="2235">
                  <c:v>-39.4</c:v>
                </c:pt>
                <c:pt idx="2236">
                  <c:v>-40.5</c:v>
                </c:pt>
                <c:pt idx="2237">
                  <c:v>-40.200000000000003</c:v>
                </c:pt>
                <c:pt idx="2238">
                  <c:v>-38.6</c:v>
                </c:pt>
                <c:pt idx="2239">
                  <c:v>-37</c:v>
                </c:pt>
                <c:pt idx="2240">
                  <c:v>-35.4</c:v>
                </c:pt>
                <c:pt idx="2241">
                  <c:v>-34.799999999999997</c:v>
                </c:pt>
                <c:pt idx="2242">
                  <c:v>-34.700000000000003</c:v>
                </c:pt>
                <c:pt idx="2243">
                  <c:v>-34.6</c:v>
                </c:pt>
                <c:pt idx="2244">
                  <c:v>-34.5</c:v>
                </c:pt>
                <c:pt idx="2245">
                  <c:v>-34.5</c:v>
                </c:pt>
                <c:pt idx="2246">
                  <c:v>-34.5</c:v>
                </c:pt>
                <c:pt idx="2247">
                  <c:v>-34.5</c:v>
                </c:pt>
                <c:pt idx="2248">
                  <c:v>-32.799999999999997</c:v>
                </c:pt>
                <c:pt idx="2249">
                  <c:v>-30.3</c:v>
                </c:pt>
                <c:pt idx="2250">
                  <c:v>-27.8</c:v>
                </c:pt>
                <c:pt idx="2251">
                  <c:v>-25.3</c:v>
                </c:pt>
                <c:pt idx="2252">
                  <c:v>-23</c:v>
                </c:pt>
                <c:pt idx="2253">
                  <c:v>-21.7</c:v>
                </c:pt>
                <c:pt idx="2254">
                  <c:v>-20.5</c:v>
                </c:pt>
                <c:pt idx="2255">
                  <c:v>-19</c:v>
                </c:pt>
                <c:pt idx="2256">
                  <c:v>-16.3</c:v>
                </c:pt>
                <c:pt idx="2257">
                  <c:v>-13.6</c:v>
                </c:pt>
                <c:pt idx="2258">
                  <c:v>-11</c:v>
                </c:pt>
                <c:pt idx="2259">
                  <c:v>-9.3000000000000007</c:v>
                </c:pt>
                <c:pt idx="2260">
                  <c:v>-10.1</c:v>
                </c:pt>
                <c:pt idx="2261">
                  <c:v>-10.9</c:v>
                </c:pt>
                <c:pt idx="2262">
                  <c:v>-11.5</c:v>
                </c:pt>
                <c:pt idx="2263">
                  <c:v>-11.8</c:v>
                </c:pt>
                <c:pt idx="2264">
                  <c:v>-11.8</c:v>
                </c:pt>
                <c:pt idx="2265">
                  <c:v>-11.8</c:v>
                </c:pt>
                <c:pt idx="2266">
                  <c:v>-11.8</c:v>
                </c:pt>
                <c:pt idx="2267">
                  <c:v>-11.8</c:v>
                </c:pt>
                <c:pt idx="2268">
                  <c:v>-11.8</c:v>
                </c:pt>
                <c:pt idx="2269">
                  <c:v>-11.8</c:v>
                </c:pt>
                <c:pt idx="2270">
                  <c:v>-11.3</c:v>
                </c:pt>
                <c:pt idx="2271">
                  <c:v>-9.1</c:v>
                </c:pt>
                <c:pt idx="2272">
                  <c:v>-6.7</c:v>
                </c:pt>
                <c:pt idx="2273">
                  <c:v>-4.4000000000000004</c:v>
                </c:pt>
                <c:pt idx="2274">
                  <c:v>-2.8</c:v>
                </c:pt>
                <c:pt idx="2275">
                  <c:v>-4.4000000000000004</c:v>
                </c:pt>
                <c:pt idx="2276">
                  <c:v>-5.9</c:v>
                </c:pt>
                <c:pt idx="2277">
                  <c:v>-8.3000000000000007</c:v>
                </c:pt>
                <c:pt idx="2278">
                  <c:v>-7.9</c:v>
                </c:pt>
                <c:pt idx="2279">
                  <c:v>-6.7</c:v>
                </c:pt>
                <c:pt idx="2280">
                  <c:v>-5.4</c:v>
                </c:pt>
                <c:pt idx="2281">
                  <c:v>-4.0999999999999996</c:v>
                </c:pt>
                <c:pt idx="2282">
                  <c:v>-3.7</c:v>
                </c:pt>
                <c:pt idx="2283">
                  <c:v>-3.7</c:v>
                </c:pt>
                <c:pt idx="2284">
                  <c:v>-3.7</c:v>
                </c:pt>
                <c:pt idx="2285">
                  <c:v>-3.7</c:v>
                </c:pt>
                <c:pt idx="2286">
                  <c:v>-3.3</c:v>
                </c:pt>
                <c:pt idx="2287">
                  <c:v>-2.7</c:v>
                </c:pt>
                <c:pt idx="2288">
                  <c:v>-2</c:v>
                </c:pt>
                <c:pt idx="2289">
                  <c:v>-1.4</c:v>
                </c:pt>
                <c:pt idx="2290">
                  <c:v>-1.1000000000000001</c:v>
                </c:pt>
                <c:pt idx="2291">
                  <c:v>-0.9</c:v>
                </c:pt>
                <c:pt idx="2292">
                  <c:v>-0.8</c:v>
                </c:pt>
                <c:pt idx="2293">
                  <c:v>-0.7</c:v>
                </c:pt>
                <c:pt idx="2294">
                  <c:v>-0.4</c:v>
                </c:pt>
                <c:pt idx="2295">
                  <c:v>-0.1</c:v>
                </c:pt>
                <c:pt idx="2296">
                  <c:v>0.2</c:v>
                </c:pt>
                <c:pt idx="2297">
                  <c:v>0.5</c:v>
                </c:pt>
                <c:pt idx="2298">
                  <c:v>-0.3</c:v>
                </c:pt>
                <c:pt idx="2299">
                  <c:v>-1.5</c:v>
                </c:pt>
                <c:pt idx="2300">
                  <c:v>-2.7</c:v>
                </c:pt>
                <c:pt idx="2301">
                  <c:v>-4</c:v>
                </c:pt>
                <c:pt idx="2302">
                  <c:v>-4.4000000000000004</c:v>
                </c:pt>
                <c:pt idx="2303">
                  <c:v>-4.4000000000000004</c:v>
                </c:pt>
                <c:pt idx="2304">
                  <c:v>-4.4000000000000004</c:v>
                </c:pt>
                <c:pt idx="2305">
                  <c:v>-4.4000000000000004</c:v>
                </c:pt>
                <c:pt idx="2306">
                  <c:v>-3.7</c:v>
                </c:pt>
                <c:pt idx="2307">
                  <c:v>-2.8</c:v>
                </c:pt>
                <c:pt idx="2308">
                  <c:v>-1.9</c:v>
                </c:pt>
                <c:pt idx="2309">
                  <c:v>-0.9</c:v>
                </c:pt>
                <c:pt idx="2310">
                  <c:v>-0.5</c:v>
                </c:pt>
                <c:pt idx="2311">
                  <c:v>-0.3</c:v>
                </c:pt>
                <c:pt idx="2312">
                  <c:v>-0.2</c:v>
                </c:pt>
                <c:pt idx="2313">
                  <c:v>-0.1</c:v>
                </c:pt>
                <c:pt idx="2314">
                  <c:v>0.7</c:v>
                </c:pt>
                <c:pt idx="2315">
                  <c:v>1.1000000000000001</c:v>
                </c:pt>
                <c:pt idx="2316">
                  <c:v>2.1</c:v>
                </c:pt>
                <c:pt idx="2317">
                  <c:v>2.9</c:v>
                </c:pt>
                <c:pt idx="2318">
                  <c:v>3.5</c:v>
                </c:pt>
                <c:pt idx="2319">
                  <c:v>2.4</c:v>
                </c:pt>
                <c:pt idx="2320">
                  <c:v>1.3</c:v>
                </c:pt>
                <c:pt idx="2321">
                  <c:v>0.3</c:v>
                </c:pt>
                <c:pt idx="2322">
                  <c:v>-0.6</c:v>
                </c:pt>
                <c:pt idx="2323">
                  <c:v>-0.6</c:v>
                </c:pt>
                <c:pt idx="2324">
                  <c:v>-0.6</c:v>
                </c:pt>
                <c:pt idx="2325">
                  <c:v>-0.6</c:v>
                </c:pt>
                <c:pt idx="2326">
                  <c:v>-0.5</c:v>
                </c:pt>
                <c:pt idx="2327">
                  <c:v>0.1</c:v>
                </c:pt>
                <c:pt idx="2328">
                  <c:v>0.4</c:v>
                </c:pt>
                <c:pt idx="2329">
                  <c:v>1</c:v>
                </c:pt>
                <c:pt idx="2330">
                  <c:v>1.6</c:v>
                </c:pt>
                <c:pt idx="2331">
                  <c:v>2.5</c:v>
                </c:pt>
                <c:pt idx="2332">
                  <c:v>3.4</c:v>
                </c:pt>
                <c:pt idx="2333">
                  <c:v>4.3</c:v>
                </c:pt>
                <c:pt idx="2334">
                  <c:v>5.3</c:v>
                </c:pt>
                <c:pt idx="2335">
                  <c:v>4.5999999999999996</c:v>
                </c:pt>
                <c:pt idx="2336">
                  <c:v>3.2</c:v>
                </c:pt>
                <c:pt idx="2337">
                  <c:v>2.5</c:v>
                </c:pt>
                <c:pt idx="2338">
                  <c:v>1.1000000000000001</c:v>
                </c:pt>
                <c:pt idx="2339">
                  <c:v>0.1</c:v>
                </c:pt>
                <c:pt idx="2340">
                  <c:v>0.7</c:v>
                </c:pt>
                <c:pt idx="2341">
                  <c:v>1.4</c:v>
                </c:pt>
                <c:pt idx="2342">
                  <c:v>2</c:v>
                </c:pt>
                <c:pt idx="2343">
                  <c:v>2.5</c:v>
                </c:pt>
                <c:pt idx="2344">
                  <c:v>2.5</c:v>
                </c:pt>
                <c:pt idx="2345">
                  <c:v>2.5</c:v>
                </c:pt>
                <c:pt idx="2346">
                  <c:v>2.5</c:v>
                </c:pt>
                <c:pt idx="2347">
                  <c:v>2.5</c:v>
                </c:pt>
                <c:pt idx="2348">
                  <c:v>1.9</c:v>
                </c:pt>
                <c:pt idx="2349">
                  <c:v>1.1000000000000001</c:v>
                </c:pt>
                <c:pt idx="2350">
                  <c:v>0.5</c:v>
                </c:pt>
                <c:pt idx="2351">
                  <c:v>-0.3</c:v>
                </c:pt>
                <c:pt idx="2352">
                  <c:v>-0.5</c:v>
                </c:pt>
                <c:pt idx="2353">
                  <c:v>0.3</c:v>
                </c:pt>
                <c:pt idx="2354">
                  <c:v>1.1000000000000001</c:v>
                </c:pt>
                <c:pt idx="2355">
                  <c:v>1.9</c:v>
                </c:pt>
                <c:pt idx="2356">
                  <c:v>2.5</c:v>
                </c:pt>
                <c:pt idx="2357">
                  <c:v>2.1</c:v>
                </c:pt>
                <c:pt idx="2358">
                  <c:v>1.9</c:v>
                </c:pt>
                <c:pt idx="2359">
                  <c:v>1.6</c:v>
                </c:pt>
                <c:pt idx="2360">
                  <c:v>1.3</c:v>
                </c:pt>
                <c:pt idx="2361">
                  <c:v>1.7</c:v>
                </c:pt>
                <c:pt idx="2362">
                  <c:v>2.5</c:v>
                </c:pt>
                <c:pt idx="2363">
                  <c:v>3.3</c:v>
                </c:pt>
                <c:pt idx="2364">
                  <c:v>3.7</c:v>
                </c:pt>
                <c:pt idx="2365">
                  <c:v>4.4000000000000004</c:v>
                </c:pt>
                <c:pt idx="2366">
                  <c:v>4.4000000000000004</c:v>
                </c:pt>
                <c:pt idx="2367">
                  <c:v>4.4000000000000004</c:v>
                </c:pt>
                <c:pt idx="2368">
                  <c:v>4.4000000000000004</c:v>
                </c:pt>
                <c:pt idx="2369">
                  <c:v>4.5</c:v>
                </c:pt>
                <c:pt idx="2370">
                  <c:v>4.9000000000000004</c:v>
                </c:pt>
                <c:pt idx="2371">
                  <c:v>5.7</c:v>
                </c:pt>
                <c:pt idx="2372">
                  <c:v>6.5</c:v>
                </c:pt>
                <c:pt idx="2373">
                  <c:v>7.1</c:v>
                </c:pt>
                <c:pt idx="2374">
                  <c:v>6.1</c:v>
                </c:pt>
                <c:pt idx="2375">
                  <c:v>5.2</c:v>
                </c:pt>
                <c:pt idx="2376">
                  <c:v>3.3</c:v>
                </c:pt>
                <c:pt idx="2377">
                  <c:v>1.5</c:v>
                </c:pt>
                <c:pt idx="2378">
                  <c:v>0.3</c:v>
                </c:pt>
                <c:pt idx="2379">
                  <c:v>1.5</c:v>
                </c:pt>
                <c:pt idx="2380">
                  <c:v>2.1</c:v>
                </c:pt>
                <c:pt idx="2381">
                  <c:v>3.3</c:v>
                </c:pt>
                <c:pt idx="2382">
                  <c:v>4.5999999999999996</c:v>
                </c:pt>
                <c:pt idx="2383">
                  <c:v>0.6</c:v>
                </c:pt>
                <c:pt idx="2384">
                  <c:v>-5.8</c:v>
                </c:pt>
                <c:pt idx="2385">
                  <c:v>-9</c:v>
                </c:pt>
                <c:pt idx="2386">
                  <c:v>-15.4</c:v>
                </c:pt>
                <c:pt idx="2387">
                  <c:v>-20.6</c:v>
                </c:pt>
                <c:pt idx="2388">
                  <c:v>-20.6</c:v>
                </c:pt>
                <c:pt idx="2389">
                  <c:v>-20.6</c:v>
                </c:pt>
                <c:pt idx="2390">
                  <c:v>-20.6</c:v>
                </c:pt>
                <c:pt idx="2391">
                  <c:v>-20.6</c:v>
                </c:pt>
                <c:pt idx="2392">
                  <c:v>-14.4</c:v>
                </c:pt>
                <c:pt idx="2393">
                  <c:v>-5.4</c:v>
                </c:pt>
                <c:pt idx="2394">
                  <c:v>-0.9</c:v>
                </c:pt>
                <c:pt idx="2395">
                  <c:v>8.1</c:v>
                </c:pt>
                <c:pt idx="2396">
                  <c:v>13.6</c:v>
                </c:pt>
                <c:pt idx="2397">
                  <c:v>4.2</c:v>
                </c:pt>
                <c:pt idx="2398">
                  <c:v>-0.5</c:v>
                </c:pt>
                <c:pt idx="2399">
                  <c:v>-9.9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EE0-4D56-844F-D02A3083A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2343120"/>
        <c:axId val="632344432"/>
      </c:scatterChart>
      <c:valAx>
        <c:axId val="632343120"/>
        <c:scaling>
          <c:orientation val="minMax"/>
          <c:max val="24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344432"/>
        <c:crosses val="autoZero"/>
        <c:crossBetween val="midCat"/>
        <c:majorUnit val="100"/>
      </c:valAx>
      <c:valAx>
        <c:axId val="632344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Lean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343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2D data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'Track Data'!$M$4:$M$2403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'Track Data'!$H$4:$H$2403</c:f>
              <c:numCache>
                <c:formatCode>General</c:formatCode>
                <c:ptCount val="2400"/>
                <c:pt idx="0">
                  <c:v>56.055555555555557</c:v>
                </c:pt>
                <c:pt idx="1">
                  <c:v>56.111111111111107</c:v>
                </c:pt>
                <c:pt idx="2">
                  <c:v>56.166666666666664</c:v>
                </c:pt>
                <c:pt idx="3">
                  <c:v>56.222222222222221</c:v>
                </c:pt>
                <c:pt idx="4">
                  <c:v>56.25</c:v>
                </c:pt>
                <c:pt idx="5">
                  <c:v>56.30555555555555</c:v>
                </c:pt>
                <c:pt idx="6">
                  <c:v>56.361111111111114</c:v>
                </c:pt>
                <c:pt idx="7">
                  <c:v>56.444444444444443</c:v>
                </c:pt>
                <c:pt idx="8">
                  <c:v>56.472222222222221</c:v>
                </c:pt>
                <c:pt idx="9">
                  <c:v>56.527777777777779</c:v>
                </c:pt>
                <c:pt idx="10">
                  <c:v>56.583333333333329</c:v>
                </c:pt>
                <c:pt idx="11">
                  <c:v>56.638888888888886</c:v>
                </c:pt>
                <c:pt idx="12">
                  <c:v>56.694444444444443</c:v>
                </c:pt>
                <c:pt idx="13">
                  <c:v>56.75</c:v>
                </c:pt>
                <c:pt idx="14">
                  <c:v>56.805555555555557</c:v>
                </c:pt>
                <c:pt idx="15">
                  <c:v>56.861111111111107</c:v>
                </c:pt>
                <c:pt idx="16">
                  <c:v>56.888888888888893</c:v>
                </c:pt>
                <c:pt idx="17">
                  <c:v>56.944444444444443</c:v>
                </c:pt>
                <c:pt idx="18">
                  <c:v>56.999999999999993</c:v>
                </c:pt>
                <c:pt idx="19">
                  <c:v>57.027777777777779</c:v>
                </c:pt>
                <c:pt idx="20">
                  <c:v>57.083333333333329</c:v>
                </c:pt>
                <c:pt idx="21">
                  <c:v>57.138888888888886</c:v>
                </c:pt>
                <c:pt idx="22">
                  <c:v>57.194444444444443</c:v>
                </c:pt>
                <c:pt idx="23">
                  <c:v>57.222222222222221</c:v>
                </c:pt>
                <c:pt idx="24">
                  <c:v>57.25</c:v>
                </c:pt>
                <c:pt idx="25">
                  <c:v>57.305555555555557</c:v>
                </c:pt>
                <c:pt idx="26">
                  <c:v>57.333333333333336</c:v>
                </c:pt>
                <c:pt idx="27">
                  <c:v>57.388888888888886</c:v>
                </c:pt>
                <c:pt idx="28">
                  <c:v>57.416666666666664</c:v>
                </c:pt>
                <c:pt idx="29">
                  <c:v>57.444444444444443</c:v>
                </c:pt>
                <c:pt idx="30">
                  <c:v>57.472222222222221</c:v>
                </c:pt>
                <c:pt idx="31">
                  <c:v>57.5</c:v>
                </c:pt>
                <c:pt idx="32">
                  <c:v>57.527777777777771</c:v>
                </c:pt>
                <c:pt idx="33">
                  <c:v>57.55555555555555</c:v>
                </c:pt>
                <c:pt idx="34">
                  <c:v>57.583333333333336</c:v>
                </c:pt>
                <c:pt idx="35">
                  <c:v>57.611111111111114</c:v>
                </c:pt>
                <c:pt idx="36">
                  <c:v>57.638888888888886</c:v>
                </c:pt>
                <c:pt idx="37">
                  <c:v>57.666666666666664</c:v>
                </c:pt>
                <c:pt idx="38">
                  <c:v>57.694444444444443</c:v>
                </c:pt>
                <c:pt idx="39">
                  <c:v>57.722222222222221</c:v>
                </c:pt>
                <c:pt idx="40">
                  <c:v>57.75</c:v>
                </c:pt>
                <c:pt idx="41">
                  <c:v>57.80555555555555</c:v>
                </c:pt>
                <c:pt idx="42">
                  <c:v>57.833333333333329</c:v>
                </c:pt>
                <c:pt idx="43">
                  <c:v>57.861111111111114</c:v>
                </c:pt>
                <c:pt idx="44">
                  <c:v>57.916666666666664</c:v>
                </c:pt>
                <c:pt idx="45">
                  <c:v>57.944444444444443</c:v>
                </c:pt>
                <c:pt idx="46">
                  <c:v>58</c:v>
                </c:pt>
                <c:pt idx="47">
                  <c:v>58</c:v>
                </c:pt>
                <c:pt idx="48">
                  <c:v>58.055555555555557</c:v>
                </c:pt>
                <c:pt idx="49">
                  <c:v>58.083333333333329</c:v>
                </c:pt>
                <c:pt idx="50">
                  <c:v>58.111111111111107</c:v>
                </c:pt>
                <c:pt idx="51">
                  <c:v>58.138888888888893</c:v>
                </c:pt>
                <c:pt idx="52">
                  <c:v>58.194444444444443</c:v>
                </c:pt>
                <c:pt idx="53">
                  <c:v>58.194444444444443</c:v>
                </c:pt>
                <c:pt idx="54">
                  <c:v>58.249999999999993</c:v>
                </c:pt>
                <c:pt idx="55">
                  <c:v>58.277777777777779</c:v>
                </c:pt>
                <c:pt idx="56">
                  <c:v>58.305555555555557</c:v>
                </c:pt>
                <c:pt idx="57">
                  <c:v>58.333333333333329</c:v>
                </c:pt>
                <c:pt idx="58">
                  <c:v>58.388888888888886</c:v>
                </c:pt>
                <c:pt idx="59">
                  <c:v>58.416666666666671</c:v>
                </c:pt>
                <c:pt idx="60">
                  <c:v>58.444444444444443</c:v>
                </c:pt>
                <c:pt idx="61">
                  <c:v>58.5</c:v>
                </c:pt>
                <c:pt idx="62">
                  <c:v>58.527777777777771</c:v>
                </c:pt>
                <c:pt idx="63">
                  <c:v>58.583333333333336</c:v>
                </c:pt>
                <c:pt idx="64">
                  <c:v>58.611111111111107</c:v>
                </c:pt>
                <c:pt idx="65">
                  <c:v>58.638888888888886</c:v>
                </c:pt>
                <c:pt idx="66">
                  <c:v>58.666666666666664</c:v>
                </c:pt>
                <c:pt idx="67">
                  <c:v>58.694444444444443</c:v>
                </c:pt>
                <c:pt idx="68">
                  <c:v>58.722222222222221</c:v>
                </c:pt>
                <c:pt idx="69">
                  <c:v>58.75</c:v>
                </c:pt>
                <c:pt idx="70">
                  <c:v>58.80555555555555</c:v>
                </c:pt>
                <c:pt idx="71">
                  <c:v>58.833333333333336</c:v>
                </c:pt>
                <c:pt idx="72">
                  <c:v>58.888888888888886</c:v>
                </c:pt>
                <c:pt idx="73">
                  <c:v>58.944444444444443</c:v>
                </c:pt>
                <c:pt idx="74">
                  <c:v>58.972222222222221</c:v>
                </c:pt>
                <c:pt idx="75">
                  <c:v>59.027777777777779</c:v>
                </c:pt>
                <c:pt idx="76">
                  <c:v>59.083333333333329</c:v>
                </c:pt>
                <c:pt idx="77">
                  <c:v>59.111111111111114</c:v>
                </c:pt>
                <c:pt idx="78">
                  <c:v>59.166666666666664</c:v>
                </c:pt>
                <c:pt idx="79">
                  <c:v>59.25</c:v>
                </c:pt>
                <c:pt idx="80">
                  <c:v>59.277777777777779</c:v>
                </c:pt>
                <c:pt idx="81">
                  <c:v>59.333333333333329</c:v>
                </c:pt>
                <c:pt idx="82">
                  <c:v>59.361111111111107</c:v>
                </c:pt>
                <c:pt idx="83">
                  <c:v>59.388888888888893</c:v>
                </c:pt>
                <c:pt idx="84">
                  <c:v>59.416666666666664</c:v>
                </c:pt>
                <c:pt idx="85">
                  <c:v>59.472222222222221</c:v>
                </c:pt>
                <c:pt idx="86">
                  <c:v>59.499999999999993</c:v>
                </c:pt>
                <c:pt idx="87">
                  <c:v>59.527777777777779</c:v>
                </c:pt>
                <c:pt idx="88">
                  <c:v>59.555555555555557</c:v>
                </c:pt>
                <c:pt idx="89">
                  <c:v>59.583333333333329</c:v>
                </c:pt>
                <c:pt idx="90">
                  <c:v>59.611111111111107</c:v>
                </c:pt>
                <c:pt idx="91">
                  <c:v>59.638888888888886</c:v>
                </c:pt>
                <c:pt idx="92">
                  <c:v>59.666666666666671</c:v>
                </c:pt>
                <c:pt idx="93">
                  <c:v>59.694444444444443</c:v>
                </c:pt>
                <c:pt idx="94">
                  <c:v>59.694444444444443</c:v>
                </c:pt>
                <c:pt idx="95">
                  <c:v>59.722222222222221</c:v>
                </c:pt>
                <c:pt idx="96">
                  <c:v>59.75</c:v>
                </c:pt>
                <c:pt idx="97">
                  <c:v>59.75</c:v>
                </c:pt>
                <c:pt idx="98">
                  <c:v>59.777777777777771</c:v>
                </c:pt>
                <c:pt idx="99">
                  <c:v>59.805555555555557</c:v>
                </c:pt>
                <c:pt idx="100">
                  <c:v>59.805555555555557</c:v>
                </c:pt>
                <c:pt idx="101">
                  <c:v>59.805555555555557</c:v>
                </c:pt>
                <c:pt idx="102">
                  <c:v>59.833333333333336</c:v>
                </c:pt>
                <c:pt idx="103">
                  <c:v>59.833333333333336</c:v>
                </c:pt>
                <c:pt idx="104">
                  <c:v>59.833333333333336</c:v>
                </c:pt>
                <c:pt idx="105">
                  <c:v>59.833333333333336</c:v>
                </c:pt>
                <c:pt idx="106">
                  <c:v>59.833333333333336</c:v>
                </c:pt>
                <c:pt idx="107">
                  <c:v>59.805555555555557</c:v>
                </c:pt>
                <c:pt idx="108">
                  <c:v>59.805555555555557</c:v>
                </c:pt>
                <c:pt idx="109">
                  <c:v>59.777777777777771</c:v>
                </c:pt>
                <c:pt idx="110">
                  <c:v>59.777777777777771</c:v>
                </c:pt>
                <c:pt idx="111">
                  <c:v>59.75</c:v>
                </c:pt>
                <c:pt idx="112">
                  <c:v>59.694444444444443</c:v>
                </c:pt>
                <c:pt idx="113">
                  <c:v>59.638888888888886</c:v>
                </c:pt>
                <c:pt idx="114">
                  <c:v>59.611111111111107</c:v>
                </c:pt>
                <c:pt idx="115">
                  <c:v>59.555555555555557</c:v>
                </c:pt>
                <c:pt idx="116">
                  <c:v>59.499999999999993</c:v>
                </c:pt>
                <c:pt idx="117">
                  <c:v>59.472222222222221</c:v>
                </c:pt>
                <c:pt idx="118">
                  <c:v>59.388888888888893</c:v>
                </c:pt>
                <c:pt idx="119">
                  <c:v>59.277777777777779</c:v>
                </c:pt>
                <c:pt idx="120">
                  <c:v>59.194444444444443</c:v>
                </c:pt>
                <c:pt idx="121">
                  <c:v>59.138888888888886</c:v>
                </c:pt>
                <c:pt idx="122">
                  <c:v>59.027777777777779</c:v>
                </c:pt>
                <c:pt idx="123">
                  <c:v>58.944444444444443</c:v>
                </c:pt>
                <c:pt idx="124">
                  <c:v>58.861111111111114</c:v>
                </c:pt>
                <c:pt idx="125">
                  <c:v>58.75</c:v>
                </c:pt>
                <c:pt idx="126">
                  <c:v>58.638888888888886</c:v>
                </c:pt>
                <c:pt idx="127">
                  <c:v>58.555555555555557</c:v>
                </c:pt>
                <c:pt idx="128">
                  <c:v>58.444444444444443</c:v>
                </c:pt>
                <c:pt idx="129">
                  <c:v>58.305555555555557</c:v>
                </c:pt>
                <c:pt idx="130">
                  <c:v>58.166666666666664</c:v>
                </c:pt>
                <c:pt idx="131">
                  <c:v>58.083333333333329</c:v>
                </c:pt>
                <c:pt idx="132">
                  <c:v>57.944444444444443</c:v>
                </c:pt>
                <c:pt idx="133">
                  <c:v>57.80555555555555</c:v>
                </c:pt>
                <c:pt idx="134">
                  <c:v>57.666666666666664</c:v>
                </c:pt>
                <c:pt idx="135">
                  <c:v>57.583333333333336</c:v>
                </c:pt>
                <c:pt idx="136">
                  <c:v>57.444444444444443</c:v>
                </c:pt>
                <c:pt idx="137">
                  <c:v>57.305555555555557</c:v>
                </c:pt>
                <c:pt idx="138">
                  <c:v>57.166666666666671</c:v>
                </c:pt>
                <c:pt idx="139">
                  <c:v>57.083333333333329</c:v>
                </c:pt>
                <c:pt idx="140">
                  <c:v>56.944444444444443</c:v>
                </c:pt>
                <c:pt idx="141">
                  <c:v>56.777777777777779</c:v>
                </c:pt>
                <c:pt idx="142">
                  <c:v>56.611111111111114</c:v>
                </c:pt>
                <c:pt idx="143">
                  <c:v>56.444444444444443</c:v>
                </c:pt>
                <c:pt idx="144">
                  <c:v>56.361111111111114</c:v>
                </c:pt>
                <c:pt idx="145">
                  <c:v>56.194444444444443</c:v>
                </c:pt>
                <c:pt idx="146">
                  <c:v>56</c:v>
                </c:pt>
                <c:pt idx="147">
                  <c:v>55.833333333333329</c:v>
                </c:pt>
                <c:pt idx="148">
                  <c:v>55.638888888888893</c:v>
                </c:pt>
                <c:pt idx="149">
                  <c:v>55.555555555555557</c:v>
                </c:pt>
                <c:pt idx="150">
                  <c:v>55.361111111111114</c:v>
                </c:pt>
                <c:pt idx="151">
                  <c:v>55.166666666666664</c:v>
                </c:pt>
                <c:pt idx="152">
                  <c:v>55</c:v>
                </c:pt>
                <c:pt idx="153">
                  <c:v>54.833333333333336</c:v>
                </c:pt>
                <c:pt idx="154">
                  <c:v>54.638888888888886</c:v>
                </c:pt>
                <c:pt idx="155">
                  <c:v>54.472222222222221</c:v>
                </c:pt>
                <c:pt idx="156">
                  <c:v>54.388888888888893</c:v>
                </c:pt>
                <c:pt idx="157">
                  <c:v>54.222222222222214</c:v>
                </c:pt>
                <c:pt idx="158">
                  <c:v>54.05555555555555</c:v>
                </c:pt>
                <c:pt idx="159">
                  <c:v>53.916666666666664</c:v>
                </c:pt>
                <c:pt idx="160">
                  <c:v>53.75</c:v>
                </c:pt>
                <c:pt idx="161">
                  <c:v>53.583333333333336</c:v>
                </c:pt>
                <c:pt idx="162">
                  <c:v>53.444444444444443</c:v>
                </c:pt>
                <c:pt idx="163">
                  <c:v>53.305555555555557</c:v>
                </c:pt>
                <c:pt idx="164">
                  <c:v>53.166666666666664</c:v>
                </c:pt>
                <c:pt idx="165">
                  <c:v>53.055555555555557</c:v>
                </c:pt>
                <c:pt idx="166">
                  <c:v>52.972222222222214</c:v>
                </c:pt>
                <c:pt idx="167">
                  <c:v>52.861111111111114</c:v>
                </c:pt>
                <c:pt idx="168">
                  <c:v>52.722222222222221</c:v>
                </c:pt>
                <c:pt idx="169">
                  <c:v>52.583333333333336</c:v>
                </c:pt>
                <c:pt idx="170">
                  <c:v>52.444444444444443</c:v>
                </c:pt>
                <c:pt idx="171">
                  <c:v>52.305555555555557</c:v>
                </c:pt>
                <c:pt idx="172">
                  <c:v>52.166666666666671</c:v>
                </c:pt>
                <c:pt idx="173">
                  <c:v>52.027777777777779</c:v>
                </c:pt>
                <c:pt idx="174">
                  <c:v>51.861111111111107</c:v>
                </c:pt>
                <c:pt idx="175">
                  <c:v>51.722222222222214</c:v>
                </c:pt>
                <c:pt idx="176">
                  <c:v>51.583333333333329</c:v>
                </c:pt>
                <c:pt idx="177">
                  <c:v>51.444444444444443</c:v>
                </c:pt>
                <c:pt idx="178">
                  <c:v>51.25</c:v>
                </c:pt>
                <c:pt idx="179">
                  <c:v>51.083333333333336</c:v>
                </c:pt>
                <c:pt idx="180">
                  <c:v>50.888888888888886</c:v>
                </c:pt>
                <c:pt idx="181">
                  <c:v>50.722222222222221</c:v>
                </c:pt>
                <c:pt idx="182">
                  <c:v>50.444444444444443</c:v>
                </c:pt>
                <c:pt idx="183">
                  <c:v>50.277777777777779</c:v>
                </c:pt>
                <c:pt idx="184">
                  <c:v>50.111111111111114</c:v>
                </c:pt>
                <c:pt idx="185">
                  <c:v>49.944444444444443</c:v>
                </c:pt>
                <c:pt idx="186">
                  <c:v>49.805555555555557</c:v>
                </c:pt>
                <c:pt idx="187">
                  <c:v>49.611111111111107</c:v>
                </c:pt>
                <c:pt idx="188">
                  <c:v>49.444444444444443</c:v>
                </c:pt>
                <c:pt idx="189">
                  <c:v>49.25</c:v>
                </c:pt>
                <c:pt idx="190">
                  <c:v>49.083333333333329</c:v>
                </c:pt>
                <c:pt idx="191">
                  <c:v>48.888888888888886</c:v>
                </c:pt>
                <c:pt idx="192">
                  <c:v>48.694444444444443</c:v>
                </c:pt>
                <c:pt idx="193">
                  <c:v>48.388888888888886</c:v>
                </c:pt>
                <c:pt idx="194">
                  <c:v>48.166666666666664</c:v>
                </c:pt>
                <c:pt idx="195">
                  <c:v>47.972222222222221</c:v>
                </c:pt>
                <c:pt idx="196">
                  <c:v>47.75</c:v>
                </c:pt>
                <c:pt idx="197">
                  <c:v>47.55555555555555</c:v>
                </c:pt>
                <c:pt idx="198">
                  <c:v>47.222222222222221</c:v>
                </c:pt>
                <c:pt idx="199">
                  <c:v>46.999999999999993</c:v>
                </c:pt>
                <c:pt idx="200">
                  <c:v>46.805555555555557</c:v>
                </c:pt>
                <c:pt idx="201">
                  <c:v>46.55555555555555</c:v>
                </c:pt>
                <c:pt idx="202">
                  <c:v>46.30555555555555</c:v>
                </c:pt>
                <c:pt idx="203">
                  <c:v>45.944444444444443</c:v>
                </c:pt>
                <c:pt idx="204">
                  <c:v>45.694444444444443</c:v>
                </c:pt>
                <c:pt idx="205">
                  <c:v>45.444444444444443</c:v>
                </c:pt>
                <c:pt idx="206">
                  <c:v>45.111111111111114</c:v>
                </c:pt>
                <c:pt idx="207">
                  <c:v>44.861111111111107</c:v>
                </c:pt>
                <c:pt idx="208">
                  <c:v>44.638888888888886</c:v>
                </c:pt>
                <c:pt idx="209">
                  <c:v>44.416666666666664</c:v>
                </c:pt>
                <c:pt idx="210">
                  <c:v>44.083333333333329</c:v>
                </c:pt>
                <c:pt idx="211">
                  <c:v>43.888888888888886</c:v>
                </c:pt>
                <c:pt idx="212">
                  <c:v>43.583333333333336</c:v>
                </c:pt>
                <c:pt idx="213">
                  <c:v>43.361111111111107</c:v>
                </c:pt>
                <c:pt idx="214">
                  <c:v>43.166666666666664</c:v>
                </c:pt>
                <c:pt idx="215">
                  <c:v>42.861111111111114</c:v>
                </c:pt>
                <c:pt idx="216">
                  <c:v>42.666666666666664</c:v>
                </c:pt>
                <c:pt idx="217">
                  <c:v>42.361111111111107</c:v>
                </c:pt>
                <c:pt idx="218">
                  <c:v>42.166666666666671</c:v>
                </c:pt>
                <c:pt idx="219">
                  <c:v>41.861111111111107</c:v>
                </c:pt>
                <c:pt idx="220">
                  <c:v>41.666666666666664</c:v>
                </c:pt>
                <c:pt idx="221">
                  <c:v>41.472222222222221</c:v>
                </c:pt>
                <c:pt idx="222">
                  <c:v>41.166666666666664</c:v>
                </c:pt>
                <c:pt idx="223">
                  <c:v>40.944444444444443</c:v>
                </c:pt>
                <c:pt idx="224">
                  <c:v>40.638888888888893</c:v>
                </c:pt>
                <c:pt idx="225">
                  <c:v>40.416666666666664</c:v>
                </c:pt>
                <c:pt idx="226">
                  <c:v>40.138888888888886</c:v>
                </c:pt>
                <c:pt idx="227">
                  <c:v>39.861111111111107</c:v>
                </c:pt>
                <c:pt idx="228">
                  <c:v>39.694444444444443</c:v>
                </c:pt>
                <c:pt idx="229">
                  <c:v>39.416666666666664</c:v>
                </c:pt>
                <c:pt idx="230">
                  <c:v>39.25</c:v>
                </c:pt>
                <c:pt idx="231">
                  <c:v>38.972222222222221</c:v>
                </c:pt>
                <c:pt idx="232">
                  <c:v>38.69444444444445</c:v>
                </c:pt>
                <c:pt idx="233">
                  <c:v>38.527777777777771</c:v>
                </c:pt>
                <c:pt idx="234">
                  <c:v>38.249999999999993</c:v>
                </c:pt>
                <c:pt idx="235">
                  <c:v>37.972222222222221</c:v>
                </c:pt>
                <c:pt idx="236">
                  <c:v>37.80555555555555</c:v>
                </c:pt>
                <c:pt idx="237">
                  <c:v>37.527777777777779</c:v>
                </c:pt>
                <c:pt idx="238">
                  <c:v>37.25</c:v>
                </c:pt>
                <c:pt idx="239">
                  <c:v>36.972222222222221</c:v>
                </c:pt>
                <c:pt idx="240">
                  <c:v>36.805555555555557</c:v>
                </c:pt>
                <c:pt idx="241">
                  <c:v>36.527777777777779</c:v>
                </c:pt>
                <c:pt idx="242">
                  <c:v>36.222222222222221</c:v>
                </c:pt>
                <c:pt idx="243">
                  <c:v>35.944444444444443</c:v>
                </c:pt>
                <c:pt idx="244">
                  <c:v>35.638888888888893</c:v>
                </c:pt>
                <c:pt idx="245">
                  <c:v>35.361111111111107</c:v>
                </c:pt>
                <c:pt idx="246">
                  <c:v>35.083333333333329</c:v>
                </c:pt>
                <c:pt idx="247">
                  <c:v>34.888888888888886</c:v>
                </c:pt>
                <c:pt idx="248">
                  <c:v>34.611111111111107</c:v>
                </c:pt>
                <c:pt idx="249">
                  <c:v>34.333333333333329</c:v>
                </c:pt>
                <c:pt idx="250">
                  <c:v>34.083333333333336</c:v>
                </c:pt>
                <c:pt idx="251">
                  <c:v>33.805555555555557</c:v>
                </c:pt>
                <c:pt idx="252">
                  <c:v>33.555555555555557</c:v>
                </c:pt>
                <c:pt idx="253">
                  <c:v>33.305555555555557</c:v>
                </c:pt>
                <c:pt idx="254">
                  <c:v>33.027777777777779</c:v>
                </c:pt>
                <c:pt idx="255">
                  <c:v>32.666666666666664</c:v>
                </c:pt>
                <c:pt idx="256">
                  <c:v>32.388888888888886</c:v>
                </c:pt>
                <c:pt idx="257">
                  <c:v>32.111111111111107</c:v>
                </c:pt>
                <c:pt idx="258">
                  <c:v>31.833333333333332</c:v>
                </c:pt>
                <c:pt idx="259">
                  <c:v>31.555555555555554</c:v>
                </c:pt>
                <c:pt idx="260">
                  <c:v>31.166666666666668</c:v>
                </c:pt>
                <c:pt idx="261">
                  <c:v>30.916666666666664</c:v>
                </c:pt>
                <c:pt idx="262">
                  <c:v>30.694444444444443</c:v>
                </c:pt>
                <c:pt idx="263">
                  <c:v>30.388888888888889</c:v>
                </c:pt>
                <c:pt idx="264">
                  <c:v>30.138888888888889</c:v>
                </c:pt>
                <c:pt idx="265">
                  <c:v>29.888888888888886</c:v>
                </c:pt>
                <c:pt idx="266">
                  <c:v>29.555555555555557</c:v>
                </c:pt>
                <c:pt idx="267">
                  <c:v>29.305555555555554</c:v>
                </c:pt>
                <c:pt idx="268">
                  <c:v>29</c:v>
                </c:pt>
                <c:pt idx="269">
                  <c:v>28.75</c:v>
                </c:pt>
                <c:pt idx="270">
                  <c:v>28.444444444444446</c:v>
                </c:pt>
                <c:pt idx="271">
                  <c:v>28.111111111111111</c:v>
                </c:pt>
                <c:pt idx="272">
                  <c:v>27.888888888888889</c:v>
                </c:pt>
                <c:pt idx="273">
                  <c:v>27.5</c:v>
                </c:pt>
                <c:pt idx="274">
                  <c:v>27.138888888888889</c:v>
                </c:pt>
                <c:pt idx="275">
                  <c:v>26.777777777777779</c:v>
                </c:pt>
                <c:pt idx="276">
                  <c:v>26.527777777777779</c:v>
                </c:pt>
                <c:pt idx="277">
                  <c:v>26.166666666666668</c:v>
                </c:pt>
                <c:pt idx="278">
                  <c:v>25.861111111111107</c:v>
                </c:pt>
                <c:pt idx="279">
                  <c:v>25.527777777777779</c:v>
                </c:pt>
                <c:pt idx="280">
                  <c:v>25.222222222222221</c:v>
                </c:pt>
                <c:pt idx="281">
                  <c:v>24.944444444444443</c:v>
                </c:pt>
                <c:pt idx="282">
                  <c:v>24.666666666666664</c:v>
                </c:pt>
                <c:pt idx="283">
                  <c:v>24.388888888888886</c:v>
                </c:pt>
                <c:pt idx="284">
                  <c:v>24.138888888888889</c:v>
                </c:pt>
                <c:pt idx="285">
                  <c:v>23.888888888888889</c:v>
                </c:pt>
                <c:pt idx="286">
                  <c:v>23.583333333333336</c:v>
                </c:pt>
                <c:pt idx="287">
                  <c:v>23.333333333333332</c:v>
                </c:pt>
                <c:pt idx="288">
                  <c:v>23.138888888888889</c:v>
                </c:pt>
                <c:pt idx="289">
                  <c:v>22.888888888888889</c:v>
                </c:pt>
                <c:pt idx="290">
                  <c:v>22.666666666666664</c:v>
                </c:pt>
                <c:pt idx="291">
                  <c:v>22.416666666666668</c:v>
                </c:pt>
                <c:pt idx="292">
                  <c:v>22.111111111111111</c:v>
                </c:pt>
                <c:pt idx="293">
                  <c:v>21.805555555555554</c:v>
                </c:pt>
                <c:pt idx="294">
                  <c:v>21.527777777777779</c:v>
                </c:pt>
                <c:pt idx="295">
                  <c:v>21.194444444444443</c:v>
                </c:pt>
                <c:pt idx="296">
                  <c:v>20.805555555555557</c:v>
                </c:pt>
                <c:pt idx="297">
                  <c:v>20.305555555555554</c:v>
                </c:pt>
                <c:pt idx="298">
                  <c:v>19.833333333333336</c:v>
                </c:pt>
                <c:pt idx="299">
                  <c:v>19.388888888888889</c:v>
                </c:pt>
                <c:pt idx="300">
                  <c:v>18.861111111111111</c:v>
                </c:pt>
                <c:pt idx="301">
                  <c:v>18.416666666666664</c:v>
                </c:pt>
                <c:pt idx="302">
                  <c:v>17.888888888888889</c:v>
                </c:pt>
                <c:pt idx="303">
                  <c:v>17.361111111111111</c:v>
                </c:pt>
                <c:pt idx="304">
                  <c:v>16.861111111111111</c:v>
                </c:pt>
                <c:pt idx="305">
                  <c:v>16.25</c:v>
                </c:pt>
                <c:pt idx="306">
                  <c:v>15.75</c:v>
                </c:pt>
                <c:pt idx="307">
                  <c:v>15.277777777777777</c:v>
                </c:pt>
                <c:pt idx="308">
                  <c:v>14.805555555555554</c:v>
                </c:pt>
                <c:pt idx="309">
                  <c:v>14.361111111111111</c:v>
                </c:pt>
                <c:pt idx="310">
                  <c:v>13.888888888888889</c:v>
                </c:pt>
                <c:pt idx="311">
                  <c:v>13.388888888888889</c:v>
                </c:pt>
                <c:pt idx="312">
                  <c:v>12.916666666666666</c:v>
                </c:pt>
                <c:pt idx="313">
                  <c:v>12.305555555555554</c:v>
                </c:pt>
                <c:pt idx="314">
                  <c:v>11.722222222222223</c:v>
                </c:pt>
                <c:pt idx="315">
                  <c:v>11.138888888888889</c:v>
                </c:pt>
                <c:pt idx="316">
                  <c:v>10.638888888888888</c:v>
                </c:pt>
                <c:pt idx="317">
                  <c:v>10.138888888888889</c:v>
                </c:pt>
                <c:pt idx="318">
                  <c:v>9.7222222222222214</c:v>
                </c:pt>
                <c:pt idx="319">
                  <c:v>9.4166666666666661</c:v>
                </c:pt>
                <c:pt idx="320">
                  <c:v>9.1944444444444446</c:v>
                </c:pt>
                <c:pt idx="321">
                  <c:v>9.0277777777777768</c:v>
                </c:pt>
                <c:pt idx="322">
                  <c:v>8.9166666666666661</c:v>
                </c:pt>
                <c:pt idx="323">
                  <c:v>8.8333333333333339</c:v>
                </c:pt>
                <c:pt idx="324">
                  <c:v>8.8055555555555554</c:v>
                </c:pt>
                <c:pt idx="325">
                  <c:v>8.9166666666666661</c:v>
                </c:pt>
                <c:pt idx="326">
                  <c:v>9.1388888888888875</c:v>
                </c:pt>
                <c:pt idx="327">
                  <c:v>9.4444444444444446</c:v>
                </c:pt>
                <c:pt idx="328">
                  <c:v>9.8055555555555554</c:v>
                </c:pt>
                <c:pt idx="329">
                  <c:v>10.166666666666666</c:v>
                </c:pt>
                <c:pt idx="330">
                  <c:v>10.527777777777777</c:v>
                </c:pt>
                <c:pt idx="331">
                  <c:v>10.833333333333334</c:v>
                </c:pt>
                <c:pt idx="332">
                  <c:v>11.083333333333332</c:v>
                </c:pt>
                <c:pt idx="333">
                  <c:v>11.333333333333332</c:v>
                </c:pt>
                <c:pt idx="334">
                  <c:v>11.611111111111111</c:v>
                </c:pt>
                <c:pt idx="335">
                  <c:v>11.805555555555555</c:v>
                </c:pt>
                <c:pt idx="336">
                  <c:v>12.027777777777777</c:v>
                </c:pt>
                <c:pt idx="337">
                  <c:v>12.277777777777779</c:v>
                </c:pt>
                <c:pt idx="338">
                  <c:v>12.472222222222221</c:v>
                </c:pt>
                <c:pt idx="339">
                  <c:v>12.805555555555555</c:v>
                </c:pt>
                <c:pt idx="340">
                  <c:v>13.416666666666666</c:v>
                </c:pt>
                <c:pt idx="341">
                  <c:v>13.972222222222221</c:v>
                </c:pt>
                <c:pt idx="342">
                  <c:v>14.472222222222221</c:v>
                </c:pt>
                <c:pt idx="343">
                  <c:v>15.111111111111111</c:v>
                </c:pt>
                <c:pt idx="344">
                  <c:v>15.777777777777777</c:v>
                </c:pt>
                <c:pt idx="345">
                  <c:v>16.361111111111111</c:v>
                </c:pt>
                <c:pt idx="346">
                  <c:v>16.916666666666664</c:v>
                </c:pt>
                <c:pt idx="347">
                  <c:v>17.222222222222221</c:v>
                </c:pt>
                <c:pt idx="348">
                  <c:v>17.527777777777779</c:v>
                </c:pt>
                <c:pt idx="349">
                  <c:v>17.888888888888889</c:v>
                </c:pt>
                <c:pt idx="350">
                  <c:v>18.25</c:v>
                </c:pt>
                <c:pt idx="351">
                  <c:v>18.583333333333336</c:v>
                </c:pt>
                <c:pt idx="352">
                  <c:v>18.888888888888889</c:v>
                </c:pt>
                <c:pt idx="353">
                  <c:v>19.277777777777779</c:v>
                </c:pt>
                <c:pt idx="354">
                  <c:v>19.722222222222221</c:v>
                </c:pt>
                <c:pt idx="355">
                  <c:v>20.333333333333332</c:v>
                </c:pt>
                <c:pt idx="356">
                  <c:v>20.833333333333332</c:v>
                </c:pt>
                <c:pt idx="357">
                  <c:v>21.361111111111111</c:v>
                </c:pt>
                <c:pt idx="358">
                  <c:v>21.861111111111111</c:v>
                </c:pt>
                <c:pt idx="359">
                  <c:v>22.361111111111111</c:v>
                </c:pt>
                <c:pt idx="360">
                  <c:v>22.777777777777779</c:v>
                </c:pt>
                <c:pt idx="361">
                  <c:v>23.305555555555557</c:v>
                </c:pt>
                <c:pt idx="362">
                  <c:v>23.694444444444443</c:v>
                </c:pt>
                <c:pt idx="363">
                  <c:v>24.083333333333332</c:v>
                </c:pt>
                <c:pt idx="364">
                  <c:v>24.472222222222221</c:v>
                </c:pt>
                <c:pt idx="365">
                  <c:v>24.805555555555554</c:v>
                </c:pt>
                <c:pt idx="366">
                  <c:v>25.055555555555557</c:v>
                </c:pt>
                <c:pt idx="367">
                  <c:v>25.25</c:v>
                </c:pt>
                <c:pt idx="368">
                  <c:v>25.472222222222221</c:v>
                </c:pt>
                <c:pt idx="369">
                  <c:v>25.666666666666668</c:v>
                </c:pt>
                <c:pt idx="370">
                  <c:v>25.833333333333332</c:v>
                </c:pt>
                <c:pt idx="371">
                  <c:v>26.055555555555554</c:v>
                </c:pt>
                <c:pt idx="372">
                  <c:v>26.277777777777775</c:v>
                </c:pt>
                <c:pt idx="373">
                  <c:v>26.5</c:v>
                </c:pt>
                <c:pt idx="374">
                  <c:v>26.666666666666664</c:v>
                </c:pt>
                <c:pt idx="375">
                  <c:v>26.916666666666668</c:v>
                </c:pt>
                <c:pt idx="376">
                  <c:v>27.194444444444446</c:v>
                </c:pt>
                <c:pt idx="377">
                  <c:v>27.416666666666668</c:v>
                </c:pt>
                <c:pt idx="378">
                  <c:v>27.722222222222221</c:v>
                </c:pt>
                <c:pt idx="379">
                  <c:v>27.944444444444443</c:v>
                </c:pt>
                <c:pt idx="380">
                  <c:v>28.25</c:v>
                </c:pt>
                <c:pt idx="381">
                  <c:v>28.472222222222221</c:v>
                </c:pt>
                <c:pt idx="382">
                  <c:v>28.777777777777775</c:v>
                </c:pt>
                <c:pt idx="383">
                  <c:v>29</c:v>
                </c:pt>
                <c:pt idx="384">
                  <c:v>29.222222222222221</c:v>
                </c:pt>
                <c:pt idx="385">
                  <c:v>29.5</c:v>
                </c:pt>
                <c:pt idx="386">
                  <c:v>29.722222222222221</c:v>
                </c:pt>
                <c:pt idx="387">
                  <c:v>30.027777777777775</c:v>
                </c:pt>
                <c:pt idx="388">
                  <c:v>30.25</c:v>
                </c:pt>
                <c:pt idx="389">
                  <c:v>30.472222222222221</c:v>
                </c:pt>
                <c:pt idx="390">
                  <c:v>30.777777777777775</c:v>
                </c:pt>
                <c:pt idx="391">
                  <c:v>30.972222222222221</c:v>
                </c:pt>
                <c:pt idx="392">
                  <c:v>31.194444444444443</c:v>
                </c:pt>
                <c:pt idx="393">
                  <c:v>31.416666666666664</c:v>
                </c:pt>
                <c:pt idx="394">
                  <c:v>31.638888888888889</c:v>
                </c:pt>
                <c:pt idx="395">
                  <c:v>31.805555555555554</c:v>
                </c:pt>
                <c:pt idx="396">
                  <c:v>31.972222222222221</c:v>
                </c:pt>
                <c:pt idx="397">
                  <c:v>32.111111111111107</c:v>
                </c:pt>
                <c:pt idx="398">
                  <c:v>32.25</c:v>
                </c:pt>
                <c:pt idx="399">
                  <c:v>32.388888888888886</c:v>
                </c:pt>
                <c:pt idx="400">
                  <c:v>32.472222222222221</c:v>
                </c:pt>
                <c:pt idx="401">
                  <c:v>32.555555555555557</c:v>
                </c:pt>
                <c:pt idx="402">
                  <c:v>32.611111111111114</c:v>
                </c:pt>
                <c:pt idx="403">
                  <c:v>32.638888888888886</c:v>
                </c:pt>
                <c:pt idx="404">
                  <c:v>32.638888888888886</c:v>
                </c:pt>
                <c:pt idx="405">
                  <c:v>32.611111111111114</c:v>
                </c:pt>
                <c:pt idx="406">
                  <c:v>32.583333333333329</c:v>
                </c:pt>
                <c:pt idx="407">
                  <c:v>32.527777777777779</c:v>
                </c:pt>
                <c:pt idx="408">
                  <c:v>32.472222222222221</c:v>
                </c:pt>
                <c:pt idx="409">
                  <c:v>32.388888888888886</c:v>
                </c:pt>
                <c:pt idx="410">
                  <c:v>32.222222222222221</c:v>
                </c:pt>
                <c:pt idx="411">
                  <c:v>32.111111111111107</c:v>
                </c:pt>
                <c:pt idx="412">
                  <c:v>31.972222222222221</c:v>
                </c:pt>
                <c:pt idx="413">
                  <c:v>31.833333333333332</c:v>
                </c:pt>
                <c:pt idx="414">
                  <c:v>31.666666666666664</c:v>
                </c:pt>
                <c:pt idx="415">
                  <c:v>31.527777777777779</c:v>
                </c:pt>
                <c:pt idx="416">
                  <c:v>31.361111111111111</c:v>
                </c:pt>
                <c:pt idx="417">
                  <c:v>31.194444444444443</c:v>
                </c:pt>
                <c:pt idx="418">
                  <c:v>31.027777777777779</c:v>
                </c:pt>
                <c:pt idx="419">
                  <c:v>30.805555555555557</c:v>
                </c:pt>
                <c:pt idx="420">
                  <c:v>30.638888888888886</c:v>
                </c:pt>
                <c:pt idx="421">
                  <c:v>30.472222222222221</c:v>
                </c:pt>
                <c:pt idx="422">
                  <c:v>30.305555555555554</c:v>
                </c:pt>
                <c:pt idx="423">
                  <c:v>30.138888888888889</c:v>
                </c:pt>
                <c:pt idx="424">
                  <c:v>29.888888888888886</c:v>
                </c:pt>
                <c:pt idx="425">
                  <c:v>29.722222222222221</c:v>
                </c:pt>
                <c:pt idx="426">
                  <c:v>29.583333333333332</c:v>
                </c:pt>
                <c:pt idx="427">
                  <c:v>29.444444444444443</c:v>
                </c:pt>
                <c:pt idx="428">
                  <c:v>29.305555555555554</c:v>
                </c:pt>
                <c:pt idx="429">
                  <c:v>29.111111111111111</c:v>
                </c:pt>
                <c:pt idx="430">
                  <c:v>29</c:v>
                </c:pt>
                <c:pt idx="431">
                  <c:v>28.861111111111111</c:v>
                </c:pt>
                <c:pt idx="432">
                  <c:v>28.694444444444443</c:v>
                </c:pt>
                <c:pt idx="433">
                  <c:v>28.499999999999996</c:v>
                </c:pt>
                <c:pt idx="434">
                  <c:v>28.361111111111107</c:v>
                </c:pt>
                <c:pt idx="435">
                  <c:v>28.222222222222221</c:v>
                </c:pt>
                <c:pt idx="436">
                  <c:v>28.083333333333332</c:v>
                </c:pt>
                <c:pt idx="437">
                  <c:v>27.916666666666664</c:v>
                </c:pt>
                <c:pt idx="438">
                  <c:v>27.777777777777779</c:v>
                </c:pt>
                <c:pt idx="439">
                  <c:v>27.638888888888889</c:v>
                </c:pt>
                <c:pt idx="440">
                  <c:v>27.444444444444443</c:v>
                </c:pt>
                <c:pt idx="441">
                  <c:v>27.305555555555554</c:v>
                </c:pt>
                <c:pt idx="442">
                  <c:v>27.111111111111107</c:v>
                </c:pt>
                <c:pt idx="443">
                  <c:v>26.972222222222221</c:v>
                </c:pt>
                <c:pt idx="444">
                  <c:v>26.861111111111111</c:v>
                </c:pt>
                <c:pt idx="445">
                  <c:v>26.722222222222221</c:v>
                </c:pt>
                <c:pt idx="446">
                  <c:v>26.611111111111111</c:v>
                </c:pt>
                <c:pt idx="447">
                  <c:v>26.527777777777779</c:v>
                </c:pt>
                <c:pt idx="448">
                  <c:v>26.444444444444443</c:v>
                </c:pt>
                <c:pt idx="449">
                  <c:v>26.388888888888889</c:v>
                </c:pt>
                <c:pt idx="450">
                  <c:v>26.305555555555557</c:v>
                </c:pt>
                <c:pt idx="451">
                  <c:v>26.25</c:v>
                </c:pt>
                <c:pt idx="452">
                  <c:v>26.194444444444443</c:v>
                </c:pt>
                <c:pt idx="453">
                  <c:v>26.194444444444443</c:v>
                </c:pt>
                <c:pt idx="454">
                  <c:v>26.166666666666668</c:v>
                </c:pt>
                <c:pt idx="455">
                  <c:v>26.166666666666668</c:v>
                </c:pt>
                <c:pt idx="456">
                  <c:v>26.194444444444443</c:v>
                </c:pt>
                <c:pt idx="457">
                  <c:v>26.194444444444443</c:v>
                </c:pt>
                <c:pt idx="458">
                  <c:v>26.222222222222221</c:v>
                </c:pt>
                <c:pt idx="459">
                  <c:v>26.277777777777775</c:v>
                </c:pt>
                <c:pt idx="460">
                  <c:v>26.305555555555557</c:v>
                </c:pt>
                <c:pt idx="461">
                  <c:v>26.333333333333332</c:v>
                </c:pt>
                <c:pt idx="462">
                  <c:v>26.388888888888889</c:v>
                </c:pt>
                <c:pt idx="463">
                  <c:v>26.444444444444443</c:v>
                </c:pt>
                <c:pt idx="464">
                  <c:v>26.472222222222221</c:v>
                </c:pt>
                <c:pt idx="465">
                  <c:v>26.527777777777779</c:v>
                </c:pt>
                <c:pt idx="466">
                  <c:v>26.583333333333332</c:v>
                </c:pt>
                <c:pt idx="467">
                  <c:v>26.638888888888889</c:v>
                </c:pt>
                <c:pt idx="468">
                  <c:v>26.694444444444443</c:v>
                </c:pt>
                <c:pt idx="469">
                  <c:v>26.75</c:v>
                </c:pt>
                <c:pt idx="470">
                  <c:v>26.805555555555554</c:v>
                </c:pt>
                <c:pt idx="471">
                  <c:v>26.861111111111111</c:v>
                </c:pt>
                <c:pt idx="472">
                  <c:v>26.916666666666668</c:v>
                </c:pt>
                <c:pt idx="473">
                  <c:v>27</c:v>
                </c:pt>
                <c:pt idx="474">
                  <c:v>27.055555555555557</c:v>
                </c:pt>
                <c:pt idx="475">
                  <c:v>27.111111111111107</c:v>
                </c:pt>
                <c:pt idx="476">
                  <c:v>27.194444444444446</c:v>
                </c:pt>
                <c:pt idx="477">
                  <c:v>27.249999999999996</c:v>
                </c:pt>
                <c:pt idx="478">
                  <c:v>27.361111111111111</c:v>
                </c:pt>
                <c:pt idx="479">
                  <c:v>27.444444444444443</c:v>
                </c:pt>
                <c:pt idx="480">
                  <c:v>27.555555555555557</c:v>
                </c:pt>
                <c:pt idx="481">
                  <c:v>27.666666666666664</c:v>
                </c:pt>
                <c:pt idx="482">
                  <c:v>27.75</c:v>
                </c:pt>
                <c:pt idx="483">
                  <c:v>27.833333333333332</c:v>
                </c:pt>
                <c:pt idx="484">
                  <c:v>27.944444444444443</c:v>
                </c:pt>
                <c:pt idx="485">
                  <c:v>28.055555555555554</c:v>
                </c:pt>
                <c:pt idx="486">
                  <c:v>28.166666666666668</c:v>
                </c:pt>
                <c:pt idx="487">
                  <c:v>28.277777777777775</c:v>
                </c:pt>
                <c:pt idx="488">
                  <c:v>28.416666666666664</c:v>
                </c:pt>
                <c:pt idx="489">
                  <c:v>28.555555555555554</c:v>
                </c:pt>
                <c:pt idx="490">
                  <c:v>28.694444444444443</c:v>
                </c:pt>
                <c:pt idx="491">
                  <c:v>28.805555555555557</c:v>
                </c:pt>
                <c:pt idx="492">
                  <c:v>29</c:v>
                </c:pt>
                <c:pt idx="493">
                  <c:v>29.138888888888889</c:v>
                </c:pt>
                <c:pt idx="494">
                  <c:v>29.277777777777779</c:v>
                </c:pt>
                <c:pt idx="495">
                  <c:v>29.472222222222221</c:v>
                </c:pt>
                <c:pt idx="496">
                  <c:v>29.638888888888889</c:v>
                </c:pt>
                <c:pt idx="497">
                  <c:v>29.888888888888886</c:v>
                </c:pt>
                <c:pt idx="498">
                  <c:v>30.055555555555557</c:v>
                </c:pt>
                <c:pt idx="499">
                  <c:v>30.25</c:v>
                </c:pt>
                <c:pt idx="500">
                  <c:v>30.416666666666664</c:v>
                </c:pt>
                <c:pt idx="501">
                  <c:v>30.611111111111111</c:v>
                </c:pt>
                <c:pt idx="502">
                  <c:v>30.805555555555557</c:v>
                </c:pt>
                <c:pt idx="503">
                  <c:v>30.999999999999996</c:v>
                </c:pt>
                <c:pt idx="504">
                  <c:v>31.194444444444443</c:v>
                </c:pt>
                <c:pt idx="505">
                  <c:v>31.388888888888889</c:v>
                </c:pt>
                <c:pt idx="506">
                  <c:v>31.611111111111111</c:v>
                </c:pt>
                <c:pt idx="507">
                  <c:v>31.805555555555554</c:v>
                </c:pt>
                <c:pt idx="508">
                  <c:v>32</c:v>
                </c:pt>
                <c:pt idx="509">
                  <c:v>32.222222222222221</c:v>
                </c:pt>
                <c:pt idx="510">
                  <c:v>32.416666666666664</c:v>
                </c:pt>
                <c:pt idx="511">
                  <c:v>32.611111111111114</c:v>
                </c:pt>
                <c:pt idx="512">
                  <c:v>32.80555555555555</c:v>
                </c:pt>
                <c:pt idx="513">
                  <c:v>33</c:v>
                </c:pt>
                <c:pt idx="514">
                  <c:v>33.166666666666664</c:v>
                </c:pt>
                <c:pt idx="515">
                  <c:v>33.333333333333336</c:v>
                </c:pt>
                <c:pt idx="516">
                  <c:v>33.5</c:v>
                </c:pt>
                <c:pt idx="517">
                  <c:v>33.666666666666664</c:v>
                </c:pt>
                <c:pt idx="518">
                  <c:v>33.833333333333329</c:v>
                </c:pt>
                <c:pt idx="519">
                  <c:v>34</c:v>
                </c:pt>
                <c:pt idx="520">
                  <c:v>34.166666666666664</c:v>
                </c:pt>
                <c:pt idx="521">
                  <c:v>34.25</c:v>
                </c:pt>
                <c:pt idx="522">
                  <c:v>34.388888888888886</c:v>
                </c:pt>
                <c:pt idx="523">
                  <c:v>34.555555555555557</c:v>
                </c:pt>
                <c:pt idx="524">
                  <c:v>34.666666666666664</c:v>
                </c:pt>
                <c:pt idx="525">
                  <c:v>34.805555555555557</c:v>
                </c:pt>
                <c:pt idx="526">
                  <c:v>34.944444444444443</c:v>
                </c:pt>
                <c:pt idx="527">
                  <c:v>35.055555555555557</c:v>
                </c:pt>
                <c:pt idx="528">
                  <c:v>35.138888888888886</c:v>
                </c:pt>
                <c:pt idx="529">
                  <c:v>35.25</c:v>
                </c:pt>
                <c:pt idx="530">
                  <c:v>35.388888888888893</c:v>
                </c:pt>
                <c:pt idx="531">
                  <c:v>35.5</c:v>
                </c:pt>
                <c:pt idx="532">
                  <c:v>35.583333333333329</c:v>
                </c:pt>
                <c:pt idx="533">
                  <c:v>35.638888888888893</c:v>
                </c:pt>
                <c:pt idx="534">
                  <c:v>35.722222222222221</c:v>
                </c:pt>
                <c:pt idx="535">
                  <c:v>35.777777777777779</c:v>
                </c:pt>
                <c:pt idx="536">
                  <c:v>35.861111111111107</c:v>
                </c:pt>
                <c:pt idx="537">
                  <c:v>35.888888888888886</c:v>
                </c:pt>
                <c:pt idx="538">
                  <c:v>35.944444444444443</c:v>
                </c:pt>
                <c:pt idx="539">
                  <c:v>36</c:v>
                </c:pt>
                <c:pt idx="540">
                  <c:v>36.027777777777771</c:v>
                </c:pt>
                <c:pt idx="541">
                  <c:v>36.055555555555557</c:v>
                </c:pt>
                <c:pt idx="542">
                  <c:v>36.083333333333336</c:v>
                </c:pt>
                <c:pt idx="543">
                  <c:v>36.083333333333336</c:v>
                </c:pt>
                <c:pt idx="544">
                  <c:v>36.083333333333336</c:v>
                </c:pt>
                <c:pt idx="545">
                  <c:v>36.111111111111107</c:v>
                </c:pt>
                <c:pt idx="546">
                  <c:v>36.083333333333336</c:v>
                </c:pt>
                <c:pt idx="547">
                  <c:v>36.055555555555557</c:v>
                </c:pt>
                <c:pt idx="548">
                  <c:v>36.027777777777771</c:v>
                </c:pt>
                <c:pt idx="549">
                  <c:v>35.972222222222221</c:v>
                </c:pt>
                <c:pt idx="550">
                  <c:v>35.944444444444443</c:v>
                </c:pt>
                <c:pt idx="551">
                  <c:v>35.888888888888886</c:v>
                </c:pt>
                <c:pt idx="552">
                  <c:v>35.861111111111107</c:v>
                </c:pt>
                <c:pt idx="553">
                  <c:v>35.805555555555557</c:v>
                </c:pt>
                <c:pt idx="554">
                  <c:v>35.722222222222221</c:v>
                </c:pt>
                <c:pt idx="555">
                  <c:v>35.638888888888893</c:v>
                </c:pt>
                <c:pt idx="556">
                  <c:v>35.555555555555557</c:v>
                </c:pt>
                <c:pt idx="557">
                  <c:v>35.472222222222221</c:v>
                </c:pt>
                <c:pt idx="558">
                  <c:v>35.361111111111107</c:v>
                </c:pt>
                <c:pt idx="559">
                  <c:v>35.277777777777779</c:v>
                </c:pt>
                <c:pt idx="560">
                  <c:v>35.166666666666664</c:v>
                </c:pt>
                <c:pt idx="561">
                  <c:v>35.055555555555557</c:v>
                </c:pt>
                <c:pt idx="562">
                  <c:v>34.972222222222221</c:v>
                </c:pt>
                <c:pt idx="563">
                  <c:v>34.861111111111107</c:v>
                </c:pt>
                <c:pt idx="564">
                  <c:v>34.75</c:v>
                </c:pt>
                <c:pt idx="565">
                  <c:v>34.611111111111107</c:v>
                </c:pt>
                <c:pt idx="566">
                  <c:v>34.5</c:v>
                </c:pt>
                <c:pt idx="567">
                  <c:v>34.361111111111114</c:v>
                </c:pt>
                <c:pt idx="568">
                  <c:v>34.25</c:v>
                </c:pt>
                <c:pt idx="569">
                  <c:v>34.111111111111107</c:v>
                </c:pt>
                <c:pt idx="570">
                  <c:v>34.05555555555555</c:v>
                </c:pt>
                <c:pt idx="571">
                  <c:v>33.916666666666664</c:v>
                </c:pt>
                <c:pt idx="572">
                  <c:v>33.777777777777779</c:v>
                </c:pt>
                <c:pt idx="573">
                  <c:v>33.611111111111107</c:v>
                </c:pt>
                <c:pt idx="574">
                  <c:v>33.527777777777779</c:v>
                </c:pt>
                <c:pt idx="575">
                  <c:v>33.361111111111107</c:v>
                </c:pt>
                <c:pt idx="576">
                  <c:v>33.222222222222221</c:v>
                </c:pt>
                <c:pt idx="577">
                  <c:v>33.055555555555557</c:v>
                </c:pt>
                <c:pt idx="578">
                  <c:v>32.916666666666664</c:v>
                </c:pt>
                <c:pt idx="579">
                  <c:v>32.80555555555555</c:v>
                </c:pt>
                <c:pt idx="580">
                  <c:v>32.638888888888886</c:v>
                </c:pt>
                <c:pt idx="581">
                  <c:v>32.472222222222221</c:v>
                </c:pt>
                <c:pt idx="582">
                  <c:v>32.333333333333336</c:v>
                </c:pt>
                <c:pt idx="583">
                  <c:v>32.166666666666664</c:v>
                </c:pt>
                <c:pt idx="584">
                  <c:v>31.972222222222221</c:v>
                </c:pt>
                <c:pt idx="585">
                  <c:v>31.805555555555554</c:v>
                </c:pt>
                <c:pt idx="586">
                  <c:v>31.75</c:v>
                </c:pt>
                <c:pt idx="587">
                  <c:v>31.611111111111111</c:v>
                </c:pt>
                <c:pt idx="588">
                  <c:v>31.5</c:v>
                </c:pt>
                <c:pt idx="589">
                  <c:v>31.388888888888889</c:v>
                </c:pt>
                <c:pt idx="590">
                  <c:v>31.305555555555557</c:v>
                </c:pt>
                <c:pt idx="591">
                  <c:v>31.222222222222221</c:v>
                </c:pt>
                <c:pt idx="592">
                  <c:v>31.138888888888886</c:v>
                </c:pt>
                <c:pt idx="593">
                  <c:v>31.083333333333336</c:v>
                </c:pt>
                <c:pt idx="594">
                  <c:v>31.027777777777779</c:v>
                </c:pt>
                <c:pt idx="595">
                  <c:v>30.972222222222221</c:v>
                </c:pt>
                <c:pt idx="596">
                  <c:v>30.944444444444446</c:v>
                </c:pt>
                <c:pt idx="597">
                  <c:v>30.916666666666664</c:v>
                </c:pt>
                <c:pt idx="598">
                  <c:v>30.888888888888889</c:v>
                </c:pt>
                <c:pt idx="599">
                  <c:v>30.861111111111107</c:v>
                </c:pt>
                <c:pt idx="600">
                  <c:v>30.861111111111107</c:v>
                </c:pt>
                <c:pt idx="601">
                  <c:v>30.833333333333332</c:v>
                </c:pt>
                <c:pt idx="602">
                  <c:v>30.833333333333332</c:v>
                </c:pt>
                <c:pt idx="603">
                  <c:v>30.833333333333332</c:v>
                </c:pt>
                <c:pt idx="604">
                  <c:v>30.861111111111107</c:v>
                </c:pt>
                <c:pt idx="605">
                  <c:v>30.861111111111107</c:v>
                </c:pt>
                <c:pt idx="606">
                  <c:v>30.888888888888889</c:v>
                </c:pt>
                <c:pt idx="607">
                  <c:v>30.916666666666664</c:v>
                </c:pt>
                <c:pt idx="608">
                  <c:v>30.944444444444446</c:v>
                </c:pt>
                <c:pt idx="609">
                  <c:v>30.972222222222221</c:v>
                </c:pt>
                <c:pt idx="610">
                  <c:v>31.027777777777779</c:v>
                </c:pt>
                <c:pt idx="611">
                  <c:v>31.083333333333336</c:v>
                </c:pt>
                <c:pt idx="612">
                  <c:v>31.138888888888886</c:v>
                </c:pt>
                <c:pt idx="613">
                  <c:v>31.194444444444443</c:v>
                </c:pt>
                <c:pt idx="614">
                  <c:v>31.25</c:v>
                </c:pt>
                <c:pt idx="615">
                  <c:v>31.305555555555557</c:v>
                </c:pt>
                <c:pt idx="616">
                  <c:v>31.361111111111111</c:v>
                </c:pt>
                <c:pt idx="617">
                  <c:v>31.444444444444443</c:v>
                </c:pt>
                <c:pt idx="618">
                  <c:v>31.5</c:v>
                </c:pt>
                <c:pt idx="619">
                  <c:v>31.583333333333332</c:v>
                </c:pt>
                <c:pt idx="620">
                  <c:v>31.638888888888889</c:v>
                </c:pt>
                <c:pt idx="621">
                  <c:v>31.694444444444443</c:v>
                </c:pt>
                <c:pt idx="622">
                  <c:v>31.75</c:v>
                </c:pt>
                <c:pt idx="623">
                  <c:v>31.805555555555554</c:v>
                </c:pt>
                <c:pt idx="624">
                  <c:v>31.861111111111111</c:v>
                </c:pt>
                <c:pt idx="625">
                  <c:v>31.916666666666668</c:v>
                </c:pt>
                <c:pt idx="626">
                  <c:v>31.972222222222221</c:v>
                </c:pt>
                <c:pt idx="627">
                  <c:v>32.055555555555557</c:v>
                </c:pt>
                <c:pt idx="628">
                  <c:v>32.138888888888886</c:v>
                </c:pt>
                <c:pt idx="629">
                  <c:v>32.222222222222221</c:v>
                </c:pt>
                <c:pt idx="630">
                  <c:v>32.305555555555557</c:v>
                </c:pt>
                <c:pt idx="631">
                  <c:v>32.361111111111107</c:v>
                </c:pt>
                <c:pt idx="632">
                  <c:v>32.472222222222221</c:v>
                </c:pt>
                <c:pt idx="633">
                  <c:v>32.555555555555557</c:v>
                </c:pt>
                <c:pt idx="634">
                  <c:v>32.666666666666664</c:v>
                </c:pt>
                <c:pt idx="635">
                  <c:v>32.777777777777779</c:v>
                </c:pt>
                <c:pt idx="636">
                  <c:v>32.861111111111107</c:v>
                </c:pt>
                <c:pt idx="637">
                  <c:v>32.972222222222221</c:v>
                </c:pt>
                <c:pt idx="638">
                  <c:v>33.083333333333329</c:v>
                </c:pt>
                <c:pt idx="639">
                  <c:v>33.194444444444443</c:v>
                </c:pt>
                <c:pt idx="640">
                  <c:v>33.25</c:v>
                </c:pt>
                <c:pt idx="641">
                  <c:v>33.361111111111107</c:v>
                </c:pt>
                <c:pt idx="642">
                  <c:v>33.472222222222221</c:v>
                </c:pt>
                <c:pt idx="643">
                  <c:v>33.583333333333336</c:v>
                </c:pt>
                <c:pt idx="644">
                  <c:v>33.638888888888886</c:v>
                </c:pt>
                <c:pt idx="645">
                  <c:v>33.75</c:v>
                </c:pt>
                <c:pt idx="646">
                  <c:v>33.833333333333329</c:v>
                </c:pt>
                <c:pt idx="647">
                  <c:v>33.944444444444443</c:v>
                </c:pt>
                <c:pt idx="648">
                  <c:v>34.027777777777779</c:v>
                </c:pt>
                <c:pt idx="649">
                  <c:v>34.111111111111107</c:v>
                </c:pt>
                <c:pt idx="650">
                  <c:v>34.222222222222221</c:v>
                </c:pt>
                <c:pt idx="651">
                  <c:v>34.305555555555557</c:v>
                </c:pt>
                <c:pt idx="652">
                  <c:v>34.388888888888886</c:v>
                </c:pt>
                <c:pt idx="653">
                  <c:v>34.5</c:v>
                </c:pt>
                <c:pt idx="654">
                  <c:v>34.611111111111107</c:v>
                </c:pt>
                <c:pt idx="655">
                  <c:v>34.666666666666664</c:v>
                </c:pt>
                <c:pt idx="656">
                  <c:v>34.75</c:v>
                </c:pt>
                <c:pt idx="657">
                  <c:v>34.833333333333336</c:v>
                </c:pt>
                <c:pt idx="658">
                  <c:v>34.888888888888886</c:v>
                </c:pt>
                <c:pt idx="659">
                  <c:v>34.972222222222221</c:v>
                </c:pt>
                <c:pt idx="660">
                  <c:v>35.027777777777779</c:v>
                </c:pt>
                <c:pt idx="661">
                  <c:v>35.083333333333329</c:v>
                </c:pt>
                <c:pt idx="662">
                  <c:v>35.166666666666664</c:v>
                </c:pt>
                <c:pt idx="663">
                  <c:v>35.222222222222221</c:v>
                </c:pt>
                <c:pt idx="664">
                  <c:v>35.277777777777779</c:v>
                </c:pt>
                <c:pt idx="665">
                  <c:v>35.361111111111107</c:v>
                </c:pt>
                <c:pt idx="666">
                  <c:v>35.388888888888893</c:v>
                </c:pt>
                <c:pt idx="667">
                  <c:v>35.472222222222221</c:v>
                </c:pt>
                <c:pt idx="668">
                  <c:v>35.527777777777779</c:v>
                </c:pt>
                <c:pt idx="669">
                  <c:v>35.611111111111107</c:v>
                </c:pt>
                <c:pt idx="670">
                  <c:v>35.666666666666664</c:v>
                </c:pt>
                <c:pt idx="671">
                  <c:v>35.722222222222221</c:v>
                </c:pt>
                <c:pt idx="672">
                  <c:v>35.833333333333336</c:v>
                </c:pt>
                <c:pt idx="673">
                  <c:v>35.888888888888886</c:v>
                </c:pt>
                <c:pt idx="674">
                  <c:v>35.972222222222221</c:v>
                </c:pt>
                <c:pt idx="675">
                  <c:v>36.083333333333336</c:v>
                </c:pt>
                <c:pt idx="676">
                  <c:v>36.138888888888886</c:v>
                </c:pt>
                <c:pt idx="677">
                  <c:v>36.25</c:v>
                </c:pt>
                <c:pt idx="678">
                  <c:v>36.30555555555555</c:v>
                </c:pt>
                <c:pt idx="679">
                  <c:v>36.416666666666664</c:v>
                </c:pt>
                <c:pt idx="680">
                  <c:v>36.472222222222221</c:v>
                </c:pt>
                <c:pt idx="681">
                  <c:v>36.55555555555555</c:v>
                </c:pt>
                <c:pt idx="682">
                  <c:v>36.638888888888893</c:v>
                </c:pt>
                <c:pt idx="683">
                  <c:v>36.722222222222221</c:v>
                </c:pt>
                <c:pt idx="684">
                  <c:v>36.833333333333329</c:v>
                </c:pt>
                <c:pt idx="685">
                  <c:v>36.888888888888893</c:v>
                </c:pt>
                <c:pt idx="686">
                  <c:v>36.999999999999993</c:v>
                </c:pt>
                <c:pt idx="687">
                  <c:v>37.055555555555557</c:v>
                </c:pt>
                <c:pt idx="688">
                  <c:v>37.166666666666671</c:v>
                </c:pt>
                <c:pt idx="689">
                  <c:v>37.25</c:v>
                </c:pt>
                <c:pt idx="690">
                  <c:v>37.333333333333336</c:v>
                </c:pt>
                <c:pt idx="691">
                  <c:v>37.416666666666664</c:v>
                </c:pt>
                <c:pt idx="692">
                  <c:v>37.527777777777779</c:v>
                </c:pt>
                <c:pt idx="693">
                  <c:v>37.583333333333336</c:v>
                </c:pt>
                <c:pt idx="694">
                  <c:v>37.694444444444443</c:v>
                </c:pt>
                <c:pt idx="695">
                  <c:v>37.777777777777779</c:v>
                </c:pt>
                <c:pt idx="696">
                  <c:v>37.833333333333329</c:v>
                </c:pt>
                <c:pt idx="697">
                  <c:v>37.916666666666664</c:v>
                </c:pt>
                <c:pt idx="698">
                  <c:v>38</c:v>
                </c:pt>
                <c:pt idx="699">
                  <c:v>38.083333333333329</c:v>
                </c:pt>
                <c:pt idx="700">
                  <c:v>38.138888888888893</c:v>
                </c:pt>
                <c:pt idx="701">
                  <c:v>38.222222222222221</c:v>
                </c:pt>
                <c:pt idx="702">
                  <c:v>38.277777777777779</c:v>
                </c:pt>
                <c:pt idx="703">
                  <c:v>38.388888888888886</c:v>
                </c:pt>
                <c:pt idx="704">
                  <c:v>38.444444444444443</c:v>
                </c:pt>
                <c:pt idx="705">
                  <c:v>38.5</c:v>
                </c:pt>
                <c:pt idx="706">
                  <c:v>38.583333333333336</c:v>
                </c:pt>
                <c:pt idx="707">
                  <c:v>38.638888888888886</c:v>
                </c:pt>
                <c:pt idx="708">
                  <c:v>38.722222222222221</c:v>
                </c:pt>
                <c:pt idx="709">
                  <c:v>38.777777777777779</c:v>
                </c:pt>
                <c:pt idx="710">
                  <c:v>38.833333333333336</c:v>
                </c:pt>
                <c:pt idx="711">
                  <c:v>38.944444444444443</c:v>
                </c:pt>
                <c:pt idx="712">
                  <c:v>39.027777777777779</c:v>
                </c:pt>
                <c:pt idx="713">
                  <c:v>39.111111111111114</c:v>
                </c:pt>
                <c:pt idx="714">
                  <c:v>39.222222222222221</c:v>
                </c:pt>
                <c:pt idx="715">
                  <c:v>39.305555555555557</c:v>
                </c:pt>
                <c:pt idx="716">
                  <c:v>39.444444444444443</c:v>
                </c:pt>
                <c:pt idx="717">
                  <c:v>39.527777777777779</c:v>
                </c:pt>
                <c:pt idx="718">
                  <c:v>39.611111111111107</c:v>
                </c:pt>
                <c:pt idx="719">
                  <c:v>39.75</c:v>
                </c:pt>
                <c:pt idx="720">
                  <c:v>39.861111111111107</c:v>
                </c:pt>
                <c:pt idx="721">
                  <c:v>39.94444444444445</c:v>
                </c:pt>
                <c:pt idx="722">
                  <c:v>40.083333333333336</c:v>
                </c:pt>
                <c:pt idx="723">
                  <c:v>40.166666666666664</c:v>
                </c:pt>
                <c:pt idx="724">
                  <c:v>40.277777777777779</c:v>
                </c:pt>
                <c:pt idx="725">
                  <c:v>40.361111111111114</c:v>
                </c:pt>
                <c:pt idx="726">
                  <c:v>40.5</c:v>
                </c:pt>
                <c:pt idx="727">
                  <c:v>40.611111111111107</c:v>
                </c:pt>
                <c:pt idx="728">
                  <c:v>40.694444444444443</c:v>
                </c:pt>
                <c:pt idx="729">
                  <c:v>40.833333333333336</c:v>
                </c:pt>
                <c:pt idx="730">
                  <c:v>40.916666666666671</c:v>
                </c:pt>
                <c:pt idx="731">
                  <c:v>41</c:v>
                </c:pt>
                <c:pt idx="732">
                  <c:v>41.138888888888886</c:v>
                </c:pt>
                <c:pt idx="733">
                  <c:v>41.222222222222221</c:v>
                </c:pt>
                <c:pt idx="734">
                  <c:v>41.30555555555555</c:v>
                </c:pt>
                <c:pt idx="735">
                  <c:v>41.388888888888886</c:v>
                </c:pt>
                <c:pt idx="736">
                  <c:v>41.527777777777779</c:v>
                </c:pt>
                <c:pt idx="737">
                  <c:v>41.611111111111114</c:v>
                </c:pt>
                <c:pt idx="738">
                  <c:v>41.666666666666664</c:v>
                </c:pt>
                <c:pt idx="739">
                  <c:v>41.75</c:v>
                </c:pt>
                <c:pt idx="740">
                  <c:v>41.861111111111107</c:v>
                </c:pt>
                <c:pt idx="741">
                  <c:v>41.944444444444443</c:v>
                </c:pt>
                <c:pt idx="742">
                  <c:v>41.999999999999993</c:v>
                </c:pt>
                <c:pt idx="743">
                  <c:v>42.083333333333336</c:v>
                </c:pt>
                <c:pt idx="744">
                  <c:v>42.194444444444443</c:v>
                </c:pt>
                <c:pt idx="745">
                  <c:v>42.25</c:v>
                </c:pt>
                <c:pt idx="746">
                  <c:v>42.305555555555557</c:v>
                </c:pt>
                <c:pt idx="747">
                  <c:v>42.388888888888886</c:v>
                </c:pt>
                <c:pt idx="748">
                  <c:v>42.472222222222221</c:v>
                </c:pt>
                <c:pt idx="749">
                  <c:v>42.527777777777779</c:v>
                </c:pt>
                <c:pt idx="750">
                  <c:v>42.583333333333336</c:v>
                </c:pt>
                <c:pt idx="751">
                  <c:v>42.611111111111114</c:v>
                </c:pt>
                <c:pt idx="752">
                  <c:v>42.666666666666664</c:v>
                </c:pt>
                <c:pt idx="753">
                  <c:v>42.694444444444443</c:v>
                </c:pt>
                <c:pt idx="754">
                  <c:v>42.75</c:v>
                </c:pt>
                <c:pt idx="755">
                  <c:v>42.777777777777779</c:v>
                </c:pt>
                <c:pt idx="756">
                  <c:v>42.80555555555555</c:v>
                </c:pt>
                <c:pt idx="757">
                  <c:v>42.833333333333329</c:v>
                </c:pt>
                <c:pt idx="758">
                  <c:v>42.861111111111114</c:v>
                </c:pt>
                <c:pt idx="759">
                  <c:v>42.861111111111114</c:v>
                </c:pt>
                <c:pt idx="760">
                  <c:v>42.861111111111114</c:v>
                </c:pt>
                <c:pt idx="761">
                  <c:v>42.861111111111114</c:v>
                </c:pt>
                <c:pt idx="762">
                  <c:v>42.861111111111114</c:v>
                </c:pt>
                <c:pt idx="763">
                  <c:v>42.861111111111114</c:v>
                </c:pt>
                <c:pt idx="764">
                  <c:v>42.833333333333329</c:v>
                </c:pt>
                <c:pt idx="765">
                  <c:v>42.777777777777779</c:v>
                </c:pt>
                <c:pt idx="766">
                  <c:v>42.722222222222221</c:v>
                </c:pt>
                <c:pt idx="767">
                  <c:v>42.666666666666664</c:v>
                </c:pt>
                <c:pt idx="768">
                  <c:v>42.611111111111114</c:v>
                </c:pt>
                <c:pt idx="769">
                  <c:v>42.5</c:v>
                </c:pt>
                <c:pt idx="770">
                  <c:v>42.44444444444445</c:v>
                </c:pt>
                <c:pt idx="771">
                  <c:v>42.361111111111107</c:v>
                </c:pt>
                <c:pt idx="772">
                  <c:v>42.277777777777771</c:v>
                </c:pt>
                <c:pt idx="773">
                  <c:v>42.138888888888886</c:v>
                </c:pt>
                <c:pt idx="774">
                  <c:v>42.027777777777779</c:v>
                </c:pt>
                <c:pt idx="775">
                  <c:v>41.916666666666664</c:v>
                </c:pt>
                <c:pt idx="776">
                  <c:v>41.777777777777779</c:v>
                </c:pt>
                <c:pt idx="777">
                  <c:v>41.638888888888893</c:v>
                </c:pt>
                <c:pt idx="778">
                  <c:v>41.527777777777779</c:v>
                </c:pt>
                <c:pt idx="779">
                  <c:v>41.30555555555555</c:v>
                </c:pt>
                <c:pt idx="780">
                  <c:v>41.19444444444445</c:v>
                </c:pt>
                <c:pt idx="781">
                  <c:v>41.055555555555557</c:v>
                </c:pt>
                <c:pt idx="782">
                  <c:v>40.861111111111107</c:v>
                </c:pt>
                <c:pt idx="783">
                  <c:v>40.749999999999993</c:v>
                </c:pt>
                <c:pt idx="784">
                  <c:v>40.583333333333329</c:v>
                </c:pt>
                <c:pt idx="785">
                  <c:v>40.444444444444443</c:v>
                </c:pt>
                <c:pt idx="786">
                  <c:v>40.30555555555555</c:v>
                </c:pt>
                <c:pt idx="787">
                  <c:v>40.111111111111114</c:v>
                </c:pt>
                <c:pt idx="788">
                  <c:v>39.972222222222221</c:v>
                </c:pt>
                <c:pt idx="789">
                  <c:v>39.777777777777771</c:v>
                </c:pt>
                <c:pt idx="790">
                  <c:v>39.611111111111107</c:v>
                </c:pt>
                <c:pt idx="791">
                  <c:v>39.388888888888893</c:v>
                </c:pt>
                <c:pt idx="792">
                  <c:v>39.222222222222221</c:v>
                </c:pt>
                <c:pt idx="793">
                  <c:v>39</c:v>
                </c:pt>
                <c:pt idx="794">
                  <c:v>38.833333333333336</c:v>
                </c:pt>
                <c:pt idx="795">
                  <c:v>38.611111111111107</c:v>
                </c:pt>
                <c:pt idx="796">
                  <c:v>38.444444444444443</c:v>
                </c:pt>
                <c:pt idx="797">
                  <c:v>38.222222222222221</c:v>
                </c:pt>
                <c:pt idx="798">
                  <c:v>38.027777777777779</c:v>
                </c:pt>
                <c:pt idx="799">
                  <c:v>37.777777777777779</c:v>
                </c:pt>
                <c:pt idx="800">
                  <c:v>37.611111111111114</c:v>
                </c:pt>
                <c:pt idx="801">
                  <c:v>37.361111111111107</c:v>
                </c:pt>
                <c:pt idx="802">
                  <c:v>37.194444444444443</c:v>
                </c:pt>
                <c:pt idx="803">
                  <c:v>36.972222222222221</c:v>
                </c:pt>
                <c:pt idx="804">
                  <c:v>36.805555555555557</c:v>
                </c:pt>
                <c:pt idx="805">
                  <c:v>36.583333333333329</c:v>
                </c:pt>
                <c:pt idx="806">
                  <c:v>36.388888888888886</c:v>
                </c:pt>
                <c:pt idx="807">
                  <c:v>36.25</c:v>
                </c:pt>
                <c:pt idx="808">
                  <c:v>36.055555555555557</c:v>
                </c:pt>
                <c:pt idx="809">
                  <c:v>35.916666666666671</c:v>
                </c:pt>
                <c:pt idx="810">
                  <c:v>35.749999999999993</c:v>
                </c:pt>
                <c:pt idx="811">
                  <c:v>35.583333333333329</c:v>
                </c:pt>
                <c:pt idx="812">
                  <c:v>35.444444444444443</c:v>
                </c:pt>
                <c:pt idx="813">
                  <c:v>35.277777777777779</c:v>
                </c:pt>
                <c:pt idx="814">
                  <c:v>35.111111111111114</c:v>
                </c:pt>
                <c:pt idx="815">
                  <c:v>35</c:v>
                </c:pt>
                <c:pt idx="816">
                  <c:v>34.805555555555557</c:v>
                </c:pt>
                <c:pt idx="817">
                  <c:v>34.638888888888886</c:v>
                </c:pt>
                <c:pt idx="818">
                  <c:v>34.527777777777779</c:v>
                </c:pt>
                <c:pt idx="819">
                  <c:v>34.361111111111114</c:v>
                </c:pt>
                <c:pt idx="820">
                  <c:v>34.194444444444443</c:v>
                </c:pt>
                <c:pt idx="821">
                  <c:v>34.05555555555555</c:v>
                </c:pt>
                <c:pt idx="822">
                  <c:v>33.972222222222221</c:v>
                </c:pt>
                <c:pt idx="823">
                  <c:v>33.833333333333329</c:v>
                </c:pt>
                <c:pt idx="824">
                  <c:v>33.694444444444443</c:v>
                </c:pt>
                <c:pt idx="825">
                  <c:v>33.611111111111107</c:v>
                </c:pt>
                <c:pt idx="826">
                  <c:v>33.472222222222221</c:v>
                </c:pt>
                <c:pt idx="827">
                  <c:v>33.361111111111107</c:v>
                </c:pt>
                <c:pt idx="828">
                  <c:v>33.222222222222221</c:v>
                </c:pt>
                <c:pt idx="829">
                  <c:v>33.083333333333329</c:v>
                </c:pt>
                <c:pt idx="830">
                  <c:v>33</c:v>
                </c:pt>
                <c:pt idx="831">
                  <c:v>32.888888888888893</c:v>
                </c:pt>
                <c:pt idx="832">
                  <c:v>32.777777777777779</c:v>
                </c:pt>
                <c:pt idx="833">
                  <c:v>32.638888888888886</c:v>
                </c:pt>
                <c:pt idx="834">
                  <c:v>32.527777777777779</c:v>
                </c:pt>
                <c:pt idx="835">
                  <c:v>32.472222222222221</c:v>
                </c:pt>
                <c:pt idx="836">
                  <c:v>32.333333333333336</c:v>
                </c:pt>
                <c:pt idx="837">
                  <c:v>32.222222222222221</c:v>
                </c:pt>
                <c:pt idx="838">
                  <c:v>32.083333333333336</c:v>
                </c:pt>
                <c:pt idx="839">
                  <c:v>32</c:v>
                </c:pt>
                <c:pt idx="840">
                  <c:v>31.916666666666668</c:v>
                </c:pt>
                <c:pt idx="841">
                  <c:v>31.833333333333332</c:v>
                </c:pt>
                <c:pt idx="842">
                  <c:v>31.777777777777779</c:v>
                </c:pt>
                <c:pt idx="843">
                  <c:v>31.722222222222221</c:v>
                </c:pt>
                <c:pt idx="844">
                  <c:v>31.666666666666664</c:v>
                </c:pt>
                <c:pt idx="845">
                  <c:v>31.611111111111111</c:v>
                </c:pt>
                <c:pt idx="846">
                  <c:v>31.611111111111111</c:v>
                </c:pt>
                <c:pt idx="847">
                  <c:v>31.611111111111111</c:v>
                </c:pt>
                <c:pt idx="848">
                  <c:v>31.611111111111111</c:v>
                </c:pt>
                <c:pt idx="849">
                  <c:v>31.611111111111111</c:v>
                </c:pt>
                <c:pt idx="850">
                  <c:v>31.611111111111111</c:v>
                </c:pt>
                <c:pt idx="851">
                  <c:v>31.638888888888889</c:v>
                </c:pt>
                <c:pt idx="852">
                  <c:v>31.638888888888889</c:v>
                </c:pt>
                <c:pt idx="853">
                  <c:v>31.666666666666664</c:v>
                </c:pt>
                <c:pt idx="854">
                  <c:v>31.694444444444443</c:v>
                </c:pt>
                <c:pt idx="855">
                  <c:v>31.722222222222221</c:v>
                </c:pt>
                <c:pt idx="856">
                  <c:v>31.75</c:v>
                </c:pt>
                <c:pt idx="857">
                  <c:v>31.777777777777779</c:v>
                </c:pt>
                <c:pt idx="858">
                  <c:v>31.833333333333332</c:v>
                </c:pt>
                <c:pt idx="859">
                  <c:v>31.861111111111111</c:v>
                </c:pt>
                <c:pt idx="860">
                  <c:v>31.888888888888886</c:v>
                </c:pt>
                <c:pt idx="861">
                  <c:v>31.944444444444443</c:v>
                </c:pt>
                <c:pt idx="862">
                  <c:v>31.972222222222221</c:v>
                </c:pt>
                <c:pt idx="863">
                  <c:v>32.027777777777779</c:v>
                </c:pt>
                <c:pt idx="864">
                  <c:v>32.083333333333336</c:v>
                </c:pt>
                <c:pt idx="865">
                  <c:v>32.166666666666664</c:v>
                </c:pt>
                <c:pt idx="866">
                  <c:v>32.222222222222221</c:v>
                </c:pt>
                <c:pt idx="867">
                  <c:v>32.305555555555557</c:v>
                </c:pt>
                <c:pt idx="868">
                  <c:v>32.361111111111107</c:v>
                </c:pt>
                <c:pt idx="869">
                  <c:v>32.444444444444443</c:v>
                </c:pt>
                <c:pt idx="870">
                  <c:v>32.555555555555557</c:v>
                </c:pt>
                <c:pt idx="871">
                  <c:v>32.666666666666664</c:v>
                </c:pt>
                <c:pt idx="872">
                  <c:v>32.722222222222221</c:v>
                </c:pt>
                <c:pt idx="873">
                  <c:v>32.833333333333336</c:v>
                </c:pt>
                <c:pt idx="874">
                  <c:v>32.944444444444443</c:v>
                </c:pt>
                <c:pt idx="875">
                  <c:v>33.055555555555557</c:v>
                </c:pt>
                <c:pt idx="876">
                  <c:v>33.138888888888886</c:v>
                </c:pt>
                <c:pt idx="877">
                  <c:v>33.222222222222221</c:v>
                </c:pt>
                <c:pt idx="878">
                  <c:v>33.333333333333336</c:v>
                </c:pt>
                <c:pt idx="879">
                  <c:v>33.444444444444443</c:v>
                </c:pt>
                <c:pt idx="880">
                  <c:v>33.555555555555557</c:v>
                </c:pt>
                <c:pt idx="881">
                  <c:v>33.611111111111107</c:v>
                </c:pt>
                <c:pt idx="882">
                  <c:v>33.722222222222221</c:v>
                </c:pt>
                <c:pt idx="883">
                  <c:v>33.833333333333329</c:v>
                </c:pt>
                <c:pt idx="884">
                  <c:v>33.888888888888886</c:v>
                </c:pt>
                <c:pt idx="885">
                  <c:v>34</c:v>
                </c:pt>
                <c:pt idx="886">
                  <c:v>34.111111111111107</c:v>
                </c:pt>
                <c:pt idx="887">
                  <c:v>34.222222222222221</c:v>
                </c:pt>
                <c:pt idx="888">
                  <c:v>34.277777777777779</c:v>
                </c:pt>
                <c:pt idx="889">
                  <c:v>34.388888888888886</c:v>
                </c:pt>
                <c:pt idx="890">
                  <c:v>34.5</c:v>
                </c:pt>
                <c:pt idx="891">
                  <c:v>34.555555555555557</c:v>
                </c:pt>
                <c:pt idx="892">
                  <c:v>34.666666666666664</c:v>
                </c:pt>
                <c:pt idx="893">
                  <c:v>34.722222222222221</c:v>
                </c:pt>
                <c:pt idx="894">
                  <c:v>34.777777777777779</c:v>
                </c:pt>
                <c:pt idx="895">
                  <c:v>34.861111111111107</c:v>
                </c:pt>
                <c:pt idx="896">
                  <c:v>34.944444444444443</c:v>
                </c:pt>
                <c:pt idx="897">
                  <c:v>35</c:v>
                </c:pt>
                <c:pt idx="898">
                  <c:v>35.083333333333329</c:v>
                </c:pt>
                <c:pt idx="899">
                  <c:v>35.166666666666664</c:v>
                </c:pt>
                <c:pt idx="900">
                  <c:v>35.25</c:v>
                </c:pt>
                <c:pt idx="901">
                  <c:v>35.333333333333336</c:v>
                </c:pt>
                <c:pt idx="902">
                  <c:v>35.416666666666664</c:v>
                </c:pt>
                <c:pt idx="903">
                  <c:v>35.5</c:v>
                </c:pt>
                <c:pt idx="904">
                  <c:v>35.611111111111107</c:v>
                </c:pt>
                <c:pt idx="905">
                  <c:v>35.666666666666664</c:v>
                </c:pt>
                <c:pt idx="906">
                  <c:v>35.777777777777779</c:v>
                </c:pt>
                <c:pt idx="907">
                  <c:v>35.888888888888886</c:v>
                </c:pt>
                <c:pt idx="908">
                  <c:v>35.972222222222221</c:v>
                </c:pt>
                <c:pt idx="909">
                  <c:v>36.083333333333336</c:v>
                </c:pt>
                <c:pt idx="910">
                  <c:v>36.166666666666664</c:v>
                </c:pt>
                <c:pt idx="911">
                  <c:v>36.30555555555555</c:v>
                </c:pt>
                <c:pt idx="912">
                  <c:v>36.388888888888886</c:v>
                </c:pt>
                <c:pt idx="913">
                  <c:v>36.5</c:v>
                </c:pt>
                <c:pt idx="914">
                  <c:v>36.611111111111114</c:v>
                </c:pt>
                <c:pt idx="915">
                  <c:v>36.694444444444443</c:v>
                </c:pt>
                <c:pt idx="916">
                  <c:v>36.805555555555557</c:v>
                </c:pt>
                <c:pt idx="917">
                  <c:v>36.888888888888893</c:v>
                </c:pt>
                <c:pt idx="918">
                  <c:v>36.999999999999993</c:v>
                </c:pt>
                <c:pt idx="919">
                  <c:v>37.083333333333336</c:v>
                </c:pt>
                <c:pt idx="920">
                  <c:v>37.222222222222221</c:v>
                </c:pt>
                <c:pt idx="921">
                  <c:v>37.305555555555557</c:v>
                </c:pt>
                <c:pt idx="922">
                  <c:v>37.44444444444445</c:v>
                </c:pt>
                <c:pt idx="923">
                  <c:v>37.527777777777779</c:v>
                </c:pt>
                <c:pt idx="924">
                  <c:v>37.666666666666664</c:v>
                </c:pt>
                <c:pt idx="925">
                  <c:v>37.75</c:v>
                </c:pt>
                <c:pt idx="926">
                  <c:v>37.888888888888893</c:v>
                </c:pt>
                <c:pt idx="927">
                  <c:v>38</c:v>
                </c:pt>
                <c:pt idx="928">
                  <c:v>38.138888888888893</c:v>
                </c:pt>
                <c:pt idx="929">
                  <c:v>38.249999999999993</c:v>
                </c:pt>
                <c:pt idx="930">
                  <c:v>38.361111111111107</c:v>
                </c:pt>
                <c:pt idx="931">
                  <c:v>38.5</c:v>
                </c:pt>
                <c:pt idx="932">
                  <c:v>38.583333333333336</c:v>
                </c:pt>
                <c:pt idx="933">
                  <c:v>38.722222222222221</c:v>
                </c:pt>
                <c:pt idx="934">
                  <c:v>38.80555555555555</c:v>
                </c:pt>
                <c:pt idx="935">
                  <c:v>38.944444444444443</c:v>
                </c:pt>
                <c:pt idx="936">
                  <c:v>39.027777777777779</c:v>
                </c:pt>
                <c:pt idx="937">
                  <c:v>39.138888888888893</c:v>
                </c:pt>
                <c:pt idx="938">
                  <c:v>39.277777777777779</c:v>
                </c:pt>
                <c:pt idx="939">
                  <c:v>39.361111111111107</c:v>
                </c:pt>
                <c:pt idx="940">
                  <c:v>39.527777777777779</c:v>
                </c:pt>
                <c:pt idx="941">
                  <c:v>39.611111111111107</c:v>
                </c:pt>
                <c:pt idx="942">
                  <c:v>39.722222222222221</c:v>
                </c:pt>
                <c:pt idx="943">
                  <c:v>39.861111111111107</c:v>
                </c:pt>
                <c:pt idx="944">
                  <c:v>39.972222222222221</c:v>
                </c:pt>
                <c:pt idx="945">
                  <c:v>40.111111111111114</c:v>
                </c:pt>
                <c:pt idx="946">
                  <c:v>40.222222222222221</c:v>
                </c:pt>
                <c:pt idx="947">
                  <c:v>40.30555555555555</c:v>
                </c:pt>
                <c:pt idx="948">
                  <c:v>40.472222222222221</c:v>
                </c:pt>
                <c:pt idx="949">
                  <c:v>40.611111111111107</c:v>
                </c:pt>
                <c:pt idx="950">
                  <c:v>40.722222222222221</c:v>
                </c:pt>
                <c:pt idx="951">
                  <c:v>40.888888888888886</c:v>
                </c:pt>
                <c:pt idx="952">
                  <c:v>41.027777777777771</c:v>
                </c:pt>
                <c:pt idx="953">
                  <c:v>41.138888888888886</c:v>
                </c:pt>
                <c:pt idx="954">
                  <c:v>41.25</c:v>
                </c:pt>
                <c:pt idx="955">
                  <c:v>41.416666666666664</c:v>
                </c:pt>
                <c:pt idx="956">
                  <c:v>41.527777777777779</c:v>
                </c:pt>
                <c:pt idx="957">
                  <c:v>41.638888888888893</c:v>
                </c:pt>
                <c:pt idx="958">
                  <c:v>41.805555555555557</c:v>
                </c:pt>
                <c:pt idx="959">
                  <c:v>41.916666666666664</c:v>
                </c:pt>
                <c:pt idx="960">
                  <c:v>42.027777777777779</c:v>
                </c:pt>
                <c:pt idx="961">
                  <c:v>42.138888888888886</c:v>
                </c:pt>
                <c:pt idx="962">
                  <c:v>42.305555555555557</c:v>
                </c:pt>
                <c:pt idx="963">
                  <c:v>42.416666666666664</c:v>
                </c:pt>
                <c:pt idx="964">
                  <c:v>42.527777777777779</c:v>
                </c:pt>
                <c:pt idx="965">
                  <c:v>42.638888888888886</c:v>
                </c:pt>
                <c:pt idx="966">
                  <c:v>42.777777777777779</c:v>
                </c:pt>
                <c:pt idx="967">
                  <c:v>42.888888888888893</c:v>
                </c:pt>
                <c:pt idx="968">
                  <c:v>43</c:v>
                </c:pt>
                <c:pt idx="969">
                  <c:v>43.083333333333329</c:v>
                </c:pt>
                <c:pt idx="970">
                  <c:v>43.222222222222221</c:v>
                </c:pt>
                <c:pt idx="971">
                  <c:v>43.333333333333336</c:v>
                </c:pt>
                <c:pt idx="972">
                  <c:v>43.444444444444443</c:v>
                </c:pt>
                <c:pt idx="973">
                  <c:v>43.527777777777771</c:v>
                </c:pt>
                <c:pt idx="974">
                  <c:v>43.638888888888886</c:v>
                </c:pt>
                <c:pt idx="975">
                  <c:v>43.75</c:v>
                </c:pt>
                <c:pt idx="976">
                  <c:v>43.833333333333336</c:v>
                </c:pt>
                <c:pt idx="977">
                  <c:v>43.916666666666664</c:v>
                </c:pt>
                <c:pt idx="978">
                  <c:v>44</c:v>
                </c:pt>
                <c:pt idx="979">
                  <c:v>44.083333333333329</c:v>
                </c:pt>
                <c:pt idx="980">
                  <c:v>44.194444444444443</c:v>
                </c:pt>
                <c:pt idx="981">
                  <c:v>44.305555555555557</c:v>
                </c:pt>
                <c:pt idx="982">
                  <c:v>44.388888888888893</c:v>
                </c:pt>
                <c:pt idx="983">
                  <c:v>44.472222222222221</c:v>
                </c:pt>
                <c:pt idx="984">
                  <c:v>44.555555555555557</c:v>
                </c:pt>
                <c:pt idx="985">
                  <c:v>44.666666666666671</c:v>
                </c:pt>
                <c:pt idx="986">
                  <c:v>44.777777777777771</c:v>
                </c:pt>
                <c:pt idx="987">
                  <c:v>44.888888888888886</c:v>
                </c:pt>
                <c:pt idx="988">
                  <c:v>44.972222222222221</c:v>
                </c:pt>
                <c:pt idx="989">
                  <c:v>45.083333333333336</c:v>
                </c:pt>
                <c:pt idx="990">
                  <c:v>45.166666666666664</c:v>
                </c:pt>
                <c:pt idx="991">
                  <c:v>45.25</c:v>
                </c:pt>
                <c:pt idx="992">
                  <c:v>45.361111111111114</c:v>
                </c:pt>
                <c:pt idx="993">
                  <c:v>45.5</c:v>
                </c:pt>
                <c:pt idx="994">
                  <c:v>45.611111111111107</c:v>
                </c:pt>
                <c:pt idx="995">
                  <c:v>45.722222222222221</c:v>
                </c:pt>
                <c:pt idx="996">
                  <c:v>45.833333333333336</c:v>
                </c:pt>
                <c:pt idx="997">
                  <c:v>45.944444444444443</c:v>
                </c:pt>
                <c:pt idx="998">
                  <c:v>46.055555555555557</c:v>
                </c:pt>
                <c:pt idx="999">
                  <c:v>46.166666666666664</c:v>
                </c:pt>
                <c:pt idx="1000">
                  <c:v>46.25</c:v>
                </c:pt>
                <c:pt idx="1001">
                  <c:v>46.416666666666664</c:v>
                </c:pt>
                <c:pt idx="1002">
                  <c:v>46.5</c:v>
                </c:pt>
                <c:pt idx="1003">
                  <c:v>46.611111111111114</c:v>
                </c:pt>
                <c:pt idx="1004">
                  <c:v>46.694444444444443</c:v>
                </c:pt>
                <c:pt idx="1005">
                  <c:v>46.777777777777779</c:v>
                </c:pt>
                <c:pt idx="1006">
                  <c:v>46.888888888888893</c:v>
                </c:pt>
                <c:pt idx="1007">
                  <c:v>46.972222222222221</c:v>
                </c:pt>
                <c:pt idx="1008">
                  <c:v>47.027777777777779</c:v>
                </c:pt>
                <c:pt idx="1009">
                  <c:v>47.083333333333336</c:v>
                </c:pt>
                <c:pt idx="1010">
                  <c:v>47.166666666666671</c:v>
                </c:pt>
                <c:pt idx="1011">
                  <c:v>47.222222222222221</c:v>
                </c:pt>
                <c:pt idx="1012">
                  <c:v>47.277777777777771</c:v>
                </c:pt>
                <c:pt idx="1013">
                  <c:v>47.305555555555557</c:v>
                </c:pt>
                <c:pt idx="1014">
                  <c:v>47.361111111111107</c:v>
                </c:pt>
                <c:pt idx="1015">
                  <c:v>47.388888888888886</c:v>
                </c:pt>
                <c:pt idx="1016">
                  <c:v>47.416666666666664</c:v>
                </c:pt>
                <c:pt idx="1017">
                  <c:v>47.416666666666664</c:v>
                </c:pt>
                <c:pt idx="1018">
                  <c:v>47.388888888888886</c:v>
                </c:pt>
                <c:pt idx="1019">
                  <c:v>47.361111111111107</c:v>
                </c:pt>
                <c:pt idx="1020">
                  <c:v>47.361111111111107</c:v>
                </c:pt>
                <c:pt idx="1021">
                  <c:v>47.333333333333336</c:v>
                </c:pt>
                <c:pt idx="1022">
                  <c:v>47.305555555555557</c:v>
                </c:pt>
                <c:pt idx="1023">
                  <c:v>47.25</c:v>
                </c:pt>
                <c:pt idx="1024">
                  <c:v>47.194444444444443</c:v>
                </c:pt>
                <c:pt idx="1025">
                  <c:v>47.166666666666671</c:v>
                </c:pt>
                <c:pt idx="1026">
                  <c:v>47.111111111111107</c:v>
                </c:pt>
                <c:pt idx="1027">
                  <c:v>47.055555555555557</c:v>
                </c:pt>
                <c:pt idx="1028">
                  <c:v>46.972222222222221</c:v>
                </c:pt>
                <c:pt idx="1029">
                  <c:v>46.916666666666664</c:v>
                </c:pt>
                <c:pt idx="1030">
                  <c:v>46.833333333333329</c:v>
                </c:pt>
                <c:pt idx="1031">
                  <c:v>46.75</c:v>
                </c:pt>
                <c:pt idx="1032">
                  <c:v>46.666666666666664</c:v>
                </c:pt>
                <c:pt idx="1033">
                  <c:v>46.583333333333329</c:v>
                </c:pt>
                <c:pt idx="1034">
                  <c:v>46.5</c:v>
                </c:pt>
                <c:pt idx="1035">
                  <c:v>46.361111111111114</c:v>
                </c:pt>
                <c:pt idx="1036">
                  <c:v>46.277777777777779</c:v>
                </c:pt>
                <c:pt idx="1037">
                  <c:v>46.19444444444445</c:v>
                </c:pt>
                <c:pt idx="1038">
                  <c:v>46.111111111111107</c:v>
                </c:pt>
                <c:pt idx="1039">
                  <c:v>46.027777777777771</c:v>
                </c:pt>
                <c:pt idx="1040">
                  <c:v>45.888888888888886</c:v>
                </c:pt>
                <c:pt idx="1041">
                  <c:v>45.777777777777779</c:v>
                </c:pt>
                <c:pt idx="1042">
                  <c:v>45.666666666666664</c:v>
                </c:pt>
                <c:pt idx="1043">
                  <c:v>45.583333333333329</c:v>
                </c:pt>
                <c:pt idx="1044">
                  <c:v>45.444444444444443</c:v>
                </c:pt>
                <c:pt idx="1045">
                  <c:v>45.333333333333329</c:v>
                </c:pt>
                <c:pt idx="1046">
                  <c:v>45.222222222222221</c:v>
                </c:pt>
                <c:pt idx="1047">
                  <c:v>45.111111111111114</c:v>
                </c:pt>
                <c:pt idx="1048">
                  <c:v>44.94444444444445</c:v>
                </c:pt>
                <c:pt idx="1049">
                  <c:v>44.777777777777771</c:v>
                </c:pt>
                <c:pt idx="1050">
                  <c:v>44.611111111111107</c:v>
                </c:pt>
                <c:pt idx="1051">
                  <c:v>44.361111111111107</c:v>
                </c:pt>
                <c:pt idx="1052">
                  <c:v>44.194444444444443</c:v>
                </c:pt>
                <c:pt idx="1053">
                  <c:v>44</c:v>
                </c:pt>
                <c:pt idx="1054">
                  <c:v>43.69444444444445</c:v>
                </c:pt>
                <c:pt idx="1055">
                  <c:v>43.5</c:v>
                </c:pt>
                <c:pt idx="1056">
                  <c:v>43.305555555555557</c:v>
                </c:pt>
                <c:pt idx="1057">
                  <c:v>42.972222222222221</c:v>
                </c:pt>
                <c:pt idx="1058">
                  <c:v>42.75</c:v>
                </c:pt>
                <c:pt idx="1059">
                  <c:v>42.527777777777779</c:v>
                </c:pt>
                <c:pt idx="1060">
                  <c:v>42.222222222222221</c:v>
                </c:pt>
                <c:pt idx="1061">
                  <c:v>41.999999999999993</c:v>
                </c:pt>
                <c:pt idx="1062">
                  <c:v>41.777777777777779</c:v>
                </c:pt>
                <c:pt idx="1063">
                  <c:v>41.416666666666664</c:v>
                </c:pt>
                <c:pt idx="1064">
                  <c:v>41.19444444444445</c:v>
                </c:pt>
                <c:pt idx="1065">
                  <c:v>40.972222222222221</c:v>
                </c:pt>
                <c:pt idx="1066">
                  <c:v>40.722222222222221</c:v>
                </c:pt>
                <c:pt idx="1067">
                  <c:v>40.555555555555557</c:v>
                </c:pt>
                <c:pt idx="1068">
                  <c:v>40.388888888888893</c:v>
                </c:pt>
                <c:pt idx="1069">
                  <c:v>40.166666666666664</c:v>
                </c:pt>
                <c:pt idx="1070">
                  <c:v>40.027777777777779</c:v>
                </c:pt>
                <c:pt idx="1071">
                  <c:v>39.833333333333336</c:v>
                </c:pt>
                <c:pt idx="1072">
                  <c:v>39.694444444444443</c:v>
                </c:pt>
                <c:pt idx="1073">
                  <c:v>39.555555555555557</c:v>
                </c:pt>
                <c:pt idx="1074">
                  <c:v>39.361111111111107</c:v>
                </c:pt>
                <c:pt idx="1075">
                  <c:v>39.222222222222221</c:v>
                </c:pt>
                <c:pt idx="1076">
                  <c:v>39.027777777777779</c:v>
                </c:pt>
                <c:pt idx="1077">
                  <c:v>38.888888888888886</c:v>
                </c:pt>
                <c:pt idx="1078">
                  <c:v>38.75</c:v>
                </c:pt>
                <c:pt idx="1079">
                  <c:v>38.583333333333336</c:v>
                </c:pt>
                <c:pt idx="1080">
                  <c:v>38.444444444444443</c:v>
                </c:pt>
                <c:pt idx="1081">
                  <c:v>38.277777777777779</c:v>
                </c:pt>
                <c:pt idx="1082">
                  <c:v>38.138888888888893</c:v>
                </c:pt>
                <c:pt idx="1083">
                  <c:v>37.944444444444443</c:v>
                </c:pt>
                <c:pt idx="1084">
                  <c:v>37.833333333333329</c:v>
                </c:pt>
                <c:pt idx="1085">
                  <c:v>37.638888888888886</c:v>
                </c:pt>
                <c:pt idx="1086">
                  <c:v>37.527777777777779</c:v>
                </c:pt>
                <c:pt idx="1087">
                  <c:v>37.416666666666664</c:v>
                </c:pt>
                <c:pt idx="1088">
                  <c:v>37.25</c:v>
                </c:pt>
                <c:pt idx="1089">
                  <c:v>37.138888888888886</c:v>
                </c:pt>
                <c:pt idx="1090">
                  <c:v>36.972222222222221</c:v>
                </c:pt>
                <c:pt idx="1091">
                  <c:v>36.888888888888893</c:v>
                </c:pt>
                <c:pt idx="1092">
                  <c:v>36.75</c:v>
                </c:pt>
                <c:pt idx="1093">
                  <c:v>36.666666666666664</c:v>
                </c:pt>
                <c:pt idx="1094">
                  <c:v>36.55555555555555</c:v>
                </c:pt>
                <c:pt idx="1095">
                  <c:v>36.472222222222221</c:v>
                </c:pt>
                <c:pt idx="1096">
                  <c:v>36.333333333333336</c:v>
                </c:pt>
                <c:pt idx="1097">
                  <c:v>36.25</c:v>
                </c:pt>
                <c:pt idx="1098">
                  <c:v>36.138888888888886</c:v>
                </c:pt>
                <c:pt idx="1099">
                  <c:v>36.055555555555557</c:v>
                </c:pt>
                <c:pt idx="1100">
                  <c:v>35.944444444444443</c:v>
                </c:pt>
                <c:pt idx="1101">
                  <c:v>35.861111111111107</c:v>
                </c:pt>
                <c:pt idx="1102">
                  <c:v>35.749999999999993</c:v>
                </c:pt>
                <c:pt idx="1103">
                  <c:v>35.666666666666664</c:v>
                </c:pt>
                <c:pt idx="1104">
                  <c:v>35.555555555555557</c:v>
                </c:pt>
                <c:pt idx="1105">
                  <c:v>35.472222222222221</c:v>
                </c:pt>
                <c:pt idx="1106">
                  <c:v>35.361111111111107</c:v>
                </c:pt>
                <c:pt idx="1107">
                  <c:v>35.25</c:v>
                </c:pt>
                <c:pt idx="1108">
                  <c:v>35.194444444444443</c:v>
                </c:pt>
                <c:pt idx="1109">
                  <c:v>35.083333333333329</c:v>
                </c:pt>
                <c:pt idx="1110">
                  <c:v>35.027777777777779</c:v>
                </c:pt>
                <c:pt idx="1111">
                  <c:v>34.944444444444443</c:v>
                </c:pt>
                <c:pt idx="1112">
                  <c:v>34.861111111111107</c:v>
                </c:pt>
                <c:pt idx="1113">
                  <c:v>34.75</c:v>
                </c:pt>
                <c:pt idx="1114">
                  <c:v>34.666666666666664</c:v>
                </c:pt>
                <c:pt idx="1115">
                  <c:v>34.583333333333336</c:v>
                </c:pt>
                <c:pt idx="1116">
                  <c:v>34.5</c:v>
                </c:pt>
                <c:pt idx="1117">
                  <c:v>34.388888888888886</c:v>
                </c:pt>
                <c:pt idx="1118">
                  <c:v>34.333333333333329</c:v>
                </c:pt>
                <c:pt idx="1119">
                  <c:v>34.222222222222221</c:v>
                </c:pt>
                <c:pt idx="1120">
                  <c:v>34.138888888888893</c:v>
                </c:pt>
                <c:pt idx="1121">
                  <c:v>34.083333333333336</c:v>
                </c:pt>
                <c:pt idx="1122">
                  <c:v>33.972222222222221</c:v>
                </c:pt>
                <c:pt idx="1123">
                  <c:v>33.861111111111114</c:v>
                </c:pt>
                <c:pt idx="1124">
                  <c:v>33.777777777777779</c:v>
                </c:pt>
                <c:pt idx="1125">
                  <c:v>33.694444444444443</c:v>
                </c:pt>
                <c:pt idx="1126">
                  <c:v>33.583333333333336</c:v>
                </c:pt>
                <c:pt idx="1127">
                  <c:v>33.5</c:v>
                </c:pt>
                <c:pt idx="1128">
                  <c:v>33.416666666666664</c:v>
                </c:pt>
                <c:pt idx="1129">
                  <c:v>33.305555555555557</c:v>
                </c:pt>
                <c:pt idx="1130">
                  <c:v>33.222222222222221</c:v>
                </c:pt>
                <c:pt idx="1131">
                  <c:v>33.138888888888886</c:v>
                </c:pt>
                <c:pt idx="1132">
                  <c:v>33.027777777777779</c:v>
                </c:pt>
                <c:pt idx="1133">
                  <c:v>32.916666666666664</c:v>
                </c:pt>
                <c:pt idx="1134">
                  <c:v>32.833333333333336</c:v>
                </c:pt>
                <c:pt idx="1135">
                  <c:v>32.722222222222221</c:v>
                </c:pt>
                <c:pt idx="1136">
                  <c:v>32.611111111111114</c:v>
                </c:pt>
                <c:pt idx="1137">
                  <c:v>32.5</c:v>
                </c:pt>
                <c:pt idx="1138">
                  <c:v>32.444444444444443</c:v>
                </c:pt>
                <c:pt idx="1139">
                  <c:v>32.305555555555557</c:v>
                </c:pt>
                <c:pt idx="1140">
                  <c:v>32.194444444444443</c:v>
                </c:pt>
                <c:pt idx="1141">
                  <c:v>32.111111111111107</c:v>
                </c:pt>
                <c:pt idx="1142">
                  <c:v>32</c:v>
                </c:pt>
                <c:pt idx="1143">
                  <c:v>31.888888888888886</c:v>
                </c:pt>
                <c:pt idx="1144">
                  <c:v>31.833333333333332</c:v>
                </c:pt>
                <c:pt idx="1145">
                  <c:v>31.75</c:v>
                </c:pt>
                <c:pt idx="1146">
                  <c:v>31.666666666666664</c:v>
                </c:pt>
                <c:pt idx="1147">
                  <c:v>31.611111111111111</c:v>
                </c:pt>
                <c:pt idx="1148">
                  <c:v>31.527777777777779</c:v>
                </c:pt>
                <c:pt idx="1149">
                  <c:v>31.472222222222221</c:v>
                </c:pt>
                <c:pt idx="1150">
                  <c:v>31.388888888888889</c:v>
                </c:pt>
                <c:pt idx="1151">
                  <c:v>31.388888888888889</c:v>
                </c:pt>
                <c:pt idx="1152">
                  <c:v>31.333333333333332</c:v>
                </c:pt>
                <c:pt idx="1153">
                  <c:v>31.305555555555557</c:v>
                </c:pt>
                <c:pt idx="1154">
                  <c:v>31.277777777777775</c:v>
                </c:pt>
                <c:pt idx="1155">
                  <c:v>31.25</c:v>
                </c:pt>
                <c:pt idx="1156">
                  <c:v>31.25</c:v>
                </c:pt>
                <c:pt idx="1157">
                  <c:v>31.25</c:v>
                </c:pt>
                <c:pt idx="1158">
                  <c:v>31.25</c:v>
                </c:pt>
                <c:pt idx="1159">
                  <c:v>31.25</c:v>
                </c:pt>
                <c:pt idx="1160">
                  <c:v>31.25</c:v>
                </c:pt>
                <c:pt idx="1161">
                  <c:v>31.25</c:v>
                </c:pt>
                <c:pt idx="1162">
                  <c:v>31.305555555555557</c:v>
                </c:pt>
                <c:pt idx="1163">
                  <c:v>31.333333333333332</c:v>
                </c:pt>
                <c:pt idx="1164">
                  <c:v>31.361111111111111</c:v>
                </c:pt>
                <c:pt idx="1165">
                  <c:v>31.416666666666664</c:v>
                </c:pt>
                <c:pt idx="1166">
                  <c:v>31.472222222222221</c:v>
                </c:pt>
                <c:pt idx="1167">
                  <c:v>31.527777777777779</c:v>
                </c:pt>
                <c:pt idx="1168">
                  <c:v>31.583333333333332</c:v>
                </c:pt>
                <c:pt idx="1169">
                  <c:v>31.638888888888889</c:v>
                </c:pt>
                <c:pt idx="1170">
                  <c:v>31.722222222222221</c:v>
                </c:pt>
                <c:pt idx="1171">
                  <c:v>31.777777777777779</c:v>
                </c:pt>
                <c:pt idx="1172">
                  <c:v>31.861111111111111</c:v>
                </c:pt>
                <c:pt idx="1173">
                  <c:v>31.944444444444443</c:v>
                </c:pt>
                <c:pt idx="1174">
                  <c:v>32.027777777777779</c:v>
                </c:pt>
                <c:pt idx="1175">
                  <c:v>32.055555555555557</c:v>
                </c:pt>
                <c:pt idx="1176">
                  <c:v>32.138888888888886</c:v>
                </c:pt>
                <c:pt idx="1177">
                  <c:v>32.222222222222221</c:v>
                </c:pt>
                <c:pt idx="1178">
                  <c:v>32.305555555555557</c:v>
                </c:pt>
                <c:pt idx="1179">
                  <c:v>32.361111111111107</c:v>
                </c:pt>
                <c:pt idx="1180">
                  <c:v>32.416666666666664</c:v>
                </c:pt>
                <c:pt idx="1181">
                  <c:v>32.5</c:v>
                </c:pt>
                <c:pt idx="1182">
                  <c:v>32.527777777777779</c:v>
                </c:pt>
                <c:pt idx="1183">
                  <c:v>32.611111111111114</c:v>
                </c:pt>
                <c:pt idx="1184">
                  <c:v>32.694444444444443</c:v>
                </c:pt>
                <c:pt idx="1185">
                  <c:v>32.777777777777779</c:v>
                </c:pt>
                <c:pt idx="1186">
                  <c:v>32.861111111111107</c:v>
                </c:pt>
                <c:pt idx="1187">
                  <c:v>32.972222222222221</c:v>
                </c:pt>
                <c:pt idx="1188">
                  <c:v>33.027777777777779</c:v>
                </c:pt>
                <c:pt idx="1189">
                  <c:v>33.138888888888886</c:v>
                </c:pt>
                <c:pt idx="1190">
                  <c:v>33.25</c:v>
                </c:pt>
                <c:pt idx="1191">
                  <c:v>33.361111111111107</c:v>
                </c:pt>
                <c:pt idx="1192">
                  <c:v>33.444444444444443</c:v>
                </c:pt>
                <c:pt idx="1193">
                  <c:v>33.555555555555557</c:v>
                </c:pt>
                <c:pt idx="1194">
                  <c:v>33.722222222222221</c:v>
                </c:pt>
                <c:pt idx="1195">
                  <c:v>33.861111111111114</c:v>
                </c:pt>
                <c:pt idx="1196">
                  <c:v>33.944444444444443</c:v>
                </c:pt>
                <c:pt idx="1197">
                  <c:v>34.111111111111107</c:v>
                </c:pt>
                <c:pt idx="1198">
                  <c:v>34.25</c:v>
                </c:pt>
                <c:pt idx="1199">
                  <c:v>34.388888888888886</c:v>
                </c:pt>
                <c:pt idx="1200">
                  <c:v>34.5</c:v>
                </c:pt>
                <c:pt idx="1201">
                  <c:v>34.638888888888886</c:v>
                </c:pt>
                <c:pt idx="1202">
                  <c:v>34.805555555555557</c:v>
                </c:pt>
                <c:pt idx="1203">
                  <c:v>34.944444444444443</c:v>
                </c:pt>
                <c:pt idx="1204">
                  <c:v>35.055555555555557</c:v>
                </c:pt>
                <c:pt idx="1205">
                  <c:v>35.194444444444443</c:v>
                </c:pt>
                <c:pt idx="1206">
                  <c:v>35.333333333333336</c:v>
                </c:pt>
                <c:pt idx="1207">
                  <c:v>35.444444444444443</c:v>
                </c:pt>
                <c:pt idx="1208">
                  <c:v>35.611111111111107</c:v>
                </c:pt>
                <c:pt idx="1209">
                  <c:v>35.749999999999993</c:v>
                </c:pt>
                <c:pt idx="1210">
                  <c:v>35.861111111111107</c:v>
                </c:pt>
                <c:pt idx="1211">
                  <c:v>36.027777777777771</c:v>
                </c:pt>
                <c:pt idx="1212">
                  <c:v>36.138888888888886</c:v>
                </c:pt>
                <c:pt idx="1213">
                  <c:v>36.277777777777779</c:v>
                </c:pt>
                <c:pt idx="1214">
                  <c:v>36.444444444444443</c:v>
                </c:pt>
                <c:pt idx="1215">
                  <c:v>36.55555555555555</c:v>
                </c:pt>
                <c:pt idx="1216">
                  <c:v>36.694444444444443</c:v>
                </c:pt>
                <c:pt idx="1217">
                  <c:v>36.777777777777779</c:v>
                </c:pt>
                <c:pt idx="1218">
                  <c:v>36.916666666666664</c:v>
                </c:pt>
                <c:pt idx="1219">
                  <c:v>37.055555555555557</c:v>
                </c:pt>
                <c:pt idx="1220">
                  <c:v>37.166666666666671</c:v>
                </c:pt>
                <c:pt idx="1221">
                  <c:v>37.305555555555557</c:v>
                </c:pt>
                <c:pt idx="1222">
                  <c:v>37.388888888888886</c:v>
                </c:pt>
                <c:pt idx="1223">
                  <c:v>37.55555555555555</c:v>
                </c:pt>
                <c:pt idx="1224">
                  <c:v>37.666666666666664</c:v>
                </c:pt>
                <c:pt idx="1225">
                  <c:v>37.80555555555555</c:v>
                </c:pt>
                <c:pt idx="1226">
                  <c:v>37.916666666666664</c:v>
                </c:pt>
                <c:pt idx="1227">
                  <c:v>38.083333333333329</c:v>
                </c:pt>
                <c:pt idx="1228">
                  <c:v>38.249999999999993</c:v>
                </c:pt>
                <c:pt idx="1229">
                  <c:v>38.361111111111107</c:v>
                </c:pt>
                <c:pt idx="1230">
                  <c:v>38.5</c:v>
                </c:pt>
                <c:pt idx="1231">
                  <c:v>38.638888888888886</c:v>
                </c:pt>
                <c:pt idx="1232">
                  <c:v>38.833333333333336</c:v>
                </c:pt>
                <c:pt idx="1233">
                  <c:v>38.972222222222221</c:v>
                </c:pt>
                <c:pt idx="1234">
                  <c:v>39.166666666666664</c:v>
                </c:pt>
                <c:pt idx="1235">
                  <c:v>39.277777777777779</c:v>
                </c:pt>
                <c:pt idx="1236">
                  <c:v>39.472222222222221</c:v>
                </c:pt>
                <c:pt idx="1237">
                  <c:v>39.583333333333336</c:v>
                </c:pt>
                <c:pt idx="1238">
                  <c:v>39.777777777777771</c:v>
                </c:pt>
                <c:pt idx="1239">
                  <c:v>39.888888888888886</c:v>
                </c:pt>
                <c:pt idx="1240">
                  <c:v>40.027777777777779</c:v>
                </c:pt>
                <c:pt idx="1241">
                  <c:v>40.194444444444443</c:v>
                </c:pt>
                <c:pt idx="1242">
                  <c:v>40.30555555555555</c:v>
                </c:pt>
                <c:pt idx="1243">
                  <c:v>40.5</c:v>
                </c:pt>
                <c:pt idx="1244">
                  <c:v>40.611111111111107</c:v>
                </c:pt>
                <c:pt idx="1245">
                  <c:v>40.777777777777779</c:v>
                </c:pt>
                <c:pt idx="1246">
                  <c:v>40.888888888888886</c:v>
                </c:pt>
                <c:pt idx="1247">
                  <c:v>41</c:v>
                </c:pt>
                <c:pt idx="1248">
                  <c:v>41.166666666666664</c:v>
                </c:pt>
                <c:pt idx="1249">
                  <c:v>41.277777777777779</c:v>
                </c:pt>
                <c:pt idx="1250">
                  <c:v>41.444444444444443</c:v>
                </c:pt>
                <c:pt idx="1251">
                  <c:v>41.55555555555555</c:v>
                </c:pt>
                <c:pt idx="1252">
                  <c:v>41.666666666666664</c:v>
                </c:pt>
                <c:pt idx="1253">
                  <c:v>41.805555555555557</c:v>
                </c:pt>
                <c:pt idx="1254">
                  <c:v>41.916666666666664</c:v>
                </c:pt>
                <c:pt idx="1255">
                  <c:v>42.083333333333336</c:v>
                </c:pt>
                <c:pt idx="1256">
                  <c:v>42.166666666666671</c:v>
                </c:pt>
                <c:pt idx="1257">
                  <c:v>42.25</c:v>
                </c:pt>
                <c:pt idx="1258">
                  <c:v>42.388888888888886</c:v>
                </c:pt>
                <c:pt idx="1259">
                  <c:v>42.472222222222221</c:v>
                </c:pt>
                <c:pt idx="1260">
                  <c:v>42.55555555555555</c:v>
                </c:pt>
                <c:pt idx="1261">
                  <c:v>42.694444444444443</c:v>
                </c:pt>
                <c:pt idx="1262">
                  <c:v>42.777777777777779</c:v>
                </c:pt>
                <c:pt idx="1263">
                  <c:v>42.861111111111114</c:v>
                </c:pt>
                <c:pt idx="1264">
                  <c:v>42.944444444444443</c:v>
                </c:pt>
                <c:pt idx="1265">
                  <c:v>43.111111111111107</c:v>
                </c:pt>
                <c:pt idx="1266">
                  <c:v>43.194444444444443</c:v>
                </c:pt>
                <c:pt idx="1267">
                  <c:v>43.305555555555557</c:v>
                </c:pt>
                <c:pt idx="1268">
                  <c:v>43.444444444444443</c:v>
                </c:pt>
                <c:pt idx="1269">
                  <c:v>43.527777777777771</c:v>
                </c:pt>
                <c:pt idx="1270">
                  <c:v>43.638888888888886</c:v>
                </c:pt>
                <c:pt idx="1271">
                  <c:v>43.777777777777779</c:v>
                </c:pt>
                <c:pt idx="1272">
                  <c:v>43.861111111111114</c:v>
                </c:pt>
                <c:pt idx="1273">
                  <c:v>43.972222222222221</c:v>
                </c:pt>
                <c:pt idx="1274">
                  <c:v>44.05555555555555</c:v>
                </c:pt>
                <c:pt idx="1275">
                  <c:v>44.194444444444443</c:v>
                </c:pt>
                <c:pt idx="1276">
                  <c:v>44.277777777777779</c:v>
                </c:pt>
                <c:pt idx="1277">
                  <c:v>44.361111111111107</c:v>
                </c:pt>
                <c:pt idx="1278">
                  <c:v>44.388888888888893</c:v>
                </c:pt>
                <c:pt idx="1279">
                  <c:v>44.444444444444443</c:v>
                </c:pt>
                <c:pt idx="1280">
                  <c:v>44.499999999999993</c:v>
                </c:pt>
                <c:pt idx="1281">
                  <c:v>44.555555555555557</c:v>
                </c:pt>
                <c:pt idx="1282">
                  <c:v>44.527777777777779</c:v>
                </c:pt>
                <c:pt idx="1283">
                  <c:v>44.499999999999993</c:v>
                </c:pt>
                <c:pt idx="1284">
                  <c:v>44.472222222222221</c:v>
                </c:pt>
                <c:pt idx="1285">
                  <c:v>44.444444444444443</c:v>
                </c:pt>
                <c:pt idx="1286">
                  <c:v>44.388888888888893</c:v>
                </c:pt>
                <c:pt idx="1287">
                  <c:v>44.277777777777779</c:v>
                </c:pt>
                <c:pt idx="1288">
                  <c:v>44.138888888888893</c:v>
                </c:pt>
                <c:pt idx="1289">
                  <c:v>44.027777777777779</c:v>
                </c:pt>
                <c:pt idx="1290">
                  <c:v>43.916666666666664</c:v>
                </c:pt>
                <c:pt idx="1291">
                  <c:v>43.69444444444445</c:v>
                </c:pt>
                <c:pt idx="1292">
                  <c:v>43.527777777777771</c:v>
                </c:pt>
                <c:pt idx="1293">
                  <c:v>43.361111111111107</c:v>
                </c:pt>
                <c:pt idx="1294">
                  <c:v>43.111111111111107</c:v>
                </c:pt>
                <c:pt idx="1295">
                  <c:v>42.916666666666664</c:v>
                </c:pt>
                <c:pt idx="1296">
                  <c:v>42.694444444444443</c:v>
                </c:pt>
                <c:pt idx="1297">
                  <c:v>42.388888888888886</c:v>
                </c:pt>
                <c:pt idx="1298">
                  <c:v>42.166666666666671</c:v>
                </c:pt>
                <c:pt idx="1299">
                  <c:v>41.888888888888893</c:v>
                </c:pt>
                <c:pt idx="1300">
                  <c:v>41.694444444444443</c:v>
                </c:pt>
                <c:pt idx="1301">
                  <c:v>41.388888888888886</c:v>
                </c:pt>
                <c:pt idx="1302">
                  <c:v>41.19444444444445</c:v>
                </c:pt>
                <c:pt idx="1303">
                  <c:v>40.916666666666671</c:v>
                </c:pt>
                <c:pt idx="1304">
                  <c:v>40.749999999999993</c:v>
                </c:pt>
                <c:pt idx="1305">
                  <c:v>40.472222222222221</c:v>
                </c:pt>
                <c:pt idx="1306">
                  <c:v>40.277777777777779</c:v>
                </c:pt>
                <c:pt idx="1307">
                  <c:v>40.027777777777779</c:v>
                </c:pt>
                <c:pt idx="1308">
                  <c:v>39.861111111111107</c:v>
                </c:pt>
                <c:pt idx="1309">
                  <c:v>39.638888888888886</c:v>
                </c:pt>
                <c:pt idx="1310">
                  <c:v>39.388888888888893</c:v>
                </c:pt>
                <c:pt idx="1311">
                  <c:v>39.25</c:v>
                </c:pt>
                <c:pt idx="1312">
                  <c:v>39.05555555555555</c:v>
                </c:pt>
                <c:pt idx="1313">
                  <c:v>38.833333333333336</c:v>
                </c:pt>
                <c:pt idx="1314">
                  <c:v>38.69444444444445</c:v>
                </c:pt>
                <c:pt idx="1315">
                  <c:v>38.472222222222221</c:v>
                </c:pt>
                <c:pt idx="1316">
                  <c:v>38.277777777777779</c:v>
                </c:pt>
                <c:pt idx="1317">
                  <c:v>38.111111111111107</c:v>
                </c:pt>
                <c:pt idx="1318">
                  <c:v>37.888888888888893</c:v>
                </c:pt>
                <c:pt idx="1319">
                  <c:v>37.638888888888886</c:v>
                </c:pt>
                <c:pt idx="1320">
                  <c:v>37.388888888888886</c:v>
                </c:pt>
                <c:pt idx="1321">
                  <c:v>37.222222222222221</c:v>
                </c:pt>
                <c:pt idx="1322">
                  <c:v>36.944444444444443</c:v>
                </c:pt>
                <c:pt idx="1323">
                  <c:v>36.638888888888893</c:v>
                </c:pt>
                <c:pt idx="1324">
                  <c:v>36.361111111111114</c:v>
                </c:pt>
                <c:pt idx="1325">
                  <c:v>36.055555555555557</c:v>
                </c:pt>
                <c:pt idx="1326">
                  <c:v>35.694444444444443</c:v>
                </c:pt>
                <c:pt idx="1327">
                  <c:v>35.361111111111107</c:v>
                </c:pt>
                <c:pt idx="1328">
                  <c:v>35</c:v>
                </c:pt>
                <c:pt idx="1329">
                  <c:v>34.583333333333336</c:v>
                </c:pt>
                <c:pt idx="1330">
                  <c:v>34.194444444444443</c:v>
                </c:pt>
                <c:pt idx="1331">
                  <c:v>33.805555555555557</c:v>
                </c:pt>
                <c:pt idx="1332">
                  <c:v>33.388888888888886</c:v>
                </c:pt>
                <c:pt idx="1333">
                  <c:v>33</c:v>
                </c:pt>
                <c:pt idx="1334">
                  <c:v>32.583333333333329</c:v>
                </c:pt>
                <c:pt idx="1335">
                  <c:v>32.222222222222221</c:v>
                </c:pt>
                <c:pt idx="1336">
                  <c:v>31.888888888888886</c:v>
                </c:pt>
                <c:pt idx="1337">
                  <c:v>31.555555555555554</c:v>
                </c:pt>
                <c:pt idx="1338">
                  <c:v>31.111111111111111</c:v>
                </c:pt>
                <c:pt idx="1339">
                  <c:v>30.805555555555557</c:v>
                </c:pt>
                <c:pt idx="1340">
                  <c:v>30.472222222222221</c:v>
                </c:pt>
                <c:pt idx="1341">
                  <c:v>30.166666666666664</c:v>
                </c:pt>
                <c:pt idx="1342">
                  <c:v>29.777777777777779</c:v>
                </c:pt>
                <c:pt idx="1343">
                  <c:v>29.472222222222221</c:v>
                </c:pt>
                <c:pt idx="1344">
                  <c:v>29.194444444444443</c:v>
                </c:pt>
                <c:pt idx="1345">
                  <c:v>28.833333333333332</c:v>
                </c:pt>
                <c:pt idx="1346">
                  <c:v>28.555555555555554</c:v>
                </c:pt>
                <c:pt idx="1347">
                  <c:v>28.305555555555557</c:v>
                </c:pt>
                <c:pt idx="1348">
                  <c:v>27.916666666666664</c:v>
                </c:pt>
                <c:pt idx="1349">
                  <c:v>27.638888888888889</c:v>
                </c:pt>
                <c:pt idx="1350">
                  <c:v>27.305555555555554</c:v>
                </c:pt>
                <c:pt idx="1351">
                  <c:v>27.083333333333332</c:v>
                </c:pt>
                <c:pt idx="1352">
                  <c:v>26.777777777777779</c:v>
                </c:pt>
                <c:pt idx="1353">
                  <c:v>26.583333333333332</c:v>
                </c:pt>
                <c:pt idx="1354">
                  <c:v>26.361111111111111</c:v>
                </c:pt>
                <c:pt idx="1355">
                  <c:v>26.194444444444443</c:v>
                </c:pt>
                <c:pt idx="1356">
                  <c:v>25.972222222222221</c:v>
                </c:pt>
                <c:pt idx="1357">
                  <c:v>25.833333333333332</c:v>
                </c:pt>
                <c:pt idx="1358">
                  <c:v>25.638888888888886</c:v>
                </c:pt>
                <c:pt idx="1359">
                  <c:v>25.5</c:v>
                </c:pt>
                <c:pt idx="1360">
                  <c:v>25.333333333333332</c:v>
                </c:pt>
                <c:pt idx="1361">
                  <c:v>25.222222222222221</c:v>
                </c:pt>
                <c:pt idx="1362">
                  <c:v>25.083333333333332</c:v>
                </c:pt>
                <c:pt idx="1363">
                  <c:v>24.944444444444443</c:v>
                </c:pt>
                <c:pt idx="1364">
                  <c:v>24.805555555555554</c:v>
                </c:pt>
                <c:pt idx="1365">
                  <c:v>24.694444444444446</c:v>
                </c:pt>
                <c:pt idx="1366">
                  <c:v>24.638888888888889</c:v>
                </c:pt>
                <c:pt idx="1367">
                  <c:v>24.527777777777775</c:v>
                </c:pt>
                <c:pt idx="1368">
                  <c:v>24.472222222222221</c:v>
                </c:pt>
                <c:pt idx="1369">
                  <c:v>24.416666666666668</c:v>
                </c:pt>
                <c:pt idx="1370">
                  <c:v>24.388888888888886</c:v>
                </c:pt>
                <c:pt idx="1371">
                  <c:v>24.388888888888886</c:v>
                </c:pt>
                <c:pt idx="1372">
                  <c:v>24.361111111111111</c:v>
                </c:pt>
                <c:pt idx="1373">
                  <c:v>24.305555555555554</c:v>
                </c:pt>
                <c:pt idx="1374">
                  <c:v>24.222222222222221</c:v>
                </c:pt>
                <c:pt idx="1375">
                  <c:v>24.138888888888889</c:v>
                </c:pt>
                <c:pt idx="1376">
                  <c:v>24.055555555555554</c:v>
                </c:pt>
                <c:pt idx="1377">
                  <c:v>23.972222222222221</c:v>
                </c:pt>
                <c:pt idx="1378">
                  <c:v>23.861111111111111</c:v>
                </c:pt>
                <c:pt idx="1379">
                  <c:v>23.75</c:v>
                </c:pt>
                <c:pt idx="1380">
                  <c:v>23.611111111111111</c:v>
                </c:pt>
                <c:pt idx="1381">
                  <c:v>23.499999999999996</c:v>
                </c:pt>
                <c:pt idx="1382">
                  <c:v>23.361111111111111</c:v>
                </c:pt>
                <c:pt idx="1383">
                  <c:v>23.277777777777775</c:v>
                </c:pt>
                <c:pt idx="1384">
                  <c:v>23.25</c:v>
                </c:pt>
                <c:pt idx="1385">
                  <c:v>23.194444444444443</c:v>
                </c:pt>
                <c:pt idx="1386">
                  <c:v>23.194444444444443</c:v>
                </c:pt>
                <c:pt idx="1387">
                  <c:v>23.194444444444443</c:v>
                </c:pt>
                <c:pt idx="1388">
                  <c:v>23.194444444444443</c:v>
                </c:pt>
                <c:pt idx="1389">
                  <c:v>23.25</c:v>
                </c:pt>
                <c:pt idx="1390">
                  <c:v>23.25</c:v>
                </c:pt>
                <c:pt idx="1391">
                  <c:v>23.305555555555557</c:v>
                </c:pt>
                <c:pt idx="1392">
                  <c:v>23.333333333333332</c:v>
                </c:pt>
                <c:pt idx="1393">
                  <c:v>23.361111111111111</c:v>
                </c:pt>
                <c:pt idx="1394">
                  <c:v>23.416666666666664</c:v>
                </c:pt>
                <c:pt idx="1395">
                  <c:v>23.472222222222221</c:v>
                </c:pt>
                <c:pt idx="1396">
                  <c:v>23.527777777777779</c:v>
                </c:pt>
                <c:pt idx="1397">
                  <c:v>23.555555555555554</c:v>
                </c:pt>
                <c:pt idx="1398">
                  <c:v>23.583333333333336</c:v>
                </c:pt>
                <c:pt idx="1399">
                  <c:v>23.611111111111111</c:v>
                </c:pt>
                <c:pt idx="1400">
                  <c:v>23.638888888888886</c:v>
                </c:pt>
                <c:pt idx="1401">
                  <c:v>23.638888888888886</c:v>
                </c:pt>
                <c:pt idx="1402">
                  <c:v>23.638888888888886</c:v>
                </c:pt>
                <c:pt idx="1403">
                  <c:v>23.638888888888886</c:v>
                </c:pt>
                <c:pt idx="1404">
                  <c:v>23.611111111111111</c:v>
                </c:pt>
                <c:pt idx="1405">
                  <c:v>23.583333333333336</c:v>
                </c:pt>
                <c:pt idx="1406">
                  <c:v>23.527777777777779</c:v>
                </c:pt>
                <c:pt idx="1407">
                  <c:v>23.472222222222221</c:v>
                </c:pt>
                <c:pt idx="1408">
                  <c:v>23.416666666666664</c:v>
                </c:pt>
                <c:pt idx="1409">
                  <c:v>23.305555555555557</c:v>
                </c:pt>
                <c:pt idx="1410">
                  <c:v>23.222222222222221</c:v>
                </c:pt>
                <c:pt idx="1411">
                  <c:v>23.111111111111111</c:v>
                </c:pt>
                <c:pt idx="1412">
                  <c:v>23</c:v>
                </c:pt>
                <c:pt idx="1413">
                  <c:v>22.888888888888889</c:v>
                </c:pt>
                <c:pt idx="1414">
                  <c:v>22.777777777777779</c:v>
                </c:pt>
                <c:pt idx="1415">
                  <c:v>22.666666666666664</c:v>
                </c:pt>
                <c:pt idx="1416">
                  <c:v>22.555555555555557</c:v>
                </c:pt>
                <c:pt idx="1417">
                  <c:v>22.472222222222225</c:v>
                </c:pt>
                <c:pt idx="1418">
                  <c:v>22.361111111111111</c:v>
                </c:pt>
                <c:pt idx="1419">
                  <c:v>22.277777777777779</c:v>
                </c:pt>
                <c:pt idx="1420">
                  <c:v>22.222222222222221</c:v>
                </c:pt>
                <c:pt idx="1421">
                  <c:v>22.166666666666664</c:v>
                </c:pt>
                <c:pt idx="1422">
                  <c:v>22.138888888888889</c:v>
                </c:pt>
                <c:pt idx="1423">
                  <c:v>22.083333333333332</c:v>
                </c:pt>
                <c:pt idx="1424">
                  <c:v>22.055555555555557</c:v>
                </c:pt>
                <c:pt idx="1425">
                  <c:v>22.027777777777775</c:v>
                </c:pt>
                <c:pt idx="1426">
                  <c:v>22.027777777777775</c:v>
                </c:pt>
                <c:pt idx="1427">
                  <c:v>22.027777777777775</c:v>
                </c:pt>
                <c:pt idx="1428">
                  <c:v>22.055555555555557</c:v>
                </c:pt>
                <c:pt idx="1429">
                  <c:v>22.166666666666664</c:v>
                </c:pt>
                <c:pt idx="1430">
                  <c:v>22.277777777777779</c:v>
                </c:pt>
                <c:pt idx="1431">
                  <c:v>22.388888888888886</c:v>
                </c:pt>
                <c:pt idx="1432">
                  <c:v>22.555555555555557</c:v>
                </c:pt>
                <c:pt idx="1433">
                  <c:v>22.722222222222221</c:v>
                </c:pt>
                <c:pt idx="1434">
                  <c:v>22.916666666666668</c:v>
                </c:pt>
                <c:pt idx="1435">
                  <c:v>23.138888888888889</c:v>
                </c:pt>
                <c:pt idx="1436">
                  <c:v>23.361111111111111</c:v>
                </c:pt>
                <c:pt idx="1437">
                  <c:v>23.611111111111111</c:v>
                </c:pt>
                <c:pt idx="1438">
                  <c:v>23.861111111111111</c:v>
                </c:pt>
                <c:pt idx="1439">
                  <c:v>24.083333333333332</c:v>
                </c:pt>
                <c:pt idx="1440">
                  <c:v>24.222222222222221</c:v>
                </c:pt>
                <c:pt idx="1441">
                  <c:v>24.416666666666668</c:v>
                </c:pt>
                <c:pt idx="1442">
                  <c:v>24.638888888888889</c:v>
                </c:pt>
                <c:pt idx="1443">
                  <c:v>24.833333333333336</c:v>
                </c:pt>
                <c:pt idx="1444">
                  <c:v>25</c:v>
                </c:pt>
                <c:pt idx="1445">
                  <c:v>25.194444444444443</c:v>
                </c:pt>
                <c:pt idx="1446">
                  <c:v>25.388888888888889</c:v>
                </c:pt>
                <c:pt idx="1447">
                  <c:v>25.527777777777779</c:v>
                </c:pt>
                <c:pt idx="1448">
                  <c:v>25.722222222222221</c:v>
                </c:pt>
                <c:pt idx="1449">
                  <c:v>25.888888888888889</c:v>
                </c:pt>
                <c:pt idx="1450">
                  <c:v>26.027777777777779</c:v>
                </c:pt>
                <c:pt idx="1451">
                  <c:v>26.194444444444443</c:v>
                </c:pt>
                <c:pt idx="1452">
                  <c:v>26.333333333333332</c:v>
                </c:pt>
                <c:pt idx="1453">
                  <c:v>26.527777777777779</c:v>
                </c:pt>
                <c:pt idx="1454">
                  <c:v>26.694444444444443</c:v>
                </c:pt>
                <c:pt idx="1455">
                  <c:v>26.888888888888886</c:v>
                </c:pt>
                <c:pt idx="1456">
                  <c:v>27.194444444444446</c:v>
                </c:pt>
                <c:pt idx="1457">
                  <c:v>27.444444444444443</c:v>
                </c:pt>
                <c:pt idx="1458">
                  <c:v>27.805555555555554</c:v>
                </c:pt>
                <c:pt idx="1459">
                  <c:v>28.083333333333332</c:v>
                </c:pt>
                <c:pt idx="1460">
                  <c:v>28.361111111111107</c:v>
                </c:pt>
                <c:pt idx="1461">
                  <c:v>28.777777777777775</c:v>
                </c:pt>
                <c:pt idx="1462">
                  <c:v>29.111111111111111</c:v>
                </c:pt>
                <c:pt idx="1463">
                  <c:v>29.444444444444443</c:v>
                </c:pt>
                <c:pt idx="1464">
                  <c:v>29.777777777777779</c:v>
                </c:pt>
                <c:pt idx="1465">
                  <c:v>30.222222222222221</c:v>
                </c:pt>
                <c:pt idx="1466">
                  <c:v>30.555555555555554</c:v>
                </c:pt>
                <c:pt idx="1467">
                  <c:v>30.888888888888889</c:v>
                </c:pt>
                <c:pt idx="1468">
                  <c:v>31.138888888888886</c:v>
                </c:pt>
                <c:pt idx="1469">
                  <c:v>31.416666666666664</c:v>
                </c:pt>
                <c:pt idx="1470">
                  <c:v>31.694444444444443</c:v>
                </c:pt>
                <c:pt idx="1471">
                  <c:v>31.916666666666668</c:v>
                </c:pt>
                <c:pt idx="1472">
                  <c:v>32.222222222222221</c:v>
                </c:pt>
                <c:pt idx="1473">
                  <c:v>32.472222222222221</c:v>
                </c:pt>
                <c:pt idx="1474">
                  <c:v>32.666666666666664</c:v>
                </c:pt>
                <c:pt idx="1475">
                  <c:v>32.861111111111107</c:v>
                </c:pt>
                <c:pt idx="1476">
                  <c:v>33.083333333333329</c:v>
                </c:pt>
                <c:pt idx="1477">
                  <c:v>33.277777777777779</c:v>
                </c:pt>
                <c:pt idx="1478">
                  <c:v>33.5</c:v>
                </c:pt>
                <c:pt idx="1479">
                  <c:v>33.722222222222221</c:v>
                </c:pt>
                <c:pt idx="1480">
                  <c:v>33.916666666666664</c:v>
                </c:pt>
                <c:pt idx="1481">
                  <c:v>34.138888888888893</c:v>
                </c:pt>
                <c:pt idx="1482">
                  <c:v>34.333333333333329</c:v>
                </c:pt>
                <c:pt idx="1483">
                  <c:v>34.527777777777779</c:v>
                </c:pt>
                <c:pt idx="1484">
                  <c:v>34.777777777777779</c:v>
                </c:pt>
                <c:pt idx="1485">
                  <c:v>35</c:v>
                </c:pt>
                <c:pt idx="1486">
                  <c:v>35.25</c:v>
                </c:pt>
                <c:pt idx="1487">
                  <c:v>35.472222222222221</c:v>
                </c:pt>
                <c:pt idx="1488">
                  <c:v>35.722222222222221</c:v>
                </c:pt>
                <c:pt idx="1489">
                  <c:v>35.861111111111107</c:v>
                </c:pt>
                <c:pt idx="1490">
                  <c:v>36.083333333333336</c:v>
                </c:pt>
                <c:pt idx="1491">
                  <c:v>36.30555555555555</c:v>
                </c:pt>
                <c:pt idx="1492">
                  <c:v>36.527777777777779</c:v>
                </c:pt>
                <c:pt idx="1493">
                  <c:v>36.75</c:v>
                </c:pt>
                <c:pt idx="1494">
                  <c:v>36.944444444444443</c:v>
                </c:pt>
                <c:pt idx="1495">
                  <c:v>37.166666666666671</c:v>
                </c:pt>
                <c:pt idx="1496">
                  <c:v>37.305555555555557</c:v>
                </c:pt>
                <c:pt idx="1497">
                  <c:v>37.527777777777779</c:v>
                </c:pt>
                <c:pt idx="1498">
                  <c:v>37.722222222222221</c:v>
                </c:pt>
                <c:pt idx="1499">
                  <c:v>37.861111111111114</c:v>
                </c:pt>
                <c:pt idx="1500">
                  <c:v>38.083333333333329</c:v>
                </c:pt>
                <c:pt idx="1501">
                  <c:v>38.277777777777779</c:v>
                </c:pt>
                <c:pt idx="1502">
                  <c:v>38.416666666666671</c:v>
                </c:pt>
                <c:pt idx="1503">
                  <c:v>38.611111111111107</c:v>
                </c:pt>
                <c:pt idx="1504">
                  <c:v>38.75</c:v>
                </c:pt>
                <c:pt idx="1505">
                  <c:v>38.916666666666664</c:v>
                </c:pt>
                <c:pt idx="1506">
                  <c:v>39.083333333333329</c:v>
                </c:pt>
                <c:pt idx="1507">
                  <c:v>39.194444444444443</c:v>
                </c:pt>
                <c:pt idx="1508">
                  <c:v>39.333333333333329</c:v>
                </c:pt>
                <c:pt idx="1509">
                  <c:v>39.444444444444443</c:v>
                </c:pt>
                <c:pt idx="1510">
                  <c:v>39.611111111111107</c:v>
                </c:pt>
                <c:pt idx="1511">
                  <c:v>39.694444444444443</c:v>
                </c:pt>
                <c:pt idx="1512">
                  <c:v>39.861111111111107</c:v>
                </c:pt>
                <c:pt idx="1513">
                  <c:v>39.94444444444445</c:v>
                </c:pt>
                <c:pt idx="1514">
                  <c:v>40.083333333333336</c:v>
                </c:pt>
                <c:pt idx="1515">
                  <c:v>40.166666666666664</c:v>
                </c:pt>
                <c:pt idx="1516">
                  <c:v>40.30555555555555</c:v>
                </c:pt>
                <c:pt idx="1517">
                  <c:v>40.388888888888893</c:v>
                </c:pt>
                <c:pt idx="1518">
                  <c:v>40.527777777777779</c:v>
                </c:pt>
                <c:pt idx="1519">
                  <c:v>40.611111111111107</c:v>
                </c:pt>
                <c:pt idx="1520">
                  <c:v>40.749999999999993</c:v>
                </c:pt>
                <c:pt idx="1521">
                  <c:v>40.833333333333336</c:v>
                </c:pt>
                <c:pt idx="1522">
                  <c:v>41</c:v>
                </c:pt>
                <c:pt idx="1523">
                  <c:v>41.111111111111107</c:v>
                </c:pt>
                <c:pt idx="1524">
                  <c:v>41.222222222222221</c:v>
                </c:pt>
                <c:pt idx="1525">
                  <c:v>41.388888888888886</c:v>
                </c:pt>
                <c:pt idx="1526">
                  <c:v>41.472222222222221</c:v>
                </c:pt>
                <c:pt idx="1527">
                  <c:v>41.638888888888893</c:v>
                </c:pt>
                <c:pt idx="1528">
                  <c:v>41.75</c:v>
                </c:pt>
                <c:pt idx="1529">
                  <c:v>41.833333333333329</c:v>
                </c:pt>
                <c:pt idx="1530">
                  <c:v>41.999999999999993</c:v>
                </c:pt>
                <c:pt idx="1531">
                  <c:v>42.111111111111107</c:v>
                </c:pt>
                <c:pt idx="1532">
                  <c:v>42.277777777777771</c:v>
                </c:pt>
                <c:pt idx="1533">
                  <c:v>42.388888888888886</c:v>
                </c:pt>
                <c:pt idx="1534">
                  <c:v>42.472222222222221</c:v>
                </c:pt>
                <c:pt idx="1535">
                  <c:v>42.638888888888886</c:v>
                </c:pt>
                <c:pt idx="1536">
                  <c:v>42.75</c:v>
                </c:pt>
                <c:pt idx="1537">
                  <c:v>42.833333333333329</c:v>
                </c:pt>
                <c:pt idx="1538">
                  <c:v>43</c:v>
                </c:pt>
                <c:pt idx="1539">
                  <c:v>43.111111111111107</c:v>
                </c:pt>
                <c:pt idx="1540">
                  <c:v>43.194444444444443</c:v>
                </c:pt>
                <c:pt idx="1541">
                  <c:v>43.305555555555557</c:v>
                </c:pt>
                <c:pt idx="1542">
                  <c:v>43.444444444444443</c:v>
                </c:pt>
                <c:pt idx="1543">
                  <c:v>43.555555555555557</c:v>
                </c:pt>
                <c:pt idx="1544">
                  <c:v>43.666666666666664</c:v>
                </c:pt>
                <c:pt idx="1545">
                  <c:v>43.80555555555555</c:v>
                </c:pt>
                <c:pt idx="1546">
                  <c:v>43.916666666666664</c:v>
                </c:pt>
                <c:pt idx="1547">
                  <c:v>44</c:v>
                </c:pt>
                <c:pt idx="1548">
                  <c:v>44.083333333333329</c:v>
                </c:pt>
                <c:pt idx="1549">
                  <c:v>44.222222222222221</c:v>
                </c:pt>
                <c:pt idx="1550">
                  <c:v>44.305555555555557</c:v>
                </c:pt>
                <c:pt idx="1551">
                  <c:v>44.388888888888893</c:v>
                </c:pt>
                <c:pt idx="1552">
                  <c:v>44.527777777777779</c:v>
                </c:pt>
                <c:pt idx="1553">
                  <c:v>44.638888888888886</c:v>
                </c:pt>
                <c:pt idx="1554">
                  <c:v>44.722222222222221</c:v>
                </c:pt>
                <c:pt idx="1555">
                  <c:v>44.805555555555557</c:v>
                </c:pt>
                <c:pt idx="1556">
                  <c:v>44.916666666666664</c:v>
                </c:pt>
                <c:pt idx="1557">
                  <c:v>45.05555555555555</c:v>
                </c:pt>
                <c:pt idx="1558">
                  <c:v>45.138888888888886</c:v>
                </c:pt>
                <c:pt idx="1559">
                  <c:v>45.25</c:v>
                </c:pt>
                <c:pt idx="1560">
                  <c:v>45.333333333333329</c:v>
                </c:pt>
                <c:pt idx="1561">
                  <c:v>45.416666666666664</c:v>
                </c:pt>
                <c:pt idx="1562">
                  <c:v>45.555555555555557</c:v>
                </c:pt>
                <c:pt idx="1563">
                  <c:v>45.638888888888893</c:v>
                </c:pt>
                <c:pt idx="1564">
                  <c:v>45.722222222222221</c:v>
                </c:pt>
                <c:pt idx="1565">
                  <c:v>45.833333333333336</c:v>
                </c:pt>
                <c:pt idx="1566">
                  <c:v>45.916666666666671</c:v>
                </c:pt>
                <c:pt idx="1567">
                  <c:v>46.027777777777771</c:v>
                </c:pt>
                <c:pt idx="1568">
                  <c:v>46.111111111111107</c:v>
                </c:pt>
                <c:pt idx="1569">
                  <c:v>46.277777777777779</c:v>
                </c:pt>
                <c:pt idx="1570">
                  <c:v>46.361111111111114</c:v>
                </c:pt>
                <c:pt idx="1571">
                  <c:v>46.444444444444443</c:v>
                </c:pt>
                <c:pt idx="1572">
                  <c:v>46.527777777777779</c:v>
                </c:pt>
                <c:pt idx="1573">
                  <c:v>46.611111111111114</c:v>
                </c:pt>
                <c:pt idx="1574">
                  <c:v>46.694444444444443</c:v>
                </c:pt>
                <c:pt idx="1575">
                  <c:v>46.777777777777779</c:v>
                </c:pt>
                <c:pt idx="1576">
                  <c:v>46.888888888888893</c:v>
                </c:pt>
                <c:pt idx="1577">
                  <c:v>46.972222222222221</c:v>
                </c:pt>
                <c:pt idx="1578">
                  <c:v>47.055555555555557</c:v>
                </c:pt>
                <c:pt idx="1579">
                  <c:v>47.138888888888886</c:v>
                </c:pt>
                <c:pt idx="1580">
                  <c:v>47.222222222222221</c:v>
                </c:pt>
                <c:pt idx="1581">
                  <c:v>47.277777777777771</c:v>
                </c:pt>
                <c:pt idx="1582">
                  <c:v>47.361111111111107</c:v>
                </c:pt>
                <c:pt idx="1583">
                  <c:v>47.44444444444445</c:v>
                </c:pt>
                <c:pt idx="1584">
                  <c:v>47.527777777777779</c:v>
                </c:pt>
                <c:pt idx="1585">
                  <c:v>47.611111111111114</c:v>
                </c:pt>
                <c:pt idx="1586">
                  <c:v>47.722222222222221</c:v>
                </c:pt>
                <c:pt idx="1587">
                  <c:v>47.80555555555555</c:v>
                </c:pt>
                <c:pt idx="1588">
                  <c:v>47.861111111111114</c:v>
                </c:pt>
                <c:pt idx="1589">
                  <c:v>47.944444444444443</c:v>
                </c:pt>
                <c:pt idx="1590">
                  <c:v>48.027777777777779</c:v>
                </c:pt>
                <c:pt idx="1591">
                  <c:v>48.111111111111107</c:v>
                </c:pt>
                <c:pt idx="1592">
                  <c:v>48.166666666666664</c:v>
                </c:pt>
                <c:pt idx="1593">
                  <c:v>48.249999999999993</c:v>
                </c:pt>
                <c:pt idx="1594">
                  <c:v>48.305555555555557</c:v>
                </c:pt>
                <c:pt idx="1595">
                  <c:v>48.388888888888886</c:v>
                </c:pt>
                <c:pt idx="1596">
                  <c:v>48.444444444444443</c:v>
                </c:pt>
                <c:pt idx="1597">
                  <c:v>48.5</c:v>
                </c:pt>
                <c:pt idx="1598">
                  <c:v>48.583333333333336</c:v>
                </c:pt>
                <c:pt idx="1599">
                  <c:v>48.638888888888886</c:v>
                </c:pt>
                <c:pt idx="1600">
                  <c:v>48.722222222222221</c:v>
                </c:pt>
                <c:pt idx="1601">
                  <c:v>48.777777777777771</c:v>
                </c:pt>
                <c:pt idx="1602">
                  <c:v>48.861111111111114</c:v>
                </c:pt>
                <c:pt idx="1603">
                  <c:v>48.916666666666664</c:v>
                </c:pt>
                <c:pt idx="1604">
                  <c:v>49</c:v>
                </c:pt>
                <c:pt idx="1605">
                  <c:v>49.111111111111114</c:v>
                </c:pt>
                <c:pt idx="1606">
                  <c:v>49.194444444444443</c:v>
                </c:pt>
                <c:pt idx="1607">
                  <c:v>49.277777777777779</c:v>
                </c:pt>
                <c:pt idx="1608">
                  <c:v>49.361111111111107</c:v>
                </c:pt>
                <c:pt idx="1609">
                  <c:v>49.416666666666664</c:v>
                </c:pt>
                <c:pt idx="1610">
                  <c:v>49.499999999999993</c:v>
                </c:pt>
                <c:pt idx="1611">
                  <c:v>49.583333333333329</c:v>
                </c:pt>
                <c:pt idx="1612">
                  <c:v>49.666666666666671</c:v>
                </c:pt>
                <c:pt idx="1613">
                  <c:v>49.722222222222221</c:v>
                </c:pt>
                <c:pt idx="1614">
                  <c:v>49.805555555555557</c:v>
                </c:pt>
                <c:pt idx="1615">
                  <c:v>49.888888888888886</c:v>
                </c:pt>
                <c:pt idx="1616">
                  <c:v>50</c:v>
                </c:pt>
                <c:pt idx="1617">
                  <c:v>50.083333333333336</c:v>
                </c:pt>
                <c:pt idx="1618">
                  <c:v>50.166666666666664</c:v>
                </c:pt>
                <c:pt idx="1619">
                  <c:v>50.25</c:v>
                </c:pt>
                <c:pt idx="1620">
                  <c:v>50.361111111111114</c:v>
                </c:pt>
                <c:pt idx="1621">
                  <c:v>50.444444444444443</c:v>
                </c:pt>
                <c:pt idx="1622">
                  <c:v>50.527777777777779</c:v>
                </c:pt>
                <c:pt idx="1623">
                  <c:v>50.611111111111107</c:v>
                </c:pt>
                <c:pt idx="1624">
                  <c:v>50.694444444444443</c:v>
                </c:pt>
                <c:pt idx="1625">
                  <c:v>50.777777777777779</c:v>
                </c:pt>
                <c:pt idx="1626">
                  <c:v>50.861111111111107</c:v>
                </c:pt>
                <c:pt idx="1627">
                  <c:v>50.916666666666671</c:v>
                </c:pt>
                <c:pt idx="1628">
                  <c:v>51</c:v>
                </c:pt>
                <c:pt idx="1629">
                  <c:v>51.083333333333336</c:v>
                </c:pt>
                <c:pt idx="1630">
                  <c:v>51.166666666666664</c:v>
                </c:pt>
                <c:pt idx="1631">
                  <c:v>51.25</c:v>
                </c:pt>
                <c:pt idx="1632">
                  <c:v>51.333333333333336</c:v>
                </c:pt>
                <c:pt idx="1633">
                  <c:v>51.416666666666664</c:v>
                </c:pt>
                <c:pt idx="1634">
                  <c:v>51.472222222222221</c:v>
                </c:pt>
                <c:pt idx="1635">
                  <c:v>51.527777777777779</c:v>
                </c:pt>
                <c:pt idx="1636">
                  <c:v>51.583333333333329</c:v>
                </c:pt>
                <c:pt idx="1637">
                  <c:v>51.666666666666664</c:v>
                </c:pt>
                <c:pt idx="1638">
                  <c:v>51.75</c:v>
                </c:pt>
                <c:pt idx="1639">
                  <c:v>51.805555555555557</c:v>
                </c:pt>
                <c:pt idx="1640">
                  <c:v>51.888888888888893</c:v>
                </c:pt>
                <c:pt idx="1641">
                  <c:v>51.972222222222221</c:v>
                </c:pt>
                <c:pt idx="1642">
                  <c:v>52.027777777777779</c:v>
                </c:pt>
                <c:pt idx="1643">
                  <c:v>52.111111111111107</c:v>
                </c:pt>
                <c:pt idx="1644">
                  <c:v>52.166666666666671</c:v>
                </c:pt>
                <c:pt idx="1645">
                  <c:v>52.222222222222221</c:v>
                </c:pt>
                <c:pt idx="1646">
                  <c:v>52.25</c:v>
                </c:pt>
                <c:pt idx="1647">
                  <c:v>52.305555555555557</c:v>
                </c:pt>
                <c:pt idx="1648">
                  <c:v>52.361111111111107</c:v>
                </c:pt>
                <c:pt idx="1649">
                  <c:v>52.416666666666664</c:v>
                </c:pt>
                <c:pt idx="1650">
                  <c:v>52.472222222222221</c:v>
                </c:pt>
                <c:pt idx="1651">
                  <c:v>52.527777777777771</c:v>
                </c:pt>
                <c:pt idx="1652">
                  <c:v>52.583333333333336</c:v>
                </c:pt>
                <c:pt idx="1653">
                  <c:v>52.611111111111114</c:v>
                </c:pt>
                <c:pt idx="1654">
                  <c:v>52.666666666666664</c:v>
                </c:pt>
                <c:pt idx="1655">
                  <c:v>52.694444444444443</c:v>
                </c:pt>
                <c:pt idx="1656">
                  <c:v>52.75</c:v>
                </c:pt>
                <c:pt idx="1657">
                  <c:v>52.777777777777779</c:v>
                </c:pt>
                <c:pt idx="1658">
                  <c:v>52.833333333333329</c:v>
                </c:pt>
                <c:pt idx="1659">
                  <c:v>52.888888888888886</c:v>
                </c:pt>
                <c:pt idx="1660">
                  <c:v>52.916666666666664</c:v>
                </c:pt>
                <c:pt idx="1661">
                  <c:v>52.972222222222214</c:v>
                </c:pt>
                <c:pt idx="1662">
                  <c:v>53</c:v>
                </c:pt>
                <c:pt idx="1663">
                  <c:v>53.027777777777779</c:v>
                </c:pt>
                <c:pt idx="1664">
                  <c:v>53.083333333333329</c:v>
                </c:pt>
                <c:pt idx="1665">
                  <c:v>53.138888888888893</c:v>
                </c:pt>
                <c:pt idx="1666">
                  <c:v>53.194444444444443</c:v>
                </c:pt>
                <c:pt idx="1667">
                  <c:v>53.249999999999993</c:v>
                </c:pt>
                <c:pt idx="1668">
                  <c:v>53.333333333333329</c:v>
                </c:pt>
                <c:pt idx="1669">
                  <c:v>53.361111111111107</c:v>
                </c:pt>
                <c:pt idx="1670">
                  <c:v>53.416666666666671</c:v>
                </c:pt>
                <c:pt idx="1671">
                  <c:v>53.472222222222221</c:v>
                </c:pt>
                <c:pt idx="1672">
                  <c:v>53.527777777777771</c:v>
                </c:pt>
                <c:pt idx="1673">
                  <c:v>53.583333333333336</c:v>
                </c:pt>
                <c:pt idx="1674">
                  <c:v>53.666666666666664</c:v>
                </c:pt>
                <c:pt idx="1675">
                  <c:v>53.694444444444443</c:v>
                </c:pt>
                <c:pt idx="1676">
                  <c:v>53.75</c:v>
                </c:pt>
                <c:pt idx="1677">
                  <c:v>53.80555555555555</c:v>
                </c:pt>
                <c:pt idx="1678">
                  <c:v>53.888888888888886</c:v>
                </c:pt>
                <c:pt idx="1679">
                  <c:v>53.944444444444443</c:v>
                </c:pt>
                <c:pt idx="1680">
                  <c:v>54</c:v>
                </c:pt>
                <c:pt idx="1681">
                  <c:v>54.027777777777779</c:v>
                </c:pt>
                <c:pt idx="1682">
                  <c:v>54.111111111111114</c:v>
                </c:pt>
                <c:pt idx="1683">
                  <c:v>54.166666666666664</c:v>
                </c:pt>
                <c:pt idx="1684">
                  <c:v>54.25</c:v>
                </c:pt>
                <c:pt idx="1685">
                  <c:v>54.305555555555557</c:v>
                </c:pt>
                <c:pt idx="1686">
                  <c:v>54.361111111111107</c:v>
                </c:pt>
                <c:pt idx="1687">
                  <c:v>54.388888888888893</c:v>
                </c:pt>
                <c:pt idx="1688">
                  <c:v>54.444444444444443</c:v>
                </c:pt>
                <c:pt idx="1689">
                  <c:v>54.499999999999993</c:v>
                </c:pt>
                <c:pt idx="1690">
                  <c:v>54.555555555555557</c:v>
                </c:pt>
                <c:pt idx="1691">
                  <c:v>54.611111111111107</c:v>
                </c:pt>
                <c:pt idx="1692">
                  <c:v>54.666666666666671</c:v>
                </c:pt>
                <c:pt idx="1693">
                  <c:v>54.722222222222221</c:v>
                </c:pt>
                <c:pt idx="1694">
                  <c:v>54.777777777777771</c:v>
                </c:pt>
                <c:pt idx="1695">
                  <c:v>54.833333333333336</c:v>
                </c:pt>
                <c:pt idx="1696">
                  <c:v>54.888888888888886</c:v>
                </c:pt>
                <c:pt idx="1697">
                  <c:v>54.916666666666664</c:v>
                </c:pt>
                <c:pt idx="1698">
                  <c:v>54.972222222222221</c:v>
                </c:pt>
                <c:pt idx="1699">
                  <c:v>55.027777777777771</c:v>
                </c:pt>
                <c:pt idx="1700">
                  <c:v>55.083333333333336</c:v>
                </c:pt>
                <c:pt idx="1701">
                  <c:v>55.138888888888886</c:v>
                </c:pt>
                <c:pt idx="1702">
                  <c:v>55.166666666666664</c:v>
                </c:pt>
                <c:pt idx="1703">
                  <c:v>55.194444444444443</c:v>
                </c:pt>
                <c:pt idx="1704">
                  <c:v>55.222222222222221</c:v>
                </c:pt>
                <c:pt idx="1705">
                  <c:v>55.277777777777779</c:v>
                </c:pt>
                <c:pt idx="1706">
                  <c:v>55.30555555555555</c:v>
                </c:pt>
                <c:pt idx="1707">
                  <c:v>55.30555555555555</c:v>
                </c:pt>
                <c:pt idx="1708">
                  <c:v>55.333333333333329</c:v>
                </c:pt>
                <c:pt idx="1709">
                  <c:v>55.361111111111114</c:v>
                </c:pt>
                <c:pt idx="1710">
                  <c:v>55.361111111111114</c:v>
                </c:pt>
                <c:pt idx="1711">
                  <c:v>55.361111111111114</c:v>
                </c:pt>
                <c:pt idx="1712">
                  <c:v>55.388888888888886</c:v>
                </c:pt>
                <c:pt idx="1713">
                  <c:v>55.388888888888886</c:v>
                </c:pt>
                <c:pt idx="1714">
                  <c:v>55.388888888888886</c:v>
                </c:pt>
                <c:pt idx="1715">
                  <c:v>55.388888888888886</c:v>
                </c:pt>
                <c:pt idx="1716">
                  <c:v>55.361111111111114</c:v>
                </c:pt>
                <c:pt idx="1717">
                  <c:v>55.333333333333329</c:v>
                </c:pt>
                <c:pt idx="1718">
                  <c:v>55.30555555555555</c:v>
                </c:pt>
                <c:pt idx="1719">
                  <c:v>55.277777777777779</c:v>
                </c:pt>
                <c:pt idx="1720">
                  <c:v>55.25</c:v>
                </c:pt>
                <c:pt idx="1721">
                  <c:v>55.194444444444443</c:v>
                </c:pt>
                <c:pt idx="1722">
                  <c:v>55.138888888888886</c:v>
                </c:pt>
                <c:pt idx="1723">
                  <c:v>55.083333333333336</c:v>
                </c:pt>
                <c:pt idx="1724">
                  <c:v>55.05555555555555</c:v>
                </c:pt>
                <c:pt idx="1725">
                  <c:v>55</c:v>
                </c:pt>
                <c:pt idx="1726">
                  <c:v>54.916666666666664</c:v>
                </c:pt>
                <c:pt idx="1727">
                  <c:v>54.833333333333336</c:v>
                </c:pt>
                <c:pt idx="1728">
                  <c:v>54.805555555555557</c:v>
                </c:pt>
                <c:pt idx="1729">
                  <c:v>54.694444444444443</c:v>
                </c:pt>
                <c:pt idx="1730">
                  <c:v>54.611111111111107</c:v>
                </c:pt>
                <c:pt idx="1731">
                  <c:v>54.527777777777779</c:v>
                </c:pt>
                <c:pt idx="1732">
                  <c:v>54.472222222222221</c:v>
                </c:pt>
                <c:pt idx="1733">
                  <c:v>54.361111111111107</c:v>
                </c:pt>
                <c:pt idx="1734">
                  <c:v>54.25</c:v>
                </c:pt>
                <c:pt idx="1735">
                  <c:v>54.138888888888886</c:v>
                </c:pt>
                <c:pt idx="1736">
                  <c:v>54.083333333333329</c:v>
                </c:pt>
                <c:pt idx="1737">
                  <c:v>53.972222222222221</c:v>
                </c:pt>
                <c:pt idx="1738">
                  <c:v>53.888888888888886</c:v>
                </c:pt>
                <c:pt idx="1739">
                  <c:v>53.777777777777771</c:v>
                </c:pt>
                <c:pt idx="1740">
                  <c:v>53.75</c:v>
                </c:pt>
                <c:pt idx="1741">
                  <c:v>53.638888888888886</c:v>
                </c:pt>
                <c:pt idx="1742">
                  <c:v>53.555555555555557</c:v>
                </c:pt>
                <c:pt idx="1743">
                  <c:v>53.472222222222221</c:v>
                </c:pt>
                <c:pt idx="1744">
                  <c:v>53.416666666666671</c:v>
                </c:pt>
                <c:pt idx="1745">
                  <c:v>53.333333333333329</c:v>
                </c:pt>
                <c:pt idx="1746">
                  <c:v>53.249999999999993</c:v>
                </c:pt>
                <c:pt idx="1747">
                  <c:v>53.166666666666664</c:v>
                </c:pt>
                <c:pt idx="1748">
                  <c:v>53.083333333333329</c:v>
                </c:pt>
                <c:pt idx="1749">
                  <c:v>53.027777777777779</c:v>
                </c:pt>
                <c:pt idx="1750">
                  <c:v>52.944444444444443</c:v>
                </c:pt>
                <c:pt idx="1751">
                  <c:v>52.888888888888886</c:v>
                </c:pt>
                <c:pt idx="1752">
                  <c:v>52.80555555555555</c:v>
                </c:pt>
                <c:pt idx="1753">
                  <c:v>52.75</c:v>
                </c:pt>
                <c:pt idx="1754">
                  <c:v>52.666666666666664</c:v>
                </c:pt>
                <c:pt idx="1755">
                  <c:v>52.611111111111114</c:v>
                </c:pt>
                <c:pt idx="1756">
                  <c:v>52.55555555555555</c:v>
                </c:pt>
                <c:pt idx="1757">
                  <c:v>52.5</c:v>
                </c:pt>
                <c:pt idx="1758">
                  <c:v>52.472222222222221</c:v>
                </c:pt>
                <c:pt idx="1759">
                  <c:v>52.416666666666664</c:v>
                </c:pt>
                <c:pt idx="1760">
                  <c:v>52.333333333333336</c:v>
                </c:pt>
                <c:pt idx="1761">
                  <c:v>52.222222222222221</c:v>
                </c:pt>
                <c:pt idx="1762">
                  <c:v>52.138888888888886</c:v>
                </c:pt>
                <c:pt idx="1763">
                  <c:v>52.083333333333329</c:v>
                </c:pt>
                <c:pt idx="1764">
                  <c:v>51.999999999999993</c:v>
                </c:pt>
                <c:pt idx="1765">
                  <c:v>51.888888888888893</c:v>
                </c:pt>
                <c:pt idx="1766">
                  <c:v>51.777777777777779</c:v>
                </c:pt>
                <c:pt idx="1767">
                  <c:v>51.666666666666664</c:v>
                </c:pt>
                <c:pt idx="1768">
                  <c:v>51.611111111111114</c:v>
                </c:pt>
                <c:pt idx="1769">
                  <c:v>51.5</c:v>
                </c:pt>
                <c:pt idx="1770">
                  <c:v>51.388888888888886</c:v>
                </c:pt>
                <c:pt idx="1771">
                  <c:v>51.277777777777771</c:v>
                </c:pt>
                <c:pt idx="1772">
                  <c:v>51.166666666666664</c:v>
                </c:pt>
                <c:pt idx="1773">
                  <c:v>51.055555555555557</c:v>
                </c:pt>
                <c:pt idx="1774">
                  <c:v>51</c:v>
                </c:pt>
                <c:pt idx="1775">
                  <c:v>50.888888888888886</c:v>
                </c:pt>
                <c:pt idx="1776">
                  <c:v>50.777777777777779</c:v>
                </c:pt>
                <c:pt idx="1777">
                  <c:v>50.638888888888893</c:v>
                </c:pt>
                <c:pt idx="1778">
                  <c:v>50.5</c:v>
                </c:pt>
                <c:pt idx="1779">
                  <c:v>50.388888888888886</c:v>
                </c:pt>
                <c:pt idx="1780">
                  <c:v>50.333333333333329</c:v>
                </c:pt>
                <c:pt idx="1781">
                  <c:v>50.194444444444443</c:v>
                </c:pt>
                <c:pt idx="1782">
                  <c:v>50.083333333333336</c:v>
                </c:pt>
                <c:pt idx="1783">
                  <c:v>49.972222222222221</c:v>
                </c:pt>
                <c:pt idx="1784">
                  <c:v>49.861111111111107</c:v>
                </c:pt>
                <c:pt idx="1785">
                  <c:v>49.75</c:v>
                </c:pt>
                <c:pt idx="1786">
                  <c:v>49.638888888888886</c:v>
                </c:pt>
                <c:pt idx="1787">
                  <c:v>49.611111111111107</c:v>
                </c:pt>
                <c:pt idx="1788">
                  <c:v>49.527777777777779</c:v>
                </c:pt>
                <c:pt idx="1789">
                  <c:v>49.444444444444443</c:v>
                </c:pt>
                <c:pt idx="1790">
                  <c:v>49.361111111111107</c:v>
                </c:pt>
                <c:pt idx="1791">
                  <c:v>49.277777777777779</c:v>
                </c:pt>
                <c:pt idx="1792">
                  <c:v>49.194444444444443</c:v>
                </c:pt>
                <c:pt idx="1793">
                  <c:v>49.138888888888886</c:v>
                </c:pt>
                <c:pt idx="1794">
                  <c:v>49.083333333333329</c:v>
                </c:pt>
                <c:pt idx="1795">
                  <c:v>49.05555555555555</c:v>
                </c:pt>
                <c:pt idx="1796">
                  <c:v>48.972222222222221</c:v>
                </c:pt>
                <c:pt idx="1797">
                  <c:v>48.916666666666664</c:v>
                </c:pt>
                <c:pt idx="1798">
                  <c:v>48.861111111111114</c:v>
                </c:pt>
                <c:pt idx="1799">
                  <c:v>48.833333333333336</c:v>
                </c:pt>
                <c:pt idx="1800">
                  <c:v>48.777777777777771</c:v>
                </c:pt>
                <c:pt idx="1801">
                  <c:v>48.722222222222221</c:v>
                </c:pt>
                <c:pt idx="1802">
                  <c:v>48.694444444444443</c:v>
                </c:pt>
                <c:pt idx="1803">
                  <c:v>48.666666666666664</c:v>
                </c:pt>
                <c:pt idx="1804">
                  <c:v>48.638888888888886</c:v>
                </c:pt>
                <c:pt idx="1805">
                  <c:v>48.611111111111107</c:v>
                </c:pt>
                <c:pt idx="1806">
                  <c:v>48.583333333333336</c:v>
                </c:pt>
                <c:pt idx="1807">
                  <c:v>48.555555555555557</c:v>
                </c:pt>
                <c:pt idx="1808">
                  <c:v>48.527777777777771</c:v>
                </c:pt>
                <c:pt idx="1809">
                  <c:v>48.5</c:v>
                </c:pt>
                <c:pt idx="1810">
                  <c:v>48.472222222222221</c:v>
                </c:pt>
                <c:pt idx="1811">
                  <c:v>48.444444444444443</c:v>
                </c:pt>
                <c:pt idx="1812">
                  <c:v>48.444444444444443</c:v>
                </c:pt>
                <c:pt idx="1813">
                  <c:v>48.416666666666671</c:v>
                </c:pt>
                <c:pt idx="1814">
                  <c:v>48.416666666666671</c:v>
                </c:pt>
                <c:pt idx="1815">
                  <c:v>48.388888888888886</c:v>
                </c:pt>
                <c:pt idx="1816">
                  <c:v>48.361111111111107</c:v>
                </c:pt>
                <c:pt idx="1817">
                  <c:v>48.361111111111107</c:v>
                </c:pt>
                <c:pt idx="1818">
                  <c:v>48.333333333333329</c:v>
                </c:pt>
                <c:pt idx="1819">
                  <c:v>48.333333333333329</c:v>
                </c:pt>
                <c:pt idx="1820">
                  <c:v>48.333333333333329</c:v>
                </c:pt>
                <c:pt idx="1821">
                  <c:v>48.333333333333329</c:v>
                </c:pt>
                <c:pt idx="1822">
                  <c:v>48.305555555555557</c:v>
                </c:pt>
                <c:pt idx="1823">
                  <c:v>48.305555555555557</c:v>
                </c:pt>
                <c:pt idx="1824">
                  <c:v>48.305555555555557</c:v>
                </c:pt>
                <c:pt idx="1825">
                  <c:v>48.305555555555557</c:v>
                </c:pt>
                <c:pt idx="1826">
                  <c:v>48.305555555555557</c:v>
                </c:pt>
                <c:pt idx="1827">
                  <c:v>48.305555555555557</c:v>
                </c:pt>
                <c:pt idx="1828">
                  <c:v>48.305555555555557</c:v>
                </c:pt>
                <c:pt idx="1829">
                  <c:v>48.305555555555557</c:v>
                </c:pt>
                <c:pt idx="1830">
                  <c:v>48.305555555555557</c:v>
                </c:pt>
                <c:pt idx="1831">
                  <c:v>48.333333333333329</c:v>
                </c:pt>
                <c:pt idx="1832">
                  <c:v>48.333333333333329</c:v>
                </c:pt>
                <c:pt idx="1833">
                  <c:v>48.361111111111107</c:v>
                </c:pt>
                <c:pt idx="1834">
                  <c:v>48.361111111111107</c:v>
                </c:pt>
                <c:pt idx="1835">
                  <c:v>48.388888888888886</c:v>
                </c:pt>
                <c:pt idx="1836">
                  <c:v>48.416666666666671</c:v>
                </c:pt>
                <c:pt idx="1837">
                  <c:v>48.416666666666671</c:v>
                </c:pt>
                <c:pt idx="1838">
                  <c:v>48.444444444444443</c:v>
                </c:pt>
                <c:pt idx="1839">
                  <c:v>48.472222222222221</c:v>
                </c:pt>
                <c:pt idx="1840">
                  <c:v>48.5</c:v>
                </c:pt>
                <c:pt idx="1841">
                  <c:v>48.527777777777771</c:v>
                </c:pt>
                <c:pt idx="1842">
                  <c:v>48.555555555555557</c:v>
                </c:pt>
                <c:pt idx="1843">
                  <c:v>48.583333333333336</c:v>
                </c:pt>
                <c:pt idx="1844">
                  <c:v>48.611111111111107</c:v>
                </c:pt>
                <c:pt idx="1845">
                  <c:v>48.666666666666664</c:v>
                </c:pt>
                <c:pt idx="1846">
                  <c:v>48.694444444444443</c:v>
                </c:pt>
                <c:pt idx="1847">
                  <c:v>48.75</c:v>
                </c:pt>
                <c:pt idx="1848">
                  <c:v>48.777777777777771</c:v>
                </c:pt>
                <c:pt idx="1849">
                  <c:v>48.833333333333336</c:v>
                </c:pt>
                <c:pt idx="1850">
                  <c:v>48.888888888888886</c:v>
                </c:pt>
                <c:pt idx="1851">
                  <c:v>48.944444444444443</c:v>
                </c:pt>
                <c:pt idx="1852">
                  <c:v>49</c:v>
                </c:pt>
                <c:pt idx="1853">
                  <c:v>49.027777777777779</c:v>
                </c:pt>
                <c:pt idx="1854">
                  <c:v>49.083333333333329</c:v>
                </c:pt>
                <c:pt idx="1855">
                  <c:v>49.138888888888886</c:v>
                </c:pt>
                <c:pt idx="1856">
                  <c:v>49.194444444444443</c:v>
                </c:pt>
                <c:pt idx="1857">
                  <c:v>49.25</c:v>
                </c:pt>
                <c:pt idx="1858">
                  <c:v>49.333333333333329</c:v>
                </c:pt>
                <c:pt idx="1859">
                  <c:v>49.388888888888893</c:v>
                </c:pt>
                <c:pt idx="1860">
                  <c:v>49.444444444444443</c:v>
                </c:pt>
                <c:pt idx="1861">
                  <c:v>49.527777777777779</c:v>
                </c:pt>
                <c:pt idx="1862">
                  <c:v>49.555555555555557</c:v>
                </c:pt>
                <c:pt idx="1863">
                  <c:v>49.611111111111107</c:v>
                </c:pt>
                <c:pt idx="1864">
                  <c:v>49.638888888888886</c:v>
                </c:pt>
                <c:pt idx="1865">
                  <c:v>49.694444444444443</c:v>
                </c:pt>
                <c:pt idx="1866">
                  <c:v>49.75</c:v>
                </c:pt>
                <c:pt idx="1867">
                  <c:v>49.805555555555557</c:v>
                </c:pt>
                <c:pt idx="1868">
                  <c:v>49.861111111111107</c:v>
                </c:pt>
                <c:pt idx="1869">
                  <c:v>49.944444444444443</c:v>
                </c:pt>
                <c:pt idx="1870">
                  <c:v>50</c:v>
                </c:pt>
                <c:pt idx="1871">
                  <c:v>50.05555555555555</c:v>
                </c:pt>
                <c:pt idx="1872">
                  <c:v>50.111111111111114</c:v>
                </c:pt>
                <c:pt idx="1873">
                  <c:v>50.138888888888886</c:v>
                </c:pt>
                <c:pt idx="1874">
                  <c:v>50.222222222222221</c:v>
                </c:pt>
                <c:pt idx="1875">
                  <c:v>50.277777777777779</c:v>
                </c:pt>
                <c:pt idx="1876">
                  <c:v>50.333333333333329</c:v>
                </c:pt>
                <c:pt idx="1877">
                  <c:v>50.416666666666664</c:v>
                </c:pt>
                <c:pt idx="1878">
                  <c:v>50.472222222222214</c:v>
                </c:pt>
                <c:pt idx="1879">
                  <c:v>50.527777777777779</c:v>
                </c:pt>
                <c:pt idx="1880">
                  <c:v>50.611111111111107</c:v>
                </c:pt>
                <c:pt idx="1881">
                  <c:v>50.666666666666664</c:v>
                </c:pt>
                <c:pt idx="1882">
                  <c:v>50.722222222222221</c:v>
                </c:pt>
                <c:pt idx="1883">
                  <c:v>50.805555555555557</c:v>
                </c:pt>
                <c:pt idx="1884">
                  <c:v>50.888888888888886</c:v>
                </c:pt>
                <c:pt idx="1885">
                  <c:v>51</c:v>
                </c:pt>
                <c:pt idx="1886">
                  <c:v>51.083333333333336</c:v>
                </c:pt>
                <c:pt idx="1887">
                  <c:v>51.166666666666664</c:v>
                </c:pt>
                <c:pt idx="1888">
                  <c:v>51.277777777777771</c:v>
                </c:pt>
                <c:pt idx="1889">
                  <c:v>51.361111111111114</c:v>
                </c:pt>
                <c:pt idx="1890">
                  <c:v>51.416666666666664</c:v>
                </c:pt>
                <c:pt idx="1891">
                  <c:v>51.5</c:v>
                </c:pt>
                <c:pt idx="1892">
                  <c:v>51.583333333333329</c:v>
                </c:pt>
                <c:pt idx="1893">
                  <c:v>51.666666666666664</c:v>
                </c:pt>
                <c:pt idx="1894">
                  <c:v>51.75</c:v>
                </c:pt>
                <c:pt idx="1895">
                  <c:v>51.861111111111107</c:v>
                </c:pt>
                <c:pt idx="1896">
                  <c:v>51.944444444444443</c:v>
                </c:pt>
                <c:pt idx="1897">
                  <c:v>52.027777777777779</c:v>
                </c:pt>
                <c:pt idx="1898">
                  <c:v>52.055555555555557</c:v>
                </c:pt>
                <c:pt idx="1899">
                  <c:v>52.138888888888886</c:v>
                </c:pt>
                <c:pt idx="1900">
                  <c:v>52.222222222222221</c:v>
                </c:pt>
                <c:pt idx="1901">
                  <c:v>52.305555555555557</c:v>
                </c:pt>
                <c:pt idx="1902">
                  <c:v>52.361111111111107</c:v>
                </c:pt>
                <c:pt idx="1903">
                  <c:v>52.444444444444443</c:v>
                </c:pt>
                <c:pt idx="1904">
                  <c:v>52.5</c:v>
                </c:pt>
                <c:pt idx="1905">
                  <c:v>52.583333333333336</c:v>
                </c:pt>
                <c:pt idx="1906">
                  <c:v>52.611111111111114</c:v>
                </c:pt>
                <c:pt idx="1907">
                  <c:v>52.666666666666664</c:v>
                </c:pt>
                <c:pt idx="1908">
                  <c:v>52.722222222222221</c:v>
                </c:pt>
                <c:pt idx="1909">
                  <c:v>52.80555555555555</c:v>
                </c:pt>
                <c:pt idx="1910">
                  <c:v>52.861111111111114</c:v>
                </c:pt>
                <c:pt idx="1911">
                  <c:v>52.916666666666664</c:v>
                </c:pt>
                <c:pt idx="1912">
                  <c:v>52.944444444444443</c:v>
                </c:pt>
                <c:pt idx="1913">
                  <c:v>53</c:v>
                </c:pt>
                <c:pt idx="1914">
                  <c:v>53.027777777777779</c:v>
                </c:pt>
                <c:pt idx="1915">
                  <c:v>53.083333333333329</c:v>
                </c:pt>
                <c:pt idx="1916">
                  <c:v>53.138888888888893</c:v>
                </c:pt>
                <c:pt idx="1917">
                  <c:v>53.166666666666664</c:v>
                </c:pt>
                <c:pt idx="1918">
                  <c:v>53.222222222222221</c:v>
                </c:pt>
                <c:pt idx="1919">
                  <c:v>53.222222222222221</c:v>
                </c:pt>
                <c:pt idx="1920">
                  <c:v>53.277777777777779</c:v>
                </c:pt>
                <c:pt idx="1921">
                  <c:v>53.305555555555557</c:v>
                </c:pt>
                <c:pt idx="1922">
                  <c:v>53.361111111111107</c:v>
                </c:pt>
                <c:pt idx="1923">
                  <c:v>53.416666666666671</c:v>
                </c:pt>
                <c:pt idx="1924">
                  <c:v>53.444444444444443</c:v>
                </c:pt>
                <c:pt idx="1925">
                  <c:v>53.472222222222221</c:v>
                </c:pt>
                <c:pt idx="1926">
                  <c:v>53.527777777777771</c:v>
                </c:pt>
                <c:pt idx="1927">
                  <c:v>53.583333333333336</c:v>
                </c:pt>
                <c:pt idx="1928">
                  <c:v>53.611111111111107</c:v>
                </c:pt>
                <c:pt idx="1929">
                  <c:v>53.666666666666664</c:v>
                </c:pt>
                <c:pt idx="1930">
                  <c:v>53.722222222222221</c:v>
                </c:pt>
                <c:pt idx="1931">
                  <c:v>53.777777777777771</c:v>
                </c:pt>
                <c:pt idx="1932">
                  <c:v>53.777777777777771</c:v>
                </c:pt>
                <c:pt idx="1933">
                  <c:v>53.833333333333336</c:v>
                </c:pt>
                <c:pt idx="1934">
                  <c:v>53.888888888888886</c:v>
                </c:pt>
                <c:pt idx="1935">
                  <c:v>53.944444444444443</c:v>
                </c:pt>
                <c:pt idx="1936">
                  <c:v>54</c:v>
                </c:pt>
                <c:pt idx="1937">
                  <c:v>54.05555555555555</c:v>
                </c:pt>
                <c:pt idx="1938">
                  <c:v>54.083333333333329</c:v>
                </c:pt>
                <c:pt idx="1939">
                  <c:v>54.166666666666664</c:v>
                </c:pt>
                <c:pt idx="1940">
                  <c:v>54.222222222222214</c:v>
                </c:pt>
                <c:pt idx="1941">
                  <c:v>54.277777777777779</c:v>
                </c:pt>
                <c:pt idx="1942">
                  <c:v>54.333333333333329</c:v>
                </c:pt>
                <c:pt idx="1943">
                  <c:v>54.361111111111107</c:v>
                </c:pt>
                <c:pt idx="1944">
                  <c:v>54.416666666666664</c:v>
                </c:pt>
                <c:pt idx="1945">
                  <c:v>54.472222222222221</c:v>
                </c:pt>
                <c:pt idx="1946">
                  <c:v>54.499999999999993</c:v>
                </c:pt>
                <c:pt idx="1947">
                  <c:v>54.555555555555557</c:v>
                </c:pt>
                <c:pt idx="1948">
                  <c:v>54.583333333333329</c:v>
                </c:pt>
                <c:pt idx="1949">
                  <c:v>54.611111111111107</c:v>
                </c:pt>
                <c:pt idx="1950">
                  <c:v>54.638888888888886</c:v>
                </c:pt>
                <c:pt idx="1951">
                  <c:v>54.666666666666671</c:v>
                </c:pt>
                <c:pt idx="1952">
                  <c:v>54.694444444444443</c:v>
                </c:pt>
                <c:pt idx="1953">
                  <c:v>54.722222222222221</c:v>
                </c:pt>
                <c:pt idx="1954">
                  <c:v>54.722222222222221</c:v>
                </c:pt>
                <c:pt idx="1955">
                  <c:v>54.722222222222221</c:v>
                </c:pt>
                <c:pt idx="1956">
                  <c:v>54.722222222222221</c:v>
                </c:pt>
                <c:pt idx="1957">
                  <c:v>54.75</c:v>
                </c:pt>
                <c:pt idx="1958">
                  <c:v>54.75</c:v>
                </c:pt>
                <c:pt idx="1959">
                  <c:v>54.722222222222221</c:v>
                </c:pt>
                <c:pt idx="1960">
                  <c:v>54.666666666666671</c:v>
                </c:pt>
                <c:pt idx="1961">
                  <c:v>54.638888888888886</c:v>
                </c:pt>
                <c:pt idx="1962">
                  <c:v>54.611111111111107</c:v>
                </c:pt>
                <c:pt idx="1963">
                  <c:v>54.583333333333329</c:v>
                </c:pt>
                <c:pt idx="1964">
                  <c:v>54.527777777777779</c:v>
                </c:pt>
                <c:pt idx="1965">
                  <c:v>54.472222222222221</c:v>
                </c:pt>
                <c:pt idx="1966">
                  <c:v>54.388888888888893</c:v>
                </c:pt>
                <c:pt idx="1967">
                  <c:v>54.305555555555557</c:v>
                </c:pt>
                <c:pt idx="1968">
                  <c:v>54.222222222222214</c:v>
                </c:pt>
                <c:pt idx="1969">
                  <c:v>54.166666666666664</c:v>
                </c:pt>
                <c:pt idx="1970">
                  <c:v>54.083333333333329</c:v>
                </c:pt>
                <c:pt idx="1971">
                  <c:v>54</c:v>
                </c:pt>
                <c:pt idx="1972">
                  <c:v>53.916666666666664</c:v>
                </c:pt>
                <c:pt idx="1973">
                  <c:v>53.80555555555555</c:v>
                </c:pt>
                <c:pt idx="1974">
                  <c:v>53.722222222222221</c:v>
                </c:pt>
                <c:pt idx="1975">
                  <c:v>53.611111111111107</c:v>
                </c:pt>
                <c:pt idx="1976">
                  <c:v>53.5</c:v>
                </c:pt>
                <c:pt idx="1977">
                  <c:v>53.388888888888886</c:v>
                </c:pt>
                <c:pt idx="1978">
                  <c:v>53.333333333333329</c:v>
                </c:pt>
                <c:pt idx="1979">
                  <c:v>53.222222222222221</c:v>
                </c:pt>
                <c:pt idx="1980">
                  <c:v>53.083333333333329</c:v>
                </c:pt>
                <c:pt idx="1981">
                  <c:v>52.972222222222214</c:v>
                </c:pt>
                <c:pt idx="1982">
                  <c:v>52.861111111111114</c:v>
                </c:pt>
                <c:pt idx="1983">
                  <c:v>52.722222222222221</c:v>
                </c:pt>
                <c:pt idx="1984">
                  <c:v>52.611111111111114</c:v>
                </c:pt>
                <c:pt idx="1985">
                  <c:v>52.472222222222221</c:v>
                </c:pt>
                <c:pt idx="1986">
                  <c:v>52.388888888888886</c:v>
                </c:pt>
                <c:pt idx="1987">
                  <c:v>52.277777777777771</c:v>
                </c:pt>
                <c:pt idx="1988">
                  <c:v>52.166666666666671</c:v>
                </c:pt>
                <c:pt idx="1989">
                  <c:v>52.055555555555557</c:v>
                </c:pt>
                <c:pt idx="1990">
                  <c:v>51.916666666666664</c:v>
                </c:pt>
                <c:pt idx="1991">
                  <c:v>51.805555555555557</c:v>
                </c:pt>
                <c:pt idx="1992">
                  <c:v>51.666666666666664</c:v>
                </c:pt>
                <c:pt idx="1993">
                  <c:v>51.527777777777779</c:v>
                </c:pt>
                <c:pt idx="1994">
                  <c:v>51.388888888888886</c:v>
                </c:pt>
                <c:pt idx="1995">
                  <c:v>51.25</c:v>
                </c:pt>
                <c:pt idx="1996">
                  <c:v>50.944444444444443</c:v>
                </c:pt>
                <c:pt idx="1997">
                  <c:v>50.749999999999993</c:v>
                </c:pt>
                <c:pt idx="1998">
                  <c:v>50.555555555555557</c:v>
                </c:pt>
                <c:pt idx="1999">
                  <c:v>50.361111111111114</c:v>
                </c:pt>
                <c:pt idx="2000">
                  <c:v>50.111111111111114</c:v>
                </c:pt>
                <c:pt idx="2001">
                  <c:v>49.861111111111107</c:v>
                </c:pt>
                <c:pt idx="2002">
                  <c:v>49.611111111111107</c:v>
                </c:pt>
                <c:pt idx="2003">
                  <c:v>49.361111111111107</c:v>
                </c:pt>
                <c:pt idx="2004">
                  <c:v>49.111111111111114</c:v>
                </c:pt>
                <c:pt idx="2005">
                  <c:v>48.638888888888886</c:v>
                </c:pt>
                <c:pt idx="2006">
                  <c:v>48.333333333333329</c:v>
                </c:pt>
                <c:pt idx="2007">
                  <c:v>48</c:v>
                </c:pt>
                <c:pt idx="2008">
                  <c:v>47.694444444444443</c:v>
                </c:pt>
                <c:pt idx="2009">
                  <c:v>47.388888888888886</c:v>
                </c:pt>
                <c:pt idx="2010">
                  <c:v>47.027777777777779</c:v>
                </c:pt>
                <c:pt idx="2011">
                  <c:v>46.5</c:v>
                </c:pt>
                <c:pt idx="2012">
                  <c:v>46.166666666666664</c:v>
                </c:pt>
                <c:pt idx="2013">
                  <c:v>45.805555555555557</c:v>
                </c:pt>
                <c:pt idx="2014">
                  <c:v>45.5</c:v>
                </c:pt>
                <c:pt idx="2015">
                  <c:v>45.166666666666664</c:v>
                </c:pt>
                <c:pt idx="2016">
                  <c:v>44.722222222222221</c:v>
                </c:pt>
                <c:pt idx="2017">
                  <c:v>44.388888888888893</c:v>
                </c:pt>
                <c:pt idx="2018">
                  <c:v>44.111111111111114</c:v>
                </c:pt>
                <c:pt idx="2019">
                  <c:v>43.888888888888886</c:v>
                </c:pt>
                <c:pt idx="2020">
                  <c:v>43.527777777777771</c:v>
                </c:pt>
                <c:pt idx="2021">
                  <c:v>43.305555555555557</c:v>
                </c:pt>
                <c:pt idx="2022">
                  <c:v>43.055555555555557</c:v>
                </c:pt>
                <c:pt idx="2023">
                  <c:v>42.861111111111114</c:v>
                </c:pt>
                <c:pt idx="2024">
                  <c:v>42.55555555555555</c:v>
                </c:pt>
                <c:pt idx="2025">
                  <c:v>42.361111111111107</c:v>
                </c:pt>
                <c:pt idx="2026">
                  <c:v>42.166666666666671</c:v>
                </c:pt>
                <c:pt idx="2027">
                  <c:v>41.916666666666664</c:v>
                </c:pt>
                <c:pt idx="2028">
                  <c:v>41.75</c:v>
                </c:pt>
                <c:pt idx="2029">
                  <c:v>41.583333333333329</c:v>
                </c:pt>
                <c:pt idx="2030">
                  <c:v>41.444444444444443</c:v>
                </c:pt>
                <c:pt idx="2031">
                  <c:v>41.19444444444445</c:v>
                </c:pt>
                <c:pt idx="2032">
                  <c:v>41.055555555555557</c:v>
                </c:pt>
                <c:pt idx="2033">
                  <c:v>40.944444444444443</c:v>
                </c:pt>
                <c:pt idx="2034">
                  <c:v>40.722222222222221</c:v>
                </c:pt>
                <c:pt idx="2035">
                  <c:v>40.583333333333329</c:v>
                </c:pt>
                <c:pt idx="2036">
                  <c:v>40.444444444444443</c:v>
                </c:pt>
                <c:pt idx="2037">
                  <c:v>40.25</c:v>
                </c:pt>
                <c:pt idx="2038">
                  <c:v>40.083333333333336</c:v>
                </c:pt>
                <c:pt idx="2039">
                  <c:v>39.888888888888886</c:v>
                </c:pt>
                <c:pt idx="2040">
                  <c:v>39.75</c:v>
                </c:pt>
                <c:pt idx="2041">
                  <c:v>39.638888888888886</c:v>
                </c:pt>
                <c:pt idx="2042">
                  <c:v>39.472222222222221</c:v>
                </c:pt>
                <c:pt idx="2043">
                  <c:v>39.361111111111107</c:v>
                </c:pt>
                <c:pt idx="2044">
                  <c:v>39.194444444444443</c:v>
                </c:pt>
                <c:pt idx="2045">
                  <c:v>39.083333333333329</c:v>
                </c:pt>
                <c:pt idx="2046">
                  <c:v>38.972222222222221</c:v>
                </c:pt>
                <c:pt idx="2047">
                  <c:v>38.833333333333336</c:v>
                </c:pt>
                <c:pt idx="2048">
                  <c:v>38.722222222222221</c:v>
                </c:pt>
                <c:pt idx="2049">
                  <c:v>38.583333333333336</c:v>
                </c:pt>
                <c:pt idx="2050">
                  <c:v>38.472222222222221</c:v>
                </c:pt>
                <c:pt idx="2051">
                  <c:v>38.333333333333336</c:v>
                </c:pt>
                <c:pt idx="2052">
                  <c:v>38.249999999999993</c:v>
                </c:pt>
                <c:pt idx="2053">
                  <c:v>38.138888888888893</c:v>
                </c:pt>
                <c:pt idx="2054">
                  <c:v>38</c:v>
                </c:pt>
                <c:pt idx="2055">
                  <c:v>37.888888888888893</c:v>
                </c:pt>
                <c:pt idx="2056">
                  <c:v>37.75</c:v>
                </c:pt>
                <c:pt idx="2057">
                  <c:v>37.638888888888886</c:v>
                </c:pt>
                <c:pt idx="2058">
                  <c:v>37.472222222222221</c:v>
                </c:pt>
                <c:pt idx="2059">
                  <c:v>37.388888888888886</c:v>
                </c:pt>
                <c:pt idx="2060">
                  <c:v>37.222222222222221</c:v>
                </c:pt>
                <c:pt idx="2061">
                  <c:v>37.138888888888886</c:v>
                </c:pt>
                <c:pt idx="2062">
                  <c:v>36.999999999999993</c:v>
                </c:pt>
                <c:pt idx="2063">
                  <c:v>36.916666666666664</c:v>
                </c:pt>
                <c:pt idx="2064">
                  <c:v>36.777777777777779</c:v>
                </c:pt>
                <c:pt idx="2065">
                  <c:v>36.666666666666664</c:v>
                </c:pt>
                <c:pt idx="2066">
                  <c:v>36.527777777777779</c:v>
                </c:pt>
                <c:pt idx="2067">
                  <c:v>36.444444444444443</c:v>
                </c:pt>
                <c:pt idx="2068">
                  <c:v>36.277777777777779</c:v>
                </c:pt>
                <c:pt idx="2069">
                  <c:v>36.19444444444445</c:v>
                </c:pt>
                <c:pt idx="2070">
                  <c:v>36.055555555555557</c:v>
                </c:pt>
                <c:pt idx="2071">
                  <c:v>35.916666666666671</c:v>
                </c:pt>
                <c:pt idx="2072">
                  <c:v>35.833333333333336</c:v>
                </c:pt>
                <c:pt idx="2073">
                  <c:v>35.722222222222221</c:v>
                </c:pt>
                <c:pt idx="2074">
                  <c:v>35.638888888888893</c:v>
                </c:pt>
                <c:pt idx="2075">
                  <c:v>35.5</c:v>
                </c:pt>
                <c:pt idx="2076">
                  <c:v>35.388888888888893</c:v>
                </c:pt>
                <c:pt idx="2077">
                  <c:v>35.277777777777779</c:v>
                </c:pt>
                <c:pt idx="2078">
                  <c:v>35.138888888888886</c:v>
                </c:pt>
                <c:pt idx="2079">
                  <c:v>35.055555555555557</c:v>
                </c:pt>
                <c:pt idx="2080">
                  <c:v>34.944444444444443</c:v>
                </c:pt>
                <c:pt idx="2081">
                  <c:v>34.805555555555557</c:v>
                </c:pt>
                <c:pt idx="2082">
                  <c:v>34.75</c:v>
                </c:pt>
                <c:pt idx="2083">
                  <c:v>34.638888888888886</c:v>
                </c:pt>
                <c:pt idx="2084">
                  <c:v>34.527777777777779</c:v>
                </c:pt>
                <c:pt idx="2085">
                  <c:v>34.444444444444443</c:v>
                </c:pt>
                <c:pt idx="2086">
                  <c:v>34.333333333333329</c:v>
                </c:pt>
                <c:pt idx="2087">
                  <c:v>34.25</c:v>
                </c:pt>
                <c:pt idx="2088">
                  <c:v>34.166666666666664</c:v>
                </c:pt>
                <c:pt idx="2089">
                  <c:v>34.05555555555555</c:v>
                </c:pt>
                <c:pt idx="2090">
                  <c:v>34</c:v>
                </c:pt>
                <c:pt idx="2091">
                  <c:v>33.888888888888886</c:v>
                </c:pt>
                <c:pt idx="2092">
                  <c:v>33.805555555555557</c:v>
                </c:pt>
                <c:pt idx="2093">
                  <c:v>33.75</c:v>
                </c:pt>
                <c:pt idx="2094">
                  <c:v>33.666666666666664</c:v>
                </c:pt>
                <c:pt idx="2095">
                  <c:v>33.583333333333336</c:v>
                </c:pt>
                <c:pt idx="2096">
                  <c:v>33.472222222222221</c:v>
                </c:pt>
                <c:pt idx="2097">
                  <c:v>33.416666666666664</c:v>
                </c:pt>
                <c:pt idx="2098">
                  <c:v>33.333333333333336</c:v>
                </c:pt>
                <c:pt idx="2099">
                  <c:v>33.25</c:v>
                </c:pt>
                <c:pt idx="2100">
                  <c:v>33.194444444444443</c:v>
                </c:pt>
                <c:pt idx="2101">
                  <c:v>33.138888888888886</c:v>
                </c:pt>
                <c:pt idx="2102">
                  <c:v>33.055555555555557</c:v>
                </c:pt>
                <c:pt idx="2103">
                  <c:v>32.972222222222221</c:v>
                </c:pt>
                <c:pt idx="2104">
                  <c:v>32.916666666666664</c:v>
                </c:pt>
                <c:pt idx="2105">
                  <c:v>32.861111111111107</c:v>
                </c:pt>
                <c:pt idx="2106">
                  <c:v>32.777777777777779</c:v>
                </c:pt>
                <c:pt idx="2107">
                  <c:v>32.722222222222221</c:v>
                </c:pt>
                <c:pt idx="2108">
                  <c:v>32.666666666666664</c:v>
                </c:pt>
                <c:pt idx="2109">
                  <c:v>32.638888888888886</c:v>
                </c:pt>
                <c:pt idx="2110">
                  <c:v>32.611111111111114</c:v>
                </c:pt>
                <c:pt idx="2111">
                  <c:v>32.583333333333329</c:v>
                </c:pt>
                <c:pt idx="2112">
                  <c:v>32.555555555555557</c:v>
                </c:pt>
                <c:pt idx="2113">
                  <c:v>32.527777777777779</c:v>
                </c:pt>
                <c:pt idx="2114">
                  <c:v>32.527777777777779</c:v>
                </c:pt>
                <c:pt idx="2115">
                  <c:v>32.5</c:v>
                </c:pt>
                <c:pt idx="2116">
                  <c:v>32.472222222222221</c:v>
                </c:pt>
                <c:pt idx="2117">
                  <c:v>32.5</c:v>
                </c:pt>
                <c:pt idx="2118">
                  <c:v>32.5</c:v>
                </c:pt>
                <c:pt idx="2119">
                  <c:v>32.527777777777779</c:v>
                </c:pt>
                <c:pt idx="2120">
                  <c:v>32.555555555555557</c:v>
                </c:pt>
                <c:pt idx="2121">
                  <c:v>32.583333333333329</c:v>
                </c:pt>
                <c:pt idx="2122">
                  <c:v>32.583333333333329</c:v>
                </c:pt>
                <c:pt idx="2123">
                  <c:v>32.611111111111114</c:v>
                </c:pt>
                <c:pt idx="2124">
                  <c:v>32.638888888888886</c:v>
                </c:pt>
                <c:pt idx="2125">
                  <c:v>32.666666666666664</c:v>
                </c:pt>
                <c:pt idx="2126">
                  <c:v>32.694444444444443</c:v>
                </c:pt>
                <c:pt idx="2127">
                  <c:v>32.722222222222221</c:v>
                </c:pt>
                <c:pt idx="2128">
                  <c:v>32.777777777777779</c:v>
                </c:pt>
                <c:pt idx="2129">
                  <c:v>32.80555555555555</c:v>
                </c:pt>
                <c:pt idx="2130">
                  <c:v>32.861111111111107</c:v>
                </c:pt>
                <c:pt idx="2131">
                  <c:v>32.916666666666664</c:v>
                </c:pt>
                <c:pt idx="2132">
                  <c:v>32.944444444444443</c:v>
                </c:pt>
                <c:pt idx="2133">
                  <c:v>33</c:v>
                </c:pt>
                <c:pt idx="2134">
                  <c:v>33.055555555555557</c:v>
                </c:pt>
                <c:pt idx="2135">
                  <c:v>33.111111111111114</c:v>
                </c:pt>
                <c:pt idx="2136">
                  <c:v>33.166666666666664</c:v>
                </c:pt>
                <c:pt idx="2137">
                  <c:v>33.222222222222221</c:v>
                </c:pt>
                <c:pt idx="2138">
                  <c:v>33.277777777777779</c:v>
                </c:pt>
                <c:pt idx="2139">
                  <c:v>33.333333333333336</c:v>
                </c:pt>
                <c:pt idx="2140">
                  <c:v>33.388888888888886</c:v>
                </c:pt>
                <c:pt idx="2141">
                  <c:v>33.444444444444443</c:v>
                </c:pt>
                <c:pt idx="2142">
                  <c:v>33.527777777777779</c:v>
                </c:pt>
                <c:pt idx="2143">
                  <c:v>33.611111111111107</c:v>
                </c:pt>
                <c:pt idx="2144">
                  <c:v>33.666666666666664</c:v>
                </c:pt>
                <c:pt idx="2145">
                  <c:v>33.75</c:v>
                </c:pt>
                <c:pt idx="2146">
                  <c:v>33.833333333333329</c:v>
                </c:pt>
                <c:pt idx="2147">
                  <c:v>33.916666666666664</c:v>
                </c:pt>
                <c:pt idx="2148">
                  <c:v>33.972222222222221</c:v>
                </c:pt>
                <c:pt idx="2149">
                  <c:v>34.05555555555555</c:v>
                </c:pt>
                <c:pt idx="2150">
                  <c:v>34.166666666666664</c:v>
                </c:pt>
                <c:pt idx="2151">
                  <c:v>34.277777777777779</c:v>
                </c:pt>
                <c:pt idx="2152">
                  <c:v>34.361111111111114</c:v>
                </c:pt>
                <c:pt idx="2153">
                  <c:v>34.472222222222221</c:v>
                </c:pt>
                <c:pt idx="2154">
                  <c:v>34.555555555555557</c:v>
                </c:pt>
                <c:pt idx="2155">
                  <c:v>34.666666666666664</c:v>
                </c:pt>
                <c:pt idx="2156">
                  <c:v>34.722222222222221</c:v>
                </c:pt>
                <c:pt idx="2157">
                  <c:v>34.805555555555557</c:v>
                </c:pt>
                <c:pt idx="2158">
                  <c:v>34.916666666666664</c:v>
                </c:pt>
                <c:pt idx="2159">
                  <c:v>34.972222222222221</c:v>
                </c:pt>
                <c:pt idx="2160">
                  <c:v>35.083333333333329</c:v>
                </c:pt>
                <c:pt idx="2161">
                  <c:v>35.194444444444443</c:v>
                </c:pt>
                <c:pt idx="2162">
                  <c:v>35.25</c:v>
                </c:pt>
                <c:pt idx="2163">
                  <c:v>35.361111111111107</c:v>
                </c:pt>
                <c:pt idx="2164">
                  <c:v>35.472222222222221</c:v>
                </c:pt>
                <c:pt idx="2165">
                  <c:v>35.555555555555557</c:v>
                </c:pt>
                <c:pt idx="2166">
                  <c:v>35.666666666666664</c:v>
                </c:pt>
                <c:pt idx="2167">
                  <c:v>35.805555555555557</c:v>
                </c:pt>
                <c:pt idx="2168">
                  <c:v>35.888888888888886</c:v>
                </c:pt>
                <c:pt idx="2169">
                  <c:v>36.027777777777771</c:v>
                </c:pt>
                <c:pt idx="2170">
                  <c:v>36.111111111111107</c:v>
                </c:pt>
                <c:pt idx="2171">
                  <c:v>36.25</c:v>
                </c:pt>
                <c:pt idx="2172">
                  <c:v>36.361111111111114</c:v>
                </c:pt>
                <c:pt idx="2173">
                  <c:v>36.444444444444443</c:v>
                </c:pt>
                <c:pt idx="2174">
                  <c:v>36.55555555555555</c:v>
                </c:pt>
                <c:pt idx="2175">
                  <c:v>36.638888888888893</c:v>
                </c:pt>
                <c:pt idx="2176">
                  <c:v>36.777777777777779</c:v>
                </c:pt>
                <c:pt idx="2177">
                  <c:v>36.888888888888893</c:v>
                </c:pt>
                <c:pt idx="2178">
                  <c:v>36.999999999999993</c:v>
                </c:pt>
                <c:pt idx="2179">
                  <c:v>37.138888888888886</c:v>
                </c:pt>
                <c:pt idx="2180">
                  <c:v>37.25</c:v>
                </c:pt>
                <c:pt idx="2181">
                  <c:v>37.388888888888886</c:v>
                </c:pt>
                <c:pt idx="2182">
                  <c:v>37.472222222222221</c:v>
                </c:pt>
                <c:pt idx="2183">
                  <c:v>37.638888888888886</c:v>
                </c:pt>
                <c:pt idx="2184">
                  <c:v>37.75</c:v>
                </c:pt>
                <c:pt idx="2185">
                  <c:v>37.916666666666664</c:v>
                </c:pt>
                <c:pt idx="2186">
                  <c:v>38</c:v>
                </c:pt>
                <c:pt idx="2187">
                  <c:v>38.194444444444443</c:v>
                </c:pt>
                <c:pt idx="2188">
                  <c:v>38.305555555555557</c:v>
                </c:pt>
                <c:pt idx="2189">
                  <c:v>38.5</c:v>
                </c:pt>
                <c:pt idx="2190">
                  <c:v>38.638888888888886</c:v>
                </c:pt>
                <c:pt idx="2191">
                  <c:v>38.833333333333336</c:v>
                </c:pt>
                <c:pt idx="2192">
                  <c:v>38.944444444444443</c:v>
                </c:pt>
                <c:pt idx="2193">
                  <c:v>39.05555555555555</c:v>
                </c:pt>
                <c:pt idx="2194">
                  <c:v>39.25</c:v>
                </c:pt>
                <c:pt idx="2195">
                  <c:v>39.361111111111107</c:v>
                </c:pt>
                <c:pt idx="2196">
                  <c:v>39.527777777777779</c:v>
                </c:pt>
                <c:pt idx="2197">
                  <c:v>39.638888888888886</c:v>
                </c:pt>
                <c:pt idx="2198">
                  <c:v>39.805555555555557</c:v>
                </c:pt>
                <c:pt idx="2199">
                  <c:v>39.916666666666664</c:v>
                </c:pt>
                <c:pt idx="2200">
                  <c:v>40.027777777777779</c:v>
                </c:pt>
                <c:pt idx="2201">
                  <c:v>40.166666666666664</c:v>
                </c:pt>
                <c:pt idx="2202">
                  <c:v>40.277777777777779</c:v>
                </c:pt>
                <c:pt idx="2203">
                  <c:v>40.416666666666664</c:v>
                </c:pt>
                <c:pt idx="2204">
                  <c:v>40.5</c:v>
                </c:pt>
                <c:pt idx="2205">
                  <c:v>40.611111111111107</c:v>
                </c:pt>
                <c:pt idx="2206">
                  <c:v>40.749999999999993</c:v>
                </c:pt>
                <c:pt idx="2207">
                  <c:v>40.833333333333336</c:v>
                </c:pt>
                <c:pt idx="2208">
                  <c:v>40.944444444444443</c:v>
                </c:pt>
                <c:pt idx="2209">
                  <c:v>41.083333333333336</c:v>
                </c:pt>
                <c:pt idx="2210">
                  <c:v>41.166666666666664</c:v>
                </c:pt>
                <c:pt idx="2211">
                  <c:v>41.30555555555555</c:v>
                </c:pt>
                <c:pt idx="2212">
                  <c:v>41.388888888888886</c:v>
                </c:pt>
                <c:pt idx="2213">
                  <c:v>41.472222222222221</c:v>
                </c:pt>
                <c:pt idx="2214">
                  <c:v>41.611111111111114</c:v>
                </c:pt>
                <c:pt idx="2215">
                  <c:v>41.694444444444443</c:v>
                </c:pt>
                <c:pt idx="2216">
                  <c:v>41.777777777777779</c:v>
                </c:pt>
                <c:pt idx="2217">
                  <c:v>41.861111111111107</c:v>
                </c:pt>
                <c:pt idx="2218">
                  <c:v>41.999999999999993</c:v>
                </c:pt>
                <c:pt idx="2219">
                  <c:v>42.083333333333336</c:v>
                </c:pt>
                <c:pt idx="2220">
                  <c:v>42.194444444444443</c:v>
                </c:pt>
                <c:pt idx="2221">
                  <c:v>42.333333333333336</c:v>
                </c:pt>
                <c:pt idx="2222">
                  <c:v>42.416666666666664</c:v>
                </c:pt>
                <c:pt idx="2223">
                  <c:v>42.5</c:v>
                </c:pt>
                <c:pt idx="2224">
                  <c:v>42.611111111111114</c:v>
                </c:pt>
                <c:pt idx="2225">
                  <c:v>42.75</c:v>
                </c:pt>
                <c:pt idx="2226">
                  <c:v>42.833333333333329</c:v>
                </c:pt>
                <c:pt idx="2227">
                  <c:v>42.916666666666664</c:v>
                </c:pt>
                <c:pt idx="2228">
                  <c:v>43.055555555555557</c:v>
                </c:pt>
                <c:pt idx="2229">
                  <c:v>43.166666666666664</c:v>
                </c:pt>
                <c:pt idx="2230">
                  <c:v>43.249999999999993</c:v>
                </c:pt>
                <c:pt idx="2231">
                  <c:v>43.361111111111107</c:v>
                </c:pt>
                <c:pt idx="2232">
                  <c:v>43.5</c:v>
                </c:pt>
                <c:pt idx="2233">
                  <c:v>43.611111111111107</c:v>
                </c:pt>
                <c:pt idx="2234">
                  <c:v>43.69444444444445</c:v>
                </c:pt>
                <c:pt idx="2235">
                  <c:v>43.80555555555555</c:v>
                </c:pt>
                <c:pt idx="2236">
                  <c:v>43.888888888888886</c:v>
                </c:pt>
                <c:pt idx="2237">
                  <c:v>44.027777777777779</c:v>
                </c:pt>
                <c:pt idx="2238">
                  <c:v>44.111111111111114</c:v>
                </c:pt>
                <c:pt idx="2239">
                  <c:v>44.194444444444443</c:v>
                </c:pt>
                <c:pt idx="2240">
                  <c:v>44.277777777777779</c:v>
                </c:pt>
                <c:pt idx="2241">
                  <c:v>44.361111111111107</c:v>
                </c:pt>
                <c:pt idx="2242">
                  <c:v>44.499999999999993</c:v>
                </c:pt>
                <c:pt idx="2243">
                  <c:v>44.583333333333336</c:v>
                </c:pt>
                <c:pt idx="2244">
                  <c:v>44.666666666666671</c:v>
                </c:pt>
                <c:pt idx="2245">
                  <c:v>44.75</c:v>
                </c:pt>
                <c:pt idx="2246">
                  <c:v>44.861111111111107</c:v>
                </c:pt>
                <c:pt idx="2247">
                  <c:v>45</c:v>
                </c:pt>
                <c:pt idx="2248">
                  <c:v>45.083333333333336</c:v>
                </c:pt>
                <c:pt idx="2249">
                  <c:v>45.166666666666664</c:v>
                </c:pt>
                <c:pt idx="2250">
                  <c:v>45.277777777777779</c:v>
                </c:pt>
                <c:pt idx="2251">
                  <c:v>45.361111111111114</c:v>
                </c:pt>
                <c:pt idx="2252">
                  <c:v>45.5</c:v>
                </c:pt>
                <c:pt idx="2253">
                  <c:v>45.583333333333329</c:v>
                </c:pt>
                <c:pt idx="2254">
                  <c:v>45.694444444444443</c:v>
                </c:pt>
                <c:pt idx="2255">
                  <c:v>45.777777777777779</c:v>
                </c:pt>
                <c:pt idx="2256">
                  <c:v>45.888888888888886</c:v>
                </c:pt>
                <c:pt idx="2257">
                  <c:v>45.972222222222221</c:v>
                </c:pt>
                <c:pt idx="2258">
                  <c:v>46.055555555555557</c:v>
                </c:pt>
                <c:pt idx="2259">
                  <c:v>46.19444444444445</c:v>
                </c:pt>
                <c:pt idx="2260">
                  <c:v>46.277777777777779</c:v>
                </c:pt>
                <c:pt idx="2261">
                  <c:v>46.361111111111114</c:v>
                </c:pt>
                <c:pt idx="2262">
                  <c:v>46.444444444444443</c:v>
                </c:pt>
                <c:pt idx="2263">
                  <c:v>46.527777777777779</c:v>
                </c:pt>
                <c:pt idx="2264">
                  <c:v>46.611111111111114</c:v>
                </c:pt>
                <c:pt idx="2265">
                  <c:v>46.666666666666664</c:v>
                </c:pt>
                <c:pt idx="2266">
                  <c:v>46.75</c:v>
                </c:pt>
                <c:pt idx="2267">
                  <c:v>46.888888888888893</c:v>
                </c:pt>
                <c:pt idx="2268">
                  <c:v>46.972222222222221</c:v>
                </c:pt>
                <c:pt idx="2269">
                  <c:v>47.055555555555557</c:v>
                </c:pt>
                <c:pt idx="2270">
                  <c:v>47.138888888888886</c:v>
                </c:pt>
                <c:pt idx="2271">
                  <c:v>47.222222222222221</c:v>
                </c:pt>
                <c:pt idx="2272">
                  <c:v>47.305555555555557</c:v>
                </c:pt>
                <c:pt idx="2273">
                  <c:v>47.388888888888886</c:v>
                </c:pt>
                <c:pt idx="2274">
                  <c:v>47.472222222222221</c:v>
                </c:pt>
                <c:pt idx="2275">
                  <c:v>47.55555555555555</c:v>
                </c:pt>
                <c:pt idx="2276">
                  <c:v>47.638888888888886</c:v>
                </c:pt>
                <c:pt idx="2277">
                  <c:v>47.80555555555555</c:v>
                </c:pt>
                <c:pt idx="2278">
                  <c:v>47.888888888888893</c:v>
                </c:pt>
                <c:pt idx="2279">
                  <c:v>48</c:v>
                </c:pt>
                <c:pt idx="2280">
                  <c:v>48.083333333333329</c:v>
                </c:pt>
                <c:pt idx="2281">
                  <c:v>48.194444444444443</c:v>
                </c:pt>
                <c:pt idx="2282">
                  <c:v>48.277777777777779</c:v>
                </c:pt>
                <c:pt idx="2283">
                  <c:v>48.388888888888886</c:v>
                </c:pt>
                <c:pt idx="2284">
                  <c:v>48.472222222222221</c:v>
                </c:pt>
                <c:pt idx="2285">
                  <c:v>48.583333333333336</c:v>
                </c:pt>
                <c:pt idx="2286">
                  <c:v>48.666666666666664</c:v>
                </c:pt>
                <c:pt idx="2287">
                  <c:v>48.75</c:v>
                </c:pt>
                <c:pt idx="2288">
                  <c:v>48.861111111111114</c:v>
                </c:pt>
                <c:pt idx="2289">
                  <c:v>48.944444444444443</c:v>
                </c:pt>
                <c:pt idx="2290">
                  <c:v>49.027777777777779</c:v>
                </c:pt>
                <c:pt idx="2291">
                  <c:v>49.111111111111114</c:v>
                </c:pt>
                <c:pt idx="2292">
                  <c:v>49.194444444444443</c:v>
                </c:pt>
                <c:pt idx="2293">
                  <c:v>49.305555555555557</c:v>
                </c:pt>
                <c:pt idx="2294">
                  <c:v>49.388888888888893</c:v>
                </c:pt>
                <c:pt idx="2295">
                  <c:v>49.472222222222221</c:v>
                </c:pt>
                <c:pt idx="2296">
                  <c:v>49.555555555555557</c:v>
                </c:pt>
                <c:pt idx="2297">
                  <c:v>49.638888888888886</c:v>
                </c:pt>
                <c:pt idx="2298">
                  <c:v>49.722222222222221</c:v>
                </c:pt>
                <c:pt idx="2299">
                  <c:v>49.805555555555557</c:v>
                </c:pt>
                <c:pt idx="2300">
                  <c:v>49.916666666666664</c:v>
                </c:pt>
                <c:pt idx="2301">
                  <c:v>50</c:v>
                </c:pt>
                <c:pt idx="2302">
                  <c:v>50.083333333333336</c:v>
                </c:pt>
                <c:pt idx="2303">
                  <c:v>50.194444444444443</c:v>
                </c:pt>
                <c:pt idx="2304">
                  <c:v>50.277777777777779</c:v>
                </c:pt>
                <c:pt idx="2305">
                  <c:v>50.361111111111114</c:v>
                </c:pt>
                <c:pt idx="2306">
                  <c:v>50.444444444444443</c:v>
                </c:pt>
                <c:pt idx="2307">
                  <c:v>50.527777777777779</c:v>
                </c:pt>
                <c:pt idx="2308">
                  <c:v>50.611111111111107</c:v>
                </c:pt>
                <c:pt idx="2309">
                  <c:v>50.694444444444443</c:v>
                </c:pt>
                <c:pt idx="2310">
                  <c:v>50.777777777777779</c:v>
                </c:pt>
                <c:pt idx="2311">
                  <c:v>50.861111111111107</c:v>
                </c:pt>
                <c:pt idx="2312">
                  <c:v>50.916666666666671</c:v>
                </c:pt>
                <c:pt idx="2313">
                  <c:v>51</c:v>
                </c:pt>
                <c:pt idx="2314">
                  <c:v>51.083333333333336</c:v>
                </c:pt>
                <c:pt idx="2315">
                  <c:v>51.138888888888886</c:v>
                </c:pt>
                <c:pt idx="2316">
                  <c:v>51.222222222222221</c:v>
                </c:pt>
                <c:pt idx="2317">
                  <c:v>51.277777777777771</c:v>
                </c:pt>
                <c:pt idx="2318">
                  <c:v>51.361111111111114</c:v>
                </c:pt>
                <c:pt idx="2319">
                  <c:v>51.444444444444443</c:v>
                </c:pt>
                <c:pt idx="2320">
                  <c:v>51.527777777777779</c:v>
                </c:pt>
                <c:pt idx="2321">
                  <c:v>51.583333333333329</c:v>
                </c:pt>
                <c:pt idx="2322">
                  <c:v>51.666666666666664</c:v>
                </c:pt>
                <c:pt idx="2323">
                  <c:v>51.722222222222214</c:v>
                </c:pt>
                <c:pt idx="2324">
                  <c:v>51.777777777777779</c:v>
                </c:pt>
                <c:pt idx="2325">
                  <c:v>51.861111111111107</c:v>
                </c:pt>
                <c:pt idx="2326">
                  <c:v>51.916666666666664</c:v>
                </c:pt>
                <c:pt idx="2327">
                  <c:v>51.999999999999993</c:v>
                </c:pt>
                <c:pt idx="2328">
                  <c:v>52.027777777777779</c:v>
                </c:pt>
                <c:pt idx="2329">
                  <c:v>52.111111111111107</c:v>
                </c:pt>
                <c:pt idx="2330">
                  <c:v>52.194444444444443</c:v>
                </c:pt>
                <c:pt idx="2331">
                  <c:v>52.25</c:v>
                </c:pt>
                <c:pt idx="2332">
                  <c:v>52.333333333333336</c:v>
                </c:pt>
                <c:pt idx="2333">
                  <c:v>52.388888888888886</c:v>
                </c:pt>
                <c:pt idx="2334">
                  <c:v>52.444444444444443</c:v>
                </c:pt>
                <c:pt idx="2335">
                  <c:v>52.527777777777771</c:v>
                </c:pt>
                <c:pt idx="2336">
                  <c:v>52.583333333333336</c:v>
                </c:pt>
                <c:pt idx="2337">
                  <c:v>52.611111111111114</c:v>
                </c:pt>
                <c:pt idx="2338">
                  <c:v>52.694444444444443</c:v>
                </c:pt>
                <c:pt idx="2339">
                  <c:v>52.75</c:v>
                </c:pt>
                <c:pt idx="2340">
                  <c:v>52.80555555555555</c:v>
                </c:pt>
                <c:pt idx="2341">
                  <c:v>52.861111111111114</c:v>
                </c:pt>
                <c:pt idx="2342">
                  <c:v>52.944444444444443</c:v>
                </c:pt>
                <c:pt idx="2343">
                  <c:v>53</c:v>
                </c:pt>
                <c:pt idx="2344">
                  <c:v>53.083333333333329</c:v>
                </c:pt>
                <c:pt idx="2345">
                  <c:v>53.111111111111107</c:v>
                </c:pt>
                <c:pt idx="2346">
                  <c:v>53.166666666666664</c:v>
                </c:pt>
                <c:pt idx="2347">
                  <c:v>53.249999999999993</c:v>
                </c:pt>
                <c:pt idx="2348">
                  <c:v>53.305555555555557</c:v>
                </c:pt>
                <c:pt idx="2349">
                  <c:v>53.361111111111107</c:v>
                </c:pt>
                <c:pt idx="2350">
                  <c:v>53.444444444444443</c:v>
                </c:pt>
                <c:pt idx="2351">
                  <c:v>53.5</c:v>
                </c:pt>
                <c:pt idx="2352">
                  <c:v>53.527777777777771</c:v>
                </c:pt>
                <c:pt idx="2353">
                  <c:v>53.583333333333336</c:v>
                </c:pt>
                <c:pt idx="2354">
                  <c:v>53.638888888888886</c:v>
                </c:pt>
                <c:pt idx="2355">
                  <c:v>53.722222222222221</c:v>
                </c:pt>
                <c:pt idx="2356">
                  <c:v>53.777777777777771</c:v>
                </c:pt>
                <c:pt idx="2357">
                  <c:v>53.833333333333336</c:v>
                </c:pt>
                <c:pt idx="2358">
                  <c:v>53.861111111111114</c:v>
                </c:pt>
                <c:pt idx="2359">
                  <c:v>53.916666666666664</c:v>
                </c:pt>
                <c:pt idx="2360">
                  <c:v>53.972222222222221</c:v>
                </c:pt>
                <c:pt idx="2361">
                  <c:v>54</c:v>
                </c:pt>
                <c:pt idx="2362">
                  <c:v>54.05555555555555</c:v>
                </c:pt>
                <c:pt idx="2363">
                  <c:v>54.111111111111114</c:v>
                </c:pt>
                <c:pt idx="2364">
                  <c:v>54.138888888888886</c:v>
                </c:pt>
                <c:pt idx="2365">
                  <c:v>54.166666666666664</c:v>
                </c:pt>
                <c:pt idx="2366">
                  <c:v>54.222222222222214</c:v>
                </c:pt>
                <c:pt idx="2367">
                  <c:v>54.277777777777779</c:v>
                </c:pt>
                <c:pt idx="2368">
                  <c:v>54.305555555555557</c:v>
                </c:pt>
                <c:pt idx="2369">
                  <c:v>54.361111111111107</c:v>
                </c:pt>
                <c:pt idx="2370">
                  <c:v>54.388888888888893</c:v>
                </c:pt>
                <c:pt idx="2371">
                  <c:v>54.472222222222221</c:v>
                </c:pt>
                <c:pt idx="2372">
                  <c:v>54.555555555555557</c:v>
                </c:pt>
                <c:pt idx="2373">
                  <c:v>54.611111111111107</c:v>
                </c:pt>
                <c:pt idx="2374">
                  <c:v>54.694444444444443</c:v>
                </c:pt>
                <c:pt idx="2375">
                  <c:v>54.722222222222221</c:v>
                </c:pt>
                <c:pt idx="2376">
                  <c:v>54.777777777777771</c:v>
                </c:pt>
                <c:pt idx="2377">
                  <c:v>54.833333333333336</c:v>
                </c:pt>
                <c:pt idx="2378">
                  <c:v>54.888888888888886</c:v>
                </c:pt>
                <c:pt idx="2379">
                  <c:v>54.972222222222221</c:v>
                </c:pt>
                <c:pt idx="2380">
                  <c:v>55</c:v>
                </c:pt>
                <c:pt idx="2381">
                  <c:v>55.05555555555555</c:v>
                </c:pt>
                <c:pt idx="2382">
                  <c:v>55.138888888888886</c:v>
                </c:pt>
                <c:pt idx="2383">
                  <c:v>55.222222222222221</c:v>
                </c:pt>
                <c:pt idx="2384">
                  <c:v>55.277777777777779</c:v>
                </c:pt>
                <c:pt idx="2385">
                  <c:v>55.30555555555555</c:v>
                </c:pt>
                <c:pt idx="2386">
                  <c:v>55.388888888888886</c:v>
                </c:pt>
                <c:pt idx="2387">
                  <c:v>55.472222222222214</c:v>
                </c:pt>
                <c:pt idx="2388">
                  <c:v>55.583333333333329</c:v>
                </c:pt>
                <c:pt idx="2389">
                  <c:v>55.611111111111107</c:v>
                </c:pt>
                <c:pt idx="2390">
                  <c:v>55.694444444444443</c:v>
                </c:pt>
                <c:pt idx="2391">
                  <c:v>55.777777777777779</c:v>
                </c:pt>
                <c:pt idx="2392">
                  <c:v>55.833333333333329</c:v>
                </c:pt>
                <c:pt idx="2393">
                  <c:v>55.888888888888886</c:v>
                </c:pt>
                <c:pt idx="2394">
                  <c:v>55.916666666666671</c:v>
                </c:pt>
                <c:pt idx="2395">
                  <c:v>55.972222222222221</c:v>
                </c:pt>
                <c:pt idx="2396">
                  <c:v>56</c:v>
                </c:pt>
                <c:pt idx="2397">
                  <c:v>56.055555555555557</c:v>
                </c:pt>
                <c:pt idx="2398">
                  <c:v>56.111111111111107</c:v>
                </c:pt>
                <c:pt idx="2399">
                  <c:v>56.166666666666664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6DE-4B06-B77F-0898F22F07A0}"/>
            </c:ext>
          </c:extLst>
        </c:ser>
        <c:ser>
          <c:idx val="1"/>
          <c:order val="1"/>
          <c:tx>
            <c:v>Sim Data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'Track Data'!$M$4:$M$2403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'Track Data'!$Q$4:$Q$2403</c:f>
              <c:numCache>
                <c:formatCode>General</c:formatCode>
                <c:ptCount val="2400"/>
                <c:pt idx="0">
                  <c:v>56.055555555555557</c:v>
                </c:pt>
                <c:pt idx="1">
                  <c:v>56.12035075740377</c:v>
                </c:pt>
                <c:pt idx="2">
                  <c:v>56.185071234502182</c:v>
                </c:pt>
                <c:pt idx="3">
                  <c:v>56.249588858218168</c:v>
                </c:pt>
                <c:pt idx="4">
                  <c:v>56.31403256570318</c:v>
                </c:pt>
                <c:pt idx="5">
                  <c:v>56.37840261042853</c:v>
                </c:pt>
                <c:pt idx="6">
                  <c:v>56.44269924442019</c:v>
                </c:pt>
                <c:pt idx="7">
                  <c:v>56.506922718270268</c:v>
                </c:pt>
                <c:pt idx="8">
                  <c:v>56.571073281148422</c:v>
                </c:pt>
                <c:pt idx="9">
                  <c:v>56.635151180813153</c:v>
                </c:pt>
                <c:pt idx="10">
                  <c:v>56.699025536952092</c:v>
                </c:pt>
                <c:pt idx="11">
                  <c:v>56.762828016284821</c:v>
                </c:pt>
                <c:pt idx="12">
                  <c:v>56.826558860912144</c:v>
                </c:pt>
                <c:pt idx="13">
                  <c:v>56.890218311578806</c:v>
                </c:pt>
                <c:pt idx="14">
                  <c:v>56.953806607684093</c:v>
                </c:pt>
                <c:pt idx="15">
                  <c:v>57.017323987292357</c:v>
                </c:pt>
                <c:pt idx="16">
                  <c:v>57.080770687143392</c:v>
                </c:pt>
                <c:pt idx="17">
                  <c:v>57.144013151126643</c:v>
                </c:pt>
                <c:pt idx="18">
                  <c:v>57.207185700696911</c:v>
                </c:pt>
                <c:pt idx="19">
                  <c:v>57.270288567213527</c:v>
                </c:pt>
                <c:pt idx="20">
                  <c:v>57.333321980762598</c:v>
                </c:pt>
                <c:pt idx="21">
                  <c:v>57.396286170166817</c:v>
                </c:pt>
                <c:pt idx="22">
                  <c:v>57.459181362995153</c:v>
                </c:pt>
                <c:pt idx="23">
                  <c:v>57.522007785572441</c:v>
                </c:pt>
                <c:pt idx="24">
                  <c:v>57.584270327669302</c:v>
                </c:pt>
                <c:pt idx="25">
                  <c:v>57.646465621551627</c:v>
                </c:pt>
                <c:pt idx="26">
                  <c:v>57.708593884649211</c:v>
                </c:pt>
                <c:pt idx="27">
                  <c:v>57.770655333222692</c:v>
                </c:pt>
                <c:pt idx="28">
                  <c:v>57.832650182372326</c:v>
                </c:pt>
                <c:pt idx="29">
                  <c:v>57.894578646046718</c:v>
                </c:pt>
                <c:pt idx="30">
                  <c:v>57.956440937051397</c:v>
                </c:pt>
                <c:pt idx="31">
                  <c:v>58.01823726705738</c:v>
                </c:pt>
                <c:pt idx="32">
                  <c:v>58.079478705626187</c:v>
                </c:pt>
                <c:pt idx="33">
                  <c:v>58.140655636636957</c:v>
                </c:pt>
                <c:pt idx="34">
                  <c:v>58.201768263504881</c:v>
                </c:pt>
                <c:pt idx="35">
                  <c:v>58.26281678857832</c:v>
                </c:pt>
                <c:pt idx="36">
                  <c:v>58.323801413146619</c:v>
                </c:pt>
                <c:pt idx="37">
                  <c:v>58.384722337447855</c:v>
                </c:pt>
                <c:pt idx="38">
                  <c:v>58.44557976067653</c:v>
                </c:pt>
                <c:pt idx="39">
                  <c:v>58.505542309967076</c:v>
                </c:pt>
                <c:pt idx="40">
                  <c:v>58.565443466306078</c:v>
                </c:pt>
                <c:pt idx="41">
                  <c:v>58.625283417880709</c:v>
                </c:pt>
                <c:pt idx="42">
                  <c:v>58.685062351918688</c:v>
                </c:pt>
                <c:pt idx="43">
                  <c:v>58.744780454695118</c:v>
                </c:pt>
                <c:pt idx="44">
                  <c:v>58.804437911539253</c:v>
                </c:pt>
                <c:pt idx="45">
                  <c:v>58.864034906841205</c:v>
                </c:pt>
                <c:pt idx="46">
                  <c:v>58.92357162405861</c:v>
                </c:pt>
                <c:pt idx="47">
                  <c:v>58.982230430904472</c:v>
                </c:pt>
                <c:pt idx="48">
                  <c:v>59.040830958524474</c:v>
                </c:pt>
                <c:pt idx="49">
                  <c:v>59.099373380280532</c:v>
                </c:pt>
                <c:pt idx="50">
                  <c:v>59.15785786867675</c:v>
                </c:pt>
                <c:pt idx="51">
                  <c:v>59.216284595365387</c:v>
                </c:pt>
                <c:pt idx="52">
                  <c:v>59.274653731152718</c:v>
                </c:pt>
                <c:pt idx="53">
                  <c:v>59.332965446004849</c:v>
                </c:pt>
                <c:pt idx="54">
                  <c:v>59.390414501255165</c:v>
                </c:pt>
                <c:pt idx="55">
                  <c:v>59.447808039026924</c:v>
                </c:pt>
                <c:pt idx="56">
                  <c:v>59.505146219962256</c:v>
                </c:pt>
                <c:pt idx="57">
                  <c:v>59.56242920393008</c:v>
                </c:pt>
                <c:pt idx="58">
                  <c:v>59.619657150031294</c:v>
                </c:pt>
                <c:pt idx="59">
                  <c:v>59.676830216603932</c:v>
                </c:pt>
                <c:pt idx="60">
                  <c:v>59.733948561228281</c:v>
                </c:pt>
                <c:pt idx="61">
                  <c:v>59.791012340731953</c:v>
                </c:pt>
                <c:pt idx="62">
                  <c:v>59.847228992139065</c:v>
                </c:pt>
                <c:pt idx="63">
                  <c:v>59.903392886759761</c:v>
                </c:pt>
                <c:pt idx="64">
                  <c:v>59.959504172845435</c:v>
                </c:pt>
                <c:pt idx="65">
                  <c:v>60.01556299795444</c:v>
                </c:pt>
                <c:pt idx="66">
                  <c:v>60.071569508956628</c:v>
                </c:pt>
                <c:pt idx="67">
                  <c:v>60.127523852037818</c:v>
                </c:pt>
                <c:pt idx="68">
                  <c:v>60.18342617270428</c:v>
                </c:pt>
                <c:pt idx="69">
                  <c:v>60.239276615787112</c:v>
                </c:pt>
                <c:pt idx="70">
                  <c:v>60.294294790509973</c:v>
                </c:pt>
                <c:pt idx="71">
                  <c:v>60.349262807233359</c:v>
                </c:pt>
                <c:pt idx="72">
                  <c:v>60.404180802889144</c:v>
                </c:pt>
                <c:pt idx="73">
                  <c:v>60.459048913787285</c:v>
                </c:pt>
                <c:pt idx="74">
                  <c:v>60.513867275619766</c:v>
                </c:pt>
                <c:pt idx="75">
                  <c:v>60.568636023464542</c:v>
                </c:pt>
                <c:pt idx="76">
                  <c:v>60.623355291789387</c:v>
                </c:pt>
                <c:pt idx="77">
                  <c:v>60.678025214455765</c:v>
                </c:pt>
                <c:pt idx="78">
                  <c:v>60.731877095128496</c:v>
                </c:pt>
                <c:pt idx="79">
                  <c:v>60.785681266803756</c:v>
                </c:pt>
                <c:pt idx="80">
                  <c:v>60.83943785605782</c:v>
                </c:pt>
                <c:pt idx="81">
                  <c:v>60.893146988908249</c:v>
                </c:pt>
                <c:pt idx="82">
                  <c:v>60.946808790817343</c:v>
                </c:pt>
                <c:pt idx="83">
                  <c:v>61.000423386695552</c:v>
                </c:pt>
                <c:pt idx="84">
                  <c:v>61.053990900904893</c:v>
                </c:pt>
                <c:pt idx="85">
                  <c:v>61.107511457262284</c:v>
                </c:pt>
                <c:pt idx="86">
                  <c:v>61.160985179042896</c:v>
                </c:pt>
                <c:pt idx="87">
                  <c:v>61.213655271245749</c:v>
                </c:pt>
                <c:pt idx="88">
                  <c:v>61.266280083441664</c:v>
                </c:pt>
                <c:pt idx="89">
                  <c:v>61.318859732210683</c:v>
                </c:pt>
                <c:pt idx="90">
                  <c:v>61.371394333633454</c:v>
                </c:pt>
                <c:pt idx="91">
                  <c:v>61.423884003294226</c:v>
                </c:pt>
                <c:pt idx="92">
                  <c:v>61.4763288562838</c:v>
                </c:pt>
                <c:pt idx="93">
                  <c:v>61.528729007202479</c:v>
                </c:pt>
                <c:pt idx="94">
                  <c:v>61.581084570163</c:v>
                </c:pt>
                <c:pt idx="95">
                  <c:v>61.632649541187511</c:v>
                </c:pt>
                <c:pt idx="96">
                  <c:v>61.684171406416048</c:v>
                </c:pt>
                <c:pt idx="97">
                  <c:v>61.735650273771228</c:v>
                </c:pt>
                <c:pt idx="98">
                  <c:v>61.787086250726077</c:v>
                </c:pt>
                <c:pt idx="99">
                  <c:v>61.838479444306657</c:v>
                </c:pt>
                <c:pt idx="100">
                  <c:v>61.889829961094662</c:v>
                </c:pt>
                <c:pt idx="101">
                  <c:v>61.941137907229994</c:v>
                </c:pt>
                <c:pt idx="102">
                  <c:v>61.992403388413315</c:v>
                </c:pt>
                <c:pt idx="103">
                  <c:v>62.043626509908599</c:v>
                </c:pt>
                <c:pt idx="104">
                  <c:v>62.094381014205645</c:v>
                </c:pt>
                <c:pt idx="105">
                  <c:v>62.145094066817954</c:v>
                </c:pt>
                <c:pt idx="106">
                  <c:v>62.195765769141886</c:v>
                </c:pt>
                <c:pt idx="107">
                  <c:v>62.246396222161096</c:v>
                </c:pt>
                <c:pt idx="108">
                  <c:v>62.296985526448871</c:v>
                </c:pt>
                <c:pt idx="109">
                  <c:v>62.34753378217048</c:v>
                </c:pt>
                <c:pt idx="110">
                  <c:v>62.398041089085467</c:v>
                </c:pt>
                <c:pt idx="111">
                  <c:v>62.448507546549962</c:v>
                </c:pt>
                <c:pt idx="112">
                  <c:v>62.498933253518949</c:v>
                </c:pt>
                <c:pt idx="113">
                  <c:v>62.548895891602918</c:v>
                </c:pt>
                <c:pt idx="114">
                  <c:v>62.59881865250609</c:v>
                </c:pt>
                <c:pt idx="115">
                  <c:v>62.648701631559042</c:v>
                </c:pt>
                <c:pt idx="116">
                  <c:v>62.698544923713122</c:v>
                </c:pt>
                <c:pt idx="117">
                  <c:v>62.748348623542569</c:v>
                </c:pt>
                <c:pt idx="118">
                  <c:v>62.798112825246591</c:v>
                </c:pt>
                <c:pt idx="119">
                  <c:v>62.847837622651461</c:v>
                </c:pt>
                <c:pt idx="120">
                  <c:v>62.897523109212564</c:v>
                </c:pt>
                <c:pt idx="121">
                  <c:v>62.947169378016454</c:v>
                </c:pt>
                <c:pt idx="122">
                  <c:v>62.996657880044843</c:v>
                </c:pt>
                <c:pt idx="123">
                  <c:v>63.046107535724516</c:v>
                </c:pt>
                <c:pt idx="124">
                  <c:v>63.095518436390257</c:v>
                </c:pt>
                <c:pt idx="125">
                  <c:v>63.144890673019511</c:v>
                </c:pt>
                <c:pt idx="126">
                  <c:v>63.194224336234321</c:v>
                </c:pt>
                <c:pt idx="127">
                  <c:v>63.243519516303273</c:v>
                </c:pt>
                <c:pt idx="128">
                  <c:v>63.292776303143441</c:v>
                </c:pt>
                <c:pt idx="129">
                  <c:v>63.341994786322282</c:v>
                </c:pt>
                <c:pt idx="130">
                  <c:v>63.391175055059541</c:v>
                </c:pt>
                <c:pt idx="131">
                  <c:v>63.439900108285173</c:v>
                </c:pt>
                <c:pt idx="132">
                  <c:v>63.488587766914449</c:v>
                </c:pt>
                <c:pt idx="133">
                  <c:v>63.537238116912171</c:v>
                </c:pt>
                <c:pt idx="134">
                  <c:v>63.585851243914277</c:v>
                </c:pt>
                <c:pt idx="135">
                  <c:v>63.634427233229594</c:v>
                </c:pt>
                <c:pt idx="136">
                  <c:v>63.682966169841606</c:v>
                </c:pt>
                <c:pt idx="137">
                  <c:v>63.73146813841015</c:v>
                </c:pt>
                <c:pt idx="138">
                  <c:v>63.779933223273183</c:v>
                </c:pt>
                <c:pt idx="139">
                  <c:v>63.828361508448452</c:v>
                </c:pt>
                <c:pt idx="140">
                  <c:v>63.876753077635229</c:v>
                </c:pt>
                <c:pt idx="141">
                  <c:v>63.924694786502087</c:v>
                </c:pt>
                <c:pt idx="142">
                  <c:v>63.972600567381292</c:v>
                </c:pt>
                <c:pt idx="143">
                  <c:v>64.020470500926336</c:v>
                </c:pt>
                <c:pt idx="144">
                  <c:v>64.068304667489414</c:v>
                </c:pt>
                <c:pt idx="145">
                  <c:v>64.116103147122971</c:v>
                </c:pt>
                <c:pt idx="146">
                  <c:v>64.163866019581278</c:v>
                </c:pt>
                <c:pt idx="147">
                  <c:v>64.211593364322013</c:v>
                </c:pt>
                <c:pt idx="148">
                  <c:v>64.259285260507752</c:v>
                </c:pt>
                <c:pt idx="149">
                  <c:v>64.306941787007531</c:v>
                </c:pt>
                <c:pt idx="150">
                  <c:v>64.353865695965084</c:v>
                </c:pt>
                <c:pt idx="151">
                  <c:v>64.400755415065177</c:v>
                </c:pt>
                <c:pt idx="152">
                  <c:v>64.447611018933685</c:v>
                </c:pt>
                <c:pt idx="153">
                  <c:v>64.494432581925381</c:v>
                </c:pt>
                <c:pt idx="154">
                  <c:v>64.541220178125343</c:v>
                </c:pt>
                <c:pt idx="155">
                  <c:v>64.587973881350308</c:v>
                </c:pt>
                <c:pt idx="156">
                  <c:v>64.634693765150033</c:v>
                </c:pt>
                <c:pt idx="157">
                  <c:v>64.681379902808658</c:v>
                </c:pt>
                <c:pt idx="158">
                  <c:v>64.728032367346032</c:v>
                </c:pt>
                <c:pt idx="159">
                  <c:v>64.774651231519044</c:v>
                </c:pt>
                <c:pt idx="160">
                  <c:v>64.820548816733393</c:v>
                </c:pt>
                <c:pt idx="161">
                  <c:v>64.866413926161371</c:v>
                </c:pt>
                <c:pt idx="162">
                  <c:v>64.912246628642336</c:v>
                </c:pt>
                <c:pt idx="163">
                  <c:v>64.958046992772751</c:v>
                </c:pt>
                <c:pt idx="164">
                  <c:v>65.003815086907466</c:v>
                </c:pt>
                <c:pt idx="165">
                  <c:v>65.049550979160827</c:v>
                </c:pt>
                <c:pt idx="166">
                  <c:v>64.876892084897079</c:v>
                </c:pt>
                <c:pt idx="167">
                  <c:v>64.703772460346698</c:v>
                </c:pt>
                <c:pt idx="168">
                  <c:v>64.530188397410242</c:v>
                </c:pt>
                <c:pt idx="169">
                  <c:v>64.356136137979874</c:v>
                </c:pt>
                <c:pt idx="170">
                  <c:v>64.181611872990047</c:v>
                </c:pt>
                <c:pt idx="171">
                  <c:v>64.006611741444928</c:v>
                </c:pt>
                <c:pt idx="172">
                  <c:v>63.831131829421722</c:v>
                </c:pt>
                <c:pt idx="173">
                  <c:v>63.655168169049354</c:v>
                </c:pt>
                <c:pt idx="174">
                  <c:v>63.478716737461646</c:v>
                </c:pt>
                <c:pt idx="175">
                  <c:v>63.301773455724224</c:v>
                </c:pt>
                <c:pt idx="176">
                  <c:v>63.124334187734377</c:v>
                </c:pt>
                <c:pt idx="177">
                  <c:v>62.946394739092959</c:v>
                </c:pt>
                <c:pt idx="178">
                  <c:v>62.767950855947568</c:v>
                </c:pt>
                <c:pt idx="179">
                  <c:v>62.58899822380598</c:v>
                </c:pt>
                <c:pt idx="180">
                  <c:v>62.409532466319014</c:v>
                </c:pt>
                <c:pt idx="181">
                  <c:v>62.229549144031779</c:v>
                </c:pt>
                <c:pt idx="182">
                  <c:v>62.049043753102318</c:v>
                </c:pt>
                <c:pt idx="183">
                  <c:v>61.868011723986612</c:v>
                </c:pt>
                <c:pt idx="184">
                  <c:v>61.658046643605708</c:v>
                </c:pt>
                <c:pt idx="185">
                  <c:v>61.447364118656623</c:v>
                </c:pt>
                <c:pt idx="186">
                  <c:v>61.235956744028108</c:v>
                </c:pt>
                <c:pt idx="187">
                  <c:v>61.023816986338979</c:v>
                </c:pt>
                <c:pt idx="188">
                  <c:v>60.810937180805773</c:v>
                </c:pt>
                <c:pt idx="189">
                  <c:v>60.597309528011372</c:v>
                </c:pt>
                <c:pt idx="190">
                  <c:v>60.382926090570749</c:v>
                </c:pt>
                <c:pt idx="191">
                  <c:v>60.167778789689763</c:v>
                </c:pt>
                <c:pt idx="192">
                  <c:v>59.951859401612836</c:v>
                </c:pt>
                <c:pt idx="193">
                  <c:v>59.735159553955036</c:v>
                </c:pt>
                <c:pt idx="194">
                  <c:v>59.517670721913987</c:v>
                </c:pt>
                <c:pt idx="195">
                  <c:v>59.29938422435675</c:v>
                </c:pt>
                <c:pt idx="196">
                  <c:v>59.08029121977652</c:v>
                </c:pt>
                <c:pt idx="197">
                  <c:v>58.860382702113945</c:v>
                </c:pt>
                <c:pt idx="198">
                  <c:v>58.639649496437364</c:v>
                </c:pt>
                <c:pt idx="199">
                  <c:v>58.418082254476133</c:v>
                </c:pt>
                <c:pt idx="200">
                  <c:v>58.195671450000916</c:v>
                </c:pt>
                <c:pt idx="201">
                  <c:v>57.972407374044451</c:v>
                </c:pt>
                <c:pt idx="202">
                  <c:v>57.748280129956036</c:v>
                </c:pt>
                <c:pt idx="203">
                  <c:v>57.523279628282559</c:v>
                </c:pt>
                <c:pt idx="204">
                  <c:v>57.297395581468614</c:v>
                </c:pt>
                <c:pt idx="205">
                  <c:v>57.070617498367852</c:v>
                </c:pt>
                <c:pt idx="206">
                  <c:v>56.842934678557221</c:v>
                </c:pt>
                <c:pt idx="207">
                  <c:v>56.614336206445408</c:v>
                </c:pt>
                <c:pt idx="208">
                  <c:v>56.384810945166322</c:v>
                </c:pt>
                <c:pt idx="209">
                  <c:v>56.154347530247918</c:v>
                </c:pt>
                <c:pt idx="210">
                  <c:v>55.922934363046195</c:v>
                </c:pt>
                <c:pt idx="211">
                  <c:v>55.690559603933636</c:v>
                </c:pt>
                <c:pt idx="212">
                  <c:v>55.457211165230774</c:v>
                </c:pt>
                <c:pt idx="213">
                  <c:v>55.22287670386892</c:v>
                </c:pt>
                <c:pt idx="214">
                  <c:v>54.987543613771486</c:v>
                </c:pt>
                <c:pt idx="215">
                  <c:v>54.751199017940543</c:v>
                </c:pt>
                <c:pt idx="216">
                  <c:v>54.481743641117752</c:v>
                </c:pt>
                <c:pt idx="217">
                  <c:v>54.21094895360914</c:v>
                </c:pt>
                <c:pt idx="218">
                  <c:v>53.938794783765395</c:v>
                </c:pt>
                <c:pt idx="219">
                  <c:v>53.665260448445586</c:v>
                </c:pt>
                <c:pt idx="220">
                  <c:v>53.390324734673037</c:v>
                </c:pt>
                <c:pt idx="221">
                  <c:v>53.113965880436574</c:v>
                </c:pt>
                <c:pt idx="222">
                  <c:v>52.836161554587989</c:v>
                </c:pt>
                <c:pt idx="223">
                  <c:v>52.556888835783106</c:v>
                </c:pt>
                <c:pt idx="224">
                  <c:v>52.276124190410329</c:v>
                </c:pt>
                <c:pt idx="225">
                  <c:v>51.993843449446445</c:v>
                </c:pt>
                <c:pt idx="226">
                  <c:v>51.710021784175318</c:v>
                </c:pt>
                <c:pt idx="227">
                  <c:v>51.42463368070041</c:v>
                </c:pt>
                <c:pt idx="228">
                  <c:v>51.137652913177078</c:v>
                </c:pt>
                <c:pt idx="229">
                  <c:v>50.84905251568518</c:v>
                </c:pt>
                <c:pt idx="230">
                  <c:v>50.558804752656592</c:v>
                </c:pt>
                <c:pt idx="231">
                  <c:v>50.266881087765846</c:v>
                </c:pt>
                <c:pt idx="232">
                  <c:v>49.973252151185164</c:v>
                </c:pt>
                <c:pt idx="233">
                  <c:v>49.677887705097461</c:v>
                </c:pt>
                <c:pt idx="234">
                  <c:v>49.380756607352772</c:v>
                </c:pt>
                <c:pt idx="235">
                  <c:v>49.081826773144414</c:v>
                </c:pt>
                <c:pt idx="236">
                  <c:v>48.781065134571392</c:v>
                </c:pt>
                <c:pt idx="237">
                  <c:v>48.478437597942836</c:v>
                </c:pt>
                <c:pt idx="238">
                  <c:v>48.173908998668345</c:v>
                </c:pt>
                <c:pt idx="239">
                  <c:v>47.867443053565331</c:v>
                </c:pt>
                <c:pt idx="240">
                  <c:v>47.559002310400302</c:v>
                </c:pt>
                <c:pt idx="241">
                  <c:v>47.24854809446532</c:v>
                </c:pt>
                <c:pt idx="242">
                  <c:v>46.936040451974044</c:v>
                </c:pt>
                <c:pt idx="243">
                  <c:v>46.621438090042709</c:v>
                </c:pt>
                <c:pt idx="244">
                  <c:v>46.304698313000877</c:v>
                </c:pt>
                <c:pt idx="245">
                  <c:v>45.985776954753817</c:v>
                </c:pt>
                <c:pt idx="246">
                  <c:v>45.664628306893157</c:v>
                </c:pt>
                <c:pt idx="247">
                  <c:v>45.341205042224544</c:v>
                </c:pt>
                <c:pt idx="248">
                  <c:v>45.01545813335003</c:v>
                </c:pt>
                <c:pt idx="249">
                  <c:v>44.687336765908647</c:v>
                </c:pt>
                <c:pt idx="250">
                  <c:v>44.356788246040445</c:v>
                </c:pt>
                <c:pt idx="251">
                  <c:v>44.023757901596866</c:v>
                </c:pt>
                <c:pt idx="252">
                  <c:v>43.688188976572988</c:v>
                </c:pt>
                <c:pt idx="253">
                  <c:v>43.350022518184396</c:v>
                </c:pt>
                <c:pt idx="254">
                  <c:v>43.009197255952536</c:v>
                </c:pt>
                <c:pt idx="255">
                  <c:v>42.665649472096121</c:v>
                </c:pt>
                <c:pt idx="256">
                  <c:v>42.319312862452257</c:v>
                </c:pt>
                <c:pt idx="257">
                  <c:v>41.970118387067458</c:v>
                </c:pt>
                <c:pt idx="258">
                  <c:v>41.617994109505076</c:v>
                </c:pt>
                <c:pt idx="259">
                  <c:v>41.262865023809731</c:v>
                </c:pt>
                <c:pt idx="260">
                  <c:v>40.904652867949892</c:v>
                </c:pt>
                <c:pt idx="261">
                  <c:v>40.543275922424208</c:v>
                </c:pt>
                <c:pt idx="262">
                  <c:v>40.178648792563493</c:v>
                </c:pt>
                <c:pt idx="263">
                  <c:v>39.810682172885521</c:v>
                </c:pt>
                <c:pt idx="264">
                  <c:v>39.439282591660387</c:v>
                </c:pt>
                <c:pt idx="265">
                  <c:v>39.064352133616488</c:v>
                </c:pt>
                <c:pt idx="266">
                  <c:v>38.685788138456324</c:v>
                </c:pt>
                <c:pt idx="267">
                  <c:v>38.303482872551797</c:v>
                </c:pt>
                <c:pt idx="268">
                  <c:v>37.917323170843822</c:v>
                </c:pt>
                <c:pt idx="269">
                  <c:v>37.527190045572965</c:v>
                </c:pt>
                <c:pt idx="270">
                  <c:v>37.132958258007015</c:v>
                </c:pt>
                <c:pt idx="271">
                  <c:v>36.7344958487963</c:v>
                </c:pt>
                <c:pt idx="272">
                  <c:v>36.331663621964431</c:v>
                </c:pt>
                <c:pt idx="273">
                  <c:v>35.924314576814332</c:v>
                </c:pt>
                <c:pt idx="274">
                  <c:v>35.512293281175964</c:v>
                </c:pt>
                <c:pt idx="275">
                  <c:v>35.095435178418811</c:v>
                </c:pt>
                <c:pt idx="276">
                  <c:v>34.673565819467399</c:v>
                </c:pt>
                <c:pt idx="277">
                  <c:v>34.246500009654696</c:v>
                </c:pt>
                <c:pt idx="278">
                  <c:v>33.814040858578558</c:v>
                </c:pt>
                <c:pt idx="279">
                  <c:v>33.375978719132135</c:v>
                </c:pt>
                <c:pt idx="280">
                  <c:v>32.932089999486855</c:v>
                </c:pt>
                <c:pt idx="281">
                  <c:v>32.482135828923617</c:v>
                </c:pt>
                <c:pt idx="282">
                  <c:v>32.025860554916932</c:v>
                </c:pt>
                <c:pt idx="283">
                  <c:v>31.562990044628616</c:v>
                </c:pt>
                <c:pt idx="284">
                  <c:v>31.093229758770093</c:v>
                </c:pt>
                <c:pt idx="285">
                  <c:v>30.616262559398184</c:v>
                </c:pt>
                <c:pt idx="286">
                  <c:v>30.131746205295634</c:v>
                </c:pt>
                <c:pt idx="287">
                  <c:v>29.639310478732273</c:v>
                </c:pt>
                <c:pt idx="288">
                  <c:v>29.138553875047226</c:v>
                </c:pt>
                <c:pt idx="289">
                  <c:v>28.629039770892955</c:v>
                </c:pt>
                <c:pt idx="290">
                  <c:v>28.110291967137435</c:v>
                </c:pt>
                <c:pt idx="291">
                  <c:v>27.581789476972887</c:v>
                </c:pt>
                <c:pt idx="292">
                  <c:v>27.042960396864711</c:v>
                </c:pt>
                <c:pt idx="293">
                  <c:v>26.493174655007543</c:v>
                </c:pt>
                <c:pt idx="294">
                  <c:v>25.931735375309437</c:v>
                </c:pt>
                <c:pt idx="295">
                  <c:v>25.357868519444132</c:v>
                </c:pt>
                <c:pt idx="296">
                  <c:v>24.770710367766135</c:v>
                </c:pt>
                <c:pt idx="297">
                  <c:v>24.169292261009581</c:v>
                </c:pt>
                <c:pt idx="298">
                  <c:v>23.552521832543505</c:v>
                </c:pt>
                <c:pt idx="299">
                  <c:v>22.91915969111388</c:v>
                </c:pt>
                <c:pt idx="300">
                  <c:v>22.267790128818806</c:v>
                </c:pt>
                <c:pt idx="301">
                  <c:v>21.596783869258431</c:v>
                </c:pt>
                <c:pt idx="302">
                  <c:v>20.904250040836242</c:v>
                </c:pt>
                <c:pt idx="303">
                  <c:v>20.187973302046515</c:v>
                </c:pt>
                <c:pt idx="304">
                  <c:v>19.445330090242329</c:v>
                </c:pt>
                <c:pt idx="305">
                  <c:v>18.673174839668391</c:v>
                </c:pt>
                <c:pt idx="306">
                  <c:v>17.867681854878814</c:v>
                </c:pt>
                <c:pt idx="307">
                  <c:v>17.867681854878814</c:v>
                </c:pt>
                <c:pt idx="308">
                  <c:v>17.867681854878814</c:v>
                </c:pt>
                <c:pt idx="309">
                  <c:v>17.867681854878814</c:v>
                </c:pt>
                <c:pt idx="310">
                  <c:v>17.867681854878814</c:v>
                </c:pt>
                <c:pt idx="311">
                  <c:v>17.867681854878814</c:v>
                </c:pt>
                <c:pt idx="312">
                  <c:v>17.867681854878814</c:v>
                </c:pt>
                <c:pt idx="313">
                  <c:v>17.867681854878814</c:v>
                </c:pt>
                <c:pt idx="314">
                  <c:v>17.867681854878814</c:v>
                </c:pt>
                <c:pt idx="315">
                  <c:v>17.867681854878814</c:v>
                </c:pt>
                <c:pt idx="316">
                  <c:v>17.867681854878814</c:v>
                </c:pt>
                <c:pt idx="317">
                  <c:v>17.867681854878814</c:v>
                </c:pt>
                <c:pt idx="318">
                  <c:v>17.867681854878814</c:v>
                </c:pt>
                <c:pt idx="319">
                  <c:v>17.867681854878814</c:v>
                </c:pt>
                <c:pt idx="320">
                  <c:v>17.867681854878814</c:v>
                </c:pt>
                <c:pt idx="321">
                  <c:v>17.867681854878814</c:v>
                </c:pt>
                <c:pt idx="322">
                  <c:v>17.867681854878814</c:v>
                </c:pt>
                <c:pt idx="323">
                  <c:v>17.867681854878814</c:v>
                </c:pt>
                <c:pt idx="324">
                  <c:v>17.867681854878814</c:v>
                </c:pt>
                <c:pt idx="325">
                  <c:v>17.867681854878814</c:v>
                </c:pt>
                <c:pt idx="326">
                  <c:v>17.867681854878814</c:v>
                </c:pt>
                <c:pt idx="327">
                  <c:v>17.867681854878814</c:v>
                </c:pt>
                <c:pt idx="328">
                  <c:v>17.867681854878814</c:v>
                </c:pt>
                <c:pt idx="329">
                  <c:v>17.867681854878814</c:v>
                </c:pt>
                <c:pt idx="330">
                  <c:v>17.867681854878814</c:v>
                </c:pt>
                <c:pt idx="331">
                  <c:v>17.867681854878814</c:v>
                </c:pt>
                <c:pt idx="332">
                  <c:v>17.867681854878814</c:v>
                </c:pt>
                <c:pt idx="333">
                  <c:v>17.867681854878814</c:v>
                </c:pt>
                <c:pt idx="334">
                  <c:v>17.867681854878814</c:v>
                </c:pt>
                <c:pt idx="335">
                  <c:v>17.867681854878814</c:v>
                </c:pt>
                <c:pt idx="336">
                  <c:v>17.867681854878814</c:v>
                </c:pt>
                <c:pt idx="337">
                  <c:v>17.867681854878814</c:v>
                </c:pt>
                <c:pt idx="338">
                  <c:v>17.867681854878814</c:v>
                </c:pt>
                <c:pt idx="339">
                  <c:v>17.867681854878814</c:v>
                </c:pt>
                <c:pt idx="340">
                  <c:v>17.867681854878814</c:v>
                </c:pt>
                <c:pt idx="341">
                  <c:v>17.867681854878814</c:v>
                </c:pt>
                <c:pt idx="342">
                  <c:v>17.867681854878814</c:v>
                </c:pt>
                <c:pt idx="343">
                  <c:v>17.867681854878814</c:v>
                </c:pt>
                <c:pt idx="344">
                  <c:v>17.867681854878814</c:v>
                </c:pt>
                <c:pt idx="345">
                  <c:v>17.867681854878814</c:v>
                </c:pt>
                <c:pt idx="346">
                  <c:v>17.867681854878814</c:v>
                </c:pt>
                <c:pt idx="347">
                  <c:v>17.867681854878814</c:v>
                </c:pt>
                <c:pt idx="348">
                  <c:v>17.867681854878814</c:v>
                </c:pt>
                <c:pt idx="349">
                  <c:v>17.867681854878814</c:v>
                </c:pt>
                <c:pt idx="350">
                  <c:v>17.867681854878814</c:v>
                </c:pt>
                <c:pt idx="351">
                  <c:v>17.867681854878814</c:v>
                </c:pt>
                <c:pt idx="352">
                  <c:v>17.867681854878814</c:v>
                </c:pt>
                <c:pt idx="353">
                  <c:v>17.867681854878814</c:v>
                </c:pt>
                <c:pt idx="354">
                  <c:v>17.867681854878814</c:v>
                </c:pt>
                <c:pt idx="355">
                  <c:v>17.867681854878814</c:v>
                </c:pt>
                <c:pt idx="356">
                  <c:v>17.867681854878814</c:v>
                </c:pt>
                <c:pt idx="357">
                  <c:v>17.867681854878814</c:v>
                </c:pt>
                <c:pt idx="358">
                  <c:v>17.867681854878814</c:v>
                </c:pt>
                <c:pt idx="359">
                  <c:v>17.867681854878814</c:v>
                </c:pt>
                <c:pt idx="360">
                  <c:v>17.867681854878814</c:v>
                </c:pt>
                <c:pt idx="361">
                  <c:v>17.867681854878814</c:v>
                </c:pt>
                <c:pt idx="362">
                  <c:v>17.867681854878814</c:v>
                </c:pt>
                <c:pt idx="363">
                  <c:v>17.867681854878814</c:v>
                </c:pt>
                <c:pt idx="364">
                  <c:v>17.867681854878814</c:v>
                </c:pt>
                <c:pt idx="365">
                  <c:v>18.183221603828265</c:v>
                </c:pt>
                <c:pt idx="366">
                  <c:v>18.496528344630487</c:v>
                </c:pt>
                <c:pt idx="367">
                  <c:v>18.811039408442461</c:v>
                </c:pt>
                <c:pt idx="368">
                  <c:v>19.132600614779783</c:v>
                </c:pt>
                <c:pt idx="369">
                  <c:v>19.454661842753286</c:v>
                </c:pt>
                <c:pt idx="370">
                  <c:v>19.782557295899981</c:v>
                </c:pt>
                <c:pt idx="371">
                  <c:v>20.115552404519509</c:v>
                </c:pt>
                <c:pt idx="372">
                  <c:v>20.452274765400482</c:v>
                </c:pt>
                <c:pt idx="373">
                  <c:v>20.792963311619321</c:v>
                </c:pt>
                <c:pt idx="374">
                  <c:v>21.137061191099118</c:v>
                </c:pt>
                <c:pt idx="375">
                  <c:v>21.479897586586759</c:v>
                </c:pt>
                <c:pt idx="376">
                  <c:v>21.818169448065966</c:v>
                </c:pt>
                <c:pt idx="377">
                  <c:v>22.152047844690966</c:v>
                </c:pt>
                <c:pt idx="378">
                  <c:v>22.477885774928989</c:v>
                </c:pt>
                <c:pt idx="379">
                  <c:v>22.793145012302578</c:v>
                </c:pt>
                <c:pt idx="380">
                  <c:v>23.101255549036797</c:v>
                </c:pt>
                <c:pt idx="381">
                  <c:v>23.399829448787038</c:v>
                </c:pt>
                <c:pt idx="382">
                  <c:v>23.695558115754448</c:v>
                </c:pt>
                <c:pt idx="383">
                  <c:v>23.988079580560555</c:v>
                </c:pt>
                <c:pt idx="384">
                  <c:v>24.277500576851736</c:v>
                </c:pt>
                <c:pt idx="385">
                  <c:v>24.567192538830742</c:v>
                </c:pt>
                <c:pt idx="386">
                  <c:v>24.8538732306288</c:v>
                </c:pt>
                <c:pt idx="387">
                  <c:v>25.137983696410881</c:v>
                </c:pt>
                <c:pt idx="388">
                  <c:v>25.419253434442751</c:v>
                </c:pt>
                <c:pt idx="389">
                  <c:v>25.698085656458971</c:v>
                </c:pt>
                <c:pt idx="390">
                  <c:v>25.972949027351309</c:v>
                </c:pt>
                <c:pt idx="391">
                  <c:v>26.243981445436489</c:v>
                </c:pt>
                <c:pt idx="392">
                  <c:v>26.507939495823511</c:v>
                </c:pt>
                <c:pt idx="393">
                  <c:v>26.767209617592741</c:v>
                </c:pt>
                <c:pt idx="394">
                  <c:v>27.002749546880494</c:v>
                </c:pt>
                <c:pt idx="395">
                  <c:v>27.239272645817021</c:v>
                </c:pt>
                <c:pt idx="396">
                  <c:v>27.476693211339146</c:v>
                </c:pt>
                <c:pt idx="397">
                  <c:v>27.712312957781744</c:v>
                </c:pt>
                <c:pt idx="398">
                  <c:v>27.946169878063031</c:v>
                </c:pt>
                <c:pt idx="399">
                  <c:v>28.178300546398045</c:v>
                </c:pt>
                <c:pt idx="400">
                  <c:v>28.408740192674372</c:v>
                </c:pt>
                <c:pt idx="401">
                  <c:v>28.635082109062697</c:v>
                </c:pt>
                <c:pt idx="402">
                  <c:v>28.859648914195976</c:v>
                </c:pt>
                <c:pt idx="403">
                  <c:v>29.080309286751874</c:v>
                </c:pt>
                <c:pt idx="404">
                  <c:v>29.29718691582454</c:v>
                </c:pt>
                <c:pt idx="405">
                  <c:v>29.510399406606094</c:v>
                </c:pt>
                <c:pt idx="406">
                  <c:v>29.720058683328773</c:v>
                </c:pt>
                <c:pt idx="407">
                  <c:v>29.926271358530641</c:v>
                </c:pt>
                <c:pt idx="408">
                  <c:v>30.131072777256318</c:v>
                </c:pt>
                <c:pt idx="409">
                  <c:v>30.334755701319612</c:v>
                </c:pt>
                <c:pt idx="410">
                  <c:v>30.53733506362715</c:v>
                </c:pt>
                <c:pt idx="411">
                  <c:v>30.738825446459078</c:v>
                </c:pt>
                <c:pt idx="412">
                  <c:v>30.939241092673473</c:v>
                </c:pt>
                <c:pt idx="413">
                  <c:v>31.138366831824523</c:v>
                </c:pt>
                <c:pt idx="414">
                  <c:v>31.336454892201299</c:v>
                </c:pt>
                <c:pt idx="415">
                  <c:v>31.53553308481391</c:v>
                </c:pt>
                <c:pt idx="416">
                  <c:v>31.733557773500845</c:v>
                </c:pt>
                <c:pt idx="417">
                  <c:v>31.930354382387289</c:v>
                </c:pt>
                <c:pt idx="418">
                  <c:v>32.126132519701265</c:v>
                </c:pt>
                <c:pt idx="419">
                  <c:v>32.320904894429482</c:v>
                </c:pt>
                <c:pt idx="420">
                  <c:v>32.51468393280296</c:v>
                </c:pt>
                <c:pt idx="421">
                  <c:v>32.707314920448518</c:v>
                </c:pt>
                <c:pt idx="422">
                  <c:v>32.707314920448518</c:v>
                </c:pt>
                <c:pt idx="423">
                  <c:v>32.707314920448518</c:v>
                </c:pt>
                <c:pt idx="424">
                  <c:v>32.707314920448518</c:v>
                </c:pt>
                <c:pt idx="425">
                  <c:v>32.707314920448518</c:v>
                </c:pt>
                <c:pt idx="426">
                  <c:v>32.707314920448518</c:v>
                </c:pt>
                <c:pt idx="427">
                  <c:v>32.707314920448518</c:v>
                </c:pt>
                <c:pt idx="428">
                  <c:v>32.707314920448518</c:v>
                </c:pt>
                <c:pt idx="429">
                  <c:v>32.707314920448518</c:v>
                </c:pt>
                <c:pt idx="430">
                  <c:v>32.707314920448518</c:v>
                </c:pt>
                <c:pt idx="431">
                  <c:v>32.707314920448518</c:v>
                </c:pt>
                <c:pt idx="432">
                  <c:v>32.707314920448518</c:v>
                </c:pt>
                <c:pt idx="433">
                  <c:v>32.707314920448518</c:v>
                </c:pt>
                <c:pt idx="434">
                  <c:v>32.707314920448518</c:v>
                </c:pt>
                <c:pt idx="435">
                  <c:v>32.707314920448518</c:v>
                </c:pt>
                <c:pt idx="436">
                  <c:v>32.707314920448518</c:v>
                </c:pt>
                <c:pt idx="437">
                  <c:v>32.707314920448518</c:v>
                </c:pt>
                <c:pt idx="438">
                  <c:v>32.707314920448518</c:v>
                </c:pt>
                <c:pt idx="439">
                  <c:v>32.707314920448518</c:v>
                </c:pt>
                <c:pt idx="440">
                  <c:v>32.707314920448518</c:v>
                </c:pt>
                <c:pt idx="441">
                  <c:v>32.707314920448518</c:v>
                </c:pt>
                <c:pt idx="442">
                  <c:v>32.707314920448518</c:v>
                </c:pt>
                <c:pt idx="443">
                  <c:v>32.707314920448518</c:v>
                </c:pt>
                <c:pt idx="444">
                  <c:v>32.707314920448518</c:v>
                </c:pt>
                <c:pt idx="445">
                  <c:v>32.707314920448518</c:v>
                </c:pt>
                <c:pt idx="446">
                  <c:v>32.707314920448518</c:v>
                </c:pt>
                <c:pt idx="447">
                  <c:v>32.707314920448518</c:v>
                </c:pt>
                <c:pt idx="448">
                  <c:v>32.707314920448518</c:v>
                </c:pt>
                <c:pt idx="449">
                  <c:v>32.707314920448518</c:v>
                </c:pt>
                <c:pt idx="450">
                  <c:v>32.707314920448518</c:v>
                </c:pt>
                <c:pt idx="451">
                  <c:v>32.707314920448518</c:v>
                </c:pt>
                <c:pt idx="452">
                  <c:v>32.707314920448518</c:v>
                </c:pt>
                <c:pt idx="453">
                  <c:v>32.707314920448518</c:v>
                </c:pt>
                <c:pt idx="454">
                  <c:v>32.707314920448518</c:v>
                </c:pt>
                <c:pt idx="455">
                  <c:v>32.707314920448518</c:v>
                </c:pt>
                <c:pt idx="456">
                  <c:v>32.707314920448518</c:v>
                </c:pt>
                <c:pt idx="457">
                  <c:v>32.707314920448518</c:v>
                </c:pt>
                <c:pt idx="458">
                  <c:v>32.707314920448518</c:v>
                </c:pt>
                <c:pt idx="459">
                  <c:v>32.707314920448518</c:v>
                </c:pt>
                <c:pt idx="460">
                  <c:v>32.707314920448518</c:v>
                </c:pt>
                <c:pt idx="461">
                  <c:v>32.707314920448518</c:v>
                </c:pt>
                <c:pt idx="462">
                  <c:v>32.707314920448518</c:v>
                </c:pt>
                <c:pt idx="463">
                  <c:v>32.707314920448518</c:v>
                </c:pt>
                <c:pt idx="464">
                  <c:v>32.707314920448518</c:v>
                </c:pt>
                <c:pt idx="465">
                  <c:v>32.707314920448518</c:v>
                </c:pt>
                <c:pt idx="466">
                  <c:v>32.707314920448518</c:v>
                </c:pt>
                <c:pt idx="467">
                  <c:v>32.707314920448518</c:v>
                </c:pt>
                <c:pt idx="468">
                  <c:v>32.707314920448518</c:v>
                </c:pt>
                <c:pt idx="469">
                  <c:v>32.707314920448518</c:v>
                </c:pt>
                <c:pt idx="470">
                  <c:v>32.707314920448518</c:v>
                </c:pt>
                <c:pt idx="471">
                  <c:v>32.707314920448518</c:v>
                </c:pt>
                <c:pt idx="472">
                  <c:v>32.707314920448518</c:v>
                </c:pt>
                <c:pt idx="473">
                  <c:v>32.707314920448518</c:v>
                </c:pt>
                <c:pt idx="474">
                  <c:v>32.707314920448518</c:v>
                </c:pt>
                <c:pt idx="475">
                  <c:v>32.707314920448518</c:v>
                </c:pt>
                <c:pt idx="476">
                  <c:v>32.707314920448518</c:v>
                </c:pt>
                <c:pt idx="477">
                  <c:v>32.707314920448518</c:v>
                </c:pt>
                <c:pt idx="478">
                  <c:v>32.707314920448518</c:v>
                </c:pt>
                <c:pt idx="479">
                  <c:v>32.707314920448518</c:v>
                </c:pt>
                <c:pt idx="480">
                  <c:v>32.707314920448518</c:v>
                </c:pt>
                <c:pt idx="481">
                  <c:v>32.707314920448518</c:v>
                </c:pt>
                <c:pt idx="482">
                  <c:v>32.707314920448518</c:v>
                </c:pt>
                <c:pt idx="483">
                  <c:v>32.707314920448518</c:v>
                </c:pt>
                <c:pt idx="484">
                  <c:v>32.707314920448518</c:v>
                </c:pt>
                <c:pt idx="485">
                  <c:v>32.707314920448518</c:v>
                </c:pt>
                <c:pt idx="486">
                  <c:v>32.707314920448518</c:v>
                </c:pt>
                <c:pt idx="487">
                  <c:v>32.707314920448518</c:v>
                </c:pt>
                <c:pt idx="488">
                  <c:v>32.707314920448518</c:v>
                </c:pt>
                <c:pt idx="489">
                  <c:v>32.707314920448518</c:v>
                </c:pt>
                <c:pt idx="490">
                  <c:v>32.707314920448518</c:v>
                </c:pt>
                <c:pt idx="491">
                  <c:v>32.707314920448518</c:v>
                </c:pt>
                <c:pt idx="492">
                  <c:v>32.707314920448518</c:v>
                </c:pt>
                <c:pt idx="493">
                  <c:v>32.707314920448518</c:v>
                </c:pt>
                <c:pt idx="494">
                  <c:v>32.707314920448518</c:v>
                </c:pt>
                <c:pt idx="495">
                  <c:v>32.707314920448518</c:v>
                </c:pt>
                <c:pt idx="496">
                  <c:v>32.707314920448518</c:v>
                </c:pt>
                <c:pt idx="497">
                  <c:v>32.707314920448518</c:v>
                </c:pt>
                <c:pt idx="498">
                  <c:v>32.707314920448518</c:v>
                </c:pt>
                <c:pt idx="499">
                  <c:v>32.707314920448518</c:v>
                </c:pt>
                <c:pt idx="500">
                  <c:v>32.707314920448518</c:v>
                </c:pt>
                <c:pt idx="501">
                  <c:v>32.707314920448518</c:v>
                </c:pt>
                <c:pt idx="502">
                  <c:v>32.707314920448518</c:v>
                </c:pt>
                <c:pt idx="503">
                  <c:v>32.707314920448518</c:v>
                </c:pt>
                <c:pt idx="504">
                  <c:v>32.707314920448518</c:v>
                </c:pt>
                <c:pt idx="505">
                  <c:v>32.707314920448518</c:v>
                </c:pt>
                <c:pt idx="506">
                  <c:v>32.707314920448518</c:v>
                </c:pt>
                <c:pt idx="507">
                  <c:v>32.707314920448518</c:v>
                </c:pt>
                <c:pt idx="508">
                  <c:v>32.707314920448518</c:v>
                </c:pt>
                <c:pt idx="509">
                  <c:v>32.707314920448518</c:v>
                </c:pt>
                <c:pt idx="510">
                  <c:v>32.707314920448518</c:v>
                </c:pt>
                <c:pt idx="511">
                  <c:v>32.707314920448518</c:v>
                </c:pt>
                <c:pt idx="512">
                  <c:v>32.707314920448518</c:v>
                </c:pt>
                <c:pt idx="513">
                  <c:v>32.707314920448518</c:v>
                </c:pt>
                <c:pt idx="514">
                  <c:v>32.707314920448518</c:v>
                </c:pt>
                <c:pt idx="515">
                  <c:v>32.707314920448518</c:v>
                </c:pt>
                <c:pt idx="516">
                  <c:v>32.707314920448518</c:v>
                </c:pt>
                <c:pt idx="517">
                  <c:v>32.707314920448518</c:v>
                </c:pt>
                <c:pt idx="518">
                  <c:v>32.707314920448518</c:v>
                </c:pt>
                <c:pt idx="519">
                  <c:v>32.707314920448518</c:v>
                </c:pt>
                <c:pt idx="520">
                  <c:v>32.707314920448518</c:v>
                </c:pt>
                <c:pt idx="521">
                  <c:v>32.707314920448518</c:v>
                </c:pt>
                <c:pt idx="522">
                  <c:v>32.898983918852025</c:v>
                </c:pt>
                <c:pt idx="523">
                  <c:v>33.089702311715158</c:v>
                </c:pt>
                <c:pt idx="524">
                  <c:v>33.278578826558729</c:v>
                </c:pt>
                <c:pt idx="525">
                  <c:v>33.466389383275846</c:v>
                </c:pt>
                <c:pt idx="526">
                  <c:v>33.652420019948735</c:v>
                </c:pt>
                <c:pt idx="527">
                  <c:v>33.835834716172911</c:v>
                </c:pt>
                <c:pt idx="528">
                  <c:v>34.018260518158442</c:v>
                </c:pt>
                <c:pt idx="529">
                  <c:v>34.198158346610789</c:v>
                </c:pt>
                <c:pt idx="530">
                  <c:v>34.375588694606719</c:v>
                </c:pt>
                <c:pt idx="531">
                  <c:v>34.550609788459958</c:v>
                </c:pt>
                <c:pt idx="532">
                  <c:v>34.724748745067643</c:v>
                </c:pt>
                <c:pt idx="533">
                  <c:v>34.896555029893619</c:v>
                </c:pt>
                <c:pt idx="534">
                  <c:v>35.066081927835121</c:v>
                </c:pt>
                <c:pt idx="535">
                  <c:v>35.234793182093405</c:v>
                </c:pt>
                <c:pt idx="536">
                  <c:v>35.401294783001688</c:v>
                </c:pt>
                <c:pt idx="537">
                  <c:v>35.567016940433298</c:v>
                </c:pt>
                <c:pt idx="538">
                  <c:v>35.730595579850323</c:v>
                </c:pt>
                <c:pt idx="539">
                  <c:v>35.89285339955731</c:v>
                </c:pt>
                <c:pt idx="540">
                  <c:v>36.05438100749209</c:v>
                </c:pt>
                <c:pt idx="541">
                  <c:v>36.214623646200195</c:v>
                </c:pt>
                <c:pt idx="542">
                  <c:v>36.374358701128443</c:v>
                </c:pt>
                <c:pt idx="543">
                  <c:v>36.533395352756287</c:v>
                </c:pt>
                <c:pt idx="544">
                  <c:v>36.691191027113007</c:v>
                </c:pt>
                <c:pt idx="545">
                  <c:v>36.848310978597127</c:v>
                </c:pt>
                <c:pt idx="546">
                  <c:v>36.995199615255899</c:v>
                </c:pt>
                <c:pt idx="547">
                  <c:v>37.141621903563994</c:v>
                </c:pt>
                <c:pt idx="548">
                  <c:v>37.28746921798232</c:v>
                </c:pt>
                <c:pt idx="549">
                  <c:v>37.432856297850272</c:v>
                </c:pt>
                <c:pt idx="550">
                  <c:v>37.577680883059273</c:v>
                </c:pt>
                <c:pt idx="551">
                  <c:v>37.723568760256086</c:v>
                </c:pt>
                <c:pt idx="552">
                  <c:v>37.868894616432883</c:v>
                </c:pt>
                <c:pt idx="553">
                  <c:v>38.01374809642796</c:v>
                </c:pt>
                <c:pt idx="554">
                  <c:v>38.158051695636416</c:v>
                </c:pt>
                <c:pt idx="555">
                  <c:v>38.301889181017707</c:v>
                </c:pt>
                <c:pt idx="556">
                  <c:v>38.445188521622072</c:v>
                </c:pt>
                <c:pt idx="557">
                  <c:v>38.588027796434041</c:v>
                </c:pt>
                <c:pt idx="558">
                  <c:v>38.730340277018882</c:v>
                </c:pt>
                <c:pt idx="559">
                  <c:v>38.872131749223321</c:v>
                </c:pt>
                <c:pt idx="560">
                  <c:v>39.013474438572054</c:v>
                </c:pt>
                <c:pt idx="561">
                  <c:v>39.154306899870598</c:v>
                </c:pt>
                <c:pt idx="562">
                  <c:v>39.294696052605296</c:v>
                </c:pt>
                <c:pt idx="563">
                  <c:v>39.434585415901289</c:v>
                </c:pt>
                <c:pt idx="564">
                  <c:v>39.574036767794368</c:v>
                </c:pt>
                <c:pt idx="565">
                  <c:v>39.574036767794368</c:v>
                </c:pt>
                <c:pt idx="566">
                  <c:v>39.574036767794368</c:v>
                </c:pt>
                <c:pt idx="567">
                  <c:v>39.574036767794368</c:v>
                </c:pt>
                <c:pt idx="568">
                  <c:v>39.574036767794368</c:v>
                </c:pt>
                <c:pt idx="569">
                  <c:v>39.574036767794368</c:v>
                </c:pt>
                <c:pt idx="570">
                  <c:v>39.574036767794368</c:v>
                </c:pt>
                <c:pt idx="571">
                  <c:v>39.574036767794368</c:v>
                </c:pt>
                <c:pt idx="572">
                  <c:v>39.574036767794368</c:v>
                </c:pt>
                <c:pt idx="573">
                  <c:v>39.574036767794368</c:v>
                </c:pt>
                <c:pt idx="574">
                  <c:v>39.574036767794368</c:v>
                </c:pt>
                <c:pt idx="575">
                  <c:v>39.574036767794368</c:v>
                </c:pt>
                <c:pt idx="576">
                  <c:v>39.574036767794368</c:v>
                </c:pt>
                <c:pt idx="577">
                  <c:v>39.574036767794368</c:v>
                </c:pt>
                <c:pt idx="578">
                  <c:v>39.574036767794368</c:v>
                </c:pt>
                <c:pt idx="579">
                  <c:v>39.574036767794368</c:v>
                </c:pt>
                <c:pt idx="580">
                  <c:v>39.574036767794368</c:v>
                </c:pt>
                <c:pt idx="581">
                  <c:v>39.574036767794368</c:v>
                </c:pt>
                <c:pt idx="582">
                  <c:v>39.574036767794368</c:v>
                </c:pt>
                <c:pt idx="583">
                  <c:v>39.574036767794368</c:v>
                </c:pt>
                <c:pt idx="584">
                  <c:v>39.574036767794368</c:v>
                </c:pt>
                <c:pt idx="585">
                  <c:v>39.574036767794368</c:v>
                </c:pt>
                <c:pt idx="586">
                  <c:v>39.574036767794368</c:v>
                </c:pt>
                <c:pt idx="587">
                  <c:v>39.574036767794368</c:v>
                </c:pt>
                <c:pt idx="588">
                  <c:v>39.574036767794368</c:v>
                </c:pt>
                <c:pt idx="589">
                  <c:v>39.574036767794368</c:v>
                </c:pt>
                <c:pt idx="590">
                  <c:v>39.574036767794368</c:v>
                </c:pt>
                <c:pt idx="591">
                  <c:v>39.574036767794368</c:v>
                </c:pt>
                <c:pt idx="592">
                  <c:v>39.574036767794368</c:v>
                </c:pt>
                <c:pt idx="593">
                  <c:v>39.574036767794368</c:v>
                </c:pt>
                <c:pt idx="594">
                  <c:v>39.574036767794368</c:v>
                </c:pt>
                <c:pt idx="595">
                  <c:v>39.574036767794368</c:v>
                </c:pt>
                <c:pt idx="596">
                  <c:v>39.574036767794368</c:v>
                </c:pt>
                <c:pt idx="597">
                  <c:v>39.574036767794368</c:v>
                </c:pt>
                <c:pt idx="598">
                  <c:v>39.574036767794368</c:v>
                </c:pt>
                <c:pt idx="599">
                  <c:v>39.574036767794368</c:v>
                </c:pt>
                <c:pt idx="600">
                  <c:v>39.574036767794368</c:v>
                </c:pt>
                <c:pt idx="601">
                  <c:v>39.574036767794368</c:v>
                </c:pt>
                <c:pt idx="602">
                  <c:v>39.574036767794368</c:v>
                </c:pt>
                <c:pt idx="603">
                  <c:v>39.574036767794368</c:v>
                </c:pt>
                <c:pt idx="604">
                  <c:v>39.574036767794368</c:v>
                </c:pt>
                <c:pt idx="605">
                  <c:v>39.574036767794368</c:v>
                </c:pt>
                <c:pt idx="606">
                  <c:v>39.574036767794368</c:v>
                </c:pt>
                <c:pt idx="607">
                  <c:v>39.574036767794368</c:v>
                </c:pt>
                <c:pt idx="608">
                  <c:v>39.574036767794368</c:v>
                </c:pt>
                <c:pt idx="609">
                  <c:v>39.574036767794368</c:v>
                </c:pt>
                <c:pt idx="610">
                  <c:v>39.574036767794368</c:v>
                </c:pt>
                <c:pt idx="611">
                  <c:v>39.574036767794368</c:v>
                </c:pt>
                <c:pt idx="612">
                  <c:v>39.574036767794368</c:v>
                </c:pt>
                <c:pt idx="613">
                  <c:v>39.574036767794368</c:v>
                </c:pt>
                <c:pt idx="614">
                  <c:v>39.574036767794368</c:v>
                </c:pt>
                <c:pt idx="615">
                  <c:v>39.574036767794368</c:v>
                </c:pt>
                <c:pt idx="616">
                  <c:v>39.574036767794368</c:v>
                </c:pt>
                <c:pt idx="617">
                  <c:v>39.574036767794368</c:v>
                </c:pt>
                <c:pt idx="618">
                  <c:v>39.574036767794368</c:v>
                </c:pt>
                <c:pt idx="619">
                  <c:v>39.574036767794368</c:v>
                </c:pt>
                <c:pt idx="620">
                  <c:v>39.574036767794368</c:v>
                </c:pt>
                <c:pt idx="621">
                  <c:v>39.574036767794368</c:v>
                </c:pt>
                <c:pt idx="622">
                  <c:v>39.574036767794368</c:v>
                </c:pt>
                <c:pt idx="623">
                  <c:v>39.574036767794368</c:v>
                </c:pt>
                <c:pt idx="624">
                  <c:v>39.574036767794368</c:v>
                </c:pt>
                <c:pt idx="625">
                  <c:v>39.574036767794368</c:v>
                </c:pt>
                <c:pt idx="626">
                  <c:v>39.574036767794368</c:v>
                </c:pt>
                <c:pt idx="627">
                  <c:v>39.574036767794368</c:v>
                </c:pt>
                <c:pt idx="628">
                  <c:v>39.574036767794368</c:v>
                </c:pt>
                <c:pt idx="629">
                  <c:v>39.574036767794368</c:v>
                </c:pt>
                <c:pt idx="630">
                  <c:v>39.574036767794368</c:v>
                </c:pt>
                <c:pt idx="631">
                  <c:v>39.574036767794368</c:v>
                </c:pt>
                <c:pt idx="632">
                  <c:v>39.574036767794368</c:v>
                </c:pt>
                <c:pt idx="633">
                  <c:v>39.574036767794368</c:v>
                </c:pt>
                <c:pt idx="634">
                  <c:v>39.574036767794368</c:v>
                </c:pt>
                <c:pt idx="635">
                  <c:v>39.574036767794368</c:v>
                </c:pt>
                <c:pt idx="636">
                  <c:v>39.574036767794368</c:v>
                </c:pt>
                <c:pt idx="637">
                  <c:v>39.574036767794368</c:v>
                </c:pt>
                <c:pt idx="638">
                  <c:v>39.574036767794368</c:v>
                </c:pt>
                <c:pt idx="639">
                  <c:v>39.574036767794368</c:v>
                </c:pt>
                <c:pt idx="640">
                  <c:v>39.574036767794368</c:v>
                </c:pt>
                <c:pt idx="641">
                  <c:v>39.574036767794368</c:v>
                </c:pt>
                <c:pt idx="642">
                  <c:v>39.574036767794368</c:v>
                </c:pt>
                <c:pt idx="643">
                  <c:v>39.574036767794368</c:v>
                </c:pt>
                <c:pt idx="644">
                  <c:v>39.574036767794368</c:v>
                </c:pt>
                <c:pt idx="645">
                  <c:v>39.574036767794368</c:v>
                </c:pt>
                <c:pt idx="646">
                  <c:v>39.574036767794368</c:v>
                </c:pt>
                <c:pt idx="647">
                  <c:v>39.574036767794368</c:v>
                </c:pt>
                <c:pt idx="648">
                  <c:v>39.574036767794368</c:v>
                </c:pt>
                <c:pt idx="649">
                  <c:v>39.574036767794368</c:v>
                </c:pt>
                <c:pt idx="650">
                  <c:v>39.574036767794368</c:v>
                </c:pt>
                <c:pt idx="651">
                  <c:v>39.574036767794368</c:v>
                </c:pt>
                <c:pt idx="652">
                  <c:v>39.574036767794368</c:v>
                </c:pt>
                <c:pt idx="653">
                  <c:v>39.574036767794368</c:v>
                </c:pt>
                <c:pt idx="654">
                  <c:v>39.574036767794368</c:v>
                </c:pt>
                <c:pt idx="655">
                  <c:v>39.574036767794368</c:v>
                </c:pt>
                <c:pt idx="656">
                  <c:v>39.574036767794368</c:v>
                </c:pt>
                <c:pt idx="657">
                  <c:v>39.574036767794368</c:v>
                </c:pt>
                <c:pt idx="658">
                  <c:v>39.574036767794368</c:v>
                </c:pt>
                <c:pt idx="659">
                  <c:v>39.574036767794368</c:v>
                </c:pt>
                <c:pt idx="660">
                  <c:v>39.574036767794368</c:v>
                </c:pt>
                <c:pt idx="661">
                  <c:v>39.574036767794368</c:v>
                </c:pt>
                <c:pt idx="662">
                  <c:v>39.574036767794368</c:v>
                </c:pt>
                <c:pt idx="663">
                  <c:v>39.574036767794368</c:v>
                </c:pt>
                <c:pt idx="664">
                  <c:v>39.574036767794368</c:v>
                </c:pt>
                <c:pt idx="665">
                  <c:v>39.574036767794368</c:v>
                </c:pt>
                <c:pt idx="666">
                  <c:v>39.574036767794368</c:v>
                </c:pt>
                <c:pt idx="667">
                  <c:v>39.574036767794368</c:v>
                </c:pt>
                <c:pt idx="668">
                  <c:v>39.574036767794368</c:v>
                </c:pt>
                <c:pt idx="669">
                  <c:v>39.574036767794368</c:v>
                </c:pt>
                <c:pt idx="670">
                  <c:v>39.574036767794368</c:v>
                </c:pt>
                <c:pt idx="671">
                  <c:v>39.574036767794368</c:v>
                </c:pt>
                <c:pt idx="672">
                  <c:v>39.574036767794368</c:v>
                </c:pt>
                <c:pt idx="673">
                  <c:v>39.574036767794368</c:v>
                </c:pt>
                <c:pt idx="674">
                  <c:v>39.574036767794368</c:v>
                </c:pt>
                <c:pt idx="675">
                  <c:v>39.574036767794368</c:v>
                </c:pt>
                <c:pt idx="676">
                  <c:v>39.574036767794368</c:v>
                </c:pt>
                <c:pt idx="677">
                  <c:v>39.574036767794368</c:v>
                </c:pt>
                <c:pt idx="678">
                  <c:v>39.574036767794368</c:v>
                </c:pt>
                <c:pt idx="679">
                  <c:v>39.574036767794368</c:v>
                </c:pt>
                <c:pt idx="680">
                  <c:v>39.574036767794368</c:v>
                </c:pt>
                <c:pt idx="681">
                  <c:v>39.574036767794368</c:v>
                </c:pt>
                <c:pt idx="682">
                  <c:v>39.574036767794368</c:v>
                </c:pt>
                <c:pt idx="683">
                  <c:v>39.574036767794368</c:v>
                </c:pt>
                <c:pt idx="684">
                  <c:v>39.574036767794368</c:v>
                </c:pt>
                <c:pt idx="685">
                  <c:v>39.574036767794368</c:v>
                </c:pt>
                <c:pt idx="686">
                  <c:v>39.574036767794368</c:v>
                </c:pt>
                <c:pt idx="687">
                  <c:v>39.574036767794368</c:v>
                </c:pt>
                <c:pt idx="688">
                  <c:v>39.574036767794368</c:v>
                </c:pt>
                <c:pt idx="689">
                  <c:v>39.574036767794368</c:v>
                </c:pt>
                <c:pt idx="690">
                  <c:v>39.574036767794368</c:v>
                </c:pt>
                <c:pt idx="691">
                  <c:v>39.574036767794368</c:v>
                </c:pt>
                <c:pt idx="692">
                  <c:v>39.574036767794368</c:v>
                </c:pt>
                <c:pt idx="693">
                  <c:v>39.712998442241386</c:v>
                </c:pt>
                <c:pt idx="694">
                  <c:v>39.850848229423555</c:v>
                </c:pt>
                <c:pt idx="695">
                  <c:v>39.988222815419469</c:v>
                </c:pt>
                <c:pt idx="696">
                  <c:v>40.125127081003967</c:v>
                </c:pt>
                <c:pt idx="697">
                  <c:v>40.260951007678926</c:v>
                </c:pt>
                <c:pt idx="698">
                  <c:v>40.3963182582117</c:v>
                </c:pt>
                <c:pt idx="699">
                  <c:v>40.529971244963427</c:v>
                </c:pt>
                <c:pt idx="700">
                  <c:v>40.663184939406754</c:v>
                </c:pt>
                <c:pt idx="701">
                  <c:v>40.794725361548608</c:v>
                </c:pt>
                <c:pt idx="702">
                  <c:v>40.925842999649475</c:v>
                </c:pt>
                <c:pt idx="703">
                  <c:v>41.056541904302399</c:v>
                </c:pt>
                <c:pt idx="704">
                  <c:v>41.185614691265755</c:v>
                </c:pt>
                <c:pt idx="705">
                  <c:v>41.314284235056917</c:v>
                </c:pt>
                <c:pt idx="706">
                  <c:v>41.441365098149106</c:v>
                </c:pt>
                <c:pt idx="707">
                  <c:v>41.568057454505968</c:v>
                </c:pt>
                <c:pt idx="708">
                  <c:v>41.693197095019137</c:v>
                </c:pt>
                <c:pt idx="709">
                  <c:v>41.817962258664821</c:v>
                </c:pt>
                <c:pt idx="710">
                  <c:v>41.942356287291709</c:v>
                </c:pt>
                <c:pt idx="711">
                  <c:v>42.065238845370196</c:v>
                </c:pt>
                <c:pt idx="712">
                  <c:v>42.187763478359045</c:v>
                </c:pt>
                <c:pt idx="713">
                  <c:v>42.308809639756561</c:v>
                </c:pt>
                <c:pt idx="714">
                  <c:v>42.429510472787094</c:v>
                </c:pt>
                <c:pt idx="715">
                  <c:v>42.549868916220433</c:v>
                </c:pt>
                <c:pt idx="716">
                  <c:v>42.668786651207306</c:v>
                </c:pt>
                <c:pt idx="717">
                  <c:v>42.787373882781729</c:v>
                </c:pt>
                <c:pt idx="718">
                  <c:v>42.905633351387053</c:v>
                </c:pt>
                <c:pt idx="719">
                  <c:v>43.023071519850269</c:v>
                </c:pt>
                <c:pt idx="720">
                  <c:v>43.140189994025818</c:v>
                </c:pt>
                <c:pt idx="721">
                  <c:v>43.256501649844509</c:v>
                </c:pt>
                <c:pt idx="722">
                  <c:v>43.372501394839517</c:v>
                </c:pt>
                <c:pt idx="723">
                  <c:v>43.488191724969568</c:v>
                </c:pt>
                <c:pt idx="724">
                  <c:v>43.603660362541085</c:v>
                </c:pt>
                <c:pt idx="725">
                  <c:v>43.718824029426514</c:v>
                </c:pt>
                <c:pt idx="726">
                  <c:v>43.833685129362394</c:v>
                </c:pt>
                <c:pt idx="727">
                  <c:v>43.947767276683535</c:v>
                </c:pt>
                <c:pt idx="728">
                  <c:v>44.061554048750779</c:v>
                </c:pt>
                <c:pt idx="729">
                  <c:v>44.174574943538744</c:v>
                </c:pt>
                <c:pt idx="730">
                  <c:v>44.287307410743047</c:v>
                </c:pt>
                <c:pt idx="731">
                  <c:v>44.399753647345733</c:v>
                </c:pt>
                <c:pt idx="732">
                  <c:v>44.510905859708721</c:v>
                </c:pt>
                <c:pt idx="733">
                  <c:v>44.619072792034778</c:v>
                </c:pt>
                <c:pt idx="734">
                  <c:v>44.726978136131038</c:v>
                </c:pt>
                <c:pt idx="735">
                  <c:v>44.834612337751508</c:v>
                </c:pt>
                <c:pt idx="736">
                  <c:v>44.941988760656507</c:v>
                </c:pt>
                <c:pt idx="737">
                  <c:v>45.049109248124893</c:v>
                </c:pt>
                <c:pt idx="738">
                  <c:v>45.155975621572033</c:v>
                </c:pt>
                <c:pt idx="739">
                  <c:v>45.262574181213409</c:v>
                </c:pt>
                <c:pt idx="740">
                  <c:v>45.368922278181628</c:v>
                </c:pt>
                <c:pt idx="741">
                  <c:v>45.475021669676245</c:v>
                </c:pt>
                <c:pt idx="742">
                  <c:v>45.580854628593798</c:v>
                </c:pt>
                <c:pt idx="743">
                  <c:v>45.68644242539002</c:v>
                </c:pt>
                <c:pt idx="744">
                  <c:v>45.791786755966989</c:v>
                </c:pt>
                <c:pt idx="745">
                  <c:v>45.896889296764222</c:v>
                </c:pt>
                <c:pt idx="746">
                  <c:v>46.001194099114649</c:v>
                </c:pt>
                <c:pt idx="747">
                  <c:v>46.105262931355362</c:v>
                </c:pt>
                <c:pt idx="748">
                  <c:v>46.209097387791516</c:v>
                </c:pt>
                <c:pt idx="749">
                  <c:v>46.312149522657144</c:v>
                </c:pt>
                <c:pt idx="750">
                  <c:v>46.414972858157569</c:v>
                </c:pt>
                <c:pt idx="751">
                  <c:v>46.517568911520463</c:v>
                </c:pt>
                <c:pt idx="752">
                  <c:v>46.618878307344282</c:v>
                </c:pt>
                <c:pt idx="753">
                  <c:v>46.719968020450267</c:v>
                </c:pt>
                <c:pt idx="754">
                  <c:v>46.820839473772956</c:v>
                </c:pt>
                <c:pt idx="755">
                  <c:v>46.921494074951788</c:v>
                </c:pt>
                <c:pt idx="756">
                  <c:v>47.02089328498176</c:v>
                </c:pt>
                <c:pt idx="757">
                  <c:v>47.120082814120238</c:v>
                </c:pt>
                <c:pt idx="758">
                  <c:v>47.219063983749784</c:v>
                </c:pt>
                <c:pt idx="759">
                  <c:v>47.317838101432351</c:v>
                </c:pt>
                <c:pt idx="760">
                  <c:v>47.41538665780898</c:v>
                </c:pt>
                <c:pt idx="761">
                  <c:v>47.512734937337555</c:v>
                </c:pt>
                <c:pt idx="762">
                  <c:v>47.609884168540717</c:v>
                </c:pt>
                <c:pt idx="763">
                  <c:v>47.705833090743262</c:v>
                </c:pt>
                <c:pt idx="764">
                  <c:v>47.801589421501937</c:v>
                </c:pt>
                <c:pt idx="765">
                  <c:v>47.897154315907294</c:v>
                </c:pt>
                <c:pt idx="766">
                  <c:v>47.992528917549528</c:v>
                </c:pt>
                <c:pt idx="767">
                  <c:v>48.086730574632305</c:v>
                </c:pt>
                <c:pt idx="768">
                  <c:v>48.180748051610067</c:v>
                </c:pt>
                <c:pt idx="769">
                  <c:v>48.274582424586306</c:v>
                </c:pt>
                <c:pt idx="770">
                  <c:v>48.36823475922629</c:v>
                </c:pt>
                <c:pt idx="771">
                  <c:v>48.460740321105156</c:v>
                </c:pt>
                <c:pt idx="772">
                  <c:v>48.553069637413735</c:v>
                </c:pt>
                <c:pt idx="773">
                  <c:v>48.645223711701732</c:v>
                </c:pt>
                <c:pt idx="774">
                  <c:v>48.737203538031082</c:v>
                </c:pt>
                <c:pt idx="775">
                  <c:v>48.828061642509049</c:v>
                </c:pt>
                <c:pt idx="776">
                  <c:v>48.918750994090779</c:v>
                </c:pt>
                <c:pt idx="777">
                  <c:v>49.009272529584152</c:v>
                </c:pt>
                <c:pt idx="778">
                  <c:v>49.099627177161395</c:v>
                </c:pt>
                <c:pt idx="779">
                  <c:v>49.188884099006543</c:v>
                </c:pt>
                <c:pt idx="780">
                  <c:v>49.277979350565417</c:v>
                </c:pt>
                <c:pt idx="781">
                  <c:v>49.366913807164458</c:v>
                </c:pt>
                <c:pt idx="782">
                  <c:v>49.455688336259747</c:v>
                </c:pt>
                <c:pt idx="783">
                  <c:v>49.543848332097539</c:v>
                </c:pt>
                <c:pt idx="784">
                  <c:v>49.631851731468878</c:v>
                </c:pt>
                <c:pt idx="785">
                  <c:v>49.719699365896574</c:v>
                </c:pt>
                <c:pt idx="786">
                  <c:v>49.807392059570461</c:v>
                </c:pt>
                <c:pt idx="787">
                  <c:v>49.894480927718902</c:v>
                </c:pt>
                <c:pt idx="788">
                  <c:v>49.981418050283928</c:v>
                </c:pt>
                <c:pt idx="789">
                  <c:v>50.068204217726752</c:v>
                </c:pt>
                <c:pt idx="790">
                  <c:v>50.154840213669644</c:v>
                </c:pt>
                <c:pt idx="791">
                  <c:v>50.241329994961383</c:v>
                </c:pt>
                <c:pt idx="792">
                  <c:v>50.327671140899007</c:v>
                </c:pt>
                <c:pt idx="793">
                  <c:v>50.413864415162138</c:v>
                </c:pt>
                <c:pt idx="794">
                  <c:v>50.499910574913137</c:v>
                </c:pt>
                <c:pt idx="795">
                  <c:v>50.585368471992297</c:v>
                </c:pt>
                <c:pt idx="796">
                  <c:v>50.670682241511614</c:v>
                </c:pt>
                <c:pt idx="797">
                  <c:v>50.755852610248297</c:v>
                </c:pt>
                <c:pt idx="798">
                  <c:v>50.840880298891932</c:v>
                </c:pt>
                <c:pt idx="799">
                  <c:v>50.619780260005051</c:v>
                </c:pt>
                <c:pt idx="800">
                  <c:v>50.397710241400212</c:v>
                </c:pt>
                <c:pt idx="801">
                  <c:v>50.174657363863233</c:v>
                </c:pt>
                <c:pt idx="802">
                  <c:v>49.950608460618518</c:v>
                </c:pt>
                <c:pt idx="803">
                  <c:v>49.72555006825921</c:v>
                </c:pt>
                <c:pt idx="804">
                  <c:v>49.499468417306183</c:v>
                </c:pt>
                <c:pt idx="805">
                  <c:v>49.272349422377161</c:v>
                </c:pt>
                <c:pt idx="806">
                  <c:v>49.044178671946071</c:v>
                </c:pt>
                <c:pt idx="807">
                  <c:v>48.814941417671591</c:v>
                </c:pt>
                <c:pt idx="808">
                  <c:v>48.584622563272511</c:v>
                </c:pt>
                <c:pt idx="809">
                  <c:v>48.353206652926204</c:v>
                </c:pt>
                <c:pt idx="810">
                  <c:v>48.120677859164928</c:v>
                </c:pt>
                <c:pt idx="811">
                  <c:v>47.85042819924643</c:v>
                </c:pt>
                <c:pt idx="812">
                  <c:v>47.578643529181768</c:v>
                </c:pt>
                <c:pt idx="813">
                  <c:v>47.305297391546567</c:v>
                </c:pt>
                <c:pt idx="814">
                  <c:v>47.03036256003535</c:v>
                </c:pt>
                <c:pt idx="815">
                  <c:v>46.753811007810768</c:v>
                </c:pt>
                <c:pt idx="816">
                  <c:v>46.475613874157702</c:v>
                </c:pt>
                <c:pt idx="817">
                  <c:v>46.195741429329956</c:v>
                </c:pt>
                <c:pt idx="818">
                  <c:v>45.914163037468342</c:v>
                </c:pt>
                <c:pt idx="819">
                  <c:v>45.630847117459219</c:v>
                </c:pt>
                <c:pt idx="820">
                  <c:v>45.345761101591933</c:v>
                </c:pt>
                <c:pt idx="821">
                  <c:v>45.058871391862006</c:v>
                </c:pt>
                <c:pt idx="822">
                  <c:v>44.770143313754005</c:v>
                </c:pt>
                <c:pt idx="823">
                  <c:v>44.479541067324249</c:v>
                </c:pt>
                <c:pt idx="824">
                  <c:v>44.187027675387903</c:v>
                </c:pt>
                <c:pt idx="825">
                  <c:v>43.892564928598198</c:v>
                </c:pt>
                <c:pt idx="826">
                  <c:v>43.59611332718687</c:v>
                </c:pt>
                <c:pt idx="827">
                  <c:v>43.59611332718687</c:v>
                </c:pt>
                <c:pt idx="828">
                  <c:v>43.59611332718687</c:v>
                </c:pt>
                <c:pt idx="829">
                  <c:v>43.59611332718687</c:v>
                </c:pt>
                <c:pt idx="830">
                  <c:v>43.59611332718687</c:v>
                </c:pt>
                <c:pt idx="831">
                  <c:v>43.59611332718687</c:v>
                </c:pt>
                <c:pt idx="832">
                  <c:v>43.59611332718687</c:v>
                </c:pt>
                <c:pt idx="833">
                  <c:v>43.59611332718687</c:v>
                </c:pt>
                <c:pt idx="834">
                  <c:v>43.59611332718687</c:v>
                </c:pt>
                <c:pt idx="835">
                  <c:v>43.59611332718687</c:v>
                </c:pt>
                <c:pt idx="836">
                  <c:v>43.59611332718687</c:v>
                </c:pt>
                <c:pt idx="837">
                  <c:v>43.59611332718687</c:v>
                </c:pt>
                <c:pt idx="838">
                  <c:v>43.59611332718687</c:v>
                </c:pt>
                <c:pt idx="839">
                  <c:v>43.59611332718687</c:v>
                </c:pt>
                <c:pt idx="840">
                  <c:v>43.59611332718687</c:v>
                </c:pt>
                <c:pt idx="841">
                  <c:v>43.59611332718687</c:v>
                </c:pt>
                <c:pt idx="842">
                  <c:v>43.59611332718687</c:v>
                </c:pt>
                <c:pt idx="843">
                  <c:v>43.59611332718687</c:v>
                </c:pt>
                <c:pt idx="844">
                  <c:v>43.59611332718687</c:v>
                </c:pt>
                <c:pt idx="845">
                  <c:v>43.59611332718687</c:v>
                </c:pt>
                <c:pt idx="846">
                  <c:v>43.59611332718687</c:v>
                </c:pt>
                <c:pt idx="847">
                  <c:v>43.59611332718687</c:v>
                </c:pt>
                <c:pt idx="848">
                  <c:v>43.59611332718687</c:v>
                </c:pt>
                <c:pt idx="849">
                  <c:v>43.59611332718687</c:v>
                </c:pt>
                <c:pt idx="850">
                  <c:v>43.59611332718687</c:v>
                </c:pt>
                <c:pt idx="851">
                  <c:v>43.59611332718687</c:v>
                </c:pt>
                <c:pt idx="852">
                  <c:v>43.59611332718687</c:v>
                </c:pt>
                <c:pt idx="853">
                  <c:v>43.59611332718687</c:v>
                </c:pt>
                <c:pt idx="854">
                  <c:v>43.59611332718687</c:v>
                </c:pt>
                <c:pt idx="855">
                  <c:v>43.59611332718687</c:v>
                </c:pt>
                <c:pt idx="856">
                  <c:v>43.59611332718687</c:v>
                </c:pt>
                <c:pt idx="857">
                  <c:v>43.59611332718687</c:v>
                </c:pt>
                <c:pt idx="858">
                  <c:v>43.59611332718687</c:v>
                </c:pt>
                <c:pt idx="859">
                  <c:v>43.59611332718687</c:v>
                </c:pt>
                <c:pt idx="860">
                  <c:v>43.59611332718687</c:v>
                </c:pt>
                <c:pt idx="861">
                  <c:v>43.59611332718687</c:v>
                </c:pt>
                <c:pt idx="862">
                  <c:v>43.59611332718687</c:v>
                </c:pt>
                <c:pt idx="863">
                  <c:v>43.59611332718687</c:v>
                </c:pt>
                <c:pt idx="864">
                  <c:v>43.59611332718687</c:v>
                </c:pt>
                <c:pt idx="865">
                  <c:v>43.59611332718687</c:v>
                </c:pt>
                <c:pt idx="866">
                  <c:v>43.59611332718687</c:v>
                </c:pt>
                <c:pt idx="867">
                  <c:v>43.59611332718687</c:v>
                </c:pt>
                <c:pt idx="868">
                  <c:v>43.59611332718687</c:v>
                </c:pt>
                <c:pt idx="869">
                  <c:v>43.59611332718687</c:v>
                </c:pt>
                <c:pt idx="870">
                  <c:v>43.59611332718687</c:v>
                </c:pt>
                <c:pt idx="871">
                  <c:v>43.59611332718687</c:v>
                </c:pt>
                <c:pt idx="872">
                  <c:v>43.59611332718687</c:v>
                </c:pt>
                <c:pt idx="873">
                  <c:v>43.59611332718687</c:v>
                </c:pt>
                <c:pt idx="874">
                  <c:v>43.59611332718687</c:v>
                </c:pt>
                <c:pt idx="875">
                  <c:v>43.59611332718687</c:v>
                </c:pt>
                <c:pt idx="876">
                  <c:v>43.59611332718687</c:v>
                </c:pt>
                <c:pt idx="877">
                  <c:v>43.59611332718687</c:v>
                </c:pt>
                <c:pt idx="878">
                  <c:v>43.59611332718687</c:v>
                </c:pt>
                <c:pt idx="879">
                  <c:v>43.59611332718687</c:v>
                </c:pt>
                <c:pt idx="880">
                  <c:v>43.59611332718687</c:v>
                </c:pt>
                <c:pt idx="881">
                  <c:v>43.59611332718687</c:v>
                </c:pt>
                <c:pt idx="882">
                  <c:v>43.59611332718687</c:v>
                </c:pt>
                <c:pt idx="883">
                  <c:v>43.59611332718687</c:v>
                </c:pt>
                <c:pt idx="884">
                  <c:v>43.59611332718687</c:v>
                </c:pt>
                <c:pt idx="885">
                  <c:v>43.59611332718687</c:v>
                </c:pt>
                <c:pt idx="886">
                  <c:v>43.59611332718687</c:v>
                </c:pt>
                <c:pt idx="887">
                  <c:v>43.59611332718687</c:v>
                </c:pt>
                <c:pt idx="888">
                  <c:v>43.59611332718687</c:v>
                </c:pt>
                <c:pt idx="889">
                  <c:v>43.59611332718687</c:v>
                </c:pt>
                <c:pt idx="890">
                  <c:v>43.59611332718687</c:v>
                </c:pt>
                <c:pt idx="891">
                  <c:v>43.59611332718687</c:v>
                </c:pt>
                <c:pt idx="892">
                  <c:v>43.59611332718687</c:v>
                </c:pt>
                <c:pt idx="893">
                  <c:v>43.59611332718687</c:v>
                </c:pt>
                <c:pt idx="894">
                  <c:v>43.59611332718687</c:v>
                </c:pt>
                <c:pt idx="895">
                  <c:v>43.59611332718687</c:v>
                </c:pt>
                <c:pt idx="896">
                  <c:v>43.59611332718687</c:v>
                </c:pt>
                <c:pt idx="897">
                  <c:v>43.59611332718687</c:v>
                </c:pt>
                <c:pt idx="898">
                  <c:v>43.59611332718687</c:v>
                </c:pt>
                <c:pt idx="899">
                  <c:v>43.59611332718687</c:v>
                </c:pt>
                <c:pt idx="900">
                  <c:v>43.59611332718687</c:v>
                </c:pt>
                <c:pt idx="901">
                  <c:v>43.59611332718687</c:v>
                </c:pt>
                <c:pt idx="902">
                  <c:v>43.59611332718687</c:v>
                </c:pt>
                <c:pt idx="903">
                  <c:v>43.59611332718687</c:v>
                </c:pt>
                <c:pt idx="904">
                  <c:v>43.59611332718687</c:v>
                </c:pt>
                <c:pt idx="905">
                  <c:v>43.59611332718687</c:v>
                </c:pt>
                <c:pt idx="906">
                  <c:v>43.59611332718687</c:v>
                </c:pt>
                <c:pt idx="907">
                  <c:v>43.59611332718687</c:v>
                </c:pt>
                <c:pt idx="908">
                  <c:v>43.59611332718687</c:v>
                </c:pt>
                <c:pt idx="909">
                  <c:v>43.59611332718687</c:v>
                </c:pt>
                <c:pt idx="910">
                  <c:v>43.59611332718687</c:v>
                </c:pt>
                <c:pt idx="911">
                  <c:v>43.59611332718687</c:v>
                </c:pt>
                <c:pt idx="912">
                  <c:v>43.59611332718687</c:v>
                </c:pt>
                <c:pt idx="913">
                  <c:v>43.59611332718687</c:v>
                </c:pt>
                <c:pt idx="914">
                  <c:v>43.59611332718687</c:v>
                </c:pt>
                <c:pt idx="915">
                  <c:v>43.59611332718687</c:v>
                </c:pt>
                <c:pt idx="916">
                  <c:v>43.59611332718687</c:v>
                </c:pt>
                <c:pt idx="917">
                  <c:v>43.59611332718687</c:v>
                </c:pt>
                <c:pt idx="918">
                  <c:v>43.59611332718687</c:v>
                </c:pt>
                <c:pt idx="919">
                  <c:v>43.59611332718687</c:v>
                </c:pt>
                <c:pt idx="920">
                  <c:v>43.59611332718687</c:v>
                </c:pt>
                <c:pt idx="921">
                  <c:v>43.59611332718687</c:v>
                </c:pt>
                <c:pt idx="922">
                  <c:v>43.59611332718687</c:v>
                </c:pt>
                <c:pt idx="923">
                  <c:v>43.59611332718687</c:v>
                </c:pt>
                <c:pt idx="924">
                  <c:v>43.59611332718687</c:v>
                </c:pt>
                <c:pt idx="925">
                  <c:v>43.59611332718687</c:v>
                </c:pt>
                <c:pt idx="926">
                  <c:v>43.59611332718687</c:v>
                </c:pt>
                <c:pt idx="927">
                  <c:v>43.59611332718687</c:v>
                </c:pt>
                <c:pt idx="928">
                  <c:v>43.59611332718687</c:v>
                </c:pt>
                <c:pt idx="929">
                  <c:v>43.59611332718687</c:v>
                </c:pt>
                <c:pt idx="930">
                  <c:v>43.59611332718687</c:v>
                </c:pt>
                <c:pt idx="931">
                  <c:v>43.59611332718687</c:v>
                </c:pt>
                <c:pt idx="932">
                  <c:v>43.59611332718687</c:v>
                </c:pt>
                <c:pt idx="933">
                  <c:v>43.59611332718687</c:v>
                </c:pt>
                <c:pt idx="934">
                  <c:v>43.59611332718687</c:v>
                </c:pt>
                <c:pt idx="935">
                  <c:v>43.59611332718687</c:v>
                </c:pt>
                <c:pt idx="936">
                  <c:v>43.59611332718687</c:v>
                </c:pt>
                <c:pt idx="937">
                  <c:v>43.59611332718687</c:v>
                </c:pt>
                <c:pt idx="938">
                  <c:v>43.59611332718687</c:v>
                </c:pt>
                <c:pt idx="939">
                  <c:v>43.59611332718687</c:v>
                </c:pt>
                <c:pt idx="940">
                  <c:v>43.59611332718687</c:v>
                </c:pt>
                <c:pt idx="941">
                  <c:v>43.59611332718687</c:v>
                </c:pt>
                <c:pt idx="942">
                  <c:v>43.59611332718687</c:v>
                </c:pt>
                <c:pt idx="943">
                  <c:v>43.59611332718687</c:v>
                </c:pt>
                <c:pt idx="944">
                  <c:v>43.59611332718687</c:v>
                </c:pt>
                <c:pt idx="945">
                  <c:v>43.59611332718687</c:v>
                </c:pt>
                <c:pt idx="946">
                  <c:v>43.59611332718687</c:v>
                </c:pt>
                <c:pt idx="947">
                  <c:v>43.59611332718687</c:v>
                </c:pt>
                <c:pt idx="948">
                  <c:v>43.59611332718687</c:v>
                </c:pt>
                <c:pt idx="949">
                  <c:v>43.59611332718687</c:v>
                </c:pt>
                <c:pt idx="950">
                  <c:v>43.59611332718687</c:v>
                </c:pt>
                <c:pt idx="951">
                  <c:v>43.59611332718687</c:v>
                </c:pt>
                <c:pt idx="952">
                  <c:v>43.59611332718687</c:v>
                </c:pt>
                <c:pt idx="953">
                  <c:v>43.59611332718687</c:v>
                </c:pt>
                <c:pt idx="954">
                  <c:v>43.59611332718687</c:v>
                </c:pt>
                <c:pt idx="955">
                  <c:v>43.59611332718687</c:v>
                </c:pt>
                <c:pt idx="956">
                  <c:v>43.59611332718687</c:v>
                </c:pt>
                <c:pt idx="957">
                  <c:v>43.59611332718687</c:v>
                </c:pt>
                <c:pt idx="958">
                  <c:v>43.59611332718687</c:v>
                </c:pt>
                <c:pt idx="959">
                  <c:v>43.59611332718687</c:v>
                </c:pt>
                <c:pt idx="960">
                  <c:v>43.59611332718687</c:v>
                </c:pt>
                <c:pt idx="961">
                  <c:v>43.59611332718687</c:v>
                </c:pt>
                <c:pt idx="962">
                  <c:v>43.59611332718687</c:v>
                </c:pt>
                <c:pt idx="963">
                  <c:v>43.59611332718687</c:v>
                </c:pt>
                <c:pt idx="964">
                  <c:v>43.59611332718687</c:v>
                </c:pt>
                <c:pt idx="965">
                  <c:v>43.59611332718687</c:v>
                </c:pt>
                <c:pt idx="966">
                  <c:v>43.59611332718687</c:v>
                </c:pt>
                <c:pt idx="967">
                  <c:v>43.59611332718687</c:v>
                </c:pt>
                <c:pt idx="968">
                  <c:v>43.59611332718687</c:v>
                </c:pt>
                <c:pt idx="969">
                  <c:v>43.59611332718687</c:v>
                </c:pt>
                <c:pt idx="970">
                  <c:v>43.59611332718687</c:v>
                </c:pt>
                <c:pt idx="971">
                  <c:v>43.706552929277308</c:v>
                </c:pt>
                <c:pt idx="972">
                  <c:v>43.816715786526721</c:v>
                </c:pt>
                <c:pt idx="973">
                  <c:v>43.926602368892603</c:v>
                </c:pt>
                <c:pt idx="974">
                  <c:v>44.036214744597913</c:v>
                </c:pt>
                <c:pt idx="975">
                  <c:v>44.145552080376071</c:v>
                </c:pt>
                <c:pt idx="976">
                  <c:v>44.254619283528463</c:v>
                </c:pt>
                <c:pt idx="977">
                  <c:v>44.363418346413553</c:v>
                </c:pt>
                <c:pt idx="978">
                  <c:v>44.471944006844907</c:v>
                </c:pt>
                <c:pt idx="979">
                  <c:v>44.580205474145075</c:v>
                </c:pt>
                <c:pt idx="980">
                  <c:v>44.688204668413796</c:v>
                </c:pt>
                <c:pt idx="981">
                  <c:v>44.795943486604749</c:v>
                </c:pt>
                <c:pt idx="982">
                  <c:v>44.903412377475306</c:v>
                </c:pt>
                <c:pt idx="983">
                  <c:v>45.010624672716091</c:v>
                </c:pt>
                <c:pt idx="984">
                  <c:v>45.117582201561227</c:v>
                </c:pt>
                <c:pt idx="985">
                  <c:v>45.224271258788384</c:v>
                </c:pt>
                <c:pt idx="986">
                  <c:v>45.330709216405516</c:v>
                </c:pt>
                <c:pt idx="987">
                  <c:v>45.436897839048726</c:v>
                </c:pt>
                <c:pt idx="988">
                  <c:v>45.542819390674829</c:v>
                </c:pt>
                <c:pt idx="989">
                  <c:v>45.648495165417053</c:v>
                </c:pt>
                <c:pt idx="990">
                  <c:v>45.753926866254666</c:v>
                </c:pt>
                <c:pt idx="991">
                  <c:v>45.859116176590852</c:v>
                </c:pt>
                <c:pt idx="992">
                  <c:v>45.963506697412093</c:v>
                </c:pt>
                <c:pt idx="993">
                  <c:v>46.067660667197288</c:v>
                </c:pt>
                <c:pt idx="994">
                  <c:v>46.171579686783801</c:v>
                </c:pt>
                <c:pt idx="995">
                  <c:v>46.274715372302161</c:v>
                </c:pt>
                <c:pt idx="996">
                  <c:v>46.377621702736434</c:v>
                </c:pt>
                <c:pt idx="997">
                  <c:v>46.480300201447506</c:v>
                </c:pt>
                <c:pt idx="998">
                  <c:v>46.582752375007132</c:v>
                </c:pt>
                <c:pt idx="999">
                  <c:v>46.683920315544967</c:v>
                </c:pt>
                <c:pt idx="1000">
                  <c:v>46.784869490307145</c:v>
                </c:pt>
                <c:pt idx="1001">
                  <c:v>46.885601312364457</c:v>
                </c:pt>
                <c:pt idx="1002">
                  <c:v>46.985076455337371</c:v>
                </c:pt>
                <c:pt idx="1003">
                  <c:v>47.084341437528941</c:v>
                </c:pt>
                <c:pt idx="1004">
                  <c:v>47.183397585355287</c:v>
                </c:pt>
                <c:pt idx="1005">
                  <c:v>47.282246211338332</c:v>
                </c:pt>
                <c:pt idx="1006">
                  <c:v>47.379868046521459</c:v>
                </c:pt>
                <c:pt idx="1007">
                  <c:v>47.477289154099275</c:v>
                </c:pt>
                <c:pt idx="1008">
                  <c:v>47.574510767196756</c:v>
                </c:pt>
                <c:pt idx="1009">
                  <c:v>47.671534106364639</c:v>
                </c:pt>
                <c:pt idx="1010">
                  <c:v>47.767359194268614</c:v>
                </c:pt>
                <c:pt idx="1011">
                  <c:v>47.86299243397</c:v>
                </c:pt>
                <c:pt idx="1012">
                  <c:v>47.958434973154205</c:v>
                </c:pt>
                <c:pt idx="1013">
                  <c:v>48.052703467439891</c:v>
                </c:pt>
                <c:pt idx="1014">
                  <c:v>48.146787390075772</c:v>
                </c:pt>
                <c:pt idx="1015">
                  <c:v>48.240687820973378</c:v>
                </c:pt>
                <c:pt idx="1016">
                  <c:v>48.334405829554363</c:v>
                </c:pt>
                <c:pt idx="1017">
                  <c:v>48.426976011743903</c:v>
                </c:pt>
                <c:pt idx="1018">
                  <c:v>48.51936957945744</c:v>
                </c:pt>
                <c:pt idx="1019">
                  <c:v>48.611587539741393</c:v>
                </c:pt>
                <c:pt idx="1020">
                  <c:v>48.703630890108194</c:v>
                </c:pt>
                <c:pt idx="1021">
                  <c:v>48.79455150871965</c:v>
                </c:pt>
                <c:pt idx="1022">
                  <c:v>48.885303026515942</c:v>
                </c:pt>
                <c:pt idx="1023">
                  <c:v>48.975886383520233</c:v>
                </c:pt>
                <c:pt idx="1024">
                  <c:v>49.066302511078582</c:v>
                </c:pt>
                <c:pt idx="1025">
                  <c:v>49.155619943989414</c:v>
                </c:pt>
                <c:pt idx="1026">
                  <c:v>49.244775378177764</c:v>
                </c:pt>
                <c:pt idx="1027">
                  <c:v>49.333769691930456</c:v>
                </c:pt>
                <c:pt idx="1028">
                  <c:v>49.422603755626731</c:v>
                </c:pt>
                <c:pt idx="1029">
                  <c:v>49.510822662588787</c:v>
                </c:pt>
                <c:pt idx="1030">
                  <c:v>49.598884659505615</c:v>
                </c:pt>
                <c:pt idx="1031">
                  <c:v>49.686790580672117</c:v>
                </c:pt>
                <c:pt idx="1032">
                  <c:v>49.774541253016018</c:v>
                </c:pt>
                <c:pt idx="1033">
                  <c:v>49.86168749870923</c:v>
                </c:pt>
                <c:pt idx="1034">
                  <c:v>49.948681699216834</c:v>
                </c:pt>
                <c:pt idx="1035">
                  <c:v>50.035524647598344</c:v>
                </c:pt>
                <c:pt idx="1036">
                  <c:v>50.122217130042884</c:v>
                </c:pt>
                <c:pt idx="1037">
                  <c:v>50.208763107997754</c:v>
                </c:pt>
                <c:pt idx="1038">
                  <c:v>50.295160161181599</c:v>
                </c:pt>
                <c:pt idx="1039">
                  <c:v>50.381409055749728</c:v>
                </c:pt>
                <c:pt idx="1040">
                  <c:v>50.467510551310667</c:v>
                </c:pt>
                <c:pt idx="1041">
                  <c:v>50.553023219384826</c:v>
                </c:pt>
                <c:pt idx="1042">
                  <c:v>50.63839148307013</c:v>
                </c:pt>
                <c:pt idx="1043">
                  <c:v>50.723616071467916</c:v>
                </c:pt>
                <c:pt idx="1044">
                  <c:v>50.808697707564662</c:v>
                </c:pt>
                <c:pt idx="1045">
                  <c:v>50.893637108303579</c:v>
                </c:pt>
                <c:pt idx="1046">
                  <c:v>50.977998804035586</c:v>
                </c:pt>
                <c:pt idx="1047">
                  <c:v>51.062221123026092</c:v>
                </c:pt>
                <c:pt idx="1048">
                  <c:v>51.146304753807684</c:v>
                </c:pt>
                <c:pt idx="1049">
                  <c:v>51.230250379262529</c:v>
                </c:pt>
                <c:pt idx="1050">
                  <c:v>51.313198790757014</c:v>
                </c:pt>
                <c:pt idx="1051">
                  <c:v>51.059849308095878</c:v>
                </c:pt>
                <c:pt idx="1052">
                  <c:v>50.805236468214289</c:v>
                </c:pt>
                <c:pt idx="1053">
                  <c:v>50.549341180839171</c:v>
                </c:pt>
                <c:pt idx="1054">
                  <c:v>50.292143870018059</c:v>
                </c:pt>
                <c:pt idx="1055">
                  <c:v>50.033624456642222</c:v>
                </c:pt>
                <c:pt idx="1056">
                  <c:v>49.773762340152857</c:v>
                </c:pt>
                <c:pt idx="1057">
                  <c:v>49.512536379383057</c:v>
                </c:pt>
                <c:pt idx="1058">
                  <c:v>49.249924872485266</c:v>
                </c:pt>
                <c:pt idx="1059">
                  <c:v>48.985905535890168</c:v>
                </c:pt>
                <c:pt idx="1060">
                  <c:v>48.720455482239359</c:v>
                </c:pt>
                <c:pt idx="1061">
                  <c:v>48.453551197229906</c:v>
                </c:pt>
                <c:pt idx="1062">
                  <c:v>48.185168515304497</c:v>
                </c:pt>
                <c:pt idx="1063">
                  <c:v>47.915282594116086</c:v>
                </c:pt>
                <c:pt idx="1064">
                  <c:v>47.643867887690604</c:v>
                </c:pt>
                <c:pt idx="1065">
                  <c:v>47.333970291684352</c:v>
                </c:pt>
                <c:pt idx="1066">
                  <c:v>47.022030367141717</c:v>
                </c:pt>
                <c:pt idx="1067">
                  <c:v>46.708007194941842</c:v>
                </c:pt>
                <c:pt idx="1068">
                  <c:v>46.391858471040798</c:v>
                </c:pt>
                <c:pt idx="1069">
                  <c:v>46.073540439946882</c:v>
                </c:pt>
                <c:pt idx="1070">
                  <c:v>45.753007824030121</c:v>
                </c:pt>
                <c:pt idx="1071">
                  <c:v>45.430213748342659</c:v>
                </c:pt>
                <c:pt idx="1072">
                  <c:v>45.105109660596582</c:v>
                </c:pt>
                <c:pt idx="1073">
                  <c:v>44.777645245912431</c:v>
                </c:pt>
                <c:pt idx="1074">
                  <c:v>44.447768335914517</c:v>
                </c:pt>
                <c:pt idx="1075">
                  <c:v>44.115424811708053</c:v>
                </c:pt>
                <c:pt idx="1076">
                  <c:v>43.780558500227102</c:v>
                </c:pt>
                <c:pt idx="1077">
                  <c:v>43.780558500227102</c:v>
                </c:pt>
                <c:pt idx="1078">
                  <c:v>43.780558500227102</c:v>
                </c:pt>
                <c:pt idx="1079">
                  <c:v>43.780558500227102</c:v>
                </c:pt>
                <c:pt idx="1080">
                  <c:v>43.780558500227102</c:v>
                </c:pt>
                <c:pt idx="1081">
                  <c:v>43.780558500227102</c:v>
                </c:pt>
                <c:pt idx="1082">
                  <c:v>43.780558500227102</c:v>
                </c:pt>
                <c:pt idx="1083">
                  <c:v>43.780558500227102</c:v>
                </c:pt>
                <c:pt idx="1084">
                  <c:v>43.780558500227102</c:v>
                </c:pt>
                <c:pt idx="1085">
                  <c:v>43.780558500227102</c:v>
                </c:pt>
                <c:pt idx="1086">
                  <c:v>43.780558500227102</c:v>
                </c:pt>
                <c:pt idx="1087">
                  <c:v>43.780558500227102</c:v>
                </c:pt>
                <c:pt idx="1088">
                  <c:v>43.780558500227102</c:v>
                </c:pt>
                <c:pt idx="1089">
                  <c:v>43.780558500227102</c:v>
                </c:pt>
                <c:pt idx="1090">
                  <c:v>43.780558500227102</c:v>
                </c:pt>
                <c:pt idx="1091">
                  <c:v>43.780558500227102</c:v>
                </c:pt>
                <c:pt idx="1092">
                  <c:v>43.780558500227102</c:v>
                </c:pt>
                <c:pt idx="1093">
                  <c:v>43.780558500227102</c:v>
                </c:pt>
                <c:pt idx="1094">
                  <c:v>43.780558500227102</c:v>
                </c:pt>
                <c:pt idx="1095">
                  <c:v>43.780558500227102</c:v>
                </c:pt>
                <c:pt idx="1096">
                  <c:v>43.780558500227102</c:v>
                </c:pt>
                <c:pt idx="1097">
                  <c:v>43.780558500227102</c:v>
                </c:pt>
                <c:pt idx="1098">
                  <c:v>43.780558500227102</c:v>
                </c:pt>
                <c:pt idx="1099">
                  <c:v>43.780558500227102</c:v>
                </c:pt>
                <c:pt idx="1100">
                  <c:v>43.780558500227102</c:v>
                </c:pt>
                <c:pt idx="1101">
                  <c:v>43.780558500227102</c:v>
                </c:pt>
                <c:pt idx="1102">
                  <c:v>43.780558500227102</c:v>
                </c:pt>
                <c:pt idx="1103">
                  <c:v>43.780558500227102</c:v>
                </c:pt>
                <c:pt idx="1104">
                  <c:v>43.780558500227102</c:v>
                </c:pt>
                <c:pt idx="1105">
                  <c:v>43.780558500227102</c:v>
                </c:pt>
                <c:pt idx="1106">
                  <c:v>43.780558500227102</c:v>
                </c:pt>
                <c:pt idx="1107">
                  <c:v>43.780558500227102</c:v>
                </c:pt>
                <c:pt idx="1108">
                  <c:v>43.780558500227102</c:v>
                </c:pt>
                <c:pt idx="1109">
                  <c:v>43.780558500227102</c:v>
                </c:pt>
                <c:pt idx="1110">
                  <c:v>43.780558500227102</c:v>
                </c:pt>
                <c:pt idx="1111">
                  <c:v>43.780558500227102</c:v>
                </c:pt>
                <c:pt idx="1112">
                  <c:v>43.780558500227102</c:v>
                </c:pt>
                <c:pt idx="1113">
                  <c:v>43.780558500227102</c:v>
                </c:pt>
                <c:pt idx="1114">
                  <c:v>43.780558500227102</c:v>
                </c:pt>
                <c:pt idx="1115">
                  <c:v>43.780558500227102</c:v>
                </c:pt>
                <c:pt idx="1116">
                  <c:v>43.780558500227102</c:v>
                </c:pt>
                <c:pt idx="1117">
                  <c:v>43.780558500227102</c:v>
                </c:pt>
                <c:pt idx="1118">
                  <c:v>43.780558500227102</c:v>
                </c:pt>
                <c:pt idx="1119">
                  <c:v>43.780558500227102</c:v>
                </c:pt>
                <c:pt idx="1120">
                  <c:v>43.780558500227102</c:v>
                </c:pt>
                <c:pt idx="1121">
                  <c:v>43.780558500227102</c:v>
                </c:pt>
                <c:pt idx="1122">
                  <c:v>43.780558500227102</c:v>
                </c:pt>
                <c:pt idx="1123">
                  <c:v>43.780558500227102</c:v>
                </c:pt>
                <c:pt idx="1124">
                  <c:v>43.780558500227102</c:v>
                </c:pt>
                <c:pt idx="1125">
                  <c:v>43.780558500227102</c:v>
                </c:pt>
                <c:pt idx="1126">
                  <c:v>43.780558500227102</c:v>
                </c:pt>
                <c:pt idx="1127">
                  <c:v>43.780558500227102</c:v>
                </c:pt>
                <c:pt idx="1128">
                  <c:v>43.780558500227102</c:v>
                </c:pt>
                <c:pt idx="1129">
                  <c:v>43.780558500227102</c:v>
                </c:pt>
                <c:pt idx="1130">
                  <c:v>43.780558500227102</c:v>
                </c:pt>
                <c:pt idx="1131">
                  <c:v>43.780558500227102</c:v>
                </c:pt>
                <c:pt idx="1132">
                  <c:v>43.780558500227102</c:v>
                </c:pt>
                <c:pt idx="1133">
                  <c:v>43.780558500227102</c:v>
                </c:pt>
                <c:pt idx="1134">
                  <c:v>43.780558500227102</c:v>
                </c:pt>
                <c:pt idx="1135">
                  <c:v>43.780558500227102</c:v>
                </c:pt>
                <c:pt idx="1136">
                  <c:v>43.780558500227102</c:v>
                </c:pt>
                <c:pt idx="1137">
                  <c:v>43.780558500227102</c:v>
                </c:pt>
                <c:pt idx="1138">
                  <c:v>43.780558500227102</c:v>
                </c:pt>
                <c:pt idx="1139">
                  <c:v>43.780558500227102</c:v>
                </c:pt>
                <c:pt idx="1140">
                  <c:v>43.780558500227102</c:v>
                </c:pt>
                <c:pt idx="1141">
                  <c:v>43.780558500227102</c:v>
                </c:pt>
                <c:pt idx="1142">
                  <c:v>43.780558500227102</c:v>
                </c:pt>
                <c:pt idx="1143">
                  <c:v>43.780558500227102</c:v>
                </c:pt>
                <c:pt idx="1144">
                  <c:v>43.780558500227102</c:v>
                </c:pt>
                <c:pt idx="1145">
                  <c:v>43.780558500227102</c:v>
                </c:pt>
                <c:pt idx="1146">
                  <c:v>43.780558500227102</c:v>
                </c:pt>
                <c:pt idx="1147">
                  <c:v>43.780558500227102</c:v>
                </c:pt>
                <c:pt idx="1148">
                  <c:v>43.780558500227102</c:v>
                </c:pt>
                <c:pt idx="1149">
                  <c:v>43.780558500227102</c:v>
                </c:pt>
                <c:pt idx="1150">
                  <c:v>43.780558500227102</c:v>
                </c:pt>
                <c:pt idx="1151">
                  <c:v>43.780558500227102</c:v>
                </c:pt>
                <c:pt idx="1152">
                  <c:v>43.780558500227102</c:v>
                </c:pt>
                <c:pt idx="1153">
                  <c:v>43.780558500227102</c:v>
                </c:pt>
                <c:pt idx="1154">
                  <c:v>43.780558500227102</c:v>
                </c:pt>
                <c:pt idx="1155">
                  <c:v>43.780558500227102</c:v>
                </c:pt>
                <c:pt idx="1156">
                  <c:v>43.780558500227102</c:v>
                </c:pt>
                <c:pt idx="1157">
                  <c:v>43.780558500227102</c:v>
                </c:pt>
                <c:pt idx="1158">
                  <c:v>43.780558500227102</c:v>
                </c:pt>
                <c:pt idx="1159">
                  <c:v>43.780558500227102</c:v>
                </c:pt>
                <c:pt idx="1160">
                  <c:v>43.780558500227102</c:v>
                </c:pt>
                <c:pt idx="1161">
                  <c:v>43.780558500227102</c:v>
                </c:pt>
                <c:pt idx="1162">
                  <c:v>43.780558500227102</c:v>
                </c:pt>
                <c:pt idx="1163">
                  <c:v>43.780558500227102</c:v>
                </c:pt>
                <c:pt idx="1164">
                  <c:v>43.780558500227102</c:v>
                </c:pt>
                <c:pt idx="1165">
                  <c:v>43.780558500227102</c:v>
                </c:pt>
                <c:pt idx="1166">
                  <c:v>43.780558500227102</c:v>
                </c:pt>
                <c:pt idx="1167">
                  <c:v>43.780558500227102</c:v>
                </c:pt>
                <c:pt idx="1168">
                  <c:v>43.780558500227102</c:v>
                </c:pt>
                <c:pt idx="1169">
                  <c:v>43.780558500227102</c:v>
                </c:pt>
                <c:pt idx="1170">
                  <c:v>43.780558500227102</c:v>
                </c:pt>
                <c:pt idx="1171">
                  <c:v>43.780558500227102</c:v>
                </c:pt>
                <c:pt idx="1172">
                  <c:v>43.780558500227102</c:v>
                </c:pt>
                <c:pt idx="1173">
                  <c:v>43.780558500227102</c:v>
                </c:pt>
                <c:pt idx="1174">
                  <c:v>43.780558500227102</c:v>
                </c:pt>
                <c:pt idx="1175">
                  <c:v>43.780558500227102</c:v>
                </c:pt>
                <c:pt idx="1176">
                  <c:v>43.780558500227102</c:v>
                </c:pt>
                <c:pt idx="1177">
                  <c:v>43.780558500227102</c:v>
                </c:pt>
                <c:pt idx="1178">
                  <c:v>43.780558500227102</c:v>
                </c:pt>
                <c:pt idx="1179">
                  <c:v>43.780558500227102</c:v>
                </c:pt>
                <c:pt idx="1180">
                  <c:v>43.780558500227102</c:v>
                </c:pt>
                <c:pt idx="1181">
                  <c:v>43.780558500227102</c:v>
                </c:pt>
                <c:pt idx="1182">
                  <c:v>43.780558500227102</c:v>
                </c:pt>
                <c:pt idx="1183">
                  <c:v>43.780558500227102</c:v>
                </c:pt>
                <c:pt idx="1184">
                  <c:v>43.780558500227102</c:v>
                </c:pt>
                <c:pt idx="1185">
                  <c:v>43.780558500227102</c:v>
                </c:pt>
                <c:pt idx="1186">
                  <c:v>43.780558500227102</c:v>
                </c:pt>
                <c:pt idx="1187">
                  <c:v>43.780558500227102</c:v>
                </c:pt>
                <c:pt idx="1188">
                  <c:v>43.780558500227102</c:v>
                </c:pt>
                <c:pt idx="1189">
                  <c:v>43.780558500227102</c:v>
                </c:pt>
                <c:pt idx="1190">
                  <c:v>43.780558500227102</c:v>
                </c:pt>
                <c:pt idx="1191">
                  <c:v>43.780558500227102</c:v>
                </c:pt>
                <c:pt idx="1192">
                  <c:v>43.780558500227102</c:v>
                </c:pt>
                <c:pt idx="1193">
                  <c:v>43.780558500227102</c:v>
                </c:pt>
                <c:pt idx="1194">
                  <c:v>43.780558500227102</c:v>
                </c:pt>
                <c:pt idx="1195">
                  <c:v>43.780558500227102</c:v>
                </c:pt>
                <c:pt idx="1196">
                  <c:v>43.780558500227102</c:v>
                </c:pt>
                <c:pt idx="1197">
                  <c:v>43.780558500227102</c:v>
                </c:pt>
                <c:pt idx="1198">
                  <c:v>43.780558500227102</c:v>
                </c:pt>
                <c:pt idx="1199">
                  <c:v>43.780558500227102</c:v>
                </c:pt>
                <c:pt idx="1200">
                  <c:v>43.780558500227102</c:v>
                </c:pt>
                <c:pt idx="1201">
                  <c:v>43.780558500227102</c:v>
                </c:pt>
                <c:pt idx="1202">
                  <c:v>43.780558500227102</c:v>
                </c:pt>
                <c:pt idx="1203">
                  <c:v>43.780558500227102</c:v>
                </c:pt>
                <c:pt idx="1204">
                  <c:v>43.780558500227102</c:v>
                </c:pt>
                <c:pt idx="1205">
                  <c:v>43.780558500227102</c:v>
                </c:pt>
                <c:pt idx="1206">
                  <c:v>43.780558500227102</c:v>
                </c:pt>
                <c:pt idx="1207">
                  <c:v>43.780558500227102</c:v>
                </c:pt>
                <c:pt idx="1208">
                  <c:v>43.780558500227102</c:v>
                </c:pt>
                <c:pt idx="1209">
                  <c:v>43.780558500227102</c:v>
                </c:pt>
                <c:pt idx="1210">
                  <c:v>43.780558500227102</c:v>
                </c:pt>
                <c:pt idx="1211">
                  <c:v>43.780558500227102</c:v>
                </c:pt>
                <c:pt idx="1212">
                  <c:v>43.780558500227102</c:v>
                </c:pt>
                <c:pt idx="1213">
                  <c:v>43.780558500227102</c:v>
                </c:pt>
                <c:pt idx="1214">
                  <c:v>43.780558500227102</c:v>
                </c:pt>
                <c:pt idx="1215">
                  <c:v>43.780558500227102</c:v>
                </c:pt>
                <c:pt idx="1216">
                  <c:v>43.780558500227102</c:v>
                </c:pt>
                <c:pt idx="1217">
                  <c:v>43.780558500227102</c:v>
                </c:pt>
                <c:pt idx="1218">
                  <c:v>43.780558500227102</c:v>
                </c:pt>
                <c:pt idx="1219">
                  <c:v>43.780558500227102</c:v>
                </c:pt>
                <c:pt idx="1220">
                  <c:v>43.780558500227102</c:v>
                </c:pt>
                <c:pt idx="1221">
                  <c:v>43.780558500227102</c:v>
                </c:pt>
                <c:pt idx="1222">
                  <c:v>43.780558500227102</c:v>
                </c:pt>
                <c:pt idx="1223">
                  <c:v>43.780558500227102</c:v>
                </c:pt>
                <c:pt idx="1224">
                  <c:v>43.780558500227102</c:v>
                </c:pt>
                <c:pt idx="1225">
                  <c:v>43.780558500227102</c:v>
                </c:pt>
                <c:pt idx="1226">
                  <c:v>43.780558500227102</c:v>
                </c:pt>
                <c:pt idx="1227">
                  <c:v>43.780558500227102</c:v>
                </c:pt>
                <c:pt idx="1228">
                  <c:v>43.780558500227102</c:v>
                </c:pt>
                <c:pt idx="1229">
                  <c:v>43.890535607911517</c:v>
                </c:pt>
                <c:pt idx="1230">
                  <c:v>44.000237832390063</c:v>
                </c:pt>
                <c:pt idx="1231">
                  <c:v>44.109664346441619</c:v>
                </c:pt>
                <c:pt idx="1232">
                  <c:v>44.218820067982328</c:v>
                </c:pt>
                <c:pt idx="1233">
                  <c:v>44.327706997468866</c:v>
                </c:pt>
                <c:pt idx="1234">
                  <c:v>44.436327110848211</c:v>
                </c:pt>
                <c:pt idx="1235">
                  <c:v>44.544675141607549</c:v>
                </c:pt>
                <c:pt idx="1236">
                  <c:v>44.652760271235138</c:v>
                </c:pt>
                <c:pt idx="1237">
                  <c:v>44.760584404243886</c:v>
                </c:pt>
                <c:pt idx="1238">
                  <c:v>44.86813798784118</c:v>
                </c:pt>
                <c:pt idx="1239">
                  <c:v>44.975434370136689</c:v>
                </c:pt>
                <c:pt idx="1240">
                  <c:v>45.082475387549302</c:v>
                </c:pt>
                <c:pt idx="1241">
                  <c:v>45.18924732989948</c:v>
                </c:pt>
                <c:pt idx="1242">
                  <c:v>45.295767588337284</c:v>
                </c:pt>
                <c:pt idx="1243">
                  <c:v>45.402037934331815</c:v>
                </c:pt>
                <c:pt idx="1244">
                  <c:v>45.508060118668467</c:v>
                </c:pt>
                <c:pt idx="1245">
                  <c:v>45.613816421998933</c:v>
                </c:pt>
                <c:pt idx="1246">
                  <c:v>45.71932809431145</c:v>
                </c:pt>
                <c:pt idx="1247">
                  <c:v>45.824596825403418</c:v>
                </c:pt>
                <c:pt idx="1248">
                  <c:v>45.929065804082747</c:v>
                </c:pt>
                <c:pt idx="1249">
                  <c:v>46.03329769917373</c:v>
                </c:pt>
                <c:pt idx="1250">
                  <c:v>46.137294117511303</c:v>
                </c:pt>
                <c:pt idx="1251">
                  <c:v>46.24105664786147</c:v>
                </c:pt>
                <c:pt idx="1252">
                  <c:v>46.344037717113999</c:v>
                </c:pt>
                <c:pt idx="1253">
                  <c:v>46.446790458973986</c:v>
                </c:pt>
                <c:pt idx="1254">
                  <c:v>46.549316385467883</c:v>
                </c:pt>
                <c:pt idx="1255">
                  <c:v>46.650556836454896</c:v>
                </c:pt>
                <c:pt idx="1256">
                  <c:v>46.751578051957011</c:v>
                </c:pt>
                <c:pt idx="1257">
                  <c:v>46.852381450094384</c:v>
                </c:pt>
                <c:pt idx="1258">
                  <c:v>46.952968433764312</c:v>
                </c:pt>
                <c:pt idx="1259">
                  <c:v>47.052301153439615</c:v>
                </c:pt>
                <c:pt idx="1260">
                  <c:v>47.151424611838415</c:v>
                </c:pt>
                <c:pt idx="1261">
                  <c:v>47.250340125948171</c:v>
                </c:pt>
                <c:pt idx="1262">
                  <c:v>47.348027744922547</c:v>
                </c:pt>
                <c:pt idx="1263">
                  <c:v>47.445514231064273</c:v>
                </c:pt>
                <c:pt idx="1264">
                  <c:v>47.542800821641649</c:v>
                </c:pt>
                <c:pt idx="1265">
                  <c:v>47.63988874128966</c:v>
                </c:pt>
                <c:pt idx="1266">
                  <c:v>47.735777354332967</c:v>
                </c:pt>
                <c:pt idx="1267">
                  <c:v>47.831473738140659</c:v>
                </c:pt>
                <c:pt idx="1268">
                  <c:v>47.926979044192123</c:v>
                </c:pt>
                <c:pt idx="1269">
                  <c:v>48.022294412516594</c:v>
                </c:pt>
                <c:pt idx="1270">
                  <c:v>48.11643779518463</c:v>
                </c:pt>
                <c:pt idx="1271">
                  <c:v>48.210397338679151</c:v>
                </c:pt>
                <c:pt idx="1272">
                  <c:v>48.304174115792222</c:v>
                </c:pt>
                <c:pt idx="1273">
                  <c:v>48.397769188922553</c:v>
                </c:pt>
                <c:pt idx="1274">
                  <c:v>48.490218407532275</c:v>
                </c:pt>
                <c:pt idx="1275">
                  <c:v>48.582491701806966</c:v>
                </c:pt>
                <c:pt idx="1276">
                  <c:v>48.674590072255398</c:v>
                </c:pt>
                <c:pt idx="1277">
                  <c:v>48.765564835848032</c:v>
                </c:pt>
                <c:pt idx="1278">
                  <c:v>48.856370196899526</c:v>
                </c:pt>
                <c:pt idx="1279">
                  <c:v>48.947007098224979</c:v>
                </c:pt>
                <c:pt idx="1280">
                  <c:v>49.037476473926354</c:v>
                </c:pt>
                <c:pt idx="1281">
                  <c:v>49.126846315432601</c:v>
                </c:pt>
                <c:pt idx="1282">
                  <c:v>49.216053873399758</c:v>
                </c:pt>
                <c:pt idx="1283">
                  <c:v>49.305100028685075</c:v>
                </c:pt>
                <c:pt idx="1284">
                  <c:v>49.393985654205864</c:v>
                </c:pt>
                <c:pt idx="1285">
                  <c:v>49.482255582668422</c:v>
                </c:pt>
                <c:pt idx="1286">
                  <c:v>49.255057218050808</c:v>
                </c:pt>
                <c:pt idx="1287">
                  <c:v>49.026805989768469</c:v>
                </c:pt>
                <c:pt idx="1288">
                  <c:v>48.797487123450694</c:v>
                </c:pt>
                <c:pt idx="1289">
                  <c:v>48.567085495922804</c:v>
                </c:pt>
                <c:pt idx="1290">
                  <c:v>48.335585623567383</c:v>
                </c:pt>
                <c:pt idx="1291">
                  <c:v>48.102971650181374</c:v>
                </c:pt>
                <c:pt idx="1292">
                  <c:v>47.869227334302067</c:v>
                </c:pt>
                <c:pt idx="1293">
                  <c:v>47.634336035973369</c:v>
                </c:pt>
                <c:pt idx="1294">
                  <c:v>47.398280702921809</c:v>
                </c:pt>
                <c:pt idx="1295">
                  <c:v>47.123888366927893</c:v>
                </c:pt>
                <c:pt idx="1296">
                  <c:v>46.84788891769184</c:v>
                </c:pt>
                <c:pt idx="1297">
                  <c:v>46.570253781465546</c:v>
                </c:pt>
                <c:pt idx="1298">
                  <c:v>46.290953527615066</c:v>
                </c:pt>
                <c:pt idx="1299">
                  <c:v>46.009957832207697</c:v>
                </c:pt>
                <c:pt idx="1300">
                  <c:v>45.727235439585044</c:v>
                </c:pt>
                <c:pt idx="1301">
                  <c:v>45.442754121784418</c:v>
                </c:pt>
                <c:pt idx="1302">
                  <c:v>45.156480635659229</c:v>
                </c:pt>
                <c:pt idx="1303">
                  <c:v>44.86838067753704</c:v>
                </c:pt>
                <c:pt idx="1304">
                  <c:v>44.578418835240122</c:v>
                </c:pt>
                <c:pt idx="1305">
                  <c:v>44.286558537278594</c:v>
                </c:pt>
                <c:pt idx="1306">
                  <c:v>43.992761999009744</c:v>
                </c:pt>
                <c:pt idx="1307">
                  <c:v>43.696990165539184</c:v>
                </c:pt>
                <c:pt idx="1308">
                  <c:v>43.399202651119531</c:v>
                </c:pt>
                <c:pt idx="1309">
                  <c:v>43.099357674780407</c:v>
                </c:pt>
                <c:pt idx="1310">
                  <c:v>42.797411991899288</c:v>
                </c:pt>
                <c:pt idx="1311">
                  <c:v>42.493320821395884</c:v>
                </c:pt>
                <c:pt idx="1312">
                  <c:v>42.145568102760436</c:v>
                </c:pt>
                <c:pt idx="1313">
                  <c:v>41.794922023838716</c:v>
                </c:pt>
                <c:pt idx="1314">
                  <c:v>41.441309140193674</c:v>
                </c:pt>
                <c:pt idx="1315">
                  <c:v>41.08465284662195</c:v>
                </c:pt>
                <c:pt idx="1316">
                  <c:v>40.724873183372615</c:v>
                </c:pt>
                <c:pt idx="1317">
                  <c:v>40.361886626818162</c:v>
                </c:pt>
                <c:pt idx="1318">
                  <c:v>39.995605863025304</c:v>
                </c:pt>
                <c:pt idx="1319">
                  <c:v>39.625939542486627</c:v>
                </c:pt>
                <c:pt idx="1320">
                  <c:v>39.252792014061193</c:v>
                </c:pt>
                <c:pt idx="1321">
                  <c:v>38.87606303592851</c:v>
                </c:pt>
                <c:pt idx="1322">
                  <c:v>38.495647461080949</c:v>
                </c:pt>
                <c:pt idx="1323">
                  <c:v>38.111434894558471</c:v>
                </c:pt>
                <c:pt idx="1324">
                  <c:v>37.723309319259229</c:v>
                </c:pt>
                <c:pt idx="1325">
                  <c:v>37.331148686731446</c:v>
                </c:pt>
                <c:pt idx="1326">
                  <c:v>36.934824468855837</c:v>
                </c:pt>
                <c:pt idx="1327">
                  <c:v>36.534201165750602</c:v>
                </c:pt>
                <c:pt idx="1328">
                  <c:v>36.129135764558136</c:v>
                </c:pt>
                <c:pt idx="1329">
                  <c:v>35.719477142984815</c:v>
                </c:pt>
                <c:pt idx="1330">
                  <c:v>35.305065410540678</c:v>
                </c:pt>
                <c:pt idx="1331">
                  <c:v>34.885731179336013</c:v>
                </c:pt>
                <c:pt idx="1332">
                  <c:v>34.461294755003586</c:v>
                </c:pt>
                <c:pt idx="1333">
                  <c:v>34.031565236785376</c:v>
                </c:pt>
                <c:pt idx="1334">
                  <c:v>33.596339513999439</c:v>
                </c:pt>
                <c:pt idx="1335">
                  <c:v>33.155401143920137</c:v>
                </c:pt>
                <c:pt idx="1336">
                  <c:v>32.708519093480859</c:v>
                </c:pt>
                <c:pt idx="1337">
                  <c:v>32.255446324038722</c:v>
                </c:pt>
                <c:pt idx="1338">
                  <c:v>31.795918194593533</c:v>
                </c:pt>
                <c:pt idx="1339">
                  <c:v>31.329650654158673</c:v>
                </c:pt>
                <c:pt idx="1340">
                  <c:v>30.856338188222626</c:v>
                </c:pt>
                <c:pt idx="1341">
                  <c:v>30.3756514771339</c:v>
                </c:pt>
                <c:pt idx="1342">
                  <c:v>29.887234715420693</c:v>
                </c:pt>
                <c:pt idx="1343">
                  <c:v>29.390702530034709</c:v>
                </c:pt>
                <c:pt idx="1344">
                  <c:v>28.885636421642669</c:v>
                </c:pt>
                <c:pt idx="1345">
                  <c:v>28.371580635517478</c:v>
                </c:pt>
                <c:pt idx="1346">
                  <c:v>28.371580635517478</c:v>
                </c:pt>
                <c:pt idx="1347">
                  <c:v>28.371580635517478</c:v>
                </c:pt>
                <c:pt idx="1348">
                  <c:v>28.371580635517478</c:v>
                </c:pt>
                <c:pt idx="1349">
                  <c:v>28.371580635517478</c:v>
                </c:pt>
                <c:pt idx="1350">
                  <c:v>28.371580635517478</c:v>
                </c:pt>
                <c:pt idx="1351">
                  <c:v>28.371580635517478</c:v>
                </c:pt>
                <c:pt idx="1352">
                  <c:v>28.371580635517478</c:v>
                </c:pt>
                <c:pt idx="1353">
                  <c:v>28.371580635517478</c:v>
                </c:pt>
                <c:pt idx="1354">
                  <c:v>28.371580635517478</c:v>
                </c:pt>
                <c:pt idx="1355">
                  <c:v>28.371580635517478</c:v>
                </c:pt>
                <c:pt idx="1356">
                  <c:v>28.371580635517478</c:v>
                </c:pt>
                <c:pt idx="1357">
                  <c:v>28.371580635517478</c:v>
                </c:pt>
                <c:pt idx="1358">
                  <c:v>28.371580635517478</c:v>
                </c:pt>
                <c:pt idx="1359">
                  <c:v>28.371580635517478</c:v>
                </c:pt>
                <c:pt idx="1360">
                  <c:v>28.371580635517478</c:v>
                </c:pt>
                <c:pt idx="1361">
                  <c:v>28.371580635517478</c:v>
                </c:pt>
                <c:pt idx="1362">
                  <c:v>28.371580635517478</c:v>
                </c:pt>
                <c:pt idx="1363">
                  <c:v>28.371580635517478</c:v>
                </c:pt>
                <c:pt idx="1364">
                  <c:v>28.371580635517478</c:v>
                </c:pt>
                <c:pt idx="1365">
                  <c:v>28.371580635517478</c:v>
                </c:pt>
                <c:pt idx="1366">
                  <c:v>28.371580635517478</c:v>
                </c:pt>
                <c:pt idx="1367">
                  <c:v>28.371580635517478</c:v>
                </c:pt>
                <c:pt idx="1368">
                  <c:v>28.371580635517478</c:v>
                </c:pt>
                <c:pt idx="1369">
                  <c:v>28.371580635517478</c:v>
                </c:pt>
                <c:pt idx="1370">
                  <c:v>28.371580635517478</c:v>
                </c:pt>
                <c:pt idx="1371">
                  <c:v>28.371580635517478</c:v>
                </c:pt>
                <c:pt idx="1372">
                  <c:v>28.371580635517478</c:v>
                </c:pt>
                <c:pt idx="1373">
                  <c:v>28.371580635517478</c:v>
                </c:pt>
                <c:pt idx="1374">
                  <c:v>28.371580635517478</c:v>
                </c:pt>
                <c:pt idx="1375">
                  <c:v>28.371580635517478</c:v>
                </c:pt>
                <c:pt idx="1376">
                  <c:v>28.371580635517478</c:v>
                </c:pt>
                <c:pt idx="1377">
                  <c:v>28.371580635517478</c:v>
                </c:pt>
                <c:pt idx="1378">
                  <c:v>28.371580635517478</c:v>
                </c:pt>
                <c:pt idx="1379">
                  <c:v>28.371580635517478</c:v>
                </c:pt>
                <c:pt idx="1380">
                  <c:v>28.371580635517478</c:v>
                </c:pt>
                <c:pt idx="1381">
                  <c:v>28.371580635517478</c:v>
                </c:pt>
                <c:pt idx="1382">
                  <c:v>28.371580635517478</c:v>
                </c:pt>
                <c:pt idx="1383">
                  <c:v>28.371580635517478</c:v>
                </c:pt>
                <c:pt idx="1384">
                  <c:v>28.371580635517478</c:v>
                </c:pt>
                <c:pt idx="1385">
                  <c:v>28.371580635517478</c:v>
                </c:pt>
                <c:pt idx="1386">
                  <c:v>28.371580635517478</c:v>
                </c:pt>
                <c:pt idx="1387">
                  <c:v>28.371580635517478</c:v>
                </c:pt>
                <c:pt idx="1388">
                  <c:v>28.371580635517478</c:v>
                </c:pt>
                <c:pt idx="1389">
                  <c:v>28.371580635517478</c:v>
                </c:pt>
                <c:pt idx="1390">
                  <c:v>28.371580635517478</c:v>
                </c:pt>
                <c:pt idx="1391">
                  <c:v>28.371580635517478</c:v>
                </c:pt>
                <c:pt idx="1392">
                  <c:v>28.371580635517478</c:v>
                </c:pt>
                <c:pt idx="1393">
                  <c:v>28.371580635517478</c:v>
                </c:pt>
                <c:pt idx="1394">
                  <c:v>28.371580635517478</c:v>
                </c:pt>
                <c:pt idx="1395">
                  <c:v>28.371580635517478</c:v>
                </c:pt>
                <c:pt idx="1396">
                  <c:v>28.371580635517478</c:v>
                </c:pt>
                <c:pt idx="1397">
                  <c:v>28.371580635517478</c:v>
                </c:pt>
                <c:pt idx="1398">
                  <c:v>28.371580635517478</c:v>
                </c:pt>
                <c:pt idx="1399">
                  <c:v>28.371580635517478</c:v>
                </c:pt>
                <c:pt idx="1400">
                  <c:v>28.371580635517478</c:v>
                </c:pt>
                <c:pt idx="1401">
                  <c:v>28.371580635517478</c:v>
                </c:pt>
                <c:pt idx="1402">
                  <c:v>28.371580635517478</c:v>
                </c:pt>
                <c:pt idx="1403">
                  <c:v>28.371580635517478</c:v>
                </c:pt>
                <c:pt idx="1404">
                  <c:v>28.371580635517478</c:v>
                </c:pt>
                <c:pt idx="1405">
                  <c:v>28.371580635517478</c:v>
                </c:pt>
                <c:pt idx="1406">
                  <c:v>28.371580635517478</c:v>
                </c:pt>
                <c:pt idx="1407">
                  <c:v>28.371580635517478</c:v>
                </c:pt>
                <c:pt idx="1408">
                  <c:v>28.371580635517478</c:v>
                </c:pt>
                <c:pt idx="1409">
                  <c:v>28.371580635517478</c:v>
                </c:pt>
                <c:pt idx="1410">
                  <c:v>28.371580635517478</c:v>
                </c:pt>
                <c:pt idx="1411">
                  <c:v>28.371580635517478</c:v>
                </c:pt>
                <c:pt idx="1412">
                  <c:v>28.371580635517478</c:v>
                </c:pt>
                <c:pt idx="1413">
                  <c:v>28.371580635517478</c:v>
                </c:pt>
                <c:pt idx="1414">
                  <c:v>28.371580635517478</c:v>
                </c:pt>
                <c:pt idx="1415">
                  <c:v>28.371580635517478</c:v>
                </c:pt>
                <c:pt idx="1416">
                  <c:v>28.371580635517478</c:v>
                </c:pt>
                <c:pt idx="1417">
                  <c:v>28.371580635517478</c:v>
                </c:pt>
                <c:pt idx="1418">
                  <c:v>28.371580635517478</c:v>
                </c:pt>
                <c:pt idx="1419">
                  <c:v>28.371580635517478</c:v>
                </c:pt>
                <c:pt idx="1420">
                  <c:v>28.371580635517478</c:v>
                </c:pt>
                <c:pt idx="1421">
                  <c:v>28.371580635517478</c:v>
                </c:pt>
                <c:pt idx="1422">
                  <c:v>28.371580635517478</c:v>
                </c:pt>
                <c:pt idx="1423">
                  <c:v>28.371580635517478</c:v>
                </c:pt>
                <c:pt idx="1424">
                  <c:v>28.371580635517478</c:v>
                </c:pt>
                <c:pt idx="1425">
                  <c:v>28.371580635517478</c:v>
                </c:pt>
                <c:pt idx="1426">
                  <c:v>28.371580635517478</c:v>
                </c:pt>
                <c:pt idx="1427">
                  <c:v>28.371580635517478</c:v>
                </c:pt>
                <c:pt idx="1428">
                  <c:v>28.371580635517478</c:v>
                </c:pt>
                <c:pt idx="1429">
                  <c:v>28.371580635517478</c:v>
                </c:pt>
                <c:pt idx="1430">
                  <c:v>28.371580635517478</c:v>
                </c:pt>
                <c:pt idx="1431">
                  <c:v>28.371580635517478</c:v>
                </c:pt>
                <c:pt idx="1432">
                  <c:v>28.371580635517478</c:v>
                </c:pt>
                <c:pt idx="1433">
                  <c:v>28.371580635517478</c:v>
                </c:pt>
                <c:pt idx="1434">
                  <c:v>28.371580635517478</c:v>
                </c:pt>
                <c:pt idx="1435">
                  <c:v>28.371580635517478</c:v>
                </c:pt>
                <c:pt idx="1436">
                  <c:v>28.371580635517478</c:v>
                </c:pt>
                <c:pt idx="1437">
                  <c:v>28.371580635517478</c:v>
                </c:pt>
                <c:pt idx="1438">
                  <c:v>28.371580635517478</c:v>
                </c:pt>
                <c:pt idx="1439">
                  <c:v>28.371580635517478</c:v>
                </c:pt>
                <c:pt idx="1440">
                  <c:v>28.371580635517478</c:v>
                </c:pt>
                <c:pt idx="1441">
                  <c:v>28.371580635517478</c:v>
                </c:pt>
                <c:pt idx="1442">
                  <c:v>28.371580635517478</c:v>
                </c:pt>
                <c:pt idx="1443">
                  <c:v>28.371580635517478</c:v>
                </c:pt>
                <c:pt idx="1444">
                  <c:v>28.371580635517478</c:v>
                </c:pt>
                <c:pt idx="1445">
                  <c:v>28.371580635517478</c:v>
                </c:pt>
                <c:pt idx="1446">
                  <c:v>28.371580635517478</c:v>
                </c:pt>
                <c:pt idx="1447">
                  <c:v>28.371580635517478</c:v>
                </c:pt>
                <c:pt idx="1448">
                  <c:v>28.371580635517478</c:v>
                </c:pt>
                <c:pt idx="1449">
                  <c:v>28.371580635517478</c:v>
                </c:pt>
                <c:pt idx="1450">
                  <c:v>28.371580635517478</c:v>
                </c:pt>
                <c:pt idx="1451">
                  <c:v>28.371580635517478</c:v>
                </c:pt>
                <c:pt idx="1452">
                  <c:v>28.371580635517478</c:v>
                </c:pt>
                <c:pt idx="1453">
                  <c:v>28.371580635517478</c:v>
                </c:pt>
                <c:pt idx="1454">
                  <c:v>28.371580635517478</c:v>
                </c:pt>
                <c:pt idx="1455">
                  <c:v>28.371580635517478</c:v>
                </c:pt>
                <c:pt idx="1456">
                  <c:v>28.371580635517478</c:v>
                </c:pt>
                <c:pt idx="1457">
                  <c:v>28.371580635517478</c:v>
                </c:pt>
                <c:pt idx="1458">
                  <c:v>28.371580635517478</c:v>
                </c:pt>
                <c:pt idx="1459">
                  <c:v>28.371580635517478</c:v>
                </c:pt>
                <c:pt idx="1460">
                  <c:v>28.371580635517478</c:v>
                </c:pt>
                <c:pt idx="1461">
                  <c:v>28.371580635517478</c:v>
                </c:pt>
                <c:pt idx="1462">
                  <c:v>28.371580635517478</c:v>
                </c:pt>
                <c:pt idx="1463">
                  <c:v>28.371580635517478</c:v>
                </c:pt>
                <c:pt idx="1464">
                  <c:v>28.371580635517478</c:v>
                </c:pt>
                <c:pt idx="1465">
                  <c:v>28.371580635517478</c:v>
                </c:pt>
                <c:pt idx="1466">
                  <c:v>28.371580635517478</c:v>
                </c:pt>
                <c:pt idx="1467">
                  <c:v>28.371580635517478</c:v>
                </c:pt>
                <c:pt idx="1468">
                  <c:v>28.371580635517478</c:v>
                </c:pt>
                <c:pt idx="1469">
                  <c:v>28.371580635517478</c:v>
                </c:pt>
                <c:pt idx="1470">
                  <c:v>28.371580635517478</c:v>
                </c:pt>
                <c:pt idx="1471">
                  <c:v>28.371580635517478</c:v>
                </c:pt>
                <c:pt idx="1472">
                  <c:v>28.371580635517478</c:v>
                </c:pt>
                <c:pt idx="1473">
                  <c:v>28.371580635517478</c:v>
                </c:pt>
                <c:pt idx="1474">
                  <c:v>28.371580635517478</c:v>
                </c:pt>
                <c:pt idx="1475">
                  <c:v>28.371580635517478</c:v>
                </c:pt>
                <c:pt idx="1476">
                  <c:v>28.371580635517478</c:v>
                </c:pt>
                <c:pt idx="1477">
                  <c:v>28.371580635517478</c:v>
                </c:pt>
                <c:pt idx="1478">
                  <c:v>28.371580635517478</c:v>
                </c:pt>
                <c:pt idx="1479">
                  <c:v>28.371580635517478</c:v>
                </c:pt>
                <c:pt idx="1480">
                  <c:v>28.371580635517478</c:v>
                </c:pt>
                <c:pt idx="1481">
                  <c:v>28.371580635517478</c:v>
                </c:pt>
                <c:pt idx="1482">
                  <c:v>28.371580635517478</c:v>
                </c:pt>
                <c:pt idx="1483">
                  <c:v>28.50717272921473</c:v>
                </c:pt>
                <c:pt idx="1484">
                  <c:v>28.642122935789828</c:v>
                </c:pt>
                <c:pt idx="1485">
                  <c:v>28.77722653357656</c:v>
                </c:pt>
                <c:pt idx="1486">
                  <c:v>28.911698802745367</c:v>
                </c:pt>
                <c:pt idx="1487">
                  <c:v>29.045548511889958</c:v>
                </c:pt>
                <c:pt idx="1488">
                  <c:v>29.17820255720131</c:v>
                </c:pt>
                <c:pt idx="1489">
                  <c:v>29.310256235345079</c:v>
                </c:pt>
                <c:pt idx="1490">
                  <c:v>29.44114855773487</c:v>
                </c:pt>
                <c:pt idx="1491">
                  <c:v>29.57146151639521</c:v>
                </c:pt>
                <c:pt idx="1492">
                  <c:v>29.701202737139649</c:v>
                </c:pt>
                <c:pt idx="1493">
                  <c:v>29.831095763512565</c:v>
                </c:pt>
                <c:pt idx="1494">
                  <c:v>29.960425645692066</c:v>
                </c:pt>
                <c:pt idx="1495">
                  <c:v>30.089199645225335</c:v>
                </c:pt>
                <c:pt idx="1496">
                  <c:v>30.218108467653202</c:v>
                </c:pt>
                <c:pt idx="1497">
                  <c:v>30.34646970300631</c:v>
                </c:pt>
                <c:pt idx="1498">
                  <c:v>30.474290270785726</c:v>
                </c:pt>
                <c:pt idx="1499">
                  <c:v>30.602229679367777</c:v>
                </c:pt>
                <c:pt idx="1500">
                  <c:v>30.729636431130302</c:v>
                </c:pt>
                <c:pt idx="1501">
                  <c:v>30.857143060888365</c:v>
                </c:pt>
                <c:pt idx="1502">
                  <c:v>30.984124976684612</c:v>
                </c:pt>
                <c:pt idx="1503">
                  <c:v>31.110588603584656</c:v>
                </c:pt>
                <c:pt idx="1504">
                  <c:v>31.237138071148326</c:v>
                </c:pt>
                <c:pt idx="1505">
                  <c:v>31.363176919605529</c:v>
                </c:pt>
                <c:pt idx="1506">
                  <c:v>31.488711280472714</c:v>
                </c:pt>
                <c:pt idx="1507">
                  <c:v>31.614318241038465</c:v>
                </c:pt>
                <c:pt idx="1508">
                  <c:v>31.739428123177412</c:v>
                </c:pt>
                <c:pt idx="1509">
                  <c:v>31.8640467820243</c:v>
                </c:pt>
                <c:pt idx="1510">
                  <c:v>31.988725541451153</c:v>
                </c:pt>
                <c:pt idx="1511">
                  <c:v>32.112920237897171</c:v>
                </c:pt>
                <c:pt idx="1512">
                  <c:v>32.236636466058336</c:v>
                </c:pt>
                <c:pt idx="1513">
                  <c:v>32.360400987381198</c:v>
                </c:pt>
                <c:pt idx="1514">
                  <c:v>32.483693963024002</c:v>
                </c:pt>
                <c:pt idx="1515">
                  <c:v>32.606520742064795</c:v>
                </c:pt>
                <c:pt idx="1516">
                  <c:v>32.729384652373028</c:v>
                </c:pt>
                <c:pt idx="1517">
                  <c:v>32.851789061530283</c:v>
                </c:pt>
                <c:pt idx="1518">
                  <c:v>32.973739086787994</c:v>
                </c:pt>
                <c:pt idx="1519">
                  <c:v>33.097782305958638</c:v>
                </c:pt>
                <c:pt idx="1520">
                  <c:v>33.221362370945705</c:v>
                </c:pt>
                <c:pt idx="1521">
                  <c:v>33.344484431323053</c:v>
                </c:pt>
                <c:pt idx="1522">
                  <c:v>33.469607915932031</c:v>
                </c:pt>
                <c:pt idx="1523">
                  <c:v>33.594265375234727</c:v>
                </c:pt>
                <c:pt idx="1524">
                  <c:v>33.720840414667634</c:v>
                </c:pt>
                <c:pt idx="1525">
                  <c:v>33.846942113598224</c:v>
                </c:pt>
                <c:pt idx="1526">
                  <c:v>33.972575742958554</c:v>
                </c:pt>
                <c:pt idx="1527">
                  <c:v>34.100043192937996</c:v>
                </c:pt>
                <c:pt idx="1528">
                  <c:v>34.227035935199204</c:v>
                </c:pt>
                <c:pt idx="1529">
                  <c:v>34.35355923421325</c:v>
                </c:pt>
                <c:pt idx="1530">
                  <c:v>34.481836533280678</c:v>
                </c:pt>
                <c:pt idx="1531">
                  <c:v>34.609638388130868</c:v>
                </c:pt>
                <c:pt idx="1532">
                  <c:v>34.736970046428539</c:v>
                </c:pt>
                <c:pt idx="1533">
                  <c:v>34.865979631230772</c:v>
                </c:pt>
                <c:pt idx="1534">
                  <c:v>34.994513616913217</c:v>
                </c:pt>
                <c:pt idx="1535">
                  <c:v>35.122577224959585</c:v>
                </c:pt>
                <c:pt idx="1536">
                  <c:v>35.252246248465227</c:v>
                </c:pt>
                <c:pt idx="1537">
                  <c:v>35.381440052683153</c:v>
                </c:pt>
                <c:pt idx="1538">
                  <c:v>35.512172281482513</c:v>
                </c:pt>
                <c:pt idx="1539">
                  <c:v>35.642425003046277</c:v>
                </c:pt>
                <c:pt idx="1540">
                  <c:v>35.77220345527882</c:v>
                </c:pt>
                <c:pt idx="1541">
                  <c:v>35.905206768048963</c:v>
                </c:pt>
                <c:pt idx="1542">
                  <c:v>36.03771921288633</c:v>
                </c:pt>
                <c:pt idx="1543">
                  <c:v>36.169746184861786</c:v>
                </c:pt>
                <c:pt idx="1544">
                  <c:v>36.303152383617146</c:v>
                </c:pt>
                <c:pt idx="1545">
                  <c:v>36.436070135223567</c:v>
                </c:pt>
                <c:pt idx="1546">
                  <c:v>36.568504765846441</c:v>
                </c:pt>
                <c:pt idx="1547">
                  <c:v>36.702259276065909</c:v>
                </c:pt>
                <c:pt idx="1548">
                  <c:v>36.835528109766507</c:v>
                </c:pt>
                <c:pt idx="1549">
                  <c:v>36.970061300482072</c:v>
                </c:pt>
                <c:pt idx="1550">
                  <c:v>37.104106699897869</c:v>
                </c:pt>
                <c:pt idx="1551">
                  <c:v>37.237669575759028</c:v>
                </c:pt>
                <c:pt idx="1552">
                  <c:v>37.372442649712653</c:v>
                </c:pt>
                <c:pt idx="1553">
                  <c:v>37.506731446217934</c:v>
                </c:pt>
                <c:pt idx="1554">
                  <c:v>37.640541148492609</c:v>
                </c:pt>
                <c:pt idx="1555">
                  <c:v>37.775509389609617</c:v>
                </c:pt>
                <c:pt idx="1556">
                  <c:v>37.909997116032642</c:v>
                </c:pt>
                <c:pt idx="1557">
                  <c:v>38.04403424072725</c:v>
                </c:pt>
                <c:pt idx="1558">
                  <c:v>38.177600779536313</c:v>
                </c:pt>
                <c:pt idx="1559">
                  <c:v>38.310701654416036</c:v>
                </c:pt>
                <c:pt idx="1560">
                  <c:v>38.443360694029231</c:v>
                </c:pt>
                <c:pt idx="1561">
                  <c:v>38.575563529892698</c:v>
                </c:pt>
                <c:pt idx="1562">
                  <c:v>38.707314836427798</c:v>
                </c:pt>
                <c:pt idx="1563">
                  <c:v>38.838632602544962</c:v>
                </c:pt>
                <c:pt idx="1564">
                  <c:v>38.969507862232405</c:v>
                </c:pt>
                <c:pt idx="1565">
                  <c:v>39.099953095740496</c:v>
                </c:pt>
                <c:pt idx="1566">
                  <c:v>39.229964582620006</c:v>
                </c:pt>
                <c:pt idx="1567">
                  <c:v>39.359546621094779</c:v>
                </c:pt>
                <c:pt idx="1568">
                  <c:v>39.487257584051278</c:v>
                </c:pt>
                <c:pt idx="1569">
                  <c:v>39.614556829532965</c:v>
                </c:pt>
                <c:pt idx="1570">
                  <c:v>39.741448313962827</c:v>
                </c:pt>
                <c:pt idx="1571">
                  <c:v>39.866524706254793</c:v>
                </c:pt>
                <c:pt idx="1572">
                  <c:v>39.991209911897748</c:v>
                </c:pt>
                <c:pt idx="1573">
                  <c:v>40.115507578497791</c:v>
                </c:pt>
                <c:pt idx="1574">
                  <c:v>40.23804318720066</c:v>
                </c:pt>
                <c:pt idx="1575">
                  <c:v>40.360206773374401</c:v>
                </c:pt>
                <c:pt idx="1576">
                  <c:v>40.482001705005253</c:v>
                </c:pt>
                <c:pt idx="1577">
                  <c:v>40.602084878577465</c:v>
                </c:pt>
                <c:pt idx="1578">
                  <c:v>40.721813944498713</c:v>
                </c:pt>
                <c:pt idx="1579">
                  <c:v>40.841192017049778</c:v>
                </c:pt>
                <c:pt idx="1580">
                  <c:v>40.958906091460207</c:v>
                </c:pt>
                <c:pt idx="1581">
                  <c:v>41.076282828958391</c:v>
                </c:pt>
                <c:pt idx="1582">
                  <c:v>41.193325113179533</c:v>
                </c:pt>
                <c:pt idx="1583">
                  <c:v>41.308748795821458</c:v>
                </c:pt>
                <c:pt idx="1584">
                  <c:v>41.423850862425304</c:v>
                </c:pt>
                <c:pt idx="1585">
                  <c:v>41.538633986550721</c:v>
                </c:pt>
                <c:pt idx="1586">
                  <c:v>41.653144075226116</c:v>
                </c:pt>
                <c:pt idx="1587">
                  <c:v>41.767340222169551</c:v>
                </c:pt>
                <c:pt idx="1588">
                  <c:v>41.881224995424624</c:v>
                </c:pt>
                <c:pt idx="1589">
                  <c:v>41.994838432756659</c:v>
                </c:pt>
                <c:pt idx="1590">
                  <c:v>42.108145326875785</c:v>
                </c:pt>
                <c:pt idx="1591">
                  <c:v>42.22114814574855</c:v>
                </c:pt>
                <c:pt idx="1592">
                  <c:v>42.333881255097317</c:v>
                </c:pt>
                <c:pt idx="1593">
                  <c:v>42.446314957792431</c:v>
                </c:pt>
                <c:pt idx="1594">
                  <c:v>42.558451626810239</c:v>
                </c:pt>
                <c:pt idx="1595">
                  <c:v>42.670293603946305</c:v>
                </c:pt>
                <c:pt idx="1596">
                  <c:v>42.781869671074979</c:v>
                </c:pt>
                <c:pt idx="1597">
                  <c:v>42.893155501300086</c:v>
                </c:pt>
                <c:pt idx="1598">
                  <c:v>43.004153347840415</c:v>
                </c:pt>
                <c:pt idx="1599">
                  <c:v>43.114886703923787</c:v>
                </c:pt>
                <c:pt idx="1600">
                  <c:v>43.225336387584008</c:v>
                </c:pt>
                <c:pt idx="1601">
                  <c:v>43.33550456781834</c:v>
                </c:pt>
                <c:pt idx="1602">
                  <c:v>43.446606632396538</c:v>
                </c:pt>
                <c:pt idx="1603">
                  <c:v>43.557425309503785</c:v>
                </c:pt>
                <c:pt idx="1604">
                  <c:v>43.667962756645736</c:v>
                </c:pt>
                <c:pt idx="1605">
                  <c:v>43.778222721729357</c:v>
                </c:pt>
                <c:pt idx="1606">
                  <c:v>43.888205682516592</c:v>
                </c:pt>
                <c:pt idx="1607">
                  <c:v>43.997913716316404</c:v>
                </c:pt>
                <c:pt idx="1608">
                  <c:v>44.107345996299493</c:v>
                </c:pt>
                <c:pt idx="1609">
                  <c:v>44.216507441069226</c:v>
                </c:pt>
                <c:pt idx="1610">
                  <c:v>44.325400051606792</c:v>
                </c:pt>
                <c:pt idx="1611">
                  <c:v>44.434025804374706</c:v>
                </c:pt>
                <c:pt idx="1612">
                  <c:v>44.542379432994856</c:v>
                </c:pt>
                <c:pt idx="1613">
                  <c:v>44.650470119831091</c:v>
                </c:pt>
                <c:pt idx="1614">
                  <c:v>44.75829976988598</c:v>
                </c:pt>
                <c:pt idx="1615">
                  <c:v>44.865858830267491</c:v>
                </c:pt>
                <c:pt idx="1616">
                  <c:v>44.973160650147854</c:v>
                </c:pt>
                <c:pt idx="1617">
                  <c:v>45.080207066411347</c:v>
                </c:pt>
                <c:pt idx="1618">
                  <c:v>45.186984368558633</c:v>
                </c:pt>
                <c:pt idx="1619">
                  <c:v>45.293509948978354</c:v>
                </c:pt>
                <c:pt idx="1620">
                  <c:v>45.399785579582201</c:v>
                </c:pt>
                <c:pt idx="1621">
                  <c:v>45.505813011590931</c:v>
                </c:pt>
                <c:pt idx="1622">
                  <c:v>45.611574525128546</c:v>
                </c:pt>
                <c:pt idx="1623">
                  <c:v>45.717091371573844</c:v>
                </c:pt>
                <c:pt idx="1624">
                  <c:v>45.822365241138613</c:v>
                </c:pt>
                <c:pt idx="1625">
                  <c:v>45.926839295963951</c:v>
                </c:pt>
                <c:pt idx="1626">
                  <c:v>46.031076232717922</c:v>
                </c:pt>
                <c:pt idx="1627">
                  <c:v>46.135077658624127</c:v>
                </c:pt>
                <c:pt idx="1628">
                  <c:v>46.238845162831097</c:v>
                </c:pt>
                <c:pt idx="1629">
                  <c:v>46.341831146457949</c:v>
                </c:pt>
                <c:pt idx="1630">
                  <c:v>46.444588770074944</c:v>
                </c:pt>
                <c:pt idx="1631">
                  <c:v>46.547119546067755</c:v>
                </c:pt>
                <c:pt idx="1632">
                  <c:v>46.648364764832252</c:v>
                </c:pt>
                <c:pt idx="1633">
                  <c:v>46.74939071720361</c:v>
                </c:pt>
                <c:pt idx="1634">
                  <c:v>46.850198821634507</c:v>
                </c:pt>
                <c:pt idx="1635">
                  <c:v>46.950790481349763</c:v>
                </c:pt>
                <c:pt idx="1636">
                  <c:v>47.050127799141102</c:v>
                </c:pt>
                <c:pt idx="1637">
                  <c:v>47.149255826655597</c:v>
                </c:pt>
                <c:pt idx="1638">
                  <c:v>47.248175881184274</c:v>
                </c:pt>
                <c:pt idx="1639">
                  <c:v>47.345867965594323</c:v>
                </c:pt>
                <c:pt idx="1640">
                  <c:v>47.443358889645005</c:v>
                </c:pt>
                <c:pt idx="1641">
                  <c:v>47.540649890886272</c:v>
                </c:pt>
                <c:pt idx="1642">
                  <c:v>47.637742194230746</c:v>
                </c:pt>
                <c:pt idx="1643">
                  <c:v>47.733635119315849</c:v>
                </c:pt>
                <c:pt idx="1644">
                  <c:v>47.829335789282865</c:v>
                </c:pt>
                <c:pt idx="1645">
                  <c:v>47.924845355869081</c:v>
                </c:pt>
                <c:pt idx="1646">
                  <c:v>48.020164959358041</c:v>
                </c:pt>
                <c:pt idx="1647">
                  <c:v>48.114312508643494</c:v>
                </c:pt>
                <c:pt idx="1648">
                  <c:v>48.208276194392781</c:v>
                </c:pt>
                <c:pt idx="1649">
                  <c:v>48.302057089634467</c:v>
                </c:pt>
                <c:pt idx="1650">
                  <c:v>48.395656257000553</c:v>
                </c:pt>
                <c:pt idx="1651">
                  <c:v>48.488109504204409</c:v>
                </c:pt>
                <c:pt idx="1652">
                  <c:v>48.580386804117552</c:v>
                </c:pt>
                <c:pt idx="1653">
                  <c:v>48.67248915746594</c:v>
                </c:pt>
                <c:pt idx="1654">
                  <c:v>48.763467840595929</c:v>
                </c:pt>
                <c:pt idx="1655">
                  <c:v>48.854277099329053</c:v>
                </c:pt>
                <c:pt idx="1656">
                  <c:v>48.94491787668278</c:v>
                </c:pt>
                <c:pt idx="1657">
                  <c:v>49.035391106958819</c:v>
                </c:pt>
                <c:pt idx="1658">
                  <c:v>49.124764742252651</c:v>
                </c:pt>
                <c:pt idx="1659">
                  <c:v>49.213976073376983</c:v>
                </c:pt>
                <c:pt idx="1660">
                  <c:v>49.303025981375377</c:v>
                </c:pt>
                <c:pt idx="1661">
                  <c:v>49.391915339349097</c:v>
                </c:pt>
                <c:pt idx="1662">
                  <c:v>49.480188961139334</c:v>
                </c:pt>
                <c:pt idx="1663">
                  <c:v>49.568305381268388</c:v>
                </c:pt>
                <c:pt idx="1664">
                  <c:v>49.656265436612394</c:v>
                </c:pt>
                <c:pt idx="1665">
                  <c:v>49.744069956648431</c:v>
                </c:pt>
                <c:pt idx="1666">
                  <c:v>49.831719763545784</c:v>
                </c:pt>
                <c:pt idx="1667">
                  <c:v>49.91876618931304</c:v>
                </c:pt>
                <c:pt idx="1668">
                  <c:v>50.005661090860961</c:v>
                </c:pt>
                <c:pt idx="1669">
                  <c:v>50.092405256733166</c:v>
                </c:pt>
                <c:pt idx="1670">
                  <c:v>50.178999468657516</c:v>
                </c:pt>
                <c:pt idx="1671">
                  <c:v>50.265447680085408</c:v>
                </c:pt>
                <c:pt idx="1672">
                  <c:v>50.351747470006202</c:v>
                </c:pt>
                <c:pt idx="1673">
                  <c:v>50.437899600272296</c:v>
                </c:pt>
                <c:pt idx="1674">
                  <c:v>50.523904826240624</c:v>
                </c:pt>
                <c:pt idx="1675">
                  <c:v>50.607475183381595</c:v>
                </c:pt>
                <c:pt idx="1676">
                  <c:v>50.690907764431955</c:v>
                </c:pt>
                <c:pt idx="1677">
                  <c:v>50.774127911036679</c:v>
                </c:pt>
                <c:pt idx="1678">
                  <c:v>50.857211880622003</c:v>
                </c:pt>
                <c:pt idx="1679">
                  <c:v>50.940160339506647</c:v>
                </c:pt>
                <c:pt idx="1680">
                  <c:v>51.022973948593119</c:v>
                </c:pt>
                <c:pt idx="1681">
                  <c:v>51.105653363429155</c:v>
                </c:pt>
                <c:pt idx="1682">
                  <c:v>51.188120682554988</c:v>
                </c:pt>
                <c:pt idx="1683">
                  <c:v>51.270455355113135</c:v>
                </c:pt>
                <c:pt idx="1684">
                  <c:v>51.352658019127745</c:v>
                </c:pt>
                <c:pt idx="1685">
                  <c:v>51.434729307524513</c:v>
                </c:pt>
                <c:pt idx="1686">
                  <c:v>51.516669848187554</c:v>
                </c:pt>
                <c:pt idx="1687">
                  <c:v>51.597961357275075</c:v>
                </c:pt>
                <c:pt idx="1688">
                  <c:v>51.679124994590872</c:v>
                </c:pt>
                <c:pt idx="1689">
                  <c:v>51.760161361671216</c:v>
                </c:pt>
                <c:pt idx="1690">
                  <c:v>51.841071055350859</c:v>
                </c:pt>
                <c:pt idx="1691">
                  <c:v>51.921854667814316</c:v>
                </c:pt>
                <c:pt idx="1692">
                  <c:v>52.002000971526648</c:v>
                </c:pt>
                <c:pt idx="1693">
                  <c:v>52.082023942428407</c:v>
                </c:pt>
                <c:pt idx="1694">
                  <c:v>52.161924148143854</c:v>
                </c:pt>
                <c:pt idx="1695">
                  <c:v>52.241702151956531</c:v>
                </c:pt>
                <c:pt idx="1696">
                  <c:v>52.321358512855596</c:v>
                </c:pt>
                <c:pt idx="1697">
                  <c:v>52.399964869718296</c:v>
                </c:pt>
                <c:pt idx="1698">
                  <c:v>52.478453483926678</c:v>
                </c:pt>
                <c:pt idx="1699">
                  <c:v>52.556824882993084</c:v>
                </c:pt>
                <c:pt idx="1700">
                  <c:v>52.635079590502627</c:v>
                </c:pt>
                <c:pt idx="1701">
                  <c:v>52.713218126154004</c:v>
                </c:pt>
                <c:pt idx="1702">
                  <c:v>52.790328186071747</c:v>
                </c:pt>
                <c:pt idx="1703">
                  <c:v>52.867325776615857</c:v>
                </c:pt>
                <c:pt idx="1704">
                  <c:v>52.94421138848422</c:v>
                </c:pt>
                <c:pt idx="1705">
                  <c:v>53.020985508816906</c:v>
                </c:pt>
                <c:pt idx="1706">
                  <c:v>53.09764862123221</c:v>
                </c:pt>
                <c:pt idx="1707">
                  <c:v>53.173303876403111</c:v>
                </c:pt>
                <c:pt idx="1708">
                  <c:v>53.248851641709322</c:v>
                </c:pt>
                <c:pt idx="1709">
                  <c:v>53.324292374013112</c:v>
                </c:pt>
                <c:pt idx="1710">
                  <c:v>53.399626526949568</c:v>
                </c:pt>
                <c:pt idx="1711">
                  <c:v>53.474854550958426</c:v>
                </c:pt>
                <c:pt idx="1712">
                  <c:v>53.549094478321678</c:v>
                </c:pt>
                <c:pt idx="1713">
                  <c:v>53.623231622593238</c:v>
                </c:pt>
                <c:pt idx="1714">
                  <c:v>53.697266409495612</c:v>
                </c:pt>
                <c:pt idx="1715">
                  <c:v>53.77119926182052</c:v>
                </c:pt>
                <c:pt idx="1716">
                  <c:v>53.845030599457083</c:v>
                </c:pt>
                <c:pt idx="1717">
                  <c:v>53.918760839419633</c:v>
                </c:pt>
                <c:pt idx="1718">
                  <c:v>53.991523531420974</c:v>
                </c:pt>
                <c:pt idx="1719">
                  <c:v>54.064188295297996</c:v>
                </c:pt>
                <c:pt idx="1720">
                  <c:v>54.136755525381176</c:v>
                </c:pt>
                <c:pt idx="1721">
                  <c:v>54.209225613361625</c:v>
                </c:pt>
                <c:pt idx="1722">
                  <c:v>54.281598948315754</c:v>
                </c:pt>
                <c:pt idx="1723">
                  <c:v>54.353022863293681</c:v>
                </c:pt>
                <c:pt idx="1724">
                  <c:v>54.424353045026244</c:v>
                </c:pt>
                <c:pt idx="1725">
                  <c:v>54.495589861580441</c:v>
                </c:pt>
                <c:pt idx="1726">
                  <c:v>54.566733678620722</c:v>
                </c:pt>
                <c:pt idx="1727">
                  <c:v>54.637784859430866</c:v>
                </c:pt>
                <c:pt idx="1728">
                  <c:v>54.708743764935647</c:v>
                </c:pt>
                <c:pt idx="1729">
                  <c:v>54.77877210262924</c:v>
                </c:pt>
                <c:pt idx="1730">
                  <c:v>54.848711031401621</c:v>
                </c:pt>
                <c:pt idx="1731">
                  <c:v>54.918560892840269</c:v>
                </c:pt>
                <c:pt idx="1732">
                  <c:v>54.988322026363115</c:v>
                </c:pt>
                <c:pt idx="1733">
                  <c:v>55.057994769237801</c:v>
                </c:pt>
                <c:pt idx="1734">
                  <c:v>55.127579456600699</c:v>
                </c:pt>
                <c:pt idx="1735">
                  <c:v>55.196251624034055</c:v>
                </c:pt>
                <c:pt idx="1736">
                  <c:v>55.264838459399662</c:v>
                </c:pt>
                <c:pt idx="1737">
                  <c:v>55.333340280010191</c:v>
                </c:pt>
                <c:pt idx="1738">
                  <c:v>55.401757401216578</c:v>
                </c:pt>
                <c:pt idx="1739">
                  <c:v>55.470090136425</c:v>
                </c:pt>
                <c:pt idx="1740">
                  <c:v>55.538338797113589</c:v>
                </c:pt>
                <c:pt idx="1741">
                  <c:v>55.606068551180186</c:v>
                </c:pt>
                <c:pt idx="1742">
                  <c:v>55.67371590880321</c:v>
                </c:pt>
                <c:pt idx="1743">
                  <c:v>55.741281169970478</c:v>
                </c:pt>
                <c:pt idx="1744">
                  <c:v>55.808764632853887</c:v>
                </c:pt>
                <c:pt idx="1745">
                  <c:v>55.876166593824784</c:v>
                </c:pt>
                <c:pt idx="1746">
                  <c:v>55.94348734746913</c:v>
                </c:pt>
                <c:pt idx="1747">
                  <c:v>56.010296828259008</c:v>
                </c:pt>
                <c:pt idx="1748">
                  <c:v>56.077026713110634</c:v>
                </c:pt>
                <c:pt idx="1749">
                  <c:v>56.143677285836617</c:v>
                </c:pt>
                <c:pt idx="1750">
                  <c:v>56.210248828566925</c:v>
                </c:pt>
                <c:pt idx="1751">
                  <c:v>56.276741621762824</c:v>
                </c:pt>
                <c:pt idx="1752">
                  <c:v>56.343155944230659</c:v>
                </c:pt>
                <c:pt idx="1753">
                  <c:v>56.409431984826917</c:v>
                </c:pt>
                <c:pt idx="1754">
                  <c:v>56.475630248326873</c:v>
                </c:pt>
                <c:pt idx="1755">
                  <c:v>56.541751007911422</c:v>
                </c:pt>
                <c:pt idx="1756">
                  <c:v>56.607794535166015</c:v>
                </c:pt>
                <c:pt idx="1757">
                  <c:v>56.673761100093671</c:v>
                </c:pt>
                <c:pt idx="1758">
                  <c:v>56.739650971127851</c:v>
                </c:pt>
                <c:pt idx="1759">
                  <c:v>56.805040542818055</c:v>
                </c:pt>
                <c:pt idx="1760">
                  <c:v>56.870354929585204</c:v>
                </c:pt>
                <c:pt idx="1761">
                  <c:v>56.9355943901773</c:v>
                </c:pt>
                <c:pt idx="1762">
                  <c:v>57.000759181861618</c:v>
                </c:pt>
                <c:pt idx="1763">
                  <c:v>57.065849560436533</c:v>
                </c:pt>
                <c:pt idx="1764">
                  <c:v>57.130865780243234</c:v>
                </c:pt>
                <c:pt idx="1765">
                  <c:v>57.195388565105567</c:v>
                </c:pt>
                <c:pt idx="1766">
                  <c:v>57.259838643037149</c:v>
                </c:pt>
                <c:pt idx="1767">
                  <c:v>57.063615075033489</c:v>
                </c:pt>
                <c:pt idx="1768">
                  <c:v>56.866714424490254</c:v>
                </c:pt>
                <c:pt idx="1769">
                  <c:v>56.669129633703278</c:v>
                </c:pt>
                <c:pt idx="1770">
                  <c:v>56.470853521497318</c:v>
                </c:pt>
                <c:pt idx="1771">
                  <c:v>56.271878780180643</c:v>
                </c:pt>
                <c:pt idx="1772">
                  <c:v>56.072197972402357</c:v>
                </c:pt>
                <c:pt idx="1773">
                  <c:v>55.871803527908618</c:v>
                </c:pt>
                <c:pt idx="1774">
                  <c:v>55.67068774019377</c:v>
                </c:pt>
                <c:pt idx="1775">
                  <c:v>55.468842763042211</c:v>
                </c:pt>
                <c:pt idx="1776">
                  <c:v>55.266260606956564</c:v>
                </c:pt>
                <c:pt idx="1777">
                  <c:v>55.062933135467617</c:v>
                </c:pt>
                <c:pt idx="1778">
                  <c:v>54.858852061321123</c:v>
                </c:pt>
                <c:pt idx="1779">
                  <c:v>54.654008942536464</c:v>
                </c:pt>
                <c:pt idx="1780">
                  <c:v>54.448395178331886</c:v>
                </c:pt>
                <c:pt idx="1781">
                  <c:v>54.242002004910674</c:v>
                </c:pt>
                <c:pt idx="1782">
                  <c:v>54.034820491102515</c:v>
                </c:pt>
                <c:pt idx="1783">
                  <c:v>54.034820491102515</c:v>
                </c:pt>
                <c:pt idx="1784">
                  <c:v>54.034820491102515</c:v>
                </c:pt>
                <c:pt idx="1785">
                  <c:v>54.034820491102515</c:v>
                </c:pt>
                <c:pt idx="1786">
                  <c:v>54.034820491102515</c:v>
                </c:pt>
                <c:pt idx="1787">
                  <c:v>54.034820491102515</c:v>
                </c:pt>
                <c:pt idx="1788">
                  <c:v>54.034820491102515</c:v>
                </c:pt>
                <c:pt idx="1789">
                  <c:v>54.034820491102515</c:v>
                </c:pt>
                <c:pt idx="1790">
                  <c:v>54.034820491102515</c:v>
                </c:pt>
                <c:pt idx="1791">
                  <c:v>54.034820491102515</c:v>
                </c:pt>
                <c:pt idx="1792">
                  <c:v>54.034820491102515</c:v>
                </c:pt>
                <c:pt idx="1793">
                  <c:v>54.034820491102515</c:v>
                </c:pt>
                <c:pt idx="1794">
                  <c:v>54.034820491102515</c:v>
                </c:pt>
                <c:pt idx="1795">
                  <c:v>54.034820491102515</c:v>
                </c:pt>
                <c:pt idx="1796">
                  <c:v>54.034820491102515</c:v>
                </c:pt>
                <c:pt idx="1797">
                  <c:v>54.034820491102515</c:v>
                </c:pt>
                <c:pt idx="1798">
                  <c:v>54.034820491102515</c:v>
                </c:pt>
                <c:pt idx="1799">
                  <c:v>54.034820491102515</c:v>
                </c:pt>
                <c:pt idx="1800">
                  <c:v>54.034820491102515</c:v>
                </c:pt>
                <c:pt idx="1801">
                  <c:v>54.034820491102515</c:v>
                </c:pt>
                <c:pt idx="1802">
                  <c:v>54.034820491102515</c:v>
                </c:pt>
                <c:pt idx="1803">
                  <c:v>54.034820491102515</c:v>
                </c:pt>
                <c:pt idx="1804">
                  <c:v>54.034820491102515</c:v>
                </c:pt>
                <c:pt idx="1805">
                  <c:v>54.034820491102515</c:v>
                </c:pt>
                <c:pt idx="1806">
                  <c:v>54.034820491102515</c:v>
                </c:pt>
                <c:pt idx="1807">
                  <c:v>54.034820491102515</c:v>
                </c:pt>
                <c:pt idx="1808">
                  <c:v>54.034820491102515</c:v>
                </c:pt>
                <c:pt idx="1809">
                  <c:v>54.034820491102515</c:v>
                </c:pt>
                <c:pt idx="1810">
                  <c:v>54.034820491102515</c:v>
                </c:pt>
                <c:pt idx="1811">
                  <c:v>54.034820491102515</c:v>
                </c:pt>
                <c:pt idx="1812">
                  <c:v>54.034820491102515</c:v>
                </c:pt>
                <c:pt idx="1813">
                  <c:v>54.034820491102515</c:v>
                </c:pt>
                <c:pt idx="1814">
                  <c:v>54.034820491102515</c:v>
                </c:pt>
                <c:pt idx="1815">
                  <c:v>54.034820491102515</c:v>
                </c:pt>
                <c:pt idx="1816">
                  <c:v>54.034820491102515</c:v>
                </c:pt>
                <c:pt idx="1817">
                  <c:v>54.034820491102515</c:v>
                </c:pt>
                <c:pt idx="1818">
                  <c:v>54.034820491102515</c:v>
                </c:pt>
                <c:pt idx="1819">
                  <c:v>54.034820491102515</c:v>
                </c:pt>
                <c:pt idx="1820">
                  <c:v>54.034820491102515</c:v>
                </c:pt>
                <c:pt idx="1821">
                  <c:v>54.034820491102515</c:v>
                </c:pt>
                <c:pt idx="1822">
                  <c:v>54.034820491102515</c:v>
                </c:pt>
                <c:pt idx="1823">
                  <c:v>54.034820491102515</c:v>
                </c:pt>
                <c:pt idx="1824">
                  <c:v>54.034820491102515</c:v>
                </c:pt>
                <c:pt idx="1825">
                  <c:v>54.034820491102515</c:v>
                </c:pt>
                <c:pt idx="1826">
                  <c:v>54.034820491102515</c:v>
                </c:pt>
                <c:pt idx="1827">
                  <c:v>54.034820491102515</c:v>
                </c:pt>
                <c:pt idx="1828">
                  <c:v>54.034820491102515</c:v>
                </c:pt>
                <c:pt idx="1829">
                  <c:v>54.034820491102515</c:v>
                </c:pt>
                <c:pt idx="1830">
                  <c:v>54.034820491102515</c:v>
                </c:pt>
                <c:pt idx="1831">
                  <c:v>54.034820491102515</c:v>
                </c:pt>
                <c:pt idx="1832">
                  <c:v>54.034820491102515</c:v>
                </c:pt>
                <c:pt idx="1833">
                  <c:v>54.034820491102515</c:v>
                </c:pt>
                <c:pt idx="1834">
                  <c:v>54.034820491102515</c:v>
                </c:pt>
                <c:pt idx="1835">
                  <c:v>54.034820491102515</c:v>
                </c:pt>
                <c:pt idx="1836">
                  <c:v>54.034820491102515</c:v>
                </c:pt>
                <c:pt idx="1837">
                  <c:v>54.034820491102515</c:v>
                </c:pt>
                <c:pt idx="1838">
                  <c:v>54.034820491102515</c:v>
                </c:pt>
                <c:pt idx="1839">
                  <c:v>54.034820491102515</c:v>
                </c:pt>
                <c:pt idx="1840">
                  <c:v>54.034820491102515</c:v>
                </c:pt>
                <c:pt idx="1841">
                  <c:v>54.034820491102515</c:v>
                </c:pt>
                <c:pt idx="1842">
                  <c:v>54.034820491102515</c:v>
                </c:pt>
                <c:pt idx="1843">
                  <c:v>54.034820491102515</c:v>
                </c:pt>
                <c:pt idx="1844">
                  <c:v>54.034820491102515</c:v>
                </c:pt>
                <c:pt idx="1845">
                  <c:v>54.034820491102515</c:v>
                </c:pt>
                <c:pt idx="1846">
                  <c:v>54.034820491102515</c:v>
                </c:pt>
                <c:pt idx="1847">
                  <c:v>54.034820491102515</c:v>
                </c:pt>
                <c:pt idx="1848">
                  <c:v>54.034820491102515</c:v>
                </c:pt>
                <c:pt idx="1849">
                  <c:v>54.034820491102515</c:v>
                </c:pt>
                <c:pt idx="1850">
                  <c:v>54.034820491102515</c:v>
                </c:pt>
                <c:pt idx="1851">
                  <c:v>54.034820491102515</c:v>
                </c:pt>
                <c:pt idx="1852">
                  <c:v>54.034820491102515</c:v>
                </c:pt>
                <c:pt idx="1853">
                  <c:v>54.034820491102515</c:v>
                </c:pt>
                <c:pt idx="1854">
                  <c:v>54.034820491102515</c:v>
                </c:pt>
                <c:pt idx="1855">
                  <c:v>54.034820491102515</c:v>
                </c:pt>
                <c:pt idx="1856">
                  <c:v>54.034820491102515</c:v>
                </c:pt>
                <c:pt idx="1857">
                  <c:v>54.034820491102515</c:v>
                </c:pt>
                <c:pt idx="1858">
                  <c:v>54.034820491102515</c:v>
                </c:pt>
                <c:pt idx="1859">
                  <c:v>54.034820491102515</c:v>
                </c:pt>
                <c:pt idx="1860">
                  <c:v>54.034820491102515</c:v>
                </c:pt>
                <c:pt idx="1861">
                  <c:v>54.034820491102515</c:v>
                </c:pt>
                <c:pt idx="1862">
                  <c:v>54.034820491102515</c:v>
                </c:pt>
                <c:pt idx="1863">
                  <c:v>54.034820491102515</c:v>
                </c:pt>
                <c:pt idx="1864">
                  <c:v>54.034820491102515</c:v>
                </c:pt>
                <c:pt idx="1865">
                  <c:v>54.034820491102515</c:v>
                </c:pt>
                <c:pt idx="1866">
                  <c:v>54.034820491102515</c:v>
                </c:pt>
                <c:pt idx="1867">
                  <c:v>54.034820491102515</c:v>
                </c:pt>
                <c:pt idx="1868">
                  <c:v>54.034820491102515</c:v>
                </c:pt>
                <c:pt idx="1869">
                  <c:v>54.034820491102515</c:v>
                </c:pt>
                <c:pt idx="1870">
                  <c:v>54.034820491102515</c:v>
                </c:pt>
                <c:pt idx="1871">
                  <c:v>54.034820491102515</c:v>
                </c:pt>
                <c:pt idx="1872">
                  <c:v>54.034820491102515</c:v>
                </c:pt>
                <c:pt idx="1873">
                  <c:v>54.034820491102515</c:v>
                </c:pt>
                <c:pt idx="1874">
                  <c:v>54.034820491102515</c:v>
                </c:pt>
                <c:pt idx="1875">
                  <c:v>54.034820491102515</c:v>
                </c:pt>
                <c:pt idx="1876">
                  <c:v>54.034820491102515</c:v>
                </c:pt>
                <c:pt idx="1877">
                  <c:v>54.034820491102515</c:v>
                </c:pt>
                <c:pt idx="1878">
                  <c:v>54.034820491102515</c:v>
                </c:pt>
                <c:pt idx="1879">
                  <c:v>54.034820491102515</c:v>
                </c:pt>
                <c:pt idx="1880">
                  <c:v>54.034820491102515</c:v>
                </c:pt>
                <c:pt idx="1881">
                  <c:v>54.034820491102515</c:v>
                </c:pt>
                <c:pt idx="1882">
                  <c:v>54.034820491102515</c:v>
                </c:pt>
                <c:pt idx="1883">
                  <c:v>54.107427108402824</c:v>
                </c:pt>
                <c:pt idx="1884">
                  <c:v>54.179936425549421</c:v>
                </c:pt>
                <c:pt idx="1885">
                  <c:v>54.252348832672944</c:v>
                </c:pt>
                <c:pt idx="1886">
                  <c:v>54.324664717303889</c:v>
                </c:pt>
                <c:pt idx="1887">
                  <c:v>54.396032085432608</c:v>
                </c:pt>
                <c:pt idx="1888">
                  <c:v>54.467305942476585</c:v>
                </c:pt>
                <c:pt idx="1889">
                  <c:v>54.538486655051926</c:v>
                </c:pt>
                <c:pt idx="1890">
                  <c:v>54.609574587385396</c:v>
                </c:pt>
                <c:pt idx="1891">
                  <c:v>54.680570101336187</c:v>
                </c:pt>
                <c:pt idx="1892">
                  <c:v>54.75063447432867</c:v>
                </c:pt>
                <c:pt idx="1893">
                  <c:v>54.820609300480719</c:v>
                </c:pt>
                <c:pt idx="1894">
                  <c:v>54.890494922257346</c:v>
                </c:pt>
                <c:pt idx="1895">
                  <c:v>54.960291679946224</c:v>
                </c:pt>
                <c:pt idx="1896">
                  <c:v>55.029999911677017</c:v>
                </c:pt>
                <c:pt idx="1897">
                  <c:v>55.099619953440502</c:v>
                </c:pt>
                <c:pt idx="1898">
                  <c:v>55.168326924182111</c:v>
                </c:pt>
                <c:pt idx="1899">
                  <c:v>55.236948433211758</c:v>
                </c:pt>
                <c:pt idx="1900">
                  <c:v>55.305484798644997</c:v>
                </c:pt>
                <c:pt idx="1901">
                  <c:v>55.373936336628724</c:v>
                </c:pt>
                <c:pt idx="1902">
                  <c:v>55.442303361358185</c:v>
                </c:pt>
                <c:pt idx="1903">
                  <c:v>55.510586185093807</c:v>
                </c:pt>
                <c:pt idx="1904">
                  <c:v>55.578349759490926</c:v>
                </c:pt>
                <c:pt idx="1905">
                  <c:v>55.646030814101046</c:v>
                </c:pt>
                <c:pt idx="1906">
                  <c:v>55.713629649659886</c:v>
                </c:pt>
                <c:pt idx="1907">
                  <c:v>55.781146565080924</c:v>
                </c:pt>
                <c:pt idx="1908">
                  <c:v>55.848581857470805</c:v>
                </c:pt>
                <c:pt idx="1909">
                  <c:v>55.915935822144611</c:v>
                </c:pt>
                <c:pt idx="1910">
                  <c:v>55.982778182754004</c:v>
                </c:pt>
                <c:pt idx="1911">
                  <c:v>56.049540829989681</c:v>
                </c:pt>
                <c:pt idx="1912">
                  <c:v>56.116224048361651</c:v>
                </c:pt>
                <c:pt idx="1913">
                  <c:v>56.182828120691511</c:v>
                </c:pt>
                <c:pt idx="1914">
                  <c:v>56.249353328126425</c:v>
                </c:pt>
                <c:pt idx="1915">
                  <c:v>56.315799950152972</c:v>
                </c:pt>
                <c:pt idx="1916">
                  <c:v>56.382108147182365</c:v>
                </c:pt>
                <c:pt idx="1917">
                  <c:v>56.448338453983631</c:v>
                </c:pt>
                <c:pt idx="1918">
                  <c:v>56.514491144399472</c:v>
                </c:pt>
                <c:pt idx="1919">
                  <c:v>56.578633125968167</c:v>
                </c:pt>
                <c:pt idx="1920">
                  <c:v>56.642702473446647</c:v>
                </c:pt>
                <c:pt idx="1921">
                  <c:v>56.706568323799871</c:v>
                </c:pt>
                <c:pt idx="1922">
                  <c:v>56.770362326025072</c:v>
                </c:pt>
                <c:pt idx="1923">
                  <c:v>56.834084722062265</c:v>
                </c:pt>
                <c:pt idx="1924">
                  <c:v>56.897735752496651</c:v>
                </c:pt>
                <c:pt idx="1925">
                  <c:v>56.961315656569241</c:v>
                </c:pt>
                <c:pt idx="1926">
                  <c:v>57.024824672187322</c:v>
                </c:pt>
                <c:pt idx="1927">
                  <c:v>57.088263035934872</c:v>
                </c:pt>
                <c:pt idx="1928">
                  <c:v>57.151497209066839</c:v>
                </c:pt>
                <c:pt idx="1929">
                  <c:v>57.214661495248414</c:v>
                </c:pt>
                <c:pt idx="1930">
                  <c:v>57.277756125687638</c:v>
                </c:pt>
                <c:pt idx="1931">
                  <c:v>57.340781330320524</c:v>
                </c:pt>
                <c:pt idx="1932">
                  <c:v>57.4037373378208</c:v>
                </c:pt>
                <c:pt idx="1933">
                  <c:v>57.466624375609612</c:v>
                </c:pt>
                <c:pt idx="1934">
                  <c:v>57.529442669865105</c:v>
                </c:pt>
                <c:pt idx="1935">
                  <c:v>57.591697174088679</c:v>
                </c:pt>
                <c:pt idx="1936">
                  <c:v>57.653884456110781</c:v>
                </c:pt>
                <c:pt idx="1937">
                  <c:v>57.71600473322119</c:v>
                </c:pt>
                <c:pt idx="1938">
                  <c:v>57.778058221541585</c:v>
                </c:pt>
                <c:pt idx="1939">
                  <c:v>57.840045136034327</c:v>
                </c:pt>
                <c:pt idx="1940">
                  <c:v>57.901965690511119</c:v>
                </c:pt>
                <c:pt idx="1941">
                  <c:v>57.963820097641644</c:v>
                </c:pt>
                <c:pt idx="1942">
                  <c:v>58.02560856896207</c:v>
                </c:pt>
                <c:pt idx="1943">
                  <c:v>58.086842235906786</c:v>
                </c:pt>
                <c:pt idx="1944">
                  <c:v>58.148011419822815</c:v>
                </c:pt>
                <c:pt idx="1945">
                  <c:v>58.209116323996575</c:v>
                </c:pt>
                <c:pt idx="1946">
                  <c:v>58.2701571506486</c:v>
                </c:pt>
                <c:pt idx="1947">
                  <c:v>58.331134100941355</c:v>
                </c:pt>
                <c:pt idx="1948">
                  <c:v>58.392047374986973</c:v>
                </c:pt>
                <c:pt idx="1949">
                  <c:v>58.4528971718549</c:v>
                </c:pt>
                <c:pt idx="1950">
                  <c:v>58.512852222440735</c:v>
                </c:pt>
                <c:pt idx="1951">
                  <c:v>58.572745903081348</c:v>
                </c:pt>
                <c:pt idx="1952">
                  <c:v>58.632578401846509</c:v>
                </c:pt>
                <c:pt idx="1953">
                  <c:v>58.692349905847379</c:v>
                </c:pt>
                <c:pt idx="1954">
                  <c:v>58.752060601243329</c:v>
                </c:pt>
                <c:pt idx="1955">
                  <c:v>58.81171067324869</c:v>
                </c:pt>
                <c:pt idx="1956">
                  <c:v>58.871300306139489</c:v>
                </c:pt>
                <c:pt idx="1957">
                  <c:v>58.930829683260058</c:v>
                </c:pt>
                <c:pt idx="1958">
                  <c:v>58.989481272733308</c:v>
                </c:pt>
                <c:pt idx="1959">
                  <c:v>59.048074604468702</c:v>
                </c:pt>
                <c:pt idx="1960">
                  <c:v>59.10660985172175</c:v>
                </c:pt>
                <c:pt idx="1961">
                  <c:v>59.165087186890879</c:v>
                </c:pt>
                <c:pt idx="1962">
                  <c:v>59.223506781523398</c:v>
                </c:pt>
                <c:pt idx="1963">
                  <c:v>59.281868806321349</c:v>
                </c:pt>
                <c:pt idx="1964">
                  <c:v>59.340173431147342</c:v>
                </c:pt>
                <c:pt idx="1965">
                  <c:v>59.397615514873486</c:v>
                </c:pt>
                <c:pt idx="1966">
                  <c:v>59.455002101310484</c:v>
                </c:pt>
                <c:pt idx="1967">
                  <c:v>59.512333351003207</c:v>
                </c:pt>
                <c:pt idx="1968">
                  <c:v>59.569609423723968</c:v>
                </c:pt>
                <c:pt idx="1969">
                  <c:v>59.626830478477707</c:v>
                </c:pt>
                <c:pt idx="1970">
                  <c:v>59.683996673507146</c:v>
                </c:pt>
                <c:pt idx="1971">
                  <c:v>59.741108166297906</c:v>
                </c:pt>
                <c:pt idx="1972">
                  <c:v>59.798165113583551</c:v>
                </c:pt>
                <c:pt idx="1973">
                  <c:v>59.854375046936795</c:v>
                </c:pt>
                <c:pt idx="1974">
                  <c:v>59.910532242397409</c:v>
                </c:pt>
                <c:pt idx="1975">
                  <c:v>59.966636848128381</c:v>
                </c:pt>
                <c:pt idx="1976">
                  <c:v>60.022689011600256</c:v>
                </c:pt>
                <c:pt idx="1977">
                  <c:v>60.078688879595632</c:v>
                </c:pt>
                <c:pt idx="1978">
                  <c:v>60.13463659821366</c:v>
                </c:pt>
                <c:pt idx="1979">
                  <c:v>60.190532312874481</c:v>
                </c:pt>
                <c:pt idx="1980">
                  <c:v>60.246376168323657</c:v>
                </c:pt>
                <c:pt idx="1981">
                  <c:v>60.301387865510677</c:v>
                </c:pt>
                <c:pt idx="1982">
                  <c:v>60.356349422395986</c:v>
                </c:pt>
                <c:pt idx="1983">
                  <c:v>60.411260975831006</c:v>
                </c:pt>
                <c:pt idx="1984">
                  <c:v>60.466122662045763</c:v>
                </c:pt>
                <c:pt idx="1985">
                  <c:v>60.520934616652823</c:v>
                </c:pt>
                <c:pt idx="1986">
                  <c:v>60.575696974651208</c:v>
                </c:pt>
                <c:pt idx="1987">
                  <c:v>60.390248450968521</c:v>
                </c:pt>
                <c:pt idx="1988">
                  <c:v>60.204228688478722</c:v>
                </c:pt>
                <c:pt idx="1989">
                  <c:v>60.017632375657598</c:v>
                </c:pt>
                <c:pt idx="1990">
                  <c:v>59.830454118153924</c:v>
                </c:pt>
                <c:pt idx="1991">
                  <c:v>59.642688436969877</c:v>
                </c:pt>
                <c:pt idx="1992">
                  <c:v>59.454329766589744</c:v>
                </c:pt>
                <c:pt idx="1993">
                  <c:v>59.265372453055065</c:v>
                </c:pt>
                <c:pt idx="1994">
                  <c:v>59.075810751984413</c:v>
                </c:pt>
                <c:pt idx="1995">
                  <c:v>58.885638826535761</c:v>
                </c:pt>
                <c:pt idx="1996">
                  <c:v>58.694850745309459</c:v>
                </c:pt>
                <c:pt idx="1997">
                  <c:v>58.503440480189653</c:v>
                </c:pt>
                <c:pt idx="1998">
                  <c:v>58.311401904121908</c:v>
                </c:pt>
                <c:pt idx="1999">
                  <c:v>58.088582641081409</c:v>
                </c:pt>
                <c:pt idx="2000">
                  <c:v>57.864905378609727</c:v>
                </c:pt>
                <c:pt idx="2001">
                  <c:v>57.64036012813564</c:v>
                </c:pt>
                <c:pt idx="2002">
                  <c:v>57.414936705763957</c:v>
                </c:pt>
                <c:pt idx="2003">
                  <c:v>57.188624726885969</c:v>
                </c:pt>
                <c:pt idx="2004">
                  <c:v>56.961413600597247</c:v>
                </c:pt>
                <c:pt idx="2005">
                  <c:v>56.733292523914187</c:v>
                </c:pt>
                <c:pt idx="2006">
                  <c:v>56.504250475780402</c:v>
                </c:pt>
                <c:pt idx="2007">
                  <c:v>56.274276210853586</c:v>
                </c:pt>
                <c:pt idx="2008">
                  <c:v>56.043358253062905</c:v>
                </c:pt>
                <c:pt idx="2009">
                  <c:v>55.811484888926458</c:v>
                </c:pt>
                <c:pt idx="2010">
                  <c:v>55.578644160617827</c:v>
                </c:pt>
                <c:pt idx="2011">
                  <c:v>55.34482385877012</c:v>
                </c:pt>
                <c:pt idx="2012">
                  <c:v>55.110011515005169</c:v>
                </c:pt>
                <c:pt idx="2013">
                  <c:v>54.87419439417507</c:v>
                </c:pt>
                <c:pt idx="2014">
                  <c:v>54.637359486302294</c:v>
                </c:pt>
                <c:pt idx="2015">
                  <c:v>54.399493498204002</c:v>
                </c:pt>
                <c:pt idx="2016">
                  <c:v>54.160582844785303</c:v>
                </c:pt>
                <c:pt idx="2017">
                  <c:v>53.920613639985255</c:v>
                </c:pt>
                <c:pt idx="2018">
                  <c:v>53.679571687358646</c:v>
                </c:pt>
                <c:pt idx="2019">
                  <c:v>53.404709650110604</c:v>
                </c:pt>
                <c:pt idx="2020">
                  <c:v>53.128425622137136</c:v>
                </c:pt>
                <c:pt idx="2021">
                  <c:v>52.85069730250774</c:v>
                </c:pt>
                <c:pt idx="2022">
                  <c:v>52.57150180121964</c:v>
                </c:pt>
                <c:pt idx="2023">
                  <c:v>52.29081561718062</c:v>
                </c:pt>
                <c:pt idx="2024">
                  <c:v>52.008614615122383</c:v>
                </c:pt>
                <c:pt idx="2025">
                  <c:v>51.72487400138025</c:v>
                </c:pt>
                <c:pt idx="2026">
                  <c:v>51.439568298470427</c:v>
                </c:pt>
                <c:pt idx="2027">
                  <c:v>51.152671318391036</c:v>
                </c:pt>
                <c:pt idx="2028">
                  <c:v>50.86415613456775</c:v>
                </c:pt>
                <c:pt idx="2029">
                  <c:v>50.573995052358946</c:v>
                </c:pt>
                <c:pt idx="2030">
                  <c:v>50.282159578028946</c:v>
                </c:pt>
                <c:pt idx="2031">
                  <c:v>49.988620386090965</c:v>
                </c:pt>
                <c:pt idx="2032">
                  <c:v>49.693347284913806</c:v>
                </c:pt>
                <c:pt idx="2033">
                  <c:v>49.396309180478163</c:v>
                </c:pt>
                <c:pt idx="2034">
                  <c:v>49.097474038159362</c:v>
                </c:pt>
                <c:pt idx="2035">
                  <c:v>48.79680884240355</c:v>
                </c:pt>
                <c:pt idx="2036">
                  <c:v>48.494279554153749</c:v>
                </c:pt>
                <c:pt idx="2037">
                  <c:v>48.189851065870243</c:v>
                </c:pt>
                <c:pt idx="2038">
                  <c:v>47.883487153977164</c:v>
                </c:pt>
                <c:pt idx="2039">
                  <c:v>47.575150428552895</c:v>
                </c:pt>
                <c:pt idx="2040">
                  <c:v>47.264802280066483</c:v>
                </c:pt>
                <c:pt idx="2041">
                  <c:v>46.952402822945267</c:v>
                </c:pt>
                <c:pt idx="2042">
                  <c:v>46.637910835740271</c:v>
                </c:pt>
                <c:pt idx="2043">
                  <c:v>46.32128369763516</c:v>
                </c:pt>
                <c:pt idx="2044">
                  <c:v>46.002477321021985</c:v>
                </c:pt>
                <c:pt idx="2045">
                  <c:v>45.681446079841685</c:v>
                </c:pt>
                <c:pt idx="2046">
                  <c:v>45.358142733359621</c:v>
                </c:pt>
                <c:pt idx="2047">
                  <c:v>45.032518345015582</c:v>
                </c:pt>
                <c:pt idx="2048">
                  <c:v>44.704522195953579</c:v>
                </c:pt>
                <c:pt idx="2049">
                  <c:v>44.374101692798774</c:v>
                </c:pt>
                <c:pt idx="2050">
                  <c:v>44.041202269206821</c:v>
                </c:pt>
                <c:pt idx="2051">
                  <c:v>43.70576728066365</c:v>
                </c:pt>
                <c:pt idx="2052">
                  <c:v>43.367737891961468</c:v>
                </c:pt>
                <c:pt idx="2053">
                  <c:v>43.027052956717959</c:v>
                </c:pt>
                <c:pt idx="2054">
                  <c:v>42.683648888240015</c:v>
                </c:pt>
                <c:pt idx="2055">
                  <c:v>42.337459520959612</c:v>
                </c:pt>
                <c:pt idx="2056">
                  <c:v>41.988415961586774</c:v>
                </c:pt>
                <c:pt idx="2057">
                  <c:v>41.636446429031089</c:v>
                </c:pt>
                <c:pt idx="2058">
                  <c:v>41.281476082038502</c:v>
                </c:pt>
                <c:pt idx="2059">
                  <c:v>41.281476082038502</c:v>
                </c:pt>
                <c:pt idx="2060">
                  <c:v>41.281476082038502</c:v>
                </c:pt>
                <c:pt idx="2061">
                  <c:v>41.281476082038502</c:v>
                </c:pt>
                <c:pt idx="2062">
                  <c:v>41.281476082038502</c:v>
                </c:pt>
                <c:pt idx="2063">
                  <c:v>41.281476082038502</c:v>
                </c:pt>
                <c:pt idx="2064">
                  <c:v>41.281476082038502</c:v>
                </c:pt>
                <c:pt idx="2065">
                  <c:v>41.281476082038502</c:v>
                </c:pt>
                <c:pt idx="2066">
                  <c:v>41.281476082038502</c:v>
                </c:pt>
                <c:pt idx="2067">
                  <c:v>41.281476082038502</c:v>
                </c:pt>
                <c:pt idx="2068">
                  <c:v>41.281476082038502</c:v>
                </c:pt>
                <c:pt idx="2069">
                  <c:v>41.281476082038502</c:v>
                </c:pt>
                <c:pt idx="2070">
                  <c:v>41.281476082038502</c:v>
                </c:pt>
                <c:pt idx="2071">
                  <c:v>41.281476082038502</c:v>
                </c:pt>
                <c:pt idx="2072">
                  <c:v>41.281476082038502</c:v>
                </c:pt>
                <c:pt idx="2073">
                  <c:v>41.281476082038502</c:v>
                </c:pt>
                <c:pt idx="2074">
                  <c:v>41.281476082038502</c:v>
                </c:pt>
                <c:pt idx="2075">
                  <c:v>41.281476082038502</c:v>
                </c:pt>
                <c:pt idx="2076">
                  <c:v>41.281476082038502</c:v>
                </c:pt>
                <c:pt idx="2077">
                  <c:v>41.281476082038502</c:v>
                </c:pt>
                <c:pt idx="2078">
                  <c:v>41.281476082038502</c:v>
                </c:pt>
                <c:pt idx="2079">
                  <c:v>41.281476082038502</c:v>
                </c:pt>
                <c:pt idx="2080">
                  <c:v>41.281476082038502</c:v>
                </c:pt>
                <c:pt idx="2081">
                  <c:v>41.281476082038502</c:v>
                </c:pt>
                <c:pt idx="2082">
                  <c:v>41.281476082038502</c:v>
                </c:pt>
                <c:pt idx="2083">
                  <c:v>41.281476082038502</c:v>
                </c:pt>
                <c:pt idx="2084">
                  <c:v>41.281476082038502</c:v>
                </c:pt>
                <c:pt idx="2085">
                  <c:v>41.281476082038502</c:v>
                </c:pt>
                <c:pt idx="2086">
                  <c:v>41.281476082038502</c:v>
                </c:pt>
                <c:pt idx="2087">
                  <c:v>41.281476082038502</c:v>
                </c:pt>
                <c:pt idx="2088">
                  <c:v>41.281476082038502</c:v>
                </c:pt>
                <c:pt idx="2089">
                  <c:v>41.281476082038502</c:v>
                </c:pt>
                <c:pt idx="2090">
                  <c:v>41.281476082038502</c:v>
                </c:pt>
                <c:pt idx="2091">
                  <c:v>41.281476082038502</c:v>
                </c:pt>
                <c:pt idx="2092">
                  <c:v>41.281476082038502</c:v>
                </c:pt>
                <c:pt idx="2093">
                  <c:v>41.281476082038502</c:v>
                </c:pt>
                <c:pt idx="2094">
                  <c:v>41.281476082038502</c:v>
                </c:pt>
                <c:pt idx="2095">
                  <c:v>41.281476082038502</c:v>
                </c:pt>
                <c:pt idx="2096">
                  <c:v>41.281476082038502</c:v>
                </c:pt>
                <c:pt idx="2097">
                  <c:v>41.281476082038502</c:v>
                </c:pt>
                <c:pt idx="2098">
                  <c:v>41.281476082038502</c:v>
                </c:pt>
                <c:pt idx="2099">
                  <c:v>41.281476082038502</c:v>
                </c:pt>
                <c:pt idx="2100">
                  <c:v>41.281476082038502</c:v>
                </c:pt>
                <c:pt idx="2101">
                  <c:v>41.281476082038502</c:v>
                </c:pt>
                <c:pt idx="2102">
                  <c:v>41.281476082038502</c:v>
                </c:pt>
                <c:pt idx="2103">
                  <c:v>41.281476082038502</c:v>
                </c:pt>
                <c:pt idx="2104">
                  <c:v>41.281476082038502</c:v>
                </c:pt>
                <c:pt idx="2105">
                  <c:v>41.281476082038502</c:v>
                </c:pt>
                <c:pt idx="2106">
                  <c:v>41.281476082038502</c:v>
                </c:pt>
                <c:pt idx="2107">
                  <c:v>41.281476082038502</c:v>
                </c:pt>
                <c:pt idx="2108">
                  <c:v>41.281476082038502</c:v>
                </c:pt>
                <c:pt idx="2109">
                  <c:v>41.281476082038502</c:v>
                </c:pt>
                <c:pt idx="2110">
                  <c:v>41.281476082038502</c:v>
                </c:pt>
                <c:pt idx="2111">
                  <c:v>41.281476082038502</c:v>
                </c:pt>
                <c:pt idx="2112">
                  <c:v>41.281476082038502</c:v>
                </c:pt>
                <c:pt idx="2113">
                  <c:v>41.281476082038502</c:v>
                </c:pt>
                <c:pt idx="2114">
                  <c:v>41.281476082038502</c:v>
                </c:pt>
                <c:pt idx="2115">
                  <c:v>41.281476082038502</c:v>
                </c:pt>
                <c:pt idx="2116">
                  <c:v>41.281476082038502</c:v>
                </c:pt>
                <c:pt idx="2117">
                  <c:v>41.281476082038502</c:v>
                </c:pt>
                <c:pt idx="2118">
                  <c:v>41.281476082038502</c:v>
                </c:pt>
                <c:pt idx="2119">
                  <c:v>41.281476082038502</c:v>
                </c:pt>
                <c:pt idx="2120">
                  <c:v>41.281476082038502</c:v>
                </c:pt>
                <c:pt idx="2121">
                  <c:v>41.281476082038502</c:v>
                </c:pt>
                <c:pt idx="2122">
                  <c:v>41.281476082038502</c:v>
                </c:pt>
                <c:pt idx="2123">
                  <c:v>41.281476082038502</c:v>
                </c:pt>
                <c:pt idx="2124">
                  <c:v>41.281476082038502</c:v>
                </c:pt>
                <c:pt idx="2125">
                  <c:v>41.281476082038502</c:v>
                </c:pt>
                <c:pt idx="2126">
                  <c:v>41.281476082038502</c:v>
                </c:pt>
                <c:pt idx="2127">
                  <c:v>41.281476082038502</c:v>
                </c:pt>
                <c:pt idx="2128">
                  <c:v>41.281476082038502</c:v>
                </c:pt>
                <c:pt idx="2129">
                  <c:v>41.281476082038502</c:v>
                </c:pt>
                <c:pt idx="2130">
                  <c:v>41.281476082038502</c:v>
                </c:pt>
                <c:pt idx="2131">
                  <c:v>41.281476082038502</c:v>
                </c:pt>
                <c:pt idx="2132">
                  <c:v>41.281476082038502</c:v>
                </c:pt>
                <c:pt idx="2133">
                  <c:v>41.281476082038502</c:v>
                </c:pt>
                <c:pt idx="2134">
                  <c:v>41.281476082038502</c:v>
                </c:pt>
                <c:pt idx="2135">
                  <c:v>41.281476082038502</c:v>
                </c:pt>
                <c:pt idx="2136">
                  <c:v>41.281476082038502</c:v>
                </c:pt>
                <c:pt idx="2137">
                  <c:v>41.281476082038502</c:v>
                </c:pt>
                <c:pt idx="2138">
                  <c:v>41.281476082038502</c:v>
                </c:pt>
                <c:pt idx="2139">
                  <c:v>41.281476082038502</c:v>
                </c:pt>
                <c:pt idx="2140">
                  <c:v>41.281476082038502</c:v>
                </c:pt>
                <c:pt idx="2141">
                  <c:v>41.281476082038502</c:v>
                </c:pt>
                <c:pt idx="2142">
                  <c:v>41.281476082038502</c:v>
                </c:pt>
                <c:pt idx="2143">
                  <c:v>41.281476082038502</c:v>
                </c:pt>
                <c:pt idx="2144">
                  <c:v>41.281476082038502</c:v>
                </c:pt>
                <c:pt idx="2145">
                  <c:v>41.281476082038502</c:v>
                </c:pt>
                <c:pt idx="2146">
                  <c:v>41.281476082038502</c:v>
                </c:pt>
                <c:pt idx="2147">
                  <c:v>41.281476082038502</c:v>
                </c:pt>
                <c:pt idx="2148">
                  <c:v>41.281476082038502</c:v>
                </c:pt>
                <c:pt idx="2149">
                  <c:v>41.281476082038502</c:v>
                </c:pt>
                <c:pt idx="2150">
                  <c:v>41.281476082038502</c:v>
                </c:pt>
                <c:pt idx="2151">
                  <c:v>41.281476082038502</c:v>
                </c:pt>
                <c:pt idx="2152">
                  <c:v>41.281476082038502</c:v>
                </c:pt>
                <c:pt idx="2153">
                  <c:v>41.281476082038502</c:v>
                </c:pt>
                <c:pt idx="2154">
                  <c:v>41.281476082038502</c:v>
                </c:pt>
                <c:pt idx="2155">
                  <c:v>41.281476082038502</c:v>
                </c:pt>
                <c:pt idx="2156">
                  <c:v>41.281476082038502</c:v>
                </c:pt>
                <c:pt idx="2157">
                  <c:v>41.281476082038502</c:v>
                </c:pt>
                <c:pt idx="2158">
                  <c:v>41.281476082038502</c:v>
                </c:pt>
                <c:pt idx="2159">
                  <c:v>41.281476082038502</c:v>
                </c:pt>
                <c:pt idx="2160">
                  <c:v>41.281476082038502</c:v>
                </c:pt>
                <c:pt idx="2161">
                  <c:v>41.281476082038502</c:v>
                </c:pt>
                <c:pt idx="2162">
                  <c:v>41.281476082038502</c:v>
                </c:pt>
                <c:pt idx="2163">
                  <c:v>41.281476082038502</c:v>
                </c:pt>
                <c:pt idx="2164">
                  <c:v>41.281476082038502</c:v>
                </c:pt>
                <c:pt idx="2165">
                  <c:v>41.281476082038502</c:v>
                </c:pt>
                <c:pt idx="2166">
                  <c:v>41.281476082038502</c:v>
                </c:pt>
                <c:pt idx="2167">
                  <c:v>41.281476082038502</c:v>
                </c:pt>
                <c:pt idx="2168">
                  <c:v>41.281476082038502</c:v>
                </c:pt>
                <c:pt idx="2169">
                  <c:v>41.281476082038502</c:v>
                </c:pt>
                <c:pt idx="2170">
                  <c:v>41.281476082038502</c:v>
                </c:pt>
                <c:pt idx="2171">
                  <c:v>41.281476082038502</c:v>
                </c:pt>
                <c:pt idx="2172">
                  <c:v>41.281476082038502</c:v>
                </c:pt>
                <c:pt idx="2173">
                  <c:v>41.281476082038502</c:v>
                </c:pt>
                <c:pt idx="2174">
                  <c:v>41.281476082038502</c:v>
                </c:pt>
                <c:pt idx="2175">
                  <c:v>41.281476082038502</c:v>
                </c:pt>
                <c:pt idx="2176">
                  <c:v>41.281476082038502</c:v>
                </c:pt>
                <c:pt idx="2177">
                  <c:v>41.281476082038502</c:v>
                </c:pt>
                <c:pt idx="2178">
                  <c:v>41.281476082038502</c:v>
                </c:pt>
                <c:pt idx="2179">
                  <c:v>41.281476082038502</c:v>
                </c:pt>
                <c:pt idx="2180">
                  <c:v>41.281476082038502</c:v>
                </c:pt>
                <c:pt idx="2181">
                  <c:v>41.281476082038502</c:v>
                </c:pt>
                <c:pt idx="2182">
                  <c:v>41.281476082038502</c:v>
                </c:pt>
                <c:pt idx="2183">
                  <c:v>41.281476082038502</c:v>
                </c:pt>
                <c:pt idx="2184">
                  <c:v>41.281476082038502</c:v>
                </c:pt>
                <c:pt idx="2185">
                  <c:v>41.281476082038502</c:v>
                </c:pt>
                <c:pt idx="2186">
                  <c:v>41.281476082038502</c:v>
                </c:pt>
                <c:pt idx="2187">
                  <c:v>41.281476082038502</c:v>
                </c:pt>
                <c:pt idx="2188">
                  <c:v>41.281476082038502</c:v>
                </c:pt>
                <c:pt idx="2189">
                  <c:v>41.281476082038502</c:v>
                </c:pt>
                <c:pt idx="2190">
                  <c:v>41.281476082038502</c:v>
                </c:pt>
                <c:pt idx="2191">
                  <c:v>41.281476082038502</c:v>
                </c:pt>
                <c:pt idx="2192">
                  <c:v>41.281476082038502</c:v>
                </c:pt>
                <c:pt idx="2193">
                  <c:v>41.281476082038502</c:v>
                </c:pt>
                <c:pt idx="2194">
                  <c:v>41.281476082038502</c:v>
                </c:pt>
                <c:pt idx="2195">
                  <c:v>41.281476082038502</c:v>
                </c:pt>
                <c:pt idx="2196">
                  <c:v>41.281476082038502</c:v>
                </c:pt>
                <c:pt idx="2197">
                  <c:v>41.281476082038502</c:v>
                </c:pt>
                <c:pt idx="2198">
                  <c:v>41.281476082038502</c:v>
                </c:pt>
                <c:pt idx="2199">
                  <c:v>41.281476082038502</c:v>
                </c:pt>
                <c:pt idx="2200">
                  <c:v>41.281476082038502</c:v>
                </c:pt>
                <c:pt idx="2201">
                  <c:v>41.281476082038502</c:v>
                </c:pt>
                <c:pt idx="2202">
                  <c:v>41.281476082038502</c:v>
                </c:pt>
                <c:pt idx="2203">
                  <c:v>41.281476082038502</c:v>
                </c:pt>
                <c:pt idx="2204">
                  <c:v>41.281476082038502</c:v>
                </c:pt>
                <c:pt idx="2205">
                  <c:v>41.281476082038502</c:v>
                </c:pt>
                <c:pt idx="2206">
                  <c:v>41.281476082038502</c:v>
                </c:pt>
                <c:pt idx="2207">
                  <c:v>41.281476082038502</c:v>
                </c:pt>
                <c:pt idx="2208">
                  <c:v>41.281476082038502</c:v>
                </c:pt>
                <c:pt idx="2209">
                  <c:v>41.281476082038502</c:v>
                </c:pt>
                <c:pt idx="2210">
                  <c:v>41.281476082038502</c:v>
                </c:pt>
                <c:pt idx="2211">
                  <c:v>41.281476082038502</c:v>
                </c:pt>
                <c:pt idx="2212">
                  <c:v>41.281476082038502</c:v>
                </c:pt>
                <c:pt idx="2213">
                  <c:v>41.281476082038502</c:v>
                </c:pt>
                <c:pt idx="2214">
                  <c:v>41.281476082038502</c:v>
                </c:pt>
                <c:pt idx="2215">
                  <c:v>41.281476082038502</c:v>
                </c:pt>
                <c:pt idx="2216">
                  <c:v>41.281476082038502</c:v>
                </c:pt>
                <c:pt idx="2217">
                  <c:v>41.281476082038502</c:v>
                </c:pt>
                <c:pt idx="2218">
                  <c:v>41.281476082038502</c:v>
                </c:pt>
                <c:pt idx="2219">
                  <c:v>41.281476082038502</c:v>
                </c:pt>
                <c:pt idx="2220">
                  <c:v>41.281476082038502</c:v>
                </c:pt>
                <c:pt idx="2221">
                  <c:v>41.281476082038502</c:v>
                </c:pt>
                <c:pt idx="2222">
                  <c:v>41.281476082038502</c:v>
                </c:pt>
                <c:pt idx="2223">
                  <c:v>41.281476082038502</c:v>
                </c:pt>
                <c:pt idx="2224">
                  <c:v>41.281476082038502</c:v>
                </c:pt>
                <c:pt idx="2225">
                  <c:v>41.281476082038502</c:v>
                </c:pt>
                <c:pt idx="2226">
                  <c:v>41.281476082038502</c:v>
                </c:pt>
                <c:pt idx="2227">
                  <c:v>41.281476082038502</c:v>
                </c:pt>
                <c:pt idx="2228">
                  <c:v>41.281476082038502</c:v>
                </c:pt>
                <c:pt idx="2229">
                  <c:v>41.408657631646733</c:v>
                </c:pt>
                <c:pt idx="2230">
                  <c:v>41.535449753168123</c:v>
                </c:pt>
                <c:pt idx="2231">
                  <c:v>41.66185600211508</c:v>
                </c:pt>
                <c:pt idx="2232">
                  <c:v>41.786714742893764</c:v>
                </c:pt>
                <c:pt idx="2233">
                  <c:v>41.911201515429951</c:v>
                </c:pt>
                <c:pt idx="2234">
                  <c:v>42.034175151356322</c:v>
                </c:pt>
                <c:pt idx="2235">
                  <c:v>42.156790068064062</c:v>
                </c:pt>
                <c:pt idx="2236">
                  <c:v>42.279049386554902</c:v>
                </c:pt>
                <c:pt idx="2237">
                  <c:v>42.39983493904122</c:v>
                </c:pt>
                <c:pt idx="2238">
                  <c:v>42.520277382504609</c:v>
                </c:pt>
                <c:pt idx="2239">
                  <c:v>42.639277646130893</c:v>
                </c:pt>
                <c:pt idx="2240">
                  <c:v>42.757946719674727</c:v>
                </c:pt>
                <c:pt idx="2241">
                  <c:v>42.876287353049214</c:v>
                </c:pt>
                <c:pt idx="2242">
                  <c:v>42.993805680583129</c:v>
                </c:pt>
                <c:pt idx="2243">
                  <c:v>43.111003660530059</c:v>
                </c:pt>
                <c:pt idx="2244">
                  <c:v>43.227883898436787</c:v>
                </c:pt>
                <c:pt idx="2245">
                  <c:v>43.343960232067928</c:v>
                </c:pt>
                <c:pt idx="2246">
                  <c:v>43.459726539193056</c:v>
                </c:pt>
                <c:pt idx="2247">
                  <c:v>43.575270605764068</c:v>
                </c:pt>
                <c:pt idx="2248">
                  <c:v>43.690509105178556</c:v>
                </c:pt>
                <c:pt idx="2249">
                  <c:v>43.800712314153422</c:v>
                </c:pt>
                <c:pt idx="2250">
                  <c:v>43.910638945303134</c:v>
                </c:pt>
                <c:pt idx="2251">
                  <c:v>44.020291070622349</c:v>
                </c:pt>
                <c:pt idx="2252">
                  <c:v>44.129667859515635</c:v>
                </c:pt>
                <c:pt idx="2253">
                  <c:v>44.238774223977103</c:v>
                </c:pt>
                <c:pt idx="2254">
                  <c:v>44.347612159944696</c:v>
                </c:pt>
                <c:pt idx="2255">
                  <c:v>44.456183638923939</c:v>
                </c:pt>
                <c:pt idx="2256">
                  <c:v>44.564483393244608</c:v>
                </c:pt>
                <c:pt idx="2257">
                  <c:v>44.67252059684813</c:v>
                </c:pt>
                <c:pt idx="2258">
                  <c:v>44.780297150028673</c:v>
                </c:pt>
                <c:pt idx="2259">
                  <c:v>44.887803500855128</c:v>
                </c:pt>
                <c:pt idx="2260">
                  <c:v>44.995052988277479</c:v>
                </c:pt>
                <c:pt idx="2261">
                  <c:v>45.102047444704922</c:v>
                </c:pt>
                <c:pt idx="2262">
                  <c:v>45.208773162719787</c:v>
                </c:pt>
                <c:pt idx="2263">
                  <c:v>45.315247522794046</c:v>
                </c:pt>
                <c:pt idx="2264">
                  <c:v>45.421472292583495</c:v>
                </c:pt>
                <c:pt idx="2265">
                  <c:v>45.527449219122396</c:v>
                </c:pt>
                <c:pt idx="2266">
                  <c:v>45.633160587617034</c:v>
                </c:pt>
                <c:pt idx="2267">
                  <c:v>45.738627636066227</c:v>
                </c:pt>
                <c:pt idx="2268">
                  <c:v>45.843852050697024</c:v>
                </c:pt>
                <c:pt idx="2269">
                  <c:v>45.948277250308173</c:v>
                </c:pt>
                <c:pt idx="2270">
                  <c:v>46.052465663590453</c:v>
                </c:pt>
                <c:pt idx="2271">
                  <c:v>46.156418894029983</c:v>
                </c:pt>
                <c:pt idx="2272">
                  <c:v>46.259588380526253</c:v>
                </c:pt>
                <c:pt idx="2273">
                  <c:v>46.36252828686407</c:v>
                </c:pt>
                <c:pt idx="2274">
                  <c:v>46.465240138891161</c:v>
                </c:pt>
                <c:pt idx="2275">
                  <c:v>46.567725445627829</c:v>
                </c:pt>
                <c:pt idx="2276">
                  <c:v>46.668925961246352</c:v>
                </c:pt>
                <c:pt idx="2277">
                  <c:v>46.769907500156698</c:v>
                </c:pt>
                <c:pt idx="2278">
                  <c:v>46.870671477696305</c:v>
                </c:pt>
                <c:pt idx="2279">
                  <c:v>46.971219294021459</c:v>
                </c:pt>
                <c:pt idx="2280">
                  <c:v>47.070513498993826</c:v>
                </c:pt>
                <c:pt idx="2281">
                  <c:v>47.169598685497277</c:v>
                </c:pt>
                <c:pt idx="2282">
                  <c:v>47.268476167978726</c:v>
                </c:pt>
                <c:pt idx="2283">
                  <c:v>47.366126383302024</c:v>
                </c:pt>
                <c:pt idx="2284">
                  <c:v>47.463575696265309</c:v>
                </c:pt>
                <c:pt idx="2285">
                  <c:v>47.560825341779697</c:v>
                </c:pt>
                <c:pt idx="2286">
                  <c:v>47.657876542156608</c:v>
                </c:pt>
                <c:pt idx="2287">
                  <c:v>47.753729036038976</c:v>
                </c:pt>
                <c:pt idx="2288">
                  <c:v>47.849389517395345</c:v>
                </c:pt>
                <c:pt idx="2289">
                  <c:v>47.944859135546686</c:v>
                </c:pt>
                <c:pt idx="2290">
                  <c:v>48.040139028393803</c:v>
                </c:pt>
                <c:pt idx="2291">
                  <c:v>48.134247509677088</c:v>
                </c:pt>
                <c:pt idx="2292">
                  <c:v>48.228172355774632</c:v>
                </c:pt>
                <c:pt idx="2293">
                  <c:v>48.321914637499148</c:v>
                </c:pt>
                <c:pt idx="2294">
                  <c:v>48.41450870327732</c:v>
                </c:pt>
                <c:pt idx="2295">
                  <c:v>48.506926018102575</c:v>
                </c:pt>
                <c:pt idx="2296">
                  <c:v>48.599167590316171</c:v>
                </c:pt>
                <c:pt idx="2297">
                  <c:v>48.691234418708241</c:v>
                </c:pt>
                <c:pt idx="2298">
                  <c:v>48.782178141968942</c:v>
                </c:pt>
                <c:pt idx="2299">
                  <c:v>48.872952635706248</c:v>
                </c:pt>
                <c:pt idx="2300">
                  <c:v>48.963558841133889</c:v>
                </c:pt>
                <c:pt idx="2301">
                  <c:v>49.053997690773123</c:v>
                </c:pt>
                <c:pt idx="2302">
                  <c:v>49.143337487553978</c:v>
                </c:pt>
                <c:pt idx="2303">
                  <c:v>49.232515164115689</c:v>
                </c:pt>
                <c:pt idx="2304">
                  <c:v>49.321531599841208</c:v>
                </c:pt>
                <c:pt idx="2305">
                  <c:v>49.410387666192101</c:v>
                </c:pt>
                <c:pt idx="2306">
                  <c:v>49.498628345278561</c:v>
                </c:pt>
                <c:pt idx="2307">
                  <c:v>49.586711998323104</c:v>
                </c:pt>
                <c:pt idx="2308">
                  <c:v>49.674639460646979</c:v>
                </c:pt>
                <c:pt idx="2309">
                  <c:v>49.762411560191609</c:v>
                </c:pt>
                <c:pt idx="2310">
                  <c:v>49.849579010826503</c:v>
                </c:pt>
                <c:pt idx="2311">
                  <c:v>49.936594305452758</c:v>
                </c:pt>
                <c:pt idx="2312">
                  <c:v>50.023458238091855</c:v>
                </c:pt>
                <c:pt idx="2313">
                  <c:v>50.110171595883237</c:v>
                </c:pt>
                <c:pt idx="2314">
                  <c:v>50.196738341975326</c:v>
                </c:pt>
                <c:pt idx="2315">
                  <c:v>50.283156056244202</c:v>
                </c:pt>
                <c:pt idx="2316">
                  <c:v>50.369425505761733</c:v>
                </c:pt>
                <c:pt idx="2317">
                  <c:v>50.455547451042023</c:v>
                </c:pt>
                <c:pt idx="2318">
                  <c:v>50.541522646119653</c:v>
                </c:pt>
                <c:pt idx="2319">
                  <c:v>50.625063920293371</c:v>
                </c:pt>
                <c:pt idx="2320">
                  <c:v>50.708467561930462</c:v>
                </c:pt>
                <c:pt idx="2321">
                  <c:v>50.791658937501936</c:v>
                </c:pt>
                <c:pt idx="2322">
                  <c:v>50.874714277012764</c:v>
                </c:pt>
                <c:pt idx="2323">
                  <c:v>50.957634245634402</c:v>
                </c:pt>
                <c:pt idx="2324">
                  <c:v>51.040419503135141</c:v>
                </c:pt>
                <c:pt idx="2325">
                  <c:v>51.12307070394133</c:v>
                </c:pt>
                <c:pt idx="2326">
                  <c:v>51.205509972160414</c:v>
                </c:pt>
                <c:pt idx="2327">
                  <c:v>51.287816728906051</c:v>
                </c:pt>
                <c:pt idx="2328">
                  <c:v>51.369991611121478</c:v>
                </c:pt>
                <c:pt idx="2329">
                  <c:v>51.45203525066357</c:v>
                </c:pt>
                <c:pt idx="2330">
                  <c:v>51.533428717825686</c:v>
                </c:pt>
                <c:pt idx="2331">
                  <c:v>51.614693832230721</c:v>
                </c:pt>
                <c:pt idx="2332">
                  <c:v>51.695831199184823</c:v>
                </c:pt>
                <c:pt idx="2333">
                  <c:v>51.776841419251383</c:v>
                </c:pt>
                <c:pt idx="2334">
                  <c:v>51.857725088302907</c:v>
                </c:pt>
                <c:pt idx="2335">
                  <c:v>51.937970351478192</c:v>
                </c:pt>
                <c:pt idx="2336">
                  <c:v>52.01809182513383</c:v>
                </c:pt>
                <c:pt idx="2337">
                  <c:v>52.098090080396247</c:v>
                </c:pt>
                <c:pt idx="2338">
                  <c:v>52.177965684013678</c:v>
                </c:pt>
                <c:pt idx="2339">
                  <c:v>52.257719198402988</c:v>
                </c:pt>
                <c:pt idx="2340">
                  <c:v>52.336421138018991</c:v>
                </c:pt>
                <c:pt idx="2341">
                  <c:v>52.415004905590024</c:v>
                </c:pt>
                <c:pt idx="2342">
                  <c:v>52.493471031833771</c:v>
                </c:pt>
                <c:pt idx="2343">
                  <c:v>52.571820043507302</c:v>
                </c:pt>
                <c:pt idx="2344">
                  <c:v>52.650052463448326</c:v>
                </c:pt>
                <c:pt idx="2345">
                  <c:v>52.728168810615884</c:v>
                </c:pt>
                <c:pt idx="2346">
                  <c:v>52.805257038466124</c:v>
                </c:pt>
                <c:pt idx="2347">
                  <c:v>52.882232892306526</c:v>
                </c:pt>
                <c:pt idx="2348">
                  <c:v>52.959096862142736</c:v>
                </c:pt>
                <c:pt idx="2349">
                  <c:v>53.035849434429608</c:v>
                </c:pt>
                <c:pt idx="2350">
                  <c:v>53.112491092107113</c:v>
                </c:pt>
                <c:pt idx="2351">
                  <c:v>53.188125235221641</c:v>
                </c:pt>
                <c:pt idx="2352">
                  <c:v>53.263651978305845</c:v>
                </c:pt>
                <c:pt idx="2353">
                  <c:v>53.33907177758671</c:v>
                </c:pt>
                <c:pt idx="2354">
                  <c:v>53.414385086070311</c:v>
                </c:pt>
                <c:pt idx="2355">
                  <c:v>53.489592353573542</c:v>
                </c:pt>
                <c:pt idx="2356">
                  <c:v>53.563811854213057</c:v>
                </c:pt>
                <c:pt idx="2357">
                  <c:v>53.637928656460971</c:v>
                </c:pt>
                <c:pt idx="2358">
                  <c:v>53.71194318545605</c:v>
                </c:pt>
                <c:pt idx="2359">
                  <c:v>53.785855863411903</c:v>
                </c:pt>
                <c:pt idx="2360">
                  <c:v>53.859667109645066</c:v>
                </c:pt>
                <c:pt idx="2361">
                  <c:v>53.933377340602775</c:v>
                </c:pt>
                <c:pt idx="2362">
                  <c:v>54.006120339729065</c:v>
                </c:pt>
                <c:pt idx="2363">
                  <c:v>54.078765490114044</c:v>
                </c:pt>
                <c:pt idx="2364">
                  <c:v>54.15131318555629</c:v>
                </c:pt>
                <c:pt idx="2365">
                  <c:v>54.223763817219982</c:v>
                </c:pt>
                <c:pt idx="2366">
                  <c:v>54.296117773659539</c:v>
                </c:pt>
                <c:pt idx="2367">
                  <c:v>54.367522614912659</c:v>
                </c:pt>
                <c:pt idx="2368">
                  <c:v>54.438833797896251</c:v>
                </c:pt>
                <c:pt idx="2369">
                  <c:v>54.510051690187403</c:v>
                </c:pt>
                <c:pt idx="2370">
                  <c:v>54.58117665696512</c:v>
                </c:pt>
                <c:pt idx="2371">
                  <c:v>54.652209061032167</c:v>
                </c:pt>
                <c:pt idx="2372">
                  <c:v>54.723149262836642</c:v>
                </c:pt>
                <c:pt idx="2373">
                  <c:v>54.793159189602349</c:v>
                </c:pt>
                <c:pt idx="2374">
                  <c:v>54.863079777857081</c:v>
                </c:pt>
                <c:pt idx="2375">
                  <c:v>54.932911368740662</c:v>
                </c:pt>
                <c:pt idx="2376">
                  <c:v>55.002654301227345</c:v>
                </c:pt>
                <c:pt idx="2377">
                  <c:v>55.072308912145033</c:v>
                </c:pt>
                <c:pt idx="2378">
                  <c:v>55.141875536194227</c:v>
                </c:pt>
                <c:pt idx="2379">
                  <c:v>55.210529921827352</c:v>
                </c:pt>
                <c:pt idx="2380">
                  <c:v>55.279099041580366</c:v>
                </c:pt>
                <c:pt idx="2381">
                  <c:v>55.347583212356341</c:v>
                </c:pt>
                <c:pt idx="2382">
                  <c:v>55.415982749100166</c:v>
                </c:pt>
                <c:pt idx="2383">
                  <c:v>55.484297964815461</c:v>
                </c:pt>
                <c:pt idx="2384">
                  <c:v>55.552093606127961</c:v>
                </c:pt>
                <c:pt idx="2385">
                  <c:v>55.619806610591347</c:v>
                </c:pt>
                <c:pt idx="2386">
                  <c:v>55.687437279651853</c:v>
                </c:pt>
                <c:pt idx="2387">
                  <c:v>55.754985912927431</c:v>
                </c:pt>
                <c:pt idx="2388">
                  <c:v>55.822452808223268</c:v>
                </c:pt>
                <c:pt idx="2389">
                  <c:v>55.889838261547077</c:v>
                </c:pt>
                <c:pt idx="2390">
                  <c:v>55.95671179666595</c:v>
                </c:pt>
                <c:pt idx="2391">
                  <c:v>56.023505506959992</c:v>
                </c:pt>
                <c:pt idx="2392">
                  <c:v>56.090219677601716</c:v>
                </c:pt>
                <c:pt idx="2393">
                  <c:v>56.156854592069713</c:v>
                </c:pt>
                <c:pt idx="2394">
                  <c:v>56.223410532162703</c:v>
                </c:pt>
                <c:pt idx="2395">
                  <c:v>56.289887778013437</c:v>
                </c:pt>
                <c:pt idx="2396">
                  <c:v>56.356226463064985</c:v>
                </c:pt>
                <c:pt idx="2397">
                  <c:v>56.422487150525235</c:v>
                </c:pt>
                <c:pt idx="2398">
                  <c:v>56.488670114865549</c:v>
                </c:pt>
                <c:pt idx="2399">
                  <c:v>56.554775628951298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6DE-4B06-B77F-0898F22F0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8441464"/>
        <c:axId val="478446384"/>
      </c:scatterChart>
      <c:valAx>
        <c:axId val="478441464"/>
        <c:scaling>
          <c:orientation val="minMax"/>
          <c:max val="2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446384"/>
        <c:crosses val="autoZero"/>
        <c:crossBetween val="midCat"/>
        <c:majorUnit val="200"/>
      </c:valAx>
      <c:valAx>
        <c:axId val="478446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4414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</a:t>
            </a:r>
            <a:r>
              <a:rPr lang="en-GB" baseline="0"/>
              <a:t> Suspension Travel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2D Data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'Track Data'!$M$4:$M$2403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'Track Data'!$I$4:$I$2403</c:f>
              <c:numCache>
                <c:formatCode>General</c:formatCode>
                <c:ptCount val="2400"/>
                <c:pt idx="0">
                  <c:v>4.5999999999999996</c:v>
                </c:pt>
                <c:pt idx="1">
                  <c:v>4.5</c:v>
                </c:pt>
                <c:pt idx="2">
                  <c:v>4.3</c:v>
                </c:pt>
                <c:pt idx="3">
                  <c:v>4.3</c:v>
                </c:pt>
                <c:pt idx="4">
                  <c:v>4.3</c:v>
                </c:pt>
                <c:pt idx="5">
                  <c:v>4.7</c:v>
                </c:pt>
                <c:pt idx="6">
                  <c:v>4.9000000000000004</c:v>
                </c:pt>
                <c:pt idx="7">
                  <c:v>4.9000000000000004</c:v>
                </c:pt>
                <c:pt idx="8">
                  <c:v>4.9000000000000004</c:v>
                </c:pt>
                <c:pt idx="9">
                  <c:v>4.8</c:v>
                </c:pt>
                <c:pt idx="10">
                  <c:v>4.8</c:v>
                </c:pt>
                <c:pt idx="11">
                  <c:v>4.3</c:v>
                </c:pt>
                <c:pt idx="12">
                  <c:v>4</c:v>
                </c:pt>
                <c:pt idx="13">
                  <c:v>3.4</c:v>
                </c:pt>
                <c:pt idx="14">
                  <c:v>3</c:v>
                </c:pt>
                <c:pt idx="15">
                  <c:v>2.8</c:v>
                </c:pt>
                <c:pt idx="16">
                  <c:v>2.7</c:v>
                </c:pt>
                <c:pt idx="17">
                  <c:v>2.7</c:v>
                </c:pt>
                <c:pt idx="18">
                  <c:v>3.3</c:v>
                </c:pt>
                <c:pt idx="19">
                  <c:v>3.8</c:v>
                </c:pt>
                <c:pt idx="20">
                  <c:v>5.7</c:v>
                </c:pt>
                <c:pt idx="21">
                  <c:v>8</c:v>
                </c:pt>
                <c:pt idx="22">
                  <c:v>10</c:v>
                </c:pt>
                <c:pt idx="23">
                  <c:v>10.199999999999999</c:v>
                </c:pt>
                <c:pt idx="24">
                  <c:v>9.1</c:v>
                </c:pt>
                <c:pt idx="25">
                  <c:v>7.5</c:v>
                </c:pt>
                <c:pt idx="26">
                  <c:v>7.5</c:v>
                </c:pt>
                <c:pt idx="27">
                  <c:v>6.9</c:v>
                </c:pt>
                <c:pt idx="28">
                  <c:v>6.2</c:v>
                </c:pt>
                <c:pt idx="29">
                  <c:v>5.4</c:v>
                </c:pt>
                <c:pt idx="30">
                  <c:v>4.8</c:v>
                </c:pt>
                <c:pt idx="31">
                  <c:v>4.2</c:v>
                </c:pt>
                <c:pt idx="32">
                  <c:v>4.2</c:v>
                </c:pt>
                <c:pt idx="33">
                  <c:v>4.4000000000000004</c:v>
                </c:pt>
                <c:pt idx="34">
                  <c:v>4.5</c:v>
                </c:pt>
                <c:pt idx="35">
                  <c:v>3.6</c:v>
                </c:pt>
                <c:pt idx="36">
                  <c:v>3.3</c:v>
                </c:pt>
                <c:pt idx="37">
                  <c:v>3.1</c:v>
                </c:pt>
                <c:pt idx="38">
                  <c:v>4.5</c:v>
                </c:pt>
                <c:pt idx="39">
                  <c:v>6.4</c:v>
                </c:pt>
                <c:pt idx="40">
                  <c:v>7</c:v>
                </c:pt>
                <c:pt idx="41">
                  <c:v>7</c:v>
                </c:pt>
                <c:pt idx="42">
                  <c:v>5.7</c:v>
                </c:pt>
                <c:pt idx="43">
                  <c:v>5</c:v>
                </c:pt>
                <c:pt idx="44">
                  <c:v>4.0999999999999996</c:v>
                </c:pt>
                <c:pt idx="45">
                  <c:v>3.5</c:v>
                </c:pt>
                <c:pt idx="46">
                  <c:v>2.9</c:v>
                </c:pt>
                <c:pt idx="47">
                  <c:v>2.8</c:v>
                </c:pt>
                <c:pt idx="48">
                  <c:v>2.8</c:v>
                </c:pt>
                <c:pt idx="49">
                  <c:v>3.3</c:v>
                </c:pt>
                <c:pt idx="50">
                  <c:v>3.6</c:v>
                </c:pt>
                <c:pt idx="51">
                  <c:v>3.6</c:v>
                </c:pt>
                <c:pt idx="52">
                  <c:v>2.7</c:v>
                </c:pt>
                <c:pt idx="53">
                  <c:v>2</c:v>
                </c:pt>
                <c:pt idx="54">
                  <c:v>1.3</c:v>
                </c:pt>
                <c:pt idx="55">
                  <c:v>2.5</c:v>
                </c:pt>
                <c:pt idx="56">
                  <c:v>4.5</c:v>
                </c:pt>
                <c:pt idx="57">
                  <c:v>8.8000000000000007</c:v>
                </c:pt>
                <c:pt idx="58">
                  <c:v>10.8</c:v>
                </c:pt>
                <c:pt idx="59">
                  <c:v>10.5</c:v>
                </c:pt>
                <c:pt idx="60">
                  <c:v>9.6</c:v>
                </c:pt>
                <c:pt idx="61">
                  <c:v>11.3</c:v>
                </c:pt>
                <c:pt idx="62">
                  <c:v>13</c:v>
                </c:pt>
                <c:pt idx="63">
                  <c:v>13.5</c:v>
                </c:pt>
                <c:pt idx="64">
                  <c:v>10.5</c:v>
                </c:pt>
                <c:pt idx="65">
                  <c:v>8.5</c:v>
                </c:pt>
                <c:pt idx="66">
                  <c:v>6.5</c:v>
                </c:pt>
                <c:pt idx="67">
                  <c:v>6.3</c:v>
                </c:pt>
                <c:pt idx="68">
                  <c:v>6.7</c:v>
                </c:pt>
                <c:pt idx="69">
                  <c:v>6.7</c:v>
                </c:pt>
                <c:pt idx="70">
                  <c:v>5.4</c:v>
                </c:pt>
                <c:pt idx="71">
                  <c:v>4.5999999999999996</c:v>
                </c:pt>
                <c:pt idx="72">
                  <c:v>3.6</c:v>
                </c:pt>
                <c:pt idx="73">
                  <c:v>3</c:v>
                </c:pt>
                <c:pt idx="74">
                  <c:v>3</c:v>
                </c:pt>
                <c:pt idx="75">
                  <c:v>2.9</c:v>
                </c:pt>
                <c:pt idx="76">
                  <c:v>3.3</c:v>
                </c:pt>
                <c:pt idx="77">
                  <c:v>3.4</c:v>
                </c:pt>
                <c:pt idx="78">
                  <c:v>3.7</c:v>
                </c:pt>
                <c:pt idx="79">
                  <c:v>3.6</c:v>
                </c:pt>
                <c:pt idx="80">
                  <c:v>3.6</c:v>
                </c:pt>
                <c:pt idx="81">
                  <c:v>3.4</c:v>
                </c:pt>
                <c:pt idx="82">
                  <c:v>3.4</c:v>
                </c:pt>
                <c:pt idx="83">
                  <c:v>3.4</c:v>
                </c:pt>
                <c:pt idx="84">
                  <c:v>3.7</c:v>
                </c:pt>
                <c:pt idx="85">
                  <c:v>3.9</c:v>
                </c:pt>
                <c:pt idx="86">
                  <c:v>4.2</c:v>
                </c:pt>
                <c:pt idx="87">
                  <c:v>4.8</c:v>
                </c:pt>
                <c:pt idx="88">
                  <c:v>5.8</c:v>
                </c:pt>
                <c:pt idx="89">
                  <c:v>6.1</c:v>
                </c:pt>
                <c:pt idx="90">
                  <c:v>6.1</c:v>
                </c:pt>
                <c:pt idx="91">
                  <c:v>6</c:v>
                </c:pt>
                <c:pt idx="92">
                  <c:v>6.2</c:v>
                </c:pt>
                <c:pt idx="93">
                  <c:v>7.8</c:v>
                </c:pt>
                <c:pt idx="94">
                  <c:v>9.6999999999999993</c:v>
                </c:pt>
                <c:pt idx="95">
                  <c:v>10.1</c:v>
                </c:pt>
                <c:pt idx="96">
                  <c:v>10.1</c:v>
                </c:pt>
                <c:pt idx="97">
                  <c:v>9.6</c:v>
                </c:pt>
                <c:pt idx="98">
                  <c:v>8.3000000000000007</c:v>
                </c:pt>
                <c:pt idx="99">
                  <c:v>6.8</c:v>
                </c:pt>
                <c:pt idx="100">
                  <c:v>6.1</c:v>
                </c:pt>
                <c:pt idx="101">
                  <c:v>4.0999999999999996</c:v>
                </c:pt>
                <c:pt idx="102">
                  <c:v>2.2000000000000002</c:v>
                </c:pt>
                <c:pt idx="103">
                  <c:v>1.5</c:v>
                </c:pt>
                <c:pt idx="104">
                  <c:v>0.9</c:v>
                </c:pt>
                <c:pt idx="105">
                  <c:v>1.2</c:v>
                </c:pt>
                <c:pt idx="106">
                  <c:v>1.8</c:v>
                </c:pt>
                <c:pt idx="107">
                  <c:v>2.5</c:v>
                </c:pt>
                <c:pt idx="108">
                  <c:v>4.2</c:v>
                </c:pt>
                <c:pt idx="109">
                  <c:v>5</c:v>
                </c:pt>
                <c:pt idx="110">
                  <c:v>5.8</c:v>
                </c:pt>
                <c:pt idx="111">
                  <c:v>5.7</c:v>
                </c:pt>
                <c:pt idx="112">
                  <c:v>5.0999999999999996</c:v>
                </c:pt>
                <c:pt idx="113">
                  <c:v>5.0999999999999996</c:v>
                </c:pt>
                <c:pt idx="114">
                  <c:v>5.4</c:v>
                </c:pt>
                <c:pt idx="115">
                  <c:v>5.9</c:v>
                </c:pt>
                <c:pt idx="116">
                  <c:v>5.2</c:v>
                </c:pt>
                <c:pt idx="117">
                  <c:v>4.8</c:v>
                </c:pt>
                <c:pt idx="118">
                  <c:v>4.4000000000000004</c:v>
                </c:pt>
                <c:pt idx="119">
                  <c:v>4.3</c:v>
                </c:pt>
                <c:pt idx="120">
                  <c:v>4.5999999999999996</c:v>
                </c:pt>
                <c:pt idx="121">
                  <c:v>4.8</c:v>
                </c:pt>
                <c:pt idx="122">
                  <c:v>4.8</c:v>
                </c:pt>
                <c:pt idx="123">
                  <c:v>4.8</c:v>
                </c:pt>
                <c:pt idx="124">
                  <c:v>4.3</c:v>
                </c:pt>
                <c:pt idx="125">
                  <c:v>3.2</c:v>
                </c:pt>
                <c:pt idx="126">
                  <c:v>2.1</c:v>
                </c:pt>
                <c:pt idx="127">
                  <c:v>2</c:v>
                </c:pt>
                <c:pt idx="128">
                  <c:v>1.5</c:v>
                </c:pt>
                <c:pt idx="129">
                  <c:v>1.3</c:v>
                </c:pt>
                <c:pt idx="130">
                  <c:v>0.4</c:v>
                </c:pt>
                <c:pt idx="131">
                  <c:v>0.2</c:v>
                </c:pt>
                <c:pt idx="132">
                  <c:v>-1.2</c:v>
                </c:pt>
                <c:pt idx="133">
                  <c:v>-1.9</c:v>
                </c:pt>
                <c:pt idx="134">
                  <c:v>-2</c:v>
                </c:pt>
                <c:pt idx="135">
                  <c:v>-1.5</c:v>
                </c:pt>
                <c:pt idx="136">
                  <c:v>-1.7</c:v>
                </c:pt>
                <c:pt idx="137">
                  <c:v>-2.9</c:v>
                </c:pt>
                <c:pt idx="138">
                  <c:v>-3.5</c:v>
                </c:pt>
                <c:pt idx="139">
                  <c:v>-3.2</c:v>
                </c:pt>
                <c:pt idx="140">
                  <c:v>-1.5</c:v>
                </c:pt>
                <c:pt idx="141">
                  <c:v>-1.3</c:v>
                </c:pt>
                <c:pt idx="142">
                  <c:v>-3.3</c:v>
                </c:pt>
                <c:pt idx="143">
                  <c:v>-3.7</c:v>
                </c:pt>
                <c:pt idx="144">
                  <c:v>-3.7</c:v>
                </c:pt>
                <c:pt idx="145">
                  <c:v>-3.4</c:v>
                </c:pt>
                <c:pt idx="146">
                  <c:v>-3.5</c:v>
                </c:pt>
                <c:pt idx="147">
                  <c:v>0.2</c:v>
                </c:pt>
                <c:pt idx="148">
                  <c:v>4.4000000000000004</c:v>
                </c:pt>
                <c:pt idx="149">
                  <c:v>4.5</c:v>
                </c:pt>
                <c:pt idx="150">
                  <c:v>2.9</c:v>
                </c:pt>
                <c:pt idx="151">
                  <c:v>0.6</c:v>
                </c:pt>
                <c:pt idx="152">
                  <c:v>-0.5</c:v>
                </c:pt>
                <c:pt idx="153">
                  <c:v>-1.4</c:v>
                </c:pt>
                <c:pt idx="154">
                  <c:v>-0.2</c:v>
                </c:pt>
                <c:pt idx="155">
                  <c:v>1.2</c:v>
                </c:pt>
                <c:pt idx="156">
                  <c:v>1.4</c:v>
                </c:pt>
                <c:pt idx="157">
                  <c:v>-0.3</c:v>
                </c:pt>
                <c:pt idx="158">
                  <c:v>-2.4</c:v>
                </c:pt>
                <c:pt idx="159">
                  <c:v>-3.7</c:v>
                </c:pt>
                <c:pt idx="160">
                  <c:v>-3.7</c:v>
                </c:pt>
                <c:pt idx="161">
                  <c:v>-3.7</c:v>
                </c:pt>
                <c:pt idx="162">
                  <c:v>-3.7</c:v>
                </c:pt>
                <c:pt idx="163">
                  <c:v>-3</c:v>
                </c:pt>
                <c:pt idx="164">
                  <c:v>-2.6</c:v>
                </c:pt>
                <c:pt idx="165">
                  <c:v>-2.6</c:v>
                </c:pt>
                <c:pt idx="166">
                  <c:v>-2.9</c:v>
                </c:pt>
                <c:pt idx="167">
                  <c:v>-3.3</c:v>
                </c:pt>
                <c:pt idx="168">
                  <c:v>-3.7</c:v>
                </c:pt>
                <c:pt idx="169">
                  <c:v>-3</c:v>
                </c:pt>
                <c:pt idx="170">
                  <c:v>-2.2999999999999998</c:v>
                </c:pt>
                <c:pt idx="171">
                  <c:v>-1.4</c:v>
                </c:pt>
                <c:pt idx="172">
                  <c:v>-1.4</c:v>
                </c:pt>
                <c:pt idx="173">
                  <c:v>-1.4</c:v>
                </c:pt>
                <c:pt idx="174">
                  <c:v>-1.4</c:v>
                </c:pt>
                <c:pt idx="175">
                  <c:v>-1.3</c:v>
                </c:pt>
                <c:pt idx="176">
                  <c:v>-2.4</c:v>
                </c:pt>
                <c:pt idx="177">
                  <c:v>-3.1</c:v>
                </c:pt>
                <c:pt idx="178">
                  <c:v>-3.7</c:v>
                </c:pt>
                <c:pt idx="179">
                  <c:v>-3.8</c:v>
                </c:pt>
                <c:pt idx="180">
                  <c:v>-3.8</c:v>
                </c:pt>
                <c:pt idx="181">
                  <c:v>-3.8</c:v>
                </c:pt>
                <c:pt idx="182">
                  <c:v>-3.8</c:v>
                </c:pt>
                <c:pt idx="183">
                  <c:v>-3.8</c:v>
                </c:pt>
                <c:pt idx="184">
                  <c:v>-3.8</c:v>
                </c:pt>
                <c:pt idx="185">
                  <c:v>-3.8</c:v>
                </c:pt>
                <c:pt idx="186">
                  <c:v>-3.8</c:v>
                </c:pt>
                <c:pt idx="187">
                  <c:v>-3.8</c:v>
                </c:pt>
                <c:pt idx="188">
                  <c:v>-3.5</c:v>
                </c:pt>
                <c:pt idx="189">
                  <c:v>-2.4</c:v>
                </c:pt>
                <c:pt idx="190">
                  <c:v>-1.7</c:v>
                </c:pt>
                <c:pt idx="191">
                  <c:v>-2.1</c:v>
                </c:pt>
                <c:pt idx="192">
                  <c:v>-2.4</c:v>
                </c:pt>
                <c:pt idx="193">
                  <c:v>-2.9</c:v>
                </c:pt>
                <c:pt idx="194">
                  <c:v>-3.7</c:v>
                </c:pt>
                <c:pt idx="195">
                  <c:v>-3.7</c:v>
                </c:pt>
                <c:pt idx="196">
                  <c:v>-3.7</c:v>
                </c:pt>
                <c:pt idx="197">
                  <c:v>-3.2</c:v>
                </c:pt>
                <c:pt idx="198">
                  <c:v>-2.8</c:v>
                </c:pt>
                <c:pt idx="199">
                  <c:v>-2.8</c:v>
                </c:pt>
                <c:pt idx="200">
                  <c:v>-2.9</c:v>
                </c:pt>
                <c:pt idx="201">
                  <c:v>-2.9</c:v>
                </c:pt>
                <c:pt idx="202">
                  <c:v>-2.8</c:v>
                </c:pt>
                <c:pt idx="203">
                  <c:v>-3.1</c:v>
                </c:pt>
                <c:pt idx="204">
                  <c:v>-3.7</c:v>
                </c:pt>
                <c:pt idx="205">
                  <c:v>-3.5</c:v>
                </c:pt>
                <c:pt idx="206">
                  <c:v>-1.8</c:v>
                </c:pt>
                <c:pt idx="207">
                  <c:v>-1.5</c:v>
                </c:pt>
                <c:pt idx="208">
                  <c:v>-2.2000000000000002</c:v>
                </c:pt>
                <c:pt idx="209">
                  <c:v>-3.2</c:v>
                </c:pt>
                <c:pt idx="210">
                  <c:v>-3.7</c:v>
                </c:pt>
                <c:pt idx="211">
                  <c:v>-3.7</c:v>
                </c:pt>
                <c:pt idx="212">
                  <c:v>-3.7</c:v>
                </c:pt>
                <c:pt idx="213">
                  <c:v>-3.7</c:v>
                </c:pt>
                <c:pt idx="214">
                  <c:v>-3.8</c:v>
                </c:pt>
                <c:pt idx="215">
                  <c:v>-3.8</c:v>
                </c:pt>
                <c:pt idx="216">
                  <c:v>-3.8</c:v>
                </c:pt>
                <c:pt idx="217">
                  <c:v>-3.8</c:v>
                </c:pt>
                <c:pt idx="218">
                  <c:v>-3.8</c:v>
                </c:pt>
                <c:pt idx="219">
                  <c:v>-3.8</c:v>
                </c:pt>
                <c:pt idx="220">
                  <c:v>-3.8</c:v>
                </c:pt>
                <c:pt idx="221">
                  <c:v>-3.8</c:v>
                </c:pt>
                <c:pt idx="222">
                  <c:v>-3.8</c:v>
                </c:pt>
                <c:pt idx="223">
                  <c:v>-3.5</c:v>
                </c:pt>
                <c:pt idx="224">
                  <c:v>-3.4</c:v>
                </c:pt>
                <c:pt idx="225">
                  <c:v>-3.4</c:v>
                </c:pt>
                <c:pt idx="226">
                  <c:v>-3.4</c:v>
                </c:pt>
                <c:pt idx="227">
                  <c:v>-3.7</c:v>
                </c:pt>
                <c:pt idx="228">
                  <c:v>-3.7</c:v>
                </c:pt>
                <c:pt idx="229">
                  <c:v>-3.7</c:v>
                </c:pt>
                <c:pt idx="230">
                  <c:v>-3.7</c:v>
                </c:pt>
                <c:pt idx="231">
                  <c:v>-3.7</c:v>
                </c:pt>
                <c:pt idx="232">
                  <c:v>-2.8</c:v>
                </c:pt>
                <c:pt idx="233">
                  <c:v>-3.5</c:v>
                </c:pt>
                <c:pt idx="234">
                  <c:v>-3.6</c:v>
                </c:pt>
                <c:pt idx="235">
                  <c:v>-3.2</c:v>
                </c:pt>
                <c:pt idx="236">
                  <c:v>-2.6</c:v>
                </c:pt>
                <c:pt idx="237">
                  <c:v>-2.6</c:v>
                </c:pt>
                <c:pt idx="238">
                  <c:v>-2</c:v>
                </c:pt>
                <c:pt idx="239">
                  <c:v>-1</c:v>
                </c:pt>
                <c:pt idx="240">
                  <c:v>-0.6</c:v>
                </c:pt>
                <c:pt idx="241">
                  <c:v>-1.1000000000000001</c:v>
                </c:pt>
                <c:pt idx="242">
                  <c:v>-3.6</c:v>
                </c:pt>
                <c:pt idx="243">
                  <c:v>-3.7</c:v>
                </c:pt>
                <c:pt idx="244">
                  <c:v>-3.8</c:v>
                </c:pt>
                <c:pt idx="245">
                  <c:v>-3.8</c:v>
                </c:pt>
                <c:pt idx="246">
                  <c:v>-3.8</c:v>
                </c:pt>
                <c:pt idx="247">
                  <c:v>-3.8</c:v>
                </c:pt>
                <c:pt idx="248">
                  <c:v>-3.8</c:v>
                </c:pt>
                <c:pt idx="249">
                  <c:v>-3.8</c:v>
                </c:pt>
                <c:pt idx="250">
                  <c:v>-3.8</c:v>
                </c:pt>
                <c:pt idx="251">
                  <c:v>-3.8</c:v>
                </c:pt>
                <c:pt idx="252">
                  <c:v>-3.2</c:v>
                </c:pt>
                <c:pt idx="253">
                  <c:v>-3.2</c:v>
                </c:pt>
                <c:pt idx="254">
                  <c:v>-3.4</c:v>
                </c:pt>
                <c:pt idx="255">
                  <c:v>-3.6</c:v>
                </c:pt>
                <c:pt idx="256">
                  <c:v>-3.7</c:v>
                </c:pt>
                <c:pt idx="257">
                  <c:v>-3.7</c:v>
                </c:pt>
                <c:pt idx="258">
                  <c:v>-3.7</c:v>
                </c:pt>
                <c:pt idx="259">
                  <c:v>-3.7</c:v>
                </c:pt>
                <c:pt idx="260">
                  <c:v>-3.7</c:v>
                </c:pt>
                <c:pt idx="261">
                  <c:v>-3.7</c:v>
                </c:pt>
                <c:pt idx="262">
                  <c:v>-3.7</c:v>
                </c:pt>
                <c:pt idx="263">
                  <c:v>-3.7</c:v>
                </c:pt>
                <c:pt idx="264">
                  <c:v>-3.7</c:v>
                </c:pt>
                <c:pt idx="265">
                  <c:v>-3.7</c:v>
                </c:pt>
                <c:pt idx="266">
                  <c:v>-2.8</c:v>
                </c:pt>
                <c:pt idx="267">
                  <c:v>-1.8</c:v>
                </c:pt>
                <c:pt idx="268">
                  <c:v>-1.8</c:v>
                </c:pt>
                <c:pt idx="269">
                  <c:v>-0.8</c:v>
                </c:pt>
                <c:pt idx="270">
                  <c:v>-2.2000000000000002</c:v>
                </c:pt>
                <c:pt idx="271">
                  <c:v>-2.2999999999999998</c:v>
                </c:pt>
                <c:pt idx="272">
                  <c:v>-3.5</c:v>
                </c:pt>
                <c:pt idx="273">
                  <c:v>-3.6</c:v>
                </c:pt>
                <c:pt idx="274">
                  <c:v>-3.7</c:v>
                </c:pt>
                <c:pt idx="275">
                  <c:v>-3.4</c:v>
                </c:pt>
                <c:pt idx="276">
                  <c:v>-2.7</c:v>
                </c:pt>
                <c:pt idx="277">
                  <c:v>-1.6</c:v>
                </c:pt>
                <c:pt idx="278">
                  <c:v>-1.1000000000000001</c:v>
                </c:pt>
                <c:pt idx="279">
                  <c:v>-0.2</c:v>
                </c:pt>
                <c:pt idx="280">
                  <c:v>-0.2</c:v>
                </c:pt>
                <c:pt idx="281">
                  <c:v>0</c:v>
                </c:pt>
                <c:pt idx="282">
                  <c:v>0.4</c:v>
                </c:pt>
                <c:pt idx="283">
                  <c:v>-0.9</c:v>
                </c:pt>
                <c:pt idx="284">
                  <c:v>-1.3</c:v>
                </c:pt>
                <c:pt idx="285">
                  <c:v>-2.2000000000000002</c:v>
                </c:pt>
                <c:pt idx="286">
                  <c:v>-2.9</c:v>
                </c:pt>
                <c:pt idx="287">
                  <c:v>-3.7</c:v>
                </c:pt>
                <c:pt idx="288">
                  <c:v>-3.7</c:v>
                </c:pt>
                <c:pt idx="289">
                  <c:v>-3.7</c:v>
                </c:pt>
                <c:pt idx="290">
                  <c:v>-3.7</c:v>
                </c:pt>
                <c:pt idx="291">
                  <c:v>-3.7</c:v>
                </c:pt>
                <c:pt idx="292">
                  <c:v>-3.8</c:v>
                </c:pt>
                <c:pt idx="293">
                  <c:v>-2.8</c:v>
                </c:pt>
                <c:pt idx="294">
                  <c:v>-2.7</c:v>
                </c:pt>
                <c:pt idx="295">
                  <c:v>-2.4</c:v>
                </c:pt>
                <c:pt idx="296">
                  <c:v>-2.5</c:v>
                </c:pt>
                <c:pt idx="297">
                  <c:v>-3.2</c:v>
                </c:pt>
                <c:pt idx="298">
                  <c:v>-3.6</c:v>
                </c:pt>
                <c:pt idx="299">
                  <c:v>-3.6</c:v>
                </c:pt>
                <c:pt idx="300">
                  <c:v>-3.6</c:v>
                </c:pt>
                <c:pt idx="301">
                  <c:v>-3.3</c:v>
                </c:pt>
                <c:pt idx="302">
                  <c:v>-3.6</c:v>
                </c:pt>
                <c:pt idx="303">
                  <c:v>-3.6</c:v>
                </c:pt>
                <c:pt idx="304">
                  <c:v>-3.6</c:v>
                </c:pt>
                <c:pt idx="305">
                  <c:v>-3.6</c:v>
                </c:pt>
                <c:pt idx="306">
                  <c:v>-2.6</c:v>
                </c:pt>
                <c:pt idx="307">
                  <c:v>-2</c:v>
                </c:pt>
                <c:pt idx="308">
                  <c:v>-2.5</c:v>
                </c:pt>
                <c:pt idx="309">
                  <c:v>-2.6</c:v>
                </c:pt>
                <c:pt idx="310">
                  <c:v>-1.7</c:v>
                </c:pt>
                <c:pt idx="311">
                  <c:v>1</c:v>
                </c:pt>
                <c:pt idx="312">
                  <c:v>2.4</c:v>
                </c:pt>
                <c:pt idx="313">
                  <c:v>4.8</c:v>
                </c:pt>
                <c:pt idx="314">
                  <c:v>5.0999999999999996</c:v>
                </c:pt>
                <c:pt idx="315">
                  <c:v>4.4000000000000004</c:v>
                </c:pt>
                <c:pt idx="316">
                  <c:v>3.5</c:v>
                </c:pt>
                <c:pt idx="317">
                  <c:v>5.3</c:v>
                </c:pt>
                <c:pt idx="318">
                  <c:v>7.3</c:v>
                </c:pt>
                <c:pt idx="319">
                  <c:v>8.6999999999999993</c:v>
                </c:pt>
                <c:pt idx="320">
                  <c:v>9.6</c:v>
                </c:pt>
                <c:pt idx="321">
                  <c:v>11.1</c:v>
                </c:pt>
                <c:pt idx="322">
                  <c:v>12.4</c:v>
                </c:pt>
                <c:pt idx="323">
                  <c:v>13.4</c:v>
                </c:pt>
                <c:pt idx="324">
                  <c:v>14.8</c:v>
                </c:pt>
                <c:pt idx="325">
                  <c:v>15.5</c:v>
                </c:pt>
                <c:pt idx="326">
                  <c:v>14.4</c:v>
                </c:pt>
                <c:pt idx="327">
                  <c:v>13.2</c:v>
                </c:pt>
                <c:pt idx="328">
                  <c:v>11.8</c:v>
                </c:pt>
                <c:pt idx="329">
                  <c:v>11</c:v>
                </c:pt>
                <c:pt idx="330">
                  <c:v>10.3</c:v>
                </c:pt>
                <c:pt idx="331">
                  <c:v>10.3</c:v>
                </c:pt>
                <c:pt idx="332">
                  <c:v>10.3</c:v>
                </c:pt>
                <c:pt idx="333">
                  <c:v>11.4</c:v>
                </c:pt>
                <c:pt idx="334">
                  <c:v>10</c:v>
                </c:pt>
                <c:pt idx="335">
                  <c:v>10</c:v>
                </c:pt>
                <c:pt idx="336">
                  <c:v>11</c:v>
                </c:pt>
                <c:pt idx="337">
                  <c:v>11.1</c:v>
                </c:pt>
                <c:pt idx="338">
                  <c:v>11.1</c:v>
                </c:pt>
                <c:pt idx="339">
                  <c:v>11.3</c:v>
                </c:pt>
                <c:pt idx="340">
                  <c:v>16.5</c:v>
                </c:pt>
                <c:pt idx="341">
                  <c:v>17.8</c:v>
                </c:pt>
                <c:pt idx="342">
                  <c:v>16.7</c:v>
                </c:pt>
                <c:pt idx="343">
                  <c:v>13.1</c:v>
                </c:pt>
                <c:pt idx="344">
                  <c:v>9.1</c:v>
                </c:pt>
                <c:pt idx="345">
                  <c:v>7</c:v>
                </c:pt>
                <c:pt idx="346">
                  <c:v>5.9</c:v>
                </c:pt>
                <c:pt idx="347">
                  <c:v>5.8</c:v>
                </c:pt>
                <c:pt idx="348">
                  <c:v>7.3</c:v>
                </c:pt>
                <c:pt idx="349">
                  <c:v>9.1</c:v>
                </c:pt>
                <c:pt idx="350">
                  <c:v>9.8000000000000007</c:v>
                </c:pt>
                <c:pt idx="351">
                  <c:v>8</c:v>
                </c:pt>
                <c:pt idx="352">
                  <c:v>5.0999999999999996</c:v>
                </c:pt>
                <c:pt idx="353">
                  <c:v>2.7</c:v>
                </c:pt>
                <c:pt idx="354">
                  <c:v>1.5</c:v>
                </c:pt>
                <c:pt idx="355">
                  <c:v>2.6</c:v>
                </c:pt>
                <c:pt idx="356">
                  <c:v>3</c:v>
                </c:pt>
                <c:pt idx="357">
                  <c:v>3.7</c:v>
                </c:pt>
                <c:pt idx="358">
                  <c:v>4.7</c:v>
                </c:pt>
                <c:pt idx="359">
                  <c:v>4.0999999999999996</c:v>
                </c:pt>
                <c:pt idx="360">
                  <c:v>3.3</c:v>
                </c:pt>
                <c:pt idx="361">
                  <c:v>4.3</c:v>
                </c:pt>
                <c:pt idx="362">
                  <c:v>0.4</c:v>
                </c:pt>
                <c:pt idx="363">
                  <c:v>-3.7</c:v>
                </c:pt>
                <c:pt idx="364">
                  <c:v>3.8</c:v>
                </c:pt>
                <c:pt idx="365">
                  <c:v>3</c:v>
                </c:pt>
                <c:pt idx="366">
                  <c:v>4.0999999999999996</c:v>
                </c:pt>
                <c:pt idx="367">
                  <c:v>11.3</c:v>
                </c:pt>
                <c:pt idx="368">
                  <c:v>12.6</c:v>
                </c:pt>
                <c:pt idx="369">
                  <c:v>12.2</c:v>
                </c:pt>
                <c:pt idx="370">
                  <c:v>10.6</c:v>
                </c:pt>
                <c:pt idx="371">
                  <c:v>6.9</c:v>
                </c:pt>
                <c:pt idx="372">
                  <c:v>4.0999999999999996</c:v>
                </c:pt>
                <c:pt idx="373">
                  <c:v>2.2000000000000002</c:v>
                </c:pt>
                <c:pt idx="374">
                  <c:v>2</c:v>
                </c:pt>
                <c:pt idx="375">
                  <c:v>2.5</c:v>
                </c:pt>
                <c:pt idx="376">
                  <c:v>3</c:v>
                </c:pt>
                <c:pt idx="377">
                  <c:v>2.6</c:v>
                </c:pt>
                <c:pt idx="378">
                  <c:v>2.5</c:v>
                </c:pt>
                <c:pt idx="379">
                  <c:v>3.1</c:v>
                </c:pt>
                <c:pt idx="380">
                  <c:v>3.6</c:v>
                </c:pt>
                <c:pt idx="381">
                  <c:v>4.3</c:v>
                </c:pt>
                <c:pt idx="382">
                  <c:v>5.9</c:v>
                </c:pt>
                <c:pt idx="383">
                  <c:v>6.3</c:v>
                </c:pt>
                <c:pt idx="384">
                  <c:v>6.3</c:v>
                </c:pt>
                <c:pt idx="385">
                  <c:v>5.2</c:v>
                </c:pt>
                <c:pt idx="386">
                  <c:v>3.6</c:v>
                </c:pt>
                <c:pt idx="387">
                  <c:v>2</c:v>
                </c:pt>
                <c:pt idx="388">
                  <c:v>1.5</c:v>
                </c:pt>
                <c:pt idx="389">
                  <c:v>1.5</c:v>
                </c:pt>
                <c:pt idx="390">
                  <c:v>2.2999999999999998</c:v>
                </c:pt>
                <c:pt idx="391">
                  <c:v>3.9</c:v>
                </c:pt>
                <c:pt idx="392">
                  <c:v>4.5</c:v>
                </c:pt>
                <c:pt idx="393">
                  <c:v>4.7</c:v>
                </c:pt>
                <c:pt idx="394">
                  <c:v>4.4000000000000004</c:v>
                </c:pt>
                <c:pt idx="395">
                  <c:v>4.3</c:v>
                </c:pt>
                <c:pt idx="396">
                  <c:v>4.3</c:v>
                </c:pt>
                <c:pt idx="397">
                  <c:v>4.5</c:v>
                </c:pt>
                <c:pt idx="398">
                  <c:v>4.7</c:v>
                </c:pt>
                <c:pt idx="399">
                  <c:v>5.8</c:v>
                </c:pt>
                <c:pt idx="400">
                  <c:v>7.7</c:v>
                </c:pt>
                <c:pt idx="401">
                  <c:v>7.5</c:v>
                </c:pt>
                <c:pt idx="402">
                  <c:v>7.5</c:v>
                </c:pt>
                <c:pt idx="403">
                  <c:v>7.4</c:v>
                </c:pt>
                <c:pt idx="404">
                  <c:v>6.3</c:v>
                </c:pt>
                <c:pt idx="405">
                  <c:v>6</c:v>
                </c:pt>
                <c:pt idx="406">
                  <c:v>6</c:v>
                </c:pt>
                <c:pt idx="407">
                  <c:v>6</c:v>
                </c:pt>
                <c:pt idx="408">
                  <c:v>6.2</c:v>
                </c:pt>
                <c:pt idx="409">
                  <c:v>6.9</c:v>
                </c:pt>
                <c:pt idx="410">
                  <c:v>8.3000000000000007</c:v>
                </c:pt>
                <c:pt idx="411">
                  <c:v>9.6999999999999993</c:v>
                </c:pt>
                <c:pt idx="412">
                  <c:v>10.9</c:v>
                </c:pt>
                <c:pt idx="413">
                  <c:v>11</c:v>
                </c:pt>
                <c:pt idx="414">
                  <c:v>11.5</c:v>
                </c:pt>
                <c:pt idx="415">
                  <c:v>11.6</c:v>
                </c:pt>
                <c:pt idx="416">
                  <c:v>10.8</c:v>
                </c:pt>
                <c:pt idx="417">
                  <c:v>10.3</c:v>
                </c:pt>
                <c:pt idx="418">
                  <c:v>9.5</c:v>
                </c:pt>
                <c:pt idx="419">
                  <c:v>9.3000000000000007</c:v>
                </c:pt>
                <c:pt idx="420">
                  <c:v>8.6999999999999993</c:v>
                </c:pt>
                <c:pt idx="421">
                  <c:v>8.1999999999999993</c:v>
                </c:pt>
                <c:pt idx="422">
                  <c:v>8.1999999999999993</c:v>
                </c:pt>
                <c:pt idx="423">
                  <c:v>8.1999999999999993</c:v>
                </c:pt>
                <c:pt idx="424">
                  <c:v>9.1</c:v>
                </c:pt>
                <c:pt idx="425">
                  <c:v>10.4</c:v>
                </c:pt>
                <c:pt idx="426">
                  <c:v>11.7</c:v>
                </c:pt>
                <c:pt idx="427">
                  <c:v>13.9</c:v>
                </c:pt>
                <c:pt idx="428">
                  <c:v>15.6</c:v>
                </c:pt>
                <c:pt idx="429">
                  <c:v>17.8</c:v>
                </c:pt>
                <c:pt idx="430">
                  <c:v>17.899999999999999</c:v>
                </c:pt>
                <c:pt idx="431">
                  <c:v>18</c:v>
                </c:pt>
                <c:pt idx="432">
                  <c:v>17.2</c:v>
                </c:pt>
                <c:pt idx="433">
                  <c:v>17.7</c:v>
                </c:pt>
                <c:pt idx="434">
                  <c:v>18.100000000000001</c:v>
                </c:pt>
                <c:pt idx="435">
                  <c:v>18.100000000000001</c:v>
                </c:pt>
                <c:pt idx="436">
                  <c:v>16.899999999999999</c:v>
                </c:pt>
                <c:pt idx="437">
                  <c:v>14.2</c:v>
                </c:pt>
                <c:pt idx="438">
                  <c:v>11.8</c:v>
                </c:pt>
                <c:pt idx="439">
                  <c:v>11.1</c:v>
                </c:pt>
                <c:pt idx="440">
                  <c:v>11.5</c:v>
                </c:pt>
                <c:pt idx="441">
                  <c:v>13</c:v>
                </c:pt>
                <c:pt idx="442">
                  <c:v>14.2</c:v>
                </c:pt>
                <c:pt idx="443">
                  <c:v>14.9</c:v>
                </c:pt>
                <c:pt idx="444">
                  <c:v>14.8</c:v>
                </c:pt>
                <c:pt idx="445">
                  <c:v>15.7</c:v>
                </c:pt>
                <c:pt idx="446">
                  <c:v>17.5</c:v>
                </c:pt>
                <c:pt idx="447">
                  <c:v>19.8</c:v>
                </c:pt>
                <c:pt idx="448">
                  <c:v>19.3</c:v>
                </c:pt>
                <c:pt idx="449">
                  <c:v>18.600000000000001</c:v>
                </c:pt>
                <c:pt idx="450">
                  <c:v>17.100000000000001</c:v>
                </c:pt>
                <c:pt idx="451">
                  <c:v>15.5</c:v>
                </c:pt>
                <c:pt idx="452">
                  <c:v>13.3</c:v>
                </c:pt>
                <c:pt idx="453">
                  <c:v>10.6</c:v>
                </c:pt>
                <c:pt idx="454">
                  <c:v>8.1</c:v>
                </c:pt>
                <c:pt idx="455">
                  <c:v>7.7</c:v>
                </c:pt>
                <c:pt idx="456">
                  <c:v>8.3000000000000007</c:v>
                </c:pt>
                <c:pt idx="457">
                  <c:v>9.1999999999999993</c:v>
                </c:pt>
                <c:pt idx="458">
                  <c:v>14.4</c:v>
                </c:pt>
                <c:pt idx="459">
                  <c:v>17.899999999999999</c:v>
                </c:pt>
                <c:pt idx="460">
                  <c:v>19.3</c:v>
                </c:pt>
                <c:pt idx="461">
                  <c:v>19.3</c:v>
                </c:pt>
                <c:pt idx="462">
                  <c:v>18.8</c:v>
                </c:pt>
                <c:pt idx="463">
                  <c:v>17.8</c:v>
                </c:pt>
                <c:pt idx="464">
                  <c:v>17.100000000000001</c:v>
                </c:pt>
                <c:pt idx="465">
                  <c:v>17.100000000000001</c:v>
                </c:pt>
                <c:pt idx="466">
                  <c:v>17.399999999999999</c:v>
                </c:pt>
                <c:pt idx="467">
                  <c:v>16.8</c:v>
                </c:pt>
                <c:pt idx="468">
                  <c:v>15.9</c:v>
                </c:pt>
                <c:pt idx="469">
                  <c:v>15.9</c:v>
                </c:pt>
                <c:pt idx="470">
                  <c:v>16.5</c:v>
                </c:pt>
                <c:pt idx="471">
                  <c:v>17.100000000000001</c:v>
                </c:pt>
                <c:pt idx="472">
                  <c:v>17.100000000000001</c:v>
                </c:pt>
                <c:pt idx="473">
                  <c:v>17.100000000000001</c:v>
                </c:pt>
                <c:pt idx="474">
                  <c:v>16.5</c:v>
                </c:pt>
                <c:pt idx="475">
                  <c:v>16.3</c:v>
                </c:pt>
                <c:pt idx="476">
                  <c:v>16.3</c:v>
                </c:pt>
                <c:pt idx="477">
                  <c:v>16.3</c:v>
                </c:pt>
                <c:pt idx="478">
                  <c:v>16.3</c:v>
                </c:pt>
                <c:pt idx="479">
                  <c:v>17.100000000000001</c:v>
                </c:pt>
                <c:pt idx="480">
                  <c:v>18.5</c:v>
                </c:pt>
                <c:pt idx="481">
                  <c:v>18.5</c:v>
                </c:pt>
                <c:pt idx="482">
                  <c:v>16.8</c:v>
                </c:pt>
                <c:pt idx="483">
                  <c:v>14.6</c:v>
                </c:pt>
                <c:pt idx="484">
                  <c:v>13.9</c:v>
                </c:pt>
                <c:pt idx="485">
                  <c:v>14.7</c:v>
                </c:pt>
                <c:pt idx="486">
                  <c:v>15.7</c:v>
                </c:pt>
                <c:pt idx="487">
                  <c:v>15.1</c:v>
                </c:pt>
                <c:pt idx="488">
                  <c:v>11.5</c:v>
                </c:pt>
                <c:pt idx="489">
                  <c:v>10.7</c:v>
                </c:pt>
                <c:pt idx="490">
                  <c:v>11.1</c:v>
                </c:pt>
                <c:pt idx="491">
                  <c:v>11.7</c:v>
                </c:pt>
                <c:pt idx="492">
                  <c:v>12.6</c:v>
                </c:pt>
                <c:pt idx="493">
                  <c:v>12.7</c:v>
                </c:pt>
                <c:pt idx="494">
                  <c:v>12.3</c:v>
                </c:pt>
                <c:pt idx="495">
                  <c:v>12</c:v>
                </c:pt>
                <c:pt idx="496">
                  <c:v>11.6</c:v>
                </c:pt>
                <c:pt idx="497">
                  <c:v>12</c:v>
                </c:pt>
                <c:pt idx="498">
                  <c:v>13.6</c:v>
                </c:pt>
                <c:pt idx="499">
                  <c:v>14.6</c:v>
                </c:pt>
                <c:pt idx="500">
                  <c:v>14.3</c:v>
                </c:pt>
                <c:pt idx="501">
                  <c:v>13.9</c:v>
                </c:pt>
                <c:pt idx="502">
                  <c:v>13.3</c:v>
                </c:pt>
                <c:pt idx="503">
                  <c:v>12.8</c:v>
                </c:pt>
                <c:pt idx="504">
                  <c:v>12.8</c:v>
                </c:pt>
                <c:pt idx="505">
                  <c:v>12.9</c:v>
                </c:pt>
                <c:pt idx="506">
                  <c:v>13.3</c:v>
                </c:pt>
                <c:pt idx="507">
                  <c:v>14.5</c:v>
                </c:pt>
                <c:pt idx="508">
                  <c:v>16.5</c:v>
                </c:pt>
                <c:pt idx="509">
                  <c:v>17.8</c:v>
                </c:pt>
                <c:pt idx="510">
                  <c:v>18.399999999999999</c:v>
                </c:pt>
                <c:pt idx="511">
                  <c:v>18</c:v>
                </c:pt>
                <c:pt idx="512">
                  <c:v>15.2</c:v>
                </c:pt>
                <c:pt idx="513">
                  <c:v>10.7</c:v>
                </c:pt>
                <c:pt idx="514">
                  <c:v>7.1</c:v>
                </c:pt>
                <c:pt idx="515">
                  <c:v>2.9</c:v>
                </c:pt>
                <c:pt idx="516">
                  <c:v>0.2</c:v>
                </c:pt>
                <c:pt idx="517">
                  <c:v>-0.9</c:v>
                </c:pt>
                <c:pt idx="518">
                  <c:v>-0.6</c:v>
                </c:pt>
                <c:pt idx="519">
                  <c:v>0.5</c:v>
                </c:pt>
                <c:pt idx="520">
                  <c:v>2.9</c:v>
                </c:pt>
                <c:pt idx="521">
                  <c:v>5.0999999999999996</c:v>
                </c:pt>
                <c:pt idx="522">
                  <c:v>7.8</c:v>
                </c:pt>
                <c:pt idx="523">
                  <c:v>7.5</c:v>
                </c:pt>
                <c:pt idx="524">
                  <c:v>4.5999999999999996</c:v>
                </c:pt>
                <c:pt idx="525">
                  <c:v>3</c:v>
                </c:pt>
                <c:pt idx="526">
                  <c:v>2.9</c:v>
                </c:pt>
                <c:pt idx="527">
                  <c:v>3.8</c:v>
                </c:pt>
                <c:pt idx="528">
                  <c:v>4.5</c:v>
                </c:pt>
                <c:pt idx="529">
                  <c:v>4.5</c:v>
                </c:pt>
                <c:pt idx="530">
                  <c:v>1.2</c:v>
                </c:pt>
                <c:pt idx="531">
                  <c:v>5</c:v>
                </c:pt>
                <c:pt idx="532">
                  <c:v>4.7</c:v>
                </c:pt>
                <c:pt idx="533">
                  <c:v>3</c:v>
                </c:pt>
                <c:pt idx="534">
                  <c:v>3.1</c:v>
                </c:pt>
                <c:pt idx="535">
                  <c:v>3.9</c:v>
                </c:pt>
                <c:pt idx="536">
                  <c:v>4.0999999999999996</c:v>
                </c:pt>
                <c:pt idx="537">
                  <c:v>4.0999999999999996</c:v>
                </c:pt>
                <c:pt idx="538">
                  <c:v>4.7</c:v>
                </c:pt>
                <c:pt idx="539">
                  <c:v>4.7</c:v>
                </c:pt>
                <c:pt idx="540">
                  <c:v>3.5</c:v>
                </c:pt>
                <c:pt idx="541">
                  <c:v>3.3</c:v>
                </c:pt>
                <c:pt idx="542">
                  <c:v>3.3</c:v>
                </c:pt>
                <c:pt idx="543">
                  <c:v>3.9</c:v>
                </c:pt>
                <c:pt idx="544">
                  <c:v>4.8</c:v>
                </c:pt>
                <c:pt idx="545">
                  <c:v>6.4</c:v>
                </c:pt>
                <c:pt idx="546">
                  <c:v>8.1</c:v>
                </c:pt>
                <c:pt idx="547">
                  <c:v>9.6999999999999993</c:v>
                </c:pt>
                <c:pt idx="548">
                  <c:v>11.8</c:v>
                </c:pt>
                <c:pt idx="549">
                  <c:v>11.7</c:v>
                </c:pt>
                <c:pt idx="550">
                  <c:v>13.8</c:v>
                </c:pt>
                <c:pt idx="551">
                  <c:v>15.6</c:v>
                </c:pt>
                <c:pt idx="552">
                  <c:v>19.600000000000001</c:v>
                </c:pt>
                <c:pt idx="553">
                  <c:v>20.5</c:v>
                </c:pt>
                <c:pt idx="554">
                  <c:v>19.3</c:v>
                </c:pt>
                <c:pt idx="555">
                  <c:v>17.899999999999999</c:v>
                </c:pt>
                <c:pt idx="556">
                  <c:v>16.2</c:v>
                </c:pt>
                <c:pt idx="557">
                  <c:v>15.4</c:v>
                </c:pt>
                <c:pt idx="558">
                  <c:v>14.1</c:v>
                </c:pt>
                <c:pt idx="559">
                  <c:v>13.2</c:v>
                </c:pt>
                <c:pt idx="560">
                  <c:v>13.1</c:v>
                </c:pt>
                <c:pt idx="561">
                  <c:v>12.9</c:v>
                </c:pt>
                <c:pt idx="562">
                  <c:v>13.8</c:v>
                </c:pt>
                <c:pt idx="563">
                  <c:v>14.1</c:v>
                </c:pt>
                <c:pt idx="564">
                  <c:v>14.1</c:v>
                </c:pt>
                <c:pt idx="565">
                  <c:v>13.3</c:v>
                </c:pt>
                <c:pt idx="566">
                  <c:v>10.7</c:v>
                </c:pt>
                <c:pt idx="567">
                  <c:v>9.4</c:v>
                </c:pt>
                <c:pt idx="568">
                  <c:v>9.3000000000000007</c:v>
                </c:pt>
                <c:pt idx="569">
                  <c:v>9.6</c:v>
                </c:pt>
                <c:pt idx="570">
                  <c:v>11.8</c:v>
                </c:pt>
                <c:pt idx="571">
                  <c:v>12.8</c:v>
                </c:pt>
                <c:pt idx="572">
                  <c:v>13.5</c:v>
                </c:pt>
                <c:pt idx="573">
                  <c:v>13.7</c:v>
                </c:pt>
                <c:pt idx="574">
                  <c:v>14.1</c:v>
                </c:pt>
                <c:pt idx="575">
                  <c:v>14.3</c:v>
                </c:pt>
                <c:pt idx="576">
                  <c:v>15</c:v>
                </c:pt>
                <c:pt idx="577">
                  <c:v>15.3</c:v>
                </c:pt>
                <c:pt idx="578">
                  <c:v>16.399999999999999</c:v>
                </c:pt>
                <c:pt idx="579">
                  <c:v>15.8</c:v>
                </c:pt>
                <c:pt idx="580">
                  <c:v>15.9</c:v>
                </c:pt>
                <c:pt idx="581">
                  <c:v>15.9</c:v>
                </c:pt>
                <c:pt idx="582">
                  <c:v>17.3</c:v>
                </c:pt>
                <c:pt idx="583">
                  <c:v>17.7</c:v>
                </c:pt>
                <c:pt idx="584">
                  <c:v>17.899999999999999</c:v>
                </c:pt>
                <c:pt idx="585">
                  <c:v>17.7</c:v>
                </c:pt>
                <c:pt idx="586">
                  <c:v>17.3</c:v>
                </c:pt>
                <c:pt idx="587">
                  <c:v>15.7</c:v>
                </c:pt>
                <c:pt idx="588">
                  <c:v>14.7</c:v>
                </c:pt>
                <c:pt idx="589">
                  <c:v>10</c:v>
                </c:pt>
                <c:pt idx="590">
                  <c:v>6.4</c:v>
                </c:pt>
                <c:pt idx="591">
                  <c:v>6.4</c:v>
                </c:pt>
                <c:pt idx="592">
                  <c:v>6</c:v>
                </c:pt>
                <c:pt idx="593">
                  <c:v>12.1</c:v>
                </c:pt>
                <c:pt idx="594">
                  <c:v>14.2</c:v>
                </c:pt>
                <c:pt idx="595">
                  <c:v>20.3</c:v>
                </c:pt>
                <c:pt idx="596">
                  <c:v>21.7</c:v>
                </c:pt>
                <c:pt idx="597">
                  <c:v>22</c:v>
                </c:pt>
                <c:pt idx="598">
                  <c:v>21.8</c:v>
                </c:pt>
                <c:pt idx="599">
                  <c:v>19</c:v>
                </c:pt>
                <c:pt idx="600">
                  <c:v>17.600000000000001</c:v>
                </c:pt>
                <c:pt idx="601">
                  <c:v>14.1</c:v>
                </c:pt>
                <c:pt idx="602">
                  <c:v>14.1</c:v>
                </c:pt>
                <c:pt idx="603">
                  <c:v>14.1</c:v>
                </c:pt>
                <c:pt idx="604">
                  <c:v>14.3</c:v>
                </c:pt>
                <c:pt idx="605">
                  <c:v>14.4</c:v>
                </c:pt>
                <c:pt idx="606">
                  <c:v>13.7</c:v>
                </c:pt>
                <c:pt idx="607">
                  <c:v>12.9</c:v>
                </c:pt>
                <c:pt idx="608">
                  <c:v>12.3</c:v>
                </c:pt>
                <c:pt idx="609">
                  <c:v>12.2</c:v>
                </c:pt>
                <c:pt idx="610">
                  <c:v>12.3</c:v>
                </c:pt>
                <c:pt idx="611">
                  <c:v>13.9</c:v>
                </c:pt>
                <c:pt idx="612">
                  <c:v>16.100000000000001</c:v>
                </c:pt>
                <c:pt idx="613">
                  <c:v>17</c:v>
                </c:pt>
                <c:pt idx="614">
                  <c:v>17.7</c:v>
                </c:pt>
                <c:pt idx="615">
                  <c:v>18.100000000000001</c:v>
                </c:pt>
                <c:pt idx="616">
                  <c:v>18.100000000000001</c:v>
                </c:pt>
                <c:pt idx="617">
                  <c:v>17.7</c:v>
                </c:pt>
                <c:pt idx="618">
                  <c:v>15.5</c:v>
                </c:pt>
                <c:pt idx="619">
                  <c:v>14.5</c:v>
                </c:pt>
                <c:pt idx="620">
                  <c:v>14.2</c:v>
                </c:pt>
                <c:pt idx="621">
                  <c:v>13.7</c:v>
                </c:pt>
                <c:pt idx="622">
                  <c:v>12.8</c:v>
                </c:pt>
                <c:pt idx="623">
                  <c:v>13</c:v>
                </c:pt>
                <c:pt idx="624">
                  <c:v>13.4</c:v>
                </c:pt>
                <c:pt idx="625">
                  <c:v>14.2</c:v>
                </c:pt>
                <c:pt idx="626">
                  <c:v>13.9</c:v>
                </c:pt>
                <c:pt idx="627">
                  <c:v>13.2</c:v>
                </c:pt>
                <c:pt idx="628">
                  <c:v>11.2</c:v>
                </c:pt>
                <c:pt idx="629">
                  <c:v>9.6</c:v>
                </c:pt>
                <c:pt idx="630">
                  <c:v>8.4</c:v>
                </c:pt>
                <c:pt idx="631">
                  <c:v>8.6999999999999993</c:v>
                </c:pt>
                <c:pt idx="632">
                  <c:v>10.5</c:v>
                </c:pt>
                <c:pt idx="633">
                  <c:v>11.7</c:v>
                </c:pt>
                <c:pt idx="634">
                  <c:v>11.8</c:v>
                </c:pt>
                <c:pt idx="635">
                  <c:v>12.4</c:v>
                </c:pt>
                <c:pt idx="636">
                  <c:v>12.9</c:v>
                </c:pt>
                <c:pt idx="637">
                  <c:v>14.2</c:v>
                </c:pt>
                <c:pt idx="638">
                  <c:v>15</c:v>
                </c:pt>
                <c:pt idx="639">
                  <c:v>15.5</c:v>
                </c:pt>
                <c:pt idx="640">
                  <c:v>15.5</c:v>
                </c:pt>
                <c:pt idx="641">
                  <c:v>15.5</c:v>
                </c:pt>
                <c:pt idx="642">
                  <c:v>16</c:v>
                </c:pt>
                <c:pt idx="643">
                  <c:v>16.899999999999999</c:v>
                </c:pt>
                <c:pt idx="644">
                  <c:v>16.3</c:v>
                </c:pt>
                <c:pt idx="645">
                  <c:v>16.100000000000001</c:v>
                </c:pt>
                <c:pt idx="646">
                  <c:v>16.2</c:v>
                </c:pt>
                <c:pt idx="647">
                  <c:v>14.9</c:v>
                </c:pt>
                <c:pt idx="648">
                  <c:v>13.7</c:v>
                </c:pt>
                <c:pt idx="649">
                  <c:v>12.9</c:v>
                </c:pt>
                <c:pt idx="650">
                  <c:v>13.5</c:v>
                </c:pt>
                <c:pt idx="651">
                  <c:v>14.3</c:v>
                </c:pt>
                <c:pt idx="652">
                  <c:v>14.9</c:v>
                </c:pt>
                <c:pt idx="653">
                  <c:v>14.6</c:v>
                </c:pt>
                <c:pt idx="654">
                  <c:v>14.1</c:v>
                </c:pt>
                <c:pt idx="655">
                  <c:v>13.5</c:v>
                </c:pt>
                <c:pt idx="656">
                  <c:v>12.8</c:v>
                </c:pt>
                <c:pt idx="657">
                  <c:v>11.3</c:v>
                </c:pt>
                <c:pt idx="658">
                  <c:v>10.9</c:v>
                </c:pt>
                <c:pt idx="659">
                  <c:v>10.3</c:v>
                </c:pt>
                <c:pt idx="660">
                  <c:v>11.1</c:v>
                </c:pt>
                <c:pt idx="661">
                  <c:v>12.3</c:v>
                </c:pt>
                <c:pt idx="662">
                  <c:v>12.5</c:v>
                </c:pt>
                <c:pt idx="663">
                  <c:v>12.2</c:v>
                </c:pt>
                <c:pt idx="664">
                  <c:v>13.4</c:v>
                </c:pt>
                <c:pt idx="665">
                  <c:v>14</c:v>
                </c:pt>
                <c:pt idx="666">
                  <c:v>14.3</c:v>
                </c:pt>
                <c:pt idx="667">
                  <c:v>14.3</c:v>
                </c:pt>
                <c:pt idx="668">
                  <c:v>13.7</c:v>
                </c:pt>
                <c:pt idx="669">
                  <c:v>14.6</c:v>
                </c:pt>
                <c:pt idx="670">
                  <c:v>16.5</c:v>
                </c:pt>
                <c:pt idx="671">
                  <c:v>17.3</c:v>
                </c:pt>
                <c:pt idx="672">
                  <c:v>16.100000000000001</c:v>
                </c:pt>
                <c:pt idx="673">
                  <c:v>14.3</c:v>
                </c:pt>
                <c:pt idx="674">
                  <c:v>13.6</c:v>
                </c:pt>
                <c:pt idx="675">
                  <c:v>13.1</c:v>
                </c:pt>
                <c:pt idx="676">
                  <c:v>12</c:v>
                </c:pt>
                <c:pt idx="677">
                  <c:v>10.6</c:v>
                </c:pt>
                <c:pt idx="678">
                  <c:v>9.6</c:v>
                </c:pt>
                <c:pt idx="679">
                  <c:v>8.5</c:v>
                </c:pt>
                <c:pt idx="680">
                  <c:v>8.4</c:v>
                </c:pt>
                <c:pt idx="681">
                  <c:v>9.5</c:v>
                </c:pt>
                <c:pt idx="682">
                  <c:v>10.3</c:v>
                </c:pt>
                <c:pt idx="683">
                  <c:v>11.8</c:v>
                </c:pt>
                <c:pt idx="684">
                  <c:v>14.7</c:v>
                </c:pt>
                <c:pt idx="685">
                  <c:v>15.4</c:v>
                </c:pt>
                <c:pt idx="686">
                  <c:v>15.4</c:v>
                </c:pt>
                <c:pt idx="687">
                  <c:v>15.1</c:v>
                </c:pt>
                <c:pt idx="688">
                  <c:v>14.3</c:v>
                </c:pt>
                <c:pt idx="689">
                  <c:v>13.7</c:v>
                </c:pt>
                <c:pt idx="690">
                  <c:v>13.3</c:v>
                </c:pt>
                <c:pt idx="691">
                  <c:v>13.2</c:v>
                </c:pt>
                <c:pt idx="692">
                  <c:v>13.1</c:v>
                </c:pt>
                <c:pt idx="693">
                  <c:v>12.5</c:v>
                </c:pt>
                <c:pt idx="694">
                  <c:v>11.7</c:v>
                </c:pt>
                <c:pt idx="695">
                  <c:v>11.5</c:v>
                </c:pt>
                <c:pt idx="696">
                  <c:v>11.1</c:v>
                </c:pt>
                <c:pt idx="697">
                  <c:v>9.6</c:v>
                </c:pt>
                <c:pt idx="698">
                  <c:v>8.3000000000000007</c:v>
                </c:pt>
                <c:pt idx="699">
                  <c:v>6.8</c:v>
                </c:pt>
                <c:pt idx="700">
                  <c:v>6.3</c:v>
                </c:pt>
                <c:pt idx="701">
                  <c:v>6.1</c:v>
                </c:pt>
                <c:pt idx="702">
                  <c:v>6.1</c:v>
                </c:pt>
                <c:pt idx="703">
                  <c:v>6.1</c:v>
                </c:pt>
                <c:pt idx="704">
                  <c:v>6.3</c:v>
                </c:pt>
                <c:pt idx="705">
                  <c:v>7.1</c:v>
                </c:pt>
                <c:pt idx="706">
                  <c:v>8</c:v>
                </c:pt>
                <c:pt idx="707">
                  <c:v>8.6</c:v>
                </c:pt>
                <c:pt idx="708">
                  <c:v>9.5</c:v>
                </c:pt>
                <c:pt idx="709">
                  <c:v>10.1</c:v>
                </c:pt>
                <c:pt idx="710">
                  <c:v>10.199999999999999</c:v>
                </c:pt>
                <c:pt idx="711">
                  <c:v>10.1</c:v>
                </c:pt>
                <c:pt idx="712">
                  <c:v>9.6999999999999993</c:v>
                </c:pt>
                <c:pt idx="713">
                  <c:v>9.1</c:v>
                </c:pt>
                <c:pt idx="714">
                  <c:v>8.4</c:v>
                </c:pt>
                <c:pt idx="715">
                  <c:v>11.5</c:v>
                </c:pt>
                <c:pt idx="716">
                  <c:v>17.100000000000001</c:v>
                </c:pt>
                <c:pt idx="717">
                  <c:v>17.899999999999999</c:v>
                </c:pt>
                <c:pt idx="718">
                  <c:v>18.600000000000001</c:v>
                </c:pt>
                <c:pt idx="719">
                  <c:v>19.8</c:v>
                </c:pt>
                <c:pt idx="720">
                  <c:v>20.100000000000001</c:v>
                </c:pt>
                <c:pt idx="721">
                  <c:v>19.100000000000001</c:v>
                </c:pt>
                <c:pt idx="722">
                  <c:v>17</c:v>
                </c:pt>
                <c:pt idx="723">
                  <c:v>15.3</c:v>
                </c:pt>
                <c:pt idx="724">
                  <c:v>13.8</c:v>
                </c:pt>
                <c:pt idx="725">
                  <c:v>12.2</c:v>
                </c:pt>
                <c:pt idx="726">
                  <c:v>11.8</c:v>
                </c:pt>
                <c:pt idx="727">
                  <c:v>11.6</c:v>
                </c:pt>
                <c:pt idx="728">
                  <c:v>10.3</c:v>
                </c:pt>
                <c:pt idx="729">
                  <c:v>7.2</c:v>
                </c:pt>
                <c:pt idx="730">
                  <c:v>7</c:v>
                </c:pt>
                <c:pt idx="731">
                  <c:v>7.6</c:v>
                </c:pt>
                <c:pt idx="732">
                  <c:v>9.8000000000000007</c:v>
                </c:pt>
                <c:pt idx="733">
                  <c:v>11.5</c:v>
                </c:pt>
                <c:pt idx="734">
                  <c:v>13.9</c:v>
                </c:pt>
                <c:pt idx="735">
                  <c:v>15.4</c:v>
                </c:pt>
                <c:pt idx="736">
                  <c:v>16.3</c:v>
                </c:pt>
                <c:pt idx="737">
                  <c:v>16.2</c:v>
                </c:pt>
                <c:pt idx="738">
                  <c:v>14.9</c:v>
                </c:pt>
                <c:pt idx="739">
                  <c:v>12.3</c:v>
                </c:pt>
                <c:pt idx="740">
                  <c:v>9</c:v>
                </c:pt>
                <c:pt idx="741">
                  <c:v>7.9</c:v>
                </c:pt>
                <c:pt idx="742">
                  <c:v>7.5</c:v>
                </c:pt>
                <c:pt idx="743">
                  <c:v>8.1</c:v>
                </c:pt>
                <c:pt idx="744">
                  <c:v>10.199999999999999</c:v>
                </c:pt>
                <c:pt idx="745">
                  <c:v>11.2</c:v>
                </c:pt>
                <c:pt idx="746">
                  <c:v>10.7</c:v>
                </c:pt>
                <c:pt idx="747">
                  <c:v>10</c:v>
                </c:pt>
                <c:pt idx="748">
                  <c:v>7.5</c:v>
                </c:pt>
                <c:pt idx="749">
                  <c:v>7</c:v>
                </c:pt>
                <c:pt idx="750">
                  <c:v>6.9</c:v>
                </c:pt>
                <c:pt idx="751">
                  <c:v>8</c:v>
                </c:pt>
                <c:pt idx="752">
                  <c:v>8</c:v>
                </c:pt>
                <c:pt idx="753">
                  <c:v>7.9</c:v>
                </c:pt>
                <c:pt idx="754">
                  <c:v>7.7</c:v>
                </c:pt>
                <c:pt idx="755">
                  <c:v>8.1999999999999993</c:v>
                </c:pt>
                <c:pt idx="756">
                  <c:v>8.1999999999999993</c:v>
                </c:pt>
                <c:pt idx="757">
                  <c:v>8.9</c:v>
                </c:pt>
                <c:pt idx="758">
                  <c:v>10.1</c:v>
                </c:pt>
                <c:pt idx="759">
                  <c:v>11.1</c:v>
                </c:pt>
                <c:pt idx="760">
                  <c:v>11.1</c:v>
                </c:pt>
                <c:pt idx="761">
                  <c:v>11.5</c:v>
                </c:pt>
                <c:pt idx="762">
                  <c:v>11.6</c:v>
                </c:pt>
                <c:pt idx="763">
                  <c:v>10.7</c:v>
                </c:pt>
                <c:pt idx="764">
                  <c:v>10.4</c:v>
                </c:pt>
                <c:pt idx="765">
                  <c:v>8.8000000000000007</c:v>
                </c:pt>
                <c:pt idx="766">
                  <c:v>7.8</c:v>
                </c:pt>
                <c:pt idx="767">
                  <c:v>7.3</c:v>
                </c:pt>
                <c:pt idx="768">
                  <c:v>6.8</c:v>
                </c:pt>
                <c:pt idx="769">
                  <c:v>6.6</c:v>
                </c:pt>
                <c:pt idx="770">
                  <c:v>6.4</c:v>
                </c:pt>
                <c:pt idx="771">
                  <c:v>6.4</c:v>
                </c:pt>
                <c:pt idx="772">
                  <c:v>6.3</c:v>
                </c:pt>
                <c:pt idx="773">
                  <c:v>6.1</c:v>
                </c:pt>
                <c:pt idx="774">
                  <c:v>4.5999999999999996</c:v>
                </c:pt>
                <c:pt idx="775">
                  <c:v>4.5</c:v>
                </c:pt>
                <c:pt idx="776">
                  <c:v>5.6</c:v>
                </c:pt>
                <c:pt idx="777">
                  <c:v>5.9</c:v>
                </c:pt>
                <c:pt idx="778">
                  <c:v>6.7</c:v>
                </c:pt>
                <c:pt idx="779">
                  <c:v>6.6</c:v>
                </c:pt>
                <c:pt idx="780">
                  <c:v>6.8</c:v>
                </c:pt>
                <c:pt idx="781">
                  <c:v>7.7</c:v>
                </c:pt>
                <c:pt idx="782">
                  <c:v>7.3</c:v>
                </c:pt>
                <c:pt idx="783">
                  <c:v>5.8</c:v>
                </c:pt>
                <c:pt idx="784">
                  <c:v>3.3</c:v>
                </c:pt>
                <c:pt idx="785">
                  <c:v>2.9</c:v>
                </c:pt>
                <c:pt idx="786">
                  <c:v>2.5</c:v>
                </c:pt>
                <c:pt idx="787">
                  <c:v>2.2999999999999998</c:v>
                </c:pt>
                <c:pt idx="788">
                  <c:v>2.2999999999999998</c:v>
                </c:pt>
                <c:pt idx="789">
                  <c:v>2.5</c:v>
                </c:pt>
                <c:pt idx="790">
                  <c:v>2.6</c:v>
                </c:pt>
                <c:pt idx="791">
                  <c:v>2.6</c:v>
                </c:pt>
                <c:pt idx="792">
                  <c:v>2.7</c:v>
                </c:pt>
                <c:pt idx="793">
                  <c:v>4.0999999999999996</c:v>
                </c:pt>
                <c:pt idx="794">
                  <c:v>4.2</c:v>
                </c:pt>
                <c:pt idx="795">
                  <c:v>4.5</c:v>
                </c:pt>
                <c:pt idx="796">
                  <c:v>5.0999999999999996</c:v>
                </c:pt>
                <c:pt idx="797">
                  <c:v>5.0999999999999996</c:v>
                </c:pt>
                <c:pt idx="798">
                  <c:v>5.0999999999999996</c:v>
                </c:pt>
                <c:pt idx="799">
                  <c:v>5.2</c:v>
                </c:pt>
                <c:pt idx="800">
                  <c:v>5.4</c:v>
                </c:pt>
                <c:pt idx="801">
                  <c:v>5.5</c:v>
                </c:pt>
                <c:pt idx="802">
                  <c:v>5.7</c:v>
                </c:pt>
                <c:pt idx="803">
                  <c:v>5.3</c:v>
                </c:pt>
                <c:pt idx="804">
                  <c:v>5.4</c:v>
                </c:pt>
                <c:pt idx="805">
                  <c:v>5.6</c:v>
                </c:pt>
                <c:pt idx="806">
                  <c:v>4.8</c:v>
                </c:pt>
                <c:pt idx="807">
                  <c:v>4.7</c:v>
                </c:pt>
                <c:pt idx="808">
                  <c:v>5.5</c:v>
                </c:pt>
                <c:pt idx="809">
                  <c:v>5.8</c:v>
                </c:pt>
                <c:pt idx="810">
                  <c:v>10.1</c:v>
                </c:pt>
                <c:pt idx="811">
                  <c:v>8.6999999999999993</c:v>
                </c:pt>
                <c:pt idx="812">
                  <c:v>9.1</c:v>
                </c:pt>
                <c:pt idx="813">
                  <c:v>7.3</c:v>
                </c:pt>
                <c:pt idx="814">
                  <c:v>6.8</c:v>
                </c:pt>
                <c:pt idx="815">
                  <c:v>6.4</c:v>
                </c:pt>
                <c:pt idx="816">
                  <c:v>7.3</c:v>
                </c:pt>
                <c:pt idx="817">
                  <c:v>9.6</c:v>
                </c:pt>
                <c:pt idx="818">
                  <c:v>10.1</c:v>
                </c:pt>
                <c:pt idx="819">
                  <c:v>11.1</c:v>
                </c:pt>
                <c:pt idx="820">
                  <c:v>10.1</c:v>
                </c:pt>
                <c:pt idx="821">
                  <c:v>9.1</c:v>
                </c:pt>
                <c:pt idx="822">
                  <c:v>9.1</c:v>
                </c:pt>
                <c:pt idx="823">
                  <c:v>8.6999999999999993</c:v>
                </c:pt>
                <c:pt idx="824">
                  <c:v>9</c:v>
                </c:pt>
                <c:pt idx="825">
                  <c:v>9</c:v>
                </c:pt>
                <c:pt idx="826">
                  <c:v>10.1</c:v>
                </c:pt>
                <c:pt idx="827">
                  <c:v>10.7</c:v>
                </c:pt>
                <c:pt idx="828">
                  <c:v>11.6</c:v>
                </c:pt>
                <c:pt idx="829">
                  <c:v>13.7</c:v>
                </c:pt>
                <c:pt idx="830">
                  <c:v>14</c:v>
                </c:pt>
                <c:pt idx="831">
                  <c:v>15.9</c:v>
                </c:pt>
                <c:pt idx="832">
                  <c:v>15.7</c:v>
                </c:pt>
                <c:pt idx="833">
                  <c:v>14</c:v>
                </c:pt>
                <c:pt idx="834">
                  <c:v>13.3</c:v>
                </c:pt>
                <c:pt idx="835">
                  <c:v>13.1</c:v>
                </c:pt>
                <c:pt idx="836">
                  <c:v>12.1</c:v>
                </c:pt>
                <c:pt idx="837">
                  <c:v>12.9</c:v>
                </c:pt>
                <c:pt idx="838">
                  <c:v>12.8</c:v>
                </c:pt>
                <c:pt idx="839">
                  <c:v>13.9</c:v>
                </c:pt>
                <c:pt idx="840">
                  <c:v>14.3</c:v>
                </c:pt>
                <c:pt idx="841">
                  <c:v>15.2</c:v>
                </c:pt>
                <c:pt idx="842">
                  <c:v>16.2</c:v>
                </c:pt>
                <c:pt idx="843">
                  <c:v>15.2</c:v>
                </c:pt>
                <c:pt idx="844">
                  <c:v>12.2</c:v>
                </c:pt>
                <c:pt idx="845">
                  <c:v>9.8000000000000007</c:v>
                </c:pt>
                <c:pt idx="846">
                  <c:v>9.8000000000000007</c:v>
                </c:pt>
                <c:pt idx="847">
                  <c:v>9.5</c:v>
                </c:pt>
                <c:pt idx="848">
                  <c:v>11.4</c:v>
                </c:pt>
                <c:pt idx="849">
                  <c:v>13.6</c:v>
                </c:pt>
                <c:pt idx="850">
                  <c:v>17</c:v>
                </c:pt>
                <c:pt idx="851">
                  <c:v>19.399999999999999</c:v>
                </c:pt>
                <c:pt idx="852">
                  <c:v>19.600000000000001</c:v>
                </c:pt>
                <c:pt idx="853">
                  <c:v>18.899999999999999</c:v>
                </c:pt>
                <c:pt idx="854">
                  <c:v>14.6</c:v>
                </c:pt>
                <c:pt idx="855">
                  <c:v>11.7</c:v>
                </c:pt>
                <c:pt idx="856">
                  <c:v>9.8000000000000007</c:v>
                </c:pt>
                <c:pt idx="857">
                  <c:v>7.8</c:v>
                </c:pt>
                <c:pt idx="858">
                  <c:v>9.6999999999999993</c:v>
                </c:pt>
                <c:pt idx="859">
                  <c:v>11.4</c:v>
                </c:pt>
                <c:pt idx="860">
                  <c:v>14</c:v>
                </c:pt>
                <c:pt idx="861">
                  <c:v>15.7</c:v>
                </c:pt>
                <c:pt idx="862">
                  <c:v>16.8</c:v>
                </c:pt>
                <c:pt idx="863">
                  <c:v>17</c:v>
                </c:pt>
                <c:pt idx="864">
                  <c:v>16.899999999999999</c:v>
                </c:pt>
                <c:pt idx="865">
                  <c:v>16.600000000000001</c:v>
                </c:pt>
                <c:pt idx="866">
                  <c:v>15.2</c:v>
                </c:pt>
                <c:pt idx="867">
                  <c:v>13.4</c:v>
                </c:pt>
                <c:pt idx="868">
                  <c:v>12.7</c:v>
                </c:pt>
                <c:pt idx="869">
                  <c:v>12.7</c:v>
                </c:pt>
                <c:pt idx="870">
                  <c:v>12.8</c:v>
                </c:pt>
                <c:pt idx="871">
                  <c:v>13.9</c:v>
                </c:pt>
                <c:pt idx="872">
                  <c:v>14.8</c:v>
                </c:pt>
                <c:pt idx="873">
                  <c:v>15</c:v>
                </c:pt>
                <c:pt idx="874">
                  <c:v>15.1</c:v>
                </c:pt>
                <c:pt idx="875">
                  <c:v>13.6</c:v>
                </c:pt>
                <c:pt idx="876">
                  <c:v>13.1</c:v>
                </c:pt>
                <c:pt idx="877">
                  <c:v>12.8</c:v>
                </c:pt>
                <c:pt idx="878">
                  <c:v>10.9</c:v>
                </c:pt>
                <c:pt idx="879">
                  <c:v>8.5</c:v>
                </c:pt>
                <c:pt idx="880">
                  <c:v>7.4</c:v>
                </c:pt>
                <c:pt idx="881">
                  <c:v>7.9</c:v>
                </c:pt>
                <c:pt idx="882">
                  <c:v>8.6999999999999993</c:v>
                </c:pt>
                <c:pt idx="883">
                  <c:v>12.5</c:v>
                </c:pt>
                <c:pt idx="884">
                  <c:v>14.4</c:v>
                </c:pt>
                <c:pt idx="885">
                  <c:v>18.899999999999999</c:v>
                </c:pt>
                <c:pt idx="886">
                  <c:v>19.899999999999999</c:v>
                </c:pt>
                <c:pt idx="887">
                  <c:v>20.5</c:v>
                </c:pt>
                <c:pt idx="888">
                  <c:v>21.2</c:v>
                </c:pt>
                <c:pt idx="889">
                  <c:v>21.3</c:v>
                </c:pt>
                <c:pt idx="890">
                  <c:v>20.2</c:v>
                </c:pt>
                <c:pt idx="891">
                  <c:v>19.100000000000001</c:v>
                </c:pt>
                <c:pt idx="892">
                  <c:v>17.600000000000001</c:v>
                </c:pt>
                <c:pt idx="893">
                  <c:v>16</c:v>
                </c:pt>
                <c:pt idx="894">
                  <c:v>15.3</c:v>
                </c:pt>
                <c:pt idx="895">
                  <c:v>14.8</c:v>
                </c:pt>
                <c:pt idx="896">
                  <c:v>14.7</c:v>
                </c:pt>
                <c:pt idx="897">
                  <c:v>15.3</c:v>
                </c:pt>
                <c:pt idx="898">
                  <c:v>16.3</c:v>
                </c:pt>
                <c:pt idx="899">
                  <c:v>16.3</c:v>
                </c:pt>
                <c:pt idx="900">
                  <c:v>16</c:v>
                </c:pt>
                <c:pt idx="901">
                  <c:v>15.4</c:v>
                </c:pt>
                <c:pt idx="902">
                  <c:v>16.100000000000001</c:v>
                </c:pt>
                <c:pt idx="903">
                  <c:v>17.100000000000001</c:v>
                </c:pt>
                <c:pt idx="904">
                  <c:v>15.6</c:v>
                </c:pt>
                <c:pt idx="905">
                  <c:v>13.4</c:v>
                </c:pt>
                <c:pt idx="906">
                  <c:v>11.6</c:v>
                </c:pt>
                <c:pt idx="907">
                  <c:v>10.1</c:v>
                </c:pt>
                <c:pt idx="908">
                  <c:v>10</c:v>
                </c:pt>
                <c:pt idx="909">
                  <c:v>9.6999999999999993</c:v>
                </c:pt>
                <c:pt idx="910">
                  <c:v>10</c:v>
                </c:pt>
                <c:pt idx="911">
                  <c:v>11.4</c:v>
                </c:pt>
                <c:pt idx="912">
                  <c:v>11.8</c:v>
                </c:pt>
                <c:pt idx="913">
                  <c:v>11.9</c:v>
                </c:pt>
                <c:pt idx="914">
                  <c:v>12.5</c:v>
                </c:pt>
                <c:pt idx="915">
                  <c:v>12.9</c:v>
                </c:pt>
                <c:pt idx="916">
                  <c:v>12.8</c:v>
                </c:pt>
                <c:pt idx="917">
                  <c:v>12.1</c:v>
                </c:pt>
                <c:pt idx="918">
                  <c:v>10.3</c:v>
                </c:pt>
                <c:pt idx="919">
                  <c:v>8.9</c:v>
                </c:pt>
                <c:pt idx="920">
                  <c:v>7.2</c:v>
                </c:pt>
                <c:pt idx="921">
                  <c:v>8.3000000000000007</c:v>
                </c:pt>
                <c:pt idx="922">
                  <c:v>11.5</c:v>
                </c:pt>
                <c:pt idx="923">
                  <c:v>14.1</c:v>
                </c:pt>
                <c:pt idx="924">
                  <c:v>15.7</c:v>
                </c:pt>
                <c:pt idx="925">
                  <c:v>15.9</c:v>
                </c:pt>
                <c:pt idx="926">
                  <c:v>15.9</c:v>
                </c:pt>
                <c:pt idx="927">
                  <c:v>15.9</c:v>
                </c:pt>
                <c:pt idx="928">
                  <c:v>15.5</c:v>
                </c:pt>
                <c:pt idx="929">
                  <c:v>15</c:v>
                </c:pt>
                <c:pt idx="930">
                  <c:v>13.9</c:v>
                </c:pt>
                <c:pt idx="931">
                  <c:v>12.7</c:v>
                </c:pt>
                <c:pt idx="932">
                  <c:v>12.1</c:v>
                </c:pt>
                <c:pt idx="933">
                  <c:v>12</c:v>
                </c:pt>
                <c:pt idx="934">
                  <c:v>12</c:v>
                </c:pt>
                <c:pt idx="935">
                  <c:v>11.6</c:v>
                </c:pt>
                <c:pt idx="936">
                  <c:v>10.7</c:v>
                </c:pt>
                <c:pt idx="937">
                  <c:v>10.3</c:v>
                </c:pt>
                <c:pt idx="938">
                  <c:v>11.2</c:v>
                </c:pt>
                <c:pt idx="939">
                  <c:v>12.5</c:v>
                </c:pt>
                <c:pt idx="940">
                  <c:v>13.1</c:v>
                </c:pt>
                <c:pt idx="941">
                  <c:v>12.4</c:v>
                </c:pt>
                <c:pt idx="942">
                  <c:v>11.8</c:v>
                </c:pt>
                <c:pt idx="943">
                  <c:v>11.9</c:v>
                </c:pt>
                <c:pt idx="944">
                  <c:v>12.9</c:v>
                </c:pt>
                <c:pt idx="945">
                  <c:v>14.4</c:v>
                </c:pt>
                <c:pt idx="946">
                  <c:v>15</c:v>
                </c:pt>
                <c:pt idx="947">
                  <c:v>15</c:v>
                </c:pt>
                <c:pt idx="948">
                  <c:v>13.9</c:v>
                </c:pt>
                <c:pt idx="949">
                  <c:v>13.9</c:v>
                </c:pt>
                <c:pt idx="950">
                  <c:v>12.7</c:v>
                </c:pt>
                <c:pt idx="951">
                  <c:v>9.3000000000000007</c:v>
                </c:pt>
                <c:pt idx="952">
                  <c:v>8.6</c:v>
                </c:pt>
                <c:pt idx="953">
                  <c:v>8.9</c:v>
                </c:pt>
                <c:pt idx="954">
                  <c:v>9.4</c:v>
                </c:pt>
                <c:pt idx="955">
                  <c:v>8.8000000000000007</c:v>
                </c:pt>
                <c:pt idx="956">
                  <c:v>8.4</c:v>
                </c:pt>
                <c:pt idx="957">
                  <c:v>8.5</c:v>
                </c:pt>
                <c:pt idx="958">
                  <c:v>8.1999999999999993</c:v>
                </c:pt>
                <c:pt idx="959">
                  <c:v>7.7</c:v>
                </c:pt>
                <c:pt idx="960">
                  <c:v>7.4</c:v>
                </c:pt>
                <c:pt idx="961">
                  <c:v>6.3</c:v>
                </c:pt>
                <c:pt idx="962">
                  <c:v>4.9000000000000004</c:v>
                </c:pt>
                <c:pt idx="963">
                  <c:v>3.9</c:v>
                </c:pt>
                <c:pt idx="964">
                  <c:v>3.3</c:v>
                </c:pt>
                <c:pt idx="965">
                  <c:v>3.1</c:v>
                </c:pt>
                <c:pt idx="966">
                  <c:v>3.9</c:v>
                </c:pt>
                <c:pt idx="967">
                  <c:v>3.6</c:v>
                </c:pt>
                <c:pt idx="968">
                  <c:v>3.2</c:v>
                </c:pt>
                <c:pt idx="969">
                  <c:v>2.5</c:v>
                </c:pt>
                <c:pt idx="970">
                  <c:v>2.6</c:v>
                </c:pt>
                <c:pt idx="971">
                  <c:v>2.8</c:v>
                </c:pt>
                <c:pt idx="972">
                  <c:v>4.2</c:v>
                </c:pt>
                <c:pt idx="973">
                  <c:v>5.2</c:v>
                </c:pt>
                <c:pt idx="974">
                  <c:v>6.8</c:v>
                </c:pt>
                <c:pt idx="975">
                  <c:v>9.3000000000000007</c:v>
                </c:pt>
                <c:pt idx="976">
                  <c:v>11.1</c:v>
                </c:pt>
                <c:pt idx="977">
                  <c:v>12.3</c:v>
                </c:pt>
                <c:pt idx="978">
                  <c:v>13</c:v>
                </c:pt>
                <c:pt idx="979">
                  <c:v>12.9</c:v>
                </c:pt>
                <c:pt idx="980">
                  <c:v>11.7</c:v>
                </c:pt>
                <c:pt idx="981">
                  <c:v>11.4</c:v>
                </c:pt>
                <c:pt idx="982">
                  <c:v>9.1</c:v>
                </c:pt>
                <c:pt idx="983">
                  <c:v>6.4</c:v>
                </c:pt>
                <c:pt idx="984">
                  <c:v>5.2</c:v>
                </c:pt>
                <c:pt idx="985">
                  <c:v>5</c:v>
                </c:pt>
                <c:pt idx="986">
                  <c:v>3</c:v>
                </c:pt>
                <c:pt idx="987">
                  <c:v>2.6</c:v>
                </c:pt>
                <c:pt idx="988">
                  <c:v>2.2999999999999998</c:v>
                </c:pt>
                <c:pt idx="989">
                  <c:v>3.3</c:v>
                </c:pt>
                <c:pt idx="990">
                  <c:v>3.6</c:v>
                </c:pt>
                <c:pt idx="991">
                  <c:v>3.9</c:v>
                </c:pt>
                <c:pt idx="992">
                  <c:v>4.0999999999999996</c:v>
                </c:pt>
                <c:pt idx="993">
                  <c:v>5.5</c:v>
                </c:pt>
                <c:pt idx="994">
                  <c:v>5.5</c:v>
                </c:pt>
                <c:pt idx="995">
                  <c:v>5.6</c:v>
                </c:pt>
                <c:pt idx="996">
                  <c:v>5.6</c:v>
                </c:pt>
                <c:pt idx="997">
                  <c:v>6.1</c:v>
                </c:pt>
                <c:pt idx="998">
                  <c:v>6</c:v>
                </c:pt>
                <c:pt idx="999">
                  <c:v>5.7</c:v>
                </c:pt>
                <c:pt idx="1000">
                  <c:v>4.8</c:v>
                </c:pt>
                <c:pt idx="1001">
                  <c:v>4.5999999999999996</c:v>
                </c:pt>
                <c:pt idx="1002">
                  <c:v>4.5</c:v>
                </c:pt>
                <c:pt idx="1003">
                  <c:v>4.4000000000000004</c:v>
                </c:pt>
                <c:pt idx="1004">
                  <c:v>4</c:v>
                </c:pt>
                <c:pt idx="1005">
                  <c:v>4</c:v>
                </c:pt>
                <c:pt idx="1006">
                  <c:v>4.5999999999999996</c:v>
                </c:pt>
                <c:pt idx="1007">
                  <c:v>5.4</c:v>
                </c:pt>
                <c:pt idx="1008">
                  <c:v>5.4</c:v>
                </c:pt>
                <c:pt idx="1009">
                  <c:v>5.2</c:v>
                </c:pt>
                <c:pt idx="1010">
                  <c:v>4.7</c:v>
                </c:pt>
                <c:pt idx="1011">
                  <c:v>4.8</c:v>
                </c:pt>
                <c:pt idx="1012">
                  <c:v>5.6</c:v>
                </c:pt>
                <c:pt idx="1013">
                  <c:v>5.7</c:v>
                </c:pt>
                <c:pt idx="1014">
                  <c:v>5.3</c:v>
                </c:pt>
                <c:pt idx="1015">
                  <c:v>4.0999999999999996</c:v>
                </c:pt>
                <c:pt idx="1016">
                  <c:v>4.3</c:v>
                </c:pt>
                <c:pt idx="1017">
                  <c:v>4.0999999999999996</c:v>
                </c:pt>
                <c:pt idx="1018">
                  <c:v>3.2</c:v>
                </c:pt>
                <c:pt idx="1019">
                  <c:v>2.7</c:v>
                </c:pt>
                <c:pt idx="1020">
                  <c:v>2.9</c:v>
                </c:pt>
                <c:pt idx="1021">
                  <c:v>3.4</c:v>
                </c:pt>
                <c:pt idx="1022">
                  <c:v>4</c:v>
                </c:pt>
                <c:pt idx="1023">
                  <c:v>4.7</c:v>
                </c:pt>
                <c:pt idx="1024">
                  <c:v>4.8</c:v>
                </c:pt>
                <c:pt idx="1025">
                  <c:v>4.3</c:v>
                </c:pt>
                <c:pt idx="1026">
                  <c:v>3.9</c:v>
                </c:pt>
                <c:pt idx="1027">
                  <c:v>4.2</c:v>
                </c:pt>
                <c:pt idx="1028">
                  <c:v>4.8</c:v>
                </c:pt>
                <c:pt idx="1029">
                  <c:v>4.8</c:v>
                </c:pt>
                <c:pt idx="1030">
                  <c:v>4.0999999999999996</c:v>
                </c:pt>
                <c:pt idx="1031">
                  <c:v>3.5</c:v>
                </c:pt>
                <c:pt idx="1032">
                  <c:v>2.7</c:v>
                </c:pt>
                <c:pt idx="1033">
                  <c:v>1.8</c:v>
                </c:pt>
                <c:pt idx="1034">
                  <c:v>0.9</c:v>
                </c:pt>
                <c:pt idx="1035">
                  <c:v>-0.2</c:v>
                </c:pt>
                <c:pt idx="1036">
                  <c:v>-1.1000000000000001</c:v>
                </c:pt>
                <c:pt idx="1037">
                  <c:v>-1.2</c:v>
                </c:pt>
                <c:pt idx="1038">
                  <c:v>-1.2</c:v>
                </c:pt>
                <c:pt idx="1039">
                  <c:v>-0.3</c:v>
                </c:pt>
                <c:pt idx="1040">
                  <c:v>-0.1</c:v>
                </c:pt>
                <c:pt idx="1041">
                  <c:v>0.3</c:v>
                </c:pt>
                <c:pt idx="1042">
                  <c:v>0.3</c:v>
                </c:pt>
                <c:pt idx="1043">
                  <c:v>0.8</c:v>
                </c:pt>
                <c:pt idx="1044">
                  <c:v>1.3</c:v>
                </c:pt>
                <c:pt idx="1045">
                  <c:v>1.9</c:v>
                </c:pt>
                <c:pt idx="1046">
                  <c:v>2.1</c:v>
                </c:pt>
                <c:pt idx="1047">
                  <c:v>2</c:v>
                </c:pt>
                <c:pt idx="1048">
                  <c:v>1.4</c:v>
                </c:pt>
                <c:pt idx="1049">
                  <c:v>1.1000000000000001</c:v>
                </c:pt>
                <c:pt idx="1050">
                  <c:v>0.8</c:v>
                </c:pt>
                <c:pt idx="1051">
                  <c:v>0.7</c:v>
                </c:pt>
                <c:pt idx="1052">
                  <c:v>1.1000000000000001</c:v>
                </c:pt>
                <c:pt idx="1053">
                  <c:v>1</c:v>
                </c:pt>
                <c:pt idx="1054">
                  <c:v>1.5</c:v>
                </c:pt>
                <c:pt idx="1055">
                  <c:v>1.5</c:v>
                </c:pt>
                <c:pt idx="1056">
                  <c:v>2.6</c:v>
                </c:pt>
                <c:pt idx="1057">
                  <c:v>3.6</c:v>
                </c:pt>
                <c:pt idx="1058">
                  <c:v>4.5</c:v>
                </c:pt>
                <c:pt idx="1059">
                  <c:v>4.8</c:v>
                </c:pt>
                <c:pt idx="1060">
                  <c:v>6.6</c:v>
                </c:pt>
                <c:pt idx="1061">
                  <c:v>7.2</c:v>
                </c:pt>
                <c:pt idx="1062">
                  <c:v>8.6</c:v>
                </c:pt>
                <c:pt idx="1063">
                  <c:v>10</c:v>
                </c:pt>
                <c:pt idx="1064">
                  <c:v>10.199999999999999</c:v>
                </c:pt>
                <c:pt idx="1065">
                  <c:v>10.199999999999999</c:v>
                </c:pt>
                <c:pt idx="1066">
                  <c:v>10</c:v>
                </c:pt>
                <c:pt idx="1067">
                  <c:v>9.6999999999999993</c:v>
                </c:pt>
                <c:pt idx="1068">
                  <c:v>9.1</c:v>
                </c:pt>
                <c:pt idx="1069">
                  <c:v>8.6</c:v>
                </c:pt>
                <c:pt idx="1070">
                  <c:v>8.5</c:v>
                </c:pt>
                <c:pt idx="1071">
                  <c:v>8.5</c:v>
                </c:pt>
                <c:pt idx="1072">
                  <c:v>8</c:v>
                </c:pt>
                <c:pt idx="1073">
                  <c:v>7.6</c:v>
                </c:pt>
                <c:pt idx="1074">
                  <c:v>7.5</c:v>
                </c:pt>
                <c:pt idx="1075">
                  <c:v>8</c:v>
                </c:pt>
                <c:pt idx="1076">
                  <c:v>8.6999999999999993</c:v>
                </c:pt>
                <c:pt idx="1077">
                  <c:v>8.9</c:v>
                </c:pt>
                <c:pt idx="1078">
                  <c:v>8.6</c:v>
                </c:pt>
                <c:pt idx="1079">
                  <c:v>8.6</c:v>
                </c:pt>
                <c:pt idx="1080">
                  <c:v>8.6</c:v>
                </c:pt>
                <c:pt idx="1081">
                  <c:v>8.1999999999999993</c:v>
                </c:pt>
                <c:pt idx="1082">
                  <c:v>8</c:v>
                </c:pt>
                <c:pt idx="1083">
                  <c:v>8.9</c:v>
                </c:pt>
                <c:pt idx="1084">
                  <c:v>9.6999999999999993</c:v>
                </c:pt>
                <c:pt idx="1085">
                  <c:v>11.8</c:v>
                </c:pt>
                <c:pt idx="1086">
                  <c:v>11.7</c:v>
                </c:pt>
                <c:pt idx="1087">
                  <c:v>11.6</c:v>
                </c:pt>
                <c:pt idx="1088">
                  <c:v>11.4</c:v>
                </c:pt>
                <c:pt idx="1089">
                  <c:v>11.7</c:v>
                </c:pt>
                <c:pt idx="1090">
                  <c:v>13.3</c:v>
                </c:pt>
                <c:pt idx="1091">
                  <c:v>14.1</c:v>
                </c:pt>
                <c:pt idx="1092">
                  <c:v>15</c:v>
                </c:pt>
                <c:pt idx="1093">
                  <c:v>15.2</c:v>
                </c:pt>
                <c:pt idx="1094">
                  <c:v>15.2</c:v>
                </c:pt>
                <c:pt idx="1095">
                  <c:v>15</c:v>
                </c:pt>
                <c:pt idx="1096">
                  <c:v>11</c:v>
                </c:pt>
                <c:pt idx="1097">
                  <c:v>10.6</c:v>
                </c:pt>
                <c:pt idx="1098">
                  <c:v>9.6999999999999993</c:v>
                </c:pt>
                <c:pt idx="1099">
                  <c:v>9.1999999999999993</c:v>
                </c:pt>
                <c:pt idx="1100">
                  <c:v>9.5</c:v>
                </c:pt>
                <c:pt idx="1101">
                  <c:v>10.199999999999999</c:v>
                </c:pt>
                <c:pt idx="1102">
                  <c:v>13.6</c:v>
                </c:pt>
                <c:pt idx="1103">
                  <c:v>14.2</c:v>
                </c:pt>
                <c:pt idx="1104">
                  <c:v>15</c:v>
                </c:pt>
                <c:pt idx="1105">
                  <c:v>16</c:v>
                </c:pt>
                <c:pt idx="1106">
                  <c:v>16</c:v>
                </c:pt>
                <c:pt idx="1107">
                  <c:v>16</c:v>
                </c:pt>
                <c:pt idx="1108">
                  <c:v>16</c:v>
                </c:pt>
                <c:pt idx="1109">
                  <c:v>15.7</c:v>
                </c:pt>
                <c:pt idx="1110">
                  <c:v>15.8</c:v>
                </c:pt>
                <c:pt idx="1111">
                  <c:v>15.3</c:v>
                </c:pt>
                <c:pt idx="1112">
                  <c:v>15.3</c:v>
                </c:pt>
                <c:pt idx="1113">
                  <c:v>15.3</c:v>
                </c:pt>
                <c:pt idx="1114">
                  <c:v>14.8</c:v>
                </c:pt>
                <c:pt idx="1115">
                  <c:v>15</c:v>
                </c:pt>
                <c:pt idx="1116">
                  <c:v>15.5</c:v>
                </c:pt>
                <c:pt idx="1117">
                  <c:v>14.9</c:v>
                </c:pt>
                <c:pt idx="1118">
                  <c:v>14</c:v>
                </c:pt>
                <c:pt idx="1119">
                  <c:v>13.3</c:v>
                </c:pt>
                <c:pt idx="1120">
                  <c:v>12.9</c:v>
                </c:pt>
                <c:pt idx="1121">
                  <c:v>12.9</c:v>
                </c:pt>
                <c:pt idx="1122">
                  <c:v>12.9</c:v>
                </c:pt>
                <c:pt idx="1123">
                  <c:v>12.6</c:v>
                </c:pt>
                <c:pt idx="1124">
                  <c:v>12.6</c:v>
                </c:pt>
                <c:pt idx="1125">
                  <c:v>12.7</c:v>
                </c:pt>
                <c:pt idx="1126">
                  <c:v>13.7</c:v>
                </c:pt>
                <c:pt idx="1127">
                  <c:v>14.8</c:v>
                </c:pt>
                <c:pt idx="1128">
                  <c:v>16.399999999999999</c:v>
                </c:pt>
                <c:pt idx="1129">
                  <c:v>17.7</c:v>
                </c:pt>
                <c:pt idx="1130">
                  <c:v>18.600000000000001</c:v>
                </c:pt>
                <c:pt idx="1131">
                  <c:v>18.3</c:v>
                </c:pt>
                <c:pt idx="1132">
                  <c:v>17</c:v>
                </c:pt>
                <c:pt idx="1133">
                  <c:v>15.7</c:v>
                </c:pt>
                <c:pt idx="1134">
                  <c:v>15.5</c:v>
                </c:pt>
                <c:pt idx="1135">
                  <c:v>15.5</c:v>
                </c:pt>
                <c:pt idx="1136">
                  <c:v>15.3</c:v>
                </c:pt>
                <c:pt idx="1137">
                  <c:v>14.6</c:v>
                </c:pt>
                <c:pt idx="1138">
                  <c:v>14.4</c:v>
                </c:pt>
                <c:pt idx="1139">
                  <c:v>15</c:v>
                </c:pt>
                <c:pt idx="1140">
                  <c:v>15.9</c:v>
                </c:pt>
                <c:pt idx="1141">
                  <c:v>16.600000000000001</c:v>
                </c:pt>
                <c:pt idx="1142">
                  <c:v>16.5</c:v>
                </c:pt>
                <c:pt idx="1143">
                  <c:v>16.2</c:v>
                </c:pt>
                <c:pt idx="1144">
                  <c:v>15.9</c:v>
                </c:pt>
                <c:pt idx="1145">
                  <c:v>15.3</c:v>
                </c:pt>
                <c:pt idx="1146">
                  <c:v>15.1</c:v>
                </c:pt>
                <c:pt idx="1147">
                  <c:v>15.9</c:v>
                </c:pt>
                <c:pt idx="1148">
                  <c:v>16.399999999999999</c:v>
                </c:pt>
                <c:pt idx="1149">
                  <c:v>15.3</c:v>
                </c:pt>
                <c:pt idx="1150">
                  <c:v>14.8</c:v>
                </c:pt>
                <c:pt idx="1151">
                  <c:v>15.8</c:v>
                </c:pt>
                <c:pt idx="1152">
                  <c:v>18.100000000000001</c:v>
                </c:pt>
                <c:pt idx="1153">
                  <c:v>19.399999999999999</c:v>
                </c:pt>
                <c:pt idx="1154">
                  <c:v>19.5</c:v>
                </c:pt>
                <c:pt idx="1155">
                  <c:v>18.399999999999999</c:v>
                </c:pt>
                <c:pt idx="1156">
                  <c:v>16.7</c:v>
                </c:pt>
                <c:pt idx="1157">
                  <c:v>15.3</c:v>
                </c:pt>
                <c:pt idx="1158">
                  <c:v>14.6</c:v>
                </c:pt>
                <c:pt idx="1159">
                  <c:v>14.4</c:v>
                </c:pt>
                <c:pt idx="1160">
                  <c:v>14.5</c:v>
                </c:pt>
                <c:pt idx="1161">
                  <c:v>16.899999999999999</c:v>
                </c:pt>
                <c:pt idx="1162">
                  <c:v>18.399999999999999</c:v>
                </c:pt>
                <c:pt idx="1163">
                  <c:v>19.5</c:v>
                </c:pt>
                <c:pt idx="1164">
                  <c:v>19.600000000000001</c:v>
                </c:pt>
                <c:pt idx="1165">
                  <c:v>18.5</c:v>
                </c:pt>
                <c:pt idx="1166">
                  <c:v>16.100000000000001</c:v>
                </c:pt>
                <c:pt idx="1167">
                  <c:v>12.7</c:v>
                </c:pt>
                <c:pt idx="1168">
                  <c:v>10.6</c:v>
                </c:pt>
                <c:pt idx="1169">
                  <c:v>9</c:v>
                </c:pt>
                <c:pt idx="1170">
                  <c:v>7.9</c:v>
                </c:pt>
                <c:pt idx="1171">
                  <c:v>7.6</c:v>
                </c:pt>
                <c:pt idx="1172">
                  <c:v>7.9</c:v>
                </c:pt>
                <c:pt idx="1173">
                  <c:v>10</c:v>
                </c:pt>
                <c:pt idx="1174">
                  <c:v>12.2</c:v>
                </c:pt>
                <c:pt idx="1175">
                  <c:v>13.4</c:v>
                </c:pt>
                <c:pt idx="1176">
                  <c:v>15.2</c:v>
                </c:pt>
                <c:pt idx="1177">
                  <c:v>18.3</c:v>
                </c:pt>
                <c:pt idx="1178">
                  <c:v>19.100000000000001</c:v>
                </c:pt>
                <c:pt idx="1179">
                  <c:v>19.5</c:v>
                </c:pt>
                <c:pt idx="1180">
                  <c:v>18.399999999999999</c:v>
                </c:pt>
                <c:pt idx="1181">
                  <c:v>17.5</c:v>
                </c:pt>
                <c:pt idx="1182">
                  <c:v>16.8</c:v>
                </c:pt>
                <c:pt idx="1183">
                  <c:v>14.8</c:v>
                </c:pt>
                <c:pt idx="1184">
                  <c:v>13.2</c:v>
                </c:pt>
                <c:pt idx="1185">
                  <c:v>11.8</c:v>
                </c:pt>
                <c:pt idx="1186">
                  <c:v>11.1</c:v>
                </c:pt>
                <c:pt idx="1187">
                  <c:v>11</c:v>
                </c:pt>
                <c:pt idx="1188">
                  <c:v>11.8</c:v>
                </c:pt>
                <c:pt idx="1189">
                  <c:v>12.7</c:v>
                </c:pt>
                <c:pt idx="1190">
                  <c:v>13.5</c:v>
                </c:pt>
                <c:pt idx="1191">
                  <c:v>14.3</c:v>
                </c:pt>
                <c:pt idx="1192">
                  <c:v>14.8</c:v>
                </c:pt>
                <c:pt idx="1193">
                  <c:v>14.9</c:v>
                </c:pt>
                <c:pt idx="1194">
                  <c:v>15.2</c:v>
                </c:pt>
                <c:pt idx="1195">
                  <c:v>14.7</c:v>
                </c:pt>
                <c:pt idx="1196">
                  <c:v>13.7</c:v>
                </c:pt>
                <c:pt idx="1197">
                  <c:v>11.2</c:v>
                </c:pt>
                <c:pt idx="1198">
                  <c:v>9.6999999999999993</c:v>
                </c:pt>
                <c:pt idx="1199">
                  <c:v>9</c:v>
                </c:pt>
                <c:pt idx="1200">
                  <c:v>9</c:v>
                </c:pt>
                <c:pt idx="1201">
                  <c:v>8.1999999999999993</c:v>
                </c:pt>
                <c:pt idx="1202">
                  <c:v>8.1</c:v>
                </c:pt>
                <c:pt idx="1203">
                  <c:v>8</c:v>
                </c:pt>
                <c:pt idx="1204">
                  <c:v>8.1</c:v>
                </c:pt>
                <c:pt idx="1205">
                  <c:v>9.6</c:v>
                </c:pt>
                <c:pt idx="1206">
                  <c:v>10.6</c:v>
                </c:pt>
                <c:pt idx="1207">
                  <c:v>10.9</c:v>
                </c:pt>
                <c:pt idx="1208">
                  <c:v>10.7</c:v>
                </c:pt>
                <c:pt idx="1209">
                  <c:v>10.6</c:v>
                </c:pt>
                <c:pt idx="1210">
                  <c:v>11.7</c:v>
                </c:pt>
                <c:pt idx="1211">
                  <c:v>12.6</c:v>
                </c:pt>
                <c:pt idx="1212">
                  <c:v>13</c:v>
                </c:pt>
                <c:pt idx="1213">
                  <c:v>15.3</c:v>
                </c:pt>
                <c:pt idx="1214">
                  <c:v>15.3</c:v>
                </c:pt>
                <c:pt idx="1215">
                  <c:v>14.6</c:v>
                </c:pt>
                <c:pt idx="1216">
                  <c:v>14.1</c:v>
                </c:pt>
                <c:pt idx="1217">
                  <c:v>14.2</c:v>
                </c:pt>
                <c:pt idx="1218">
                  <c:v>14.2</c:v>
                </c:pt>
                <c:pt idx="1219">
                  <c:v>13.4</c:v>
                </c:pt>
                <c:pt idx="1220">
                  <c:v>12.4</c:v>
                </c:pt>
                <c:pt idx="1221">
                  <c:v>11</c:v>
                </c:pt>
                <c:pt idx="1222">
                  <c:v>9.8000000000000007</c:v>
                </c:pt>
                <c:pt idx="1223">
                  <c:v>8.3000000000000007</c:v>
                </c:pt>
                <c:pt idx="1224">
                  <c:v>8.3000000000000007</c:v>
                </c:pt>
                <c:pt idx="1225">
                  <c:v>8.1</c:v>
                </c:pt>
                <c:pt idx="1226">
                  <c:v>7.3</c:v>
                </c:pt>
                <c:pt idx="1227">
                  <c:v>5.7</c:v>
                </c:pt>
                <c:pt idx="1228">
                  <c:v>5.0999999999999996</c:v>
                </c:pt>
                <c:pt idx="1229">
                  <c:v>5.0999999999999996</c:v>
                </c:pt>
                <c:pt idx="1230">
                  <c:v>5</c:v>
                </c:pt>
                <c:pt idx="1231">
                  <c:v>4.5999999999999996</c:v>
                </c:pt>
                <c:pt idx="1232">
                  <c:v>4.0999999999999996</c:v>
                </c:pt>
                <c:pt idx="1233">
                  <c:v>4</c:v>
                </c:pt>
                <c:pt idx="1234">
                  <c:v>3.9</c:v>
                </c:pt>
                <c:pt idx="1235">
                  <c:v>3.7</c:v>
                </c:pt>
                <c:pt idx="1236">
                  <c:v>3</c:v>
                </c:pt>
                <c:pt idx="1237">
                  <c:v>2.8</c:v>
                </c:pt>
                <c:pt idx="1238">
                  <c:v>2.8</c:v>
                </c:pt>
                <c:pt idx="1239">
                  <c:v>3.3</c:v>
                </c:pt>
                <c:pt idx="1240">
                  <c:v>3.8</c:v>
                </c:pt>
                <c:pt idx="1241">
                  <c:v>4.0999999999999996</c:v>
                </c:pt>
                <c:pt idx="1242">
                  <c:v>4.8</c:v>
                </c:pt>
                <c:pt idx="1243">
                  <c:v>5.6</c:v>
                </c:pt>
                <c:pt idx="1244">
                  <c:v>6.5</c:v>
                </c:pt>
                <c:pt idx="1245">
                  <c:v>7.9</c:v>
                </c:pt>
                <c:pt idx="1246">
                  <c:v>8.8000000000000007</c:v>
                </c:pt>
                <c:pt idx="1247">
                  <c:v>8.8000000000000007</c:v>
                </c:pt>
                <c:pt idx="1248">
                  <c:v>7.7</c:v>
                </c:pt>
                <c:pt idx="1249">
                  <c:v>6.9</c:v>
                </c:pt>
                <c:pt idx="1250">
                  <c:v>6.3</c:v>
                </c:pt>
                <c:pt idx="1251">
                  <c:v>5.4</c:v>
                </c:pt>
                <c:pt idx="1252">
                  <c:v>4.4000000000000004</c:v>
                </c:pt>
                <c:pt idx="1253">
                  <c:v>2.9</c:v>
                </c:pt>
                <c:pt idx="1254">
                  <c:v>2.4</c:v>
                </c:pt>
                <c:pt idx="1255">
                  <c:v>2.2999999999999998</c:v>
                </c:pt>
                <c:pt idx="1256">
                  <c:v>3.1</c:v>
                </c:pt>
                <c:pt idx="1257">
                  <c:v>3.9</c:v>
                </c:pt>
                <c:pt idx="1258">
                  <c:v>4.8</c:v>
                </c:pt>
                <c:pt idx="1259">
                  <c:v>5.6</c:v>
                </c:pt>
                <c:pt idx="1260">
                  <c:v>6.6</c:v>
                </c:pt>
                <c:pt idx="1261">
                  <c:v>7.8</c:v>
                </c:pt>
                <c:pt idx="1262">
                  <c:v>8</c:v>
                </c:pt>
                <c:pt idx="1263">
                  <c:v>7.9</c:v>
                </c:pt>
                <c:pt idx="1264">
                  <c:v>7.2</c:v>
                </c:pt>
                <c:pt idx="1265">
                  <c:v>4.9000000000000004</c:v>
                </c:pt>
                <c:pt idx="1266">
                  <c:v>3.1</c:v>
                </c:pt>
                <c:pt idx="1267">
                  <c:v>2</c:v>
                </c:pt>
                <c:pt idx="1268">
                  <c:v>1.1000000000000001</c:v>
                </c:pt>
                <c:pt idx="1269">
                  <c:v>1</c:v>
                </c:pt>
                <c:pt idx="1270">
                  <c:v>0.9</c:v>
                </c:pt>
                <c:pt idx="1271">
                  <c:v>1.2</c:v>
                </c:pt>
                <c:pt idx="1272">
                  <c:v>1.7</c:v>
                </c:pt>
                <c:pt idx="1273">
                  <c:v>3</c:v>
                </c:pt>
                <c:pt idx="1274">
                  <c:v>3.9</c:v>
                </c:pt>
                <c:pt idx="1275">
                  <c:v>5.5</c:v>
                </c:pt>
                <c:pt idx="1276">
                  <c:v>6.1</c:v>
                </c:pt>
                <c:pt idx="1277">
                  <c:v>8.4</c:v>
                </c:pt>
                <c:pt idx="1278">
                  <c:v>9.1999999999999993</c:v>
                </c:pt>
                <c:pt idx="1279">
                  <c:v>9.1</c:v>
                </c:pt>
                <c:pt idx="1280">
                  <c:v>8.4</c:v>
                </c:pt>
                <c:pt idx="1281">
                  <c:v>8.5</c:v>
                </c:pt>
                <c:pt idx="1282">
                  <c:v>7.8</c:v>
                </c:pt>
                <c:pt idx="1283">
                  <c:v>7.2</c:v>
                </c:pt>
                <c:pt idx="1284">
                  <c:v>6.6</c:v>
                </c:pt>
                <c:pt idx="1285">
                  <c:v>4.9000000000000004</c:v>
                </c:pt>
                <c:pt idx="1286">
                  <c:v>3.5</c:v>
                </c:pt>
                <c:pt idx="1287">
                  <c:v>2.1</c:v>
                </c:pt>
                <c:pt idx="1288">
                  <c:v>1.2</c:v>
                </c:pt>
                <c:pt idx="1289">
                  <c:v>0.4</c:v>
                </c:pt>
                <c:pt idx="1290">
                  <c:v>0</c:v>
                </c:pt>
                <c:pt idx="1291">
                  <c:v>-1.3</c:v>
                </c:pt>
                <c:pt idx="1292">
                  <c:v>-1.6</c:v>
                </c:pt>
                <c:pt idx="1293">
                  <c:v>-1.9</c:v>
                </c:pt>
                <c:pt idx="1294">
                  <c:v>-1.7</c:v>
                </c:pt>
                <c:pt idx="1295">
                  <c:v>-1.7</c:v>
                </c:pt>
                <c:pt idx="1296">
                  <c:v>-2</c:v>
                </c:pt>
                <c:pt idx="1297">
                  <c:v>-2.2999999999999998</c:v>
                </c:pt>
                <c:pt idx="1298">
                  <c:v>-2.4</c:v>
                </c:pt>
                <c:pt idx="1299">
                  <c:v>-3.2</c:v>
                </c:pt>
                <c:pt idx="1300">
                  <c:v>-3.3</c:v>
                </c:pt>
                <c:pt idx="1301">
                  <c:v>-3.5</c:v>
                </c:pt>
                <c:pt idx="1302">
                  <c:v>-3.5</c:v>
                </c:pt>
                <c:pt idx="1303">
                  <c:v>-3.7</c:v>
                </c:pt>
                <c:pt idx="1304">
                  <c:v>-3.8</c:v>
                </c:pt>
                <c:pt idx="1305">
                  <c:v>-3.8</c:v>
                </c:pt>
                <c:pt idx="1306">
                  <c:v>-3.8</c:v>
                </c:pt>
                <c:pt idx="1307">
                  <c:v>-3.8</c:v>
                </c:pt>
                <c:pt idx="1308">
                  <c:v>-3.8</c:v>
                </c:pt>
                <c:pt idx="1309">
                  <c:v>-3.6</c:v>
                </c:pt>
                <c:pt idx="1310">
                  <c:v>-3.3</c:v>
                </c:pt>
                <c:pt idx="1311">
                  <c:v>-3.2</c:v>
                </c:pt>
                <c:pt idx="1312">
                  <c:v>-1.9</c:v>
                </c:pt>
                <c:pt idx="1313">
                  <c:v>-2.2999999999999998</c:v>
                </c:pt>
                <c:pt idx="1314">
                  <c:v>-2.8</c:v>
                </c:pt>
                <c:pt idx="1315">
                  <c:v>-1.2</c:v>
                </c:pt>
                <c:pt idx="1316">
                  <c:v>-1</c:v>
                </c:pt>
                <c:pt idx="1317">
                  <c:v>-1.2</c:v>
                </c:pt>
                <c:pt idx="1318">
                  <c:v>-1</c:v>
                </c:pt>
                <c:pt idx="1319">
                  <c:v>-0.8</c:v>
                </c:pt>
                <c:pt idx="1320">
                  <c:v>-1.3</c:v>
                </c:pt>
                <c:pt idx="1321">
                  <c:v>-2</c:v>
                </c:pt>
                <c:pt idx="1322">
                  <c:v>-1.4</c:v>
                </c:pt>
                <c:pt idx="1323">
                  <c:v>-1.2</c:v>
                </c:pt>
                <c:pt idx="1324">
                  <c:v>-1.8</c:v>
                </c:pt>
                <c:pt idx="1325">
                  <c:v>-1.9</c:v>
                </c:pt>
                <c:pt idx="1326">
                  <c:v>-2.4</c:v>
                </c:pt>
                <c:pt idx="1327">
                  <c:v>-2.4</c:v>
                </c:pt>
                <c:pt idx="1328">
                  <c:v>-2.6</c:v>
                </c:pt>
                <c:pt idx="1329">
                  <c:v>-2.5</c:v>
                </c:pt>
                <c:pt idx="1330">
                  <c:v>-3.1</c:v>
                </c:pt>
                <c:pt idx="1331">
                  <c:v>-3.1</c:v>
                </c:pt>
                <c:pt idx="1332">
                  <c:v>-3.1</c:v>
                </c:pt>
                <c:pt idx="1333">
                  <c:v>-3.1</c:v>
                </c:pt>
                <c:pt idx="1334">
                  <c:v>-2.4</c:v>
                </c:pt>
                <c:pt idx="1335">
                  <c:v>-1.8</c:v>
                </c:pt>
                <c:pt idx="1336">
                  <c:v>-1.1000000000000001</c:v>
                </c:pt>
                <c:pt idx="1337">
                  <c:v>-1.1000000000000001</c:v>
                </c:pt>
                <c:pt idx="1338">
                  <c:v>-0.9</c:v>
                </c:pt>
                <c:pt idx="1339">
                  <c:v>-1</c:v>
                </c:pt>
                <c:pt idx="1340">
                  <c:v>-1.2</c:v>
                </c:pt>
                <c:pt idx="1341">
                  <c:v>-1.6</c:v>
                </c:pt>
                <c:pt idx="1342">
                  <c:v>-0.9</c:v>
                </c:pt>
                <c:pt idx="1343">
                  <c:v>-0.5</c:v>
                </c:pt>
                <c:pt idx="1344">
                  <c:v>0.2</c:v>
                </c:pt>
                <c:pt idx="1345">
                  <c:v>0.6</c:v>
                </c:pt>
                <c:pt idx="1346">
                  <c:v>0.6</c:v>
                </c:pt>
                <c:pt idx="1347">
                  <c:v>0.7</c:v>
                </c:pt>
                <c:pt idx="1348">
                  <c:v>1.7</c:v>
                </c:pt>
                <c:pt idx="1349">
                  <c:v>3.7</c:v>
                </c:pt>
                <c:pt idx="1350">
                  <c:v>5.4</c:v>
                </c:pt>
                <c:pt idx="1351">
                  <c:v>6.1</c:v>
                </c:pt>
                <c:pt idx="1352">
                  <c:v>6.7</c:v>
                </c:pt>
                <c:pt idx="1353">
                  <c:v>7.6</c:v>
                </c:pt>
                <c:pt idx="1354">
                  <c:v>8.1999999999999993</c:v>
                </c:pt>
                <c:pt idx="1355">
                  <c:v>8</c:v>
                </c:pt>
                <c:pt idx="1356">
                  <c:v>8.3000000000000007</c:v>
                </c:pt>
                <c:pt idx="1357">
                  <c:v>8.1999999999999993</c:v>
                </c:pt>
                <c:pt idx="1358">
                  <c:v>8.1999999999999993</c:v>
                </c:pt>
                <c:pt idx="1359">
                  <c:v>8.1999999999999993</c:v>
                </c:pt>
                <c:pt idx="1360">
                  <c:v>8.6999999999999993</c:v>
                </c:pt>
                <c:pt idx="1361">
                  <c:v>9.1</c:v>
                </c:pt>
                <c:pt idx="1362">
                  <c:v>11.5</c:v>
                </c:pt>
                <c:pt idx="1363">
                  <c:v>12.4</c:v>
                </c:pt>
                <c:pt idx="1364">
                  <c:v>15.6</c:v>
                </c:pt>
                <c:pt idx="1365">
                  <c:v>16.2</c:v>
                </c:pt>
                <c:pt idx="1366">
                  <c:v>16</c:v>
                </c:pt>
                <c:pt idx="1367">
                  <c:v>14.3</c:v>
                </c:pt>
                <c:pt idx="1368">
                  <c:v>13.8</c:v>
                </c:pt>
                <c:pt idx="1369">
                  <c:v>13.7</c:v>
                </c:pt>
                <c:pt idx="1370">
                  <c:v>13.6</c:v>
                </c:pt>
                <c:pt idx="1371">
                  <c:v>13.2</c:v>
                </c:pt>
                <c:pt idx="1372">
                  <c:v>16.3</c:v>
                </c:pt>
                <c:pt idx="1373">
                  <c:v>16.2</c:v>
                </c:pt>
                <c:pt idx="1374">
                  <c:v>17.899999999999999</c:v>
                </c:pt>
                <c:pt idx="1375">
                  <c:v>17.3</c:v>
                </c:pt>
                <c:pt idx="1376">
                  <c:v>15.2</c:v>
                </c:pt>
                <c:pt idx="1377">
                  <c:v>12.2</c:v>
                </c:pt>
                <c:pt idx="1378">
                  <c:v>11.3</c:v>
                </c:pt>
                <c:pt idx="1379">
                  <c:v>11.3</c:v>
                </c:pt>
                <c:pt idx="1380">
                  <c:v>13</c:v>
                </c:pt>
                <c:pt idx="1381">
                  <c:v>16.5</c:v>
                </c:pt>
                <c:pt idx="1382">
                  <c:v>15.6</c:v>
                </c:pt>
                <c:pt idx="1383">
                  <c:v>13.7</c:v>
                </c:pt>
                <c:pt idx="1384">
                  <c:v>14.1</c:v>
                </c:pt>
                <c:pt idx="1385">
                  <c:v>14.4</c:v>
                </c:pt>
                <c:pt idx="1386">
                  <c:v>16.2</c:v>
                </c:pt>
                <c:pt idx="1387">
                  <c:v>16.8</c:v>
                </c:pt>
                <c:pt idx="1388">
                  <c:v>18.100000000000001</c:v>
                </c:pt>
                <c:pt idx="1389">
                  <c:v>19.8</c:v>
                </c:pt>
                <c:pt idx="1390">
                  <c:v>19.600000000000001</c:v>
                </c:pt>
                <c:pt idx="1391">
                  <c:v>18.5</c:v>
                </c:pt>
                <c:pt idx="1392">
                  <c:v>17.2</c:v>
                </c:pt>
                <c:pt idx="1393">
                  <c:v>15.1</c:v>
                </c:pt>
                <c:pt idx="1394">
                  <c:v>11.4</c:v>
                </c:pt>
                <c:pt idx="1395">
                  <c:v>7.9</c:v>
                </c:pt>
                <c:pt idx="1396">
                  <c:v>6.4</c:v>
                </c:pt>
                <c:pt idx="1397">
                  <c:v>7</c:v>
                </c:pt>
                <c:pt idx="1398">
                  <c:v>9.6999999999999993</c:v>
                </c:pt>
                <c:pt idx="1399">
                  <c:v>14.1</c:v>
                </c:pt>
                <c:pt idx="1400">
                  <c:v>16.600000000000001</c:v>
                </c:pt>
                <c:pt idx="1401">
                  <c:v>16.3</c:v>
                </c:pt>
                <c:pt idx="1402">
                  <c:v>15.9</c:v>
                </c:pt>
                <c:pt idx="1403">
                  <c:v>16.5</c:v>
                </c:pt>
                <c:pt idx="1404">
                  <c:v>16.8</c:v>
                </c:pt>
                <c:pt idx="1405">
                  <c:v>15.1</c:v>
                </c:pt>
                <c:pt idx="1406">
                  <c:v>9.3000000000000007</c:v>
                </c:pt>
                <c:pt idx="1407">
                  <c:v>13.3</c:v>
                </c:pt>
                <c:pt idx="1408">
                  <c:v>17.8</c:v>
                </c:pt>
                <c:pt idx="1409">
                  <c:v>17.600000000000001</c:v>
                </c:pt>
                <c:pt idx="1410">
                  <c:v>15.8</c:v>
                </c:pt>
                <c:pt idx="1411">
                  <c:v>15.9</c:v>
                </c:pt>
                <c:pt idx="1412">
                  <c:v>18.8</c:v>
                </c:pt>
                <c:pt idx="1413">
                  <c:v>21.2</c:v>
                </c:pt>
                <c:pt idx="1414">
                  <c:v>22</c:v>
                </c:pt>
                <c:pt idx="1415">
                  <c:v>20.100000000000001</c:v>
                </c:pt>
                <c:pt idx="1416">
                  <c:v>16.7</c:v>
                </c:pt>
                <c:pt idx="1417">
                  <c:v>14.5</c:v>
                </c:pt>
                <c:pt idx="1418">
                  <c:v>13.4</c:v>
                </c:pt>
                <c:pt idx="1419">
                  <c:v>14</c:v>
                </c:pt>
                <c:pt idx="1420">
                  <c:v>14.2</c:v>
                </c:pt>
                <c:pt idx="1421">
                  <c:v>15.4</c:v>
                </c:pt>
                <c:pt idx="1422">
                  <c:v>17.3</c:v>
                </c:pt>
                <c:pt idx="1423">
                  <c:v>17.2</c:v>
                </c:pt>
                <c:pt idx="1424">
                  <c:v>17.7</c:v>
                </c:pt>
                <c:pt idx="1425">
                  <c:v>18.2</c:v>
                </c:pt>
                <c:pt idx="1426">
                  <c:v>17.7</c:v>
                </c:pt>
                <c:pt idx="1427">
                  <c:v>16.5</c:v>
                </c:pt>
                <c:pt idx="1428">
                  <c:v>14.8</c:v>
                </c:pt>
                <c:pt idx="1429">
                  <c:v>13</c:v>
                </c:pt>
                <c:pt idx="1430">
                  <c:v>10.199999999999999</c:v>
                </c:pt>
                <c:pt idx="1431">
                  <c:v>9.6999999999999993</c:v>
                </c:pt>
                <c:pt idx="1432">
                  <c:v>9.6999999999999993</c:v>
                </c:pt>
                <c:pt idx="1433">
                  <c:v>10.199999999999999</c:v>
                </c:pt>
                <c:pt idx="1434">
                  <c:v>10.6</c:v>
                </c:pt>
                <c:pt idx="1435">
                  <c:v>10.5</c:v>
                </c:pt>
                <c:pt idx="1436">
                  <c:v>11.1</c:v>
                </c:pt>
                <c:pt idx="1437">
                  <c:v>13.9</c:v>
                </c:pt>
                <c:pt idx="1438">
                  <c:v>17.899999999999999</c:v>
                </c:pt>
                <c:pt idx="1439">
                  <c:v>18</c:v>
                </c:pt>
                <c:pt idx="1440">
                  <c:v>17.2</c:v>
                </c:pt>
                <c:pt idx="1441">
                  <c:v>15.5</c:v>
                </c:pt>
                <c:pt idx="1442">
                  <c:v>13.9</c:v>
                </c:pt>
                <c:pt idx="1443">
                  <c:v>11.5</c:v>
                </c:pt>
                <c:pt idx="1444">
                  <c:v>8.6</c:v>
                </c:pt>
                <c:pt idx="1445">
                  <c:v>6.8</c:v>
                </c:pt>
                <c:pt idx="1446">
                  <c:v>5.9</c:v>
                </c:pt>
                <c:pt idx="1447">
                  <c:v>5.7</c:v>
                </c:pt>
                <c:pt idx="1448">
                  <c:v>6.4</c:v>
                </c:pt>
                <c:pt idx="1449">
                  <c:v>7.2</c:v>
                </c:pt>
                <c:pt idx="1450">
                  <c:v>9.5</c:v>
                </c:pt>
                <c:pt idx="1451">
                  <c:v>12.6</c:v>
                </c:pt>
                <c:pt idx="1452">
                  <c:v>13.3</c:v>
                </c:pt>
                <c:pt idx="1453">
                  <c:v>12.8</c:v>
                </c:pt>
                <c:pt idx="1454">
                  <c:v>12</c:v>
                </c:pt>
                <c:pt idx="1455">
                  <c:v>11.3</c:v>
                </c:pt>
                <c:pt idx="1456">
                  <c:v>10.8</c:v>
                </c:pt>
                <c:pt idx="1457">
                  <c:v>10.9</c:v>
                </c:pt>
                <c:pt idx="1458">
                  <c:v>12.1</c:v>
                </c:pt>
                <c:pt idx="1459">
                  <c:v>12</c:v>
                </c:pt>
                <c:pt idx="1460">
                  <c:v>11.5</c:v>
                </c:pt>
                <c:pt idx="1461">
                  <c:v>10</c:v>
                </c:pt>
                <c:pt idx="1462">
                  <c:v>9.3000000000000007</c:v>
                </c:pt>
                <c:pt idx="1463">
                  <c:v>9.1</c:v>
                </c:pt>
                <c:pt idx="1464">
                  <c:v>6.6</c:v>
                </c:pt>
                <c:pt idx="1465">
                  <c:v>3.5</c:v>
                </c:pt>
                <c:pt idx="1466">
                  <c:v>3</c:v>
                </c:pt>
                <c:pt idx="1467">
                  <c:v>3.9</c:v>
                </c:pt>
                <c:pt idx="1468">
                  <c:v>3.5</c:v>
                </c:pt>
                <c:pt idx="1469">
                  <c:v>3.6</c:v>
                </c:pt>
                <c:pt idx="1470">
                  <c:v>4.5999999999999996</c:v>
                </c:pt>
                <c:pt idx="1471">
                  <c:v>5.2</c:v>
                </c:pt>
                <c:pt idx="1472">
                  <c:v>5.2</c:v>
                </c:pt>
                <c:pt idx="1473">
                  <c:v>5.3</c:v>
                </c:pt>
                <c:pt idx="1474">
                  <c:v>4.5</c:v>
                </c:pt>
                <c:pt idx="1475">
                  <c:v>2.9</c:v>
                </c:pt>
                <c:pt idx="1476">
                  <c:v>1.9</c:v>
                </c:pt>
                <c:pt idx="1477">
                  <c:v>1.9</c:v>
                </c:pt>
                <c:pt idx="1478">
                  <c:v>2.4</c:v>
                </c:pt>
                <c:pt idx="1479">
                  <c:v>2.7</c:v>
                </c:pt>
                <c:pt idx="1480">
                  <c:v>2.2000000000000002</c:v>
                </c:pt>
                <c:pt idx="1481">
                  <c:v>2.2000000000000002</c:v>
                </c:pt>
                <c:pt idx="1482">
                  <c:v>2.8</c:v>
                </c:pt>
                <c:pt idx="1483">
                  <c:v>4</c:v>
                </c:pt>
                <c:pt idx="1484">
                  <c:v>5.2</c:v>
                </c:pt>
                <c:pt idx="1485">
                  <c:v>5.4</c:v>
                </c:pt>
                <c:pt idx="1486">
                  <c:v>5.4</c:v>
                </c:pt>
                <c:pt idx="1487">
                  <c:v>4</c:v>
                </c:pt>
                <c:pt idx="1488">
                  <c:v>2.7</c:v>
                </c:pt>
                <c:pt idx="1489">
                  <c:v>1.9</c:v>
                </c:pt>
                <c:pt idx="1490">
                  <c:v>1.8</c:v>
                </c:pt>
                <c:pt idx="1491">
                  <c:v>1.7</c:v>
                </c:pt>
                <c:pt idx="1492">
                  <c:v>1.5</c:v>
                </c:pt>
                <c:pt idx="1493">
                  <c:v>1.7</c:v>
                </c:pt>
                <c:pt idx="1494">
                  <c:v>3.2</c:v>
                </c:pt>
                <c:pt idx="1495">
                  <c:v>3.6</c:v>
                </c:pt>
                <c:pt idx="1496">
                  <c:v>5.2</c:v>
                </c:pt>
                <c:pt idx="1497">
                  <c:v>5.6</c:v>
                </c:pt>
                <c:pt idx="1498">
                  <c:v>5.4</c:v>
                </c:pt>
                <c:pt idx="1499">
                  <c:v>5.2</c:v>
                </c:pt>
                <c:pt idx="1500">
                  <c:v>5.3</c:v>
                </c:pt>
                <c:pt idx="1501">
                  <c:v>4.7</c:v>
                </c:pt>
                <c:pt idx="1502">
                  <c:v>3.5</c:v>
                </c:pt>
                <c:pt idx="1503">
                  <c:v>2.7</c:v>
                </c:pt>
                <c:pt idx="1504">
                  <c:v>2.6</c:v>
                </c:pt>
                <c:pt idx="1505">
                  <c:v>2.2999999999999998</c:v>
                </c:pt>
                <c:pt idx="1506">
                  <c:v>3.2</c:v>
                </c:pt>
                <c:pt idx="1507">
                  <c:v>4.2</c:v>
                </c:pt>
                <c:pt idx="1508">
                  <c:v>5</c:v>
                </c:pt>
                <c:pt idx="1509">
                  <c:v>3</c:v>
                </c:pt>
                <c:pt idx="1510">
                  <c:v>2.1</c:v>
                </c:pt>
                <c:pt idx="1511">
                  <c:v>7</c:v>
                </c:pt>
                <c:pt idx="1512">
                  <c:v>10.3</c:v>
                </c:pt>
                <c:pt idx="1513">
                  <c:v>8.4</c:v>
                </c:pt>
                <c:pt idx="1514">
                  <c:v>3.9</c:v>
                </c:pt>
                <c:pt idx="1515">
                  <c:v>3.4</c:v>
                </c:pt>
                <c:pt idx="1516">
                  <c:v>4.2</c:v>
                </c:pt>
                <c:pt idx="1517">
                  <c:v>3.2</c:v>
                </c:pt>
                <c:pt idx="1518">
                  <c:v>2</c:v>
                </c:pt>
                <c:pt idx="1519">
                  <c:v>2.2999999999999998</c:v>
                </c:pt>
                <c:pt idx="1520">
                  <c:v>6.4</c:v>
                </c:pt>
                <c:pt idx="1521">
                  <c:v>8</c:v>
                </c:pt>
                <c:pt idx="1522">
                  <c:v>7.8</c:v>
                </c:pt>
                <c:pt idx="1523">
                  <c:v>6.7</c:v>
                </c:pt>
                <c:pt idx="1524">
                  <c:v>6</c:v>
                </c:pt>
                <c:pt idx="1525">
                  <c:v>5.9</c:v>
                </c:pt>
                <c:pt idx="1526">
                  <c:v>5.9</c:v>
                </c:pt>
                <c:pt idx="1527">
                  <c:v>4.2</c:v>
                </c:pt>
                <c:pt idx="1528">
                  <c:v>3.4</c:v>
                </c:pt>
                <c:pt idx="1529">
                  <c:v>3</c:v>
                </c:pt>
                <c:pt idx="1530">
                  <c:v>3.2</c:v>
                </c:pt>
                <c:pt idx="1531">
                  <c:v>3.3</c:v>
                </c:pt>
                <c:pt idx="1532">
                  <c:v>3.2</c:v>
                </c:pt>
                <c:pt idx="1533">
                  <c:v>3.3</c:v>
                </c:pt>
                <c:pt idx="1534">
                  <c:v>4.8</c:v>
                </c:pt>
                <c:pt idx="1535">
                  <c:v>5.9</c:v>
                </c:pt>
                <c:pt idx="1536">
                  <c:v>6.3</c:v>
                </c:pt>
                <c:pt idx="1537">
                  <c:v>6.2</c:v>
                </c:pt>
                <c:pt idx="1538">
                  <c:v>6.2</c:v>
                </c:pt>
                <c:pt idx="1539">
                  <c:v>5.9</c:v>
                </c:pt>
                <c:pt idx="1540">
                  <c:v>5.8</c:v>
                </c:pt>
                <c:pt idx="1541">
                  <c:v>5.0999999999999996</c:v>
                </c:pt>
                <c:pt idx="1542">
                  <c:v>4.2</c:v>
                </c:pt>
                <c:pt idx="1543">
                  <c:v>3.1</c:v>
                </c:pt>
                <c:pt idx="1544">
                  <c:v>2.7</c:v>
                </c:pt>
                <c:pt idx="1545">
                  <c:v>2.6</c:v>
                </c:pt>
                <c:pt idx="1546">
                  <c:v>3.4</c:v>
                </c:pt>
                <c:pt idx="1547">
                  <c:v>3.3</c:v>
                </c:pt>
                <c:pt idx="1548">
                  <c:v>3.2</c:v>
                </c:pt>
                <c:pt idx="1549">
                  <c:v>2.5</c:v>
                </c:pt>
                <c:pt idx="1550">
                  <c:v>2.6</c:v>
                </c:pt>
                <c:pt idx="1551">
                  <c:v>2.6</c:v>
                </c:pt>
                <c:pt idx="1552">
                  <c:v>2.8</c:v>
                </c:pt>
                <c:pt idx="1553">
                  <c:v>3.7</c:v>
                </c:pt>
                <c:pt idx="1554">
                  <c:v>4.7</c:v>
                </c:pt>
                <c:pt idx="1555">
                  <c:v>5.5</c:v>
                </c:pt>
                <c:pt idx="1556">
                  <c:v>6.1</c:v>
                </c:pt>
                <c:pt idx="1557">
                  <c:v>6.1</c:v>
                </c:pt>
                <c:pt idx="1558">
                  <c:v>6</c:v>
                </c:pt>
                <c:pt idx="1559">
                  <c:v>5.6</c:v>
                </c:pt>
                <c:pt idx="1560">
                  <c:v>5</c:v>
                </c:pt>
                <c:pt idx="1561">
                  <c:v>3.9</c:v>
                </c:pt>
                <c:pt idx="1562">
                  <c:v>2.8</c:v>
                </c:pt>
                <c:pt idx="1563">
                  <c:v>2.6</c:v>
                </c:pt>
                <c:pt idx="1564">
                  <c:v>3.4</c:v>
                </c:pt>
                <c:pt idx="1565">
                  <c:v>5.2</c:v>
                </c:pt>
                <c:pt idx="1566">
                  <c:v>5</c:v>
                </c:pt>
                <c:pt idx="1567">
                  <c:v>2.9</c:v>
                </c:pt>
                <c:pt idx="1568">
                  <c:v>3.8</c:v>
                </c:pt>
                <c:pt idx="1569">
                  <c:v>9.5</c:v>
                </c:pt>
                <c:pt idx="1570">
                  <c:v>9.1999999999999993</c:v>
                </c:pt>
                <c:pt idx="1571">
                  <c:v>6</c:v>
                </c:pt>
                <c:pt idx="1572">
                  <c:v>4.5999999999999996</c:v>
                </c:pt>
                <c:pt idx="1573">
                  <c:v>5</c:v>
                </c:pt>
                <c:pt idx="1574">
                  <c:v>5.4</c:v>
                </c:pt>
                <c:pt idx="1575">
                  <c:v>5.0999999999999996</c:v>
                </c:pt>
                <c:pt idx="1576">
                  <c:v>3.9</c:v>
                </c:pt>
                <c:pt idx="1577">
                  <c:v>4.4000000000000004</c:v>
                </c:pt>
                <c:pt idx="1578">
                  <c:v>6.7</c:v>
                </c:pt>
                <c:pt idx="1579">
                  <c:v>7.2</c:v>
                </c:pt>
                <c:pt idx="1580">
                  <c:v>5.8</c:v>
                </c:pt>
                <c:pt idx="1581">
                  <c:v>4</c:v>
                </c:pt>
                <c:pt idx="1582">
                  <c:v>4</c:v>
                </c:pt>
                <c:pt idx="1583">
                  <c:v>5.4</c:v>
                </c:pt>
                <c:pt idx="1584">
                  <c:v>6.2</c:v>
                </c:pt>
                <c:pt idx="1585">
                  <c:v>6.2</c:v>
                </c:pt>
                <c:pt idx="1586">
                  <c:v>5.8</c:v>
                </c:pt>
                <c:pt idx="1587">
                  <c:v>5.8</c:v>
                </c:pt>
                <c:pt idx="1588">
                  <c:v>5.8</c:v>
                </c:pt>
                <c:pt idx="1589">
                  <c:v>5</c:v>
                </c:pt>
                <c:pt idx="1590">
                  <c:v>4.5999999999999996</c:v>
                </c:pt>
                <c:pt idx="1591">
                  <c:v>3.7</c:v>
                </c:pt>
                <c:pt idx="1592">
                  <c:v>3.6</c:v>
                </c:pt>
                <c:pt idx="1593">
                  <c:v>2.9</c:v>
                </c:pt>
                <c:pt idx="1594">
                  <c:v>2.6</c:v>
                </c:pt>
                <c:pt idx="1595">
                  <c:v>1.8</c:v>
                </c:pt>
                <c:pt idx="1596">
                  <c:v>1.7</c:v>
                </c:pt>
                <c:pt idx="1597">
                  <c:v>1.8</c:v>
                </c:pt>
                <c:pt idx="1598">
                  <c:v>2.2999999999999998</c:v>
                </c:pt>
                <c:pt idx="1599">
                  <c:v>2.2000000000000002</c:v>
                </c:pt>
                <c:pt idx="1600">
                  <c:v>2.2000000000000002</c:v>
                </c:pt>
                <c:pt idx="1601">
                  <c:v>2.4</c:v>
                </c:pt>
                <c:pt idx="1602">
                  <c:v>3.5</c:v>
                </c:pt>
                <c:pt idx="1603">
                  <c:v>3.7</c:v>
                </c:pt>
                <c:pt idx="1604">
                  <c:v>3.8</c:v>
                </c:pt>
                <c:pt idx="1605">
                  <c:v>4.0999999999999996</c:v>
                </c:pt>
                <c:pt idx="1606">
                  <c:v>4.7</c:v>
                </c:pt>
                <c:pt idx="1607">
                  <c:v>4.9000000000000004</c:v>
                </c:pt>
                <c:pt idx="1608">
                  <c:v>4.9000000000000004</c:v>
                </c:pt>
                <c:pt idx="1609">
                  <c:v>4.5999999999999996</c:v>
                </c:pt>
                <c:pt idx="1610">
                  <c:v>4.5999999999999996</c:v>
                </c:pt>
                <c:pt idx="1611">
                  <c:v>4.8</c:v>
                </c:pt>
                <c:pt idx="1612">
                  <c:v>5.8</c:v>
                </c:pt>
                <c:pt idx="1613">
                  <c:v>6</c:v>
                </c:pt>
                <c:pt idx="1614">
                  <c:v>6.2</c:v>
                </c:pt>
                <c:pt idx="1615">
                  <c:v>5.7</c:v>
                </c:pt>
                <c:pt idx="1616">
                  <c:v>4.5999999999999996</c:v>
                </c:pt>
                <c:pt idx="1617">
                  <c:v>3.5</c:v>
                </c:pt>
                <c:pt idx="1618">
                  <c:v>2.9</c:v>
                </c:pt>
                <c:pt idx="1619">
                  <c:v>2.7</c:v>
                </c:pt>
                <c:pt idx="1620">
                  <c:v>2.7</c:v>
                </c:pt>
                <c:pt idx="1621">
                  <c:v>3.1</c:v>
                </c:pt>
                <c:pt idx="1622">
                  <c:v>4.4000000000000004</c:v>
                </c:pt>
                <c:pt idx="1623">
                  <c:v>5.6</c:v>
                </c:pt>
                <c:pt idx="1624">
                  <c:v>5.7</c:v>
                </c:pt>
                <c:pt idx="1625">
                  <c:v>5.6</c:v>
                </c:pt>
                <c:pt idx="1626">
                  <c:v>5.5</c:v>
                </c:pt>
                <c:pt idx="1627">
                  <c:v>5.5</c:v>
                </c:pt>
                <c:pt idx="1628">
                  <c:v>6.2</c:v>
                </c:pt>
                <c:pt idx="1629">
                  <c:v>6.8</c:v>
                </c:pt>
                <c:pt idx="1630">
                  <c:v>6.5</c:v>
                </c:pt>
                <c:pt idx="1631">
                  <c:v>5.5</c:v>
                </c:pt>
                <c:pt idx="1632">
                  <c:v>5.0999999999999996</c:v>
                </c:pt>
                <c:pt idx="1633">
                  <c:v>5.0999999999999996</c:v>
                </c:pt>
                <c:pt idx="1634">
                  <c:v>5</c:v>
                </c:pt>
                <c:pt idx="1635">
                  <c:v>4.5</c:v>
                </c:pt>
                <c:pt idx="1636">
                  <c:v>3.5</c:v>
                </c:pt>
                <c:pt idx="1637">
                  <c:v>2.7</c:v>
                </c:pt>
                <c:pt idx="1638">
                  <c:v>2.1</c:v>
                </c:pt>
                <c:pt idx="1639">
                  <c:v>2</c:v>
                </c:pt>
                <c:pt idx="1640">
                  <c:v>1.8</c:v>
                </c:pt>
                <c:pt idx="1641">
                  <c:v>1.8</c:v>
                </c:pt>
                <c:pt idx="1642">
                  <c:v>2.5</c:v>
                </c:pt>
                <c:pt idx="1643">
                  <c:v>3.1</c:v>
                </c:pt>
                <c:pt idx="1644">
                  <c:v>4.0999999999999996</c:v>
                </c:pt>
                <c:pt idx="1645">
                  <c:v>4.0999999999999996</c:v>
                </c:pt>
                <c:pt idx="1646">
                  <c:v>4.0999999999999996</c:v>
                </c:pt>
                <c:pt idx="1647">
                  <c:v>4.0999999999999996</c:v>
                </c:pt>
                <c:pt idx="1648">
                  <c:v>4.7</c:v>
                </c:pt>
                <c:pt idx="1649">
                  <c:v>5.4</c:v>
                </c:pt>
                <c:pt idx="1650">
                  <c:v>6.7</c:v>
                </c:pt>
                <c:pt idx="1651">
                  <c:v>7</c:v>
                </c:pt>
                <c:pt idx="1652">
                  <c:v>7.3</c:v>
                </c:pt>
                <c:pt idx="1653">
                  <c:v>6.4</c:v>
                </c:pt>
                <c:pt idx="1654">
                  <c:v>5.6</c:v>
                </c:pt>
                <c:pt idx="1655">
                  <c:v>5</c:v>
                </c:pt>
                <c:pt idx="1656">
                  <c:v>4.7</c:v>
                </c:pt>
                <c:pt idx="1657">
                  <c:v>4</c:v>
                </c:pt>
                <c:pt idx="1658">
                  <c:v>3.5</c:v>
                </c:pt>
                <c:pt idx="1659">
                  <c:v>3.1</c:v>
                </c:pt>
                <c:pt idx="1660">
                  <c:v>3.5</c:v>
                </c:pt>
                <c:pt idx="1661">
                  <c:v>5.6</c:v>
                </c:pt>
                <c:pt idx="1662">
                  <c:v>6.8</c:v>
                </c:pt>
                <c:pt idx="1663">
                  <c:v>7</c:v>
                </c:pt>
                <c:pt idx="1664">
                  <c:v>5.0999999999999996</c:v>
                </c:pt>
                <c:pt idx="1665">
                  <c:v>5.5</c:v>
                </c:pt>
                <c:pt idx="1666">
                  <c:v>5.8</c:v>
                </c:pt>
                <c:pt idx="1667">
                  <c:v>6.5</c:v>
                </c:pt>
                <c:pt idx="1668">
                  <c:v>6.5</c:v>
                </c:pt>
                <c:pt idx="1669">
                  <c:v>6.2</c:v>
                </c:pt>
                <c:pt idx="1670">
                  <c:v>5.2</c:v>
                </c:pt>
                <c:pt idx="1671">
                  <c:v>4.7</c:v>
                </c:pt>
                <c:pt idx="1672">
                  <c:v>4.3</c:v>
                </c:pt>
                <c:pt idx="1673">
                  <c:v>3.8</c:v>
                </c:pt>
                <c:pt idx="1674">
                  <c:v>3.4</c:v>
                </c:pt>
                <c:pt idx="1675">
                  <c:v>3.4</c:v>
                </c:pt>
                <c:pt idx="1676">
                  <c:v>3.7</c:v>
                </c:pt>
                <c:pt idx="1677">
                  <c:v>4.5</c:v>
                </c:pt>
                <c:pt idx="1678">
                  <c:v>4.5</c:v>
                </c:pt>
                <c:pt idx="1679">
                  <c:v>3.9</c:v>
                </c:pt>
                <c:pt idx="1680">
                  <c:v>2.8</c:v>
                </c:pt>
                <c:pt idx="1681">
                  <c:v>2.4</c:v>
                </c:pt>
                <c:pt idx="1682">
                  <c:v>1.7</c:v>
                </c:pt>
                <c:pt idx="1683">
                  <c:v>1.7</c:v>
                </c:pt>
                <c:pt idx="1684">
                  <c:v>2.4</c:v>
                </c:pt>
                <c:pt idx="1685">
                  <c:v>3.5</c:v>
                </c:pt>
                <c:pt idx="1686">
                  <c:v>4</c:v>
                </c:pt>
                <c:pt idx="1687">
                  <c:v>4</c:v>
                </c:pt>
                <c:pt idx="1688">
                  <c:v>3.8</c:v>
                </c:pt>
                <c:pt idx="1689">
                  <c:v>2.9</c:v>
                </c:pt>
                <c:pt idx="1690">
                  <c:v>2.4</c:v>
                </c:pt>
                <c:pt idx="1691">
                  <c:v>2.2999999999999998</c:v>
                </c:pt>
                <c:pt idx="1692">
                  <c:v>2.2000000000000002</c:v>
                </c:pt>
                <c:pt idx="1693">
                  <c:v>2.6</c:v>
                </c:pt>
                <c:pt idx="1694">
                  <c:v>3</c:v>
                </c:pt>
                <c:pt idx="1695">
                  <c:v>3.2</c:v>
                </c:pt>
                <c:pt idx="1696">
                  <c:v>3.2</c:v>
                </c:pt>
                <c:pt idx="1697">
                  <c:v>3.2</c:v>
                </c:pt>
                <c:pt idx="1698">
                  <c:v>3.5</c:v>
                </c:pt>
                <c:pt idx="1699">
                  <c:v>4.5999999999999996</c:v>
                </c:pt>
                <c:pt idx="1700">
                  <c:v>5.7</c:v>
                </c:pt>
                <c:pt idx="1701">
                  <c:v>6.5</c:v>
                </c:pt>
                <c:pt idx="1702">
                  <c:v>7</c:v>
                </c:pt>
                <c:pt idx="1703">
                  <c:v>7.3</c:v>
                </c:pt>
                <c:pt idx="1704">
                  <c:v>7</c:v>
                </c:pt>
                <c:pt idx="1705">
                  <c:v>5.7</c:v>
                </c:pt>
                <c:pt idx="1706">
                  <c:v>5.0999999999999996</c:v>
                </c:pt>
                <c:pt idx="1707">
                  <c:v>5.0999999999999996</c:v>
                </c:pt>
                <c:pt idx="1708">
                  <c:v>6.2</c:v>
                </c:pt>
                <c:pt idx="1709">
                  <c:v>7</c:v>
                </c:pt>
                <c:pt idx="1710">
                  <c:v>6.6</c:v>
                </c:pt>
                <c:pt idx="1711">
                  <c:v>6</c:v>
                </c:pt>
                <c:pt idx="1712">
                  <c:v>5</c:v>
                </c:pt>
                <c:pt idx="1713">
                  <c:v>4.5</c:v>
                </c:pt>
                <c:pt idx="1714">
                  <c:v>4.5</c:v>
                </c:pt>
                <c:pt idx="1715">
                  <c:v>4.5</c:v>
                </c:pt>
                <c:pt idx="1716">
                  <c:v>4.3</c:v>
                </c:pt>
                <c:pt idx="1717">
                  <c:v>4.0999999999999996</c:v>
                </c:pt>
                <c:pt idx="1718">
                  <c:v>4.0999999999999996</c:v>
                </c:pt>
                <c:pt idx="1719">
                  <c:v>5.6</c:v>
                </c:pt>
                <c:pt idx="1720">
                  <c:v>6.2</c:v>
                </c:pt>
                <c:pt idx="1721">
                  <c:v>7.1</c:v>
                </c:pt>
                <c:pt idx="1722">
                  <c:v>5.6</c:v>
                </c:pt>
                <c:pt idx="1723">
                  <c:v>2.8</c:v>
                </c:pt>
                <c:pt idx="1724">
                  <c:v>1.6</c:v>
                </c:pt>
                <c:pt idx="1725">
                  <c:v>1.3</c:v>
                </c:pt>
                <c:pt idx="1726">
                  <c:v>1.1000000000000001</c:v>
                </c:pt>
                <c:pt idx="1727">
                  <c:v>2.1</c:v>
                </c:pt>
                <c:pt idx="1728">
                  <c:v>2.7</c:v>
                </c:pt>
                <c:pt idx="1729">
                  <c:v>3.5</c:v>
                </c:pt>
                <c:pt idx="1730">
                  <c:v>3.4</c:v>
                </c:pt>
                <c:pt idx="1731">
                  <c:v>4.7</c:v>
                </c:pt>
                <c:pt idx="1732">
                  <c:v>6.8</c:v>
                </c:pt>
                <c:pt idx="1733">
                  <c:v>10.8</c:v>
                </c:pt>
                <c:pt idx="1734">
                  <c:v>11.6</c:v>
                </c:pt>
                <c:pt idx="1735">
                  <c:v>11.9</c:v>
                </c:pt>
                <c:pt idx="1736">
                  <c:v>13.3</c:v>
                </c:pt>
                <c:pt idx="1737">
                  <c:v>17.7</c:v>
                </c:pt>
                <c:pt idx="1738">
                  <c:v>20.5</c:v>
                </c:pt>
                <c:pt idx="1739">
                  <c:v>21.9</c:v>
                </c:pt>
                <c:pt idx="1740">
                  <c:v>22.5</c:v>
                </c:pt>
                <c:pt idx="1741">
                  <c:v>22.3</c:v>
                </c:pt>
                <c:pt idx="1742">
                  <c:v>18</c:v>
                </c:pt>
                <c:pt idx="1743">
                  <c:v>10.199999999999999</c:v>
                </c:pt>
                <c:pt idx="1744">
                  <c:v>7.6</c:v>
                </c:pt>
                <c:pt idx="1745">
                  <c:v>5.9</c:v>
                </c:pt>
                <c:pt idx="1746">
                  <c:v>7.3</c:v>
                </c:pt>
                <c:pt idx="1747">
                  <c:v>8.6</c:v>
                </c:pt>
                <c:pt idx="1748">
                  <c:v>10.1</c:v>
                </c:pt>
                <c:pt idx="1749">
                  <c:v>10.5</c:v>
                </c:pt>
                <c:pt idx="1750">
                  <c:v>11</c:v>
                </c:pt>
                <c:pt idx="1751">
                  <c:v>11</c:v>
                </c:pt>
                <c:pt idx="1752">
                  <c:v>10.9</c:v>
                </c:pt>
                <c:pt idx="1753">
                  <c:v>10.8</c:v>
                </c:pt>
                <c:pt idx="1754">
                  <c:v>11.6</c:v>
                </c:pt>
                <c:pt idx="1755">
                  <c:v>13</c:v>
                </c:pt>
                <c:pt idx="1756">
                  <c:v>13.5</c:v>
                </c:pt>
                <c:pt idx="1757">
                  <c:v>13.4</c:v>
                </c:pt>
                <c:pt idx="1758">
                  <c:v>13.5</c:v>
                </c:pt>
                <c:pt idx="1759">
                  <c:v>14.3</c:v>
                </c:pt>
                <c:pt idx="1760">
                  <c:v>15.2</c:v>
                </c:pt>
                <c:pt idx="1761">
                  <c:v>15.2</c:v>
                </c:pt>
                <c:pt idx="1762">
                  <c:v>15.2</c:v>
                </c:pt>
                <c:pt idx="1763">
                  <c:v>15.2</c:v>
                </c:pt>
                <c:pt idx="1764">
                  <c:v>14.5</c:v>
                </c:pt>
                <c:pt idx="1765">
                  <c:v>12.8</c:v>
                </c:pt>
                <c:pt idx="1766">
                  <c:v>10.5</c:v>
                </c:pt>
                <c:pt idx="1767">
                  <c:v>9.3000000000000007</c:v>
                </c:pt>
                <c:pt idx="1768">
                  <c:v>8.9</c:v>
                </c:pt>
                <c:pt idx="1769">
                  <c:v>9.4</c:v>
                </c:pt>
                <c:pt idx="1770">
                  <c:v>11.9</c:v>
                </c:pt>
                <c:pt idx="1771">
                  <c:v>14.2</c:v>
                </c:pt>
                <c:pt idx="1772">
                  <c:v>15.2</c:v>
                </c:pt>
                <c:pt idx="1773">
                  <c:v>16.899999999999999</c:v>
                </c:pt>
                <c:pt idx="1774">
                  <c:v>17.5</c:v>
                </c:pt>
                <c:pt idx="1775">
                  <c:v>18.399999999999999</c:v>
                </c:pt>
                <c:pt idx="1776">
                  <c:v>19.8</c:v>
                </c:pt>
                <c:pt idx="1777">
                  <c:v>20.399999999999999</c:v>
                </c:pt>
                <c:pt idx="1778">
                  <c:v>20.6</c:v>
                </c:pt>
                <c:pt idx="1779">
                  <c:v>19.8</c:v>
                </c:pt>
                <c:pt idx="1780">
                  <c:v>19.399999999999999</c:v>
                </c:pt>
                <c:pt idx="1781">
                  <c:v>18.600000000000001</c:v>
                </c:pt>
                <c:pt idx="1782">
                  <c:v>17.899999999999999</c:v>
                </c:pt>
                <c:pt idx="1783">
                  <c:v>17.399999999999999</c:v>
                </c:pt>
                <c:pt idx="1784">
                  <c:v>17.100000000000001</c:v>
                </c:pt>
                <c:pt idx="1785">
                  <c:v>15.6</c:v>
                </c:pt>
                <c:pt idx="1786">
                  <c:v>13.3</c:v>
                </c:pt>
                <c:pt idx="1787">
                  <c:v>12</c:v>
                </c:pt>
                <c:pt idx="1788">
                  <c:v>11.3</c:v>
                </c:pt>
                <c:pt idx="1789">
                  <c:v>11.3</c:v>
                </c:pt>
                <c:pt idx="1790">
                  <c:v>11.9</c:v>
                </c:pt>
                <c:pt idx="1791">
                  <c:v>12.3</c:v>
                </c:pt>
                <c:pt idx="1792">
                  <c:v>13.6</c:v>
                </c:pt>
                <c:pt idx="1793">
                  <c:v>14.3</c:v>
                </c:pt>
                <c:pt idx="1794">
                  <c:v>14.5</c:v>
                </c:pt>
                <c:pt idx="1795">
                  <c:v>14.2</c:v>
                </c:pt>
                <c:pt idx="1796">
                  <c:v>13.1</c:v>
                </c:pt>
                <c:pt idx="1797">
                  <c:v>11.1</c:v>
                </c:pt>
                <c:pt idx="1798">
                  <c:v>10.8</c:v>
                </c:pt>
                <c:pt idx="1799">
                  <c:v>11.3</c:v>
                </c:pt>
                <c:pt idx="1800">
                  <c:v>11.9</c:v>
                </c:pt>
                <c:pt idx="1801">
                  <c:v>11.9</c:v>
                </c:pt>
                <c:pt idx="1802">
                  <c:v>11.9</c:v>
                </c:pt>
                <c:pt idx="1803">
                  <c:v>11.9</c:v>
                </c:pt>
                <c:pt idx="1804">
                  <c:v>11.9</c:v>
                </c:pt>
                <c:pt idx="1805">
                  <c:v>11.6</c:v>
                </c:pt>
                <c:pt idx="1806">
                  <c:v>11.7</c:v>
                </c:pt>
                <c:pt idx="1807">
                  <c:v>14.1</c:v>
                </c:pt>
                <c:pt idx="1808">
                  <c:v>16</c:v>
                </c:pt>
                <c:pt idx="1809">
                  <c:v>16.399999999999999</c:v>
                </c:pt>
                <c:pt idx="1810">
                  <c:v>14.3</c:v>
                </c:pt>
                <c:pt idx="1811">
                  <c:v>12</c:v>
                </c:pt>
                <c:pt idx="1812">
                  <c:v>10.8</c:v>
                </c:pt>
                <c:pt idx="1813">
                  <c:v>10.1</c:v>
                </c:pt>
                <c:pt idx="1814">
                  <c:v>11.5</c:v>
                </c:pt>
                <c:pt idx="1815">
                  <c:v>15.5</c:v>
                </c:pt>
                <c:pt idx="1816">
                  <c:v>19.3</c:v>
                </c:pt>
                <c:pt idx="1817">
                  <c:v>21.9</c:v>
                </c:pt>
                <c:pt idx="1818">
                  <c:v>23.6</c:v>
                </c:pt>
                <c:pt idx="1819">
                  <c:v>25.6</c:v>
                </c:pt>
                <c:pt idx="1820">
                  <c:v>26.2</c:v>
                </c:pt>
                <c:pt idx="1821">
                  <c:v>26.7</c:v>
                </c:pt>
                <c:pt idx="1822">
                  <c:v>25.8</c:v>
                </c:pt>
                <c:pt idx="1823">
                  <c:v>25.8</c:v>
                </c:pt>
                <c:pt idx="1824">
                  <c:v>26.4</c:v>
                </c:pt>
                <c:pt idx="1825">
                  <c:v>26.2</c:v>
                </c:pt>
                <c:pt idx="1826">
                  <c:v>25.1</c:v>
                </c:pt>
                <c:pt idx="1827">
                  <c:v>24.9</c:v>
                </c:pt>
                <c:pt idx="1828">
                  <c:v>26.2</c:v>
                </c:pt>
                <c:pt idx="1829">
                  <c:v>26.7</c:v>
                </c:pt>
                <c:pt idx="1830">
                  <c:v>26.1</c:v>
                </c:pt>
                <c:pt idx="1831">
                  <c:v>21.4</c:v>
                </c:pt>
                <c:pt idx="1832">
                  <c:v>15.2</c:v>
                </c:pt>
                <c:pt idx="1833">
                  <c:v>11.6</c:v>
                </c:pt>
                <c:pt idx="1834">
                  <c:v>8.9</c:v>
                </c:pt>
                <c:pt idx="1835">
                  <c:v>4.7</c:v>
                </c:pt>
                <c:pt idx="1836">
                  <c:v>3.4</c:v>
                </c:pt>
                <c:pt idx="1837">
                  <c:v>5.3</c:v>
                </c:pt>
                <c:pt idx="1838">
                  <c:v>8.1999999999999993</c:v>
                </c:pt>
                <c:pt idx="1839">
                  <c:v>8.6999999999999993</c:v>
                </c:pt>
                <c:pt idx="1840">
                  <c:v>9.5</c:v>
                </c:pt>
                <c:pt idx="1841">
                  <c:v>11.1</c:v>
                </c:pt>
                <c:pt idx="1842">
                  <c:v>12.2</c:v>
                </c:pt>
                <c:pt idx="1843">
                  <c:v>12.7</c:v>
                </c:pt>
                <c:pt idx="1844">
                  <c:v>12.3</c:v>
                </c:pt>
                <c:pt idx="1845">
                  <c:v>11.7</c:v>
                </c:pt>
                <c:pt idx="1846">
                  <c:v>11.9</c:v>
                </c:pt>
                <c:pt idx="1847">
                  <c:v>12.4</c:v>
                </c:pt>
                <c:pt idx="1848">
                  <c:v>13.1</c:v>
                </c:pt>
                <c:pt idx="1849">
                  <c:v>13</c:v>
                </c:pt>
                <c:pt idx="1850">
                  <c:v>11.6</c:v>
                </c:pt>
                <c:pt idx="1851">
                  <c:v>10.199999999999999</c:v>
                </c:pt>
                <c:pt idx="1852">
                  <c:v>10</c:v>
                </c:pt>
                <c:pt idx="1853">
                  <c:v>10.199999999999999</c:v>
                </c:pt>
                <c:pt idx="1854">
                  <c:v>10.9</c:v>
                </c:pt>
                <c:pt idx="1855">
                  <c:v>10.1</c:v>
                </c:pt>
                <c:pt idx="1856">
                  <c:v>8.6</c:v>
                </c:pt>
                <c:pt idx="1857">
                  <c:v>8.1</c:v>
                </c:pt>
                <c:pt idx="1858">
                  <c:v>8.5</c:v>
                </c:pt>
                <c:pt idx="1859">
                  <c:v>9.6</c:v>
                </c:pt>
                <c:pt idx="1860">
                  <c:v>8.8000000000000007</c:v>
                </c:pt>
                <c:pt idx="1861">
                  <c:v>7.4</c:v>
                </c:pt>
                <c:pt idx="1862">
                  <c:v>6.8</c:v>
                </c:pt>
                <c:pt idx="1863">
                  <c:v>10.199999999999999</c:v>
                </c:pt>
                <c:pt idx="1864">
                  <c:v>12.3</c:v>
                </c:pt>
                <c:pt idx="1865">
                  <c:v>14.6</c:v>
                </c:pt>
                <c:pt idx="1866">
                  <c:v>14.6</c:v>
                </c:pt>
                <c:pt idx="1867">
                  <c:v>14.7</c:v>
                </c:pt>
                <c:pt idx="1868">
                  <c:v>15.9</c:v>
                </c:pt>
                <c:pt idx="1869">
                  <c:v>18.5</c:v>
                </c:pt>
                <c:pt idx="1870">
                  <c:v>19.600000000000001</c:v>
                </c:pt>
                <c:pt idx="1871">
                  <c:v>19.899999999999999</c:v>
                </c:pt>
                <c:pt idx="1872">
                  <c:v>18.5</c:v>
                </c:pt>
                <c:pt idx="1873">
                  <c:v>17.2</c:v>
                </c:pt>
                <c:pt idx="1874">
                  <c:v>14.1</c:v>
                </c:pt>
                <c:pt idx="1875">
                  <c:v>11.9</c:v>
                </c:pt>
                <c:pt idx="1876">
                  <c:v>10.5</c:v>
                </c:pt>
                <c:pt idx="1877">
                  <c:v>10.5</c:v>
                </c:pt>
                <c:pt idx="1878">
                  <c:v>10.9</c:v>
                </c:pt>
                <c:pt idx="1879">
                  <c:v>11.6</c:v>
                </c:pt>
                <c:pt idx="1880">
                  <c:v>11.5</c:v>
                </c:pt>
                <c:pt idx="1881">
                  <c:v>9.4</c:v>
                </c:pt>
                <c:pt idx="1882">
                  <c:v>8.5</c:v>
                </c:pt>
                <c:pt idx="1883">
                  <c:v>6.8</c:v>
                </c:pt>
                <c:pt idx="1884">
                  <c:v>5.7</c:v>
                </c:pt>
                <c:pt idx="1885">
                  <c:v>4.5999999999999996</c:v>
                </c:pt>
                <c:pt idx="1886">
                  <c:v>4.5</c:v>
                </c:pt>
                <c:pt idx="1887">
                  <c:v>4.7</c:v>
                </c:pt>
                <c:pt idx="1888">
                  <c:v>5.6</c:v>
                </c:pt>
                <c:pt idx="1889">
                  <c:v>5.3</c:v>
                </c:pt>
                <c:pt idx="1890">
                  <c:v>5.0999999999999996</c:v>
                </c:pt>
                <c:pt idx="1891">
                  <c:v>4.7</c:v>
                </c:pt>
                <c:pt idx="1892">
                  <c:v>5.5</c:v>
                </c:pt>
                <c:pt idx="1893">
                  <c:v>6.7</c:v>
                </c:pt>
                <c:pt idx="1894">
                  <c:v>8.1999999999999993</c:v>
                </c:pt>
                <c:pt idx="1895">
                  <c:v>8</c:v>
                </c:pt>
                <c:pt idx="1896">
                  <c:v>6.6</c:v>
                </c:pt>
                <c:pt idx="1897">
                  <c:v>4.0999999999999996</c:v>
                </c:pt>
                <c:pt idx="1898">
                  <c:v>3.5</c:v>
                </c:pt>
                <c:pt idx="1899">
                  <c:v>1.5</c:v>
                </c:pt>
                <c:pt idx="1900">
                  <c:v>0.3</c:v>
                </c:pt>
                <c:pt idx="1901">
                  <c:v>-0.7</c:v>
                </c:pt>
                <c:pt idx="1902">
                  <c:v>-0.5</c:v>
                </c:pt>
                <c:pt idx="1903">
                  <c:v>0.7</c:v>
                </c:pt>
                <c:pt idx="1904">
                  <c:v>2.4</c:v>
                </c:pt>
                <c:pt idx="1905">
                  <c:v>4.3</c:v>
                </c:pt>
                <c:pt idx="1906">
                  <c:v>5.4</c:v>
                </c:pt>
                <c:pt idx="1907">
                  <c:v>7.3</c:v>
                </c:pt>
                <c:pt idx="1908">
                  <c:v>9.5</c:v>
                </c:pt>
                <c:pt idx="1909">
                  <c:v>10.9</c:v>
                </c:pt>
                <c:pt idx="1910">
                  <c:v>11.4</c:v>
                </c:pt>
                <c:pt idx="1911">
                  <c:v>11.8</c:v>
                </c:pt>
                <c:pt idx="1912">
                  <c:v>12.1</c:v>
                </c:pt>
                <c:pt idx="1913">
                  <c:v>13.3</c:v>
                </c:pt>
                <c:pt idx="1914">
                  <c:v>14.2</c:v>
                </c:pt>
                <c:pt idx="1915">
                  <c:v>14.5</c:v>
                </c:pt>
                <c:pt idx="1916">
                  <c:v>14.4</c:v>
                </c:pt>
                <c:pt idx="1917">
                  <c:v>13.9</c:v>
                </c:pt>
                <c:pt idx="1918">
                  <c:v>13.1</c:v>
                </c:pt>
                <c:pt idx="1919">
                  <c:v>12.4</c:v>
                </c:pt>
                <c:pt idx="1920">
                  <c:v>11.3</c:v>
                </c:pt>
                <c:pt idx="1921">
                  <c:v>9.9</c:v>
                </c:pt>
                <c:pt idx="1922">
                  <c:v>7.4</c:v>
                </c:pt>
                <c:pt idx="1923">
                  <c:v>4.9000000000000004</c:v>
                </c:pt>
                <c:pt idx="1924">
                  <c:v>3.5</c:v>
                </c:pt>
                <c:pt idx="1925">
                  <c:v>3.2</c:v>
                </c:pt>
                <c:pt idx="1926">
                  <c:v>3</c:v>
                </c:pt>
                <c:pt idx="1927">
                  <c:v>2.9</c:v>
                </c:pt>
                <c:pt idx="1928">
                  <c:v>2.6</c:v>
                </c:pt>
                <c:pt idx="1929">
                  <c:v>2.4</c:v>
                </c:pt>
                <c:pt idx="1930">
                  <c:v>2.4</c:v>
                </c:pt>
                <c:pt idx="1931">
                  <c:v>2.9</c:v>
                </c:pt>
                <c:pt idx="1932">
                  <c:v>3.3</c:v>
                </c:pt>
                <c:pt idx="1933">
                  <c:v>3.6</c:v>
                </c:pt>
                <c:pt idx="1934">
                  <c:v>4</c:v>
                </c:pt>
                <c:pt idx="1935">
                  <c:v>4.4000000000000004</c:v>
                </c:pt>
                <c:pt idx="1936">
                  <c:v>5.0999999999999996</c:v>
                </c:pt>
                <c:pt idx="1937">
                  <c:v>4.9000000000000004</c:v>
                </c:pt>
                <c:pt idx="1938">
                  <c:v>4.4000000000000004</c:v>
                </c:pt>
                <c:pt idx="1939">
                  <c:v>2.6</c:v>
                </c:pt>
                <c:pt idx="1940">
                  <c:v>1.9</c:v>
                </c:pt>
                <c:pt idx="1941">
                  <c:v>1</c:v>
                </c:pt>
                <c:pt idx="1942">
                  <c:v>0.9</c:v>
                </c:pt>
                <c:pt idx="1943">
                  <c:v>0.4</c:v>
                </c:pt>
                <c:pt idx="1944">
                  <c:v>0</c:v>
                </c:pt>
                <c:pt idx="1945">
                  <c:v>-0.2</c:v>
                </c:pt>
                <c:pt idx="1946">
                  <c:v>0.5</c:v>
                </c:pt>
                <c:pt idx="1947">
                  <c:v>1.5</c:v>
                </c:pt>
                <c:pt idx="1948">
                  <c:v>2.2000000000000002</c:v>
                </c:pt>
                <c:pt idx="1949">
                  <c:v>2.2000000000000002</c:v>
                </c:pt>
                <c:pt idx="1950">
                  <c:v>2.8</c:v>
                </c:pt>
                <c:pt idx="1951">
                  <c:v>4.2</c:v>
                </c:pt>
                <c:pt idx="1952">
                  <c:v>7.6</c:v>
                </c:pt>
                <c:pt idx="1953">
                  <c:v>10.6</c:v>
                </c:pt>
                <c:pt idx="1954">
                  <c:v>11.5</c:v>
                </c:pt>
                <c:pt idx="1955">
                  <c:v>12.1</c:v>
                </c:pt>
                <c:pt idx="1956">
                  <c:v>11.7</c:v>
                </c:pt>
                <c:pt idx="1957">
                  <c:v>10.4</c:v>
                </c:pt>
                <c:pt idx="1958">
                  <c:v>10.4</c:v>
                </c:pt>
                <c:pt idx="1959">
                  <c:v>12.9</c:v>
                </c:pt>
                <c:pt idx="1960">
                  <c:v>14.8</c:v>
                </c:pt>
                <c:pt idx="1961">
                  <c:v>14.7</c:v>
                </c:pt>
                <c:pt idx="1962">
                  <c:v>12.6</c:v>
                </c:pt>
                <c:pt idx="1963">
                  <c:v>11.7</c:v>
                </c:pt>
                <c:pt idx="1964">
                  <c:v>11.1</c:v>
                </c:pt>
                <c:pt idx="1965">
                  <c:v>10.7</c:v>
                </c:pt>
                <c:pt idx="1966">
                  <c:v>8.3000000000000007</c:v>
                </c:pt>
                <c:pt idx="1967">
                  <c:v>4.8</c:v>
                </c:pt>
                <c:pt idx="1968">
                  <c:v>2.4</c:v>
                </c:pt>
                <c:pt idx="1969">
                  <c:v>2</c:v>
                </c:pt>
                <c:pt idx="1970">
                  <c:v>0.9</c:v>
                </c:pt>
                <c:pt idx="1971">
                  <c:v>0.8</c:v>
                </c:pt>
                <c:pt idx="1972">
                  <c:v>0.6</c:v>
                </c:pt>
                <c:pt idx="1973">
                  <c:v>0.2</c:v>
                </c:pt>
                <c:pt idx="1974">
                  <c:v>-0.1</c:v>
                </c:pt>
                <c:pt idx="1975">
                  <c:v>-0.9</c:v>
                </c:pt>
                <c:pt idx="1976">
                  <c:v>-1</c:v>
                </c:pt>
                <c:pt idx="1977">
                  <c:v>-1</c:v>
                </c:pt>
                <c:pt idx="1978">
                  <c:v>-1</c:v>
                </c:pt>
                <c:pt idx="1979">
                  <c:v>-1.2</c:v>
                </c:pt>
                <c:pt idx="1980">
                  <c:v>-2</c:v>
                </c:pt>
                <c:pt idx="1981">
                  <c:v>-3</c:v>
                </c:pt>
                <c:pt idx="1982">
                  <c:v>-3.3</c:v>
                </c:pt>
                <c:pt idx="1983">
                  <c:v>-3.6</c:v>
                </c:pt>
                <c:pt idx="1984">
                  <c:v>-3.6</c:v>
                </c:pt>
                <c:pt idx="1985">
                  <c:v>-3.6</c:v>
                </c:pt>
                <c:pt idx="1986">
                  <c:v>-3.3</c:v>
                </c:pt>
                <c:pt idx="1987">
                  <c:v>-3.2</c:v>
                </c:pt>
                <c:pt idx="1988">
                  <c:v>-3.1</c:v>
                </c:pt>
                <c:pt idx="1989">
                  <c:v>-3.4</c:v>
                </c:pt>
                <c:pt idx="1990">
                  <c:v>-3.5</c:v>
                </c:pt>
                <c:pt idx="1991">
                  <c:v>-3.6</c:v>
                </c:pt>
                <c:pt idx="1992">
                  <c:v>-3.6</c:v>
                </c:pt>
                <c:pt idx="1993">
                  <c:v>-3.6</c:v>
                </c:pt>
                <c:pt idx="1994">
                  <c:v>-3.4</c:v>
                </c:pt>
                <c:pt idx="1995">
                  <c:v>-2.2999999999999998</c:v>
                </c:pt>
                <c:pt idx="1996">
                  <c:v>-1.7</c:v>
                </c:pt>
                <c:pt idx="1997">
                  <c:v>-1.9</c:v>
                </c:pt>
                <c:pt idx="1998">
                  <c:v>-2.6</c:v>
                </c:pt>
                <c:pt idx="1999">
                  <c:v>-2.2999999999999998</c:v>
                </c:pt>
                <c:pt idx="2000">
                  <c:v>-1.4</c:v>
                </c:pt>
                <c:pt idx="2001">
                  <c:v>0.1</c:v>
                </c:pt>
                <c:pt idx="2002">
                  <c:v>0.5</c:v>
                </c:pt>
                <c:pt idx="2003">
                  <c:v>0.5</c:v>
                </c:pt>
                <c:pt idx="2004">
                  <c:v>-0.1</c:v>
                </c:pt>
                <c:pt idx="2005">
                  <c:v>-1.1000000000000001</c:v>
                </c:pt>
                <c:pt idx="2006">
                  <c:v>-1.7</c:v>
                </c:pt>
                <c:pt idx="2007">
                  <c:v>-2.4</c:v>
                </c:pt>
                <c:pt idx="2008">
                  <c:v>-2.6</c:v>
                </c:pt>
                <c:pt idx="2009">
                  <c:v>-2.6</c:v>
                </c:pt>
                <c:pt idx="2010">
                  <c:v>-1.3</c:v>
                </c:pt>
                <c:pt idx="2011">
                  <c:v>-0.8</c:v>
                </c:pt>
                <c:pt idx="2012">
                  <c:v>-0.8</c:v>
                </c:pt>
                <c:pt idx="2013">
                  <c:v>-0.5</c:v>
                </c:pt>
                <c:pt idx="2014">
                  <c:v>-0.1</c:v>
                </c:pt>
                <c:pt idx="2015">
                  <c:v>-0.1</c:v>
                </c:pt>
                <c:pt idx="2016">
                  <c:v>-0.1</c:v>
                </c:pt>
                <c:pt idx="2017">
                  <c:v>0.5</c:v>
                </c:pt>
                <c:pt idx="2018">
                  <c:v>2.1</c:v>
                </c:pt>
                <c:pt idx="2019">
                  <c:v>2.7</c:v>
                </c:pt>
                <c:pt idx="2020">
                  <c:v>2.7</c:v>
                </c:pt>
                <c:pt idx="2021">
                  <c:v>2.5</c:v>
                </c:pt>
                <c:pt idx="2022">
                  <c:v>2.6</c:v>
                </c:pt>
                <c:pt idx="2023">
                  <c:v>2.1</c:v>
                </c:pt>
                <c:pt idx="2024">
                  <c:v>2.5</c:v>
                </c:pt>
                <c:pt idx="2025">
                  <c:v>2.8</c:v>
                </c:pt>
                <c:pt idx="2026">
                  <c:v>3.6</c:v>
                </c:pt>
                <c:pt idx="2027">
                  <c:v>3.6</c:v>
                </c:pt>
                <c:pt idx="2028">
                  <c:v>3.6</c:v>
                </c:pt>
                <c:pt idx="2029">
                  <c:v>3.6</c:v>
                </c:pt>
                <c:pt idx="2030">
                  <c:v>3.8</c:v>
                </c:pt>
                <c:pt idx="2031">
                  <c:v>3.8</c:v>
                </c:pt>
                <c:pt idx="2032">
                  <c:v>3.6</c:v>
                </c:pt>
                <c:pt idx="2033">
                  <c:v>3.5</c:v>
                </c:pt>
                <c:pt idx="2034">
                  <c:v>3.5</c:v>
                </c:pt>
                <c:pt idx="2035">
                  <c:v>3.6</c:v>
                </c:pt>
                <c:pt idx="2036">
                  <c:v>3.8</c:v>
                </c:pt>
                <c:pt idx="2037">
                  <c:v>5.4</c:v>
                </c:pt>
                <c:pt idx="2038">
                  <c:v>6</c:v>
                </c:pt>
                <c:pt idx="2039">
                  <c:v>6.4</c:v>
                </c:pt>
                <c:pt idx="2040">
                  <c:v>6.4</c:v>
                </c:pt>
                <c:pt idx="2041">
                  <c:v>5.7</c:v>
                </c:pt>
                <c:pt idx="2042">
                  <c:v>3.9</c:v>
                </c:pt>
                <c:pt idx="2043">
                  <c:v>3.5</c:v>
                </c:pt>
                <c:pt idx="2044">
                  <c:v>3.4</c:v>
                </c:pt>
                <c:pt idx="2045">
                  <c:v>3.7</c:v>
                </c:pt>
                <c:pt idx="2046">
                  <c:v>4.2</c:v>
                </c:pt>
                <c:pt idx="2047">
                  <c:v>4.2</c:v>
                </c:pt>
                <c:pt idx="2048">
                  <c:v>3.8</c:v>
                </c:pt>
                <c:pt idx="2049">
                  <c:v>3.1</c:v>
                </c:pt>
                <c:pt idx="2050">
                  <c:v>2.2999999999999998</c:v>
                </c:pt>
                <c:pt idx="2051">
                  <c:v>2.1</c:v>
                </c:pt>
                <c:pt idx="2052">
                  <c:v>2.5</c:v>
                </c:pt>
                <c:pt idx="2053">
                  <c:v>3.4</c:v>
                </c:pt>
                <c:pt idx="2054">
                  <c:v>6.5</c:v>
                </c:pt>
                <c:pt idx="2055">
                  <c:v>9.1</c:v>
                </c:pt>
                <c:pt idx="2056">
                  <c:v>12.6</c:v>
                </c:pt>
                <c:pt idx="2057">
                  <c:v>15.3</c:v>
                </c:pt>
                <c:pt idx="2058">
                  <c:v>16.7</c:v>
                </c:pt>
                <c:pt idx="2059">
                  <c:v>16.8</c:v>
                </c:pt>
                <c:pt idx="2060">
                  <c:v>14.5</c:v>
                </c:pt>
                <c:pt idx="2061">
                  <c:v>12.4</c:v>
                </c:pt>
                <c:pt idx="2062">
                  <c:v>10.8</c:v>
                </c:pt>
                <c:pt idx="2063">
                  <c:v>10.6</c:v>
                </c:pt>
                <c:pt idx="2064">
                  <c:v>8.4</c:v>
                </c:pt>
                <c:pt idx="2065">
                  <c:v>8.1</c:v>
                </c:pt>
                <c:pt idx="2066">
                  <c:v>6.8</c:v>
                </c:pt>
                <c:pt idx="2067">
                  <c:v>6.7</c:v>
                </c:pt>
                <c:pt idx="2068">
                  <c:v>8.3000000000000007</c:v>
                </c:pt>
                <c:pt idx="2069">
                  <c:v>8.6</c:v>
                </c:pt>
                <c:pt idx="2070">
                  <c:v>9.4</c:v>
                </c:pt>
                <c:pt idx="2071">
                  <c:v>10.199999999999999</c:v>
                </c:pt>
                <c:pt idx="2072">
                  <c:v>11.1</c:v>
                </c:pt>
                <c:pt idx="2073">
                  <c:v>10.6</c:v>
                </c:pt>
                <c:pt idx="2074">
                  <c:v>11.3</c:v>
                </c:pt>
                <c:pt idx="2075">
                  <c:v>10</c:v>
                </c:pt>
                <c:pt idx="2076">
                  <c:v>12</c:v>
                </c:pt>
                <c:pt idx="2077">
                  <c:v>13.6</c:v>
                </c:pt>
                <c:pt idx="2078">
                  <c:v>14.7</c:v>
                </c:pt>
                <c:pt idx="2079">
                  <c:v>15.4</c:v>
                </c:pt>
                <c:pt idx="2080">
                  <c:v>14.6</c:v>
                </c:pt>
                <c:pt idx="2081">
                  <c:v>13.9</c:v>
                </c:pt>
                <c:pt idx="2082">
                  <c:v>13</c:v>
                </c:pt>
                <c:pt idx="2083">
                  <c:v>11.5</c:v>
                </c:pt>
                <c:pt idx="2084">
                  <c:v>8.1999999999999993</c:v>
                </c:pt>
                <c:pt idx="2085">
                  <c:v>7.3</c:v>
                </c:pt>
                <c:pt idx="2086">
                  <c:v>7.1</c:v>
                </c:pt>
                <c:pt idx="2087">
                  <c:v>7.8</c:v>
                </c:pt>
                <c:pt idx="2088">
                  <c:v>15.4</c:v>
                </c:pt>
                <c:pt idx="2089">
                  <c:v>18.5</c:v>
                </c:pt>
                <c:pt idx="2090">
                  <c:v>21</c:v>
                </c:pt>
                <c:pt idx="2091">
                  <c:v>22.5</c:v>
                </c:pt>
                <c:pt idx="2092">
                  <c:v>21.7</c:v>
                </c:pt>
                <c:pt idx="2093">
                  <c:v>20.399999999999999</c:v>
                </c:pt>
                <c:pt idx="2094">
                  <c:v>17.600000000000001</c:v>
                </c:pt>
                <c:pt idx="2095">
                  <c:v>16.899999999999999</c:v>
                </c:pt>
                <c:pt idx="2096">
                  <c:v>16</c:v>
                </c:pt>
                <c:pt idx="2097">
                  <c:v>16.600000000000001</c:v>
                </c:pt>
                <c:pt idx="2098">
                  <c:v>17.100000000000001</c:v>
                </c:pt>
                <c:pt idx="2099">
                  <c:v>15.2</c:v>
                </c:pt>
                <c:pt idx="2100">
                  <c:v>14.5</c:v>
                </c:pt>
                <c:pt idx="2101">
                  <c:v>14.3</c:v>
                </c:pt>
                <c:pt idx="2102">
                  <c:v>14</c:v>
                </c:pt>
                <c:pt idx="2103">
                  <c:v>14.1</c:v>
                </c:pt>
                <c:pt idx="2104">
                  <c:v>15.2</c:v>
                </c:pt>
                <c:pt idx="2105">
                  <c:v>15.4</c:v>
                </c:pt>
                <c:pt idx="2106">
                  <c:v>15.9</c:v>
                </c:pt>
                <c:pt idx="2107">
                  <c:v>15.7</c:v>
                </c:pt>
                <c:pt idx="2108">
                  <c:v>16.5</c:v>
                </c:pt>
                <c:pt idx="2109">
                  <c:v>16.399999999999999</c:v>
                </c:pt>
                <c:pt idx="2110">
                  <c:v>17</c:v>
                </c:pt>
                <c:pt idx="2111">
                  <c:v>18</c:v>
                </c:pt>
                <c:pt idx="2112">
                  <c:v>18</c:v>
                </c:pt>
                <c:pt idx="2113">
                  <c:v>18</c:v>
                </c:pt>
                <c:pt idx="2114">
                  <c:v>17.899999999999999</c:v>
                </c:pt>
                <c:pt idx="2115">
                  <c:v>17.2</c:v>
                </c:pt>
                <c:pt idx="2116">
                  <c:v>16.7</c:v>
                </c:pt>
                <c:pt idx="2117">
                  <c:v>16.7</c:v>
                </c:pt>
                <c:pt idx="2118">
                  <c:v>17.100000000000001</c:v>
                </c:pt>
                <c:pt idx="2119">
                  <c:v>14.9</c:v>
                </c:pt>
                <c:pt idx="2120">
                  <c:v>10</c:v>
                </c:pt>
                <c:pt idx="2121">
                  <c:v>7.8</c:v>
                </c:pt>
                <c:pt idx="2122">
                  <c:v>8.1</c:v>
                </c:pt>
                <c:pt idx="2123">
                  <c:v>11.6</c:v>
                </c:pt>
                <c:pt idx="2124">
                  <c:v>14</c:v>
                </c:pt>
                <c:pt idx="2125">
                  <c:v>16.100000000000001</c:v>
                </c:pt>
                <c:pt idx="2126">
                  <c:v>16.100000000000001</c:v>
                </c:pt>
                <c:pt idx="2127">
                  <c:v>16.100000000000001</c:v>
                </c:pt>
                <c:pt idx="2128">
                  <c:v>16.3</c:v>
                </c:pt>
                <c:pt idx="2129">
                  <c:v>16.3</c:v>
                </c:pt>
                <c:pt idx="2130">
                  <c:v>17.100000000000001</c:v>
                </c:pt>
                <c:pt idx="2131">
                  <c:v>18.3</c:v>
                </c:pt>
                <c:pt idx="2132">
                  <c:v>18.5</c:v>
                </c:pt>
                <c:pt idx="2133">
                  <c:v>17.600000000000001</c:v>
                </c:pt>
                <c:pt idx="2134">
                  <c:v>13.2</c:v>
                </c:pt>
                <c:pt idx="2135">
                  <c:v>12.1</c:v>
                </c:pt>
                <c:pt idx="2136">
                  <c:v>12</c:v>
                </c:pt>
                <c:pt idx="2137">
                  <c:v>14.3</c:v>
                </c:pt>
                <c:pt idx="2138">
                  <c:v>17</c:v>
                </c:pt>
                <c:pt idx="2139">
                  <c:v>18.399999999999999</c:v>
                </c:pt>
                <c:pt idx="2140">
                  <c:v>18.5</c:v>
                </c:pt>
                <c:pt idx="2141">
                  <c:v>18.399999999999999</c:v>
                </c:pt>
                <c:pt idx="2142">
                  <c:v>16.899999999999999</c:v>
                </c:pt>
                <c:pt idx="2143">
                  <c:v>14.5</c:v>
                </c:pt>
                <c:pt idx="2144">
                  <c:v>12.8</c:v>
                </c:pt>
                <c:pt idx="2145">
                  <c:v>12.1</c:v>
                </c:pt>
                <c:pt idx="2146">
                  <c:v>11.5</c:v>
                </c:pt>
                <c:pt idx="2147">
                  <c:v>11.1</c:v>
                </c:pt>
                <c:pt idx="2148">
                  <c:v>12</c:v>
                </c:pt>
                <c:pt idx="2149">
                  <c:v>13.9</c:v>
                </c:pt>
                <c:pt idx="2150">
                  <c:v>14</c:v>
                </c:pt>
                <c:pt idx="2151">
                  <c:v>13.7</c:v>
                </c:pt>
                <c:pt idx="2152">
                  <c:v>14.9</c:v>
                </c:pt>
                <c:pt idx="2153">
                  <c:v>15.8</c:v>
                </c:pt>
                <c:pt idx="2154">
                  <c:v>16</c:v>
                </c:pt>
                <c:pt idx="2155">
                  <c:v>15.8</c:v>
                </c:pt>
                <c:pt idx="2156">
                  <c:v>15.6</c:v>
                </c:pt>
                <c:pt idx="2157">
                  <c:v>14.9</c:v>
                </c:pt>
                <c:pt idx="2158">
                  <c:v>13.7</c:v>
                </c:pt>
                <c:pt idx="2159">
                  <c:v>12.7</c:v>
                </c:pt>
                <c:pt idx="2160">
                  <c:v>11.6</c:v>
                </c:pt>
                <c:pt idx="2161">
                  <c:v>12.2</c:v>
                </c:pt>
                <c:pt idx="2162">
                  <c:v>13.6</c:v>
                </c:pt>
                <c:pt idx="2163">
                  <c:v>13.6</c:v>
                </c:pt>
                <c:pt idx="2164">
                  <c:v>15.4</c:v>
                </c:pt>
                <c:pt idx="2165">
                  <c:v>16.100000000000001</c:v>
                </c:pt>
                <c:pt idx="2166">
                  <c:v>16</c:v>
                </c:pt>
                <c:pt idx="2167">
                  <c:v>15.3</c:v>
                </c:pt>
                <c:pt idx="2168">
                  <c:v>14.6</c:v>
                </c:pt>
                <c:pt idx="2169">
                  <c:v>12.9</c:v>
                </c:pt>
                <c:pt idx="2170">
                  <c:v>12.3</c:v>
                </c:pt>
                <c:pt idx="2171">
                  <c:v>12.2</c:v>
                </c:pt>
                <c:pt idx="2172">
                  <c:v>12.2</c:v>
                </c:pt>
                <c:pt idx="2173">
                  <c:v>12.2</c:v>
                </c:pt>
                <c:pt idx="2174">
                  <c:v>12.5</c:v>
                </c:pt>
                <c:pt idx="2175">
                  <c:v>12.6</c:v>
                </c:pt>
                <c:pt idx="2176">
                  <c:v>11.6</c:v>
                </c:pt>
                <c:pt idx="2177">
                  <c:v>10.6</c:v>
                </c:pt>
                <c:pt idx="2178">
                  <c:v>9.6999999999999993</c:v>
                </c:pt>
                <c:pt idx="2179">
                  <c:v>9.6999999999999993</c:v>
                </c:pt>
                <c:pt idx="2180">
                  <c:v>10</c:v>
                </c:pt>
                <c:pt idx="2181">
                  <c:v>11.6</c:v>
                </c:pt>
                <c:pt idx="2182">
                  <c:v>13</c:v>
                </c:pt>
                <c:pt idx="2183">
                  <c:v>13.1</c:v>
                </c:pt>
                <c:pt idx="2184">
                  <c:v>12.7</c:v>
                </c:pt>
                <c:pt idx="2185">
                  <c:v>12.3</c:v>
                </c:pt>
                <c:pt idx="2186">
                  <c:v>11.4</c:v>
                </c:pt>
                <c:pt idx="2187">
                  <c:v>9.6</c:v>
                </c:pt>
                <c:pt idx="2188">
                  <c:v>9</c:v>
                </c:pt>
                <c:pt idx="2189">
                  <c:v>8.6</c:v>
                </c:pt>
                <c:pt idx="2190">
                  <c:v>8.6</c:v>
                </c:pt>
                <c:pt idx="2191">
                  <c:v>9.5</c:v>
                </c:pt>
                <c:pt idx="2192">
                  <c:v>10.199999999999999</c:v>
                </c:pt>
                <c:pt idx="2193">
                  <c:v>11.2</c:v>
                </c:pt>
                <c:pt idx="2194">
                  <c:v>11.4</c:v>
                </c:pt>
                <c:pt idx="2195">
                  <c:v>11.7</c:v>
                </c:pt>
                <c:pt idx="2196">
                  <c:v>12.7</c:v>
                </c:pt>
                <c:pt idx="2197">
                  <c:v>14.1</c:v>
                </c:pt>
                <c:pt idx="2198">
                  <c:v>15.4</c:v>
                </c:pt>
                <c:pt idx="2199">
                  <c:v>15.8</c:v>
                </c:pt>
                <c:pt idx="2200">
                  <c:v>15.1</c:v>
                </c:pt>
                <c:pt idx="2201">
                  <c:v>12.3</c:v>
                </c:pt>
                <c:pt idx="2202">
                  <c:v>9.8000000000000007</c:v>
                </c:pt>
                <c:pt idx="2203">
                  <c:v>3.4</c:v>
                </c:pt>
                <c:pt idx="2204">
                  <c:v>-1.7</c:v>
                </c:pt>
                <c:pt idx="2205">
                  <c:v>-2.6</c:v>
                </c:pt>
                <c:pt idx="2206">
                  <c:v>2.7</c:v>
                </c:pt>
                <c:pt idx="2207">
                  <c:v>6.8</c:v>
                </c:pt>
                <c:pt idx="2208">
                  <c:v>9.6999999999999993</c:v>
                </c:pt>
                <c:pt idx="2209">
                  <c:v>13.5</c:v>
                </c:pt>
                <c:pt idx="2210">
                  <c:v>15.1</c:v>
                </c:pt>
                <c:pt idx="2211">
                  <c:v>15.5</c:v>
                </c:pt>
                <c:pt idx="2212">
                  <c:v>15</c:v>
                </c:pt>
                <c:pt idx="2213">
                  <c:v>13.4</c:v>
                </c:pt>
                <c:pt idx="2214">
                  <c:v>11.1</c:v>
                </c:pt>
                <c:pt idx="2215">
                  <c:v>9.6999999999999993</c:v>
                </c:pt>
                <c:pt idx="2216">
                  <c:v>9.5</c:v>
                </c:pt>
                <c:pt idx="2217">
                  <c:v>8.6999999999999993</c:v>
                </c:pt>
                <c:pt idx="2218">
                  <c:v>6.9</c:v>
                </c:pt>
                <c:pt idx="2219">
                  <c:v>5.4</c:v>
                </c:pt>
                <c:pt idx="2220">
                  <c:v>5.3</c:v>
                </c:pt>
                <c:pt idx="2221">
                  <c:v>5.9</c:v>
                </c:pt>
                <c:pt idx="2222">
                  <c:v>6.8</c:v>
                </c:pt>
                <c:pt idx="2223">
                  <c:v>7.3</c:v>
                </c:pt>
                <c:pt idx="2224">
                  <c:v>8.3000000000000007</c:v>
                </c:pt>
                <c:pt idx="2225">
                  <c:v>7.2</c:v>
                </c:pt>
                <c:pt idx="2226">
                  <c:v>5.9</c:v>
                </c:pt>
                <c:pt idx="2227">
                  <c:v>5.3</c:v>
                </c:pt>
                <c:pt idx="2228">
                  <c:v>7.5</c:v>
                </c:pt>
                <c:pt idx="2229">
                  <c:v>8.3000000000000007</c:v>
                </c:pt>
                <c:pt idx="2230">
                  <c:v>8.4</c:v>
                </c:pt>
                <c:pt idx="2231">
                  <c:v>8.3000000000000007</c:v>
                </c:pt>
                <c:pt idx="2232">
                  <c:v>8</c:v>
                </c:pt>
                <c:pt idx="2233">
                  <c:v>7.9</c:v>
                </c:pt>
                <c:pt idx="2234">
                  <c:v>8.3000000000000007</c:v>
                </c:pt>
                <c:pt idx="2235">
                  <c:v>8.4</c:v>
                </c:pt>
                <c:pt idx="2236">
                  <c:v>7.9</c:v>
                </c:pt>
                <c:pt idx="2237">
                  <c:v>7.2</c:v>
                </c:pt>
                <c:pt idx="2238">
                  <c:v>7.1</c:v>
                </c:pt>
                <c:pt idx="2239">
                  <c:v>7.1</c:v>
                </c:pt>
                <c:pt idx="2240">
                  <c:v>7.3</c:v>
                </c:pt>
                <c:pt idx="2241">
                  <c:v>8.6</c:v>
                </c:pt>
                <c:pt idx="2242">
                  <c:v>7.4</c:v>
                </c:pt>
                <c:pt idx="2243">
                  <c:v>5.2</c:v>
                </c:pt>
                <c:pt idx="2244">
                  <c:v>3.4</c:v>
                </c:pt>
                <c:pt idx="2245">
                  <c:v>2.9</c:v>
                </c:pt>
                <c:pt idx="2246">
                  <c:v>2.2000000000000002</c:v>
                </c:pt>
                <c:pt idx="2247">
                  <c:v>1.8</c:v>
                </c:pt>
                <c:pt idx="2248">
                  <c:v>1.2</c:v>
                </c:pt>
                <c:pt idx="2249">
                  <c:v>1.2</c:v>
                </c:pt>
                <c:pt idx="2250">
                  <c:v>1.1000000000000001</c:v>
                </c:pt>
                <c:pt idx="2251">
                  <c:v>1.7</c:v>
                </c:pt>
                <c:pt idx="2252">
                  <c:v>4.3</c:v>
                </c:pt>
                <c:pt idx="2253">
                  <c:v>6.4</c:v>
                </c:pt>
                <c:pt idx="2254">
                  <c:v>8.4</c:v>
                </c:pt>
                <c:pt idx="2255">
                  <c:v>10.1</c:v>
                </c:pt>
                <c:pt idx="2256">
                  <c:v>10.7</c:v>
                </c:pt>
                <c:pt idx="2257">
                  <c:v>11.2</c:v>
                </c:pt>
                <c:pt idx="2258">
                  <c:v>11.1</c:v>
                </c:pt>
                <c:pt idx="2259">
                  <c:v>9.8000000000000007</c:v>
                </c:pt>
                <c:pt idx="2260">
                  <c:v>8.6999999999999993</c:v>
                </c:pt>
                <c:pt idx="2261">
                  <c:v>7.3</c:v>
                </c:pt>
                <c:pt idx="2262">
                  <c:v>6.3</c:v>
                </c:pt>
                <c:pt idx="2263">
                  <c:v>6.1</c:v>
                </c:pt>
                <c:pt idx="2264">
                  <c:v>6.5</c:v>
                </c:pt>
                <c:pt idx="2265">
                  <c:v>6.7</c:v>
                </c:pt>
                <c:pt idx="2266">
                  <c:v>6.1</c:v>
                </c:pt>
                <c:pt idx="2267">
                  <c:v>3</c:v>
                </c:pt>
                <c:pt idx="2268">
                  <c:v>2.5</c:v>
                </c:pt>
                <c:pt idx="2269">
                  <c:v>2.6</c:v>
                </c:pt>
                <c:pt idx="2270">
                  <c:v>3.2</c:v>
                </c:pt>
                <c:pt idx="2271">
                  <c:v>2.9</c:v>
                </c:pt>
                <c:pt idx="2272">
                  <c:v>2</c:v>
                </c:pt>
                <c:pt idx="2273">
                  <c:v>1.2</c:v>
                </c:pt>
                <c:pt idx="2274">
                  <c:v>1.2</c:v>
                </c:pt>
                <c:pt idx="2275">
                  <c:v>1.1000000000000001</c:v>
                </c:pt>
                <c:pt idx="2276">
                  <c:v>1.2</c:v>
                </c:pt>
                <c:pt idx="2277">
                  <c:v>1.9</c:v>
                </c:pt>
                <c:pt idx="2278">
                  <c:v>3.1</c:v>
                </c:pt>
                <c:pt idx="2279">
                  <c:v>6</c:v>
                </c:pt>
                <c:pt idx="2280">
                  <c:v>8.5</c:v>
                </c:pt>
                <c:pt idx="2281">
                  <c:v>10.9</c:v>
                </c:pt>
                <c:pt idx="2282">
                  <c:v>11.6</c:v>
                </c:pt>
                <c:pt idx="2283">
                  <c:v>10.9</c:v>
                </c:pt>
                <c:pt idx="2284">
                  <c:v>8.1999999999999993</c:v>
                </c:pt>
                <c:pt idx="2285">
                  <c:v>5.9</c:v>
                </c:pt>
                <c:pt idx="2286">
                  <c:v>4.4000000000000004</c:v>
                </c:pt>
                <c:pt idx="2287">
                  <c:v>3.8</c:v>
                </c:pt>
                <c:pt idx="2288">
                  <c:v>3.2</c:v>
                </c:pt>
                <c:pt idx="2289">
                  <c:v>2.8</c:v>
                </c:pt>
                <c:pt idx="2290">
                  <c:v>2</c:v>
                </c:pt>
                <c:pt idx="2291">
                  <c:v>1.8</c:v>
                </c:pt>
                <c:pt idx="2292">
                  <c:v>1.8</c:v>
                </c:pt>
                <c:pt idx="2293">
                  <c:v>2.2000000000000002</c:v>
                </c:pt>
                <c:pt idx="2294">
                  <c:v>3.7</c:v>
                </c:pt>
                <c:pt idx="2295">
                  <c:v>6.6</c:v>
                </c:pt>
                <c:pt idx="2296">
                  <c:v>8.1</c:v>
                </c:pt>
                <c:pt idx="2297">
                  <c:v>7.7</c:v>
                </c:pt>
                <c:pt idx="2298">
                  <c:v>5.9</c:v>
                </c:pt>
                <c:pt idx="2299">
                  <c:v>4.9000000000000004</c:v>
                </c:pt>
                <c:pt idx="2300">
                  <c:v>4.5999999999999996</c:v>
                </c:pt>
                <c:pt idx="2301">
                  <c:v>4.5999999999999996</c:v>
                </c:pt>
                <c:pt idx="2302">
                  <c:v>4.2</c:v>
                </c:pt>
                <c:pt idx="2303">
                  <c:v>4.8</c:v>
                </c:pt>
                <c:pt idx="2304">
                  <c:v>6.1</c:v>
                </c:pt>
                <c:pt idx="2305">
                  <c:v>6.8</c:v>
                </c:pt>
                <c:pt idx="2306">
                  <c:v>5.9</c:v>
                </c:pt>
                <c:pt idx="2307">
                  <c:v>4.8</c:v>
                </c:pt>
                <c:pt idx="2308">
                  <c:v>4.0999999999999996</c:v>
                </c:pt>
                <c:pt idx="2309">
                  <c:v>4.0999999999999996</c:v>
                </c:pt>
                <c:pt idx="2310">
                  <c:v>4.9000000000000004</c:v>
                </c:pt>
                <c:pt idx="2311">
                  <c:v>4.8</c:v>
                </c:pt>
                <c:pt idx="2312">
                  <c:v>6.1</c:v>
                </c:pt>
                <c:pt idx="2313">
                  <c:v>7.3</c:v>
                </c:pt>
                <c:pt idx="2314">
                  <c:v>8.3000000000000007</c:v>
                </c:pt>
                <c:pt idx="2315">
                  <c:v>8.3000000000000007</c:v>
                </c:pt>
                <c:pt idx="2316">
                  <c:v>8</c:v>
                </c:pt>
                <c:pt idx="2317">
                  <c:v>7.3</c:v>
                </c:pt>
                <c:pt idx="2318">
                  <c:v>5.8</c:v>
                </c:pt>
                <c:pt idx="2319">
                  <c:v>3.2</c:v>
                </c:pt>
                <c:pt idx="2320">
                  <c:v>0.9</c:v>
                </c:pt>
                <c:pt idx="2321">
                  <c:v>-0.8</c:v>
                </c:pt>
                <c:pt idx="2322">
                  <c:v>-1</c:v>
                </c:pt>
                <c:pt idx="2323">
                  <c:v>-0.1</c:v>
                </c:pt>
                <c:pt idx="2324">
                  <c:v>1.6</c:v>
                </c:pt>
                <c:pt idx="2325">
                  <c:v>2.2999999999999998</c:v>
                </c:pt>
                <c:pt idx="2326">
                  <c:v>3.4</c:v>
                </c:pt>
                <c:pt idx="2327">
                  <c:v>3.9</c:v>
                </c:pt>
                <c:pt idx="2328">
                  <c:v>4.0999999999999996</c:v>
                </c:pt>
                <c:pt idx="2329">
                  <c:v>3.8</c:v>
                </c:pt>
                <c:pt idx="2330">
                  <c:v>8</c:v>
                </c:pt>
                <c:pt idx="2331">
                  <c:v>13.1</c:v>
                </c:pt>
                <c:pt idx="2332">
                  <c:v>13.5</c:v>
                </c:pt>
                <c:pt idx="2333">
                  <c:v>9.6999999999999993</c:v>
                </c:pt>
                <c:pt idx="2334">
                  <c:v>8.1999999999999993</c:v>
                </c:pt>
                <c:pt idx="2335">
                  <c:v>9.6999999999999993</c:v>
                </c:pt>
                <c:pt idx="2336">
                  <c:v>11.1</c:v>
                </c:pt>
                <c:pt idx="2337">
                  <c:v>11</c:v>
                </c:pt>
                <c:pt idx="2338">
                  <c:v>9.8000000000000007</c:v>
                </c:pt>
                <c:pt idx="2339">
                  <c:v>8.3000000000000007</c:v>
                </c:pt>
                <c:pt idx="2340">
                  <c:v>8.6</c:v>
                </c:pt>
                <c:pt idx="2341">
                  <c:v>9.1999999999999993</c:v>
                </c:pt>
                <c:pt idx="2342">
                  <c:v>8.1999999999999993</c:v>
                </c:pt>
                <c:pt idx="2343">
                  <c:v>6</c:v>
                </c:pt>
                <c:pt idx="2344">
                  <c:v>3.1</c:v>
                </c:pt>
                <c:pt idx="2345">
                  <c:v>2.2000000000000002</c:v>
                </c:pt>
                <c:pt idx="2346">
                  <c:v>1.5</c:v>
                </c:pt>
                <c:pt idx="2347">
                  <c:v>1.6</c:v>
                </c:pt>
                <c:pt idx="2348">
                  <c:v>2.7</c:v>
                </c:pt>
                <c:pt idx="2349">
                  <c:v>3.5</c:v>
                </c:pt>
                <c:pt idx="2350">
                  <c:v>3.6</c:v>
                </c:pt>
                <c:pt idx="2351">
                  <c:v>3.7</c:v>
                </c:pt>
                <c:pt idx="2352">
                  <c:v>4</c:v>
                </c:pt>
                <c:pt idx="2353">
                  <c:v>4.3</c:v>
                </c:pt>
                <c:pt idx="2354">
                  <c:v>4.2</c:v>
                </c:pt>
                <c:pt idx="2355">
                  <c:v>3.1</c:v>
                </c:pt>
                <c:pt idx="2356">
                  <c:v>2</c:v>
                </c:pt>
                <c:pt idx="2357">
                  <c:v>1.7</c:v>
                </c:pt>
                <c:pt idx="2358">
                  <c:v>2.1</c:v>
                </c:pt>
                <c:pt idx="2359">
                  <c:v>4.9000000000000004</c:v>
                </c:pt>
                <c:pt idx="2360">
                  <c:v>7.8</c:v>
                </c:pt>
                <c:pt idx="2361">
                  <c:v>8.6999999999999993</c:v>
                </c:pt>
                <c:pt idx="2362">
                  <c:v>8</c:v>
                </c:pt>
                <c:pt idx="2363">
                  <c:v>5.7</c:v>
                </c:pt>
                <c:pt idx="2364">
                  <c:v>5.0999999999999996</c:v>
                </c:pt>
                <c:pt idx="2365">
                  <c:v>4.4000000000000004</c:v>
                </c:pt>
                <c:pt idx="2366">
                  <c:v>5.2</c:v>
                </c:pt>
                <c:pt idx="2367">
                  <c:v>6.1</c:v>
                </c:pt>
                <c:pt idx="2368">
                  <c:v>6.6</c:v>
                </c:pt>
                <c:pt idx="2369">
                  <c:v>6.9</c:v>
                </c:pt>
                <c:pt idx="2370">
                  <c:v>7.3</c:v>
                </c:pt>
                <c:pt idx="2371">
                  <c:v>7.4</c:v>
                </c:pt>
                <c:pt idx="2372">
                  <c:v>7</c:v>
                </c:pt>
                <c:pt idx="2373">
                  <c:v>6.4</c:v>
                </c:pt>
                <c:pt idx="2374">
                  <c:v>5.3</c:v>
                </c:pt>
                <c:pt idx="2375">
                  <c:v>3.8</c:v>
                </c:pt>
                <c:pt idx="2376">
                  <c:v>1.3</c:v>
                </c:pt>
                <c:pt idx="2377">
                  <c:v>-0.8</c:v>
                </c:pt>
                <c:pt idx="2378">
                  <c:v>-0.9</c:v>
                </c:pt>
                <c:pt idx="2379">
                  <c:v>0.7</c:v>
                </c:pt>
                <c:pt idx="2380">
                  <c:v>2.2000000000000002</c:v>
                </c:pt>
                <c:pt idx="2381">
                  <c:v>3.5</c:v>
                </c:pt>
                <c:pt idx="2382">
                  <c:v>3.9</c:v>
                </c:pt>
                <c:pt idx="2383">
                  <c:v>4.0999999999999996</c:v>
                </c:pt>
                <c:pt idx="2384">
                  <c:v>4.8</c:v>
                </c:pt>
                <c:pt idx="2385">
                  <c:v>4.8</c:v>
                </c:pt>
                <c:pt idx="2386">
                  <c:v>4.5</c:v>
                </c:pt>
                <c:pt idx="2387">
                  <c:v>3.1</c:v>
                </c:pt>
                <c:pt idx="2388">
                  <c:v>2.2999999999999998</c:v>
                </c:pt>
                <c:pt idx="2389">
                  <c:v>2</c:v>
                </c:pt>
                <c:pt idx="2390">
                  <c:v>2.8</c:v>
                </c:pt>
                <c:pt idx="2391">
                  <c:v>4.5999999999999996</c:v>
                </c:pt>
                <c:pt idx="2392">
                  <c:v>6.4</c:v>
                </c:pt>
                <c:pt idx="2393">
                  <c:v>8.1999999999999993</c:v>
                </c:pt>
                <c:pt idx="2394">
                  <c:v>9.1999999999999993</c:v>
                </c:pt>
                <c:pt idx="2395">
                  <c:v>9.8000000000000007</c:v>
                </c:pt>
                <c:pt idx="2396">
                  <c:v>9.5</c:v>
                </c:pt>
                <c:pt idx="2397">
                  <c:v>8.1</c:v>
                </c:pt>
                <c:pt idx="2398">
                  <c:v>7.5</c:v>
                </c:pt>
                <c:pt idx="2399">
                  <c:v>6.5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AB0-4B60-9768-353093A70B9C}"/>
            </c:ext>
          </c:extLst>
        </c:ser>
        <c:ser>
          <c:idx val="1"/>
          <c:order val="1"/>
          <c:tx>
            <c:v>Sim Data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'Track Data'!$M$4:$M$2403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'Track Data'!$AA$4:$AA$2403</c:f>
              <c:numCache>
                <c:formatCode>General</c:formatCode>
                <c:ptCount val="2400"/>
                <c:pt idx="0">
                  <c:v>26.793600428418802</c:v>
                </c:pt>
                <c:pt idx="1">
                  <c:v>26.799455509793557</c:v>
                </c:pt>
                <c:pt idx="2">
                  <c:v>26.790679114771013</c:v>
                </c:pt>
                <c:pt idx="3">
                  <c:v>26.796522561318859</c:v>
                </c:pt>
                <c:pt idx="4">
                  <c:v>26.802366007866706</c:v>
                </c:pt>
                <c:pt idx="5">
                  <c:v>26.808209454414552</c:v>
                </c:pt>
                <c:pt idx="6">
                  <c:v>26.814052900962398</c:v>
                </c:pt>
                <c:pt idx="7">
                  <c:v>26.819896347510245</c:v>
                </c:pt>
                <c:pt idx="8">
                  <c:v>26.825739794058087</c:v>
                </c:pt>
                <c:pt idx="9">
                  <c:v>26.816520088783967</c:v>
                </c:pt>
                <c:pt idx="10">
                  <c:v>26.822351557240239</c:v>
                </c:pt>
                <c:pt idx="11">
                  <c:v>26.828183025696507</c:v>
                </c:pt>
                <c:pt idx="12">
                  <c:v>26.834014494152775</c:v>
                </c:pt>
                <c:pt idx="13">
                  <c:v>26.839845962609047</c:v>
                </c:pt>
                <c:pt idx="14">
                  <c:v>26.845677431065315</c:v>
                </c:pt>
                <c:pt idx="15">
                  <c:v>26.851508899521583</c:v>
                </c:pt>
                <c:pt idx="16">
                  <c:v>26.841850468241649</c:v>
                </c:pt>
                <c:pt idx="17">
                  <c:v>26.847669619259989</c:v>
                </c:pt>
                <c:pt idx="18">
                  <c:v>26.853488770278332</c:v>
                </c:pt>
                <c:pt idx="19">
                  <c:v>26.859307921296679</c:v>
                </c:pt>
                <c:pt idx="20">
                  <c:v>26.865127072315019</c:v>
                </c:pt>
                <c:pt idx="21">
                  <c:v>26.870946223333362</c:v>
                </c:pt>
                <c:pt idx="22">
                  <c:v>26.876765374351706</c:v>
                </c:pt>
                <c:pt idx="23">
                  <c:v>26.824794384474583</c:v>
                </c:pt>
                <c:pt idx="24">
                  <c:v>26.830567581259174</c:v>
                </c:pt>
                <c:pt idx="25">
                  <c:v>26.836340778043763</c:v>
                </c:pt>
                <c:pt idx="26">
                  <c:v>26.842113974828354</c:v>
                </c:pt>
                <c:pt idx="27">
                  <c:v>26.847887171612943</c:v>
                </c:pt>
                <c:pt idx="28">
                  <c:v>26.853660368397538</c:v>
                </c:pt>
                <c:pt idx="29">
                  <c:v>26.85943356518213</c:v>
                </c:pt>
                <c:pt idx="30">
                  <c:v>26.865206761966718</c:v>
                </c:pt>
                <c:pt idx="31">
                  <c:v>26.813421744430556</c:v>
                </c:pt>
                <c:pt idx="32">
                  <c:v>26.819149171407457</c:v>
                </c:pt>
                <c:pt idx="33">
                  <c:v>26.824876598384353</c:v>
                </c:pt>
                <c:pt idx="34">
                  <c:v>26.830604025361254</c:v>
                </c:pt>
                <c:pt idx="35">
                  <c:v>26.836331452338154</c:v>
                </c:pt>
                <c:pt idx="36">
                  <c:v>26.842058879315051</c:v>
                </c:pt>
                <c:pt idx="37">
                  <c:v>26.847786306291948</c:v>
                </c:pt>
                <c:pt idx="38">
                  <c:v>26.754942959685653</c:v>
                </c:pt>
                <c:pt idx="39">
                  <c:v>26.76059200401285</c:v>
                </c:pt>
                <c:pt idx="40">
                  <c:v>26.766241048340039</c:v>
                </c:pt>
                <c:pt idx="41">
                  <c:v>26.771890092667228</c:v>
                </c:pt>
                <c:pt idx="42">
                  <c:v>26.777539136994427</c:v>
                </c:pt>
                <c:pt idx="43">
                  <c:v>26.783188181321616</c:v>
                </c:pt>
                <c:pt idx="44">
                  <c:v>26.788837225648805</c:v>
                </c:pt>
                <c:pt idx="45">
                  <c:v>26.794486269975998</c:v>
                </c:pt>
                <c:pt idx="46">
                  <c:v>26.702405314220854</c:v>
                </c:pt>
                <c:pt idx="47">
                  <c:v>26.707976644474353</c:v>
                </c:pt>
                <c:pt idx="48">
                  <c:v>26.713547974727849</c:v>
                </c:pt>
                <c:pt idx="49">
                  <c:v>26.719119304981351</c:v>
                </c:pt>
                <c:pt idx="50">
                  <c:v>26.724690635234847</c:v>
                </c:pt>
                <c:pt idx="51">
                  <c:v>26.730261965488342</c:v>
                </c:pt>
                <c:pt idx="52">
                  <c:v>26.735833295741841</c:v>
                </c:pt>
                <c:pt idx="53">
                  <c:v>26.644491220982395</c:v>
                </c:pt>
                <c:pt idx="54">
                  <c:v>26.649985486511724</c:v>
                </c:pt>
                <c:pt idx="55">
                  <c:v>26.655479752041057</c:v>
                </c:pt>
                <c:pt idx="56">
                  <c:v>26.660974017570386</c:v>
                </c:pt>
                <c:pt idx="57">
                  <c:v>26.666468283099718</c:v>
                </c:pt>
                <c:pt idx="58">
                  <c:v>26.67196254862905</c:v>
                </c:pt>
                <c:pt idx="59">
                  <c:v>26.677456814158386</c:v>
                </c:pt>
                <c:pt idx="60">
                  <c:v>26.682951079687712</c:v>
                </c:pt>
                <c:pt idx="61">
                  <c:v>26.592325084012909</c:v>
                </c:pt>
                <c:pt idx="62">
                  <c:v>26.597742915519358</c:v>
                </c:pt>
                <c:pt idx="63">
                  <c:v>26.6031607470258</c:v>
                </c:pt>
                <c:pt idx="64">
                  <c:v>26.608578578532249</c:v>
                </c:pt>
                <c:pt idx="65">
                  <c:v>26.613996410038698</c:v>
                </c:pt>
                <c:pt idx="66">
                  <c:v>26.619414241545144</c:v>
                </c:pt>
                <c:pt idx="67">
                  <c:v>26.624832073051593</c:v>
                </c:pt>
                <c:pt idx="68">
                  <c:v>26.630249904558038</c:v>
                </c:pt>
                <c:pt idx="69">
                  <c:v>26.540317867446184</c:v>
                </c:pt>
                <c:pt idx="70">
                  <c:v>26.54565987753945</c:v>
                </c:pt>
                <c:pt idx="71">
                  <c:v>26.551001887632719</c:v>
                </c:pt>
                <c:pt idx="72">
                  <c:v>26.556343897725981</c:v>
                </c:pt>
                <c:pt idx="73">
                  <c:v>26.561685907819246</c:v>
                </c:pt>
                <c:pt idx="74">
                  <c:v>26.567027917912512</c:v>
                </c:pt>
                <c:pt idx="75">
                  <c:v>26.572369928005774</c:v>
                </c:pt>
                <c:pt idx="76">
                  <c:v>26.577711938099039</c:v>
                </c:pt>
                <c:pt idx="77">
                  <c:v>26.488452395047197</c:v>
                </c:pt>
                <c:pt idx="78">
                  <c:v>26.493719178781447</c:v>
                </c:pt>
                <c:pt idx="79">
                  <c:v>26.4989859625157</c:v>
                </c:pt>
                <c:pt idx="80">
                  <c:v>26.50425274624995</c:v>
                </c:pt>
                <c:pt idx="81">
                  <c:v>26.5095195299842</c:v>
                </c:pt>
                <c:pt idx="82">
                  <c:v>26.514786313718449</c:v>
                </c:pt>
                <c:pt idx="83">
                  <c:v>26.520053097452699</c:v>
                </c:pt>
                <c:pt idx="84">
                  <c:v>26.525319881186949</c:v>
                </c:pt>
                <c:pt idx="85">
                  <c:v>26.530586664921202</c:v>
                </c:pt>
                <c:pt idx="86">
                  <c:v>26.441978783197726</c:v>
                </c:pt>
                <c:pt idx="87">
                  <c:v>26.447170918587933</c:v>
                </c:pt>
                <c:pt idx="88">
                  <c:v>26.452363053978139</c:v>
                </c:pt>
                <c:pt idx="89">
                  <c:v>26.457555189368346</c:v>
                </c:pt>
                <c:pt idx="90">
                  <c:v>26.462747324758553</c:v>
                </c:pt>
                <c:pt idx="91">
                  <c:v>26.467939460148763</c:v>
                </c:pt>
                <c:pt idx="92">
                  <c:v>26.47313159553897</c:v>
                </c:pt>
                <c:pt idx="93">
                  <c:v>26.478323730929176</c:v>
                </c:pt>
                <c:pt idx="94">
                  <c:v>26.390347286392014</c:v>
                </c:pt>
                <c:pt idx="95">
                  <c:v>26.395465334911449</c:v>
                </c:pt>
                <c:pt idx="96">
                  <c:v>26.400583383430888</c:v>
                </c:pt>
                <c:pt idx="97">
                  <c:v>26.40570143195033</c:v>
                </c:pt>
                <c:pt idx="98">
                  <c:v>26.410819480469765</c:v>
                </c:pt>
                <c:pt idx="99">
                  <c:v>26.4159375289892</c:v>
                </c:pt>
                <c:pt idx="100">
                  <c:v>26.421055577508639</c:v>
                </c:pt>
                <c:pt idx="101">
                  <c:v>26.426173626028078</c:v>
                </c:pt>
                <c:pt idx="102">
                  <c:v>26.431291674547513</c:v>
                </c:pt>
                <c:pt idx="103">
                  <c:v>26.382770639232344</c:v>
                </c:pt>
                <c:pt idx="104">
                  <c:v>26.387846034403676</c:v>
                </c:pt>
                <c:pt idx="105">
                  <c:v>26.392921429575008</c:v>
                </c:pt>
                <c:pt idx="106">
                  <c:v>26.39799682474634</c:v>
                </c:pt>
                <c:pt idx="107">
                  <c:v>26.403072219917672</c:v>
                </c:pt>
                <c:pt idx="108">
                  <c:v>26.408147615089</c:v>
                </c:pt>
                <c:pt idx="109">
                  <c:v>26.413223010260328</c:v>
                </c:pt>
                <c:pt idx="110">
                  <c:v>26.41829840543166</c:v>
                </c:pt>
                <c:pt idx="111">
                  <c:v>26.423373800602992</c:v>
                </c:pt>
                <c:pt idx="112">
                  <c:v>26.374917479490158</c:v>
                </c:pt>
                <c:pt idx="113">
                  <c:v>26.37995030669116</c:v>
                </c:pt>
                <c:pt idx="114">
                  <c:v>26.384983133892153</c:v>
                </c:pt>
                <c:pt idx="115">
                  <c:v>26.390015961093148</c:v>
                </c:pt>
                <c:pt idx="116">
                  <c:v>26.395048788294147</c:v>
                </c:pt>
                <c:pt idx="117">
                  <c:v>26.400081615495143</c:v>
                </c:pt>
                <c:pt idx="118">
                  <c:v>26.405114442696135</c:v>
                </c:pt>
                <c:pt idx="119">
                  <c:v>26.410147269897134</c:v>
                </c:pt>
                <c:pt idx="120">
                  <c:v>26.41518009709813</c:v>
                </c:pt>
                <c:pt idx="121">
                  <c:v>26.405070195647923</c:v>
                </c:pt>
                <c:pt idx="122">
                  <c:v>26.410090981478522</c:v>
                </c:pt>
                <c:pt idx="123">
                  <c:v>26.415111767309117</c:v>
                </c:pt>
                <c:pt idx="124">
                  <c:v>26.420132553139709</c:v>
                </c:pt>
                <c:pt idx="125">
                  <c:v>26.425153338970308</c:v>
                </c:pt>
                <c:pt idx="126">
                  <c:v>26.430174124800899</c:v>
                </c:pt>
                <c:pt idx="127">
                  <c:v>26.435194910631495</c:v>
                </c:pt>
                <c:pt idx="128">
                  <c:v>26.44021569646209</c:v>
                </c:pt>
                <c:pt idx="129">
                  <c:v>26.445236482292682</c:v>
                </c:pt>
                <c:pt idx="130">
                  <c:v>26.396647693852145</c:v>
                </c:pt>
                <c:pt idx="131">
                  <c:v>26.401625849800393</c:v>
                </c:pt>
                <c:pt idx="132">
                  <c:v>26.406604005748633</c:v>
                </c:pt>
                <c:pt idx="133">
                  <c:v>26.411582161696877</c:v>
                </c:pt>
                <c:pt idx="134">
                  <c:v>26.416560317645125</c:v>
                </c:pt>
                <c:pt idx="135">
                  <c:v>26.421538473593365</c:v>
                </c:pt>
                <c:pt idx="136">
                  <c:v>26.426516629541609</c:v>
                </c:pt>
                <c:pt idx="137">
                  <c:v>26.431494785489853</c:v>
                </c:pt>
                <c:pt idx="138">
                  <c:v>26.436472941438097</c:v>
                </c:pt>
                <c:pt idx="139">
                  <c:v>26.441451097386341</c:v>
                </c:pt>
                <c:pt idx="140">
                  <c:v>26.392910223943971</c:v>
                </c:pt>
                <c:pt idx="141">
                  <c:v>26.397845822010396</c:v>
                </c:pt>
                <c:pt idx="142">
                  <c:v>26.402781420076817</c:v>
                </c:pt>
                <c:pt idx="143">
                  <c:v>26.407717018143234</c:v>
                </c:pt>
                <c:pt idx="144">
                  <c:v>26.412652616209659</c:v>
                </c:pt>
                <c:pt idx="145">
                  <c:v>26.41758821427608</c:v>
                </c:pt>
                <c:pt idx="146">
                  <c:v>26.422523812342501</c:v>
                </c:pt>
                <c:pt idx="147">
                  <c:v>26.427459410408918</c:v>
                </c:pt>
                <c:pt idx="148">
                  <c:v>26.432395008475339</c:v>
                </c:pt>
                <c:pt idx="149">
                  <c:v>26.346410100956511</c:v>
                </c:pt>
                <c:pt idx="150">
                  <c:v>26.351273399801961</c:v>
                </c:pt>
                <c:pt idx="151">
                  <c:v>26.356136698647411</c:v>
                </c:pt>
                <c:pt idx="152">
                  <c:v>26.360999997492865</c:v>
                </c:pt>
                <c:pt idx="153">
                  <c:v>26.365863296338311</c:v>
                </c:pt>
                <c:pt idx="154">
                  <c:v>26.370726595183761</c:v>
                </c:pt>
                <c:pt idx="155">
                  <c:v>26.375589894029215</c:v>
                </c:pt>
                <c:pt idx="156">
                  <c:v>26.380453192874661</c:v>
                </c:pt>
                <c:pt idx="157">
                  <c:v>26.385316491720111</c:v>
                </c:pt>
                <c:pt idx="158">
                  <c:v>26.390179790565565</c:v>
                </c:pt>
                <c:pt idx="159">
                  <c:v>26.30472078362272</c:v>
                </c:pt>
                <c:pt idx="160">
                  <c:v>26.309512258930642</c:v>
                </c:pt>
                <c:pt idx="161">
                  <c:v>26.314303734238568</c:v>
                </c:pt>
                <c:pt idx="162">
                  <c:v>26.319095209546493</c:v>
                </c:pt>
                <c:pt idx="163">
                  <c:v>26.323886684854418</c:v>
                </c:pt>
                <c:pt idx="164">
                  <c:v>26.328678160162344</c:v>
                </c:pt>
                <c:pt idx="165">
                  <c:v>-2.4171612567885519</c:v>
                </c:pt>
                <c:pt idx="166">
                  <c:v>-2.4352320412374788</c:v>
                </c:pt>
                <c:pt idx="167">
                  <c:v>-2.4533028256864018</c:v>
                </c:pt>
                <c:pt idx="168">
                  <c:v>-2.4713736101353252</c:v>
                </c:pt>
                <c:pt idx="169">
                  <c:v>-2.4894443945842517</c:v>
                </c:pt>
                <c:pt idx="170">
                  <c:v>-2.5075151790331751</c:v>
                </c:pt>
                <c:pt idx="171">
                  <c:v>-2.5255859634821016</c:v>
                </c:pt>
                <c:pt idx="172">
                  <c:v>-2.543656747931025</c:v>
                </c:pt>
                <c:pt idx="173">
                  <c:v>-2.5617275323799484</c:v>
                </c:pt>
                <c:pt idx="174">
                  <c:v>-2.5797983168288749</c:v>
                </c:pt>
                <c:pt idx="175">
                  <c:v>-2.5978691012777984</c:v>
                </c:pt>
                <c:pt idx="176">
                  <c:v>-2.6159398857267249</c:v>
                </c:pt>
                <c:pt idx="177">
                  <c:v>-2.6340106701756483</c:v>
                </c:pt>
                <c:pt idx="178">
                  <c:v>-2.6520814546245717</c:v>
                </c:pt>
                <c:pt idx="179">
                  <c:v>-2.6701522390734982</c:v>
                </c:pt>
                <c:pt idx="180">
                  <c:v>-2.6882230235224247</c:v>
                </c:pt>
                <c:pt idx="181">
                  <c:v>-2.7062938079713481</c:v>
                </c:pt>
                <c:pt idx="182">
                  <c:v>-2.7243645924202715</c:v>
                </c:pt>
                <c:pt idx="183">
                  <c:v>-6.2912556234921269</c:v>
                </c:pt>
                <c:pt idx="184">
                  <c:v>-6.3121483999388204</c:v>
                </c:pt>
                <c:pt idx="185">
                  <c:v>-6.3330411763855086</c:v>
                </c:pt>
                <c:pt idx="186">
                  <c:v>-6.3539339528322003</c:v>
                </c:pt>
                <c:pt idx="187">
                  <c:v>-6.3748267292788876</c:v>
                </c:pt>
                <c:pt idx="188">
                  <c:v>-6.3957195057255793</c:v>
                </c:pt>
                <c:pt idx="189">
                  <c:v>-6.4166122821722702</c:v>
                </c:pt>
                <c:pt idx="190">
                  <c:v>-6.4375050586189611</c:v>
                </c:pt>
                <c:pt idx="191">
                  <c:v>-6.4583978350656492</c:v>
                </c:pt>
                <c:pt idx="192">
                  <c:v>-6.4792906115123374</c:v>
                </c:pt>
                <c:pt idx="193">
                  <c:v>-6.5001833879590283</c:v>
                </c:pt>
                <c:pt idx="194">
                  <c:v>-6.52107616440572</c:v>
                </c:pt>
                <c:pt idx="195">
                  <c:v>-6.5419689408524109</c:v>
                </c:pt>
                <c:pt idx="196">
                  <c:v>-6.5628617172990991</c:v>
                </c:pt>
                <c:pt idx="197">
                  <c:v>-6.5837544937457899</c:v>
                </c:pt>
                <c:pt idx="198">
                  <c:v>-6.6046472701924781</c:v>
                </c:pt>
                <c:pt idx="199">
                  <c:v>-6.6255400466391725</c:v>
                </c:pt>
                <c:pt idx="200">
                  <c:v>-6.6464328230858607</c:v>
                </c:pt>
                <c:pt idx="201">
                  <c:v>-6.667325599532548</c:v>
                </c:pt>
                <c:pt idx="202">
                  <c:v>-6.6882183759792397</c:v>
                </c:pt>
                <c:pt idx="203">
                  <c:v>-6.7091111524259279</c:v>
                </c:pt>
                <c:pt idx="204">
                  <c:v>-6.7300039288726223</c:v>
                </c:pt>
                <c:pt idx="205">
                  <c:v>-6.7508967053193096</c:v>
                </c:pt>
                <c:pt idx="206">
                  <c:v>-6.7717894817660014</c:v>
                </c:pt>
                <c:pt idx="207">
                  <c:v>-6.7926822582126887</c:v>
                </c:pt>
                <c:pt idx="208">
                  <c:v>-6.8135750346593804</c:v>
                </c:pt>
                <c:pt idx="209">
                  <c:v>-6.8344678111060713</c:v>
                </c:pt>
                <c:pt idx="210">
                  <c:v>-6.8553605875527595</c:v>
                </c:pt>
                <c:pt idx="211">
                  <c:v>-6.8762533639994503</c:v>
                </c:pt>
                <c:pt idx="212">
                  <c:v>-6.8971461404461385</c:v>
                </c:pt>
                <c:pt idx="213">
                  <c:v>-6.9180389168928293</c:v>
                </c:pt>
                <c:pt idx="214">
                  <c:v>-6.9389316933395175</c:v>
                </c:pt>
                <c:pt idx="215">
                  <c:v>-10.50260930782645</c:v>
                </c:pt>
                <c:pt idx="216">
                  <c:v>-10.526319276964786</c:v>
                </c:pt>
                <c:pt idx="217">
                  <c:v>-10.55002924610312</c:v>
                </c:pt>
                <c:pt idx="218">
                  <c:v>-10.57373921524146</c:v>
                </c:pt>
                <c:pt idx="219">
                  <c:v>-10.597449184379796</c:v>
                </c:pt>
                <c:pt idx="220">
                  <c:v>-10.621159153518132</c:v>
                </c:pt>
                <c:pt idx="221">
                  <c:v>-10.644869122656468</c:v>
                </c:pt>
                <c:pt idx="222">
                  <c:v>-10.668579091794806</c:v>
                </c:pt>
                <c:pt idx="223">
                  <c:v>-10.692289060933145</c:v>
                </c:pt>
                <c:pt idx="224">
                  <c:v>-10.715999030071478</c:v>
                </c:pt>
                <c:pt idx="225">
                  <c:v>-10.739708999209814</c:v>
                </c:pt>
                <c:pt idx="226">
                  <c:v>-10.763418968348152</c:v>
                </c:pt>
                <c:pt idx="227">
                  <c:v>-10.787128937486488</c:v>
                </c:pt>
                <c:pt idx="228">
                  <c:v>-10.810838906624824</c:v>
                </c:pt>
                <c:pt idx="229">
                  <c:v>-10.834548875763163</c:v>
                </c:pt>
                <c:pt idx="230">
                  <c:v>-10.858258844901499</c:v>
                </c:pt>
                <c:pt idx="231">
                  <c:v>-10.881968814039837</c:v>
                </c:pt>
                <c:pt idx="232">
                  <c:v>-10.905678783178173</c:v>
                </c:pt>
                <c:pt idx="233">
                  <c:v>-10.929388752316505</c:v>
                </c:pt>
                <c:pt idx="234">
                  <c:v>-10.953098721454845</c:v>
                </c:pt>
                <c:pt idx="235">
                  <c:v>-10.976808690593183</c:v>
                </c:pt>
                <c:pt idx="236">
                  <c:v>-11.000518659731519</c:v>
                </c:pt>
                <c:pt idx="237">
                  <c:v>-11.024228628869855</c:v>
                </c:pt>
                <c:pt idx="238">
                  <c:v>-11.047938598008191</c:v>
                </c:pt>
                <c:pt idx="239">
                  <c:v>-11.071648567146529</c:v>
                </c:pt>
                <c:pt idx="240">
                  <c:v>-11.095358536284868</c:v>
                </c:pt>
                <c:pt idx="241">
                  <c:v>-11.119068505423204</c:v>
                </c:pt>
                <c:pt idx="242">
                  <c:v>-11.142778474561537</c:v>
                </c:pt>
                <c:pt idx="243">
                  <c:v>-11.166488443699874</c:v>
                </c:pt>
                <c:pt idx="244">
                  <c:v>-11.19019841283821</c:v>
                </c:pt>
                <c:pt idx="245">
                  <c:v>-11.21390838197655</c:v>
                </c:pt>
                <c:pt idx="246">
                  <c:v>-11.237618351114886</c:v>
                </c:pt>
                <c:pt idx="247">
                  <c:v>-11.261328320253222</c:v>
                </c:pt>
                <c:pt idx="248">
                  <c:v>-11.28503828939156</c:v>
                </c:pt>
                <c:pt idx="249">
                  <c:v>-11.308748258529896</c:v>
                </c:pt>
                <c:pt idx="250">
                  <c:v>-11.332458227668235</c:v>
                </c:pt>
                <c:pt idx="251">
                  <c:v>-11.356168196806571</c:v>
                </c:pt>
                <c:pt idx="252">
                  <c:v>-11.379878165944907</c:v>
                </c:pt>
                <c:pt idx="253">
                  <c:v>-11.403588135083242</c:v>
                </c:pt>
                <c:pt idx="254">
                  <c:v>-11.427298104221578</c:v>
                </c:pt>
                <c:pt idx="255">
                  <c:v>-11.451008073359914</c:v>
                </c:pt>
                <c:pt idx="256">
                  <c:v>-11.474718042498253</c:v>
                </c:pt>
                <c:pt idx="257">
                  <c:v>-11.498428011636591</c:v>
                </c:pt>
                <c:pt idx="258">
                  <c:v>-11.522137980774927</c:v>
                </c:pt>
                <c:pt idx="259">
                  <c:v>-11.545847949913263</c:v>
                </c:pt>
                <c:pt idx="260">
                  <c:v>-11.569557919051599</c:v>
                </c:pt>
                <c:pt idx="261">
                  <c:v>-11.593267888189938</c:v>
                </c:pt>
                <c:pt idx="262">
                  <c:v>-11.616977857328276</c:v>
                </c:pt>
                <c:pt idx="263">
                  <c:v>-11.640687826466609</c:v>
                </c:pt>
                <c:pt idx="264">
                  <c:v>-11.664397795604945</c:v>
                </c:pt>
                <c:pt idx="265">
                  <c:v>-11.688107764743283</c:v>
                </c:pt>
                <c:pt idx="266">
                  <c:v>-11.711817733881619</c:v>
                </c:pt>
                <c:pt idx="267">
                  <c:v>-11.735527703019955</c:v>
                </c:pt>
                <c:pt idx="268">
                  <c:v>-11.759237672158291</c:v>
                </c:pt>
                <c:pt idx="269">
                  <c:v>-11.782947641296628</c:v>
                </c:pt>
                <c:pt idx="270">
                  <c:v>-11.80665761043497</c:v>
                </c:pt>
                <c:pt idx="271">
                  <c:v>-11.830367579573307</c:v>
                </c:pt>
                <c:pt idx="272">
                  <c:v>-11.854077548711643</c:v>
                </c:pt>
                <c:pt idx="273">
                  <c:v>-11.877787517849979</c:v>
                </c:pt>
                <c:pt idx="274">
                  <c:v>-11.901497486988315</c:v>
                </c:pt>
                <c:pt idx="275">
                  <c:v>-11.925207456126653</c:v>
                </c:pt>
                <c:pt idx="276">
                  <c:v>-11.948917425264989</c:v>
                </c:pt>
                <c:pt idx="277">
                  <c:v>-11.972627394403325</c:v>
                </c:pt>
                <c:pt idx="278">
                  <c:v>-11.996337363541661</c:v>
                </c:pt>
                <c:pt idx="279">
                  <c:v>-12.020047332679999</c:v>
                </c:pt>
                <c:pt idx="280">
                  <c:v>-12.043757301818335</c:v>
                </c:pt>
                <c:pt idx="281">
                  <c:v>-12.067467270956671</c:v>
                </c:pt>
                <c:pt idx="282">
                  <c:v>-12.091177240095007</c:v>
                </c:pt>
                <c:pt idx="283">
                  <c:v>-12.114887209233345</c:v>
                </c:pt>
                <c:pt idx="284">
                  <c:v>-12.138597178371681</c:v>
                </c:pt>
                <c:pt idx="285">
                  <c:v>-12.162307147510017</c:v>
                </c:pt>
                <c:pt idx="286">
                  <c:v>-12.186017116648353</c:v>
                </c:pt>
                <c:pt idx="287">
                  <c:v>-12.209727085786691</c:v>
                </c:pt>
                <c:pt idx="288">
                  <c:v>-12.233437054925027</c:v>
                </c:pt>
                <c:pt idx="289">
                  <c:v>-12.257147024063363</c:v>
                </c:pt>
                <c:pt idx="290">
                  <c:v>-12.280856993201699</c:v>
                </c:pt>
                <c:pt idx="291">
                  <c:v>-12.304566962340042</c:v>
                </c:pt>
                <c:pt idx="292">
                  <c:v>-12.328276931478378</c:v>
                </c:pt>
                <c:pt idx="293">
                  <c:v>-12.351986900616716</c:v>
                </c:pt>
                <c:pt idx="294">
                  <c:v>-12.375696869755052</c:v>
                </c:pt>
                <c:pt idx="295">
                  <c:v>-12.399406838893388</c:v>
                </c:pt>
                <c:pt idx="296">
                  <c:v>-12.423116808031724</c:v>
                </c:pt>
                <c:pt idx="297">
                  <c:v>-12.446826777170061</c:v>
                </c:pt>
                <c:pt idx="298">
                  <c:v>-12.470536746308397</c:v>
                </c:pt>
                <c:pt idx="299">
                  <c:v>-12.494246715446733</c:v>
                </c:pt>
                <c:pt idx="300">
                  <c:v>-12.517956684585069</c:v>
                </c:pt>
                <c:pt idx="301">
                  <c:v>-12.541666653723407</c:v>
                </c:pt>
                <c:pt idx="302">
                  <c:v>-12.565376622861743</c:v>
                </c:pt>
                <c:pt idx="303">
                  <c:v>-12.589086592000079</c:v>
                </c:pt>
                <c:pt idx="304">
                  <c:v>-12.612796561138415</c:v>
                </c:pt>
                <c:pt idx="305">
                  <c:v>-12.636506530276753</c:v>
                </c:pt>
                <c:pt idx="306">
                  <c:v>28.680079271100176</c:v>
                </c:pt>
                <c:pt idx="307">
                  <c:v>28.680079271100176</c:v>
                </c:pt>
                <c:pt idx="308">
                  <c:v>28.680079271100176</c:v>
                </c:pt>
                <c:pt idx="309">
                  <c:v>28.680079271100176</c:v>
                </c:pt>
                <c:pt idx="310">
                  <c:v>28.680079271100176</c:v>
                </c:pt>
                <c:pt idx="311">
                  <c:v>28.680079271100176</c:v>
                </c:pt>
                <c:pt idx="312">
                  <c:v>28.680079271100176</c:v>
                </c:pt>
                <c:pt idx="313">
                  <c:v>28.680079271100176</c:v>
                </c:pt>
                <c:pt idx="314">
                  <c:v>28.680079271100176</c:v>
                </c:pt>
                <c:pt idx="315">
                  <c:v>28.680079271100176</c:v>
                </c:pt>
                <c:pt idx="316">
                  <c:v>28.680079271100176</c:v>
                </c:pt>
                <c:pt idx="317">
                  <c:v>28.680079271100176</c:v>
                </c:pt>
                <c:pt idx="318">
                  <c:v>28.680079271100176</c:v>
                </c:pt>
                <c:pt idx="319">
                  <c:v>28.680079271100176</c:v>
                </c:pt>
                <c:pt idx="320">
                  <c:v>28.680079271100176</c:v>
                </c:pt>
                <c:pt idx="321">
                  <c:v>28.680079271100176</c:v>
                </c:pt>
                <c:pt idx="322">
                  <c:v>28.680079271100176</c:v>
                </c:pt>
                <c:pt idx="323">
                  <c:v>28.680079271100176</c:v>
                </c:pt>
                <c:pt idx="324">
                  <c:v>28.680079271100176</c:v>
                </c:pt>
                <c:pt idx="325">
                  <c:v>28.680079271100176</c:v>
                </c:pt>
                <c:pt idx="326">
                  <c:v>28.680079271100176</c:v>
                </c:pt>
                <c:pt idx="327">
                  <c:v>28.680079271100176</c:v>
                </c:pt>
                <c:pt idx="328">
                  <c:v>28.680079271100176</c:v>
                </c:pt>
                <c:pt idx="329">
                  <c:v>28.680079271100176</c:v>
                </c:pt>
                <c:pt idx="330">
                  <c:v>28.680079271100176</c:v>
                </c:pt>
                <c:pt idx="331">
                  <c:v>28.680079271100176</c:v>
                </c:pt>
                <c:pt idx="332">
                  <c:v>28.680079271100176</c:v>
                </c:pt>
                <c:pt idx="333">
                  <c:v>28.680079271100176</c:v>
                </c:pt>
                <c:pt idx="334">
                  <c:v>28.680079271100176</c:v>
                </c:pt>
                <c:pt idx="335">
                  <c:v>28.680079271100176</c:v>
                </c:pt>
                <c:pt idx="336">
                  <c:v>28.680079271100176</c:v>
                </c:pt>
                <c:pt idx="337">
                  <c:v>28.680079271100176</c:v>
                </c:pt>
                <c:pt idx="338">
                  <c:v>28.680079271100176</c:v>
                </c:pt>
                <c:pt idx="339">
                  <c:v>28.680079271100176</c:v>
                </c:pt>
                <c:pt idx="340">
                  <c:v>28.680079271100176</c:v>
                </c:pt>
                <c:pt idx="341">
                  <c:v>28.680079271100176</c:v>
                </c:pt>
                <c:pt idx="342">
                  <c:v>28.680079271100176</c:v>
                </c:pt>
                <c:pt idx="343">
                  <c:v>28.680079271100176</c:v>
                </c:pt>
                <c:pt idx="344">
                  <c:v>28.680079271100176</c:v>
                </c:pt>
                <c:pt idx="345">
                  <c:v>28.680079271100176</c:v>
                </c:pt>
                <c:pt idx="346">
                  <c:v>28.680079271100176</c:v>
                </c:pt>
                <c:pt idx="347">
                  <c:v>28.680079271100176</c:v>
                </c:pt>
                <c:pt idx="348">
                  <c:v>28.680079271100176</c:v>
                </c:pt>
                <c:pt idx="349">
                  <c:v>28.680079271100176</c:v>
                </c:pt>
                <c:pt idx="350">
                  <c:v>28.680079271100176</c:v>
                </c:pt>
                <c:pt idx="351">
                  <c:v>28.680079271100176</c:v>
                </c:pt>
                <c:pt idx="352">
                  <c:v>28.680079271100176</c:v>
                </c:pt>
                <c:pt idx="353">
                  <c:v>28.680079271100176</c:v>
                </c:pt>
                <c:pt idx="354">
                  <c:v>28.680079271100176</c:v>
                </c:pt>
                <c:pt idx="355">
                  <c:v>28.680079271100176</c:v>
                </c:pt>
                <c:pt idx="356">
                  <c:v>28.680079271100176</c:v>
                </c:pt>
                <c:pt idx="357">
                  <c:v>28.680079271100176</c:v>
                </c:pt>
                <c:pt idx="358">
                  <c:v>28.680079271100176</c:v>
                </c:pt>
                <c:pt idx="359">
                  <c:v>28.680079271100176</c:v>
                </c:pt>
                <c:pt idx="360">
                  <c:v>28.680079271100176</c:v>
                </c:pt>
                <c:pt idx="361">
                  <c:v>28.680079271100176</c:v>
                </c:pt>
                <c:pt idx="362">
                  <c:v>28.680079271100176</c:v>
                </c:pt>
                <c:pt idx="363">
                  <c:v>28.680079271100176</c:v>
                </c:pt>
                <c:pt idx="364">
                  <c:v>28.680079271100176</c:v>
                </c:pt>
                <c:pt idx="365">
                  <c:v>28.807279921021983</c:v>
                </c:pt>
                <c:pt idx="366">
                  <c:v>29.061313601084503</c:v>
                </c:pt>
                <c:pt idx="367">
                  <c:v>29.544413828753662</c:v>
                </c:pt>
                <c:pt idx="368">
                  <c:v>29.78344719258109</c:v>
                </c:pt>
                <c:pt idx="369">
                  <c:v>30.23740937265136</c:v>
                </c:pt>
                <c:pt idx="370">
                  <c:v>30.673414218103609</c:v>
                </c:pt>
                <c:pt idx="371">
                  <c:v>31.063208722386143</c:v>
                </c:pt>
                <c:pt idx="372">
                  <c:v>31.470998611383568</c:v>
                </c:pt>
                <c:pt idx="373">
                  <c:v>31.863469714391314</c:v>
                </c:pt>
                <c:pt idx="374">
                  <c:v>32.060082087584334</c:v>
                </c:pt>
                <c:pt idx="375">
                  <c:v>32.108191966466592</c:v>
                </c:pt>
                <c:pt idx="376">
                  <c:v>32.154623512098304</c:v>
                </c:pt>
                <c:pt idx="377">
                  <c:v>32.02606450274844</c:v>
                </c:pt>
                <c:pt idx="378">
                  <c:v>31.764248267516304</c:v>
                </c:pt>
                <c:pt idx="379">
                  <c:v>31.642469705131937</c:v>
                </c:pt>
                <c:pt idx="380">
                  <c:v>31.393981923389891</c:v>
                </c:pt>
                <c:pt idx="381">
                  <c:v>31.449177767779101</c:v>
                </c:pt>
                <c:pt idx="382">
                  <c:v>31.481702202804776</c:v>
                </c:pt>
                <c:pt idx="383">
                  <c:v>31.513791152029256</c:v>
                </c:pt>
                <c:pt idx="384">
                  <c:v>31.708241441066711</c:v>
                </c:pt>
                <c:pt idx="385">
                  <c:v>31.738026543157375</c:v>
                </c:pt>
                <c:pt idx="386">
                  <c:v>31.785041646635843</c:v>
                </c:pt>
                <c:pt idx="387">
                  <c:v>31.813715588454468</c:v>
                </c:pt>
                <c:pt idx="388">
                  <c:v>31.858539971665305</c:v>
                </c:pt>
                <c:pt idx="389">
                  <c:v>31.818675059918554</c:v>
                </c:pt>
                <c:pt idx="390">
                  <c:v>31.779470969004681</c:v>
                </c:pt>
                <c:pt idx="391">
                  <c:v>31.559713355477477</c:v>
                </c:pt>
                <c:pt idx="392">
                  <c:v>31.457836476995364</c:v>
                </c:pt>
                <c:pt idx="393">
                  <c:v>30.306336481707302</c:v>
                </c:pt>
                <c:pt idx="394">
                  <c:v>30.48319981104726</c:v>
                </c:pt>
                <c:pt idx="395">
                  <c:v>30.656838081702475</c:v>
                </c:pt>
                <c:pt idx="396">
                  <c:v>30.680395064227788</c:v>
                </c:pt>
                <c:pt idx="397">
                  <c:v>30.703534618584115</c:v>
                </c:pt>
                <c:pt idx="398">
                  <c:v>30.726266577409014</c:v>
                </c:pt>
                <c:pt idx="399">
                  <c:v>30.748600408113731</c:v>
                </c:pt>
                <c:pt idx="400">
                  <c:v>30.628941909387812</c:v>
                </c:pt>
                <c:pt idx="401">
                  <c:v>30.639342646232194</c:v>
                </c:pt>
                <c:pt idx="402">
                  <c:v>30.521742733719712</c:v>
                </c:pt>
                <c:pt idx="403">
                  <c:v>30.406143563116867</c:v>
                </c:pt>
                <c:pt idx="404">
                  <c:v>30.292489351200711</c:v>
                </c:pt>
                <c:pt idx="405">
                  <c:v>30.180726285030076</c:v>
                </c:pt>
                <c:pt idx="406">
                  <c:v>30.070802435897846</c:v>
                </c:pt>
                <c:pt idx="407">
                  <c:v>30.08071051773053</c:v>
                </c:pt>
                <c:pt idx="408">
                  <c:v>30.106854770083444</c:v>
                </c:pt>
                <c:pt idx="409">
                  <c:v>30.132551122462012</c:v>
                </c:pt>
                <c:pt idx="410">
                  <c:v>30.157809357443039</c:v>
                </c:pt>
                <c:pt idx="411">
                  <c:v>30.18263892453059</c:v>
                </c:pt>
                <c:pt idx="412">
                  <c:v>30.192596483240912</c:v>
                </c:pt>
                <c:pt idx="413">
                  <c:v>30.217006512809292</c:v>
                </c:pt>
                <c:pt idx="414">
                  <c:v>30.369736120413876</c:v>
                </c:pt>
                <c:pt idx="415">
                  <c:v>30.392380454065616</c:v>
                </c:pt>
                <c:pt idx="416">
                  <c:v>30.402473016258529</c:v>
                </c:pt>
                <c:pt idx="417">
                  <c:v>30.424739736115903</c:v>
                </c:pt>
                <c:pt idx="418">
                  <c:v>30.446636420726783</c:v>
                </c:pt>
                <c:pt idx="419">
                  <c:v>30.468170402534014</c:v>
                </c:pt>
                <c:pt idx="420">
                  <c:v>30.47829110731994</c:v>
                </c:pt>
                <c:pt idx="421">
                  <c:v>30.49946948247559</c:v>
                </c:pt>
                <c:pt idx="422">
                  <c:v>30.49946948247559</c:v>
                </c:pt>
                <c:pt idx="423">
                  <c:v>30.49946948247559</c:v>
                </c:pt>
                <c:pt idx="424">
                  <c:v>30.49946948247559</c:v>
                </c:pt>
                <c:pt idx="425">
                  <c:v>30.49946948247559</c:v>
                </c:pt>
                <c:pt idx="426">
                  <c:v>30.49946948247559</c:v>
                </c:pt>
                <c:pt idx="427">
                  <c:v>30.49946948247559</c:v>
                </c:pt>
                <c:pt idx="428">
                  <c:v>30.49946948247559</c:v>
                </c:pt>
                <c:pt idx="429">
                  <c:v>30.49946948247559</c:v>
                </c:pt>
                <c:pt idx="430">
                  <c:v>30.49946948247559</c:v>
                </c:pt>
                <c:pt idx="431">
                  <c:v>30.49946948247559</c:v>
                </c:pt>
                <c:pt idx="432">
                  <c:v>30.49946948247559</c:v>
                </c:pt>
                <c:pt idx="433">
                  <c:v>30.49946948247559</c:v>
                </c:pt>
                <c:pt idx="434">
                  <c:v>30.49946948247559</c:v>
                </c:pt>
                <c:pt idx="435">
                  <c:v>30.49946948247559</c:v>
                </c:pt>
                <c:pt idx="436">
                  <c:v>30.49946948247559</c:v>
                </c:pt>
                <c:pt idx="437">
                  <c:v>30.49946948247559</c:v>
                </c:pt>
                <c:pt idx="438">
                  <c:v>30.49946948247559</c:v>
                </c:pt>
                <c:pt idx="439">
                  <c:v>30.49946948247559</c:v>
                </c:pt>
                <c:pt idx="440">
                  <c:v>30.49946948247559</c:v>
                </c:pt>
                <c:pt idx="441">
                  <c:v>30.49946948247559</c:v>
                </c:pt>
                <c:pt idx="442">
                  <c:v>30.49946948247559</c:v>
                </c:pt>
                <c:pt idx="443">
                  <c:v>30.49946948247559</c:v>
                </c:pt>
                <c:pt idx="444">
                  <c:v>30.49946948247559</c:v>
                </c:pt>
                <c:pt idx="445">
                  <c:v>30.49946948247559</c:v>
                </c:pt>
                <c:pt idx="446">
                  <c:v>30.49946948247559</c:v>
                </c:pt>
                <c:pt idx="447">
                  <c:v>30.49946948247559</c:v>
                </c:pt>
                <c:pt idx="448">
                  <c:v>30.49946948247559</c:v>
                </c:pt>
                <c:pt idx="449">
                  <c:v>30.49946948247559</c:v>
                </c:pt>
                <c:pt idx="450">
                  <c:v>30.49946948247559</c:v>
                </c:pt>
                <c:pt idx="451">
                  <c:v>30.49946948247559</c:v>
                </c:pt>
                <c:pt idx="452">
                  <c:v>30.49946948247559</c:v>
                </c:pt>
                <c:pt idx="453">
                  <c:v>30.49946948247559</c:v>
                </c:pt>
                <c:pt idx="454">
                  <c:v>30.49946948247559</c:v>
                </c:pt>
                <c:pt idx="455">
                  <c:v>30.49946948247559</c:v>
                </c:pt>
                <c:pt idx="456">
                  <c:v>30.49946948247559</c:v>
                </c:pt>
                <c:pt idx="457">
                  <c:v>30.49946948247559</c:v>
                </c:pt>
                <c:pt idx="458">
                  <c:v>30.49946948247559</c:v>
                </c:pt>
                <c:pt idx="459">
                  <c:v>30.49946948247559</c:v>
                </c:pt>
                <c:pt idx="460">
                  <c:v>30.49946948247559</c:v>
                </c:pt>
                <c:pt idx="461">
                  <c:v>30.49946948247559</c:v>
                </c:pt>
                <c:pt idx="462">
                  <c:v>30.49946948247559</c:v>
                </c:pt>
                <c:pt idx="463">
                  <c:v>30.49946948247559</c:v>
                </c:pt>
                <c:pt idx="464">
                  <c:v>30.49946948247559</c:v>
                </c:pt>
                <c:pt idx="465">
                  <c:v>30.49946948247559</c:v>
                </c:pt>
                <c:pt idx="466">
                  <c:v>30.49946948247559</c:v>
                </c:pt>
                <c:pt idx="467">
                  <c:v>30.49946948247559</c:v>
                </c:pt>
                <c:pt idx="468">
                  <c:v>30.49946948247559</c:v>
                </c:pt>
                <c:pt idx="469">
                  <c:v>30.49946948247559</c:v>
                </c:pt>
                <c:pt idx="470">
                  <c:v>30.49946948247559</c:v>
                </c:pt>
                <c:pt idx="471">
                  <c:v>30.49946948247559</c:v>
                </c:pt>
                <c:pt idx="472">
                  <c:v>30.49946948247559</c:v>
                </c:pt>
                <c:pt idx="473">
                  <c:v>30.49946948247559</c:v>
                </c:pt>
                <c:pt idx="474">
                  <c:v>30.49946948247559</c:v>
                </c:pt>
                <c:pt idx="475">
                  <c:v>30.49946948247559</c:v>
                </c:pt>
                <c:pt idx="476">
                  <c:v>30.49946948247559</c:v>
                </c:pt>
                <c:pt idx="477">
                  <c:v>30.49946948247559</c:v>
                </c:pt>
                <c:pt idx="478">
                  <c:v>30.49946948247559</c:v>
                </c:pt>
                <c:pt idx="479">
                  <c:v>30.49946948247559</c:v>
                </c:pt>
                <c:pt idx="480">
                  <c:v>30.49946948247559</c:v>
                </c:pt>
                <c:pt idx="481">
                  <c:v>30.49946948247559</c:v>
                </c:pt>
                <c:pt idx="482">
                  <c:v>30.49946948247559</c:v>
                </c:pt>
                <c:pt idx="483">
                  <c:v>30.49946948247559</c:v>
                </c:pt>
                <c:pt idx="484">
                  <c:v>30.49946948247559</c:v>
                </c:pt>
                <c:pt idx="485">
                  <c:v>30.49946948247559</c:v>
                </c:pt>
                <c:pt idx="486">
                  <c:v>30.49946948247559</c:v>
                </c:pt>
                <c:pt idx="487">
                  <c:v>30.49946948247559</c:v>
                </c:pt>
                <c:pt idx="488">
                  <c:v>30.49946948247559</c:v>
                </c:pt>
                <c:pt idx="489">
                  <c:v>30.49946948247559</c:v>
                </c:pt>
                <c:pt idx="490">
                  <c:v>30.49946948247559</c:v>
                </c:pt>
                <c:pt idx="491">
                  <c:v>30.49946948247559</c:v>
                </c:pt>
                <c:pt idx="492">
                  <c:v>30.49946948247559</c:v>
                </c:pt>
                <c:pt idx="493">
                  <c:v>30.49946948247559</c:v>
                </c:pt>
                <c:pt idx="494">
                  <c:v>30.49946948247559</c:v>
                </c:pt>
                <c:pt idx="495">
                  <c:v>30.49946948247559</c:v>
                </c:pt>
                <c:pt idx="496">
                  <c:v>30.49946948247559</c:v>
                </c:pt>
                <c:pt idx="497">
                  <c:v>30.49946948247559</c:v>
                </c:pt>
                <c:pt idx="498">
                  <c:v>30.49946948247559</c:v>
                </c:pt>
                <c:pt idx="499">
                  <c:v>30.49946948247559</c:v>
                </c:pt>
                <c:pt idx="500">
                  <c:v>30.49946948247559</c:v>
                </c:pt>
                <c:pt idx="501">
                  <c:v>30.49946948247559</c:v>
                </c:pt>
                <c:pt idx="502">
                  <c:v>30.49946948247559</c:v>
                </c:pt>
                <c:pt idx="503">
                  <c:v>30.49946948247559</c:v>
                </c:pt>
                <c:pt idx="504">
                  <c:v>30.49946948247559</c:v>
                </c:pt>
                <c:pt idx="505">
                  <c:v>30.49946948247559</c:v>
                </c:pt>
                <c:pt idx="506">
                  <c:v>30.49946948247559</c:v>
                </c:pt>
                <c:pt idx="507">
                  <c:v>30.49946948247559</c:v>
                </c:pt>
                <c:pt idx="508">
                  <c:v>30.49946948247559</c:v>
                </c:pt>
                <c:pt idx="509">
                  <c:v>30.49946948247559</c:v>
                </c:pt>
                <c:pt idx="510">
                  <c:v>30.49946948247559</c:v>
                </c:pt>
                <c:pt idx="511">
                  <c:v>30.49946948247559</c:v>
                </c:pt>
                <c:pt idx="512">
                  <c:v>30.49946948247559</c:v>
                </c:pt>
                <c:pt idx="513">
                  <c:v>30.49946948247559</c:v>
                </c:pt>
                <c:pt idx="514">
                  <c:v>30.49946948247559</c:v>
                </c:pt>
                <c:pt idx="515">
                  <c:v>30.49946948247559</c:v>
                </c:pt>
                <c:pt idx="516">
                  <c:v>30.49946948247559</c:v>
                </c:pt>
                <c:pt idx="517">
                  <c:v>30.49946948247559</c:v>
                </c:pt>
                <c:pt idx="518">
                  <c:v>30.49946948247559</c:v>
                </c:pt>
                <c:pt idx="519">
                  <c:v>30.49946948247559</c:v>
                </c:pt>
                <c:pt idx="520">
                  <c:v>30.49946948247559</c:v>
                </c:pt>
                <c:pt idx="521">
                  <c:v>30.49946948247559</c:v>
                </c:pt>
                <c:pt idx="522">
                  <c:v>30.520299120189993</c:v>
                </c:pt>
                <c:pt idx="523">
                  <c:v>30.479941495006713</c:v>
                </c:pt>
                <c:pt idx="524">
                  <c:v>30.490039347718991</c:v>
                </c:pt>
                <c:pt idx="525">
                  <c:v>30.450241030411224</c:v>
                </c:pt>
                <c:pt idx="526">
                  <c:v>30.351078145024861</c:v>
                </c:pt>
                <c:pt idx="527">
                  <c:v>30.361049469053899</c:v>
                </c:pt>
                <c:pt idx="528">
                  <c:v>30.26328379080525</c:v>
                </c:pt>
                <c:pt idx="529">
                  <c:v>30.166881370822104</c:v>
                </c:pt>
                <c:pt idx="530">
                  <c:v>30.071809288808758</c:v>
                </c:pt>
                <c:pt idx="531">
                  <c:v>30.081527027601155</c:v>
                </c:pt>
                <c:pt idx="532">
                  <c:v>29.987753353256508</c:v>
                </c:pt>
                <c:pt idx="533">
                  <c:v>29.895247109412864</c:v>
                </c:pt>
                <c:pt idx="534">
                  <c:v>29.904801330494273</c:v>
                </c:pt>
                <c:pt idx="535">
                  <c:v>29.813532457888126</c:v>
                </c:pt>
                <c:pt idx="536">
                  <c:v>29.823006505293833</c:v>
                </c:pt>
                <c:pt idx="537">
                  <c:v>29.732945828885033</c:v>
                </c:pt>
                <c:pt idx="538">
                  <c:v>29.700501131509387</c:v>
                </c:pt>
                <c:pt idx="539">
                  <c:v>29.709862759245922</c:v>
                </c:pt>
                <c:pt idx="540">
                  <c:v>29.677803280424108</c:v>
                </c:pt>
                <c:pt idx="541">
                  <c:v>29.701748940740057</c:v>
                </c:pt>
                <c:pt idx="542">
                  <c:v>29.711089254052983</c:v>
                </c:pt>
                <c:pt idx="543">
                  <c:v>29.67942032870992</c:v>
                </c:pt>
                <c:pt idx="544">
                  <c:v>29.688728031821345</c:v>
                </c:pt>
                <c:pt idx="545">
                  <c:v>28.981069269632407</c:v>
                </c:pt>
                <c:pt idx="546">
                  <c:v>28.998428124656115</c:v>
                </c:pt>
                <c:pt idx="547">
                  <c:v>29.007172557634828</c:v>
                </c:pt>
                <c:pt idx="548">
                  <c:v>29.024109173944531</c:v>
                </c:pt>
                <c:pt idx="549">
                  <c:v>29.032860121278489</c:v>
                </c:pt>
                <c:pt idx="550">
                  <c:v>29.16537144418087</c:v>
                </c:pt>
                <c:pt idx="551">
                  <c:v>29.174220804724072</c:v>
                </c:pt>
                <c:pt idx="552">
                  <c:v>29.189477939936527</c:v>
                </c:pt>
                <c:pt idx="553">
                  <c:v>29.198332395888222</c:v>
                </c:pt>
                <c:pt idx="554">
                  <c:v>29.21320497023304</c:v>
                </c:pt>
                <c:pt idx="555">
                  <c:v>29.222064211741841</c:v>
                </c:pt>
                <c:pt idx="556">
                  <c:v>29.236559021529999</c:v>
                </c:pt>
                <c:pt idx="557">
                  <c:v>29.24542274439527</c:v>
                </c:pt>
                <c:pt idx="558">
                  <c:v>29.254286467260552</c:v>
                </c:pt>
                <c:pt idx="559">
                  <c:v>29.268410087056608</c:v>
                </c:pt>
                <c:pt idx="560">
                  <c:v>29.277277992547663</c:v>
                </c:pt>
                <c:pt idx="561">
                  <c:v>29.291036784012611</c:v>
                </c:pt>
                <c:pt idx="562">
                  <c:v>29.299908578695039</c:v>
                </c:pt>
                <c:pt idx="563">
                  <c:v>29.313308699010022</c:v>
                </c:pt>
                <c:pt idx="564">
                  <c:v>29.322184094578887</c:v>
                </c:pt>
                <c:pt idx="565">
                  <c:v>29.322184094578887</c:v>
                </c:pt>
                <c:pt idx="566">
                  <c:v>29.322184094578887</c:v>
                </c:pt>
                <c:pt idx="567">
                  <c:v>29.322184094578887</c:v>
                </c:pt>
                <c:pt idx="568">
                  <c:v>29.322184094578887</c:v>
                </c:pt>
                <c:pt idx="569">
                  <c:v>29.322184094578887</c:v>
                </c:pt>
                <c:pt idx="570">
                  <c:v>29.322184094578887</c:v>
                </c:pt>
                <c:pt idx="571">
                  <c:v>29.322184094578887</c:v>
                </c:pt>
                <c:pt idx="572">
                  <c:v>29.322184094578887</c:v>
                </c:pt>
                <c:pt idx="573">
                  <c:v>29.322184094578887</c:v>
                </c:pt>
                <c:pt idx="574">
                  <c:v>29.322184094578887</c:v>
                </c:pt>
                <c:pt idx="575">
                  <c:v>29.322184094578887</c:v>
                </c:pt>
                <c:pt idx="576">
                  <c:v>29.322184094578887</c:v>
                </c:pt>
                <c:pt idx="577">
                  <c:v>29.322184094578887</c:v>
                </c:pt>
                <c:pt idx="578">
                  <c:v>29.322184094578887</c:v>
                </c:pt>
                <c:pt idx="579">
                  <c:v>29.322184094578887</c:v>
                </c:pt>
                <c:pt idx="580">
                  <c:v>29.322184094578887</c:v>
                </c:pt>
                <c:pt idx="581">
                  <c:v>29.322184094578887</c:v>
                </c:pt>
                <c:pt idx="582">
                  <c:v>29.322184094578887</c:v>
                </c:pt>
                <c:pt idx="583">
                  <c:v>29.322184094578887</c:v>
                </c:pt>
                <c:pt idx="584">
                  <c:v>29.322184094578887</c:v>
                </c:pt>
                <c:pt idx="585">
                  <c:v>29.322184094578887</c:v>
                </c:pt>
                <c:pt idx="586">
                  <c:v>29.322184094578887</c:v>
                </c:pt>
                <c:pt idx="587">
                  <c:v>29.322184094578887</c:v>
                </c:pt>
                <c:pt idx="588">
                  <c:v>29.322184094578887</c:v>
                </c:pt>
                <c:pt idx="589">
                  <c:v>29.322184094578887</c:v>
                </c:pt>
                <c:pt idx="590">
                  <c:v>29.322184094578887</c:v>
                </c:pt>
                <c:pt idx="591">
                  <c:v>29.322184094578887</c:v>
                </c:pt>
                <c:pt idx="592">
                  <c:v>29.322184094578887</c:v>
                </c:pt>
                <c:pt idx="593">
                  <c:v>29.322184094578887</c:v>
                </c:pt>
                <c:pt idx="594">
                  <c:v>29.322184094578887</c:v>
                </c:pt>
                <c:pt idx="595">
                  <c:v>29.322184094578887</c:v>
                </c:pt>
                <c:pt idx="596">
                  <c:v>29.322184094578887</c:v>
                </c:pt>
                <c:pt idx="597">
                  <c:v>29.322184094578887</c:v>
                </c:pt>
                <c:pt idx="598">
                  <c:v>29.322184094578887</c:v>
                </c:pt>
                <c:pt idx="599">
                  <c:v>29.322184094578887</c:v>
                </c:pt>
                <c:pt idx="600">
                  <c:v>29.322184094578887</c:v>
                </c:pt>
                <c:pt idx="601">
                  <c:v>29.322184094578887</c:v>
                </c:pt>
                <c:pt idx="602">
                  <c:v>29.322184094578887</c:v>
                </c:pt>
                <c:pt idx="603">
                  <c:v>29.322184094578887</c:v>
                </c:pt>
                <c:pt idx="604">
                  <c:v>29.322184094578887</c:v>
                </c:pt>
                <c:pt idx="605">
                  <c:v>29.322184094578887</c:v>
                </c:pt>
                <c:pt idx="606">
                  <c:v>29.322184094578887</c:v>
                </c:pt>
                <c:pt idx="607">
                  <c:v>29.322184094578887</c:v>
                </c:pt>
                <c:pt idx="608">
                  <c:v>29.322184094578887</c:v>
                </c:pt>
                <c:pt idx="609">
                  <c:v>29.322184094578887</c:v>
                </c:pt>
                <c:pt idx="610">
                  <c:v>29.322184094578887</c:v>
                </c:pt>
                <c:pt idx="611">
                  <c:v>29.322184094578887</c:v>
                </c:pt>
                <c:pt idx="612">
                  <c:v>29.322184094578887</c:v>
                </c:pt>
                <c:pt idx="613">
                  <c:v>29.322184094578887</c:v>
                </c:pt>
                <c:pt idx="614">
                  <c:v>29.322184094578887</c:v>
                </c:pt>
                <c:pt idx="615">
                  <c:v>29.322184094578887</c:v>
                </c:pt>
                <c:pt idx="616">
                  <c:v>29.322184094578887</c:v>
                </c:pt>
                <c:pt idx="617">
                  <c:v>29.322184094578887</c:v>
                </c:pt>
                <c:pt idx="618">
                  <c:v>29.322184094578887</c:v>
                </c:pt>
                <c:pt idx="619">
                  <c:v>29.322184094578887</c:v>
                </c:pt>
                <c:pt idx="620">
                  <c:v>29.322184094578887</c:v>
                </c:pt>
                <c:pt idx="621">
                  <c:v>29.322184094578887</c:v>
                </c:pt>
                <c:pt idx="622">
                  <c:v>29.322184094578887</c:v>
                </c:pt>
                <c:pt idx="623">
                  <c:v>29.322184094578887</c:v>
                </c:pt>
                <c:pt idx="624">
                  <c:v>29.322184094578887</c:v>
                </c:pt>
                <c:pt idx="625">
                  <c:v>29.322184094578887</c:v>
                </c:pt>
                <c:pt idx="626">
                  <c:v>29.322184094578887</c:v>
                </c:pt>
                <c:pt idx="627">
                  <c:v>29.322184094578887</c:v>
                </c:pt>
                <c:pt idx="628">
                  <c:v>29.322184094578887</c:v>
                </c:pt>
                <c:pt idx="629">
                  <c:v>29.322184094578887</c:v>
                </c:pt>
                <c:pt idx="630">
                  <c:v>29.322184094578887</c:v>
                </c:pt>
                <c:pt idx="631">
                  <c:v>29.322184094578887</c:v>
                </c:pt>
                <c:pt idx="632">
                  <c:v>29.322184094578887</c:v>
                </c:pt>
                <c:pt idx="633">
                  <c:v>29.322184094578887</c:v>
                </c:pt>
                <c:pt idx="634">
                  <c:v>29.322184094578887</c:v>
                </c:pt>
                <c:pt idx="635">
                  <c:v>29.322184094578887</c:v>
                </c:pt>
                <c:pt idx="636">
                  <c:v>29.322184094578887</c:v>
                </c:pt>
                <c:pt idx="637">
                  <c:v>29.322184094578887</c:v>
                </c:pt>
                <c:pt idx="638">
                  <c:v>29.322184094578887</c:v>
                </c:pt>
                <c:pt idx="639">
                  <c:v>29.322184094578887</c:v>
                </c:pt>
                <c:pt idx="640">
                  <c:v>29.322184094578887</c:v>
                </c:pt>
                <c:pt idx="641">
                  <c:v>29.322184094578887</c:v>
                </c:pt>
                <c:pt idx="642">
                  <c:v>29.322184094578887</c:v>
                </c:pt>
                <c:pt idx="643">
                  <c:v>29.322184094578887</c:v>
                </c:pt>
                <c:pt idx="644">
                  <c:v>29.322184094578887</c:v>
                </c:pt>
                <c:pt idx="645">
                  <c:v>29.322184094578887</c:v>
                </c:pt>
                <c:pt idx="646">
                  <c:v>29.322184094578887</c:v>
                </c:pt>
                <c:pt idx="647">
                  <c:v>29.322184094578887</c:v>
                </c:pt>
                <c:pt idx="648">
                  <c:v>29.322184094578887</c:v>
                </c:pt>
                <c:pt idx="649">
                  <c:v>29.322184094578887</c:v>
                </c:pt>
                <c:pt idx="650">
                  <c:v>29.322184094578887</c:v>
                </c:pt>
                <c:pt idx="651">
                  <c:v>29.322184094578887</c:v>
                </c:pt>
                <c:pt idx="652">
                  <c:v>29.322184094578887</c:v>
                </c:pt>
                <c:pt idx="653">
                  <c:v>29.322184094578887</c:v>
                </c:pt>
                <c:pt idx="654">
                  <c:v>29.322184094578887</c:v>
                </c:pt>
                <c:pt idx="655">
                  <c:v>29.322184094578887</c:v>
                </c:pt>
                <c:pt idx="656">
                  <c:v>29.322184094578887</c:v>
                </c:pt>
                <c:pt idx="657">
                  <c:v>29.322184094578887</c:v>
                </c:pt>
                <c:pt idx="658">
                  <c:v>29.322184094578887</c:v>
                </c:pt>
                <c:pt idx="659">
                  <c:v>29.322184094578887</c:v>
                </c:pt>
                <c:pt idx="660">
                  <c:v>29.322184094578887</c:v>
                </c:pt>
                <c:pt idx="661">
                  <c:v>29.322184094578887</c:v>
                </c:pt>
                <c:pt idx="662">
                  <c:v>29.322184094578887</c:v>
                </c:pt>
                <c:pt idx="663">
                  <c:v>29.322184094578887</c:v>
                </c:pt>
                <c:pt idx="664">
                  <c:v>29.322184094578887</c:v>
                </c:pt>
                <c:pt idx="665">
                  <c:v>29.322184094578887</c:v>
                </c:pt>
                <c:pt idx="666">
                  <c:v>29.322184094578887</c:v>
                </c:pt>
                <c:pt idx="667">
                  <c:v>29.322184094578887</c:v>
                </c:pt>
                <c:pt idx="668">
                  <c:v>29.322184094578887</c:v>
                </c:pt>
                <c:pt idx="669">
                  <c:v>29.322184094578887</c:v>
                </c:pt>
                <c:pt idx="670">
                  <c:v>29.322184094578887</c:v>
                </c:pt>
                <c:pt idx="671">
                  <c:v>29.322184094578887</c:v>
                </c:pt>
                <c:pt idx="672">
                  <c:v>29.322184094578887</c:v>
                </c:pt>
                <c:pt idx="673">
                  <c:v>29.322184094578887</c:v>
                </c:pt>
                <c:pt idx="674">
                  <c:v>29.322184094578887</c:v>
                </c:pt>
                <c:pt idx="675">
                  <c:v>29.322184094578887</c:v>
                </c:pt>
                <c:pt idx="676">
                  <c:v>29.322184094578887</c:v>
                </c:pt>
                <c:pt idx="677">
                  <c:v>29.322184094578887</c:v>
                </c:pt>
                <c:pt idx="678">
                  <c:v>29.322184094578887</c:v>
                </c:pt>
                <c:pt idx="679">
                  <c:v>29.322184094578887</c:v>
                </c:pt>
                <c:pt idx="680">
                  <c:v>29.322184094578887</c:v>
                </c:pt>
                <c:pt idx="681">
                  <c:v>29.322184094578887</c:v>
                </c:pt>
                <c:pt idx="682">
                  <c:v>29.322184094578887</c:v>
                </c:pt>
                <c:pt idx="683">
                  <c:v>29.322184094578887</c:v>
                </c:pt>
                <c:pt idx="684">
                  <c:v>29.322184094578887</c:v>
                </c:pt>
                <c:pt idx="685">
                  <c:v>29.322184094578887</c:v>
                </c:pt>
                <c:pt idx="686">
                  <c:v>29.322184094578887</c:v>
                </c:pt>
                <c:pt idx="687">
                  <c:v>29.322184094578887</c:v>
                </c:pt>
                <c:pt idx="688">
                  <c:v>29.322184094578887</c:v>
                </c:pt>
                <c:pt idx="689">
                  <c:v>29.322184094578887</c:v>
                </c:pt>
                <c:pt idx="690">
                  <c:v>29.322184094578887</c:v>
                </c:pt>
                <c:pt idx="691">
                  <c:v>29.322184094578887</c:v>
                </c:pt>
                <c:pt idx="692">
                  <c:v>29.322184094578887</c:v>
                </c:pt>
                <c:pt idx="693">
                  <c:v>29.280408566228164</c:v>
                </c:pt>
                <c:pt idx="694">
                  <c:v>29.28924368460854</c:v>
                </c:pt>
                <c:pt idx="695">
                  <c:v>29.298078802988915</c:v>
                </c:pt>
                <c:pt idx="696">
                  <c:v>29.256762709442359</c:v>
                </c:pt>
                <c:pt idx="697">
                  <c:v>29.265557948001021</c:v>
                </c:pt>
                <c:pt idx="698">
                  <c:v>29.170708432502412</c:v>
                </c:pt>
                <c:pt idx="699">
                  <c:v>29.179421253624788</c:v>
                </c:pt>
                <c:pt idx="700">
                  <c:v>29.085786075635987</c:v>
                </c:pt>
                <c:pt idx="701">
                  <c:v>29.094417510490704</c:v>
                </c:pt>
                <c:pt idx="702">
                  <c:v>29.103048945345417</c:v>
                </c:pt>
                <c:pt idx="703">
                  <c:v>29.010597483993148</c:v>
                </c:pt>
                <c:pt idx="704">
                  <c:v>29.019148538579387</c:v>
                </c:pt>
                <c:pt idx="705">
                  <c:v>28.927851099762037</c:v>
                </c:pt>
                <c:pt idx="706">
                  <c:v>28.936322755666517</c:v>
                </c:pt>
                <c:pt idx="707">
                  <c:v>28.846150537290924</c:v>
                </c:pt>
                <c:pt idx="708">
                  <c:v>28.854543752416639</c:v>
                </c:pt>
                <c:pt idx="709">
                  <c:v>28.862936967542346</c:v>
                </c:pt>
                <c:pt idx="710">
                  <c:v>28.773862026311022</c:v>
                </c:pt>
                <c:pt idx="711">
                  <c:v>28.782177735578966</c:v>
                </c:pt>
                <c:pt idx="712">
                  <c:v>28.694172955247748</c:v>
                </c:pt>
                <c:pt idx="713">
                  <c:v>28.702412071272875</c:v>
                </c:pt>
                <c:pt idx="714">
                  <c:v>28.710651187297998</c:v>
                </c:pt>
                <c:pt idx="715">
                  <c:v>28.623690248328785</c:v>
                </c:pt>
                <c:pt idx="716">
                  <c:v>28.631853662071258</c:v>
                </c:pt>
                <c:pt idx="717">
                  <c:v>28.640017075813738</c:v>
                </c:pt>
                <c:pt idx="718">
                  <c:v>28.604924687911673</c:v>
                </c:pt>
                <c:pt idx="719">
                  <c:v>28.61305370500467</c:v>
                </c:pt>
                <c:pt idx="720">
                  <c:v>28.578263571932006</c:v>
                </c:pt>
                <c:pt idx="721">
                  <c:v>28.586358460077943</c:v>
                </c:pt>
                <c:pt idx="722">
                  <c:v>28.59445334822388</c:v>
                </c:pt>
                <c:pt idx="723">
                  <c:v>28.610080297227217</c:v>
                </c:pt>
                <c:pt idx="724">
                  <c:v>28.618181174804565</c:v>
                </c:pt>
                <c:pt idx="725">
                  <c:v>28.626282052381917</c:v>
                </c:pt>
                <c:pt idx="726">
                  <c:v>28.59175404844687</c:v>
                </c:pt>
                <c:pt idx="727">
                  <c:v>28.599821027896351</c:v>
                </c:pt>
                <c:pt idx="728">
                  <c:v>28.565573754715256</c:v>
                </c:pt>
                <c:pt idx="729">
                  <c:v>28.57360708622711</c:v>
                </c:pt>
                <c:pt idx="730">
                  <c:v>28.581640417738964</c:v>
                </c:pt>
                <c:pt idx="731">
                  <c:v>28.4985932318891</c:v>
                </c:pt>
                <c:pt idx="732">
                  <c:v>28.261706665426871</c:v>
                </c:pt>
                <c:pt idx="733">
                  <c:v>28.269472869828711</c:v>
                </c:pt>
                <c:pt idx="734">
                  <c:v>28.276199630416894</c:v>
                </c:pt>
                <c:pt idx="735">
                  <c:v>28.283965008261763</c:v>
                </c:pt>
                <c:pt idx="736">
                  <c:v>28.291730386106625</c:v>
                </c:pt>
                <c:pt idx="737">
                  <c:v>28.299495763951494</c:v>
                </c:pt>
                <c:pt idx="738">
                  <c:v>28.305839758282112</c:v>
                </c:pt>
                <c:pt idx="739">
                  <c:v>28.313604005854771</c:v>
                </c:pt>
                <c:pt idx="740">
                  <c:v>28.321368253427426</c:v>
                </c:pt>
                <c:pt idx="741">
                  <c:v>28.327335037570922</c:v>
                </c:pt>
                <c:pt idx="742">
                  <c:v>28.335097855815782</c:v>
                </c:pt>
                <c:pt idx="743">
                  <c:v>28.342860674060649</c:v>
                </c:pt>
                <c:pt idx="744">
                  <c:v>28.350623492305509</c:v>
                </c:pt>
                <c:pt idx="745">
                  <c:v>28.306416891503879</c:v>
                </c:pt>
                <c:pt idx="746">
                  <c:v>28.31413838410403</c:v>
                </c:pt>
                <c:pt idx="747">
                  <c:v>28.32185987670417</c:v>
                </c:pt>
                <c:pt idx="748">
                  <c:v>28.278019164748002</c:v>
                </c:pt>
                <c:pt idx="749">
                  <c:v>28.285699655516964</c:v>
                </c:pt>
                <c:pt idx="750">
                  <c:v>28.293380146285926</c:v>
                </c:pt>
                <c:pt idx="751">
                  <c:v>28.200857785657018</c:v>
                </c:pt>
                <c:pt idx="752">
                  <c:v>28.208458595961734</c:v>
                </c:pt>
                <c:pt idx="753">
                  <c:v>28.216059406266442</c:v>
                </c:pt>
                <c:pt idx="754">
                  <c:v>28.223660216571155</c:v>
                </c:pt>
                <c:pt idx="755">
                  <c:v>28.132189429533689</c:v>
                </c:pt>
                <c:pt idx="756">
                  <c:v>28.13971145893786</c:v>
                </c:pt>
                <c:pt idx="757">
                  <c:v>28.147233488342025</c:v>
                </c:pt>
                <c:pt idx="758">
                  <c:v>28.154755517746189</c:v>
                </c:pt>
                <c:pt idx="759">
                  <c:v>28.064308450920805</c:v>
                </c:pt>
                <c:pt idx="760">
                  <c:v>28.07175257612403</c:v>
                </c:pt>
                <c:pt idx="761">
                  <c:v>28.079196701327259</c:v>
                </c:pt>
                <c:pt idx="762">
                  <c:v>27.989746343220649</c:v>
                </c:pt>
                <c:pt idx="763">
                  <c:v>27.997113418746086</c:v>
                </c:pt>
                <c:pt idx="764">
                  <c:v>28.00448049427153</c:v>
                </c:pt>
                <c:pt idx="765">
                  <c:v>28.01184756979697</c:v>
                </c:pt>
                <c:pt idx="766">
                  <c:v>27.92336771922275</c:v>
                </c:pt>
                <c:pt idx="767">
                  <c:v>27.930658578079083</c:v>
                </c:pt>
                <c:pt idx="768">
                  <c:v>27.937949436935412</c:v>
                </c:pt>
                <c:pt idx="769">
                  <c:v>27.945240295791741</c:v>
                </c:pt>
                <c:pt idx="770">
                  <c:v>27.857705531699697</c:v>
                </c:pt>
                <c:pt idx="771">
                  <c:v>27.864920986018596</c:v>
                </c:pt>
                <c:pt idx="772">
                  <c:v>27.872136440337485</c:v>
                </c:pt>
                <c:pt idx="773">
                  <c:v>27.879351894656381</c:v>
                </c:pt>
                <c:pt idx="774">
                  <c:v>27.792737547297502</c:v>
                </c:pt>
                <c:pt idx="775">
                  <c:v>27.799878388947651</c:v>
                </c:pt>
                <c:pt idx="776">
                  <c:v>27.807019230597806</c:v>
                </c:pt>
                <c:pt idx="777">
                  <c:v>27.814160072247955</c:v>
                </c:pt>
                <c:pt idx="778">
                  <c:v>27.728442195606778</c:v>
                </c:pt>
                <c:pt idx="779">
                  <c:v>27.735509196785525</c:v>
                </c:pt>
                <c:pt idx="780">
                  <c:v>27.742576197964272</c:v>
                </c:pt>
                <c:pt idx="781">
                  <c:v>27.749643199143019</c:v>
                </c:pt>
                <c:pt idx="782">
                  <c:v>27.710991288799896</c:v>
                </c:pt>
                <c:pt idx="783">
                  <c:v>27.718021934684913</c:v>
                </c:pt>
                <c:pt idx="784">
                  <c:v>27.72505258056993</c:v>
                </c:pt>
                <c:pt idx="785">
                  <c:v>27.732083226454947</c:v>
                </c:pt>
                <c:pt idx="786">
                  <c:v>27.693654049961907</c:v>
                </c:pt>
                <c:pt idx="787">
                  <c:v>27.700648546578705</c:v>
                </c:pt>
                <c:pt idx="788">
                  <c:v>27.707643043195496</c:v>
                </c:pt>
                <c:pt idx="789">
                  <c:v>27.714637539812287</c:v>
                </c:pt>
                <c:pt idx="790">
                  <c:v>27.721955730406183</c:v>
                </c:pt>
                <c:pt idx="791">
                  <c:v>27.728950484421706</c:v>
                </c:pt>
                <c:pt idx="792">
                  <c:v>27.735945238437221</c:v>
                </c:pt>
                <c:pt idx="793">
                  <c:v>27.742939992452747</c:v>
                </c:pt>
                <c:pt idx="794">
                  <c:v>27.70464515125401</c:v>
                </c:pt>
                <c:pt idx="795">
                  <c:v>27.711603891364515</c:v>
                </c:pt>
                <c:pt idx="796">
                  <c:v>27.71856263147502</c:v>
                </c:pt>
                <c:pt idx="797">
                  <c:v>27.725521371585526</c:v>
                </c:pt>
                <c:pt idx="798">
                  <c:v>-3.7436132259857753</c:v>
                </c:pt>
                <c:pt idx="799">
                  <c:v>-3.7616840104347018</c:v>
                </c:pt>
                <c:pt idx="800">
                  <c:v>-3.7797547948836252</c:v>
                </c:pt>
                <c:pt idx="801">
                  <c:v>-3.7978255793325517</c:v>
                </c:pt>
                <c:pt idx="802">
                  <c:v>-3.8158963637814751</c:v>
                </c:pt>
                <c:pt idx="803">
                  <c:v>-3.8339671482303985</c:v>
                </c:pt>
                <c:pt idx="804">
                  <c:v>-3.852037932679325</c:v>
                </c:pt>
                <c:pt idx="805">
                  <c:v>-3.8701087171282484</c:v>
                </c:pt>
                <c:pt idx="806">
                  <c:v>-3.888179501577175</c:v>
                </c:pt>
                <c:pt idx="807">
                  <c:v>-3.9062502860260984</c:v>
                </c:pt>
                <c:pt idx="808">
                  <c:v>-3.9243210704750218</c:v>
                </c:pt>
                <c:pt idx="809">
                  <c:v>-3.9423918549239483</c:v>
                </c:pt>
                <c:pt idx="810">
                  <c:v>-7.5092828859958027</c:v>
                </c:pt>
                <c:pt idx="811">
                  <c:v>-7.5301756624424971</c:v>
                </c:pt>
                <c:pt idx="812">
                  <c:v>-7.5510684388891853</c:v>
                </c:pt>
                <c:pt idx="813">
                  <c:v>-7.5719612153358771</c:v>
                </c:pt>
                <c:pt idx="814">
                  <c:v>-7.5928539917825644</c:v>
                </c:pt>
                <c:pt idx="815">
                  <c:v>-7.6137467682292526</c:v>
                </c:pt>
                <c:pt idx="816">
                  <c:v>-7.6346395446759434</c:v>
                </c:pt>
                <c:pt idx="817">
                  <c:v>-7.6555323211226352</c:v>
                </c:pt>
                <c:pt idx="818">
                  <c:v>-7.676425097569326</c:v>
                </c:pt>
                <c:pt idx="819">
                  <c:v>-7.6973178740160142</c:v>
                </c:pt>
                <c:pt idx="820">
                  <c:v>-7.718210650462705</c:v>
                </c:pt>
                <c:pt idx="821">
                  <c:v>-7.7391034269093932</c:v>
                </c:pt>
                <c:pt idx="822">
                  <c:v>-7.7599962033560876</c:v>
                </c:pt>
                <c:pt idx="823">
                  <c:v>-7.7808889798027758</c:v>
                </c:pt>
                <c:pt idx="824">
                  <c:v>-7.801781756249464</c:v>
                </c:pt>
                <c:pt idx="825">
                  <c:v>-7.8226745326961549</c:v>
                </c:pt>
                <c:pt idx="826">
                  <c:v>28.197545111657071</c:v>
                </c:pt>
                <c:pt idx="827">
                  <c:v>28.197545111657071</c:v>
                </c:pt>
                <c:pt idx="828">
                  <c:v>28.197545111657071</c:v>
                </c:pt>
                <c:pt idx="829">
                  <c:v>28.197545111657071</c:v>
                </c:pt>
                <c:pt idx="830">
                  <c:v>28.197545111657071</c:v>
                </c:pt>
                <c:pt idx="831">
                  <c:v>28.197545111657071</c:v>
                </c:pt>
                <c:pt idx="832">
                  <c:v>28.197545111657071</c:v>
                </c:pt>
                <c:pt idx="833">
                  <c:v>28.197545111657071</c:v>
                </c:pt>
                <c:pt idx="834">
                  <c:v>28.197545111657071</c:v>
                </c:pt>
                <c:pt idx="835">
                  <c:v>28.197545111657071</c:v>
                </c:pt>
                <c:pt idx="836">
                  <c:v>28.197545111657071</c:v>
                </c:pt>
                <c:pt idx="837">
                  <c:v>28.197545111657071</c:v>
                </c:pt>
                <c:pt idx="838">
                  <c:v>28.197545111657071</c:v>
                </c:pt>
                <c:pt idx="839">
                  <c:v>28.197545111657071</c:v>
                </c:pt>
                <c:pt idx="840">
                  <c:v>28.197545111657071</c:v>
                </c:pt>
                <c:pt idx="841">
                  <c:v>28.197545111657071</c:v>
                </c:pt>
                <c:pt idx="842">
                  <c:v>28.197545111657071</c:v>
                </c:pt>
                <c:pt idx="843">
                  <c:v>28.197545111657071</c:v>
                </c:pt>
                <c:pt idx="844">
                  <c:v>28.197545111657071</c:v>
                </c:pt>
                <c:pt idx="845">
                  <c:v>28.197545111657071</c:v>
                </c:pt>
                <c:pt idx="846">
                  <c:v>28.197545111657071</c:v>
                </c:pt>
                <c:pt idx="847">
                  <c:v>28.197545111657071</c:v>
                </c:pt>
                <c:pt idx="848">
                  <c:v>28.197545111657071</c:v>
                </c:pt>
                <c:pt idx="849">
                  <c:v>28.197545111657071</c:v>
                </c:pt>
                <c:pt idx="850">
                  <c:v>28.197545111657071</c:v>
                </c:pt>
                <c:pt idx="851">
                  <c:v>28.197545111657071</c:v>
                </c:pt>
                <c:pt idx="852">
                  <c:v>28.197545111657071</c:v>
                </c:pt>
                <c:pt idx="853">
                  <c:v>28.197545111657071</c:v>
                </c:pt>
                <c:pt idx="854">
                  <c:v>28.197545111657071</c:v>
                </c:pt>
                <c:pt idx="855">
                  <c:v>28.197545111657071</c:v>
                </c:pt>
                <c:pt idx="856">
                  <c:v>28.197545111657071</c:v>
                </c:pt>
                <c:pt idx="857">
                  <c:v>28.197545111657071</c:v>
                </c:pt>
                <c:pt idx="858">
                  <c:v>28.197545111657071</c:v>
                </c:pt>
                <c:pt idx="859">
                  <c:v>28.197545111657071</c:v>
                </c:pt>
                <c:pt idx="860">
                  <c:v>28.197545111657071</c:v>
                </c:pt>
                <c:pt idx="861">
                  <c:v>28.197545111657071</c:v>
                </c:pt>
                <c:pt idx="862">
                  <c:v>28.197545111657071</c:v>
                </c:pt>
                <c:pt idx="863">
                  <c:v>28.197545111657071</c:v>
                </c:pt>
                <c:pt idx="864">
                  <c:v>28.197545111657071</c:v>
                </c:pt>
                <c:pt idx="865">
                  <c:v>28.197545111657071</c:v>
                </c:pt>
                <c:pt idx="866">
                  <c:v>28.197545111657071</c:v>
                </c:pt>
                <c:pt idx="867">
                  <c:v>28.197545111657071</c:v>
                </c:pt>
                <c:pt idx="868">
                  <c:v>28.197545111657071</c:v>
                </c:pt>
                <c:pt idx="869">
                  <c:v>28.197545111657071</c:v>
                </c:pt>
                <c:pt idx="870">
                  <c:v>28.197545111657071</c:v>
                </c:pt>
                <c:pt idx="871">
                  <c:v>28.197545111657071</c:v>
                </c:pt>
                <c:pt idx="872">
                  <c:v>28.197545111657071</c:v>
                </c:pt>
                <c:pt idx="873">
                  <c:v>28.197545111657071</c:v>
                </c:pt>
                <c:pt idx="874">
                  <c:v>28.197545111657071</c:v>
                </c:pt>
                <c:pt idx="875">
                  <c:v>28.197545111657071</c:v>
                </c:pt>
                <c:pt idx="876">
                  <c:v>28.197545111657071</c:v>
                </c:pt>
                <c:pt idx="877">
                  <c:v>28.197545111657071</c:v>
                </c:pt>
                <c:pt idx="878">
                  <c:v>28.197545111657071</c:v>
                </c:pt>
                <c:pt idx="879">
                  <c:v>28.197545111657071</c:v>
                </c:pt>
                <c:pt idx="880">
                  <c:v>28.197545111657071</c:v>
                </c:pt>
                <c:pt idx="881">
                  <c:v>28.197545111657071</c:v>
                </c:pt>
                <c:pt idx="882">
                  <c:v>28.197545111657071</c:v>
                </c:pt>
                <c:pt idx="883">
                  <c:v>28.197545111657071</c:v>
                </c:pt>
                <c:pt idx="884">
                  <c:v>28.197545111657071</c:v>
                </c:pt>
                <c:pt idx="885">
                  <c:v>28.197545111657071</c:v>
                </c:pt>
                <c:pt idx="886">
                  <c:v>28.197545111657071</c:v>
                </c:pt>
                <c:pt idx="887">
                  <c:v>28.197545111657071</c:v>
                </c:pt>
                <c:pt idx="888">
                  <c:v>28.197545111657071</c:v>
                </c:pt>
                <c:pt idx="889">
                  <c:v>28.197545111657071</c:v>
                </c:pt>
                <c:pt idx="890">
                  <c:v>28.197545111657071</c:v>
                </c:pt>
                <c:pt idx="891">
                  <c:v>28.197545111657071</c:v>
                </c:pt>
                <c:pt idx="892">
                  <c:v>28.197545111657071</c:v>
                </c:pt>
                <c:pt idx="893">
                  <c:v>28.197545111657071</c:v>
                </c:pt>
                <c:pt idx="894">
                  <c:v>28.197545111657071</c:v>
                </c:pt>
                <c:pt idx="895">
                  <c:v>28.197545111657071</c:v>
                </c:pt>
                <c:pt idx="896">
                  <c:v>28.197545111657071</c:v>
                </c:pt>
                <c:pt idx="897">
                  <c:v>28.197545111657071</c:v>
                </c:pt>
                <c:pt idx="898">
                  <c:v>28.197545111657071</c:v>
                </c:pt>
                <c:pt idx="899">
                  <c:v>28.197545111657071</c:v>
                </c:pt>
                <c:pt idx="900">
                  <c:v>28.197545111657071</c:v>
                </c:pt>
                <c:pt idx="901">
                  <c:v>28.197545111657071</c:v>
                </c:pt>
                <c:pt idx="902">
                  <c:v>28.197545111657071</c:v>
                </c:pt>
                <c:pt idx="903">
                  <c:v>28.197545111657071</c:v>
                </c:pt>
                <c:pt idx="904">
                  <c:v>28.197545111657071</c:v>
                </c:pt>
                <c:pt idx="905">
                  <c:v>28.197545111657071</c:v>
                </c:pt>
                <c:pt idx="906">
                  <c:v>28.197545111657071</c:v>
                </c:pt>
                <c:pt idx="907">
                  <c:v>28.197545111657071</c:v>
                </c:pt>
                <c:pt idx="908">
                  <c:v>28.197545111657071</c:v>
                </c:pt>
                <c:pt idx="909">
                  <c:v>28.197545111657071</c:v>
                </c:pt>
                <c:pt idx="910">
                  <c:v>28.197545111657071</c:v>
                </c:pt>
                <c:pt idx="911">
                  <c:v>28.197545111657071</c:v>
                </c:pt>
                <c:pt idx="912">
                  <c:v>28.197545111657071</c:v>
                </c:pt>
                <c:pt idx="913">
                  <c:v>28.197545111657071</c:v>
                </c:pt>
                <c:pt idx="914">
                  <c:v>28.197545111657071</c:v>
                </c:pt>
                <c:pt idx="915">
                  <c:v>28.197545111657071</c:v>
                </c:pt>
                <c:pt idx="916">
                  <c:v>28.197545111657071</c:v>
                </c:pt>
                <c:pt idx="917">
                  <c:v>28.197545111657071</c:v>
                </c:pt>
                <c:pt idx="918">
                  <c:v>28.197545111657071</c:v>
                </c:pt>
                <c:pt idx="919">
                  <c:v>28.197545111657071</c:v>
                </c:pt>
                <c:pt idx="920">
                  <c:v>28.197545111657071</c:v>
                </c:pt>
                <c:pt idx="921">
                  <c:v>28.197545111657071</c:v>
                </c:pt>
                <c:pt idx="922">
                  <c:v>28.197545111657071</c:v>
                </c:pt>
                <c:pt idx="923">
                  <c:v>28.197545111657071</c:v>
                </c:pt>
                <c:pt idx="924">
                  <c:v>28.197545111657071</c:v>
                </c:pt>
                <c:pt idx="925">
                  <c:v>28.197545111657071</c:v>
                </c:pt>
                <c:pt idx="926">
                  <c:v>28.197545111657071</c:v>
                </c:pt>
                <c:pt idx="927">
                  <c:v>28.197545111657071</c:v>
                </c:pt>
                <c:pt idx="928">
                  <c:v>28.197545111657071</c:v>
                </c:pt>
                <c:pt idx="929">
                  <c:v>28.197545111657071</c:v>
                </c:pt>
                <c:pt idx="930">
                  <c:v>28.197545111657071</c:v>
                </c:pt>
                <c:pt idx="931">
                  <c:v>28.197545111657071</c:v>
                </c:pt>
                <c:pt idx="932">
                  <c:v>28.197545111657071</c:v>
                </c:pt>
                <c:pt idx="933">
                  <c:v>28.197545111657071</c:v>
                </c:pt>
                <c:pt idx="934">
                  <c:v>28.197545111657071</c:v>
                </c:pt>
                <c:pt idx="935">
                  <c:v>28.197545111657071</c:v>
                </c:pt>
                <c:pt idx="936">
                  <c:v>28.197545111657071</c:v>
                </c:pt>
                <c:pt idx="937">
                  <c:v>28.197545111657071</c:v>
                </c:pt>
                <c:pt idx="938">
                  <c:v>28.197545111657071</c:v>
                </c:pt>
                <c:pt idx="939">
                  <c:v>28.197545111657071</c:v>
                </c:pt>
                <c:pt idx="940">
                  <c:v>28.197545111657071</c:v>
                </c:pt>
                <c:pt idx="941">
                  <c:v>28.197545111657071</c:v>
                </c:pt>
                <c:pt idx="942">
                  <c:v>28.197545111657071</c:v>
                </c:pt>
                <c:pt idx="943">
                  <c:v>28.197545111657071</c:v>
                </c:pt>
                <c:pt idx="944">
                  <c:v>28.197545111657071</c:v>
                </c:pt>
                <c:pt idx="945">
                  <c:v>28.197545111657071</c:v>
                </c:pt>
                <c:pt idx="946">
                  <c:v>28.197545111657071</c:v>
                </c:pt>
                <c:pt idx="947">
                  <c:v>28.197545111657071</c:v>
                </c:pt>
                <c:pt idx="948">
                  <c:v>28.197545111657071</c:v>
                </c:pt>
                <c:pt idx="949">
                  <c:v>28.197545111657071</c:v>
                </c:pt>
                <c:pt idx="950">
                  <c:v>28.197545111657071</c:v>
                </c:pt>
                <c:pt idx="951">
                  <c:v>28.197545111657071</c:v>
                </c:pt>
                <c:pt idx="952">
                  <c:v>28.197545111657071</c:v>
                </c:pt>
                <c:pt idx="953">
                  <c:v>28.197545111657071</c:v>
                </c:pt>
                <c:pt idx="954">
                  <c:v>28.197545111657071</c:v>
                </c:pt>
                <c:pt idx="955">
                  <c:v>28.197545111657071</c:v>
                </c:pt>
                <c:pt idx="956">
                  <c:v>28.197545111657071</c:v>
                </c:pt>
                <c:pt idx="957">
                  <c:v>28.197545111657071</c:v>
                </c:pt>
                <c:pt idx="958">
                  <c:v>28.197545111657071</c:v>
                </c:pt>
                <c:pt idx="959">
                  <c:v>28.197545111657071</c:v>
                </c:pt>
                <c:pt idx="960">
                  <c:v>28.197545111657071</c:v>
                </c:pt>
                <c:pt idx="961">
                  <c:v>28.197545111657071</c:v>
                </c:pt>
                <c:pt idx="962">
                  <c:v>28.197545111657071</c:v>
                </c:pt>
                <c:pt idx="963">
                  <c:v>28.197545111657071</c:v>
                </c:pt>
                <c:pt idx="964">
                  <c:v>28.197545111657071</c:v>
                </c:pt>
                <c:pt idx="965">
                  <c:v>28.197545111657071</c:v>
                </c:pt>
                <c:pt idx="966">
                  <c:v>28.197545111657071</c:v>
                </c:pt>
                <c:pt idx="967">
                  <c:v>28.197545111657071</c:v>
                </c:pt>
                <c:pt idx="968">
                  <c:v>28.197545111657071</c:v>
                </c:pt>
                <c:pt idx="969">
                  <c:v>28.197545111657071</c:v>
                </c:pt>
                <c:pt idx="970">
                  <c:v>28.197545111657071</c:v>
                </c:pt>
                <c:pt idx="971">
                  <c:v>28.205455403591845</c:v>
                </c:pt>
                <c:pt idx="972">
                  <c:v>28.213222330559443</c:v>
                </c:pt>
                <c:pt idx="973">
                  <c:v>28.220989257527037</c:v>
                </c:pt>
                <c:pt idx="974">
                  <c:v>28.228498969497707</c:v>
                </c:pt>
                <c:pt idx="975">
                  <c:v>28.236265691930097</c:v>
                </c:pt>
                <c:pt idx="976">
                  <c:v>28.24403241436249</c:v>
                </c:pt>
                <c:pt idx="977">
                  <c:v>28.25114768302965</c:v>
                </c:pt>
                <c:pt idx="978">
                  <c:v>28.258913887431493</c:v>
                </c:pt>
                <c:pt idx="979">
                  <c:v>28.266680091833333</c:v>
                </c:pt>
                <c:pt idx="980">
                  <c:v>28.274446296235173</c:v>
                </c:pt>
                <c:pt idx="981">
                  <c:v>28.281173056823359</c:v>
                </c:pt>
                <c:pt idx="982">
                  <c:v>28.288938434668225</c:v>
                </c:pt>
                <c:pt idx="983">
                  <c:v>28.296703812513091</c:v>
                </c:pt>
                <c:pt idx="984">
                  <c:v>28.303047806843708</c:v>
                </c:pt>
                <c:pt idx="985">
                  <c:v>28.310812054416363</c:v>
                </c:pt>
                <c:pt idx="986">
                  <c:v>28.318576301989022</c:v>
                </c:pt>
                <c:pt idx="987">
                  <c:v>28.324543086132518</c:v>
                </c:pt>
                <c:pt idx="988">
                  <c:v>28.332305904377378</c:v>
                </c:pt>
                <c:pt idx="989">
                  <c:v>28.340068722622245</c:v>
                </c:pt>
                <c:pt idx="990">
                  <c:v>28.347831540867109</c:v>
                </c:pt>
                <c:pt idx="991">
                  <c:v>28.303624940065479</c:v>
                </c:pt>
                <c:pt idx="992">
                  <c:v>28.311346432665619</c:v>
                </c:pt>
                <c:pt idx="993">
                  <c:v>28.31906792526577</c:v>
                </c:pt>
                <c:pt idx="994">
                  <c:v>28.275227213309599</c:v>
                </c:pt>
                <c:pt idx="995">
                  <c:v>28.282907704078561</c:v>
                </c:pt>
                <c:pt idx="996">
                  <c:v>28.290588194847523</c:v>
                </c:pt>
                <c:pt idx="997">
                  <c:v>28.298268685616492</c:v>
                </c:pt>
                <c:pt idx="998">
                  <c:v>28.205746324987576</c:v>
                </c:pt>
                <c:pt idx="999">
                  <c:v>28.213347135292288</c:v>
                </c:pt>
                <c:pt idx="1000">
                  <c:v>28.220947945597004</c:v>
                </c:pt>
                <c:pt idx="1001">
                  <c:v>28.129477158559538</c:v>
                </c:pt>
                <c:pt idx="1002">
                  <c:v>28.136999187963703</c:v>
                </c:pt>
                <c:pt idx="1003">
                  <c:v>28.14452121736787</c:v>
                </c:pt>
                <c:pt idx="1004">
                  <c:v>28.152043246772035</c:v>
                </c:pt>
                <c:pt idx="1005">
                  <c:v>28.061596179946655</c:v>
                </c:pt>
                <c:pt idx="1006">
                  <c:v>28.06904030514988</c:v>
                </c:pt>
                <c:pt idx="1007">
                  <c:v>28.076484430353105</c:v>
                </c:pt>
                <c:pt idx="1008">
                  <c:v>28.083928555556334</c:v>
                </c:pt>
                <c:pt idx="1009">
                  <c:v>27.994478197449723</c:v>
                </c:pt>
                <c:pt idx="1010">
                  <c:v>28.00184527297516</c:v>
                </c:pt>
                <c:pt idx="1011">
                  <c:v>28.009212348500601</c:v>
                </c:pt>
                <c:pt idx="1012">
                  <c:v>27.920732497926384</c:v>
                </c:pt>
                <c:pt idx="1013">
                  <c:v>27.92802335678271</c:v>
                </c:pt>
                <c:pt idx="1014">
                  <c:v>27.935314215639043</c:v>
                </c:pt>
                <c:pt idx="1015">
                  <c:v>27.942605074495376</c:v>
                </c:pt>
                <c:pt idx="1016">
                  <c:v>27.855070310403335</c:v>
                </c:pt>
                <c:pt idx="1017">
                  <c:v>27.862285764722223</c:v>
                </c:pt>
                <c:pt idx="1018">
                  <c:v>27.869501219041119</c:v>
                </c:pt>
                <c:pt idx="1019">
                  <c:v>27.876716673360015</c:v>
                </c:pt>
                <c:pt idx="1020">
                  <c:v>27.790102326001133</c:v>
                </c:pt>
                <c:pt idx="1021">
                  <c:v>27.797243167651288</c:v>
                </c:pt>
                <c:pt idx="1022">
                  <c:v>27.804384009301437</c:v>
                </c:pt>
                <c:pt idx="1023">
                  <c:v>27.811524850951589</c:v>
                </c:pt>
                <c:pt idx="1024">
                  <c:v>27.725806974310405</c:v>
                </c:pt>
                <c:pt idx="1025">
                  <c:v>27.732873975489156</c:v>
                </c:pt>
                <c:pt idx="1026">
                  <c:v>27.739940976667903</c:v>
                </c:pt>
                <c:pt idx="1027">
                  <c:v>27.74700797784665</c:v>
                </c:pt>
                <c:pt idx="1028">
                  <c:v>27.708356067503527</c:v>
                </c:pt>
                <c:pt idx="1029">
                  <c:v>27.715386713388547</c:v>
                </c:pt>
                <c:pt idx="1030">
                  <c:v>27.72241735927356</c:v>
                </c:pt>
                <c:pt idx="1031">
                  <c:v>27.729448005158581</c:v>
                </c:pt>
                <c:pt idx="1032">
                  <c:v>27.691018828665541</c:v>
                </c:pt>
                <c:pt idx="1033">
                  <c:v>27.698013325282336</c:v>
                </c:pt>
                <c:pt idx="1034">
                  <c:v>27.705007821899127</c:v>
                </c:pt>
                <c:pt idx="1035">
                  <c:v>27.712002318515925</c:v>
                </c:pt>
                <c:pt idx="1036">
                  <c:v>27.719320509109814</c:v>
                </c:pt>
                <c:pt idx="1037">
                  <c:v>27.726315263125336</c:v>
                </c:pt>
                <c:pt idx="1038">
                  <c:v>27.733310017140855</c:v>
                </c:pt>
                <c:pt idx="1039">
                  <c:v>27.740304771156381</c:v>
                </c:pt>
                <c:pt idx="1040">
                  <c:v>27.702009929957637</c:v>
                </c:pt>
                <c:pt idx="1041">
                  <c:v>27.708968670068145</c:v>
                </c:pt>
                <c:pt idx="1042">
                  <c:v>27.715927410178651</c:v>
                </c:pt>
                <c:pt idx="1043">
                  <c:v>27.722886150289153</c:v>
                </c:pt>
                <c:pt idx="1044">
                  <c:v>27.729844890399661</c:v>
                </c:pt>
                <c:pt idx="1045">
                  <c:v>27.69175311895378</c:v>
                </c:pt>
                <c:pt idx="1046">
                  <c:v>27.698676035276588</c:v>
                </c:pt>
                <c:pt idx="1047">
                  <c:v>27.705598951599391</c:v>
                </c:pt>
                <c:pt idx="1048">
                  <c:v>27.712521867922195</c:v>
                </c:pt>
                <c:pt idx="1049">
                  <c:v>27.630047918719715</c:v>
                </c:pt>
                <c:pt idx="1050">
                  <c:v>-7.2535664598157679</c:v>
                </c:pt>
                <c:pt idx="1051">
                  <c:v>-7.2744592362624587</c:v>
                </c:pt>
                <c:pt idx="1052">
                  <c:v>-7.2953520127091469</c:v>
                </c:pt>
                <c:pt idx="1053">
                  <c:v>-7.3162447891558378</c:v>
                </c:pt>
                <c:pt idx="1054">
                  <c:v>-7.3371375656025259</c:v>
                </c:pt>
                <c:pt idx="1055">
                  <c:v>-7.3580303420492204</c:v>
                </c:pt>
                <c:pt idx="1056">
                  <c:v>-7.3789231184959085</c:v>
                </c:pt>
                <c:pt idx="1057">
                  <c:v>-7.3998158949425958</c:v>
                </c:pt>
                <c:pt idx="1058">
                  <c:v>-7.4207086713892876</c:v>
                </c:pt>
                <c:pt idx="1059">
                  <c:v>-7.4416014478359784</c:v>
                </c:pt>
                <c:pt idx="1060">
                  <c:v>-7.4624942242826702</c:v>
                </c:pt>
                <c:pt idx="1061">
                  <c:v>-7.4833870007293575</c:v>
                </c:pt>
                <c:pt idx="1062">
                  <c:v>-7.5042797771760492</c:v>
                </c:pt>
                <c:pt idx="1063">
                  <c:v>-7.5251725536227365</c:v>
                </c:pt>
                <c:pt idx="1064">
                  <c:v>-11.088850168109666</c:v>
                </c:pt>
                <c:pt idx="1065">
                  <c:v>-11.112560137248002</c:v>
                </c:pt>
                <c:pt idx="1066">
                  <c:v>-11.136270106386339</c:v>
                </c:pt>
                <c:pt idx="1067">
                  <c:v>-11.159980075524679</c:v>
                </c:pt>
                <c:pt idx="1068">
                  <c:v>-11.183690044663015</c:v>
                </c:pt>
                <c:pt idx="1069">
                  <c:v>-11.207400013801351</c:v>
                </c:pt>
                <c:pt idx="1070">
                  <c:v>-11.231109982939687</c:v>
                </c:pt>
                <c:pt idx="1071">
                  <c:v>-11.254819952078025</c:v>
                </c:pt>
                <c:pt idx="1072">
                  <c:v>-11.278529921216364</c:v>
                </c:pt>
                <c:pt idx="1073">
                  <c:v>-11.3022398903547</c:v>
                </c:pt>
                <c:pt idx="1074">
                  <c:v>-11.325949859493036</c:v>
                </c:pt>
                <c:pt idx="1075">
                  <c:v>-11.349659828631372</c:v>
                </c:pt>
                <c:pt idx="1076">
                  <c:v>28.210670940130971</c:v>
                </c:pt>
                <c:pt idx="1077">
                  <c:v>28.210670940130971</c:v>
                </c:pt>
                <c:pt idx="1078">
                  <c:v>28.210670940130971</c:v>
                </c:pt>
                <c:pt idx="1079">
                  <c:v>28.210670940130971</c:v>
                </c:pt>
                <c:pt idx="1080">
                  <c:v>28.210670940130971</c:v>
                </c:pt>
                <c:pt idx="1081">
                  <c:v>28.210670940130971</c:v>
                </c:pt>
                <c:pt idx="1082">
                  <c:v>28.210670940130971</c:v>
                </c:pt>
                <c:pt idx="1083">
                  <c:v>28.210670940130971</c:v>
                </c:pt>
                <c:pt idx="1084">
                  <c:v>28.210670940130971</c:v>
                </c:pt>
                <c:pt idx="1085">
                  <c:v>28.210670940130971</c:v>
                </c:pt>
                <c:pt idx="1086">
                  <c:v>28.210670940130971</c:v>
                </c:pt>
                <c:pt idx="1087">
                  <c:v>28.210670940130971</c:v>
                </c:pt>
                <c:pt idx="1088">
                  <c:v>28.210670940130971</c:v>
                </c:pt>
                <c:pt idx="1089">
                  <c:v>28.210670940130971</c:v>
                </c:pt>
                <c:pt idx="1090">
                  <c:v>28.210670940130971</c:v>
                </c:pt>
                <c:pt idx="1091">
                  <c:v>28.210670940130971</c:v>
                </c:pt>
                <c:pt idx="1092">
                  <c:v>28.210670940130971</c:v>
                </c:pt>
                <c:pt idx="1093">
                  <c:v>28.210670940130971</c:v>
                </c:pt>
                <c:pt idx="1094">
                  <c:v>28.210670940130971</c:v>
                </c:pt>
                <c:pt idx="1095">
                  <c:v>28.210670940130971</c:v>
                </c:pt>
                <c:pt idx="1096">
                  <c:v>28.210670940130971</c:v>
                </c:pt>
                <c:pt idx="1097">
                  <c:v>28.210670940130971</c:v>
                </c:pt>
                <c:pt idx="1098">
                  <c:v>28.210670940130971</c:v>
                </c:pt>
                <c:pt idx="1099">
                  <c:v>28.210670940130971</c:v>
                </c:pt>
                <c:pt idx="1100">
                  <c:v>28.210670940130971</c:v>
                </c:pt>
                <c:pt idx="1101">
                  <c:v>28.210670940130971</c:v>
                </c:pt>
                <c:pt idx="1102">
                  <c:v>28.210670940130971</c:v>
                </c:pt>
                <c:pt idx="1103">
                  <c:v>28.210670940130971</c:v>
                </c:pt>
                <c:pt idx="1104">
                  <c:v>28.210670940130971</c:v>
                </c:pt>
                <c:pt idx="1105">
                  <c:v>28.210670940130971</c:v>
                </c:pt>
                <c:pt idx="1106">
                  <c:v>28.210670940130971</c:v>
                </c:pt>
                <c:pt idx="1107">
                  <c:v>28.210670940130971</c:v>
                </c:pt>
                <c:pt idx="1108">
                  <c:v>28.210670940130971</c:v>
                </c:pt>
                <c:pt idx="1109">
                  <c:v>28.210670940130971</c:v>
                </c:pt>
                <c:pt idx="1110">
                  <c:v>28.210670940130971</c:v>
                </c:pt>
                <c:pt idx="1111">
                  <c:v>28.210670940130971</c:v>
                </c:pt>
                <c:pt idx="1112">
                  <c:v>28.210670940130971</c:v>
                </c:pt>
                <c:pt idx="1113">
                  <c:v>28.210670940130971</c:v>
                </c:pt>
                <c:pt idx="1114">
                  <c:v>28.210670940130971</c:v>
                </c:pt>
                <c:pt idx="1115">
                  <c:v>28.210670940130971</c:v>
                </c:pt>
                <c:pt idx="1116">
                  <c:v>28.210670940130971</c:v>
                </c:pt>
                <c:pt idx="1117">
                  <c:v>28.210670940130971</c:v>
                </c:pt>
                <c:pt idx="1118">
                  <c:v>28.210670940130971</c:v>
                </c:pt>
                <c:pt idx="1119">
                  <c:v>28.210670940130971</c:v>
                </c:pt>
                <c:pt idx="1120">
                  <c:v>28.210670940130971</c:v>
                </c:pt>
                <c:pt idx="1121">
                  <c:v>28.210670940130971</c:v>
                </c:pt>
                <c:pt idx="1122">
                  <c:v>28.210670940130971</c:v>
                </c:pt>
                <c:pt idx="1123">
                  <c:v>28.210670940130971</c:v>
                </c:pt>
                <c:pt idx="1124">
                  <c:v>28.210670940130971</c:v>
                </c:pt>
                <c:pt idx="1125">
                  <c:v>28.210670940130971</c:v>
                </c:pt>
                <c:pt idx="1126">
                  <c:v>28.210670940130971</c:v>
                </c:pt>
                <c:pt idx="1127">
                  <c:v>28.210670940130971</c:v>
                </c:pt>
                <c:pt idx="1128">
                  <c:v>28.210670940130971</c:v>
                </c:pt>
                <c:pt idx="1129">
                  <c:v>28.210670940130971</c:v>
                </c:pt>
                <c:pt idx="1130">
                  <c:v>28.210670940130971</c:v>
                </c:pt>
                <c:pt idx="1131">
                  <c:v>28.210670940130971</c:v>
                </c:pt>
                <c:pt idx="1132">
                  <c:v>28.210670940130971</c:v>
                </c:pt>
                <c:pt idx="1133">
                  <c:v>28.210670940130971</c:v>
                </c:pt>
                <c:pt idx="1134">
                  <c:v>28.210670940130971</c:v>
                </c:pt>
                <c:pt idx="1135">
                  <c:v>28.210670940130971</c:v>
                </c:pt>
                <c:pt idx="1136">
                  <c:v>28.210670940130971</c:v>
                </c:pt>
                <c:pt idx="1137">
                  <c:v>28.210670940130971</c:v>
                </c:pt>
                <c:pt idx="1138">
                  <c:v>28.210670940130971</c:v>
                </c:pt>
                <c:pt idx="1139">
                  <c:v>28.210670940130971</c:v>
                </c:pt>
                <c:pt idx="1140">
                  <c:v>28.210670940130971</c:v>
                </c:pt>
                <c:pt idx="1141">
                  <c:v>28.210670940130971</c:v>
                </c:pt>
                <c:pt idx="1142">
                  <c:v>28.210670940130971</c:v>
                </c:pt>
                <c:pt idx="1143">
                  <c:v>28.210670940130971</c:v>
                </c:pt>
                <c:pt idx="1144">
                  <c:v>28.210670940130971</c:v>
                </c:pt>
                <c:pt idx="1145">
                  <c:v>28.210670940130971</c:v>
                </c:pt>
                <c:pt idx="1146">
                  <c:v>28.210670940130971</c:v>
                </c:pt>
                <c:pt idx="1147">
                  <c:v>28.210670940130971</c:v>
                </c:pt>
                <c:pt idx="1148">
                  <c:v>28.210670940130971</c:v>
                </c:pt>
                <c:pt idx="1149">
                  <c:v>28.210670940130971</c:v>
                </c:pt>
                <c:pt idx="1150">
                  <c:v>28.210670940130971</c:v>
                </c:pt>
                <c:pt idx="1151">
                  <c:v>28.210670940130971</c:v>
                </c:pt>
                <c:pt idx="1152">
                  <c:v>28.210670940130971</c:v>
                </c:pt>
                <c:pt idx="1153">
                  <c:v>28.210670940130971</c:v>
                </c:pt>
                <c:pt idx="1154">
                  <c:v>28.210670940130971</c:v>
                </c:pt>
                <c:pt idx="1155">
                  <c:v>28.210670940130971</c:v>
                </c:pt>
                <c:pt idx="1156">
                  <c:v>28.210670940130971</c:v>
                </c:pt>
                <c:pt idx="1157">
                  <c:v>28.210670940130971</c:v>
                </c:pt>
                <c:pt idx="1158">
                  <c:v>28.210670940130971</c:v>
                </c:pt>
                <c:pt idx="1159">
                  <c:v>28.210670940130971</c:v>
                </c:pt>
                <c:pt idx="1160">
                  <c:v>28.210670940130971</c:v>
                </c:pt>
                <c:pt idx="1161">
                  <c:v>28.210670940130971</c:v>
                </c:pt>
                <c:pt idx="1162">
                  <c:v>28.210670940130971</c:v>
                </c:pt>
                <c:pt idx="1163">
                  <c:v>28.210670940130971</c:v>
                </c:pt>
                <c:pt idx="1164">
                  <c:v>28.210670940130971</c:v>
                </c:pt>
                <c:pt idx="1165">
                  <c:v>28.210670940130971</c:v>
                </c:pt>
                <c:pt idx="1166">
                  <c:v>28.210670940130971</c:v>
                </c:pt>
                <c:pt idx="1167">
                  <c:v>28.210670940130971</c:v>
                </c:pt>
                <c:pt idx="1168">
                  <c:v>28.210670940130971</c:v>
                </c:pt>
                <c:pt idx="1169">
                  <c:v>28.210670940130971</c:v>
                </c:pt>
                <c:pt idx="1170">
                  <c:v>28.210670940130971</c:v>
                </c:pt>
                <c:pt idx="1171">
                  <c:v>28.210670940130971</c:v>
                </c:pt>
                <c:pt idx="1172">
                  <c:v>28.210670940130971</c:v>
                </c:pt>
                <c:pt idx="1173">
                  <c:v>28.210670940130971</c:v>
                </c:pt>
                <c:pt idx="1174">
                  <c:v>28.210670940130971</c:v>
                </c:pt>
                <c:pt idx="1175">
                  <c:v>28.210670940130971</c:v>
                </c:pt>
                <c:pt idx="1176">
                  <c:v>28.210670940130971</c:v>
                </c:pt>
                <c:pt idx="1177">
                  <c:v>28.210670940130971</c:v>
                </c:pt>
                <c:pt idx="1178">
                  <c:v>28.210670940130971</c:v>
                </c:pt>
                <c:pt idx="1179">
                  <c:v>28.210670940130971</c:v>
                </c:pt>
                <c:pt idx="1180">
                  <c:v>28.210670940130971</c:v>
                </c:pt>
                <c:pt idx="1181">
                  <c:v>28.210670940130971</c:v>
                </c:pt>
                <c:pt idx="1182">
                  <c:v>28.210670940130971</c:v>
                </c:pt>
                <c:pt idx="1183">
                  <c:v>28.210670940130971</c:v>
                </c:pt>
                <c:pt idx="1184">
                  <c:v>28.210670940130971</c:v>
                </c:pt>
                <c:pt idx="1185">
                  <c:v>28.210670940130971</c:v>
                </c:pt>
                <c:pt idx="1186">
                  <c:v>28.210670940130971</c:v>
                </c:pt>
                <c:pt idx="1187">
                  <c:v>28.210670940130971</c:v>
                </c:pt>
                <c:pt idx="1188">
                  <c:v>28.210670940130971</c:v>
                </c:pt>
                <c:pt idx="1189">
                  <c:v>28.210670940130971</c:v>
                </c:pt>
                <c:pt idx="1190">
                  <c:v>28.210670940130971</c:v>
                </c:pt>
                <c:pt idx="1191">
                  <c:v>28.210670940130971</c:v>
                </c:pt>
                <c:pt idx="1192">
                  <c:v>28.210670940130971</c:v>
                </c:pt>
                <c:pt idx="1193">
                  <c:v>28.210670940130971</c:v>
                </c:pt>
                <c:pt idx="1194">
                  <c:v>28.210670940130971</c:v>
                </c:pt>
                <c:pt idx="1195">
                  <c:v>28.210670940130971</c:v>
                </c:pt>
                <c:pt idx="1196">
                  <c:v>28.210670940130971</c:v>
                </c:pt>
                <c:pt idx="1197">
                  <c:v>28.210670940130971</c:v>
                </c:pt>
                <c:pt idx="1198">
                  <c:v>28.210670940130971</c:v>
                </c:pt>
                <c:pt idx="1199">
                  <c:v>28.210670940130971</c:v>
                </c:pt>
                <c:pt idx="1200">
                  <c:v>28.210670940130971</c:v>
                </c:pt>
                <c:pt idx="1201">
                  <c:v>28.210670940130971</c:v>
                </c:pt>
                <c:pt idx="1202">
                  <c:v>28.210670940130971</c:v>
                </c:pt>
                <c:pt idx="1203">
                  <c:v>28.210670940130971</c:v>
                </c:pt>
                <c:pt idx="1204">
                  <c:v>28.210670940130971</c:v>
                </c:pt>
                <c:pt idx="1205">
                  <c:v>28.210670940130971</c:v>
                </c:pt>
                <c:pt idx="1206">
                  <c:v>28.210670940130971</c:v>
                </c:pt>
                <c:pt idx="1207">
                  <c:v>28.210670940130971</c:v>
                </c:pt>
                <c:pt idx="1208">
                  <c:v>28.210670940130971</c:v>
                </c:pt>
                <c:pt idx="1209">
                  <c:v>28.210670940130971</c:v>
                </c:pt>
                <c:pt idx="1210">
                  <c:v>28.210670940130971</c:v>
                </c:pt>
                <c:pt idx="1211">
                  <c:v>28.210670940130971</c:v>
                </c:pt>
                <c:pt idx="1212">
                  <c:v>28.210670940130971</c:v>
                </c:pt>
                <c:pt idx="1213">
                  <c:v>28.210670940130971</c:v>
                </c:pt>
                <c:pt idx="1214">
                  <c:v>28.210670940130971</c:v>
                </c:pt>
                <c:pt idx="1215">
                  <c:v>28.210670940130971</c:v>
                </c:pt>
                <c:pt idx="1216">
                  <c:v>28.210670940130971</c:v>
                </c:pt>
                <c:pt idx="1217">
                  <c:v>28.210670940130971</c:v>
                </c:pt>
                <c:pt idx="1218">
                  <c:v>28.210670940130971</c:v>
                </c:pt>
                <c:pt idx="1219">
                  <c:v>28.210670940130971</c:v>
                </c:pt>
                <c:pt idx="1220">
                  <c:v>28.210670940130971</c:v>
                </c:pt>
                <c:pt idx="1221">
                  <c:v>28.210670940130971</c:v>
                </c:pt>
                <c:pt idx="1222">
                  <c:v>28.210670940130971</c:v>
                </c:pt>
                <c:pt idx="1223">
                  <c:v>28.210670940130971</c:v>
                </c:pt>
                <c:pt idx="1224">
                  <c:v>28.210670940130971</c:v>
                </c:pt>
                <c:pt idx="1225">
                  <c:v>28.210670940130971</c:v>
                </c:pt>
                <c:pt idx="1226">
                  <c:v>28.210670940130971</c:v>
                </c:pt>
                <c:pt idx="1227">
                  <c:v>28.210670940130971</c:v>
                </c:pt>
                <c:pt idx="1228">
                  <c:v>28.210670940130971</c:v>
                </c:pt>
                <c:pt idx="1229">
                  <c:v>28.218437867098569</c:v>
                </c:pt>
                <c:pt idx="1230">
                  <c:v>28.225947579069231</c:v>
                </c:pt>
                <c:pt idx="1231">
                  <c:v>28.233714301501625</c:v>
                </c:pt>
                <c:pt idx="1232">
                  <c:v>28.241481023934018</c:v>
                </c:pt>
                <c:pt idx="1233">
                  <c:v>28.249247746366414</c:v>
                </c:pt>
                <c:pt idx="1234">
                  <c:v>28.256363015033571</c:v>
                </c:pt>
                <c:pt idx="1235">
                  <c:v>28.264129219435414</c:v>
                </c:pt>
                <c:pt idx="1236">
                  <c:v>28.27189542383725</c:v>
                </c:pt>
                <c:pt idx="1237">
                  <c:v>28.278622184425437</c:v>
                </c:pt>
                <c:pt idx="1238">
                  <c:v>28.286387562270306</c:v>
                </c:pt>
                <c:pt idx="1239">
                  <c:v>28.294152940115168</c:v>
                </c:pt>
                <c:pt idx="1240">
                  <c:v>28.300496934445786</c:v>
                </c:pt>
                <c:pt idx="1241">
                  <c:v>28.308261182018448</c:v>
                </c:pt>
                <c:pt idx="1242">
                  <c:v>28.3160254295911</c:v>
                </c:pt>
                <c:pt idx="1243">
                  <c:v>28.323789677163759</c:v>
                </c:pt>
                <c:pt idx="1244">
                  <c:v>28.329756461307255</c:v>
                </c:pt>
                <c:pt idx="1245">
                  <c:v>28.337519279552115</c:v>
                </c:pt>
                <c:pt idx="1246">
                  <c:v>28.345282097796982</c:v>
                </c:pt>
                <c:pt idx="1247">
                  <c:v>28.301075496995349</c:v>
                </c:pt>
                <c:pt idx="1248">
                  <c:v>28.308796989595493</c:v>
                </c:pt>
                <c:pt idx="1249">
                  <c:v>28.31651848219564</c:v>
                </c:pt>
                <c:pt idx="1250">
                  <c:v>28.324239974795784</c:v>
                </c:pt>
                <c:pt idx="1251">
                  <c:v>28.280399262839616</c:v>
                </c:pt>
                <c:pt idx="1252">
                  <c:v>28.288079753608582</c:v>
                </c:pt>
                <c:pt idx="1253">
                  <c:v>28.295760244377544</c:v>
                </c:pt>
                <c:pt idx="1254">
                  <c:v>28.203237883748635</c:v>
                </c:pt>
                <c:pt idx="1255">
                  <c:v>28.210838694053347</c:v>
                </c:pt>
                <c:pt idx="1256">
                  <c:v>28.218439504358059</c:v>
                </c:pt>
                <c:pt idx="1257">
                  <c:v>28.226040314662772</c:v>
                </c:pt>
                <c:pt idx="1258">
                  <c:v>28.134569527625306</c:v>
                </c:pt>
                <c:pt idx="1259">
                  <c:v>28.142091557029477</c:v>
                </c:pt>
                <c:pt idx="1260">
                  <c:v>28.149613586433638</c:v>
                </c:pt>
                <c:pt idx="1261">
                  <c:v>28.059166519608254</c:v>
                </c:pt>
                <c:pt idx="1262">
                  <c:v>28.06661064481148</c:v>
                </c:pt>
                <c:pt idx="1263">
                  <c:v>28.074054770014708</c:v>
                </c:pt>
                <c:pt idx="1264">
                  <c:v>28.081498895217937</c:v>
                </c:pt>
                <c:pt idx="1265">
                  <c:v>27.992048537111327</c:v>
                </c:pt>
                <c:pt idx="1266">
                  <c:v>27.999415612636763</c:v>
                </c:pt>
                <c:pt idx="1267">
                  <c:v>28.006782688162208</c:v>
                </c:pt>
                <c:pt idx="1268">
                  <c:v>28.014149763687648</c:v>
                </c:pt>
                <c:pt idx="1269">
                  <c:v>27.925669913113424</c:v>
                </c:pt>
                <c:pt idx="1270">
                  <c:v>27.932960771969757</c:v>
                </c:pt>
                <c:pt idx="1271">
                  <c:v>27.94025163082609</c:v>
                </c:pt>
                <c:pt idx="1272">
                  <c:v>27.947542489682419</c:v>
                </c:pt>
                <c:pt idx="1273">
                  <c:v>27.860007725590375</c:v>
                </c:pt>
                <c:pt idx="1274">
                  <c:v>27.867223179909271</c:v>
                </c:pt>
                <c:pt idx="1275">
                  <c:v>27.874438634228166</c:v>
                </c:pt>
                <c:pt idx="1276">
                  <c:v>27.787824286869288</c:v>
                </c:pt>
                <c:pt idx="1277">
                  <c:v>27.79496512851944</c:v>
                </c:pt>
                <c:pt idx="1278">
                  <c:v>27.802105970169592</c:v>
                </c:pt>
                <c:pt idx="1279">
                  <c:v>27.809246811819744</c:v>
                </c:pt>
                <c:pt idx="1280">
                  <c:v>27.72352893517856</c:v>
                </c:pt>
                <c:pt idx="1281">
                  <c:v>27.730595936357307</c:v>
                </c:pt>
                <c:pt idx="1282">
                  <c:v>27.737662937536058</c:v>
                </c:pt>
                <c:pt idx="1283">
                  <c:v>27.744729938714805</c:v>
                </c:pt>
                <c:pt idx="1284">
                  <c:v>27.706078028371678</c:v>
                </c:pt>
                <c:pt idx="1285">
                  <c:v>-3.8534103870403271</c:v>
                </c:pt>
                <c:pt idx="1286">
                  <c:v>-3.8714811714892536</c:v>
                </c:pt>
                <c:pt idx="1287">
                  <c:v>-3.889551955938177</c:v>
                </c:pt>
                <c:pt idx="1288">
                  <c:v>-3.9076227403871036</c:v>
                </c:pt>
                <c:pt idx="1289">
                  <c:v>-3.925693524836027</c:v>
                </c:pt>
                <c:pt idx="1290">
                  <c:v>-3.9437643092849535</c:v>
                </c:pt>
                <c:pt idx="1291">
                  <c:v>-3.9618350937338769</c:v>
                </c:pt>
                <c:pt idx="1292">
                  <c:v>-3.9799058781828003</c:v>
                </c:pt>
                <c:pt idx="1293">
                  <c:v>-3.9979766626317268</c:v>
                </c:pt>
                <c:pt idx="1294">
                  <c:v>-7.5648676937035821</c:v>
                </c:pt>
                <c:pt idx="1295">
                  <c:v>-7.585760470150273</c:v>
                </c:pt>
                <c:pt idx="1296">
                  <c:v>-7.6066532465969638</c:v>
                </c:pt>
                <c:pt idx="1297">
                  <c:v>-7.6275460230436556</c:v>
                </c:pt>
                <c:pt idx="1298">
                  <c:v>-7.6484387994903429</c:v>
                </c:pt>
                <c:pt idx="1299">
                  <c:v>-7.6693315759370346</c:v>
                </c:pt>
                <c:pt idx="1300">
                  <c:v>-7.6902243523837228</c:v>
                </c:pt>
                <c:pt idx="1301">
                  <c:v>-7.7111171288304163</c:v>
                </c:pt>
                <c:pt idx="1302">
                  <c:v>-7.7320099052771045</c:v>
                </c:pt>
                <c:pt idx="1303">
                  <c:v>-7.7529026817237927</c:v>
                </c:pt>
                <c:pt idx="1304">
                  <c:v>-7.7737954581704836</c:v>
                </c:pt>
                <c:pt idx="1305">
                  <c:v>-7.7946882346171718</c:v>
                </c:pt>
                <c:pt idx="1306">
                  <c:v>-7.8155810110638626</c:v>
                </c:pt>
                <c:pt idx="1307">
                  <c:v>-7.8364737875105543</c:v>
                </c:pt>
                <c:pt idx="1308">
                  <c:v>-7.8573665639572452</c:v>
                </c:pt>
                <c:pt idx="1309">
                  <c:v>-7.8782593404039334</c:v>
                </c:pt>
                <c:pt idx="1310">
                  <c:v>-7.8991521168506216</c:v>
                </c:pt>
                <c:pt idx="1311">
                  <c:v>-11.46282973133755</c:v>
                </c:pt>
                <c:pt idx="1312">
                  <c:v>-11.486539700475889</c:v>
                </c:pt>
                <c:pt idx="1313">
                  <c:v>-11.510249669614227</c:v>
                </c:pt>
                <c:pt idx="1314">
                  <c:v>-11.533959638752563</c:v>
                </c:pt>
                <c:pt idx="1315">
                  <c:v>-11.557669607890899</c:v>
                </c:pt>
                <c:pt idx="1316">
                  <c:v>-11.581379577029235</c:v>
                </c:pt>
                <c:pt idx="1317">
                  <c:v>-11.605089546167573</c:v>
                </c:pt>
                <c:pt idx="1318">
                  <c:v>-11.628799515305912</c:v>
                </c:pt>
                <c:pt idx="1319">
                  <c:v>-11.652509484444248</c:v>
                </c:pt>
                <c:pt idx="1320">
                  <c:v>-11.676219453582585</c:v>
                </c:pt>
                <c:pt idx="1321">
                  <c:v>-11.699929422720921</c:v>
                </c:pt>
                <c:pt idx="1322">
                  <c:v>-11.723639391859258</c:v>
                </c:pt>
                <c:pt idx="1323">
                  <c:v>-11.747349360997594</c:v>
                </c:pt>
                <c:pt idx="1324">
                  <c:v>-11.77105933013593</c:v>
                </c:pt>
                <c:pt idx="1325">
                  <c:v>-11.794769299274266</c:v>
                </c:pt>
                <c:pt idx="1326">
                  <c:v>-11.818479268412604</c:v>
                </c:pt>
                <c:pt idx="1327">
                  <c:v>-11.84218923755094</c:v>
                </c:pt>
                <c:pt idx="1328">
                  <c:v>-11.865899206689276</c:v>
                </c:pt>
                <c:pt idx="1329">
                  <c:v>-11.889609175827612</c:v>
                </c:pt>
                <c:pt idx="1330">
                  <c:v>-11.91331914496595</c:v>
                </c:pt>
                <c:pt idx="1331">
                  <c:v>-11.937029114104291</c:v>
                </c:pt>
                <c:pt idx="1332">
                  <c:v>-11.960739083242622</c:v>
                </c:pt>
                <c:pt idx="1333">
                  <c:v>-11.984449052380958</c:v>
                </c:pt>
                <c:pt idx="1334">
                  <c:v>-12.008159021519296</c:v>
                </c:pt>
                <c:pt idx="1335">
                  <c:v>-12.031868990657632</c:v>
                </c:pt>
                <c:pt idx="1336">
                  <c:v>-12.055578959795968</c:v>
                </c:pt>
                <c:pt idx="1337">
                  <c:v>-12.079288928934311</c:v>
                </c:pt>
                <c:pt idx="1338">
                  <c:v>-12.102998898072647</c:v>
                </c:pt>
                <c:pt idx="1339">
                  <c:v>-12.126708867210983</c:v>
                </c:pt>
                <c:pt idx="1340">
                  <c:v>-12.150418836349321</c:v>
                </c:pt>
                <c:pt idx="1341">
                  <c:v>-12.174128805487657</c:v>
                </c:pt>
                <c:pt idx="1342">
                  <c:v>-12.197838774625993</c:v>
                </c:pt>
                <c:pt idx="1343">
                  <c:v>-12.221548743764329</c:v>
                </c:pt>
                <c:pt idx="1344">
                  <c:v>-12.245258712902666</c:v>
                </c:pt>
                <c:pt idx="1345">
                  <c:v>26.712572320359616</c:v>
                </c:pt>
                <c:pt idx="1346">
                  <c:v>26.712572320359616</c:v>
                </c:pt>
                <c:pt idx="1347">
                  <c:v>26.712572320359616</c:v>
                </c:pt>
                <c:pt idx="1348">
                  <c:v>26.712572320359616</c:v>
                </c:pt>
                <c:pt idx="1349">
                  <c:v>26.712572320359616</c:v>
                </c:pt>
                <c:pt idx="1350">
                  <c:v>26.712572320359616</c:v>
                </c:pt>
                <c:pt idx="1351">
                  <c:v>26.712572320359616</c:v>
                </c:pt>
                <c:pt idx="1352">
                  <c:v>26.712572320359616</c:v>
                </c:pt>
                <c:pt idx="1353">
                  <c:v>26.712572320359616</c:v>
                </c:pt>
                <c:pt idx="1354">
                  <c:v>26.712572320359616</c:v>
                </c:pt>
                <c:pt idx="1355">
                  <c:v>26.712572320359616</c:v>
                </c:pt>
                <c:pt idx="1356">
                  <c:v>26.712572320359616</c:v>
                </c:pt>
                <c:pt idx="1357">
                  <c:v>26.712572320359616</c:v>
                </c:pt>
                <c:pt idx="1358">
                  <c:v>26.712572320359616</c:v>
                </c:pt>
                <c:pt idx="1359">
                  <c:v>26.712572320359616</c:v>
                </c:pt>
                <c:pt idx="1360">
                  <c:v>26.712572320359616</c:v>
                </c:pt>
                <c:pt idx="1361">
                  <c:v>26.712572320359616</c:v>
                </c:pt>
                <c:pt idx="1362">
                  <c:v>26.712572320359616</c:v>
                </c:pt>
                <c:pt idx="1363">
                  <c:v>26.712572320359616</c:v>
                </c:pt>
                <c:pt idx="1364">
                  <c:v>26.712572320359616</c:v>
                </c:pt>
                <c:pt idx="1365">
                  <c:v>26.712572320359616</c:v>
                </c:pt>
                <c:pt idx="1366">
                  <c:v>26.712572320359616</c:v>
                </c:pt>
                <c:pt idx="1367">
                  <c:v>26.712572320359616</c:v>
                </c:pt>
                <c:pt idx="1368">
                  <c:v>26.712572320359616</c:v>
                </c:pt>
                <c:pt idx="1369">
                  <c:v>26.712572320359616</c:v>
                </c:pt>
                <c:pt idx="1370">
                  <c:v>26.712572320359616</c:v>
                </c:pt>
                <c:pt idx="1371">
                  <c:v>26.712572320359616</c:v>
                </c:pt>
                <c:pt idx="1372">
                  <c:v>26.712572320359616</c:v>
                </c:pt>
                <c:pt idx="1373">
                  <c:v>26.712572320359616</c:v>
                </c:pt>
                <c:pt idx="1374">
                  <c:v>26.712572320359616</c:v>
                </c:pt>
                <c:pt idx="1375">
                  <c:v>26.712572320359616</c:v>
                </c:pt>
                <c:pt idx="1376">
                  <c:v>26.712572320359616</c:v>
                </c:pt>
                <c:pt idx="1377">
                  <c:v>26.712572320359616</c:v>
                </c:pt>
                <c:pt idx="1378">
                  <c:v>26.712572320359616</c:v>
                </c:pt>
                <c:pt idx="1379">
                  <c:v>26.712572320359616</c:v>
                </c:pt>
                <c:pt idx="1380">
                  <c:v>26.712572320359616</c:v>
                </c:pt>
                <c:pt idx="1381">
                  <c:v>26.712572320359616</c:v>
                </c:pt>
                <c:pt idx="1382">
                  <c:v>26.712572320359616</c:v>
                </c:pt>
                <c:pt idx="1383">
                  <c:v>26.712572320359616</c:v>
                </c:pt>
                <c:pt idx="1384">
                  <c:v>26.712572320359616</c:v>
                </c:pt>
                <c:pt idx="1385">
                  <c:v>26.712572320359616</c:v>
                </c:pt>
                <c:pt idx="1386">
                  <c:v>26.712572320359616</c:v>
                </c:pt>
                <c:pt idx="1387">
                  <c:v>26.712572320359616</c:v>
                </c:pt>
                <c:pt idx="1388">
                  <c:v>26.712572320359616</c:v>
                </c:pt>
                <c:pt idx="1389">
                  <c:v>26.712572320359616</c:v>
                </c:pt>
                <c:pt idx="1390">
                  <c:v>26.712572320359616</c:v>
                </c:pt>
                <c:pt idx="1391">
                  <c:v>26.712572320359616</c:v>
                </c:pt>
                <c:pt idx="1392">
                  <c:v>26.712572320359616</c:v>
                </c:pt>
                <c:pt idx="1393">
                  <c:v>26.712572320359616</c:v>
                </c:pt>
                <c:pt idx="1394">
                  <c:v>26.712572320359616</c:v>
                </c:pt>
                <c:pt idx="1395">
                  <c:v>26.712572320359616</c:v>
                </c:pt>
                <c:pt idx="1396">
                  <c:v>26.712572320359616</c:v>
                </c:pt>
                <c:pt idx="1397">
                  <c:v>26.712572320359616</c:v>
                </c:pt>
                <c:pt idx="1398">
                  <c:v>26.712572320359616</c:v>
                </c:pt>
                <c:pt idx="1399">
                  <c:v>26.712572320359616</c:v>
                </c:pt>
                <c:pt idx="1400">
                  <c:v>26.712572320359616</c:v>
                </c:pt>
                <c:pt idx="1401">
                  <c:v>26.712572320359616</c:v>
                </c:pt>
                <c:pt idx="1402">
                  <c:v>26.712572320359616</c:v>
                </c:pt>
                <c:pt idx="1403">
                  <c:v>26.712572320359616</c:v>
                </c:pt>
                <c:pt idx="1404">
                  <c:v>26.712572320359616</c:v>
                </c:pt>
                <c:pt idx="1405">
                  <c:v>26.712572320359616</c:v>
                </c:pt>
                <c:pt idx="1406">
                  <c:v>26.712572320359616</c:v>
                </c:pt>
                <c:pt idx="1407">
                  <c:v>26.712572320359616</c:v>
                </c:pt>
                <c:pt idx="1408">
                  <c:v>26.712572320359616</c:v>
                </c:pt>
                <c:pt idx="1409">
                  <c:v>26.712572320359616</c:v>
                </c:pt>
                <c:pt idx="1410">
                  <c:v>26.712572320359616</c:v>
                </c:pt>
                <c:pt idx="1411">
                  <c:v>26.712572320359616</c:v>
                </c:pt>
                <c:pt idx="1412">
                  <c:v>26.712572320359616</c:v>
                </c:pt>
                <c:pt idx="1413">
                  <c:v>26.712572320359616</c:v>
                </c:pt>
                <c:pt idx="1414">
                  <c:v>26.712572320359616</c:v>
                </c:pt>
                <c:pt idx="1415">
                  <c:v>26.712572320359616</c:v>
                </c:pt>
                <c:pt idx="1416">
                  <c:v>26.712572320359616</c:v>
                </c:pt>
                <c:pt idx="1417">
                  <c:v>26.712572320359616</c:v>
                </c:pt>
                <c:pt idx="1418">
                  <c:v>26.712572320359616</c:v>
                </c:pt>
                <c:pt idx="1419">
                  <c:v>26.712572320359616</c:v>
                </c:pt>
                <c:pt idx="1420">
                  <c:v>26.712572320359616</c:v>
                </c:pt>
                <c:pt idx="1421">
                  <c:v>26.712572320359616</c:v>
                </c:pt>
                <c:pt idx="1422">
                  <c:v>26.712572320359616</c:v>
                </c:pt>
                <c:pt idx="1423">
                  <c:v>26.712572320359616</c:v>
                </c:pt>
                <c:pt idx="1424">
                  <c:v>26.712572320359616</c:v>
                </c:pt>
                <c:pt idx="1425">
                  <c:v>26.712572320359616</c:v>
                </c:pt>
                <c:pt idx="1426">
                  <c:v>26.712572320359616</c:v>
                </c:pt>
                <c:pt idx="1427">
                  <c:v>26.712572320359616</c:v>
                </c:pt>
                <c:pt idx="1428">
                  <c:v>26.712572320359616</c:v>
                </c:pt>
                <c:pt idx="1429">
                  <c:v>26.712572320359616</c:v>
                </c:pt>
                <c:pt idx="1430">
                  <c:v>26.712572320359616</c:v>
                </c:pt>
                <c:pt idx="1431">
                  <c:v>26.712572320359616</c:v>
                </c:pt>
                <c:pt idx="1432">
                  <c:v>26.712572320359616</c:v>
                </c:pt>
                <c:pt idx="1433">
                  <c:v>26.712572320359616</c:v>
                </c:pt>
                <c:pt idx="1434">
                  <c:v>26.712572320359616</c:v>
                </c:pt>
                <c:pt idx="1435">
                  <c:v>26.712572320359616</c:v>
                </c:pt>
                <c:pt idx="1436">
                  <c:v>26.712572320359616</c:v>
                </c:pt>
                <c:pt idx="1437">
                  <c:v>26.712572320359616</c:v>
                </c:pt>
                <c:pt idx="1438">
                  <c:v>26.712572320359616</c:v>
                </c:pt>
                <c:pt idx="1439">
                  <c:v>26.712572320359616</c:v>
                </c:pt>
                <c:pt idx="1440">
                  <c:v>26.712572320359616</c:v>
                </c:pt>
                <c:pt idx="1441">
                  <c:v>26.712572320359616</c:v>
                </c:pt>
                <c:pt idx="1442">
                  <c:v>26.712572320359616</c:v>
                </c:pt>
                <c:pt idx="1443">
                  <c:v>26.712572320359616</c:v>
                </c:pt>
                <c:pt idx="1444">
                  <c:v>26.712572320359616</c:v>
                </c:pt>
                <c:pt idx="1445">
                  <c:v>26.712572320359616</c:v>
                </c:pt>
                <c:pt idx="1446">
                  <c:v>26.712572320359616</c:v>
                </c:pt>
                <c:pt idx="1447">
                  <c:v>26.712572320359616</c:v>
                </c:pt>
                <c:pt idx="1448">
                  <c:v>26.712572320359616</c:v>
                </c:pt>
                <c:pt idx="1449">
                  <c:v>26.712572320359616</c:v>
                </c:pt>
                <c:pt idx="1450">
                  <c:v>26.712572320359616</c:v>
                </c:pt>
                <c:pt idx="1451">
                  <c:v>26.712572320359616</c:v>
                </c:pt>
                <c:pt idx="1452">
                  <c:v>26.712572320359616</c:v>
                </c:pt>
                <c:pt idx="1453">
                  <c:v>26.712572320359616</c:v>
                </c:pt>
                <c:pt idx="1454">
                  <c:v>26.712572320359616</c:v>
                </c:pt>
                <c:pt idx="1455">
                  <c:v>26.712572320359616</c:v>
                </c:pt>
                <c:pt idx="1456">
                  <c:v>26.712572320359616</c:v>
                </c:pt>
                <c:pt idx="1457">
                  <c:v>26.712572320359616</c:v>
                </c:pt>
                <c:pt idx="1458">
                  <c:v>26.712572320359616</c:v>
                </c:pt>
                <c:pt idx="1459">
                  <c:v>26.712572320359616</c:v>
                </c:pt>
                <c:pt idx="1460">
                  <c:v>26.712572320359616</c:v>
                </c:pt>
                <c:pt idx="1461">
                  <c:v>26.712572320359616</c:v>
                </c:pt>
                <c:pt idx="1462">
                  <c:v>26.712572320359616</c:v>
                </c:pt>
                <c:pt idx="1463">
                  <c:v>26.712572320359616</c:v>
                </c:pt>
                <c:pt idx="1464">
                  <c:v>26.712572320359616</c:v>
                </c:pt>
                <c:pt idx="1465">
                  <c:v>26.712572320359616</c:v>
                </c:pt>
                <c:pt idx="1466">
                  <c:v>26.712572320359616</c:v>
                </c:pt>
                <c:pt idx="1467">
                  <c:v>26.712572320359616</c:v>
                </c:pt>
                <c:pt idx="1468">
                  <c:v>26.712572320359616</c:v>
                </c:pt>
                <c:pt idx="1469">
                  <c:v>26.712572320359616</c:v>
                </c:pt>
                <c:pt idx="1470">
                  <c:v>26.712572320359616</c:v>
                </c:pt>
                <c:pt idx="1471">
                  <c:v>26.712572320359616</c:v>
                </c:pt>
                <c:pt idx="1472">
                  <c:v>26.712572320359616</c:v>
                </c:pt>
                <c:pt idx="1473">
                  <c:v>26.712572320359616</c:v>
                </c:pt>
                <c:pt idx="1474">
                  <c:v>26.712572320359616</c:v>
                </c:pt>
                <c:pt idx="1475">
                  <c:v>26.712572320359616</c:v>
                </c:pt>
                <c:pt idx="1476">
                  <c:v>26.712572320359616</c:v>
                </c:pt>
                <c:pt idx="1477">
                  <c:v>26.712572320359616</c:v>
                </c:pt>
                <c:pt idx="1478">
                  <c:v>26.712572320359616</c:v>
                </c:pt>
                <c:pt idx="1479">
                  <c:v>26.712572320359616</c:v>
                </c:pt>
                <c:pt idx="1480">
                  <c:v>26.712572320359616</c:v>
                </c:pt>
                <c:pt idx="1481">
                  <c:v>26.712572320359616</c:v>
                </c:pt>
                <c:pt idx="1482">
                  <c:v>25.360442634044247</c:v>
                </c:pt>
                <c:pt idx="1483">
                  <c:v>25.366655256143286</c:v>
                </c:pt>
                <c:pt idx="1484">
                  <c:v>25.418708566761914</c:v>
                </c:pt>
                <c:pt idx="1485">
                  <c:v>25.424957640990726</c:v>
                </c:pt>
                <c:pt idx="1486">
                  <c:v>25.431206715219538</c:v>
                </c:pt>
                <c:pt idx="1487">
                  <c:v>25.403069191722096</c:v>
                </c:pt>
                <c:pt idx="1488">
                  <c:v>25.409290922017753</c:v>
                </c:pt>
                <c:pt idx="1489">
                  <c:v>25.381568023655401</c:v>
                </c:pt>
                <c:pt idx="1490">
                  <c:v>25.387762761467979</c:v>
                </c:pt>
                <c:pt idx="1491">
                  <c:v>25.39395749928056</c:v>
                </c:pt>
                <c:pt idx="1492">
                  <c:v>25.443431157862555</c:v>
                </c:pt>
                <c:pt idx="1493">
                  <c:v>25.449660310708747</c:v>
                </c:pt>
                <c:pt idx="1494">
                  <c:v>25.455889463554943</c:v>
                </c:pt>
                <c:pt idx="1495">
                  <c:v>25.503970241622529</c:v>
                </c:pt>
                <c:pt idx="1496">
                  <c:v>25.510232674528925</c:v>
                </c:pt>
                <c:pt idx="1497">
                  <c:v>25.516495107435329</c:v>
                </c:pt>
                <c:pt idx="1498">
                  <c:v>25.563227520136561</c:v>
                </c:pt>
                <c:pt idx="1499">
                  <c:v>25.56952213443035</c:v>
                </c:pt>
                <c:pt idx="1500">
                  <c:v>25.614948609952421</c:v>
                </c:pt>
                <c:pt idx="1501">
                  <c:v>25.621274341572978</c:v>
                </c:pt>
                <c:pt idx="1502">
                  <c:v>25.627600073193531</c:v>
                </c:pt>
                <c:pt idx="1503">
                  <c:v>25.671761073100882</c:v>
                </c:pt>
                <c:pt idx="1504">
                  <c:v>25.678116891008404</c:v>
                </c:pt>
                <c:pt idx="1505">
                  <c:v>25.684472708915926</c:v>
                </c:pt>
                <c:pt idx="1506">
                  <c:v>25.727406840265409</c:v>
                </c:pt>
                <c:pt idx="1507">
                  <c:v>25.733791744939985</c:v>
                </c:pt>
                <c:pt idx="1508">
                  <c:v>25.740176649614558</c:v>
                </c:pt>
                <c:pt idx="1509">
                  <c:v>25.781920769495414</c:v>
                </c:pt>
                <c:pt idx="1510">
                  <c:v>25.788333791520383</c:v>
                </c:pt>
                <c:pt idx="1511">
                  <c:v>25.794746813545352</c:v>
                </c:pt>
                <c:pt idx="1512">
                  <c:v>25.835336126634122</c:v>
                </c:pt>
                <c:pt idx="1513">
                  <c:v>25.841776325358161</c:v>
                </c:pt>
                <c:pt idx="1514">
                  <c:v>25.848216524082201</c:v>
                </c:pt>
                <c:pt idx="1515">
                  <c:v>25.887684673750719</c:v>
                </c:pt>
                <c:pt idx="1516">
                  <c:v>25.894151136023432</c:v>
                </c:pt>
                <c:pt idx="1517">
                  <c:v>25.90061759829614</c:v>
                </c:pt>
                <c:pt idx="1518">
                  <c:v>26.077574984445235</c:v>
                </c:pt>
                <c:pt idx="1519">
                  <c:v>26.084177019665979</c:v>
                </c:pt>
                <c:pt idx="1520">
                  <c:v>26.090779054886717</c:v>
                </c:pt>
                <c:pt idx="1521">
                  <c:v>26.263808234745976</c:v>
                </c:pt>
                <c:pt idx="1522">
                  <c:v>26.270542611431697</c:v>
                </c:pt>
                <c:pt idx="1523">
                  <c:v>26.439765775979719</c:v>
                </c:pt>
                <c:pt idx="1524">
                  <c:v>26.446629362382247</c:v>
                </c:pt>
                <c:pt idx="1525">
                  <c:v>26.453492948784774</c:v>
                </c:pt>
                <c:pt idx="1526">
                  <c:v>26.619027107789286</c:v>
                </c:pt>
                <c:pt idx="1527">
                  <c:v>26.626016867695977</c:v>
                </c:pt>
                <c:pt idx="1528">
                  <c:v>26.633006627602668</c:v>
                </c:pt>
                <c:pt idx="1529">
                  <c:v>26.794963880470398</c:v>
                </c:pt>
                <c:pt idx="1530">
                  <c:v>26.802076869223484</c:v>
                </c:pt>
                <c:pt idx="1531">
                  <c:v>26.809189857976566</c:v>
                </c:pt>
                <c:pt idx="1532">
                  <c:v>26.967677647808557</c:v>
                </c:pt>
                <c:pt idx="1533">
                  <c:v>26.974911008529684</c:v>
                </c:pt>
                <c:pt idx="1534">
                  <c:v>26.982144369250808</c:v>
                </c:pt>
                <c:pt idx="1535">
                  <c:v>27.137265721304697</c:v>
                </c:pt>
                <c:pt idx="1536">
                  <c:v>27.14461668131209</c:v>
                </c:pt>
                <c:pt idx="1537">
                  <c:v>27.296470426975993</c:v>
                </c:pt>
                <c:pt idx="1538">
                  <c:v>27.303936294382591</c:v>
                </c:pt>
                <c:pt idx="1539">
                  <c:v>27.311402161789189</c:v>
                </c:pt>
                <c:pt idx="1540">
                  <c:v>27.587575123149865</c:v>
                </c:pt>
                <c:pt idx="1541">
                  <c:v>27.595254664176476</c:v>
                </c:pt>
                <c:pt idx="1542">
                  <c:v>27.602934205203095</c:v>
                </c:pt>
                <c:pt idx="1543">
                  <c:v>27.747372580515435</c:v>
                </c:pt>
                <c:pt idx="1544">
                  <c:v>27.755160871016287</c:v>
                </c:pt>
                <c:pt idx="1545">
                  <c:v>27.762949161517138</c:v>
                </c:pt>
                <c:pt idx="1546">
                  <c:v>27.904417051727123</c:v>
                </c:pt>
                <c:pt idx="1547">
                  <c:v>27.912311643120784</c:v>
                </c:pt>
                <c:pt idx="1548">
                  <c:v>28.050892386806311</c:v>
                </c:pt>
                <c:pt idx="1549">
                  <c:v>28.058890898728592</c:v>
                </c:pt>
                <c:pt idx="1550">
                  <c:v>28.066889410650866</c:v>
                </c:pt>
                <c:pt idx="1551">
                  <c:v>28.202663115100936</c:v>
                </c:pt>
                <c:pt idx="1552">
                  <c:v>28.210763232781119</c:v>
                </c:pt>
                <c:pt idx="1553">
                  <c:v>28.218863350461302</c:v>
                </c:pt>
                <c:pt idx="1554">
                  <c:v>28.351907046171618</c:v>
                </c:pt>
                <c:pt idx="1555">
                  <c:v>28.360106517933684</c:v>
                </c:pt>
                <c:pt idx="1556">
                  <c:v>28.37021885710087</c:v>
                </c:pt>
                <c:pt idx="1557">
                  <c:v>28.378419849958998</c:v>
                </c:pt>
                <c:pt idx="1558">
                  <c:v>28.386620842817127</c:v>
                </c:pt>
                <c:pt idx="1559">
                  <c:v>28.396301075747221</c:v>
                </c:pt>
                <c:pt idx="1560">
                  <c:v>28.404503244884616</c:v>
                </c:pt>
                <c:pt idx="1561">
                  <c:v>28.412705414022</c:v>
                </c:pt>
                <c:pt idx="1562">
                  <c:v>28.421961522339686</c:v>
                </c:pt>
                <c:pt idx="1563">
                  <c:v>28.430164529560646</c:v>
                </c:pt>
                <c:pt idx="1564">
                  <c:v>28.439004195954222</c:v>
                </c:pt>
                <c:pt idx="1565">
                  <c:v>28.447207709441194</c:v>
                </c:pt>
                <c:pt idx="1566">
                  <c:v>28.455411222928166</c:v>
                </c:pt>
                <c:pt idx="1567">
                  <c:v>28.347940050189465</c:v>
                </c:pt>
                <c:pt idx="1568">
                  <c:v>28.356051580139322</c:v>
                </c:pt>
                <c:pt idx="1569">
                  <c:v>28.36416311008918</c:v>
                </c:pt>
                <c:pt idx="1570">
                  <c:v>28.258286174329911</c:v>
                </c:pt>
                <c:pt idx="1571">
                  <c:v>28.266307061611016</c:v>
                </c:pt>
                <c:pt idx="1572">
                  <c:v>28.274327948892125</c:v>
                </c:pt>
                <c:pt idx="1573">
                  <c:v>28.169997838410403</c:v>
                </c:pt>
                <c:pt idx="1574">
                  <c:v>28.177929385123491</c:v>
                </c:pt>
                <c:pt idx="1575">
                  <c:v>28.185860931836579</c:v>
                </c:pt>
                <c:pt idx="1576">
                  <c:v>28.083031921917573</c:v>
                </c:pt>
                <c:pt idx="1577">
                  <c:v>28.090875392768048</c:v>
                </c:pt>
                <c:pt idx="1578">
                  <c:v>28.098718863618522</c:v>
                </c:pt>
                <c:pt idx="1579">
                  <c:v>27.99734684221578</c:v>
                </c:pt>
                <c:pt idx="1580">
                  <c:v>28.00510346582583</c:v>
                </c:pt>
                <c:pt idx="1581">
                  <c:v>28.012860089435883</c:v>
                </c:pt>
                <c:pt idx="1582">
                  <c:v>27.912902486741551</c:v>
                </c:pt>
                <c:pt idx="1583">
                  <c:v>27.920573456905228</c:v>
                </c:pt>
                <c:pt idx="1584">
                  <c:v>27.928244427068911</c:v>
                </c:pt>
                <c:pt idx="1585">
                  <c:v>27.939567022933122</c:v>
                </c:pt>
                <c:pt idx="1586">
                  <c:v>27.947240896838832</c:v>
                </c:pt>
                <c:pt idx="1587">
                  <c:v>27.954914770744544</c:v>
                </c:pt>
                <c:pt idx="1588">
                  <c:v>27.965779655783013</c:v>
                </c:pt>
                <c:pt idx="1589">
                  <c:v>27.973456067153919</c:v>
                </c:pt>
                <c:pt idx="1590">
                  <c:v>27.981132478524831</c:v>
                </c:pt>
                <c:pt idx="1591">
                  <c:v>27.991547593387693</c:v>
                </c:pt>
                <c:pt idx="1592">
                  <c:v>27.999226182552579</c:v>
                </c:pt>
                <c:pt idx="1593">
                  <c:v>28.006904771717462</c:v>
                </c:pt>
                <c:pt idx="1594">
                  <c:v>28.014583360882348</c:v>
                </c:pt>
                <c:pt idx="1595">
                  <c:v>28.02455637360093</c:v>
                </c:pt>
                <c:pt idx="1596">
                  <c:v>28.032236787272115</c:v>
                </c:pt>
                <c:pt idx="1597">
                  <c:v>28.039917200943304</c:v>
                </c:pt>
                <c:pt idx="1598">
                  <c:v>28.049455518342402</c:v>
                </c:pt>
                <c:pt idx="1599">
                  <c:v>28.057137409402998</c:v>
                </c:pt>
                <c:pt idx="1600">
                  <c:v>28.064819300463594</c:v>
                </c:pt>
                <c:pt idx="1601">
                  <c:v>28.179295346829878</c:v>
                </c:pt>
                <c:pt idx="1602">
                  <c:v>28.18706215970413</c:v>
                </c:pt>
                <c:pt idx="1603">
                  <c:v>28.194828972578385</c:v>
                </c:pt>
                <c:pt idx="1604">
                  <c:v>28.202739264513159</c:v>
                </c:pt>
                <c:pt idx="1605">
                  <c:v>28.210506191480757</c:v>
                </c:pt>
                <c:pt idx="1606">
                  <c:v>28.218273118448348</c:v>
                </c:pt>
                <c:pt idx="1607">
                  <c:v>28.225782830419018</c:v>
                </c:pt>
                <c:pt idx="1608">
                  <c:v>28.233549552851414</c:v>
                </c:pt>
                <c:pt idx="1609">
                  <c:v>28.241316275283804</c:v>
                </c:pt>
                <c:pt idx="1610">
                  <c:v>28.249082997716197</c:v>
                </c:pt>
                <c:pt idx="1611">
                  <c:v>28.256198266383358</c:v>
                </c:pt>
                <c:pt idx="1612">
                  <c:v>28.263964470785197</c:v>
                </c:pt>
                <c:pt idx="1613">
                  <c:v>28.271730675187037</c:v>
                </c:pt>
                <c:pt idx="1614">
                  <c:v>28.278457435775223</c:v>
                </c:pt>
                <c:pt idx="1615">
                  <c:v>28.286222813620089</c:v>
                </c:pt>
                <c:pt idx="1616">
                  <c:v>28.293988191464958</c:v>
                </c:pt>
                <c:pt idx="1617">
                  <c:v>28.300332185795575</c:v>
                </c:pt>
                <c:pt idx="1618">
                  <c:v>28.308096433368231</c:v>
                </c:pt>
                <c:pt idx="1619">
                  <c:v>28.31586068094089</c:v>
                </c:pt>
                <c:pt idx="1620">
                  <c:v>28.323624928513546</c:v>
                </c:pt>
                <c:pt idx="1621">
                  <c:v>28.329591712657038</c:v>
                </c:pt>
                <c:pt idx="1622">
                  <c:v>28.337354530901901</c:v>
                </c:pt>
                <c:pt idx="1623">
                  <c:v>28.345117349146765</c:v>
                </c:pt>
                <c:pt idx="1624">
                  <c:v>28.300910748345135</c:v>
                </c:pt>
                <c:pt idx="1625">
                  <c:v>28.308632240945283</c:v>
                </c:pt>
                <c:pt idx="1626">
                  <c:v>28.316353733545427</c:v>
                </c:pt>
                <c:pt idx="1627">
                  <c:v>28.324075226145574</c:v>
                </c:pt>
                <c:pt idx="1628">
                  <c:v>28.280234514189402</c:v>
                </c:pt>
                <c:pt idx="1629">
                  <c:v>28.287915004958364</c:v>
                </c:pt>
                <c:pt idx="1630">
                  <c:v>28.29559549572733</c:v>
                </c:pt>
                <c:pt idx="1631">
                  <c:v>28.203073135098418</c:v>
                </c:pt>
                <c:pt idx="1632">
                  <c:v>28.210673945403133</c:v>
                </c:pt>
                <c:pt idx="1633">
                  <c:v>28.218274755707846</c:v>
                </c:pt>
                <c:pt idx="1634">
                  <c:v>28.225875566012554</c:v>
                </c:pt>
                <c:pt idx="1635">
                  <c:v>28.134404778975092</c:v>
                </c:pt>
                <c:pt idx="1636">
                  <c:v>28.141926808379257</c:v>
                </c:pt>
                <c:pt idx="1637">
                  <c:v>28.149448837783424</c:v>
                </c:pt>
                <c:pt idx="1638">
                  <c:v>28.059001770958041</c:v>
                </c:pt>
                <c:pt idx="1639">
                  <c:v>28.066445896161266</c:v>
                </c:pt>
                <c:pt idx="1640">
                  <c:v>28.073890021364495</c:v>
                </c:pt>
                <c:pt idx="1641">
                  <c:v>28.08133414656772</c:v>
                </c:pt>
                <c:pt idx="1642">
                  <c:v>27.991883788461109</c:v>
                </c:pt>
                <c:pt idx="1643">
                  <c:v>27.999250863986553</c:v>
                </c:pt>
                <c:pt idx="1644">
                  <c:v>28.00661793951199</c:v>
                </c:pt>
                <c:pt idx="1645">
                  <c:v>28.013985015037431</c:v>
                </c:pt>
                <c:pt idx="1646">
                  <c:v>27.925505164463214</c:v>
                </c:pt>
                <c:pt idx="1647">
                  <c:v>27.932796023319543</c:v>
                </c:pt>
                <c:pt idx="1648">
                  <c:v>27.940086882175876</c:v>
                </c:pt>
                <c:pt idx="1649">
                  <c:v>27.947377741032206</c:v>
                </c:pt>
                <c:pt idx="1650">
                  <c:v>27.859842976940165</c:v>
                </c:pt>
                <c:pt idx="1651">
                  <c:v>27.867058431259057</c:v>
                </c:pt>
                <c:pt idx="1652">
                  <c:v>27.874273885577949</c:v>
                </c:pt>
                <c:pt idx="1653">
                  <c:v>27.787659538219071</c:v>
                </c:pt>
                <c:pt idx="1654">
                  <c:v>27.794800379869223</c:v>
                </c:pt>
                <c:pt idx="1655">
                  <c:v>27.801941221519375</c:v>
                </c:pt>
                <c:pt idx="1656">
                  <c:v>27.809082063169527</c:v>
                </c:pt>
                <c:pt idx="1657">
                  <c:v>27.723364186528347</c:v>
                </c:pt>
                <c:pt idx="1658">
                  <c:v>27.730431187707094</c:v>
                </c:pt>
                <c:pt idx="1659">
                  <c:v>27.737498188885841</c:v>
                </c:pt>
                <c:pt idx="1660">
                  <c:v>27.744565190064584</c:v>
                </c:pt>
                <c:pt idx="1661">
                  <c:v>27.705913279721468</c:v>
                </c:pt>
                <c:pt idx="1662">
                  <c:v>27.712943925606481</c:v>
                </c:pt>
                <c:pt idx="1663">
                  <c:v>27.719974571491498</c:v>
                </c:pt>
                <c:pt idx="1664">
                  <c:v>27.727005217376519</c:v>
                </c:pt>
                <c:pt idx="1665">
                  <c:v>27.734035863261536</c:v>
                </c:pt>
                <c:pt idx="1666">
                  <c:v>27.695606686768496</c:v>
                </c:pt>
                <c:pt idx="1667">
                  <c:v>27.702601183385291</c:v>
                </c:pt>
                <c:pt idx="1668">
                  <c:v>27.709595680002082</c:v>
                </c:pt>
                <c:pt idx="1669">
                  <c:v>27.71659017661888</c:v>
                </c:pt>
                <c:pt idx="1670">
                  <c:v>27.723908367212768</c:v>
                </c:pt>
                <c:pt idx="1671">
                  <c:v>27.730903121228291</c:v>
                </c:pt>
                <c:pt idx="1672">
                  <c:v>27.737897875243814</c:v>
                </c:pt>
                <c:pt idx="1673">
                  <c:v>27.744892629259336</c:v>
                </c:pt>
                <c:pt idx="1674">
                  <c:v>27.517213566093126</c:v>
                </c:pt>
                <c:pt idx="1675">
                  <c:v>27.524021709463941</c:v>
                </c:pt>
                <c:pt idx="1676">
                  <c:v>27.523079830616094</c:v>
                </c:pt>
                <c:pt idx="1677">
                  <c:v>27.52988181123445</c:v>
                </c:pt>
                <c:pt idx="1678">
                  <c:v>27.536683791852813</c:v>
                </c:pt>
                <c:pt idx="1679">
                  <c:v>27.543485772471172</c:v>
                </c:pt>
                <c:pt idx="1680">
                  <c:v>27.550287753089531</c:v>
                </c:pt>
                <c:pt idx="1681">
                  <c:v>27.548943180442283</c:v>
                </c:pt>
                <c:pt idx="1682">
                  <c:v>27.555738682990039</c:v>
                </c:pt>
                <c:pt idx="1683">
                  <c:v>27.562534185537793</c:v>
                </c:pt>
                <c:pt idx="1684">
                  <c:v>27.569329688085549</c:v>
                </c:pt>
                <c:pt idx="1685">
                  <c:v>27.576125190633302</c:v>
                </c:pt>
                <c:pt idx="1686">
                  <c:v>27.528674063618489</c:v>
                </c:pt>
                <c:pt idx="1687">
                  <c:v>27.535426429702888</c:v>
                </c:pt>
                <c:pt idx="1688">
                  <c:v>27.542178795787283</c:v>
                </c:pt>
                <c:pt idx="1689">
                  <c:v>27.548931161871682</c:v>
                </c:pt>
                <c:pt idx="1690">
                  <c:v>27.555683527956077</c:v>
                </c:pt>
                <c:pt idx="1691">
                  <c:v>27.508511655044082</c:v>
                </c:pt>
                <c:pt idx="1692">
                  <c:v>27.515221141027382</c:v>
                </c:pt>
                <c:pt idx="1693">
                  <c:v>27.52193062701069</c:v>
                </c:pt>
                <c:pt idx="1694">
                  <c:v>27.528640112993994</c:v>
                </c:pt>
                <c:pt idx="1695">
                  <c:v>27.535349598977295</c:v>
                </c:pt>
                <c:pt idx="1696">
                  <c:v>27.443440232246996</c:v>
                </c:pt>
                <c:pt idx="1697">
                  <c:v>27.450071297348476</c:v>
                </c:pt>
                <c:pt idx="1698">
                  <c:v>27.456702362449956</c:v>
                </c:pt>
                <c:pt idx="1699">
                  <c:v>27.463333427551429</c:v>
                </c:pt>
                <c:pt idx="1700">
                  <c:v>27.46996449265291</c:v>
                </c:pt>
                <c:pt idx="1701">
                  <c:v>27.378963632068643</c:v>
                </c:pt>
                <c:pt idx="1702">
                  <c:v>27.385517061084357</c:v>
                </c:pt>
                <c:pt idx="1703">
                  <c:v>27.392070490100075</c:v>
                </c:pt>
                <c:pt idx="1704">
                  <c:v>27.398623919115792</c:v>
                </c:pt>
                <c:pt idx="1705">
                  <c:v>27.405177348131513</c:v>
                </c:pt>
                <c:pt idx="1706">
                  <c:v>27.315059388523984</c:v>
                </c:pt>
                <c:pt idx="1707">
                  <c:v>27.32153594526493</c:v>
                </c:pt>
                <c:pt idx="1708">
                  <c:v>27.328012502005883</c:v>
                </c:pt>
                <c:pt idx="1709">
                  <c:v>27.334489058746826</c:v>
                </c:pt>
                <c:pt idx="1710">
                  <c:v>27.340965615487775</c:v>
                </c:pt>
                <c:pt idx="1711">
                  <c:v>27.251705724385776</c:v>
                </c:pt>
                <c:pt idx="1712">
                  <c:v>27.258106152308994</c:v>
                </c:pt>
                <c:pt idx="1713">
                  <c:v>27.264506580232212</c:v>
                </c:pt>
                <c:pt idx="1714">
                  <c:v>27.270907008155433</c:v>
                </c:pt>
                <c:pt idx="1715">
                  <c:v>27.277307436078651</c:v>
                </c:pt>
                <c:pt idx="1716">
                  <c:v>27.283707864001872</c:v>
                </c:pt>
                <c:pt idx="1717">
                  <c:v>27.195281952648379</c:v>
                </c:pt>
                <c:pt idx="1718">
                  <c:v>27.201606975464543</c:v>
                </c:pt>
                <c:pt idx="1719">
                  <c:v>27.207931998280703</c:v>
                </c:pt>
                <c:pt idx="1720">
                  <c:v>27.214257021096866</c:v>
                </c:pt>
                <c:pt idx="1721">
                  <c:v>27.220582043913033</c:v>
                </c:pt>
                <c:pt idx="1722">
                  <c:v>27.132966739573948</c:v>
                </c:pt>
                <c:pt idx="1723">
                  <c:v>27.139217061832444</c:v>
                </c:pt>
                <c:pt idx="1724">
                  <c:v>27.145467384090939</c:v>
                </c:pt>
                <c:pt idx="1725">
                  <c:v>27.151717706349427</c:v>
                </c:pt>
                <c:pt idx="1726">
                  <c:v>27.157968028607918</c:v>
                </c:pt>
                <c:pt idx="1727">
                  <c:v>27.16421835086641</c:v>
                </c:pt>
                <c:pt idx="1728">
                  <c:v>27.077390970365325</c:v>
                </c:pt>
                <c:pt idx="1729">
                  <c:v>27.08356727801781</c:v>
                </c:pt>
                <c:pt idx="1730">
                  <c:v>27.089743585670291</c:v>
                </c:pt>
                <c:pt idx="1731">
                  <c:v>27.095919893322769</c:v>
                </c:pt>
                <c:pt idx="1732">
                  <c:v>27.10209620097525</c:v>
                </c:pt>
                <c:pt idx="1733">
                  <c:v>27.108272508627731</c:v>
                </c:pt>
                <c:pt idx="1734">
                  <c:v>27.022211033043813</c:v>
                </c:pt>
                <c:pt idx="1735">
                  <c:v>27.028313993987219</c:v>
                </c:pt>
                <c:pt idx="1736">
                  <c:v>27.034416954930627</c:v>
                </c:pt>
                <c:pt idx="1737">
                  <c:v>27.040519915874032</c:v>
                </c:pt>
                <c:pt idx="1738">
                  <c:v>27.046622876817437</c:v>
                </c:pt>
                <c:pt idx="1739">
                  <c:v>27.052725837760846</c:v>
                </c:pt>
                <c:pt idx="1740">
                  <c:v>27.009805414975691</c:v>
                </c:pt>
                <c:pt idx="1741">
                  <c:v>27.015869392936875</c:v>
                </c:pt>
                <c:pt idx="1742">
                  <c:v>27.021933370898061</c:v>
                </c:pt>
                <c:pt idx="1743">
                  <c:v>27.027997348859241</c:v>
                </c:pt>
                <c:pt idx="1744">
                  <c:v>27.034061326820428</c:v>
                </c:pt>
                <c:pt idx="1745">
                  <c:v>27.040125304781615</c:v>
                </c:pt>
                <c:pt idx="1746">
                  <c:v>26.997352337488504</c:v>
                </c:pt>
                <c:pt idx="1747">
                  <c:v>27.003377480721777</c:v>
                </c:pt>
                <c:pt idx="1748">
                  <c:v>27.00940262395504</c:v>
                </c:pt>
                <c:pt idx="1749">
                  <c:v>27.015427767188307</c:v>
                </c:pt>
                <c:pt idx="1750">
                  <c:v>27.02145291042158</c:v>
                </c:pt>
                <c:pt idx="1751">
                  <c:v>27.027478053654846</c:v>
                </c:pt>
                <c:pt idx="1752">
                  <c:v>27.026635823544026</c:v>
                </c:pt>
                <c:pt idx="1753">
                  <c:v>27.0326555058998</c:v>
                </c:pt>
                <c:pt idx="1754">
                  <c:v>27.038675188255567</c:v>
                </c:pt>
                <c:pt idx="1755">
                  <c:v>27.044694870611341</c:v>
                </c:pt>
                <c:pt idx="1756">
                  <c:v>27.050714552967115</c:v>
                </c:pt>
                <c:pt idx="1757">
                  <c:v>27.056734235322885</c:v>
                </c:pt>
                <c:pt idx="1758">
                  <c:v>27.013970493608824</c:v>
                </c:pt>
                <c:pt idx="1759">
                  <c:v>27.019951383796272</c:v>
                </c:pt>
                <c:pt idx="1760">
                  <c:v>27.025932273983724</c:v>
                </c:pt>
                <c:pt idx="1761">
                  <c:v>27.031913164171176</c:v>
                </c:pt>
                <c:pt idx="1762">
                  <c:v>27.037894054358624</c:v>
                </c:pt>
                <c:pt idx="1763">
                  <c:v>27.043874944546076</c:v>
                </c:pt>
                <c:pt idx="1764">
                  <c:v>27.001240487745186</c:v>
                </c:pt>
                <c:pt idx="1765">
                  <c:v>27.007182719417798</c:v>
                </c:pt>
                <c:pt idx="1766">
                  <c:v>-3.1846494799021352</c:v>
                </c:pt>
                <c:pt idx="1767">
                  <c:v>-3.2027202643510617</c:v>
                </c:pt>
                <c:pt idx="1768">
                  <c:v>-3.2207910487999851</c:v>
                </c:pt>
                <c:pt idx="1769">
                  <c:v>-3.2388618332489085</c:v>
                </c:pt>
                <c:pt idx="1770">
                  <c:v>-3.256932617697835</c:v>
                </c:pt>
                <c:pt idx="1771">
                  <c:v>-3.2750034021467584</c:v>
                </c:pt>
                <c:pt idx="1772">
                  <c:v>-3.293074186595685</c:v>
                </c:pt>
                <c:pt idx="1773">
                  <c:v>-3.3111449710446084</c:v>
                </c:pt>
                <c:pt idx="1774">
                  <c:v>-3.3292157554935318</c:v>
                </c:pt>
                <c:pt idx="1775">
                  <c:v>-3.3472865399424583</c:v>
                </c:pt>
                <c:pt idx="1776">
                  <c:v>-3.3653573243913817</c:v>
                </c:pt>
                <c:pt idx="1777">
                  <c:v>-3.3834281088403082</c:v>
                </c:pt>
                <c:pt idx="1778">
                  <c:v>-3.4014988932892316</c:v>
                </c:pt>
                <c:pt idx="1779">
                  <c:v>-3.419569677738155</c:v>
                </c:pt>
                <c:pt idx="1780">
                  <c:v>-3.4376404621870815</c:v>
                </c:pt>
                <c:pt idx="1781">
                  <c:v>-3.455711246636008</c:v>
                </c:pt>
                <c:pt idx="1782">
                  <c:v>27.205374686443935</c:v>
                </c:pt>
                <c:pt idx="1783">
                  <c:v>27.205374686443935</c:v>
                </c:pt>
                <c:pt idx="1784">
                  <c:v>27.205374686443935</c:v>
                </c:pt>
                <c:pt idx="1785">
                  <c:v>27.205374686443935</c:v>
                </c:pt>
                <c:pt idx="1786">
                  <c:v>27.205374686443935</c:v>
                </c:pt>
                <c:pt idx="1787">
                  <c:v>27.205374686443935</c:v>
                </c:pt>
                <c:pt idx="1788">
                  <c:v>27.205374686443935</c:v>
                </c:pt>
                <c:pt idx="1789">
                  <c:v>27.205374686443935</c:v>
                </c:pt>
                <c:pt idx="1790">
                  <c:v>27.205374686443935</c:v>
                </c:pt>
                <c:pt idx="1791">
                  <c:v>27.205374686443935</c:v>
                </c:pt>
                <c:pt idx="1792">
                  <c:v>27.205374686443935</c:v>
                </c:pt>
                <c:pt idx="1793">
                  <c:v>27.205374686443935</c:v>
                </c:pt>
                <c:pt idx="1794">
                  <c:v>27.205374686443935</c:v>
                </c:pt>
                <c:pt idx="1795">
                  <c:v>27.205374686443935</c:v>
                </c:pt>
                <c:pt idx="1796">
                  <c:v>27.205374686443935</c:v>
                </c:pt>
                <c:pt idx="1797">
                  <c:v>27.205374686443935</c:v>
                </c:pt>
                <c:pt idx="1798">
                  <c:v>27.205374686443935</c:v>
                </c:pt>
                <c:pt idx="1799">
                  <c:v>27.205374686443935</c:v>
                </c:pt>
                <c:pt idx="1800">
                  <c:v>27.205374686443935</c:v>
                </c:pt>
                <c:pt idx="1801">
                  <c:v>27.205374686443935</c:v>
                </c:pt>
                <c:pt idx="1802">
                  <c:v>27.205374686443935</c:v>
                </c:pt>
                <c:pt idx="1803">
                  <c:v>27.205374686443935</c:v>
                </c:pt>
                <c:pt idx="1804">
                  <c:v>27.205374686443935</c:v>
                </c:pt>
                <c:pt idx="1805">
                  <c:v>27.205374686443935</c:v>
                </c:pt>
                <c:pt idx="1806">
                  <c:v>27.205374686443935</c:v>
                </c:pt>
                <c:pt idx="1807">
                  <c:v>27.205374686443935</c:v>
                </c:pt>
                <c:pt idx="1808">
                  <c:v>27.205374686443935</c:v>
                </c:pt>
                <c:pt idx="1809">
                  <c:v>27.205374686443935</c:v>
                </c:pt>
                <c:pt idx="1810">
                  <c:v>27.205374686443935</c:v>
                </c:pt>
                <c:pt idx="1811">
                  <c:v>27.205374686443935</c:v>
                </c:pt>
                <c:pt idx="1812">
                  <c:v>27.205374686443935</c:v>
                </c:pt>
                <c:pt idx="1813">
                  <c:v>27.205374686443935</c:v>
                </c:pt>
                <c:pt idx="1814">
                  <c:v>27.205374686443935</c:v>
                </c:pt>
                <c:pt idx="1815">
                  <c:v>27.205374686443935</c:v>
                </c:pt>
                <c:pt idx="1816">
                  <c:v>27.205374686443935</c:v>
                </c:pt>
                <c:pt idx="1817">
                  <c:v>27.205374686443935</c:v>
                </c:pt>
                <c:pt idx="1818">
                  <c:v>27.205374686443935</c:v>
                </c:pt>
                <c:pt idx="1819">
                  <c:v>27.205374686443935</c:v>
                </c:pt>
                <c:pt idx="1820">
                  <c:v>27.205374686443935</c:v>
                </c:pt>
                <c:pt idx="1821">
                  <c:v>27.205374686443935</c:v>
                </c:pt>
                <c:pt idx="1822">
                  <c:v>27.205374686443935</c:v>
                </c:pt>
                <c:pt idx="1823">
                  <c:v>27.205374686443935</c:v>
                </c:pt>
                <c:pt idx="1824">
                  <c:v>27.205374686443935</c:v>
                </c:pt>
                <c:pt idx="1825">
                  <c:v>27.205374686443935</c:v>
                </c:pt>
                <c:pt idx="1826">
                  <c:v>27.205374686443935</c:v>
                </c:pt>
                <c:pt idx="1827">
                  <c:v>27.205374686443935</c:v>
                </c:pt>
                <c:pt idx="1828">
                  <c:v>27.205374686443935</c:v>
                </c:pt>
                <c:pt idx="1829">
                  <c:v>27.205374686443935</c:v>
                </c:pt>
                <c:pt idx="1830">
                  <c:v>27.205374686443935</c:v>
                </c:pt>
                <c:pt idx="1831">
                  <c:v>27.205374686443935</c:v>
                </c:pt>
                <c:pt idx="1832">
                  <c:v>27.205374686443935</c:v>
                </c:pt>
                <c:pt idx="1833">
                  <c:v>27.205374686443935</c:v>
                </c:pt>
                <c:pt idx="1834">
                  <c:v>27.205374686443935</c:v>
                </c:pt>
                <c:pt idx="1835">
                  <c:v>27.205374686443935</c:v>
                </c:pt>
                <c:pt idx="1836">
                  <c:v>27.205374686443935</c:v>
                </c:pt>
                <c:pt idx="1837">
                  <c:v>27.205374686443935</c:v>
                </c:pt>
                <c:pt idx="1838">
                  <c:v>27.205374686443935</c:v>
                </c:pt>
                <c:pt idx="1839">
                  <c:v>27.205374686443935</c:v>
                </c:pt>
                <c:pt idx="1840">
                  <c:v>27.205374686443935</c:v>
                </c:pt>
                <c:pt idx="1841">
                  <c:v>27.205374686443935</c:v>
                </c:pt>
                <c:pt idx="1842">
                  <c:v>27.205374686443935</c:v>
                </c:pt>
                <c:pt idx="1843">
                  <c:v>27.205374686443935</c:v>
                </c:pt>
                <c:pt idx="1844">
                  <c:v>27.205374686443935</c:v>
                </c:pt>
                <c:pt idx="1845">
                  <c:v>27.205374686443935</c:v>
                </c:pt>
                <c:pt idx="1846">
                  <c:v>27.205374686443935</c:v>
                </c:pt>
                <c:pt idx="1847">
                  <c:v>27.205374686443935</c:v>
                </c:pt>
                <c:pt idx="1848">
                  <c:v>27.205374686443935</c:v>
                </c:pt>
                <c:pt idx="1849">
                  <c:v>27.205374686443935</c:v>
                </c:pt>
                <c:pt idx="1850">
                  <c:v>27.205374686443935</c:v>
                </c:pt>
                <c:pt idx="1851">
                  <c:v>27.205374686443935</c:v>
                </c:pt>
                <c:pt idx="1852">
                  <c:v>27.205374686443935</c:v>
                </c:pt>
                <c:pt idx="1853">
                  <c:v>27.205374686443935</c:v>
                </c:pt>
                <c:pt idx="1854">
                  <c:v>27.205374686443935</c:v>
                </c:pt>
                <c:pt idx="1855">
                  <c:v>27.205374686443935</c:v>
                </c:pt>
                <c:pt idx="1856">
                  <c:v>27.205374686443935</c:v>
                </c:pt>
                <c:pt idx="1857">
                  <c:v>27.205374686443935</c:v>
                </c:pt>
                <c:pt idx="1858">
                  <c:v>27.205374686443935</c:v>
                </c:pt>
                <c:pt idx="1859">
                  <c:v>27.205374686443935</c:v>
                </c:pt>
                <c:pt idx="1860">
                  <c:v>27.205374686443935</c:v>
                </c:pt>
                <c:pt idx="1861">
                  <c:v>27.205374686443935</c:v>
                </c:pt>
                <c:pt idx="1862">
                  <c:v>27.205374686443935</c:v>
                </c:pt>
                <c:pt idx="1863">
                  <c:v>27.205374686443935</c:v>
                </c:pt>
                <c:pt idx="1864">
                  <c:v>27.205374686443935</c:v>
                </c:pt>
                <c:pt idx="1865">
                  <c:v>27.205374686443935</c:v>
                </c:pt>
                <c:pt idx="1866">
                  <c:v>27.205374686443935</c:v>
                </c:pt>
                <c:pt idx="1867">
                  <c:v>27.205374686443935</c:v>
                </c:pt>
                <c:pt idx="1868">
                  <c:v>27.205374686443935</c:v>
                </c:pt>
                <c:pt idx="1869">
                  <c:v>27.205374686443935</c:v>
                </c:pt>
                <c:pt idx="1870">
                  <c:v>27.205374686443935</c:v>
                </c:pt>
                <c:pt idx="1871">
                  <c:v>27.205374686443935</c:v>
                </c:pt>
                <c:pt idx="1872">
                  <c:v>27.205374686443935</c:v>
                </c:pt>
                <c:pt idx="1873">
                  <c:v>27.205374686443935</c:v>
                </c:pt>
                <c:pt idx="1874">
                  <c:v>27.205374686443935</c:v>
                </c:pt>
                <c:pt idx="1875">
                  <c:v>27.205374686443935</c:v>
                </c:pt>
                <c:pt idx="1876">
                  <c:v>27.205374686443935</c:v>
                </c:pt>
                <c:pt idx="1877">
                  <c:v>27.205374686443935</c:v>
                </c:pt>
                <c:pt idx="1878">
                  <c:v>27.205374686443935</c:v>
                </c:pt>
                <c:pt idx="1879">
                  <c:v>27.205374686443935</c:v>
                </c:pt>
                <c:pt idx="1880">
                  <c:v>27.205374686443935</c:v>
                </c:pt>
                <c:pt idx="1881">
                  <c:v>27.205374686443935</c:v>
                </c:pt>
                <c:pt idx="1882">
                  <c:v>27.205374686443935</c:v>
                </c:pt>
                <c:pt idx="1883">
                  <c:v>27.211699709260099</c:v>
                </c:pt>
                <c:pt idx="1884">
                  <c:v>27.218024732076262</c:v>
                </c:pt>
                <c:pt idx="1885">
                  <c:v>27.224349754892426</c:v>
                </c:pt>
                <c:pt idx="1886">
                  <c:v>27.136734450553348</c:v>
                </c:pt>
                <c:pt idx="1887">
                  <c:v>27.14298477281184</c:v>
                </c:pt>
                <c:pt idx="1888">
                  <c:v>27.149235095070331</c:v>
                </c:pt>
                <c:pt idx="1889">
                  <c:v>27.155485417328823</c:v>
                </c:pt>
                <c:pt idx="1890">
                  <c:v>27.161735739587314</c:v>
                </c:pt>
                <c:pt idx="1891">
                  <c:v>27.07490835908623</c:v>
                </c:pt>
                <c:pt idx="1892">
                  <c:v>27.081084666738708</c:v>
                </c:pt>
                <c:pt idx="1893">
                  <c:v>27.087260974391189</c:v>
                </c:pt>
                <c:pt idx="1894">
                  <c:v>27.09343728204367</c:v>
                </c:pt>
                <c:pt idx="1895">
                  <c:v>27.099613589696151</c:v>
                </c:pt>
                <c:pt idx="1896">
                  <c:v>27.105789897348629</c:v>
                </c:pt>
                <c:pt idx="1897">
                  <c:v>27.019728421764711</c:v>
                </c:pt>
                <c:pt idx="1898">
                  <c:v>27.02583138270812</c:v>
                </c:pt>
                <c:pt idx="1899">
                  <c:v>27.031934343651525</c:v>
                </c:pt>
                <c:pt idx="1900">
                  <c:v>27.038037304594933</c:v>
                </c:pt>
                <c:pt idx="1901">
                  <c:v>27.044140265538338</c:v>
                </c:pt>
                <c:pt idx="1902">
                  <c:v>27.050243226481747</c:v>
                </c:pt>
                <c:pt idx="1903">
                  <c:v>27.007322803696589</c:v>
                </c:pt>
                <c:pt idx="1904">
                  <c:v>27.013386781657776</c:v>
                </c:pt>
                <c:pt idx="1905">
                  <c:v>27.019450759618962</c:v>
                </c:pt>
                <c:pt idx="1906">
                  <c:v>27.025514737580146</c:v>
                </c:pt>
                <c:pt idx="1907">
                  <c:v>27.031578715541325</c:v>
                </c:pt>
                <c:pt idx="1908">
                  <c:v>27.037642693502512</c:v>
                </c:pt>
                <c:pt idx="1909">
                  <c:v>26.994869726209409</c:v>
                </c:pt>
                <c:pt idx="1910">
                  <c:v>27.000894869442675</c:v>
                </c:pt>
                <c:pt idx="1911">
                  <c:v>27.006920012675945</c:v>
                </c:pt>
                <c:pt idx="1912">
                  <c:v>27.012945155909211</c:v>
                </c:pt>
                <c:pt idx="1913">
                  <c:v>27.018970299142477</c:v>
                </c:pt>
                <c:pt idx="1914">
                  <c:v>27.024995442375744</c:v>
                </c:pt>
                <c:pt idx="1915">
                  <c:v>27.024153212264931</c:v>
                </c:pt>
                <c:pt idx="1916">
                  <c:v>27.030172894620698</c:v>
                </c:pt>
                <c:pt idx="1917">
                  <c:v>27.036192576976468</c:v>
                </c:pt>
                <c:pt idx="1918">
                  <c:v>26.820585407151118</c:v>
                </c:pt>
                <c:pt idx="1919">
                  <c:v>26.826428853698964</c:v>
                </c:pt>
                <c:pt idx="1920">
                  <c:v>26.81720914842484</c:v>
                </c:pt>
                <c:pt idx="1921">
                  <c:v>26.823040616881112</c:v>
                </c:pt>
                <c:pt idx="1922">
                  <c:v>26.82887208533738</c:v>
                </c:pt>
                <c:pt idx="1923">
                  <c:v>26.834703553793648</c:v>
                </c:pt>
                <c:pt idx="1924">
                  <c:v>26.840535022249924</c:v>
                </c:pt>
                <c:pt idx="1925">
                  <c:v>26.846366490706192</c:v>
                </c:pt>
                <c:pt idx="1926">
                  <c:v>26.85219795916246</c:v>
                </c:pt>
                <c:pt idx="1927">
                  <c:v>26.842539527882522</c:v>
                </c:pt>
                <c:pt idx="1928">
                  <c:v>26.848358678900869</c:v>
                </c:pt>
                <c:pt idx="1929">
                  <c:v>26.854177829919205</c:v>
                </c:pt>
                <c:pt idx="1930">
                  <c:v>26.859996980937552</c:v>
                </c:pt>
                <c:pt idx="1931">
                  <c:v>26.865816131955892</c:v>
                </c:pt>
                <c:pt idx="1932">
                  <c:v>26.871635282974236</c:v>
                </c:pt>
                <c:pt idx="1933">
                  <c:v>26.877454433992579</c:v>
                </c:pt>
                <c:pt idx="1934">
                  <c:v>26.825483444115459</c:v>
                </c:pt>
                <c:pt idx="1935">
                  <c:v>26.831256640900047</c:v>
                </c:pt>
                <c:pt idx="1936">
                  <c:v>26.837029837684639</c:v>
                </c:pt>
                <c:pt idx="1937">
                  <c:v>26.842803034469231</c:v>
                </c:pt>
                <c:pt idx="1938">
                  <c:v>26.848576231253819</c:v>
                </c:pt>
                <c:pt idx="1939">
                  <c:v>26.854349428038407</c:v>
                </c:pt>
                <c:pt idx="1940">
                  <c:v>26.860122624822999</c:v>
                </c:pt>
                <c:pt idx="1941">
                  <c:v>26.865895821607594</c:v>
                </c:pt>
                <c:pt idx="1942">
                  <c:v>26.814110804071429</c:v>
                </c:pt>
                <c:pt idx="1943">
                  <c:v>26.81983823104833</c:v>
                </c:pt>
                <c:pt idx="1944">
                  <c:v>26.825565658025226</c:v>
                </c:pt>
                <c:pt idx="1945">
                  <c:v>26.831293085002127</c:v>
                </c:pt>
                <c:pt idx="1946">
                  <c:v>26.837020511979027</c:v>
                </c:pt>
                <c:pt idx="1947">
                  <c:v>26.842747938955924</c:v>
                </c:pt>
                <c:pt idx="1948">
                  <c:v>26.848475365932824</c:v>
                </c:pt>
                <c:pt idx="1949">
                  <c:v>26.755632019326534</c:v>
                </c:pt>
                <c:pt idx="1950">
                  <c:v>26.761281063653723</c:v>
                </c:pt>
                <c:pt idx="1951">
                  <c:v>26.766930107980912</c:v>
                </c:pt>
                <c:pt idx="1952">
                  <c:v>26.772579152308104</c:v>
                </c:pt>
                <c:pt idx="1953">
                  <c:v>26.7782281966353</c:v>
                </c:pt>
                <c:pt idx="1954">
                  <c:v>26.783877240962489</c:v>
                </c:pt>
                <c:pt idx="1955">
                  <c:v>26.789526285289682</c:v>
                </c:pt>
                <c:pt idx="1956">
                  <c:v>26.795175329616878</c:v>
                </c:pt>
                <c:pt idx="1957">
                  <c:v>26.703094373861731</c:v>
                </c:pt>
                <c:pt idx="1958">
                  <c:v>26.708665704115226</c:v>
                </c:pt>
                <c:pt idx="1959">
                  <c:v>26.714237034368725</c:v>
                </c:pt>
                <c:pt idx="1960">
                  <c:v>26.719808364622224</c:v>
                </c:pt>
                <c:pt idx="1961">
                  <c:v>26.72537969487572</c:v>
                </c:pt>
                <c:pt idx="1962">
                  <c:v>26.730951025129219</c:v>
                </c:pt>
                <c:pt idx="1963">
                  <c:v>26.736522355382718</c:v>
                </c:pt>
                <c:pt idx="1964">
                  <c:v>26.645180280623268</c:v>
                </c:pt>
                <c:pt idx="1965">
                  <c:v>26.650674546152601</c:v>
                </c:pt>
                <c:pt idx="1966">
                  <c:v>26.65616881168193</c:v>
                </c:pt>
                <c:pt idx="1967">
                  <c:v>26.661663077211266</c:v>
                </c:pt>
                <c:pt idx="1968">
                  <c:v>26.667157342740595</c:v>
                </c:pt>
                <c:pt idx="1969">
                  <c:v>26.672651608269927</c:v>
                </c:pt>
                <c:pt idx="1970">
                  <c:v>26.678145873799259</c:v>
                </c:pt>
                <c:pt idx="1971">
                  <c:v>26.683640139328588</c:v>
                </c:pt>
                <c:pt idx="1972">
                  <c:v>26.593014143653782</c:v>
                </c:pt>
                <c:pt idx="1973">
                  <c:v>26.598431975160231</c:v>
                </c:pt>
                <c:pt idx="1974">
                  <c:v>26.60384980666668</c:v>
                </c:pt>
                <c:pt idx="1975">
                  <c:v>26.609267638173126</c:v>
                </c:pt>
                <c:pt idx="1976">
                  <c:v>26.614685469679571</c:v>
                </c:pt>
                <c:pt idx="1977">
                  <c:v>26.62010330118602</c:v>
                </c:pt>
                <c:pt idx="1978">
                  <c:v>26.625521132692466</c:v>
                </c:pt>
                <c:pt idx="1979">
                  <c:v>26.630938964198915</c:v>
                </c:pt>
                <c:pt idx="1980">
                  <c:v>26.541006927087061</c:v>
                </c:pt>
                <c:pt idx="1981">
                  <c:v>26.546348937180326</c:v>
                </c:pt>
                <c:pt idx="1982">
                  <c:v>26.551690947273592</c:v>
                </c:pt>
                <c:pt idx="1983">
                  <c:v>26.557032957366857</c:v>
                </c:pt>
                <c:pt idx="1984">
                  <c:v>26.562374967460119</c:v>
                </c:pt>
                <c:pt idx="1985">
                  <c:v>26.567716977553388</c:v>
                </c:pt>
                <c:pt idx="1986">
                  <c:v>-2.8699016469476297</c:v>
                </c:pt>
                <c:pt idx="1987">
                  <c:v>-2.8879724313965531</c:v>
                </c:pt>
                <c:pt idx="1988">
                  <c:v>-2.9060432158454761</c:v>
                </c:pt>
                <c:pt idx="1989">
                  <c:v>-2.924114000294403</c:v>
                </c:pt>
                <c:pt idx="1990">
                  <c:v>-2.942184784743326</c:v>
                </c:pt>
                <c:pt idx="1991">
                  <c:v>-2.9602555691922525</c:v>
                </c:pt>
                <c:pt idx="1992">
                  <c:v>-2.9783263536411759</c:v>
                </c:pt>
                <c:pt idx="1993">
                  <c:v>-2.9963971380900993</c:v>
                </c:pt>
                <c:pt idx="1994">
                  <c:v>-3.0144679225390258</c:v>
                </c:pt>
                <c:pt idx="1995">
                  <c:v>-3.0325387069879524</c:v>
                </c:pt>
                <c:pt idx="1996">
                  <c:v>-3.0506094914368789</c:v>
                </c:pt>
                <c:pt idx="1997">
                  <c:v>-3.0686802758858023</c:v>
                </c:pt>
                <c:pt idx="1998">
                  <c:v>-6.6355713069576607</c:v>
                </c:pt>
                <c:pt idx="1999">
                  <c:v>-6.6564640834043489</c:v>
                </c:pt>
                <c:pt idx="2000">
                  <c:v>-6.6773568598510398</c:v>
                </c:pt>
                <c:pt idx="2001">
                  <c:v>-6.698249636297728</c:v>
                </c:pt>
                <c:pt idx="2002">
                  <c:v>-6.7191424127444188</c:v>
                </c:pt>
                <c:pt idx="2003">
                  <c:v>-6.7400351891911106</c:v>
                </c:pt>
                <c:pt idx="2004">
                  <c:v>-6.7609279656377979</c:v>
                </c:pt>
                <c:pt idx="2005">
                  <c:v>-6.7818207420844896</c:v>
                </c:pt>
                <c:pt idx="2006">
                  <c:v>-6.8027135185311769</c:v>
                </c:pt>
                <c:pt idx="2007">
                  <c:v>-6.8236062949778686</c:v>
                </c:pt>
                <c:pt idx="2008">
                  <c:v>-6.8444990714245595</c:v>
                </c:pt>
                <c:pt idx="2009">
                  <c:v>-6.8653918478712512</c:v>
                </c:pt>
                <c:pt idx="2010">
                  <c:v>-6.8862846243179385</c:v>
                </c:pt>
                <c:pt idx="2011">
                  <c:v>-6.9071774007646267</c:v>
                </c:pt>
                <c:pt idx="2012">
                  <c:v>-6.9280701772113211</c:v>
                </c:pt>
                <c:pt idx="2013">
                  <c:v>-6.9489629536580093</c:v>
                </c:pt>
                <c:pt idx="2014">
                  <c:v>-6.9698557301047002</c:v>
                </c:pt>
                <c:pt idx="2015">
                  <c:v>-6.9907485065513884</c:v>
                </c:pt>
                <c:pt idx="2016">
                  <c:v>-7.0116412829980792</c:v>
                </c:pt>
                <c:pt idx="2017">
                  <c:v>-7.0325340594447674</c:v>
                </c:pt>
                <c:pt idx="2018">
                  <c:v>-10.5962116739317</c:v>
                </c:pt>
                <c:pt idx="2019">
                  <c:v>-10.619921643070036</c:v>
                </c:pt>
                <c:pt idx="2020">
                  <c:v>-10.643631612208369</c:v>
                </c:pt>
                <c:pt idx="2021">
                  <c:v>-10.667341581346706</c:v>
                </c:pt>
                <c:pt idx="2022">
                  <c:v>-10.691051550485046</c:v>
                </c:pt>
                <c:pt idx="2023">
                  <c:v>-10.714761519623382</c:v>
                </c:pt>
                <c:pt idx="2024">
                  <c:v>-10.738471488761718</c:v>
                </c:pt>
                <c:pt idx="2025">
                  <c:v>-10.762181457900054</c:v>
                </c:pt>
                <c:pt idx="2026">
                  <c:v>-10.785891427038392</c:v>
                </c:pt>
                <c:pt idx="2027">
                  <c:v>-10.809601396176731</c:v>
                </c:pt>
                <c:pt idx="2028">
                  <c:v>-10.833311365315067</c:v>
                </c:pt>
                <c:pt idx="2029">
                  <c:v>-10.8570213344534</c:v>
                </c:pt>
                <c:pt idx="2030">
                  <c:v>-10.880731303591741</c:v>
                </c:pt>
                <c:pt idx="2031">
                  <c:v>-10.904441272730073</c:v>
                </c:pt>
                <c:pt idx="2032">
                  <c:v>-10.928151241868409</c:v>
                </c:pt>
                <c:pt idx="2033">
                  <c:v>-10.951861211006749</c:v>
                </c:pt>
                <c:pt idx="2034">
                  <c:v>-10.975571180145087</c:v>
                </c:pt>
                <c:pt idx="2035">
                  <c:v>-10.999281149283423</c:v>
                </c:pt>
                <c:pt idx="2036">
                  <c:v>-11.022991118421759</c:v>
                </c:pt>
                <c:pt idx="2037">
                  <c:v>-11.046701087560095</c:v>
                </c:pt>
                <c:pt idx="2038">
                  <c:v>-11.070411056698434</c:v>
                </c:pt>
                <c:pt idx="2039">
                  <c:v>-11.094121025836772</c:v>
                </c:pt>
                <c:pt idx="2040">
                  <c:v>-11.117830994975108</c:v>
                </c:pt>
                <c:pt idx="2041">
                  <c:v>-11.141540964113444</c:v>
                </c:pt>
                <c:pt idx="2042">
                  <c:v>-11.165250933251777</c:v>
                </c:pt>
                <c:pt idx="2043">
                  <c:v>-11.188960902390118</c:v>
                </c:pt>
                <c:pt idx="2044">
                  <c:v>-11.212670871528454</c:v>
                </c:pt>
                <c:pt idx="2045">
                  <c:v>-11.23638084066679</c:v>
                </c:pt>
                <c:pt idx="2046">
                  <c:v>-11.260090809805126</c:v>
                </c:pt>
                <c:pt idx="2047">
                  <c:v>-11.283800778943464</c:v>
                </c:pt>
                <c:pt idx="2048">
                  <c:v>-11.3075107480818</c:v>
                </c:pt>
                <c:pt idx="2049">
                  <c:v>-11.331220717220139</c:v>
                </c:pt>
                <c:pt idx="2050">
                  <c:v>-11.354930686358475</c:v>
                </c:pt>
                <c:pt idx="2051">
                  <c:v>-11.378640655496808</c:v>
                </c:pt>
                <c:pt idx="2052">
                  <c:v>-11.402350624635146</c:v>
                </c:pt>
                <c:pt idx="2053">
                  <c:v>-11.426060593773482</c:v>
                </c:pt>
                <c:pt idx="2054">
                  <c:v>-11.449770562911821</c:v>
                </c:pt>
                <c:pt idx="2055">
                  <c:v>-11.473480532050157</c:v>
                </c:pt>
                <c:pt idx="2056">
                  <c:v>-11.497190501188495</c:v>
                </c:pt>
                <c:pt idx="2057">
                  <c:v>-11.520900470326831</c:v>
                </c:pt>
                <c:pt idx="2058">
                  <c:v>28.925668218874538</c:v>
                </c:pt>
                <c:pt idx="2059">
                  <c:v>28.925668218874538</c:v>
                </c:pt>
                <c:pt idx="2060">
                  <c:v>28.925668218874538</c:v>
                </c:pt>
                <c:pt idx="2061">
                  <c:v>28.925668218874538</c:v>
                </c:pt>
                <c:pt idx="2062">
                  <c:v>28.925668218874538</c:v>
                </c:pt>
                <c:pt idx="2063">
                  <c:v>28.925668218874538</c:v>
                </c:pt>
                <c:pt idx="2064">
                  <c:v>28.925668218874538</c:v>
                </c:pt>
                <c:pt idx="2065">
                  <c:v>28.925668218874538</c:v>
                </c:pt>
                <c:pt idx="2066">
                  <c:v>28.925668218874538</c:v>
                </c:pt>
                <c:pt idx="2067">
                  <c:v>28.925668218874538</c:v>
                </c:pt>
                <c:pt idx="2068">
                  <c:v>28.925668218874538</c:v>
                </c:pt>
                <c:pt idx="2069">
                  <c:v>28.925668218874538</c:v>
                </c:pt>
                <c:pt idx="2070">
                  <c:v>28.925668218874538</c:v>
                </c:pt>
                <c:pt idx="2071">
                  <c:v>28.925668218874538</c:v>
                </c:pt>
                <c:pt idx="2072">
                  <c:v>28.925668218874538</c:v>
                </c:pt>
                <c:pt idx="2073">
                  <c:v>28.925668218874538</c:v>
                </c:pt>
                <c:pt idx="2074">
                  <c:v>28.925668218874538</c:v>
                </c:pt>
                <c:pt idx="2075">
                  <c:v>28.925668218874538</c:v>
                </c:pt>
                <c:pt idx="2076">
                  <c:v>28.925668218874538</c:v>
                </c:pt>
                <c:pt idx="2077">
                  <c:v>28.925668218874538</c:v>
                </c:pt>
                <c:pt idx="2078">
                  <c:v>28.925668218874538</c:v>
                </c:pt>
                <c:pt idx="2079">
                  <c:v>28.925668218874538</c:v>
                </c:pt>
                <c:pt idx="2080">
                  <c:v>28.925668218874538</c:v>
                </c:pt>
                <c:pt idx="2081">
                  <c:v>28.925668218874538</c:v>
                </c:pt>
                <c:pt idx="2082">
                  <c:v>28.925668218874538</c:v>
                </c:pt>
                <c:pt idx="2083">
                  <c:v>28.925668218874538</c:v>
                </c:pt>
                <c:pt idx="2084">
                  <c:v>28.925668218874538</c:v>
                </c:pt>
                <c:pt idx="2085">
                  <c:v>28.925668218874538</c:v>
                </c:pt>
                <c:pt idx="2086">
                  <c:v>28.925668218874538</c:v>
                </c:pt>
                <c:pt idx="2087">
                  <c:v>28.925668218874538</c:v>
                </c:pt>
                <c:pt idx="2088">
                  <c:v>28.925668218874538</c:v>
                </c:pt>
                <c:pt idx="2089">
                  <c:v>28.925668218874538</c:v>
                </c:pt>
                <c:pt idx="2090">
                  <c:v>28.925668218874538</c:v>
                </c:pt>
                <c:pt idx="2091">
                  <c:v>28.925668218874538</c:v>
                </c:pt>
                <c:pt idx="2092">
                  <c:v>28.925668218874538</c:v>
                </c:pt>
                <c:pt idx="2093">
                  <c:v>28.925668218874538</c:v>
                </c:pt>
                <c:pt idx="2094">
                  <c:v>28.925668218874538</c:v>
                </c:pt>
                <c:pt idx="2095">
                  <c:v>28.925668218874538</c:v>
                </c:pt>
                <c:pt idx="2096">
                  <c:v>28.925668218874538</c:v>
                </c:pt>
                <c:pt idx="2097">
                  <c:v>28.925668218874538</c:v>
                </c:pt>
                <c:pt idx="2098">
                  <c:v>28.925668218874538</c:v>
                </c:pt>
                <c:pt idx="2099">
                  <c:v>28.925668218874538</c:v>
                </c:pt>
                <c:pt idx="2100">
                  <c:v>28.925668218874538</c:v>
                </c:pt>
                <c:pt idx="2101">
                  <c:v>28.925668218874538</c:v>
                </c:pt>
                <c:pt idx="2102">
                  <c:v>28.925668218874538</c:v>
                </c:pt>
                <c:pt idx="2103">
                  <c:v>28.925668218874538</c:v>
                </c:pt>
                <c:pt idx="2104">
                  <c:v>28.925668218874538</c:v>
                </c:pt>
                <c:pt idx="2105">
                  <c:v>28.925668218874538</c:v>
                </c:pt>
                <c:pt idx="2106">
                  <c:v>28.925668218874538</c:v>
                </c:pt>
                <c:pt idx="2107">
                  <c:v>28.925668218874538</c:v>
                </c:pt>
                <c:pt idx="2108">
                  <c:v>28.925668218874538</c:v>
                </c:pt>
                <c:pt idx="2109">
                  <c:v>28.925668218874538</c:v>
                </c:pt>
                <c:pt idx="2110">
                  <c:v>28.925668218874538</c:v>
                </c:pt>
                <c:pt idx="2111">
                  <c:v>28.925668218874538</c:v>
                </c:pt>
                <c:pt idx="2112">
                  <c:v>28.925668218874538</c:v>
                </c:pt>
                <c:pt idx="2113">
                  <c:v>28.925668218874538</c:v>
                </c:pt>
                <c:pt idx="2114">
                  <c:v>28.925668218874538</c:v>
                </c:pt>
                <c:pt idx="2115">
                  <c:v>28.925668218874538</c:v>
                </c:pt>
                <c:pt idx="2116">
                  <c:v>28.925668218874538</c:v>
                </c:pt>
                <c:pt idx="2117">
                  <c:v>28.925668218874538</c:v>
                </c:pt>
                <c:pt idx="2118">
                  <c:v>28.925668218874538</c:v>
                </c:pt>
                <c:pt idx="2119">
                  <c:v>28.925668218874538</c:v>
                </c:pt>
                <c:pt idx="2120">
                  <c:v>28.925668218874538</c:v>
                </c:pt>
                <c:pt idx="2121">
                  <c:v>28.925668218874538</c:v>
                </c:pt>
                <c:pt idx="2122">
                  <c:v>28.925668218874538</c:v>
                </c:pt>
                <c:pt idx="2123">
                  <c:v>28.925668218874538</c:v>
                </c:pt>
                <c:pt idx="2124">
                  <c:v>28.925668218874538</c:v>
                </c:pt>
                <c:pt idx="2125">
                  <c:v>28.925668218874538</c:v>
                </c:pt>
                <c:pt idx="2126">
                  <c:v>28.925668218874538</c:v>
                </c:pt>
                <c:pt idx="2127">
                  <c:v>28.925668218874538</c:v>
                </c:pt>
                <c:pt idx="2128">
                  <c:v>28.925668218874538</c:v>
                </c:pt>
                <c:pt idx="2129">
                  <c:v>28.925668218874538</c:v>
                </c:pt>
                <c:pt idx="2130">
                  <c:v>28.925668218874538</c:v>
                </c:pt>
                <c:pt idx="2131">
                  <c:v>28.925668218874538</c:v>
                </c:pt>
                <c:pt idx="2132">
                  <c:v>28.925668218874538</c:v>
                </c:pt>
                <c:pt idx="2133">
                  <c:v>28.925668218874538</c:v>
                </c:pt>
                <c:pt idx="2134">
                  <c:v>28.925668218874538</c:v>
                </c:pt>
                <c:pt idx="2135">
                  <c:v>28.925668218874538</c:v>
                </c:pt>
                <c:pt idx="2136">
                  <c:v>28.925668218874538</c:v>
                </c:pt>
                <c:pt idx="2137">
                  <c:v>28.925668218874538</c:v>
                </c:pt>
                <c:pt idx="2138">
                  <c:v>28.925668218874538</c:v>
                </c:pt>
                <c:pt idx="2139">
                  <c:v>28.925668218874538</c:v>
                </c:pt>
                <c:pt idx="2140">
                  <c:v>28.925668218874538</c:v>
                </c:pt>
                <c:pt idx="2141">
                  <c:v>28.925668218874538</c:v>
                </c:pt>
                <c:pt idx="2142">
                  <c:v>28.925668218874538</c:v>
                </c:pt>
                <c:pt idx="2143">
                  <c:v>28.925668218874538</c:v>
                </c:pt>
                <c:pt idx="2144">
                  <c:v>28.925668218874538</c:v>
                </c:pt>
                <c:pt idx="2145">
                  <c:v>28.925668218874538</c:v>
                </c:pt>
                <c:pt idx="2146">
                  <c:v>28.925668218874538</c:v>
                </c:pt>
                <c:pt idx="2147">
                  <c:v>28.925668218874538</c:v>
                </c:pt>
                <c:pt idx="2148">
                  <c:v>28.925668218874538</c:v>
                </c:pt>
                <c:pt idx="2149">
                  <c:v>28.925668218874538</c:v>
                </c:pt>
                <c:pt idx="2150">
                  <c:v>28.925668218874538</c:v>
                </c:pt>
                <c:pt idx="2151">
                  <c:v>28.925668218874538</c:v>
                </c:pt>
                <c:pt idx="2152">
                  <c:v>28.925668218874538</c:v>
                </c:pt>
                <c:pt idx="2153">
                  <c:v>28.925668218874538</c:v>
                </c:pt>
                <c:pt idx="2154">
                  <c:v>28.925668218874538</c:v>
                </c:pt>
                <c:pt idx="2155">
                  <c:v>28.925668218874538</c:v>
                </c:pt>
                <c:pt idx="2156">
                  <c:v>28.925668218874538</c:v>
                </c:pt>
                <c:pt idx="2157">
                  <c:v>28.925668218874538</c:v>
                </c:pt>
                <c:pt idx="2158">
                  <c:v>28.925668218874538</c:v>
                </c:pt>
                <c:pt idx="2159">
                  <c:v>28.925668218874538</c:v>
                </c:pt>
                <c:pt idx="2160">
                  <c:v>28.925668218874538</c:v>
                </c:pt>
                <c:pt idx="2161">
                  <c:v>28.925668218874538</c:v>
                </c:pt>
                <c:pt idx="2162">
                  <c:v>28.925668218874538</c:v>
                </c:pt>
                <c:pt idx="2163">
                  <c:v>28.925668218874538</c:v>
                </c:pt>
                <c:pt idx="2164">
                  <c:v>28.925668218874538</c:v>
                </c:pt>
                <c:pt idx="2165">
                  <c:v>28.925668218874538</c:v>
                </c:pt>
                <c:pt idx="2166">
                  <c:v>28.925668218874538</c:v>
                </c:pt>
                <c:pt idx="2167">
                  <c:v>28.925668218874538</c:v>
                </c:pt>
                <c:pt idx="2168">
                  <c:v>28.925668218874538</c:v>
                </c:pt>
                <c:pt idx="2169">
                  <c:v>28.925668218874538</c:v>
                </c:pt>
                <c:pt idx="2170">
                  <c:v>28.925668218874538</c:v>
                </c:pt>
                <c:pt idx="2171">
                  <c:v>28.925668218874538</c:v>
                </c:pt>
                <c:pt idx="2172">
                  <c:v>28.925668218874538</c:v>
                </c:pt>
                <c:pt idx="2173">
                  <c:v>28.925668218874538</c:v>
                </c:pt>
                <c:pt idx="2174">
                  <c:v>28.925668218874538</c:v>
                </c:pt>
                <c:pt idx="2175">
                  <c:v>28.925668218874538</c:v>
                </c:pt>
                <c:pt idx="2176">
                  <c:v>28.925668218874538</c:v>
                </c:pt>
                <c:pt idx="2177">
                  <c:v>28.925668218874538</c:v>
                </c:pt>
                <c:pt idx="2178">
                  <c:v>28.925668218874538</c:v>
                </c:pt>
                <c:pt idx="2179">
                  <c:v>28.925668218874538</c:v>
                </c:pt>
                <c:pt idx="2180">
                  <c:v>28.925668218874538</c:v>
                </c:pt>
                <c:pt idx="2181">
                  <c:v>28.925668218874538</c:v>
                </c:pt>
                <c:pt idx="2182">
                  <c:v>28.925668218874538</c:v>
                </c:pt>
                <c:pt idx="2183">
                  <c:v>28.925668218874538</c:v>
                </c:pt>
                <c:pt idx="2184">
                  <c:v>28.925668218874538</c:v>
                </c:pt>
                <c:pt idx="2185">
                  <c:v>28.925668218874538</c:v>
                </c:pt>
                <c:pt idx="2186">
                  <c:v>28.925668218874538</c:v>
                </c:pt>
                <c:pt idx="2187">
                  <c:v>28.925668218874538</c:v>
                </c:pt>
                <c:pt idx="2188">
                  <c:v>28.925668218874538</c:v>
                </c:pt>
                <c:pt idx="2189">
                  <c:v>28.925668218874538</c:v>
                </c:pt>
                <c:pt idx="2190">
                  <c:v>28.925668218874538</c:v>
                </c:pt>
                <c:pt idx="2191">
                  <c:v>28.925668218874538</c:v>
                </c:pt>
                <c:pt idx="2192">
                  <c:v>28.925668218874538</c:v>
                </c:pt>
                <c:pt idx="2193">
                  <c:v>28.925668218874538</c:v>
                </c:pt>
                <c:pt idx="2194">
                  <c:v>28.925668218874538</c:v>
                </c:pt>
                <c:pt idx="2195">
                  <c:v>28.925668218874538</c:v>
                </c:pt>
                <c:pt idx="2196">
                  <c:v>28.925668218874538</c:v>
                </c:pt>
                <c:pt idx="2197">
                  <c:v>28.925668218874538</c:v>
                </c:pt>
                <c:pt idx="2198">
                  <c:v>28.925668218874538</c:v>
                </c:pt>
                <c:pt idx="2199">
                  <c:v>28.925668218874538</c:v>
                </c:pt>
                <c:pt idx="2200">
                  <c:v>28.925668218874538</c:v>
                </c:pt>
                <c:pt idx="2201">
                  <c:v>28.925668218874538</c:v>
                </c:pt>
                <c:pt idx="2202">
                  <c:v>28.925668218874538</c:v>
                </c:pt>
                <c:pt idx="2203">
                  <c:v>28.925668218874538</c:v>
                </c:pt>
                <c:pt idx="2204">
                  <c:v>28.925668218874538</c:v>
                </c:pt>
                <c:pt idx="2205">
                  <c:v>28.925668218874538</c:v>
                </c:pt>
                <c:pt idx="2206">
                  <c:v>28.925668218874538</c:v>
                </c:pt>
                <c:pt idx="2207">
                  <c:v>28.925668218874538</c:v>
                </c:pt>
                <c:pt idx="2208">
                  <c:v>28.925668218874538</c:v>
                </c:pt>
                <c:pt idx="2209">
                  <c:v>28.925668218874538</c:v>
                </c:pt>
                <c:pt idx="2210">
                  <c:v>28.925668218874538</c:v>
                </c:pt>
                <c:pt idx="2211">
                  <c:v>28.925668218874538</c:v>
                </c:pt>
                <c:pt idx="2212">
                  <c:v>28.925668218874538</c:v>
                </c:pt>
                <c:pt idx="2213">
                  <c:v>28.925668218874538</c:v>
                </c:pt>
                <c:pt idx="2214">
                  <c:v>28.925668218874538</c:v>
                </c:pt>
                <c:pt idx="2215">
                  <c:v>28.925668218874538</c:v>
                </c:pt>
                <c:pt idx="2216">
                  <c:v>28.925668218874538</c:v>
                </c:pt>
                <c:pt idx="2217">
                  <c:v>28.925668218874538</c:v>
                </c:pt>
                <c:pt idx="2218">
                  <c:v>28.925668218874538</c:v>
                </c:pt>
                <c:pt idx="2219">
                  <c:v>28.925668218874538</c:v>
                </c:pt>
                <c:pt idx="2220">
                  <c:v>28.925668218874538</c:v>
                </c:pt>
                <c:pt idx="2221">
                  <c:v>28.925668218874538</c:v>
                </c:pt>
                <c:pt idx="2222">
                  <c:v>28.925668218874538</c:v>
                </c:pt>
                <c:pt idx="2223">
                  <c:v>28.925668218874538</c:v>
                </c:pt>
                <c:pt idx="2224">
                  <c:v>28.925668218874538</c:v>
                </c:pt>
                <c:pt idx="2225">
                  <c:v>28.925668218874538</c:v>
                </c:pt>
                <c:pt idx="2226">
                  <c:v>28.925668218874538</c:v>
                </c:pt>
                <c:pt idx="2227">
                  <c:v>28.925668218874538</c:v>
                </c:pt>
                <c:pt idx="2228">
                  <c:v>28.925668218874538</c:v>
                </c:pt>
                <c:pt idx="2229">
                  <c:v>28.934139874779017</c:v>
                </c:pt>
                <c:pt idx="2230">
                  <c:v>28.942611530683497</c:v>
                </c:pt>
                <c:pt idx="2231">
                  <c:v>28.852439312307901</c:v>
                </c:pt>
                <c:pt idx="2232">
                  <c:v>28.860832527433615</c:v>
                </c:pt>
                <c:pt idx="2233">
                  <c:v>28.771757586202284</c:v>
                </c:pt>
                <c:pt idx="2234">
                  <c:v>28.780073295470235</c:v>
                </c:pt>
                <c:pt idx="2235">
                  <c:v>28.788389004738178</c:v>
                </c:pt>
                <c:pt idx="2236">
                  <c:v>28.70038422440696</c:v>
                </c:pt>
                <c:pt idx="2237">
                  <c:v>28.70862334043208</c:v>
                </c:pt>
                <c:pt idx="2238">
                  <c:v>28.621662401462867</c:v>
                </c:pt>
                <c:pt idx="2239">
                  <c:v>28.629825815205347</c:v>
                </c:pt>
                <c:pt idx="2240">
                  <c:v>28.63798922894782</c:v>
                </c:pt>
                <c:pt idx="2241">
                  <c:v>28.602896841045755</c:v>
                </c:pt>
                <c:pt idx="2242">
                  <c:v>28.611025858138753</c:v>
                </c:pt>
                <c:pt idx="2243">
                  <c:v>28.61915487523175</c:v>
                </c:pt>
                <c:pt idx="2244">
                  <c:v>28.584364742159085</c:v>
                </c:pt>
                <c:pt idx="2245">
                  <c:v>28.592459630305019</c:v>
                </c:pt>
                <c:pt idx="2246">
                  <c:v>28.608086579308363</c:v>
                </c:pt>
                <c:pt idx="2247">
                  <c:v>28.616187456885708</c:v>
                </c:pt>
                <c:pt idx="2248">
                  <c:v>28.204325880207438</c:v>
                </c:pt>
                <c:pt idx="2249">
                  <c:v>28.212092807175033</c:v>
                </c:pt>
                <c:pt idx="2250">
                  <c:v>28.219859734142627</c:v>
                </c:pt>
                <c:pt idx="2251">
                  <c:v>28.227369446113297</c:v>
                </c:pt>
                <c:pt idx="2252">
                  <c:v>28.235136168545687</c:v>
                </c:pt>
                <c:pt idx="2253">
                  <c:v>28.24290289097808</c:v>
                </c:pt>
                <c:pt idx="2254">
                  <c:v>28.250669613410473</c:v>
                </c:pt>
                <c:pt idx="2255">
                  <c:v>28.257784882077633</c:v>
                </c:pt>
                <c:pt idx="2256">
                  <c:v>28.265551086479476</c:v>
                </c:pt>
                <c:pt idx="2257">
                  <c:v>28.273317290881316</c:v>
                </c:pt>
                <c:pt idx="2258">
                  <c:v>28.280044051469499</c:v>
                </c:pt>
                <c:pt idx="2259">
                  <c:v>28.287809429314368</c:v>
                </c:pt>
                <c:pt idx="2260">
                  <c:v>28.295574807159234</c:v>
                </c:pt>
                <c:pt idx="2261">
                  <c:v>28.301918801489848</c:v>
                </c:pt>
                <c:pt idx="2262">
                  <c:v>28.309683049062507</c:v>
                </c:pt>
                <c:pt idx="2263">
                  <c:v>28.317447296635162</c:v>
                </c:pt>
                <c:pt idx="2264">
                  <c:v>28.325211544207821</c:v>
                </c:pt>
                <c:pt idx="2265">
                  <c:v>28.331178328351317</c:v>
                </c:pt>
                <c:pt idx="2266">
                  <c:v>28.338941146596181</c:v>
                </c:pt>
                <c:pt idx="2267">
                  <c:v>28.346703964841044</c:v>
                </c:pt>
                <c:pt idx="2268">
                  <c:v>28.302497364039411</c:v>
                </c:pt>
                <c:pt idx="2269">
                  <c:v>28.310218856639558</c:v>
                </c:pt>
                <c:pt idx="2270">
                  <c:v>28.317940349239702</c:v>
                </c:pt>
                <c:pt idx="2271">
                  <c:v>28.274099637283534</c:v>
                </c:pt>
                <c:pt idx="2272">
                  <c:v>28.2817801280525</c:v>
                </c:pt>
                <c:pt idx="2273">
                  <c:v>28.289460618821462</c:v>
                </c:pt>
                <c:pt idx="2274">
                  <c:v>28.297141109590424</c:v>
                </c:pt>
                <c:pt idx="2275">
                  <c:v>28.204618748961515</c:v>
                </c:pt>
                <c:pt idx="2276">
                  <c:v>28.212219559266227</c:v>
                </c:pt>
                <c:pt idx="2277">
                  <c:v>28.21982036957094</c:v>
                </c:pt>
                <c:pt idx="2278">
                  <c:v>28.227421179875652</c:v>
                </c:pt>
                <c:pt idx="2279">
                  <c:v>28.13595039283819</c:v>
                </c:pt>
                <c:pt idx="2280">
                  <c:v>28.143472422242354</c:v>
                </c:pt>
                <c:pt idx="2281">
                  <c:v>28.150994451646518</c:v>
                </c:pt>
                <c:pt idx="2282">
                  <c:v>28.060547384821135</c:v>
                </c:pt>
                <c:pt idx="2283">
                  <c:v>28.067991510024363</c:v>
                </c:pt>
                <c:pt idx="2284">
                  <c:v>28.075435635227585</c:v>
                </c:pt>
                <c:pt idx="2285">
                  <c:v>28.082879760430814</c:v>
                </c:pt>
                <c:pt idx="2286">
                  <c:v>27.993429402324203</c:v>
                </c:pt>
                <c:pt idx="2287">
                  <c:v>28.000796477849647</c:v>
                </c:pt>
                <c:pt idx="2288">
                  <c:v>28.008163553375088</c:v>
                </c:pt>
                <c:pt idx="2289">
                  <c:v>28.015530628900525</c:v>
                </c:pt>
                <c:pt idx="2290">
                  <c:v>27.927050778326304</c:v>
                </c:pt>
                <c:pt idx="2291">
                  <c:v>27.934341637182637</c:v>
                </c:pt>
                <c:pt idx="2292">
                  <c:v>27.941632496038967</c:v>
                </c:pt>
                <c:pt idx="2293">
                  <c:v>27.854097731946922</c:v>
                </c:pt>
                <c:pt idx="2294">
                  <c:v>27.861313186265818</c:v>
                </c:pt>
                <c:pt idx="2295">
                  <c:v>27.868528640584714</c:v>
                </c:pt>
                <c:pt idx="2296">
                  <c:v>27.875744094903606</c:v>
                </c:pt>
                <c:pt idx="2297">
                  <c:v>27.789129747544727</c:v>
                </c:pt>
                <c:pt idx="2298">
                  <c:v>27.796270589194879</c:v>
                </c:pt>
                <c:pt idx="2299">
                  <c:v>27.803411430845028</c:v>
                </c:pt>
                <c:pt idx="2300">
                  <c:v>27.810552272495183</c:v>
                </c:pt>
                <c:pt idx="2301">
                  <c:v>27.724834395854003</c:v>
                </c:pt>
                <c:pt idx="2302">
                  <c:v>27.731901397032747</c:v>
                </c:pt>
                <c:pt idx="2303">
                  <c:v>27.738968398211494</c:v>
                </c:pt>
                <c:pt idx="2304">
                  <c:v>27.746035399390244</c:v>
                </c:pt>
                <c:pt idx="2305">
                  <c:v>27.707383489047125</c:v>
                </c:pt>
                <c:pt idx="2306">
                  <c:v>27.714414134932138</c:v>
                </c:pt>
                <c:pt idx="2307">
                  <c:v>27.721444780817158</c:v>
                </c:pt>
                <c:pt idx="2308">
                  <c:v>27.728475426702175</c:v>
                </c:pt>
                <c:pt idx="2309">
                  <c:v>27.690046250209136</c:v>
                </c:pt>
                <c:pt idx="2310">
                  <c:v>27.697040746825927</c:v>
                </c:pt>
                <c:pt idx="2311">
                  <c:v>27.704035243442721</c:v>
                </c:pt>
                <c:pt idx="2312">
                  <c:v>27.711029740059516</c:v>
                </c:pt>
                <c:pt idx="2313">
                  <c:v>27.718347930653408</c:v>
                </c:pt>
                <c:pt idx="2314">
                  <c:v>27.725342684668927</c:v>
                </c:pt>
                <c:pt idx="2315">
                  <c:v>27.73233743868445</c:v>
                </c:pt>
                <c:pt idx="2316">
                  <c:v>27.739332192699973</c:v>
                </c:pt>
                <c:pt idx="2317">
                  <c:v>27.746326946715495</c:v>
                </c:pt>
                <c:pt idx="2318">
                  <c:v>27.518647883549285</c:v>
                </c:pt>
                <c:pt idx="2319">
                  <c:v>27.5254560269201</c:v>
                </c:pt>
                <c:pt idx="2320">
                  <c:v>27.524514148072253</c:v>
                </c:pt>
                <c:pt idx="2321">
                  <c:v>27.531316128690612</c:v>
                </c:pt>
                <c:pt idx="2322">
                  <c:v>27.538118109308972</c:v>
                </c:pt>
                <c:pt idx="2323">
                  <c:v>27.544920089927331</c:v>
                </c:pt>
                <c:pt idx="2324">
                  <c:v>27.551722070545694</c:v>
                </c:pt>
                <c:pt idx="2325">
                  <c:v>27.550377497898449</c:v>
                </c:pt>
                <c:pt idx="2326">
                  <c:v>27.557173000446198</c:v>
                </c:pt>
                <c:pt idx="2327">
                  <c:v>27.563968502993955</c:v>
                </c:pt>
                <c:pt idx="2328">
                  <c:v>27.570764005541708</c:v>
                </c:pt>
                <c:pt idx="2329">
                  <c:v>27.523312878526895</c:v>
                </c:pt>
                <c:pt idx="2330">
                  <c:v>27.53006524461129</c:v>
                </c:pt>
                <c:pt idx="2331">
                  <c:v>27.536817610695689</c:v>
                </c:pt>
                <c:pt idx="2332">
                  <c:v>27.543569976780088</c:v>
                </c:pt>
                <c:pt idx="2333">
                  <c:v>27.550322342864479</c:v>
                </c:pt>
                <c:pt idx="2334">
                  <c:v>27.503150469952487</c:v>
                </c:pt>
                <c:pt idx="2335">
                  <c:v>27.509859955935791</c:v>
                </c:pt>
                <c:pt idx="2336">
                  <c:v>27.516569441919096</c:v>
                </c:pt>
                <c:pt idx="2337">
                  <c:v>27.523278927902396</c:v>
                </c:pt>
                <c:pt idx="2338">
                  <c:v>27.5299884138857</c:v>
                </c:pt>
                <c:pt idx="2339">
                  <c:v>27.438079047155401</c:v>
                </c:pt>
                <c:pt idx="2340">
                  <c:v>27.444710112256878</c:v>
                </c:pt>
                <c:pt idx="2341">
                  <c:v>27.451341177358358</c:v>
                </c:pt>
                <c:pt idx="2342">
                  <c:v>27.457972242459835</c:v>
                </c:pt>
                <c:pt idx="2343">
                  <c:v>27.464603307561315</c:v>
                </c:pt>
                <c:pt idx="2344">
                  <c:v>27.471234372662792</c:v>
                </c:pt>
                <c:pt idx="2345">
                  <c:v>27.380233512078522</c:v>
                </c:pt>
                <c:pt idx="2346">
                  <c:v>27.386786941094243</c:v>
                </c:pt>
                <c:pt idx="2347">
                  <c:v>27.393340370109961</c:v>
                </c:pt>
                <c:pt idx="2348">
                  <c:v>27.399893799125678</c:v>
                </c:pt>
                <c:pt idx="2349">
                  <c:v>27.406447228141396</c:v>
                </c:pt>
                <c:pt idx="2350">
                  <c:v>27.31632926853387</c:v>
                </c:pt>
                <c:pt idx="2351">
                  <c:v>27.322805825274813</c:v>
                </c:pt>
                <c:pt idx="2352">
                  <c:v>27.329282382015766</c:v>
                </c:pt>
                <c:pt idx="2353">
                  <c:v>27.335758938756712</c:v>
                </c:pt>
                <c:pt idx="2354">
                  <c:v>27.342235495497658</c:v>
                </c:pt>
                <c:pt idx="2355">
                  <c:v>27.252975604395658</c:v>
                </c:pt>
                <c:pt idx="2356">
                  <c:v>27.25937603231888</c:v>
                </c:pt>
                <c:pt idx="2357">
                  <c:v>27.265776460242094</c:v>
                </c:pt>
                <c:pt idx="2358">
                  <c:v>27.272176888165312</c:v>
                </c:pt>
                <c:pt idx="2359">
                  <c:v>27.278577316088533</c:v>
                </c:pt>
                <c:pt idx="2360">
                  <c:v>27.284977744011751</c:v>
                </c:pt>
                <c:pt idx="2361">
                  <c:v>27.196551832658258</c:v>
                </c:pt>
                <c:pt idx="2362">
                  <c:v>27.202876855474425</c:v>
                </c:pt>
                <c:pt idx="2363">
                  <c:v>27.209201878290589</c:v>
                </c:pt>
                <c:pt idx="2364">
                  <c:v>27.215526901106749</c:v>
                </c:pt>
                <c:pt idx="2365">
                  <c:v>27.221851923922912</c:v>
                </c:pt>
                <c:pt idx="2366">
                  <c:v>27.134236619583834</c:v>
                </c:pt>
                <c:pt idx="2367">
                  <c:v>27.14048694184233</c:v>
                </c:pt>
                <c:pt idx="2368">
                  <c:v>27.146737264100821</c:v>
                </c:pt>
                <c:pt idx="2369">
                  <c:v>27.152987586359309</c:v>
                </c:pt>
                <c:pt idx="2370">
                  <c:v>27.159237908617801</c:v>
                </c:pt>
                <c:pt idx="2371">
                  <c:v>27.165488230876292</c:v>
                </c:pt>
                <c:pt idx="2372">
                  <c:v>27.078660850375208</c:v>
                </c:pt>
                <c:pt idx="2373">
                  <c:v>27.084837158027693</c:v>
                </c:pt>
                <c:pt idx="2374">
                  <c:v>27.09101346568017</c:v>
                </c:pt>
                <c:pt idx="2375">
                  <c:v>27.097189773332651</c:v>
                </c:pt>
                <c:pt idx="2376">
                  <c:v>27.103366080985129</c:v>
                </c:pt>
                <c:pt idx="2377">
                  <c:v>27.109542388637614</c:v>
                </c:pt>
                <c:pt idx="2378">
                  <c:v>27.023480913053692</c:v>
                </c:pt>
                <c:pt idx="2379">
                  <c:v>27.029583873997101</c:v>
                </c:pt>
                <c:pt idx="2380">
                  <c:v>27.035686834940506</c:v>
                </c:pt>
                <c:pt idx="2381">
                  <c:v>27.041789795883911</c:v>
                </c:pt>
                <c:pt idx="2382">
                  <c:v>27.04789275682732</c:v>
                </c:pt>
                <c:pt idx="2383">
                  <c:v>27.004972334042165</c:v>
                </c:pt>
                <c:pt idx="2384">
                  <c:v>27.011036312003348</c:v>
                </c:pt>
                <c:pt idx="2385">
                  <c:v>27.017100289964535</c:v>
                </c:pt>
                <c:pt idx="2386">
                  <c:v>27.023164267925715</c:v>
                </c:pt>
                <c:pt idx="2387">
                  <c:v>27.029228245886902</c:v>
                </c:pt>
                <c:pt idx="2388">
                  <c:v>27.035292223848082</c:v>
                </c:pt>
                <c:pt idx="2389">
                  <c:v>26.992519256554978</c:v>
                </c:pt>
                <c:pt idx="2390">
                  <c:v>26.998544399788251</c:v>
                </c:pt>
                <c:pt idx="2391">
                  <c:v>27.004569543021518</c:v>
                </c:pt>
                <c:pt idx="2392">
                  <c:v>27.01059468625478</c:v>
                </c:pt>
                <c:pt idx="2393">
                  <c:v>27.01661982948805</c:v>
                </c:pt>
                <c:pt idx="2394">
                  <c:v>27.02264497272132</c:v>
                </c:pt>
                <c:pt idx="2395">
                  <c:v>27.0218027426105</c:v>
                </c:pt>
                <c:pt idx="2396">
                  <c:v>27.027822424966271</c:v>
                </c:pt>
                <c:pt idx="2397">
                  <c:v>27.033842107322041</c:v>
                </c:pt>
                <c:pt idx="2398">
                  <c:v>27.039861789677815</c:v>
                </c:pt>
                <c:pt idx="2399">
                  <c:v>27.045881472033585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AB0-4B60-9768-353093A70B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2176048"/>
        <c:axId val="452173752"/>
      </c:scatterChart>
      <c:valAx>
        <c:axId val="452176048"/>
        <c:scaling>
          <c:orientation val="minMax"/>
          <c:max val="2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173752"/>
        <c:crosses val="autoZero"/>
        <c:crossBetween val="midCat"/>
        <c:majorUnit val="200"/>
      </c:valAx>
      <c:valAx>
        <c:axId val="452173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Travel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1760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</a:t>
            </a:r>
            <a:r>
              <a:rPr lang="en-GB" baseline="0"/>
              <a:t> Suspension Travel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2D Data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'Track Data'!$M$4:$M$2403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'Track Data'!$J$4:$J$2403</c:f>
              <c:numCache>
                <c:formatCode>General</c:formatCode>
                <c:ptCount val="2400"/>
                <c:pt idx="0">
                  <c:v>15.8</c:v>
                </c:pt>
                <c:pt idx="1">
                  <c:v>15.26</c:v>
                </c:pt>
                <c:pt idx="2">
                  <c:v>15.74</c:v>
                </c:pt>
                <c:pt idx="3">
                  <c:v>16.149999999999999</c:v>
                </c:pt>
                <c:pt idx="4">
                  <c:v>15.54</c:v>
                </c:pt>
                <c:pt idx="5">
                  <c:v>15.06</c:v>
                </c:pt>
                <c:pt idx="6">
                  <c:v>14.22</c:v>
                </c:pt>
                <c:pt idx="7">
                  <c:v>15.09</c:v>
                </c:pt>
                <c:pt idx="8">
                  <c:v>14.64</c:v>
                </c:pt>
                <c:pt idx="9">
                  <c:v>14.53</c:v>
                </c:pt>
                <c:pt idx="10">
                  <c:v>13</c:v>
                </c:pt>
                <c:pt idx="11">
                  <c:v>12.56</c:v>
                </c:pt>
                <c:pt idx="12">
                  <c:v>12.16</c:v>
                </c:pt>
                <c:pt idx="13">
                  <c:v>12.99</c:v>
                </c:pt>
                <c:pt idx="14">
                  <c:v>12.16</c:v>
                </c:pt>
                <c:pt idx="15">
                  <c:v>11.6</c:v>
                </c:pt>
                <c:pt idx="16">
                  <c:v>11.45</c:v>
                </c:pt>
                <c:pt idx="17">
                  <c:v>14.3</c:v>
                </c:pt>
                <c:pt idx="18">
                  <c:v>16.309999999999999</c:v>
                </c:pt>
                <c:pt idx="19">
                  <c:v>17.600000000000001</c:v>
                </c:pt>
                <c:pt idx="20">
                  <c:v>17.73</c:v>
                </c:pt>
                <c:pt idx="21">
                  <c:v>19.399999999999999</c:v>
                </c:pt>
                <c:pt idx="22">
                  <c:v>23.82</c:v>
                </c:pt>
                <c:pt idx="23">
                  <c:v>26.49</c:v>
                </c:pt>
                <c:pt idx="24">
                  <c:v>28.24</c:v>
                </c:pt>
                <c:pt idx="25">
                  <c:v>28.2</c:v>
                </c:pt>
                <c:pt idx="26">
                  <c:v>27.87</c:v>
                </c:pt>
                <c:pt idx="27">
                  <c:v>26.97</c:v>
                </c:pt>
                <c:pt idx="28">
                  <c:v>26.4</c:v>
                </c:pt>
                <c:pt idx="29">
                  <c:v>24.78</c:v>
                </c:pt>
                <c:pt idx="30">
                  <c:v>24.63</c:v>
                </c:pt>
                <c:pt idx="31">
                  <c:v>22.48</c:v>
                </c:pt>
                <c:pt idx="32">
                  <c:v>20.2</c:v>
                </c:pt>
                <c:pt idx="33">
                  <c:v>17.899999999999999</c:v>
                </c:pt>
                <c:pt idx="34">
                  <c:v>15.99</c:v>
                </c:pt>
                <c:pt idx="35">
                  <c:v>16.13</c:v>
                </c:pt>
                <c:pt idx="36">
                  <c:v>17.350000000000001</c:v>
                </c:pt>
                <c:pt idx="37">
                  <c:v>17.93</c:v>
                </c:pt>
                <c:pt idx="38">
                  <c:v>17.63</c:v>
                </c:pt>
                <c:pt idx="39">
                  <c:v>16.940000000000001</c:v>
                </c:pt>
                <c:pt idx="40">
                  <c:v>17.170000000000002</c:v>
                </c:pt>
                <c:pt idx="41">
                  <c:v>16.52</c:v>
                </c:pt>
                <c:pt idx="42">
                  <c:v>17.48</c:v>
                </c:pt>
                <c:pt idx="43">
                  <c:v>17.12</c:v>
                </c:pt>
                <c:pt idx="44">
                  <c:v>15.87</c:v>
                </c:pt>
                <c:pt idx="45">
                  <c:v>12.75</c:v>
                </c:pt>
                <c:pt idx="46">
                  <c:v>11.29</c:v>
                </c:pt>
                <c:pt idx="47">
                  <c:v>11.72</c:v>
                </c:pt>
                <c:pt idx="48">
                  <c:v>13.36</c:v>
                </c:pt>
                <c:pt idx="49">
                  <c:v>12.76</c:v>
                </c:pt>
                <c:pt idx="50">
                  <c:v>11.86</c:v>
                </c:pt>
                <c:pt idx="51">
                  <c:v>10.57</c:v>
                </c:pt>
                <c:pt idx="52">
                  <c:v>9.19</c:v>
                </c:pt>
                <c:pt idx="53">
                  <c:v>11.06</c:v>
                </c:pt>
                <c:pt idx="54">
                  <c:v>17.48</c:v>
                </c:pt>
                <c:pt idx="55">
                  <c:v>21.73</c:v>
                </c:pt>
                <c:pt idx="56">
                  <c:v>22.6</c:v>
                </c:pt>
                <c:pt idx="57">
                  <c:v>22.82</c:v>
                </c:pt>
                <c:pt idx="58">
                  <c:v>22.91</c:v>
                </c:pt>
                <c:pt idx="59">
                  <c:v>26.8</c:v>
                </c:pt>
                <c:pt idx="60">
                  <c:v>37.57</c:v>
                </c:pt>
                <c:pt idx="61">
                  <c:v>37.74</c:v>
                </c:pt>
                <c:pt idx="62">
                  <c:v>33.31</c:v>
                </c:pt>
                <c:pt idx="63">
                  <c:v>24.7</c:v>
                </c:pt>
                <c:pt idx="64">
                  <c:v>20.75</c:v>
                </c:pt>
                <c:pt idx="65">
                  <c:v>21.27</c:v>
                </c:pt>
                <c:pt idx="66">
                  <c:v>20.52</c:v>
                </c:pt>
                <c:pt idx="67">
                  <c:v>19.46</c:v>
                </c:pt>
                <c:pt idx="68">
                  <c:v>18.63</c:v>
                </c:pt>
                <c:pt idx="69">
                  <c:v>20.170000000000002</c:v>
                </c:pt>
                <c:pt idx="70">
                  <c:v>23.61</c:v>
                </c:pt>
                <c:pt idx="71">
                  <c:v>24.77</c:v>
                </c:pt>
                <c:pt idx="72">
                  <c:v>22.87</c:v>
                </c:pt>
                <c:pt idx="73">
                  <c:v>19.28</c:v>
                </c:pt>
                <c:pt idx="74">
                  <c:v>18.170000000000002</c:v>
                </c:pt>
                <c:pt idx="75">
                  <c:v>17.170000000000002</c:v>
                </c:pt>
                <c:pt idx="76">
                  <c:v>16.399999999999999</c:v>
                </c:pt>
                <c:pt idx="77">
                  <c:v>15.34</c:v>
                </c:pt>
                <c:pt idx="78">
                  <c:v>14.54</c:v>
                </c:pt>
                <c:pt idx="79">
                  <c:v>14.57</c:v>
                </c:pt>
                <c:pt idx="80">
                  <c:v>15.19</c:v>
                </c:pt>
                <c:pt idx="81">
                  <c:v>14.44</c:v>
                </c:pt>
                <c:pt idx="82">
                  <c:v>14.29</c:v>
                </c:pt>
                <c:pt idx="83">
                  <c:v>14.03</c:v>
                </c:pt>
                <c:pt idx="84">
                  <c:v>15.1</c:v>
                </c:pt>
                <c:pt idx="85">
                  <c:v>15.68</c:v>
                </c:pt>
                <c:pt idx="86">
                  <c:v>17.39</c:v>
                </c:pt>
                <c:pt idx="87">
                  <c:v>19.329999999999998</c:v>
                </c:pt>
                <c:pt idx="88">
                  <c:v>21.4</c:v>
                </c:pt>
                <c:pt idx="89">
                  <c:v>21.32</c:v>
                </c:pt>
                <c:pt idx="90">
                  <c:v>24.44</c:v>
                </c:pt>
                <c:pt idx="91">
                  <c:v>29.22</c:v>
                </c:pt>
                <c:pt idx="92">
                  <c:v>32.32</c:v>
                </c:pt>
                <c:pt idx="93">
                  <c:v>34.6</c:v>
                </c:pt>
                <c:pt idx="94">
                  <c:v>34.65</c:v>
                </c:pt>
                <c:pt idx="95">
                  <c:v>34.19</c:v>
                </c:pt>
                <c:pt idx="96">
                  <c:v>33.51</c:v>
                </c:pt>
                <c:pt idx="97">
                  <c:v>32.770000000000003</c:v>
                </c:pt>
                <c:pt idx="98">
                  <c:v>31.01</c:v>
                </c:pt>
                <c:pt idx="99">
                  <c:v>28.6</c:v>
                </c:pt>
                <c:pt idx="100">
                  <c:v>26.02</c:v>
                </c:pt>
                <c:pt idx="101">
                  <c:v>22.03</c:v>
                </c:pt>
                <c:pt idx="102">
                  <c:v>19.34</c:v>
                </c:pt>
                <c:pt idx="103">
                  <c:v>19.97</c:v>
                </c:pt>
                <c:pt idx="104">
                  <c:v>20.29</c:v>
                </c:pt>
                <c:pt idx="105">
                  <c:v>20.13</c:v>
                </c:pt>
                <c:pt idx="106">
                  <c:v>20.22</c:v>
                </c:pt>
                <c:pt idx="107">
                  <c:v>26.44</c:v>
                </c:pt>
                <c:pt idx="108">
                  <c:v>33.049999999999997</c:v>
                </c:pt>
                <c:pt idx="109">
                  <c:v>35.79</c:v>
                </c:pt>
                <c:pt idx="110">
                  <c:v>37.659999999999997</c:v>
                </c:pt>
                <c:pt idx="111">
                  <c:v>39.950000000000003</c:v>
                </c:pt>
                <c:pt idx="112">
                  <c:v>45.77</c:v>
                </c:pt>
                <c:pt idx="113">
                  <c:v>51.34</c:v>
                </c:pt>
                <c:pt idx="114">
                  <c:v>51.52</c:v>
                </c:pt>
                <c:pt idx="115">
                  <c:v>54.51</c:v>
                </c:pt>
                <c:pt idx="116">
                  <c:v>59.76</c:v>
                </c:pt>
                <c:pt idx="117">
                  <c:v>63.1</c:v>
                </c:pt>
                <c:pt idx="118">
                  <c:v>66.400000000000006</c:v>
                </c:pt>
                <c:pt idx="119">
                  <c:v>69.05</c:v>
                </c:pt>
                <c:pt idx="120">
                  <c:v>71.13</c:v>
                </c:pt>
                <c:pt idx="121">
                  <c:v>72.489999999999995</c:v>
                </c:pt>
                <c:pt idx="122">
                  <c:v>73.31</c:v>
                </c:pt>
                <c:pt idx="123">
                  <c:v>72.42</c:v>
                </c:pt>
                <c:pt idx="124">
                  <c:v>72.42</c:v>
                </c:pt>
                <c:pt idx="125">
                  <c:v>71.39</c:v>
                </c:pt>
                <c:pt idx="126">
                  <c:v>71</c:v>
                </c:pt>
                <c:pt idx="127">
                  <c:v>69.930000000000007</c:v>
                </c:pt>
                <c:pt idx="128">
                  <c:v>69.239999999999995</c:v>
                </c:pt>
                <c:pt idx="129">
                  <c:v>67.78</c:v>
                </c:pt>
                <c:pt idx="130">
                  <c:v>67.069999999999993</c:v>
                </c:pt>
                <c:pt idx="131">
                  <c:v>66.040000000000006</c:v>
                </c:pt>
                <c:pt idx="132">
                  <c:v>67.73</c:v>
                </c:pt>
                <c:pt idx="133">
                  <c:v>71.64</c:v>
                </c:pt>
                <c:pt idx="134">
                  <c:v>73.33</c:v>
                </c:pt>
                <c:pt idx="135">
                  <c:v>72.900000000000006</c:v>
                </c:pt>
                <c:pt idx="136">
                  <c:v>74.05</c:v>
                </c:pt>
                <c:pt idx="137">
                  <c:v>79.81</c:v>
                </c:pt>
                <c:pt idx="138">
                  <c:v>85.81</c:v>
                </c:pt>
                <c:pt idx="139">
                  <c:v>85.99</c:v>
                </c:pt>
                <c:pt idx="140">
                  <c:v>83.8</c:v>
                </c:pt>
                <c:pt idx="141">
                  <c:v>81.67</c:v>
                </c:pt>
                <c:pt idx="142">
                  <c:v>81.849999999999994</c:v>
                </c:pt>
                <c:pt idx="143">
                  <c:v>86.51</c:v>
                </c:pt>
                <c:pt idx="144">
                  <c:v>87.99</c:v>
                </c:pt>
                <c:pt idx="145">
                  <c:v>88.87</c:v>
                </c:pt>
                <c:pt idx="146">
                  <c:v>89.15</c:v>
                </c:pt>
                <c:pt idx="147">
                  <c:v>91.64</c:v>
                </c:pt>
                <c:pt idx="148">
                  <c:v>92.74</c:v>
                </c:pt>
                <c:pt idx="149">
                  <c:v>95.2</c:v>
                </c:pt>
                <c:pt idx="150">
                  <c:v>96.12</c:v>
                </c:pt>
                <c:pt idx="151">
                  <c:v>96.05</c:v>
                </c:pt>
                <c:pt idx="152">
                  <c:v>94.6</c:v>
                </c:pt>
                <c:pt idx="153">
                  <c:v>94.65</c:v>
                </c:pt>
                <c:pt idx="154">
                  <c:v>94.65</c:v>
                </c:pt>
                <c:pt idx="155">
                  <c:v>92.8</c:v>
                </c:pt>
                <c:pt idx="156">
                  <c:v>91.76</c:v>
                </c:pt>
                <c:pt idx="157">
                  <c:v>91.38</c:v>
                </c:pt>
                <c:pt idx="158">
                  <c:v>91.38</c:v>
                </c:pt>
                <c:pt idx="159">
                  <c:v>90.46</c:v>
                </c:pt>
                <c:pt idx="160">
                  <c:v>87.86</c:v>
                </c:pt>
                <c:pt idx="161">
                  <c:v>85.53</c:v>
                </c:pt>
                <c:pt idx="162">
                  <c:v>85.81</c:v>
                </c:pt>
                <c:pt idx="163">
                  <c:v>86.04</c:v>
                </c:pt>
                <c:pt idx="164">
                  <c:v>85.96</c:v>
                </c:pt>
                <c:pt idx="165">
                  <c:v>86.03</c:v>
                </c:pt>
                <c:pt idx="166">
                  <c:v>87.13</c:v>
                </c:pt>
                <c:pt idx="167">
                  <c:v>88.64</c:v>
                </c:pt>
                <c:pt idx="168">
                  <c:v>89.07</c:v>
                </c:pt>
                <c:pt idx="169">
                  <c:v>88.19</c:v>
                </c:pt>
                <c:pt idx="170">
                  <c:v>90.69</c:v>
                </c:pt>
                <c:pt idx="171">
                  <c:v>92.26</c:v>
                </c:pt>
                <c:pt idx="172">
                  <c:v>96.68</c:v>
                </c:pt>
                <c:pt idx="173">
                  <c:v>98.13</c:v>
                </c:pt>
                <c:pt idx="174">
                  <c:v>98.1</c:v>
                </c:pt>
                <c:pt idx="175">
                  <c:v>98.07</c:v>
                </c:pt>
                <c:pt idx="176">
                  <c:v>97.84</c:v>
                </c:pt>
                <c:pt idx="177">
                  <c:v>97.79</c:v>
                </c:pt>
                <c:pt idx="178">
                  <c:v>96.51</c:v>
                </c:pt>
                <c:pt idx="179">
                  <c:v>94.78</c:v>
                </c:pt>
                <c:pt idx="180">
                  <c:v>93.49</c:v>
                </c:pt>
                <c:pt idx="181">
                  <c:v>90.31</c:v>
                </c:pt>
                <c:pt idx="182">
                  <c:v>90.49</c:v>
                </c:pt>
                <c:pt idx="183">
                  <c:v>94.08</c:v>
                </c:pt>
                <c:pt idx="184">
                  <c:v>95.2</c:v>
                </c:pt>
                <c:pt idx="185">
                  <c:v>95.22</c:v>
                </c:pt>
                <c:pt idx="186">
                  <c:v>95.24</c:v>
                </c:pt>
                <c:pt idx="187">
                  <c:v>95.69</c:v>
                </c:pt>
                <c:pt idx="188">
                  <c:v>96.04</c:v>
                </c:pt>
                <c:pt idx="189">
                  <c:v>98.27</c:v>
                </c:pt>
                <c:pt idx="190">
                  <c:v>100.76</c:v>
                </c:pt>
                <c:pt idx="191">
                  <c:v>103.3</c:v>
                </c:pt>
                <c:pt idx="192">
                  <c:v>102.85</c:v>
                </c:pt>
                <c:pt idx="193">
                  <c:v>98.77</c:v>
                </c:pt>
                <c:pt idx="194">
                  <c:v>98.77</c:v>
                </c:pt>
                <c:pt idx="195">
                  <c:v>98.65</c:v>
                </c:pt>
                <c:pt idx="196">
                  <c:v>97.08</c:v>
                </c:pt>
                <c:pt idx="197">
                  <c:v>95.17</c:v>
                </c:pt>
                <c:pt idx="198">
                  <c:v>94.6</c:v>
                </c:pt>
                <c:pt idx="199">
                  <c:v>94.69</c:v>
                </c:pt>
                <c:pt idx="200">
                  <c:v>94.49</c:v>
                </c:pt>
                <c:pt idx="201">
                  <c:v>93.38</c:v>
                </c:pt>
                <c:pt idx="202">
                  <c:v>91.41</c:v>
                </c:pt>
                <c:pt idx="203">
                  <c:v>91.45</c:v>
                </c:pt>
                <c:pt idx="204">
                  <c:v>92.51</c:v>
                </c:pt>
                <c:pt idx="205">
                  <c:v>92.99</c:v>
                </c:pt>
                <c:pt idx="206">
                  <c:v>92.46</c:v>
                </c:pt>
                <c:pt idx="207">
                  <c:v>94.77</c:v>
                </c:pt>
                <c:pt idx="208">
                  <c:v>95.88</c:v>
                </c:pt>
                <c:pt idx="209">
                  <c:v>95.55</c:v>
                </c:pt>
                <c:pt idx="210">
                  <c:v>93.75</c:v>
                </c:pt>
                <c:pt idx="211">
                  <c:v>93.32</c:v>
                </c:pt>
                <c:pt idx="212">
                  <c:v>93.69</c:v>
                </c:pt>
                <c:pt idx="213">
                  <c:v>93.45</c:v>
                </c:pt>
                <c:pt idx="214">
                  <c:v>93.24</c:v>
                </c:pt>
                <c:pt idx="215">
                  <c:v>93.55</c:v>
                </c:pt>
                <c:pt idx="216">
                  <c:v>94.62</c:v>
                </c:pt>
                <c:pt idx="217">
                  <c:v>94.97</c:v>
                </c:pt>
                <c:pt idx="218">
                  <c:v>94.87</c:v>
                </c:pt>
                <c:pt idx="219">
                  <c:v>95.08</c:v>
                </c:pt>
                <c:pt idx="220">
                  <c:v>95.73</c:v>
                </c:pt>
                <c:pt idx="221">
                  <c:v>97.62</c:v>
                </c:pt>
                <c:pt idx="222">
                  <c:v>100.15</c:v>
                </c:pt>
                <c:pt idx="223">
                  <c:v>100.54</c:v>
                </c:pt>
                <c:pt idx="224">
                  <c:v>103.19</c:v>
                </c:pt>
                <c:pt idx="225">
                  <c:v>103.28</c:v>
                </c:pt>
                <c:pt idx="226">
                  <c:v>103.08</c:v>
                </c:pt>
                <c:pt idx="227">
                  <c:v>102.56</c:v>
                </c:pt>
                <c:pt idx="228">
                  <c:v>101.95</c:v>
                </c:pt>
                <c:pt idx="229">
                  <c:v>101.64</c:v>
                </c:pt>
                <c:pt idx="230">
                  <c:v>101.16</c:v>
                </c:pt>
                <c:pt idx="231">
                  <c:v>97.63</c:v>
                </c:pt>
                <c:pt idx="232">
                  <c:v>95.13</c:v>
                </c:pt>
                <c:pt idx="233">
                  <c:v>95.19</c:v>
                </c:pt>
                <c:pt idx="234">
                  <c:v>94.25</c:v>
                </c:pt>
                <c:pt idx="235">
                  <c:v>87.81</c:v>
                </c:pt>
                <c:pt idx="236">
                  <c:v>88.21</c:v>
                </c:pt>
                <c:pt idx="237">
                  <c:v>89.96</c:v>
                </c:pt>
                <c:pt idx="238">
                  <c:v>91.95</c:v>
                </c:pt>
                <c:pt idx="239">
                  <c:v>91.58</c:v>
                </c:pt>
                <c:pt idx="240">
                  <c:v>90.82</c:v>
                </c:pt>
                <c:pt idx="241">
                  <c:v>93.92</c:v>
                </c:pt>
                <c:pt idx="242">
                  <c:v>91.54</c:v>
                </c:pt>
                <c:pt idx="243">
                  <c:v>88.67</c:v>
                </c:pt>
                <c:pt idx="244">
                  <c:v>87.57</c:v>
                </c:pt>
                <c:pt idx="245">
                  <c:v>87.4</c:v>
                </c:pt>
                <c:pt idx="246">
                  <c:v>87.38</c:v>
                </c:pt>
                <c:pt idx="247">
                  <c:v>87.59</c:v>
                </c:pt>
                <c:pt idx="248">
                  <c:v>88.6</c:v>
                </c:pt>
                <c:pt idx="249">
                  <c:v>94</c:v>
                </c:pt>
                <c:pt idx="250">
                  <c:v>95.48</c:v>
                </c:pt>
                <c:pt idx="251">
                  <c:v>95.74</c:v>
                </c:pt>
                <c:pt idx="252">
                  <c:v>98.56</c:v>
                </c:pt>
                <c:pt idx="253">
                  <c:v>99.61</c:v>
                </c:pt>
                <c:pt idx="254">
                  <c:v>99.68</c:v>
                </c:pt>
                <c:pt idx="255">
                  <c:v>99.64</c:v>
                </c:pt>
                <c:pt idx="256">
                  <c:v>99.51</c:v>
                </c:pt>
                <c:pt idx="257">
                  <c:v>99.62</c:v>
                </c:pt>
                <c:pt idx="258">
                  <c:v>99.74</c:v>
                </c:pt>
                <c:pt idx="259">
                  <c:v>98.65</c:v>
                </c:pt>
                <c:pt idx="260">
                  <c:v>97.67</c:v>
                </c:pt>
                <c:pt idx="261">
                  <c:v>97.67</c:v>
                </c:pt>
                <c:pt idx="262">
                  <c:v>97.97</c:v>
                </c:pt>
                <c:pt idx="263">
                  <c:v>97.58</c:v>
                </c:pt>
                <c:pt idx="264">
                  <c:v>96.56</c:v>
                </c:pt>
                <c:pt idx="265">
                  <c:v>96.51</c:v>
                </c:pt>
                <c:pt idx="266">
                  <c:v>96.5</c:v>
                </c:pt>
                <c:pt idx="267">
                  <c:v>96.43</c:v>
                </c:pt>
                <c:pt idx="268">
                  <c:v>95.81</c:v>
                </c:pt>
                <c:pt idx="269">
                  <c:v>94.92</c:v>
                </c:pt>
                <c:pt idx="270">
                  <c:v>94.5</c:v>
                </c:pt>
                <c:pt idx="271">
                  <c:v>92.93</c:v>
                </c:pt>
                <c:pt idx="272">
                  <c:v>92.79</c:v>
                </c:pt>
                <c:pt idx="273">
                  <c:v>92.19</c:v>
                </c:pt>
                <c:pt idx="274">
                  <c:v>90.5</c:v>
                </c:pt>
                <c:pt idx="275">
                  <c:v>89.49</c:v>
                </c:pt>
                <c:pt idx="276">
                  <c:v>89.16</c:v>
                </c:pt>
                <c:pt idx="277">
                  <c:v>89.13</c:v>
                </c:pt>
                <c:pt idx="278">
                  <c:v>89.17</c:v>
                </c:pt>
                <c:pt idx="279">
                  <c:v>89.02</c:v>
                </c:pt>
                <c:pt idx="280">
                  <c:v>89.34</c:v>
                </c:pt>
                <c:pt idx="281">
                  <c:v>89.44</c:v>
                </c:pt>
                <c:pt idx="282">
                  <c:v>88.53</c:v>
                </c:pt>
                <c:pt idx="283">
                  <c:v>88.33</c:v>
                </c:pt>
                <c:pt idx="284">
                  <c:v>85.54</c:v>
                </c:pt>
                <c:pt idx="285">
                  <c:v>84.9</c:v>
                </c:pt>
                <c:pt idx="286">
                  <c:v>87.72</c:v>
                </c:pt>
                <c:pt idx="287">
                  <c:v>91.06</c:v>
                </c:pt>
                <c:pt idx="288">
                  <c:v>91.72</c:v>
                </c:pt>
                <c:pt idx="289">
                  <c:v>96.2</c:v>
                </c:pt>
                <c:pt idx="290">
                  <c:v>96.03</c:v>
                </c:pt>
                <c:pt idx="291">
                  <c:v>96.12</c:v>
                </c:pt>
                <c:pt idx="292">
                  <c:v>95.88</c:v>
                </c:pt>
                <c:pt idx="293">
                  <c:v>95.61</c:v>
                </c:pt>
                <c:pt idx="294">
                  <c:v>95.57</c:v>
                </c:pt>
                <c:pt idx="295">
                  <c:v>95.5</c:v>
                </c:pt>
                <c:pt idx="296">
                  <c:v>95.2</c:v>
                </c:pt>
                <c:pt idx="297">
                  <c:v>95.08</c:v>
                </c:pt>
                <c:pt idx="298">
                  <c:v>94.46</c:v>
                </c:pt>
                <c:pt idx="299">
                  <c:v>94.19</c:v>
                </c:pt>
                <c:pt idx="300">
                  <c:v>94.26</c:v>
                </c:pt>
                <c:pt idx="301">
                  <c:v>94.58</c:v>
                </c:pt>
                <c:pt idx="302">
                  <c:v>95.13</c:v>
                </c:pt>
                <c:pt idx="303">
                  <c:v>94.85</c:v>
                </c:pt>
                <c:pt idx="304">
                  <c:v>94.73</c:v>
                </c:pt>
                <c:pt idx="305">
                  <c:v>94.34</c:v>
                </c:pt>
                <c:pt idx="306">
                  <c:v>94.28</c:v>
                </c:pt>
                <c:pt idx="307">
                  <c:v>93.2</c:v>
                </c:pt>
                <c:pt idx="308">
                  <c:v>92.57</c:v>
                </c:pt>
                <c:pt idx="309">
                  <c:v>90.61</c:v>
                </c:pt>
                <c:pt idx="310">
                  <c:v>90.91</c:v>
                </c:pt>
                <c:pt idx="311">
                  <c:v>93.78</c:v>
                </c:pt>
                <c:pt idx="312">
                  <c:v>94.62</c:v>
                </c:pt>
                <c:pt idx="313">
                  <c:v>98.95</c:v>
                </c:pt>
                <c:pt idx="314">
                  <c:v>98.55</c:v>
                </c:pt>
                <c:pt idx="315">
                  <c:v>93.91</c:v>
                </c:pt>
                <c:pt idx="316">
                  <c:v>89.35</c:v>
                </c:pt>
                <c:pt idx="317">
                  <c:v>83.69</c:v>
                </c:pt>
                <c:pt idx="318">
                  <c:v>64.95</c:v>
                </c:pt>
                <c:pt idx="319">
                  <c:v>60.2</c:v>
                </c:pt>
                <c:pt idx="320">
                  <c:v>66.97</c:v>
                </c:pt>
                <c:pt idx="321">
                  <c:v>70.55</c:v>
                </c:pt>
                <c:pt idx="322">
                  <c:v>69.430000000000007</c:v>
                </c:pt>
                <c:pt idx="323">
                  <c:v>62.37</c:v>
                </c:pt>
                <c:pt idx="324">
                  <c:v>60.98</c:v>
                </c:pt>
                <c:pt idx="325">
                  <c:v>56.62</c:v>
                </c:pt>
                <c:pt idx="326">
                  <c:v>50</c:v>
                </c:pt>
                <c:pt idx="327">
                  <c:v>47.17</c:v>
                </c:pt>
                <c:pt idx="328">
                  <c:v>43.04</c:v>
                </c:pt>
                <c:pt idx="329">
                  <c:v>38.22</c:v>
                </c:pt>
                <c:pt idx="330">
                  <c:v>35.04</c:v>
                </c:pt>
                <c:pt idx="331">
                  <c:v>32.15</c:v>
                </c:pt>
                <c:pt idx="332">
                  <c:v>24.71</c:v>
                </c:pt>
                <c:pt idx="333">
                  <c:v>23.07</c:v>
                </c:pt>
                <c:pt idx="334">
                  <c:v>25.14</c:v>
                </c:pt>
                <c:pt idx="335">
                  <c:v>26.3</c:v>
                </c:pt>
                <c:pt idx="336">
                  <c:v>29.11</c:v>
                </c:pt>
                <c:pt idx="337">
                  <c:v>27.96</c:v>
                </c:pt>
                <c:pt idx="338">
                  <c:v>28.32</c:v>
                </c:pt>
                <c:pt idx="339">
                  <c:v>45.96</c:v>
                </c:pt>
                <c:pt idx="340">
                  <c:v>46.04</c:v>
                </c:pt>
                <c:pt idx="341">
                  <c:v>34.96</c:v>
                </c:pt>
                <c:pt idx="342">
                  <c:v>27.15</c:v>
                </c:pt>
                <c:pt idx="343">
                  <c:v>19.64</c:v>
                </c:pt>
                <c:pt idx="344">
                  <c:v>16.52</c:v>
                </c:pt>
                <c:pt idx="345">
                  <c:v>10.84</c:v>
                </c:pt>
                <c:pt idx="346">
                  <c:v>10.75</c:v>
                </c:pt>
                <c:pt idx="347">
                  <c:v>9.11</c:v>
                </c:pt>
                <c:pt idx="348">
                  <c:v>13.45</c:v>
                </c:pt>
                <c:pt idx="349">
                  <c:v>10.57</c:v>
                </c:pt>
                <c:pt idx="350">
                  <c:v>8.01</c:v>
                </c:pt>
                <c:pt idx="351">
                  <c:v>5.44</c:v>
                </c:pt>
                <c:pt idx="352">
                  <c:v>1.95</c:v>
                </c:pt>
                <c:pt idx="353">
                  <c:v>-7.0000000000000007E-2</c:v>
                </c:pt>
                <c:pt idx="354">
                  <c:v>-0.05</c:v>
                </c:pt>
                <c:pt idx="355">
                  <c:v>-0.04</c:v>
                </c:pt>
                <c:pt idx="356">
                  <c:v>-0.05</c:v>
                </c:pt>
                <c:pt idx="357">
                  <c:v>-0.01</c:v>
                </c:pt>
                <c:pt idx="358">
                  <c:v>-0.03</c:v>
                </c:pt>
                <c:pt idx="359">
                  <c:v>0.04</c:v>
                </c:pt>
                <c:pt idx="360">
                  <c:v>0.01</c:v>
                </c:pt>
                <c:pt idx="361">
                  <c:v>0.39</c:v>
                </c:pt>
                <c:pt idx="362">
                  <c:v>0.61</c:v>
                </c:pt>
                <c:pt idx="363">
                  <c:v>0.12</c:v>
                </c:pt>
                <c:pt idx="364">
                  <c:v>0.09</c:v>
                </c:pt>
                <c:pt idx="365">
                  <c:v>-7.0000000000000007E-2</c:v>
                </c:pt>
                <c:pt idx="366">
                  <c:v>27.52</c:v>
                </c:pt>
                <c:pt idx="367">
                  <c:v>34.39</c:v>
                </c:pt>
                <c:pt idx="368">
                  <c:v>32.54</c:v>
                </c:pt>
                <c:pt idx="369">
                  <c:v>25.93</c:v>
                </c:pt>
                <c:pt idx="370">
                  <c:v>21.31</c:v>
                </c:pt>
                <c:pt idx="371">
                  <c:v>15.91</c:v>
                </c:pt>
                <c:pt idx="372">
                  <c:v>8.65</c:v>
                </c:pt>
                <c:pt idx="373">
                  <c:v>5.21</c:v>
                </c:pt>
                <c:pt idx="374">
                  <c:v>4.59</c:v>
                </c:pt>
                <c:pt idx="375">
                  <c:v>2.59</c:v>
                </c:pt>
                <c:pt idx="376">
                  <c:v>0.64</c:v>
                </c:pt>
                <c:pt idx="377">
                  <c:v>1.1299999999999999</c:v>
                </c:pt>
                <c:pt idx="378">
                  <c:v>2.81</c:v>
                </c:pt>
                <c:pt idx="379">
                  <c:v>3.63</c:v>
                </c:pt>
                <c:pt idx="380">
                  <c:v>5.09</c:v>
                </c:pt>
                <c:pt idx="381">
                  <c:v>7.34</c:v>
                </c:pt>
                <c:pt idx="382">
                  <c:v>7.49</c:v>
                </c:pt>
                <c:pt idx="383">
                  <c:v>8.07</c:v>
                </c:pt>
                <c:pt idx="384">
                  <c:v>6.55</c:v>
                </c:pt>
                <c:pt idx="385">
                  <c:v>4.1399999999999997</c:v>
                </c:pt>
                <c:pt idx="386">
                  <c:v>1.84</c:v>
                </c:pt>
                <c:pt idx="387">
                  <c:v>0.69</c:v>
                </c:pt>
                <c:pt idx="388">
                  <c:v>0.09</c:v>
                </c:pt>
                <c:pt idx="389">
                  <c:v>0.1</c:v>
                </c:pt>
                <c:pt idx="390">
                  <c:v>0.12</c:v>
                </c:pt>
                <c:pt idx="391">
                  <c:v>1.3</c:v>
                </c:pt>
                <c:pt idx="392">
                  <c:v>1.94</c:v>
                </c:pt>
                <c:pt idx="393">
                  <c:v>3.83</c:v>
                </c:pt>
                <c:pt idx="394">
                  <c:v>5.09</c:v>
                </c:pt>
                <c:pt idx="395">
                  <c:v>7.8</c:v>
                </c:pt>
                <c:pt idx="396">
                  <c:v>14.05</c:v>
                </c:pt>
                <c:pt idx="397">
                  <c:v>22.76</c:v>
                </c:pt>
                <c:pt idx="398">
                  <c:v>31.6</c:v>
                </c:pt>
                <c:pt idx="399">
                  <c:v>39.56</c:v>
                </c:pt>
                <c:pt idx="400">
                  <c:v>46.79</c:v>
                </c:pt>
                <c:pt idx="401">
                  <c:v>55.22</c:v>
                </c:pt>
                <c:pt idx="402">
                  <c:v>56.42</c:v>
                </c:pt>
                <c:pt idx="403">
                  <c:v>56.65</c:v>
                </c:pt>
                <c:pt idx="404">
                  <c:v>56.91</c:v>
                </c:pt>
                <c:pt idx="405">
                  <c:v>56.74</c:v>
                </c:pt>
                <c:pt idx="406">
                  <c:v>56.7</c:v>
                </c:pt>
                <c:pt idx="407">
                  <c:v>56.71</c:v>
                </c:pt>
                <c:pt idx="408">
                  <c:v>56.7</c:v>
                </c:pt>
                <c:pt idx="409">
                  <c:v>56.1</c:v>
                </c:pt>
                <c:pt idx="410">
                  <c:v>57.2</c:v>
                </c:pt>
                <c:pt idx="411">
                  <c:v>57.21</c:v>
                </c:pt>
                <c:pt idx="412">
                  <c:v>57.69</c:v>
                </c:pt>
                <c:pt idx="413">
                  <c:v>58.13</c:v>
                </c:pt>
                <c:pt idx="414">
                  <c:v>58</c:v>
                </c:pt>
                <c:pt idx="415">
                  <c:v>57.52</c:v>
                </c:pt>
                <c:pt idx="416">
                  <c:v>57.25</c:v>
                </c:pt>
                <c:pt idx="417">
                  <c:v>57.03</c:v>
                </c:pt>
                <c:pt idx="418">
                  <c:v>57.08</c:v>
                </c:pt>
                <c:pt idx="419">
                  <c:v>56.79</c:v>
                </c:pt>
                <c:pt idx="420">
                  <c:v>56.82</c:v>
                </c:pt>
                <c:pt idx="421">
                  <c:v>56.82</c:v>
                </c:pt>
                <c:pt idx="422">
                  <c:v>57.17</c:v>
                </c:pt>
                <c:pt idx="423">
                  <c:v>59.32</c:v>
                </c:pt>
                <c:pt idx="424">
                  <c:v>64.84</c:v>
                </c:pt>
                <c:pt idx="425">
                  <c:v>70.02</c:v>
                </c:pt>
                <c:pt idx="426">
                  <c:v>73.540000000000006</c:v>
                </c:pt>
                <c:pt idx="427">
                  <c:v>78.13</c:v>
                </c:pt>
                <c:pt idx="428">
                  <c:v>77.95</c:v>
                </c:pt>
                <c:pt idx="429">
                  <c:v>79.53</c:v>
                </c:pt>
                <c:pt idx="430">
                  <c:v>76.86</c:v>
                </c:pt>
                <c:pt idx="431">
                  <c:v>77.02</c:v>
                </c:pt>
                <c:pt idx="432">
                  <c:v>76.64</c:v>
                </c:pt>
                <c:pt idx="433">
                  <c:v>76.75</c:v>
                </c:pt>
                <c:pt idx="434">
                  <c:v>76.37</c:v>
                </c:pt>
                <c:pt idx="435">
                  <c:v>73.849999999999994</c:v>
                </c:pt>
                <c:pt idx="436">
                  <c:v>70.69</c:v>
                </c:pt>
                <c:pt idx="437">
                  <c:v>66.099999999999994</c:v>
                </c:pt>
                <c:pt idx="438">
                  <c:v>65.87</c:v>
                </c:pt>
                <c:pt idx="439">
                  <c:v>66.06</c:v>
                </c:pt>
                <c:pt idx="440">
                  <c:v>69.400000000000006</c:v>
                </c:pt>
                <c:pt idx="441">
                  <c:v>69.790000000000006</c:v>
                </c:pt>
                <c:pt idx="442">
                  <c:v>68.819999999999993</c:v>
                </c:pt>
                <c:pt idx="443">
                  <c:v>67.989999999999995</c:v>
                </c:pt>
                <c:pt idx="444">
                  <c:v>69.680000000000007</c:v>
                </c:pt>
                <c:pt idx="445">
                  <c:v>71.23</c:v>
                </c:pt>
                <c:pt idx="446">
                  <c:v>74.290000000000006</c:v>
                </c:pt>
                <c:pt idx="447">
                  <c:v>72.150000000000006</c:v>
                </c:pt>
                <c:pt idx="448">
                  <c:v>70.56</c:v>
                </c:pt>
                <c:pt idx="449">
                  <c:v>61.52</c:v>
                </c:pt>
                <c:pt idx="450">
                  <c:v>59.59</c:v>
                </c:pt>
                <c:pt idx="451">
                  <c:v>52.37</c:v>
                </c:pt>
                <c:pt idx="452">
                  <c:v>48.18</c:v>
                </c:pt>
                <c:pt idx="453">
                  <c:v>44.08</c:v>
                </c:pt>
                <c:pt idx="454">
                  <c:v>43.91</c:v>
                </c:pt>
                <c:pt idx="455">
                  <c:v>40.479999999999997</c:v>
                </c:pt>
                <c:pt idx="456">
                  <c:v>49.34</c:v>
                </c:pt>
                <c:pt idx="457">
                  <c:v>52</c:v>
                </c:pt>
                <c:pt idx="458">
                  <c:v>55.73</c:v>
                </c:pt>
                <c:pt idx="459">
                  <c:v>58.88</c:v>
                </c:pt>
                <c:pt idx="460">
                  <c:v>60.45</c:v>
                </c:pt>
                <c:pt idx="461">
                  <c:v>59.98</c:v>
                </c:pt>
                <c:pt idx="462">
                  <c:v>59.54</c:v>
                </c:pt>
                <c:pt idx="463">
                  <c:v>60.37</c:v>
                </c:pt>
                <c:pt idx="464">
                  <c:v>61.52</c:v>
                </c:pt>
                <c:pt idx="465">
                  <c:v>59.46</c:v>
                </c:pt>
                <c:pt idx="466">
                  <c:v>59.26</c:v>
                </c:pt>
                <c:pt idx="467">
                  <c:v>57.15</c:v>
                </c:pt>
                <c:pt idx="468">
                  <c:v>58.13</c:v>
                </c:pt>
                <c:pt idx="469">
                  <c:v>57.26</c:v>
                </c:pt>
                <c:pt idx="470">
                  <c:v>58.08</c:v>
                </c:pt>
                <c:pt idx="471">
                  <c:v>57.55</c:v>
                </c:pt>
                <c:pt idx="472">
                  <c:v>56.13</c:v>
                </c:pt>
                <c:pt idx="473">
                  <c:v>57.34</c:v>
                </c:pt>
                <c:pt idx="474">
                  <c:v>54.47</c:v>
                </c:pt>
                <c:pt idx="475">
                  <c:v>54.66</c:v>
                </c:pt>
                <c:pt idx="476">
                  <c:v>51.68</c:v>
                </c:pt>
                <c:pt idx="477">
                  <c:v>51.38</c:v>
                </c:pt>
                <c:pt idx="478">
                  <c:v>50.65</c:v>
                </c:pt>
                <c:pt idx="479">
                  <c:v>50.53</c:v>
                </c:pt>
                <c:pt idx="480">
                  <c:v>50.49</c:v>
                </c:pt>
                <c:pt idx="481">
                  <c:v>44.18</c:v>
                </c:pt>
                <c:pt idx="482">
                  <c:v>43.44</c:v>
                </c:pt>
                <c:pt idx="483">
                  <c:v>42.52</c:v>
                </c:pt>
                <c:pt idx="484">
                  <c:v>42.44</c:v>
                </c:pt>
                <c:pt idx="485">
                  <c:v>41.42</c:v>
                </c:pt>
                <c:pt idx="486">
                  <c:v>37.880000000000003</c:v>
                </c:pt>
                <c:pt idx="487">
                  <c:v>34.28</c:v>
                </c:pt>
                <c:pt idx="488">
                  <c:v>35.89</c:v>
                </c:pt>
                <c:pt idx="489">
                  <c:v>32.869999999999997</c:v>
                </c:pt>
                <c:pt idx="490">
                  <c:v>35.32</c:v>
                </c:pt>
                <c:pt idx="491">
                  <c:v>38.21</c:v>
                </c:pt>
                <c:pt idx="492">
                  <c:v>33.01</c:v>
                </c:pt>
                <c:pt idx="493">
                  <c:v>32.049999999999997</c:v>
                </c:pt>
                <c:pt idx="494">
                  <c:v>30.38</c:v>
                </c:pt>
                <c:pt idx="495">
                  <c:v>28.5</c:v>
                </c:pt>
                <c:pt idx="496">
                  <c:v>29.09</c:v>
                </c:pt>
                <c:pt idx="497">
                  <c:v>29.44</c:v>
                </c:pt>
                <c:pt idx="498">
                  <c:v>26.57</c:v>
                </c:pt>
                <c:pt idx="499">
                  <c:v>26.6</c:v>
                </c:pt>
                <c:pt idx="500">
                  <c:v>26.55</c:v>
                </c:pt>
                <c:pt idx="501">
                  <c:v>24.6</c:v>
                </c:pt>
                <c:pt idx="502">
                  <c:v>25.04</c:v>
                </c:pt>
                <c:pt idx="503">
                  <c:v>25.01</c:v>
                </c:pt>
                <c:pt idx="504">
                  <c:v>24.66</c:v>
                </c:pt>
                <c:pt idx="505">
                  <c:v>21.61</c:v>
                </c:pt>
                <c:pt idx="506">
                  <c:v>21.41</c:v>
                </c:pt>
                <c:pt idx="507">
                  <c:v>21.26</c:v>
                </c:pt>
                <c:pt idx="508">
                  <c:v>21.07</c:v>
                </c:pt>
                <c:pt idx="509">
                  <c:v>21.69</c:v>
                </c:pt>
                <c:pt idx="510">
                  <c:v>23.26</c:v>
                </c:pt>
                <c:pt idx="511">
                  <c:v>20.53</c:v>
                </c:pt>
                <c:pt idx="512">
                  <c:v>18.89</c:v>
                </c:pt>
                <c:pt idx="513">
                  <c:v>16.39</c:v>
                </c:pt>
                <c:pt idx="514">
                  <c:v>11.72</c:v>
                </c:pt>
                <c:pt idx="515">
                  <c:v>7.22</c:v>
                </c:pt>
                <c:pt idx="516">
                  <c:v>4.96</c:v>
                </c:pt>
                <c:pt idx="517">
                  <c:v>2.5</c:v>
                </c:pt>
                <c:pt idx="518">
                  <c:v>1.19</c:v>
                </c:pt>
                <c:pt idx="519">
                  <c:v>3.67</c:v>
                </c:pt>
                <c:pt idx="520">
                  <c:v>17.66</c:v>
                </c:pt>
                <c:pt idx="521">
                  <c:v>22.03</c:v>
                </c:pt>
                <c:pt idx="522">
                  <c:v>20.41</c:v>
                </c:pt>
                <c:pt idx="523">
                  <c:v>17.21</c:v>
                </c:pt>
                <c:pt idx="524">
                  <c:v>13.61</c:v>
                </c:pt>
                <c:pt idx="525">
                  <c:v>11.06</c:v>
                </c:pt>
                <c:pt idx="526">
                  <c:v>7.23</c:v>
                </c:pt>
                <c:pt idx="527">
                  <c:v>6.58</c:v>
                </c:pt>
                <c:pt idx="528">
                  <c:v>8.7799999999999994</c:v>
                </c:pt>
                <c:pt idx="529">
                  <c:v>19.84</c:v>
                </c:pt>
                <c:pt idx="530">
                  <c:v>25.79</c:v>
                </c:pt>
                <c:pt idx="531">
                  <c:v>25.37</c:v>
                </c:pt>
                <c:pt idx="532">
                  <c:v>25.72</c:v>
                </c:pt>
                <c:pt idx="533">
                  <c:v>26.25</c:v>
                </c:pt>
                <c:pt idx="534">
                  <c:v>19.760000000000002</c:v>
                </c:pt>
                <c:pt idx="535">
                  <c:v>15.01</c:v>
                </c:pt>
                <c:pt idx="536">
                  <c:v>15.08</c:v>
                </c:pt>
                <c:pt idx="537">
                  <c:v>14.48</c:v>
                </c:pt>
                <c:pt idx="538">
                  <c:v>13.32</c:v>
                </c:pt>
                <c:pt idx="539">
                  <c:v>13.41</c:v>
                </c:pt>
                <c:pt idx="540">
                  <c:v>15.3</c:v>
                </c:pt>
                <c:pt idx="541">
                  <c:v>16.600000000000001</c:v>
                </c:pt>
                <c:pt idx="542">
                  <c:v>18.559999999999999</c:v>
                </c:pt>
                <c:pt idx="543">
                  <c:v>26.62</c:v>
                </c:pt>
                <c:pt idx="544">
                  <c:v>29.49</c:v>
                </c:pt>
                <c:pt idx="545">
                  <c:v>35.58</c:v>
                </c:pt>
                <c:pt idx="546">
                  <c:v>43.58</c:v>
                </c:pt>
                <c:pt idx="547">
                  <c:v>43.61</c:v>
                </c:pt>
                <c:pt idx="548">
                  <c:v>47.65</c:v>
                </c:pt>
                <c:pt idx="549">
                  <c:v>56.35</c:v>
                </c:pt>
                <c:pt idx="550">
                  <c:v>60.13</c:v>
                </c:pt>
                <c:pt idx="551">
                  <c:v>76.53</c:v>
                </c:pt>
                <c:pt idx="552">
                  <c:v>76.45</c:v>
                </c:pt>
                <c:pt idx="553">
                  <c:v>78.11</c:v>
                </c:pt>
                <c:pt idx="554">
                  <c:v>76.05</c:v>
                </c:pt>
                <c:pt idx="555">
                  <c:v>71.94</c:v>
                </c:pt>
                <c:pt idx="556">
                  <c:v>72.400000000000006</c:v>
                </c:pt>
                <c:pt idx="557">
                  <c:v>67.760000000000005</c:v>
                </c:pt>
                <c:pt idx="558">
                  <c:v>71.02</c:v>
                </c:pt>
                <c:pt idx="559">
                  <c:v>69.3</c:v>
                </c:pt>
                <c:pt idx="560">
                  <c:v>68.959999999999994</c:v>
                </c:pt>
                <c:pt idx="561">
                  <c:v>70.38</c:v>
                </c:pt>
                <c:pt idx="562">
                  <c:v>69.540000000000006</c:v>
                </c:pt>
                <c:pt idx="563">
                  <c:v>70.2</c:v>
                </c:pt>
                <c:pt idx="564">
                  <c:v>67.400000000000006</c:v>
                </c:pt>
                <c:pt idx="565">
                  <c:v>63.9</c:v>
                </c:pt>
                <c:pt idx="566">
                  <c:v>64.099999999999994</c:v>
                </c:pt>
                <c:pt idx="567">
                  <c:v>60.17</c:v>
                </c:pt>
                <c:pt idx="568">
                  <c:v>63.97</c:v>
                </c:pt>
                <c:pt idx="569">
                  <c:v>67.41</c:v>
                </c:pt>
                <c:pt idx="570">
                  <c:v>66.52</c:v>
                </c:pt>
                <c:pt idx="571">
                  <c:v>69.709999999999994</c:v>
                </c:pt>
                <c:pt idx="572">
                  <c:v>67.540000000000006</c:v>
                </c:pt>
                <c:pt idx="573">
                  <c:v>69.87</c:v>
                </c:pt>
                <c:pt idx="574">
                  <c:v>71.75</c:v>
                </c:pt>
                <c:pt idx="575">
                  <c:v>71.569999999999993</c:v>
                </c:pt>
                <c:pt idx="576">
                  <c:v>77.38</c:v>
                </c:pt>
                <c:pt idx="577">
                  <c:v>76.069999999999993</c:v>
                </c:pt>
                <c:pt idx="578">
                  <c:v>77.88</c:v>
                </c:pt>
                <c:pt idx="579">
                  <c:v>78.19</c:v>
                </c:pt>
                <c:pt idx="580">
                  <c:v>74.42</c:v>
                </c:pt>
                <c:pt idx="581">
                  <c:v>77.47</c:v>
                </c:pt>
                <c:pt idx="582">
                  <c:v>74.66</c:v>
                </c:pt>
                <c:pt idx="583">
                  <c:v>77.84</c:v>
                </c:pt>
                <c:pt idx="584">
                  <c:v>74.83</c:v>
                </c:pt>
                <c:pt idx="585">
                  <c:v>72.819999999999993</c:v>
                </c:pt>
                <c:pt idx="586">
                  <c:v>69.98</c:v>
                </c:pt>
                <c:pt idx="587">
                  <c:v>74.84</c:v>
                </c:pt>
                <c:pt idx="588">
                  <c:v>61.98</c:v>
                </c:pt>
                <c:pt idx="589">
                  <c:v>62.76</c:v>
                </c:pt>
                <c:pt idx="590">
                  <c:v>54.2</c:v>
                </c:pt>
                <c:pt idx="591">
                  <c:v>59.94</c:v>
                </c:pt>
                <c:pt idx="592">
                  <c:v>61.17</c:v>
                </c:pt>
                <c:pt idx="593">
                  <c:v>66.48</c:v>
                </c:pt>
                <c:pt idx="594">
                  <c:v>71.8</c:v>
                </c:pt>
                <c:pt idx="595">
                  <c:v>69.319999999999993</c:v>
                </c:pt>
                <c:pt idx="596">
                  <c:v>72.150000000000006</c:v>
                </c:pt>
                <c:pt idx="597">
                  <c:v>64.48</c:v>
                </c:pt>
                <c:pt idx="598">
                  <c:v>68.33</c:v>
                </c:pt>
                <c:pt idx="599">
                  <c:v>59.71</c:v>
                </c:pt>
                <c:pt idx="600">
                  <c:v>64.38</c:v>
                </c:pt>
                <c:pt idx="601">
                  <c:v>60.45</c:v>
                </c:pt>
                <c:pt idx="602">
                  <c:v>60.42</c:v>
                </c:pt>
                <c:pt idx="603">
                  <c:v>61.76</c:v>
                </c:pt>
                <c:pt idx="604">
                  <c:v>56.91</c:v>
                </c:pt>
                <c:pt idx="605">
                  <c:v>55.83</c:v>
                </c:pt>
                <c:pt idx="606">
                  <c:v>51.44</c:v>
                </c:pt>
                <c:pt idx="607">
                  <c:v>50.08</c:v>
                </c:pt>
                <c:pt idx="608">
                  <c:v>47.76</c:v>
                </c:pt>
                <c:pt idx="609">
                  <c:v>49.07</c:v>
                </c:pt>
                <c:pt idx="610">
                  <c:v>51.52</c:v>
                </c:pt>
                <c:pt idx="611">
                  <c:v>51.66</c:v>
                </c:pt>
                <c:pt idx="612">
                  <c:v>53.4</c:v>
                </c:pt>
                <c:pt idx="613">
                  <c:v>54.05</c:v>
                </c:pt>
                <c:pt idx="614">
                  <c:v>53.52</c:v>
                </c:pt>
                <c:pt idx="615">
                  <c:v>53.93</c:v>
                </c:pt>
                <c:pt idx="616">
                  <c:v>50.5</c:v>
                </c:pt>
                <c:pt idx="617">
                  <c:v>47.9</c:v>
                </c:pt>
                <c:pt idx="618">
                  <c:v>47.79</c:v>
                </c:pt>
                <c:pt idx="619">
                  <c:v>45.62</c:v>
                </c:pt>
                <c:pt idx="620">
                  <c:v>42.09</c:v>
                </c:pt>
                <c:pt idx="621">
                  <c:v>45.29</c:v>
                </c:pt>
                <c:pt idx="622">
                  <c:v>43.79</c:v>
                </c:pt>
                <c:pt idx="623">
                  <c:v>43.66</c:v>
                </c:pt>
                <c:pt idx="624">
                  <c:v>41.92</c:v>
                </c:pt>
                <c:pt idx="625">
                  <c:v>42.81</c:v>
                </c:pt>
                <c:pt idx="626">
                  <c:v>39.6</c:v>
                </c:pt>
                <c:pt idx="627">
                  <c:v>36.659999999999997</c:v>
                </c:pt>
                <c:pt idx="628">
                  <c:v>32.06</c:v>
                </c:pt>
                <c:pt idx="629">
                  <c:v>35</c:v>
                </c:pt>
                <c:pt idx="630">
                  <c:v>34.67</c:v>
                </c:pt>
                <c:pt idx="631">
                  <c:v>34.67</c:v>
                </c:pt>
                <c:pt idx="632">
                  <c:v>33.5</c:v>
                </c:pt>
                <c:pt idx="633">
                  <c:v>34.61</c:v>
                </c:pt>
                <c:pt idx="634">
                  <c:v>33.799999999999997</c:v>
                </c:pt>
                <c:pt idx="635">
                  <c:v>33.229999999999997</c:v>
                </c:pt>
                <c:pt idx="636">
                  <c:v>35.130000000000003</c:v>
                </c:pt>
                <c:pt idx="637">
                  <c:v>39.909999999999997</c:v>
                </c:pt>
                <c:pt idx="638">
                  <c:v>40.950000000000003</c:v>
                </c:pt>
                <c:pt idx="639">
                  <c:v>41.08</c:v>
                </c:pt>
                <c:pt idx="640">
                  <c:v>41.96</c:v>
                </c:pt>
                <c:pt idx="641">
                  <c:v>48.43</c:v>
                </c:pt>
                <c:pt idx="642">
                  <c:v>44.17</c:v>
                </c:pt>
                <c:pt idx="643">
                  <c:v>48.25</c:v>
                </c:pt>
                <c:pt idx="644">
                  <c:v>50.46</c:v>
                </c:pt>
                <c:pt idx="645">
                  <c:v>46.32</c:v>
                </c:pt>
                <c:pt idx="646">
                  <c:v>45.07</c:v>
                </c:pt>
                <c:pt idx="647">
                  <c:v>43.53</c:v>
                </c:pt>
                <c:pt idx="648">
                  <c:v>43.12</c:v>
                </c:pt>
                <c:pt idx="649">
                  <c:v>40.92</c:v>
                </c:pt>
                <c:pt idx="650">
                  <c:v>41.43</c:v>
                </c:pt>
                <c:pt idx="651">
                  <c:v>41.45</c:v>
                </c:pt>
                <c:pt idx="652">
                  <c:v>40.799999999999997</c:v>
                </c:pt>
                <c:pt idx="653">
                  <c:v>38.619999999999997</c:v>
                </c:pt>
                <c:pt idx="654">
                  <c:v>38.56</c:v>
                </c:pt>
                <c:pt idx="655">
                  <c:v>37.869999999999997</c:v>
                </c:pt>
                <c:pt idx="656">
                  <c:v>37.020000000000003</c:v>
                </c:pt>
                <c:pt idx="657">
                  <c:v>36.090000000000003</c:v>
                </c:pt>
                <c:pt idx="658">
                  <c:v>36</c:v>
                </c:pt>
                <c:pt idx="659">
                  <c:v>38.31</c:v>
                </c:pt>
                <c:pt idx="660">
                  <c:v>35.659999999999997</c:v>
                </c:pt>
                <c:pt idx="661">
                  <c:v>36.94</c:v>
                </c:pt>
                <c:pt idx="662">
                  <c:v>41.34</c:v>
                </c:pt>
                <c:pt idx="663">
                  <c:v>38.79</c:v>
                </c:pt>
                <c:pt idx="664">
                  <c:v>39.33</c:v>
                </c:pt>
                <c:pt idx="665">
                  <c:v>39.54</c:v>
                </c:pt>
                <c:pt idx="666">
                  <c:v>37.44</c:v>
                </c:pt>
                <c:pt idx="667">
                  <c:v>37.49</c:v>
                </c:pt>
                <c:pt idx="668">
                  <c:v>38.200000000000003</c:v>
                </c:pt>
                <c:pt idx="669">
                  <c:v>42.88</c:v>
                </c:pt>
                <c:pt idx="670">
                  <c:v>41.43</c:v>
                </c:pt>
                <c:pt idx="671">
                  <c:v>38.049999999999997</c:v>
                </c:pt>
                <c:pt idx="672">
                  <c:v>40.46</c:v>
                </c:pt>
                <c:pt idx="673">
                  <c:v>40.46</c:v>
                </c:pt>
                <c:pt idx="674">
                  <c:v>34.96</c:v>
                </c:pt>
                <c:pt idx="675">
                  <c:v>34.659999999999997</c:v>
                </c:pt>
                <c:pt idx="676">
                  <c:v>34.630000000000003</c:v>
                </c:pt>
                <c:pt idx="677">
                  <c:v>31.59</c:v>
                </c:pt>
                <c:pt idx="678">
                  <c:v>28.38</c:v>
                </c:pt>
                <c:pt idx="679">
                  <c:v>29.84</c:v>
                </c:pt>
                <c:pt idx="680">
                  <c:v>29.55</c:v>
                </c:pt>
                <c:pt idx="681">
                  <c:v>29.58</c:v>
                </c:pt>
                <c:pt idx="682">
                  <c:v>32.31</c:v>
                </c:pt>
                <c:pt idx="683">
                  <c:v>33.57</c:v>
                </c:pt>
                <c:pt idx="684">
                  <c:v>31.68</c:v>
                </c:pt>
                <c:pt idx="685">
                  <c:v>31.57</c:v>
                </c:pt>
                <c:pt idx="686">
                  <c:v>32.520000000000003</c:v>
                </c:pt>
                <c:pt idx="687">
                  <c:v>30.64</c:v>
                </c:pt>
                <c:pt idx="688">
                  <c:v>29.66</c:v>
                </c:pt>
                <c:pt idx="689">
                  <c:v>30.16</c:v>
                </c:pt>
                <c:pt idx="690">
                  <c:v>32.22</c:v>
                </c:pt>
                <c:pt idx="691">
                  <c:v>31.12</c:v>
                </c:pt>
                <c:pt idx="692">
                  <c:v>31.65</c:v>
                </c:pt>
                <c:pt idx="693">
                  <c:v>32.67</c:v>
                </c:pt>
                <c:pt idx="694">
                  <c:v>32.409999999999997</c:v>
                </c:pt>
                <c:pt idx="695">
                  <c:v>31.18</c:v>
                </c:pt>
                <c:pt idx="696">
                  <c:v>29.54</c:v>
                </c:pt>
                <c:pt idx="697">
                  <c:v>25.72</c:v>
                </c:pt>
                <c:pt idx="698">
                  <c:v>23.69</c:v>
                </c:pt>
                <c:pt idx="699">
                  <c:v>20.27</c:v>
                </c:pt>
                <c:pt idx="700">
                  <c:v>19.79</c:v>
                </c:pt>
                <c:pt idx="701">
                  <c:v>18.829999999999998</c:v>
                </c:pt>
                <c:pt idx="702">
                  <c:v>20.79</c:v>
                </c:pt>
                <c:pt idx="703">
                  <c:v>21.72</c:v>
                </c:pt>
                <c:pt idx="704">
                  <c:v>23</c:v>
                </c:pt>
                <c:pt idx="705">
                  <c:v>22.13</c:v>
                </c:pt>
                <c:pt idx="706">
                  <c:v>22.53</c:v>
                </c:pt>
                <c:pt idx="707">
                  <c:v>23.07</c:v>
                </c:pt>
                <c:pt idx="708">
                  <c:v>24.2</c:v>
                </c:pt>
                <c:pt idx="709">
                  <c:v>23.7</c:v>
                </c:pt>
                <c:pt idx="710">
                  <c:v>24.77</c:v>
                </c:pt>
                <c:pt idx="711">
                  <c:v>24.61</c:v>
                </c:pt>
                <c:pt idx="712">
                  <c:v>22.2</c:v>
                </c:pt>
                <c:pt idx="713">
                  <c:v>25.7</c:v>
                </c:pt>
                <c:pt idx="714">
                  <c:v>39.68</c:v>
                </c:pt>
                <c:pt idx="715">
                  <c:v>36.68</c:v>
                </c:pt>
                <c:pt idx="716">
                  <c:v>38.409999999999997</c:v>
                </c:pt>
                <c:pt idx="717">
                  <c:v>40.630000000000003</c:v>
                </c:pt>
                <c:pt idx="718">
                  <c:v>39.630000000000003</c:v>
                </c:pt>
                <c:pt idx="719">
                  <c:v>38.130000000000003</c:v>
                </c:pt>
                <c:pt idx="720">
                  <c:v>36.61</c:v>
                </c:pt>
                <c:pt idx="721">
                  <c:v>36.47</c:v>
                </c:pt>
                <c:pt idx="722">
                  <c:v>34.96</c:v>
                </c:pt>
                <c:pt idx="723">
                  <c:v>32.75</c:v>
                </c:pt>
                <c:pt idx="724">
                  <c:v>32.61</c:v>
                </c:pt>
                <c:pt idx="725">
                  <c:v>34.65</c:v>
                </c:pt>
                <c:pt idx="726">
                  <c:v>31.25</c:v>
                </c:pt>
                <c:pt idx="727">
                  <c:v>27.63</c:v>
                </c:pt>
                <c:pt idx="728">
                  <c:v>25.43</c:v>
                </c:pt>
                <c:pt idx="729">
                  <c:v>28.46</c:v>
                </c:pt>
                <c:pt idx="730">
                  <c:v>25.97</c:v>
                </c:pt>
                <c:pt idx="731">
                  <c:v>25.75</c:v>
                </c:pt>
                <c:pt idx="732">
                  <c:v>28.6</c:v>
                </c:pt>
                <c:pt idx="733">
                  <c:v>28.83</c:v>
                </c:pt>
                <c:pt idx="734">
                  <c:v>27.61</c:v>
                </c:pt>
                <c:pt idx="735">
                  <c:v>27.38</c:v>
                </c:pt>
                <c:pt idx="736">
                  <c:v>26.8</c:v>
                </c:pt>
                <c:pt idx="737">
                  <c:v>23.81</c:v>
                </c:pt>
                <c:pt idx="738">
                  <c:v>22.08</c:v>
                </c:pt>
                <c:pt idx="739">
                  <c:v>23.1</c:v>
                </c:pt>
                <c:pt idx="740">
                  <c:v>22.92</c:v>
                </c:pt>
                <c:pt idx="741">
                  <c:v>23.22</c:v>
                </c:pt>
                <c:pt idx="742">
                  <c:v>25.14</c:v>
                </c:pt>
                <c:pt idx="743">
                  <c:v>26.4</c:v>
                </c:pt>
                <c:pt idx="744">
                  <c:v>24.06</c:v>
                </c:pt>
                <c:pt idx="745">
                  <c:v>21.98</c:v>
                </c:pt>
                <c:pt idx="746">
                  <c:v>20.57</c:v>
                </c:pt>
                <c:pt idx="747">
                  <c:v>16.93</c:v>
                </c:pt>
                <c:pt idx="748">
                  <c:v>19.55</c:v>
                </c:pt>
                <c:pt idx="749">
                  <c:v>22.11</c:v>
                </c:pt>
                <c:pt idx="750">
                  <c:v>23.33</c:v>
                </c:pt>
                <c:pt idx="751">
                  <c:v>22.69</c:v>
                </c:pt>
                <c:pt idx="752">
                  <c:v>23.59</c:v>
                </c:pt>
                <c:pt idx="753">
                  <c:v>23.24</c:v>
                </c:pt>
                <c:pt idx="754">
                  <c:v>23.2</c:v>
                </c:pt>
                <c:pt idx="755">
                  <c:v>24.08</c:v>
                </c:pt>
                <c:pt idx="756">
                  <c:v>28.78</c:v>
                </c:pt>
                <c:pt idx="757">
                  <c:v>35.14</c:v>
                </c:pt>
                <c:pt idx="758">
                  <c:v>37.409999999999997</c:v>
                </c:pt>
                <c:pt idx="759">
                  <c:v>39.630000000000003</c:v>
                </c:pt>
                <c:pt idx="760">
                  <c:v>45.19</c:v>
                </c:pt>
                <c:pt idx="761">
                  <c:v>44</c:v>
                </c:pt>
                <c:pt idx="762">
                  <c:v>44.57</c:v>
                </c:pt>
                <c:pt idx="763">
                  <c:v>45.41</c:v>
                </c:pt>
                <c:pt idx="764">
                  <c:v>45.23</c:v>
                </c:pt>
                <c:pt idx="765">
                  <c:v>47.23</c:v>
                </c:pt>
                <c:pt idx="766">
                  <c:v>49.46</c:v>
                </c:pt>
                <c:pt idx="767">
                  <c:v>51.83</c:v>
                </c:pt>
                <c:pt idx="768">
                  <c:v>55.29</c:v>
                </c:pt>
                <c:pt idx="769">
                  <c:v>57.54</c:v>
                </c:pt>
                <c:pt idx="770">
                  <c:v>58.71</c:v>
                </c:pt>
                <c:pt idx="771">
                  <c:v>63.29</c:v>
                </c:pt>
                <c:pt idx="772">
                  <c:v>62.51</c:v>
                </c:pt>
                <c:pt idx="773">
                  <c:v>64.87</c:v>
                </c:pt>
                <c:pt idx="774">
                  <c:v>67.61</c:v>
                </c:pt>
                <c:pt idx="775">
                  <c:v>67.150000000000006</c:v>
                </c:pt>
                <c:pt idx="776">
                  <c:v>71.040000000000006</c:v>
                </c:pt>
                <c:pt idx="777">
                  <c:v>73.17</c:v>
                </c:pt>
                <c:pt idx="778">
                  <c:v>74.05</c:v>
                </c:pt>
                <c:pt idx="779">
                  <c:v>79.78</c:v>
                </c:pt>
                <c:pt idx="780">
                  <c:v>79.900000000000006</c:v>
                </c:pt>
                <c:pt idx="781">
                  <c:v>80.38</c:v>
                </c:pt>
                <c:pt idx="782">
                  <c:v>78.709999999999994</c:v>
                </c:pt>
                <c:pt idx="783">
                  <c:v>77.72</c:v>
                </c:pt>
                <c:pt idx="784">
                  <c:v>76.150000000000006</c:v>
                </c:pt>
                <c:pt idx="785">
                  <c:v>75.09</c:v>
                </c:pt>
                <c:pt idx="786">
                  <c:v>74.63</c:v>
                </c:pt>
                <c:pt idx="787">
                  <c:v>73.83</c:v>
                </c:pt>
                <c:pt idx="788">
                  <c:v>74.069999999999993</c:v>
                </c:pt>
                <c:pt idx="789">
                  <c:v>73.489999999999995</c:v>
                </c:pt>
                <c:pt idx="790">
                  <c:v>73.42</c:v>
                </c:pt>
                <c:pt idx="791">
                  <c:v>73.900000000000006</c:v>
                </c:pt>
                <c:pt idx="792">
                  <c:v>75.14</c:v>
                </c:pt>
                <c:pt idx="793">
                  <c:v>75.63</c:v>
                </c:pt>
                <c:pt idx="794">
                  <c:v>79.290000000000006</c:v>
                </c:pt>
                <c:pt idx="795">
                  <c:v>78.790000000000006</c:v>
                </c:pt>
                <c:pt idx="796">
                  <c:v>78.84</c:v>
                </c:pt>
                <c:pt idx="797">
                  <c:v>78.53</c:v>
                </c:pt>
                <c:pt idx="798">
                  <c:v>78.12</c:v>
                </c:pt>
                <c:pt idx="799">
                  <c:v>76.739999999999995</c:v>
                </c:pt>
                <c:pt idx="800">
                  <c:v>76.75</c:v>
                </c:pt>
                <c:pt idx="801">
                  <c:v>74.540000000000006</c:v>
                </c:pt>
                <c:pt idx="802">
                  <c:v>73.62</c:v>
                </c:pt>
                <c:pt idx="803">
                  <c:v>73.02</c:v>
                </c:pt>
                <c:pt idx="804">
                  <c:v>70.209999999999994</c:v>
                </c:pt>
                <c:pt idx="805">
                  <c:v>67.55</c:v>
                </c:pt>
                <c:pt idx="806">
                  <c:v>68.900000000000006</c:v>
                </c:pt>
                <c:pt idx="807">
                  <c:v>67.239999999999995</c:v>
                </c:pt>
                <c:pt idx="808">
                  <c:v>77.75</c:v>
                </c:pt>
                <c:pt idx="809">
                  <c:v>75.83</c:v>
                </c:pt>
                <c:pt idx="810">
                  <c:v>76.540000000000006</c:v>
                </c:pt>
                <c:pt idx="811">
                  <c:v>75.3</c:v>
                </c:pt>
                <c:pt idx="812">
                  <c:v>72.319999999999993</c:v>
                </c:pt>
                <c:pt idx="813">
                  <c:v>72.319999999999993</c:v>
                </c:pt>
                <c:pt idx="814">
                  <c:v>70.89</c:v>
                </c:pt>
                <c:pt idx="815">
                  <c:v>75.680000000000007</c:v>
                </c:pt>
                <c:pt idx="816">
                  <c:v>77.290000000000006</c:v>
                </c:pt>
                <c:pt idx="817">
                  <c:v>82.68</c:v>
                </c:pt>
                <c:pt idx="818">
                  <c:v>83</c:v>
                </c:pt>
                <c:pt idx="819">
                  <c:v>80.92</c:v>
                </c:pt>
                <c:pt idx="820">
                  <c:v>80.92</c:v>
                </c:pt>
                <c:pt idx="821">
                  <c:v>78.67</c:v>
                </c:pt>
                <c:pt idx="822">
                  <c:v>78.2</c:v>
                </c:pt>
                <c:pt idx="823">
                  <c:v>77.8</c:v>
                </c:pt>
                <c:pt idx="824">
                  <c:v>76</c:v>
                </c:pt>
                <c:pt idx="825">
                  <c:v>75.86</c:v>
                </c:pt>
                <c:pt idx="826">
                  <c:v>72.650000000000006</c:v>
                </c:pt>
                <c:pt idx="827">
                  <c:v>74.31</c:v>
                </c:pt>
                <c:pt idx="828">
                  <c:v>73.64</c:v>
                </c:pt>
                <c:pt idx="829">
                  <c:v>73.8</c:v>
                </c:pt>
                <c:pt idx="830">
                  <c:v>74.02</c:v>
                </c:pt>
                <c:pt idx="831">
                  <c:v>71.8</c:v>
                </c:pt>
                <c:pt idx="832">
                  <c:v>69.489999999999995</c:v>
                </c:pt>
                <c:pt idx="833">
                  <c:v>68.510000000000005</c:v>
                </c:pt>
                <c:pt idx="834">
                  <c:v>64.930000000000007</c:v>
                </c:pt>
                <c:pt idx="835">
                  <c:v>67.44</c:v>
                </c:pt>
                <c:pt idx="836">
                  <c:v>66.63</c:v>
                </c:pt>
                <c:pt idx="837">
                  <c:v>66.540000000000006</c:v>
                </c:pt>
                <c:pt idx="838">
                  <c:v>66.98</c:v>
                </c:pt>
                <c:pt idx="839">
                  <c:v>65.55</c:v>
                </c:pt>
                <c:pt idx="840">
                  <c:v>68.84</c:v>
                </c:pt>
                <c:pt idx="841">
                  <c:v>66.38</c:v>
                </c:pt>
                <c:pt idx="842">
                  <c:v>65.34</c:v>
                </c:pt>
                <c:pt idx="843">
                  <c:v>57.05</c:v>
                </c:pt>
                <c:pt idx="844">
                  <c:v>59.56</c:v>
                </c:pt>
                <c:pt idx="845">
                  <c:v>49.76</c:v>
                </c:pt>
                <c:pt idx="846">
                  <c:v>55.18</c:v>
                </c:pt>
                <c:pt idx="847">
                  <c:v>52.13</c:v>
                </c:pt>
                <c:pt idx="848">
                  <c:v>54.74</c:v>
                </c:pt>
                <c:pt idx="849">
                  <c:v>55.01</c:v>
                </c:pt>
                <c:pt idx="850">
                  <c:v>52.4</c:v>
                </c:pt>
                <c:pt idx="851">
                  <c:v>54.47</c:v>
                </c:pt>
                <c:pt idx="852">
                  <c:v>49.26</c:v>
                </c:pt>
                <c:pt idx="853">
                  <c:v>45.98</c:v>
                </c:pt>
                <c:pt idx="854">
                  <c:v>44.38</c:v>
                </c:pt>
                <c:pt idx="855">
                  <c:v>39.840000000000003</c:v>
                </c:pt>
                <c:pt idx="856">
                  <c:v>42.74</c:v>
                </c:pt>
                <c:pt idx="857">
                  <c:v>42.58</c:v>
                </c:pt>
                <c:pt idx="858">
                  <c:v>43.25</c:v>
                </c:pt>
                <c:pt idx="859">
                  <c:v>43.66</c:v>
                </c:pt>
                <c:pt idx="860">
                  <c:v>43.97</c:v>
                </c:pt>
                <c:pt idx="861">
                  <c:v>44.74</c:v>
                </c:pt>
                <c:pt idx="862">
                  <c:v>43.7</c:v>
                </c:pt>
                <c:pt idx="863">
                  <c:v>49.17</c:v>
                </c:pt>
                <c:pt idx="864">
                  <c:v>50.71</c:v>
                </c:pt>
                <c:pt idx="865">
                  <c:v>48.71</c:v>
                </c:pt>
                <c:pt idx="866">
                  <c:v>48.34</c:v>
                </c:pt>
                <c:pt idx="867">
                  <c:v>48.9</c:v>
                </c:pt>
                <c:pt idx="868">
                  <c:v>43.05</c:v>
                </c:pt>
                <c:pt idx="869">
                  <c:v>44.69</c:v>
                </c:pt>
                <c:pt idx="870">
                  <c:v>44.43</c:v>
                </c:pt>
                <c:pt idx="871">
                  <c:v>42.89</c:v>
                </c:pt>
                <c:pt idx="872">
                  <c:v>42.55</c:v>
                </c:pt>
                <c:pt idx="873">
                  <c:v>40.79</c:v>
                </c:pt>
                <c:pt idx="874">
                  <c:v>38.11</c:v>
                </c:pt>
                <c:pt idx="875">
                  <c:v>38.93</c:v>
                </c:pt>
                <c:pt idx="876">
                  <c:v>36.96</c:v>
                </c:pt>
                <c:pt idx="877">
                  <c:v>32.96</c:v>
                </c:pt>
                <c:pt idx="878">
                  <c:v>32.51</c:v>
                </c:pt>
                <c:pt idx="879">
                  <c:v>32.86</c:v>
                </c:pt>
                <c:pt idx="880">
                  <c:v>30.67</c:v>
                </c:pt>
                <c:pt idx="881">
                  <c:v>31.39</c:v>
                </c:pt>
                <c:pt idx="882">
                  <c:v>34.619999999999997</c:v>
                </c:pt>
                <c:pt idx="883">
                  <c:v>44.49</c:v>
                </c:pt>
                <c:pt idx="884">
                  <c:v>43.67</c:v>
                </c:pt>
                <c:pt idx="885">
                  <c:v>42.91</c:v>
                </c:pt>
                <c:pt idx="886">
                  <c:v>51.99</c:v>
                </c:pt>
                <c:pt idx="887">
                  <c:v>50.3</c:v>
                </c:pt>
                <c:pt idx="888">
                  <c:v>52.64</c:v>
                </c:pt>
                <c:pt idx="889">
                  <c:v>52.83</c:v>
                </c:pt>
                <c:pt idx="890">
                  <c:v>52.01</c:v>
                </c:pt>
                <c:pt idx="891">
                  <c:v>50.37</c:v>
                </c:pt>
                <c:pt idx="892">
                  <c:v>48.38</c:v>
                </c:pt>
                <c:pt idx="893">
                  <c:v>46.47</c:v>
                </c:pt>
                <c:pt idx="894">
                  <c:v>46.52</c:v>
                </c:pt>
                <c:pt idx="895">
                  <c:v>44.6</c:v>
                </c:pt>
                <c:pt idx="896">
                  <c:v>44.46</c:v>
                </c:pt>
                <c:pt idx="897">
                  <c:v>44.06</c:v>
                </c:pt>
                <c:pt idx="898">
                  <c:v>42.93</c:v>
                </c:pt>
                <c:pt idx="899">
                  <c:v>39.47</c:v>
                </c:pt>
                <c:pt idx="900">
                  <c:v>41.35</c:v>
                </c:pt>
                <c:pt idx="901">
                  <c:v>43.75</c:v>
                </c:pt>
                <c:pt idx="902">
                  <c:v>41.87</c:v>
                </c:pt>
                <c:pt idx="903">
                  <c:v>38.619999999999997</c:v>
                </c:pt>
                <c:pt idx="904">
                  <c:v>37.11</c:v>
                </c:pt>
                <c:pt idx="905">
                  <c:v>34.82</c:v>
                </c:pt>
                <c:pt idx="906">
                  <c:v>33.409999999999997</c:v>
                </c:pt>
                <c:pt idx="907">
                  <c:v>30.84</c:v>
                </c:pt>
                <c:pt idx="908">
                  <c:v>30.76</c:v>
                </c:pt>
                <c:pt idx="909">
                  <c:v>33.65</c:v>
                </c:pt>
                <c:pt idx="910">
                  <c:v>31.76</c:v>
                </c:pt>
                <c:pt idx="911">
                  <c:v>29.92</c:v>
                </c:pt>
                <c:pt idx="912">
                  <c:v>29.19</c:v>
                </c:pt>
                <c:pt idx="913">
                  <c:v>31.55</c:v>
                </c:pt>
                <c:pt idx="914">
                  <c:v>29.58</c:v>
                </c:pt>
                <c:pt idx="915">
                  <c:v>29.4</c:v>
                </c:pt>
                <c:pt idx="916">
                  <c:v>29.1</c:v>
                </c:pt>
                <c:pt idx="917">
                  <c:v>28.05</c:v>
                </c:pt>
                <c:pt idx="918">
                  <c:v>23.03</c:v>
                </c:pt>
                <c:pt idx="919">
                  <c:v>27.26</c:v>
                </c:pt>
                <c:pt idx="920">
                  <c:v>27.42</c:v>
                </c:pt>
                <c:pt idx="921">
                  <c:v>31.3</c:v>
                </c:pt>
                <c:pt idx="922">
                  <c:v>33.159999999999997</c:v>
                </c:pt>
                <c:pt idx="923">
                  <c:v>31.48</c:v>
                </c:pt>
                <c:pt idx="924">
                  <c:v>30.5</c:v>
                </c:pt>
                <c:pt idx="925">
                  <c:v>29.77</c:v>
                </c:pt>
                <c:pt idx="926">
                  <c:v>28.33</c:v>
                </c:pt>
                <c:pt idx="927">
                  <c:v>29.44</c:v>
                </c:pt>
                <c:pt idx="928">
                  <c:v>28.53</c:v>
                </c:pt>
                <c:pt idx="929">
                  <c:v>28.08</c:v>
                </c:pt>
                <c:pt idx="930">
                  <c:v>27.45</c:v>
                </c:pt>
                <c:pt idx="931">
                  <c:v>27.33</c:v>
                </c:pt>
                <c:pt idx="932">
                  <c:v>27.36</c:v>
                </c:pt>
                <c:pt idx="933">
                  <c:v>25.81</c:v>
                </c:pt>
                <c:pt idx="934">
                  <c:v>23.87</c:v>
                </c:pt>
                <c:pt idx="935">
                  <c:v>21.69</c:v>
                </c:pt>
                <c:pt idx="936">
                  <c:v>23.21</c:v>
                </c:pt>
                <c:pt idx="937">
                  <c:v>24.5</c:v>
                </c:pt>
                <c:pt idx="938">
                  <c:v>24.63</c:v>
                </c:pt>
                <c:pt idx="939">
                  <c:v>21.26</c:v>
                </c:pt>
                <c:pt idx="940">
                  <c:v>19.62</c:v>
                </c:pt>
                <c:pt idx="941">
                  <c:v>19.579999999999998</c:v>
                </c:pt>
                <c:pt idx="942">
                  <c:v>21.29</c:v>
                </c:pt>
                <c:pt idx="943">
                  <c:v>21.53</c:v>
                </c:pt>
                <c:pt idx="944">
                  <c:v>25.46</c:v>
                </c:pt>
                <c:pt idx="945">
                  <c:v>26.3</c:v>
                </c:pt>
                <c:pt idx="946">
                  <c:v>25.26</c:v>
                </c:pt>
                <c:pt idx="947">
                  <c:v>26.86</c:v>
                </c:pt>
                <c:pt idx="948">
                  <c:v>27.82</c:v>
                </c:pt>
                <c:pt idx="949">
                  <c:v>22.85</c:v>
                </c:pt>
                <c:pt idx="950">
                  <c:v>21.12</c:v>
                </c:pt>
                <c:pt idx="951">
                  <c:v>24.71</c:v>
                </c:pt>
                <c:pt idx="952">
                  <c:v>26.3</c:v>
                </c:pt>
                <c:pt idx="953">
                  <c:v>22.17</c:v>
                </c:pt>
                <c:pt idx="954">
                  <c:v>21.64</c:v>
                </c:pt>
                <c:pt idx="955">
                  <c:v>23.27</c:v>
                </c:pt>
                <c:pt idx="956">
                  <c:v>21.66</c:v>
                </c:pt>
                <c:pt idx="957">
                  <c:v>19.86</c:v>
                </c:pt>
                <c:pt idx="958">
                  <c:v>18.82</c:v>
                </c:pt>
                <c:pt idx="959">
                  <c:v>17.63</c:v>
                </c:pt>
                <c:pt idx="960">
                  <c:v>16.260000000000002</c:v>
                </c:pt>
                <c:pt idx="961">
                  <c:v>16.27</c:v>
                </c:pt>
                <c:pt idx="962">
                  <c:v>12.68</c:v>
                </c:pt>
                <c:pt idx="963">
                  <c:v>11.67</c:v>
                </c:pt>
                <c:pt idx="964">
                  <c:v>11.31</c:v>
                </c:pt>
                <c:pt idx="965">
                  <c:v>11.22</c:v>
                </c:pt>
                <c:pt idx="966">
                  <c:v>9.48</c:v>
                </c:pt>
                <c:pt idx="967">
                  <c:v>9.68</c:v>
                </c:pt>
                <c:pt idx="968">
                  <c:v>9.9600000000000009</c:v>
                </c:pt>
                <c:pt idx="969">
                  <c:v>11.68</c:v>
                </c:pt>
                <c:pt idx="970">
                  <c:v>9.6199999999999992</c:v>
                </c:pt>
                <c:pt idx="971">
                  <c:v>9.5</c:v>
                </c:pt>
                <c:pt idx="972">
                  <c:v>8.59</c:v>
                </c:pt>
                <c:pt idx="973">
                  <c:v>9.39</c:v>
                </c:pt>
                <c:pt idx="974">
                  <c:v>10.24</c:v>
                </c:pt>
                <c:pt idx="975">
                  <c:v>16.52</c:v>
                </c:pt>
                <c:pt idx="976">
                  <c:v>17.399999999999999</c:v>
                </c:pt>
                <c:pt idx="977">
                  <c:v>19.3</c:v>
                </c:pt>
                <c:pt idx="978">
                  <c:v>18.440000000000001</c:v>
                </c:pt>
                <c:pt idx="979">
                  <c:v>18.079999999999998</c:v>
                </c:pt>
                <c:pt idx="980">
                  <c:v>18.190000000000001</c:v>
                </c:pt>
                <c:pt idx="981">
                  <c:v>15.1</c:v>
                </c:pt>
                <c:pt idx="982">
                  <c:v>14.97</c:v>
                </c:pt>
                <c:pt idx="983">
                  <c:v>17.5</c:v>
                </c:pt>
                <c:pt idx="984">
                  <c:v>16.11</c:v>
                </c:pt>
                <c:pt idx="985">
                  <c:v>13.33</c:v>
                </c:pt>
                <c:pt idx="986">
                  <c:v>12.03</c:v>
                </c:pt>
                <c:pt idx="987">
                  <c:v>11.35</c:v>
                </c:pt>
                <c:pt idx="988">
                  <c:v>11.35</c:v>
                </c:pt>
                <c:pt idx="989">
                  <c:v>9.33</c:v>
                </c:pt>
                <c:pt idx="990">
                  <c:v>10.07</c:v>
                </c:pt>
                <c:pt idx="991">
                  <c:v>10.09</c:v>
                </c:pt>
                <c:pt idx="992">
                  <c:v>10.71</c:v>
                </c:pt>
                <c:pt idx="993">
                  <c:v>9.17</c:v>
                </c:pt>
                <c:pt idx="994">
                  <c:v>10.47</c:v>
                </c:pt>
                <c:pt idx="995">
                  <c:v>10.91</c:v>
                </c:pt>
                <c:pt idx="996">
                  <c:v>13.32</c:v>
                </c:pt>
                <c:pt idx="997">
                  <c:v>12.05</c:v>
                </c:pt>
                <c:pt idx="998">
                  <c:v>12.14</c:v>
                </c:pt>
                <c:pt idx="999">
                  <c:v>11.3</c:v>
                </c:pt>
                <c:pt idx="1000">
                  <c:v>13.26</c:v>
                </c:pt>
                <c:pt idx="1001">
                  <c:v>13.07</c:v>
                </c:pt>
                <c:pt idx="1002">
                  <c:v>11.95</c:v>
                </c:pt>
                <c:pt idx="1003">
                  <c:v>11.98</c:v>
                </c:pt>
                <c:pt idx="1004">
                  <c:v>12.97</c:v>
                </c:pt>
                <c:pt idx="1005">
                  <c:v>13.69</c:v>
                </c:pt>
                <c:pt idx="1006">
                  <c:v>13.48</c:v>
                </c:pt>
                <c:pt idx="1007">
                  <c:v>12.65</c:v>
                </c:pt>
                <c:pt idx="1008">
                  <c:v>11.62</c:v>
                </c:pt>
                <c:pt idx="1009">
                  <c:v>12.33</c:v>
                </c:pt>
                <c:pt idx="1010">
                  <c:v>14.59</c:v>
                </c:pt>
                <c:pt idx="1011">
                  <c:v>13.12</c:v>
                </c:pt>
                <c:pt idx="1012">
                  <c:v>13.3</c:v>
                </c:pt>
                <c:pt idx="1013">
                  <c:v>17.71</c:v>
                </c:pt>
                <c:pt idx="1014">
                  <c:v>20.38</c:v>
                </c:pt>
                <c:pt idx="1015">
                  <c:v>25.17</c:v>
                </c:pt>
                <c:pt idx="1016">
                  <c:v>27.86</c:v>
                </c:pt>
                <c:pt idx="1017">
                  <c:v>32.47</c:v>
                </c:pt>
                <c:pt idx="1018">
                  <c:v>36.380000000000003</c:v>
                </c:pt>
                <c:pt idx="1019">
                  <c:v>41.41</c:v>
                </c:pt>
                <c:pt idx="1020">
                  <c:v>42.7</c:v>
                </c:pt>
                <c:pt idx="1021">
                  <c:v>45.74</c:v>
                </c:pt>
                <c:pt idx="1022">
                  <c:v>49.43</c:v>
                </c:pt>
                <c:pt idx="1023">
                  <c:v>53.55</c:v>
                </c:pt>
                <c:pt idx="1024">
                  <c:v>54.58</c:v>
                </c:pt>
                <c:pt idx="1025">
                  <c:v>57.95</c:v>
                </c:pt>
                <c:pt idx="1026">
                  <c:v>60.36</c:v>
                </c:pt>
                <c:pt idx="1027">
                  <c:v>61.15</c:v>
                </c:pt>
                <c:pt idx="1028">
                  <c:v>61.59</c:v>
                </c:pt>
                <c:pt idx="1029">
                  <c:v>61.98</c:v>
                </c:pt>
                <c:pt idx="1030">
                  <c:v>63.52</c:v>
                </c:pt>
                <c:pt idx="1031">
                  <c:v>63.59</c:v>
                </c:pt>
                <c:pt idx="1032">
                  <c:v>64.099999999999994</c:v>
                </c:pt>
                <c:pt idx="1033">
                  <c:v>63.92</c:v>
                </c:pt>
                <c:pt idx="1034">
                  <c:v>63.89</c:v>
                </c:pt>
                <c:pt idx="1035">
                  <c:v>62.93</c:v>
                </c:pt>
                <c:pt idx="1036">
                  <c:v>63.99</c:v>
                </c:pt>
                <c:pt idx="1037">
                  <c:v>64</c:v>
                </c:pt>
                <c:pt idx="1038">
                  <c:v>64.66</c:v>
                </c:pt>
                <c:pt idx="1039">
                  <c:v>65.05</c:v>
                </c:pt>
                <c:pt idx="1040">
                  <c:v>68.05</c:v>
                </c:pt>
                <c:pt idx="1041">
                  <c:v>69.42</c:v>
                </c:pt>
                <c:pt idx="1042">
                  <c:v>71.86</c:v>
                </c:pt>
                <c:pt idx="1043">
                  <c:v>72.41</c:v>
                </c:pt>
                <c:pt idx="1044">
                  <c:v>76.2</c:v>
                </c:pt>
                <c:pt idx="1045">
                  <c:v>76.44</c:v>
                </c:pt>
                <c:pt idx="1046">
                  <c:v>77.22</c:v>
                </c:pt>
                <c:pt idx="1047">
                  <c:v>77.63</c:v>
                </c:pt>
                <c:pt idx="1048">
                  <c:v>77.88</c:v>
                </c:pt>
                <c:pt idx="1049">
                  <c:v>78.08</c:v>
                </c:pt>
                <c:pt idx="1050">
                  <c:v>78.67</c:v>
                </c:pt>
                <c:pt idx="1051">
                  <c:v>79.510000000000005</c:v>
                </c:pt>
                <c:pt idx="1052">
                  <c:v>80.06</c:v>
                </c:pt>
                <c:pt idx="1053">
                  <c:v>80.38</c:v>
                </c:pt>
                <c:pt idx="1054">
                  <c:v>80.87</c:v>
                </c:pt>
                <c:pt idx="1055">
                  <c:v>82.11</c:v>
                </c:pt>
                <c:pt idx="1056">
                  <c:v>82.44</c:v>
                </c:pt>
                <c:pt idx="1057">
                  <c:v>82.77</c:v>
                </c:pt>
                <c:pt idx="1058">
                  <c:v>82.87</c:v>
                </c:pt>
                <c:pt idx="1059">
                  <c:v>82.81</c:v>
                </c:pt>
                <c:pt idx="1060">
                  <c:v>82.04</c:v>
                </c:pt>
                <c:pt idx="1061">
                  <c:v>82.06</c:v>
                </c:pt>
                <c:pt idx="1062">
                  <c:v>80.94</c:v>
                </c:pt>
                <c:pt idx="1063">
                  <c:v>80.16</c:v>
                </c:pt>
                <c:pt idx="1064">
                  <c:v>78.3</c:v>
                </c:pt>
                <c:pt idx="1065">
                  <c:v>77.61</c:v>
                </c:pt>
                <c:pt idx="1066">
                  <c:v>74.37</c:v>
                </c:pt>
                <c:pt idx="1067">
                  <c:v>73.11</c:v>
                </c:pt>
                <c:pt idx="1068">
                  <c:v>71.3</c:v>
                </c:pt>
                <c:pt idx="1069">
                  <c:v>70.459999999999994</c:v>
                </c:pt>
                <c:pt idx="1070">
                  <c:v>68.67</c:v>
                </c:pt>
                <c:pt idx="1071">
                  <c:v>66.02</c:v>
                </c:pt>
                <c:pt idx="1072">
                  <c:v>64.72</c:v>
                </c:pt>
                <c:pt idx="1073">
                  <c:v>63.79</c:v>
                </c:pt>
                <c:pt idx="1074">
                  <c:v>62.16</c:v>
                </c:pt>
                <c:pt idx="1075">
                  <c:v>61.83</c:v>
                </c:pt>
                <c:pt idx="1076">
                  <c:v>60.8</c:v>
                </c:pt>
                <c:pt idx="1077">
                  <c:v>60.49</c:v>
                </c:pt>
                <c:pt idx="1078">
                  <c:v>60.76</c:v>
                </c:pt>
                <c:pt idx="1079">
                  <c:v>59.41</c:v>
                </c:pt>
                <c:pt idx="1080">
                  <c:v>59.08</c:v>
                </c:pt>
                <c:pt idx="1081">
                  <c:v>59.49</c:v>
                </c:pt>
                <c:pt idx="1082">
                  <c:v>59.85</c:v>
                </c:pt>
                <c:pt idx="1083">
                  <c:v>63.5</c:v>
                </c:pt>
                <c:pt idx="1084">
                  <c:v>65.760000000000005</c:v>
                </c:pt>
                <c:pt idx="1085">
                  <c:v>65.84</c:v>
                </c:pt>
                <c:pt idx="1086">
                  <c:v>67.98</c:v>
                </c:pt>
                <c:pt idx="1087">
                  <c:v>67.58</c:v>
                </c:pt>
                <c:pt idx="1088">
                  <c:v>68.040000000000006</c:v>
                </c:pt>
                <c:pt idx="1089">
                  <c:v>69.849999999999994</c:v>
                </c:pt>
                <c:pt idx="1090">
                  <c:v>72.44</c:v>
                </c:pt>
                <c:pt idx="1091">
                  <c:v>73.16</c:v>
                </c:pt>
                <c:pt idx="1092">
                  <c:v>73.3</c:v>
                </c:pt>
                <c:pt idx="1093">
                  <c:v>74.09</c:v>
                </c:pt>
                <c:pt idx="1094">
                  <c:v>70</c:v>
                </c:pt>
                <c:pt idx="1095">
                  <c:v>68.849999999999994</c:v>
                </c:pt>
                <c:pt idx="1096">
                  <c:v>68.91</c:v>
                </c:pt>
                <c:pt idx="1097">
                  <c:v>65.540000000000006</c:v>
                </c:pt>
                <c:pt idx="1098">
                  <c:v>65.86</c:v>
                </c:pt>
                <c:pt idx="1099">
                  <c:v>65.63</c:v>
                </c:pt>
                <c:pt idx="1100">
                  <c:v>67.17</c:v>
                </c:pt>
                <c:pt idx="1101">
                  <c:v>69.45</c:v>
                </c:pt>
                <c:pt idx="1102">
                  <c:v>69.3</c:v>
                </c:pt>
                <c:pt idx="1103">
                  <c:v>73.819999999999993</c:v>
                </c:pt>
                <c:pt idx="1104">
                  <c:v>72.98</c:v>
                </c:pt>
                <c:pt idx="1105">
                  <c:v>73.37</c:v>
                </c:pt>
                <c:pt idx="1106">
                  <c:v>74.72</c:v>
                </c:pt>
                <c:pt idx="1107">
                  <c:v>74.569999999999993</c:v>
                </c:pt>
                <c:pt idx="1108">
                  <c:v>75.81</c:v>
                </c:pt>
                <c:pt idx="1109">
                  <c:v>75.39</c:v>
                </c:pt>
                <c:pt idx="1110">
                  <c:v>75.040000000000006</c:v>
                </c:pt>
                <c:pt idx="1111">
                  <c:v>75.45</c:v>
                </c:pt>
                <c:pt idx="1112">
                  <c:v>73.930000000000007</c:v>
                </c:pt>
                <c:pt idx="1113">
                  <c:v>74.680000000000007</c:v>
                </c:pt>
                <c:pt idx="1114">
                  <c:v>74.62</c:v>
                </c:pt>
                <c:pt idx="1115">
                  <c:v>72.95</c:v>
                </c:pt>
                <c:pt idx="1116">
                  <c:v>72.63</c:v>
                </c:pt>
                <c:pt idx="1117">
                  <c:v>70.7</c:v>
                </c:pt>
                <c:pt idx="1118">
                  <c:v>68.02</c:v>
                </c:pt>
                <c:pt idx="1119">
                  <c:v>67.95</c:v>
                </c:pt>
                <c:pt idx="1120">
                  <c:v>66.91</c:v>
                </c:pt>
                <c:pt idx="1121">
                  <c:v>66.63</c:v>
                </c:pt>
                <c:pt idx="1122">
                  <c:v>67.010000000000005</c:v>
                </c:pt>
                <c:pt idx="1123">
                  <c:v>66.150000000000006</c:v>
                </c:pt>
                <c:pt idx="1124">
                  <c:v>66.239999999999995</c:v>
                </c:pt>
                <c:pt idx="1125">
                  <c:v>68.239999999999995</c:v>
                </c:pt>
                <c:pt idx="1126">
                  <c:v>69.260000000000005</c:v>
                </c:pt>
                <c:pt idx="1127">
                  <c:v>70.41</c:v>
                </c:pt>
                <c:pt idx="1128">
                  <c:v>75.62</c:v>
                </c:pt>
                <c:pt idx="1129">
                  <c:v>75.069999999999993</c:v>
                </c:pt>
                <c:pt idx="1130">
                  <c:v>75.180000000000007</c:v>
                </c:pt>
                <c:pt idx="1131">
                  <c:v>74.66</c:v>
                </c:pt>
                <c:pt idx="1132">
                  <c:v>73.55</c:v>
                </c:pt>
                <c:pt idx="1133">
                  <c:v>73.319999999999993</c:v>
                </c:pt>
                <c:pt idx="1134">
                  <c:v>73.34</c:v>
                </c:pt>
                <c:pt idx="1135">
                  <c:v>73.47</c:v>
                </c:pt>
                <c:pt idx="1136">
                  <c:v>71.959999999999994</c:v>
                </c:pt>
                <c:pt idx="1137">
                  <c:v>71.900000000000006</c:v>
                </c:pt>
                <c:pt idx="1138">
                  <c:v>71.34</c:v>
                </c:pt>
                <c:pt idx="1139">
                  <c:v>70.849999999999994</c:v>
                </c:pt>
                <c:pt idx="1140">
                  <c:v>72.209999999999994</c:v>
                </c:pt>
                <c:pt idx="1141">
                  <c:v>71.56</c:v>
                </c:pt>
                <c:pt idx="1142">
                  <c:v>71.34</c:v>
                </c:pt>
                <c:pt idx="1143">
                  <c:v>71.81</c:v>
                </c:pt>
                <c:pt idx="1144">
                  <c:v>69.23</c:v>
                </c:pt>
                <c:pt idx="1145">
                  <c:v>69.19</c:v>
                </c:pt>
                <c:pt idx="1146">
                  <c:v>70.7</c:v>
                </c:pt>
                <c:pt idx="1147">
                  <c:v>67.92</c:v>
                </c:pt>
                <c:pt idx="1148">
                  <c:v>66.88</c:v>
                </c:pt>
                <c:pt idx="1149">
                  <c:v>67.27</c:v>
                </c:pt>
                <c:pt idx="1150">
                  <c:v>64.650000000000006</c:v>
                </c:pt>
                <c:pt idx="1151">
                  <c:v>66.540000000000006</c:v>
                </c:pt>
                <c:pt idx="1152">
                  <c:v>67.819999999999993</c:v>
                </c:pt>
                <c:pt idx="1153">
                  <c:v>66.72</c:v>
                </c:pt>
                <c:pt idx="1154">
                  <c:v>65.650000000000006</c:v>
                </c:pt>
                <c:pt idx="1155">
                  <c:v>63.34</c:v>
                </c:pt>
                <c:pt idx="1156">
                  <c:v>62.11</c:v>
                </c:pt>
                <c:pt idx="1157">
                  <c:v>59.31</c:v>
                </c:pt>
                <c:pt idx="1158">
                  <c:v>58.6</c:v>
                </c:pt>
                <c:pt idx="1159">
                  <c:v>59.45</c:v>
                </c:pt>
                <c:pt idx="1160">
                  <c:v>57.23</c:v>
                </c:pt>
                <c:pt idx="1161">
                  <c:v>57.2</c:v>
                </c:pt>
                <c:pt idx="1162">
                  <c:v>58.5</c:v>
                </c:pt>
                <c:pt idx="1163">
                  <c:v>57.19</c:v>
                </c:pt>
                <c:pt idx="1164">
                  <c:v>55.09</c:v>
                </c:pt>
                <c:pt idx="1165">
                  <c:v>52.66</c:v>
                </c:pt>
                <c:pt idx="1166">
                  <c:v>48.62</c:v>
                </c:pt>
                <c:pt idx="1167">
                  <c:v>45.33</c:v>
                </c:pt>
                <c:pt idx="1168">
                  <c:v>43.37</c:v>
                </c:pt>
                <c:pt idx="1169">
                  <c:v>38.85</c:v>
                </c:pt>
                <c:pt idx="1170">
                  <c:v>36.74</c:v>
                </c:pt>
                <c:pt idx="1171">
                  <c:v>36.58</c:v>
                </c:pt>
                <c:pt idx="1172">
                  <c:v>36.869999999999997</c:v>
                </c:pt>
                <c:pt idx="1173">
                  <c:v>35.75</c:v>
                </c:pt>
                <c:pt idx="1174">
                  <c:v>40.03</c:v>
                </c:pt>
                <c:pt idx="1175">
                  <c:v>44.66</c:v>
                </c:pt>
                <c:pt idx="1176">
                  <c:v>44.86</c:v>
                </c:pt>
                <c:pt idx="1177">
                  <c:v>49.12</c:v>
                </c:pt>
                <c:pt idx="1178">
                  <c:v>48.97</c:v>
                </c:pt>
                <c:pt idx="1179">
                  <c:v>49.56</c:v>
                </c:pt>
                <c:pt idx="1180">
                  <c:v>49.92</c:v>
                </c:pt>
                <c:pt idx="1181">
                  <c:v>45.06</c:v>
                </c:pt>
                <c:pt idx="1182">
                  <c:v>43.92</c:v>
                </c:pt>
                <c:pt idx="1183">
                  <c:v>43.14</c:v>
                </c:pt>
                <c:pt idx="1184">
                  <c:v>39.619999999999997</c:v>
                </c:pt>
                <c:pt idx="1185">
                  <c:v>37.15</c:v>
                </c:pt>
                <c:pt idx="1186">
                  <c:v>37.4</c:v>
                </c:pt>
                <c:pt idx="1187">
                  <c:v>37.04</c:v>
                </c:pt>
                <c:pt idx="1188">
                  <c:v>36.06</c:v>
                </c:pt>
                <c:pt idx="1189">
                  <c:v>35.97</c:v>
                </c:pt>
                <c:pt idx="1190">
                  <c:v>36.74</c:v>
                </c:pt>
                <c:pt idx="1191">
                  <c:v>35.270000000000003</c:v>
                </c:pt>
                <c:pt idx="1192">
                  <c:v>35.380000000000003</c:v>
                </c:pt>
                <c:pt idx="1193">
                  <c:v>35.479999999999997</c:v>
                </c:pt>
                <c:pt idx="1194">
                  <c:v>33.93</c:v>
                </c:pt>
                <c:pt idx="1195">
                  <c:v>30.68</c:v>
                </c:pt>
                <c:pt idx="1196">
                  <c:v>29.74</c:v>
                </c:pt>
                <c:pt idx="1197">
                  <c:v>27.64</c:v>
                </c:pt>
                <c:pt idx="1198">
                  <c:v>26.8</c:v>
                </c:pt>
                <c:pt idx="1199">
                  <c:v>24.11</c:v>
                </c:pt>
                <c:pt idx="1200">
                  <c:v>23.88</c:v>
                </c:pt>
                <c:pt idx="1201">
                  <c:v>23.41</c:v>
                </c:pt>
                <c:pt idx="1202">
                  <c:v>20.78</c:v>
                </c:pt>
                <c:pt idx="1203">
                  <c:v>21.23</c:v>
                </c:pt>
                <c:pt idx="1204">
                  <c:v>22.24</c:v>
                </c:pt>
                <c:pt idx="1205">
                  <c:v>25.16</c:v>
                </c:pt>
                <c:pt idx="1206">
                  <c:v>22.29</c:v>
                </c:pt>
                <c:pt idx="1207">
                  <c:v>22.92</c:v>
                </c:pt>
                <c:pt idx="1208">
                  <c:v>26.22</c:v>
                </c:pt>
                <c:pt idx="1209">
                  <c:v>23.93</c:v>
                </c:pt>
                <c:pt idx="1210">
                  <c:v>22.89</c:v>
                </c:pt>
                <c:pt idx="1211">
                  <c:v>33.31</c:v>
                </c:pt>
                <c:pt idx="1212">
                  <c:v>31.94</c:v>
                </c:pt>
                <c:pt idx="1213">
                  <c:v>29.51</c:v>
                </c:pt>
                <c:pt idx="1214">
                  <c:v>29.02</c:v>
                </c:pt>
                <c:pt idx="1215">
                  <c:v>29.11</c:v>
                </c:pt>
                <c:pt idx="1216">
                  <c:v>28.09</c:v>
                </c:pt>
                <c:pt idx="1217">
                  <c:v>27.35</c:v>
                </c:pt>
                <c:pt idx="1218">
                  <c:v>23.54</c:v>
                </c:pt>
                <c:pt idx="1219">
                  <c:v>22.23</c:v>
                </c:pt>
                <c:pt idx="1220">
                  <c:v>20.29</c:v>
                </c:pt>
                <c:pt idx="1221">
                  <c:v>16.64</c:v>
                </c:pt>
                <c:pt idx="1222">
                  <c:v>17.62</c:v>
                </c:pt>
                <c:pt idx="1223">
                  <c:v>18.54</c:v>
                </c:pt>
                <c:pt idx="1224">
                  <c:v>18.48</c:v>
                </c:pt>
                <c:pt idx="1225">
                  <c:v>16.87</c:v>
                </c:pt>
                <c:pt idx="1226">
                  <c:v>16.63</c:v>
                </c:pt>
                <c:pt idx="1227">
                  <c:v>15.39</c:v>
                </c:pt>
                <c:pt idx="1228">
                  <c:v>15.42</c:v>
                </c:pt>
                <c:pt idx="1229">
                  <c:v>13.52</c:v>
                </c:pt>
                <c:pt idx="1230">
                  <c:v>12.85</c:v>
                </c:pt>
                <c:pt idx="1231">
                  <c:v>11.85</c:v>
                </c:pt>
                <c:pt idx="1232">
                  <c:v>10.82</c:v>
                </c:pt>
                <c:pt idx="1233">
                  <c:v>8.59</c:v>
                </c:pt>
                <c:pt idx="1234">
                  <c:v>6.88</c:v>
                </c:pt>
                <c:pt idx="1235">
                  <c:v>5.37</c:v>
                </c:pt>
                <c:pt idx="1236">
                  <c:v>5.36</c:v>
                </c:pt>
                <c:pt idx="1237">
                  <c:v>6.01</c:v>
                </c:pt>
                <c:pt idx="1238">
                  <c:v>8.5</c:v>
                </c:pt>
                <c:pt idx="1239">
                  <c:v>7.73</c:v>
                </c:pt>
                <c:pt idx="1240">
                  <c:v>8.2200000000000006</c:v>
                </c:pt>
                <c:pt idx="1241">
                  <c:v>9.3699999999999992</c:v>
                </c:pt>
                <c:pt idx="1242">
                  <c:v>8.84</c:v>
                </c:pt>
                <c:pt idx="1243">
                  <c:v>9.57</c:v>
                </c:pt>
                <c:pt idx="1244">
                  <c:v>10.76</c:v>
                </c:pt>
                <c:pt idx="1245">
                  <c:v>11.08</c:v>
                </c:pt>
                <c:pt idx="1246">
                  <c:v>10.14</c:v>
                </c:pt>
                <c:pt idx="1247">
                  <c:v>10.5</c:v>
                </c:pt>
                <c:pt idx="1248">
                  <c:v>10.99</c:v>
                </c:pt>
                <c:pt idx="1249">
                  <c:v>11.08</c:v>
                </c:pt>
                <c:pt idx="1250">
                  <c:v>9.18</c:v>
                </c:pt>
                <c:pt idx="1251">
                  <c:v>8.81</c:v>
                </c:pt>
                <c:pt idx="1252">
                  <c:v>7.89</c:v>
                </c:pt>
                <c:pt idx="1253">
                  <c:v>7.42</c:v>
                </c:pt>
                <c:pt idx="1254">
                  <c:v>6.91</c:v>
                </c:pt>
                <c:pt idx="1255">
                  <c:v>7.82</c:v>
                </c:pt>
                <c:pt idx="1256">
                  <c:v>7.03</c:v>
                </c:pt>
                <c:pt idx="1257">
                  <c:v>7.14</c:v>
                </c:pt>
                <c:pt idx="1258">
                  <c:v>8.14</c:v>
                </c:pt>
                <c:pt idx="1259">
                  <c:v>10.199999999999999</c:v>
                </c:pt>
                <c:pt idx="1260">
                  <c:v>10.27</c:v>
                </c:pt>
                <c:pt idx="1261">
                  <c:v>11.23</c:v>
                </c:pt>
                <c:pt idx="1262">
                  <c:v>11.9</c:v>
                </c:pt>
                <c:pt idx="1263">
                  <c:v>11.79</c:v>
                </c:pt>
                <c:pt idx="1264">
                  <c:v>9.76</c:v>
                </c:pt>
                <c:pt idx="1265">
                  <c:v>8.14</c:v>
                </c:pt>
                <c:pt idx="1266">
                  <c:v>7.99</c:v>
                </c:pt>
                <c:pt idx="1267">
                  <c:v>7.34</c:v>
                </c:pt>
                <c:pt idx="1268">
                  <c:v>5.41</c:v>
                </c:pt>
                <c:pt idx="1269">
                  <c:v>4.3499999999999996</c:v>
                </c:pt>
                <c:pt idx="1270">
                  <c:v>3.98</c:v>
                </c:pt>
                <c:pt idx="1271">
                  <c:v>4.42</c:v>
                </c:pt>
                <c:pt idx="1272">
                  <c:v>5.81</c:v>
                </c:pt>
                <c:pt idx="1273">
                  <c:v>6.28</c:v>
                </c:pt>
                <c:pt idx="1274">
                  <c:v>6.99</c:v>
                </c:pt>
                <c:pt idx="1275">
                  <c:v>8.73</c:v>
                </c:pt>
                <c:pt idx="1276">
                  <c:v>12.28</c:v>
                </c:pt>
                <c:pt idx="1277">
                  <c:v>15.02</c:v>
                </c:pt>
                <c:pt idx="1278">
                  <c:v>21.45</c:v>
                </c:pt>
                <c:pt idx="1279">
                  <c:v>29.18</c:v>
                </c:pt>
                <c:pt idx="1280">
                  <c:v>41.96</c:v>
                </c:pt>
                <c:pt idx="1281">
                  <c:v>47.82</c:v>
                </c:pt>
                <c:pt idx="1282">
                  <c:v>58.09</c:v>
                </c:pt>
                <c:pt idx="1283">
                  <c:v>64.790000000000006</c:v>
                </c:pt>
                <c:pt idx="1284">
                  <c:v>72.8</c:v>
                </c:pt>
                <c:pt idx="1285">
                  <c:v>77.400000000000006</c:v>
                </c:pt>
                <c:pt idx="1286">
                  <c:v>81.540000000000006</c:v>
                </c:pt>
                <c:pt idx="1287">
                  <c:v>81.69</c:v>
                </c:pt>
                <c:pt idx="1288">
                  <c:v>81.69</c:v>
                </c:pt>
                <c:pt idx="1289">
                  <c:v>81.8</c:v>
                </c:pt>
                <c:pt idx="1290">
                  <c:v>81.8</c:v>
                </c:pt>
                <c:pt idx="1291">
                  <c:v>82.63</c:v>
                </c:pt>
                <c:pt idx="1292">
                  <c:v>83.23</c:v>
                </c:pt>
                <c:pt idx="1293">
                  <c:v>85.22</c:v>
                </c:pt>
                <c:pt idx="1294">
                  <c:v>85.55</c:v>
                </c:pt>
                <c:pt idx="1295">
                  <c:v>87.64</c:v>
                </c:pt>
                <c:pt idx="1296">
                  <c:v>88.98</c:v>
                </c:pt>
                <c:pt idx="1297">
                  <c:v>89.1</c:v>
                </c:pt>
                <c:pt idx="1298">
                  <c:v>89.39</c:v>
                </c:pt>
                <c:pt idx="1299">
                  <c:v>91.47</c:v>
                </c:pt>
                <c:pt idx="1300">
                  <c:v>92.37</c:v>
                </c:pt>
                <c:pt idx="1301">
                  <c:v>93.98</c:v>
                </c:pt>
                <c:pt idx="1302">
                  <c:v>94.78</c:v>
                </c:pt>
                <c:pt idx="1303">
                  <c:v>95.55</c:v>
                </c:pt>
                <c:pt idx="1304">
                  <c:v>96.02</c:v>
                </c:pt>
                <c:pt idx="1305">
                  <c:v>95.94</c:v>
                </c:pt>
                <c:pt idx="1306">
                  <c:v>95.92</c:v>
                </c:pt>
                <c:pt idx="1307">
                  <c:v>95.71</c:v>
                </c:pt>
                <c:pt idx="1308">
                  <c:v>95.77</c:v>
                </c:pt>
                <c:pt idx="1309">
                  <c:v>95.63</c:v>
                </c:pt>
                <c:pt idx="1310">
                  <c:v>95.75</c:v>
                </c:pt>
                <c:pt idx="1311">
                  <c:v>95.53</c:v>
                </c:pt>
                <c:pt idx="1312">
                  <c:v>94.48</c:v>
                </c:pt>
                <c:pt idx="1313">
                  <c:v>94.41</c:v>
                </c:pt>
                <c:pt idx="1314">
                  <c:v>94.3</c:v>
                </c:pt>
                <c:pt idx="1315">
                  <c:v>92.82</c:v>
                </c:pt>
                <c:pt idx="1316">
                  <c:v>93.04</c:v>
                </c:pt>
                <c:pt idx="1317">
                  <c:v>92.99</c:v>
                </c:pt>
                <c:pt idx="1318">
                  <c:v>93</c:v>
                </c:pt>
                <c:pt idx="1319">
                  <c:v>92.17</c:v>
                </c:pt>
                <c:pt idx="1320">
                  <c:v>92.65</c:v>
                </c:pt>
                <c:pt idx="1321">
                  <c:v>92.54</c:v>
                </c:pt>
                <c:pt idx="1322">
                  <c:v>92.1</c:v>
                </c:pt>
                <c:pt idx="1323">
                  <c:v>92.29</c:v>
                </c:pt>
                <c:pt idx="1324">
                  <c:v>93.06</c:v>
                </c:pt>
                <c:pt idx="1325">
                  <c:v>92.73</c:v>
                </c:pt>
                <c:pt idx="1326">
                  <c:v>92.76</c:v>
                </c:pt>
                <c:pt idx="1327">
                  <c:v>92.96</c:v>
                </c:pt>
                <c:pt idx="1328">
                  <c:v>92.61</c:v>
                </c:pt>
                <c:pt idx="1329">
                  <c:v>92.49</c:v>
                </c:pt>
                <c:pt idx="1330">
                  <c:v>92.48</c:v>
                </c:pt>
                <c:pt idx="1331">
                  <c:v>92.06</c:v>
                </c:pt>
                <c:pt idx="1332">
                  <c:v>91.67</c:v>
                </c:pt>
                <c:pt idx="1333">
                  <c:v>91.82</c:v>
                </c:pt>
                <c:pt idx="1334">
                  <c:v>91.8</c:v>
                </c:pt>
                <c:pt idx="1335">
                  <c:v>91.78</c:v>
                </c:pt>
                <c:pt idx="1336">
                  <c:v>91.76</c:v>
                </c:pt>
                <c:pt idx="1337">
                  <c:v>91.93</c:v>
                </c:pt>
                <c:pt idx="1338">
                  <c:v>91.69</c:v>
                </c:pt>
                <c:pt idx="1339">
                  <c:v>91.67</c:v>
                </c:pt>
                <c:pt idx="1340">
                  <c:v>91.65</c:v>
                </c:pt>
                <c:pt idx="1341">
                  <c:v>91.1</c:v>
                </c:pt>
                <c:pt idx="1342">
                  <c:v>90.22</c:v>
                </c:pt>
                <c:pt idx="1343">
                  <c:v>90.06</c:v>
                </c:pt>
                <c:pt idx="1344">
                  <c:v>89.03</c:v>
                </c:pt>
                <c:pt idx="1345">
                  <c:v>87.8</c:v>
                </c:pt>
                <c:pt idx="1346">
                  <c:v>86.5</c:v>
                </c:pt>
                <c:pt idx="1347">
                  <c:v>86.18</c:v>
                </c:pt>
                <c:pt idx="1348">
                  <c:v>86.39</c:v>
                </c:pt>
                <c:pt idx="1349">
                  <c:v>86.91</c:v>
                </c:pt>
                <c:pt idx="1350">
                  <c:v>86.96</c:v>
                </c:pt>
                <c:pt idx="1351">
                  <c:v>86.73</c:v>
                </c:pt>
                <c:pt idx="1352">
                  <c:v>86.01</c:v>
                </c:pt>
                <c:pt idx="1353">
                  <c:v>83.52</c:v>
                </c:pt>
                <c:pt idx="1354">
                  <c:v>80.37</c:v>
                </c:pt>
                <c:pt idx="1355">
                  <c:v>78.33</c:v>
                </c:pt>
                <c:pt idx="1356">
                  <c:v>70.91</c:v>
                </c:pt>
                <c:pt idx="1357">
                  <c:v>69.61</c:v>
                </c:pt>
                <c:pt idx="1358">
                  <c:v>65.930000000000007</c:v>
                </c:pt>
                <c:pt idx="1359">
                  <c:v>66.010000000000005</c:v>
                </c:pt>
                <c:pt idx="1360">
                  <c:v>65.19</c:v>
                </c:pt>
                <c:pt idx="1361">
                  <c:v>67.37</c:v>
                </c:pt>
                <c:pt idx="1362">
                  <c:v>69.599999999999994</c:v>
                </c:pt>
                <c:pt idx="1363">
                  <c:v>73.3</c:v>
                </c:pt>
                <c:pt idx="1364">
                  <c:v>73.680000000000007</c:v>
                </c:pt>
                <c:pt idx="1365">
                  <c:v>74.260000000000005</c:v>
                </c:pt>
                <c:pt idx="1366">
                  <c:v>72.12</c:v>
                </c:pt>
                <c:pt idx="1367">
                  <c:v>71.83</c:v>
                </c:pt>
                <c:pt idx="1368">
                  <c:v>71.52</c:v>
                </c:pt>
                <c:pt idx="1369">
                  <c:v>72.05</c:v>
                </c:pt>
                <c:pt idx="1370">
                  <c:v>72.63</c:v>
                </c:pt>
                <c:pt idx="1371">
                  <c:v>72.27</c:v>
                </c:pt>
                <c:pt idx="1372">
                  <c:v>74.42</c:v>
                </c:pt>
                <c:pt idx="1373">
                  <c:v>77.650000000000006</c:v>
                </c:pt>
                <c:pt idx="1374">
                  <c:v>75.94</c:v>
                </c:pt>
                <c:pt idx="1375">
                  <c:v>71.56</c:v>
                </c:pt>
                <c:pt idx="1376">
                  <c:v>68.37</c:v>
                </c:pt>
                <c:pt idx="1377">
                  <c:v>64.739999999999995</c:v>
                </c:pt>
                <c:pt idx="1378">
                  <c:v>66.400000000000006</c:v>
                </c:pt>
                <c:pt idx="1379">
                  <c:v>69.989999999999995</c:v>
                </c:pt>
                <c:pt idx="1380">
                  <c:v>69.2</c:v>
                </c:pt>
                <c:pt idx="1381">
                  <c:v>68.34</c:v>
                </c:pt>
                <c:pt idx="1382">
                  <c:v>65.52</c:v>
                </c:pt>
                <c:pt idx="1383">
                  <c:v>63.53</c:v>
                </c:pt>
                <c:pt idx="1384">
                  <c:v>63.28</c:v>
                </c:pt>
                <c:pt idx="1385">
                  <c:v>60.59</c:v>
                </c:pt>
                <c:pt idx="1386">
                  <c:v>60.51</c:v>
                </c:pt>
                <c:pt idx="1387">
                  <c:v>60.43</c:v>
                </c:pt>
                <c:pt idx="1388">
                  <c:v>60.44</c:v>
                </c:pt>
                <c:pt idx="1389">
                  <c:v>62.88</c:v>
                </c:pt>
                <c:pt idx="1390">
                  <c:v>60.01</c:v>
                </c:pt>
                <c:pt idx="1391">
                  <c:v>59.45</c:v>
                </c:pt>
                <c:pt idx="1392">
                  <c:v>55.05</c:v>
                </c:pt>
                <c:pt idx="1393">
                  <c:v>51.62</c:v>
                </c:pt>
                <c:pt idx="1394">
                  <c:v>46.75</c:v>
                </c:pt>
                <c:pt idx="1395">
                  <c:v>43.63</c:v>
                </c:pt>
                <c:pt idx="1396">
                  <c:v>42.28</c:v>
                </c:pt>
                <c:pt idx="1397">
                  <c:v>50.88</c:v>
                </c:pt>
                <c:pt idx="1398">
                  <c:v>53.45</c:v>
                </c:pt>
                <c:pt idx="1399">
                  <c:v>57.27</c:v>
                </c:pt>
                <c:pt idx="1400">
                  <c:v>61.5</c:v>
                </c:pt>
                <c:pt idx="1401">
                  <c:v>60.7</c:v>
                </c:pt>
                <c:pt idx="1402">
                  <c:v>65.2</c:v>
                </c:pt>
                <c:pt idx="1403">
                  <c:v>71.069999999999993</c:v>
                </c:pt>
                <c:pt idx="1404">
                  <c:v>61.36</c:v>
                </c:pt>
                <c:pt idx="1405">
                  <c:v>74</c:v>
                </c:pt>
                <c:pt idx="1406">
                  <c:v>68.58</c:v>
                </c:pt>
                <c:pt idx="1407">
                  <c:v>81.67</c:v>
                </c:pt>
                <c:pt idx="1408">
                  <c:v>81.209999999999994</c:v>
                </c:pt>
                <c:pt idx="1409">
                  <c:v>78.13</c:v>
                </c:pt>
                <c:pt idx="1410">
                  <c:v>75.650000000000006</c:v>
                </c:pt>
                <c:pt idx="1411">
                  <c:v>75.66</c:v>
                </c:pt>
                <c:pt idx="1412">
                  <c:v>85.02</c:v>
                </c:pt>
                <c:pt idx="1413">
                  <c:v>85.88</c:v>
                </c:pt>
                <c:pt idx="1414">
                  <c:v>81.86</c:v>
                </c:pt>
                <c:pt idx="1415">
                  <c:v>78.260000000000005</c:v>
                </c:pt>
                <c:pt idx="1416">
                  <c:v>70.3</c:v>
                </c:pt>
                <c:pt idx="1417">
                  <c:v>69.87</c:v>
                </c:pt>
                <c:pt idx="1418">
                  <c:v>66.95</c:v>
                </c:pt>
                <c:pt idx="1419">
                  <c:v>67.09</c:v>
                </c:pt>
                <c:pt idx="1420">
                  <c:v>67.78</c:v>
                </c:pt>
                <c:pt idx="1421">
                  <c:v>60.61</c:v>
                </c:pt>
                <c:pt idx="1422">
                  <c:v>64.040000000000006</c:v>
                </c:pt>
                <c:pt idx="1423">
                  <c:v>61.06</c:v>
                </c:pt>
                <c:pt idx="1424">
                  <c:v>60.05</c:v>
                </c:pt>
                <c:pt idx="1425">
                  <c:v>58.75</c:v>
                </c:pt>
                <c:pt idx="1426">
                  <c:v>53.47</c:v>
                </c:pt>
                <c:pt idx="1427">
                  <c:v>51.17</c:v>
                </c:pt>
                <c:pt idx="1428">
                  <c:v>43.42</c:v>
                </c:pt>
                <c:pt idx="1429">
                  <c:v>39.979999999999997</c:v>
                </c:pt>
                <c:pt idx="1430">
                  <c:v>36.299999999999997</c:v>
                </c:pt>
                <c:pt idx="1431">
                  <c:v>33.020000000000003</c:v>
                </c:pt>
                <c:pt idx="1432">
                  <c:v>33.46</c:v>
                </c:pt>
                <c:pt idx="1433">
                  <c:v>29.77</c:v>
                </c:pt>
                <c:pt idx="1434">
                  <c:v>27.99</c:v>
                </c:pt>
                <c:pt idx="1435">
                  <c:v>32.64</c:v>
                </c:pt>
                <c:pt idx="1436">
                  <c:v>36.32</c:v>
                </c:pt>
                <c:pt idx="1437">
                  <c:v>36.85</c:v>
                </c:pt>
                <c:pt idx="1438">
                  <c:v>35.69</c:v>
                </c:pt>
                <c:pt idx="1439">
                  <c:v>33.19</c:v>
                </c:pt>
                <c:pt idx="1440">
                  <c:v>32.71</c:v>
                </c:pt>
                <c:pt idx="1441">
                  <c:v>31.28</c:v>
                </c:pt>
                <c:pt idx="1442">
                  <c:v>26.1</c:v>
                </c:pt>
                <c:pt idx="1443">
                  <c:v>25.41</c:v>
                </c:pt>
                <c:pt idx="1444">
                  <c:v>21.78</c:v>
                </c:pt>
                <c:pt idx="1445">
                  <c:v>19.53</c:v>
                </c:pt>
                <c:pt idx="1446">
                  <c:v>20.47</c:v>
                </c:pt>
                <c:pt idx="1447">
                  <c:v>19.5</c:v>
                </c:pt>
                <c:pt idx="1448">
                  <c:v>17.61</c:v>
                </c:pt>
                <c:pt idx="1449">
                  <c:v>23.92</c:v>
                </c:pt>
                <c:pt idx="1450">
                  <c:v>23.26</c:v>
                </c:pt>
                <c:pt idx="1451">
                  <c:v>21.05</c:v>
                </c:pt>
                <c:pt idx="1452">
                  <c:v>21.59</c:v>
                </c:pt>
                <c:pt idx="1453">
                  <c:v>19.96</c:v>
                </c:pt>
                <c:pt idx="1454">
                  <c:v>18.22</c:v>
                </c:pt>
                <c:pt idx="1455">
                  <c:v>19.18</c:v>
                </c:pt>
                <c:pt idx="1456">
                  <c:v>21.53</c:v>
                </c:pt>
                <c:pt idx="1457">
                  <c:v>17.600000000000001</c:v>
                </c:pt>
                <c:pt idx="1458">
                  <c:v>18.09</c:v>
                </c:pt>
                <c:pt idx="1459">
                  <c:v>15.72</c:v>
                </c:pt>
                <c:pt idx="1460">
                  <c:v>12.87</c:v>
                </c:pt>
                <c:pt idx="1461">
                  <c:v>12.32</c:v>
                </c:pt>
                <c:pt idx="1462">
                  <c:v>11.78</c:v>
                </c:pt>
                <c:pt idx="1463">
                  <c:v>8.06</c:v>
                </c:pt>
                <c:pt idx="1464">
                  <c:v>5.48</c:v>
                </c:pt>
                <c:pt idx="1465">
                  <c:v>5.82</c:v>
                </c:pt>
                <c:pt idx="1466">
                  <c:v>5.37</c:v>
                </c:pt>
                <c:pt idx="1467">
                  <c:v>3.36</c:v>
                </c:pt>
                <c:pt idx="1468">
                  <c:v>10.94</c:v>
                </c:pt>
                <c:pt idx="1469">
                  <c:v>14</c:v>
                </c:pt>
                <c:pt idx="1470">
                  <c:v>11.14</c:v>
                </c:pt>
                <c:pt idx="1471">
                  <c:v>10.09</c:v>
                </c:pt>
                <c:pt idx="1472">
                  <c:v>8.93</c:v>
                </c:pt>
                <c:pt idx="1473">
                  <c:v>5.97</c:v>
                </c:pt>
                <c:pt idx="1474">
                  <c:v>4.2699999999999996</c:v>
                </c:pt>
                <c:pt idx="1475">
                  <c:v>1.83</c:v>
                </c:pt>
                <c:pt idx="1476">
                  <c:v>0.66</c:v>
                </c:pt>
                <c:pt idx="1477">
                  <c:v>0.02</c:v>
                </c:pt>
                <c:pt idx="1478">
                  <c:v>-0.06</c:v>
                </c:pt>
                <c:pt idx="1479">
                  <c:v>-0.03</c:v>
                </c:pt>
                <c:pt idx="1480">
                  <c:v>-0.1</c:v>
                </c:pt>
                <c:pt idx="1481">
                  <c:v>0.08</c:v>
                </c:pt>
                <c:pt idx="1482">
                  <c:v>4.62</c:v>
                </c:pt>
                <c:pt idx="1483">
                  <c:v>6.76</c:v>
                </c:pt>
                <c:pt idx="1484">
                  <c:v>9.5299999999999994</c:v>
                </c:pt>
                <c:pt idx="1485">
                  <c:v>9.64</c:v>
                </c:pt>
                <c:pt idx="1486">
                  <c:v>7.44</c:v>
                </c:pt>
                <c:pt idx="1487">
                  <c:v>5.98</c:v>
                </c:pt>
                <c:pt idx="1488">
                  <c:v>4.3600000000000003</c:v>
                </c:pt>
                <c:pt idx="1489">
                  <c:v>3.03</c:v>
                </c:pt>
                <c:pt idx="1490">
                  <c:v>1.34</c:v>
                </c:pt>
                <c:pt idx="1491">
                  <c:v>0.45</c:v>
                </c:pt>
                <c:pt idx="1492">
                  <c:v>-0.03</c:v>
                </c:pt>
                <c:pt idx="1493">
                  <c:v>-0.08</c:v>
                </c:pt>
                <c:pt idx="1494">
                  <c:v>-0.02</c:v>
                </c:pt>
                <c:pt idx="1495">
                  <c:v>2.4300000000000002</c:v>
                </c:pt>
                <c:pt idx="1496">
                  <c:v>5.33</c:v>
                </c:pt>
                <c:pt idx="1497">
                  <c:v>8.83</c:v>
                </c:pt>
                <c:pt idx="1498">
                  <c:v>11.81</c:v>
                </c:pt>
                <c:pt idx="1499">
                  <c:v>11.74</c:v>
                </c:pt>
                <c:pt idx="1500">
                  <c:v>10.08</c:v>
                </c:pt>
                <c:pt idx="1501">
                  <c:v>7.8</c:v>
                </c:pt>
                <c:pt idx="1502">
                  <c:v>7.83</c:v>
                </c:pt>
                <c:pt idx="1503">
                  <c:v>6.34</c:v>
                </c:pt>
                <c:pt idx="1504">
                  <c:v>4.7300000000000004</c:v>
                </c:pt>
                <c:pt idx="1505">
                  <c:v>5.94</c:v>
                </c:pt>
                <c:pt idx="1506">
                  <c:v>6.36</c:v>
                </c:pt>
                <c:pt idx="1507">
                  <c:v>5.22</c:v>
                </c:pt>
                <c:pt idx="1508">
                  <c:v>6.06</c:v>
                </c:pt>
                <c:pt idx="1509">
                  <c:v>15.17</c:v>
                </c:pt>
                <c:pt idx="1510">
                  <c:v>26.44</c:v>
                </c:pt>
                <c:pt idx="1511">
                  <c:v>22.06</c:v>
                </c:pt>
                <c:pt idx="1512">
                  <c:v>18.940000000000001</c:v>
                </c:pt>
                <c:pt idx="1513">
                  <c:v>19.91</c:v>
                </c:pt>
                <c:pt idx="1514">
                  <c:v>18.18</c:v>
                </c:pt>
                <c:pt idx="1515">
                  <c:v>13.23</c:v>
                </c:pt>
                <c:pt idx="1516">
                  <c:v>8.51</c:v>
                </c:pt>
                <c:pt idx="1517">
                  <c:v>7.48</c:v>
                </c:pt>
                <c:pt idx="1518">
                  <c:v>12.25</c:v>
                </c:pt>
                <c:pt idx="1519">
                  <c:v>13.52</c:v>
                </c:pt>
                <c:pt idx="1520">
                  <c:v>12.46</c:v>
                </c:pt>
                <c:pt idx="1521">
                  <c:v>10.67</c:v>
                </c:pt>
                <c:pt idx="1522">
                  <c:v>10.45</c:v>
                </c:pt>
                <c:pt idx="1523">
                  <c:v>9.9700000000000006</c:v>
                </c:pt>
                <c:pt idx="1524">
                  <c:v>12.03</c:v>
                </c:pt>
                <c:pt idx="1525">
                  <c:v>11.35</c:v>
                </c:pt>
                <c:pt idx="1526">
                  <c:v>11.13</c:v>
                </c:pt>
                <c:pt idx="1527">
                  <c:v>11.43</c:v>
                </c:pt>
                <c:pt idx="1528">
                  <c:v>11.99</c:v>
                </c:pt>
                <c:pt idx="1529">
                  <c:v>10.86</c:v>
                </c:pt>
                <c:pt idx="1530">
                  <c:v>8.2899999999999991</c:v>
                </c:pt>
                <c:pt idx="1531">
                  <c:v>7.17</c:v>
                </c:pt>
                <c:pt idx="1532">
                  <c:v>10.56</c:v>
                </c:pt>
                <c:pt idx="1533">
                  <c:v>11.51</c:v>
                </c:pt>
                <c:pt idx="1534">
                  <c:v>10.8</c:v>
                </c:pt>
                <c:pt idx="1535">
                  <c:v>11.43</c:v>
                </c:pt>
                <c:pt idx="1536">
                  <c:v>12.52</c:v>
                </c:pt>
                <c:pt idx="1537">
                  <c:v>12.52</c:v>
                </c:pt>
                <c:pt idx="1538">
                  <c:v>11.17</c:v>
                </c:pt>
                <c:pt idx="1539">
                  <c:v>13.05</c:v>
                </c:pt>
                <c:pt idx="1540">
                  <c:v>12.41</c:v>
                </c:pt>
                <c:pt idx="1541">
                  <c:v>11.9</c:v>
                </c:pt>
                <c:pt idx="1542">
                  <c:v>9.84</c:v>
                </c:pt>
                <c:pt idx="1543">
                  <c:v>9.99</c:v>
                </c:pt>
                <c:pt idx="1544">
                  <c:v>9.57</c:v>
                </c:pt>
                <c:pt idx="1545">
                  <c:v>8.61</c:v>
                </c:pt>
                <c:pt idx="1546">
                  <c:v>6.01</c:v>
                </c:pt>
                <c:pt idx="1547">
                  <c:v>5.25</c:v>
                </c:pt>
                <c:pt idx="1548">
                  <c:v>4.76</c:v>
                </c:pt>
                <c:pt idx="1549">
                  <c:v>6.19</c:v>
                </c:pt>
                <c:pt idx="1550">
                  <c:v>5.76</c:v>
                </c:pt>
                <c:pt idx="1551">
                  <c:v>6.89</c:v>
                </c:pt>
                <c:pt idx="1552">
                  <c:v>9.08</c:v>
                </c:pt>
                <c:pt idx="1553">
                  <c:v>10.37</c:v>
                </c:pt>
                <c:pt idx="1554">
                  <c:v>10.41</c:v>
                </c:pt>
                <c:pt idx="1555">
                  <c:v>10.5</c:v>
                </c:pt>
                <c:pt idx="1556">
                  <c:v>10.43</c:v>
                </c:pt>
                <c:pt idx="1557">
                  <c:v>11.77</c:v>
                </c:pt>
                <c:pt idx="1558">
                  <c:v>11.48</c:v>
                </c:pt>
                <c:pt idx="1559">
                  <c:v>10.130000000000001</c:v>
                </c:pt>
                <c:pt idx="1560">
                  <c:v>9.74</c:v>
                </c:pt>
                <c:pt idx="1561">
                  <c:v>9.9</c:v>
                </c:pt>
                <c:pt idx="1562">
                  <c:v>11.43</c:v>
                </c:pt>
                <c:pt idx="1563">
                  <c:v>12.46</c:v>
                </c:pt>
                <c:pt idx="1564">
                  <c:v>13.12</c:v>
                </c:pt>
                <c:pt idx="1565">
                  <c:v>13.68</c:v>
                </c:pt>
                <c:pt idx="1566">
                  <c:v>21.61</c:v>
                </c:pt>
                <c:pt idx="1567">
                  <c:v>27.43</c:v>
                </c:pt>
                <c:pt idx="1568">
                  <c:v>25.95</c:v>
                </c:pt>
                <c:pt idx="1569">
                  <c:v>18.77</c:v>
                </c:pt>
                <c:pt idx="1570">
                  <c:v>20.85</c:v>
                </c:pt>
                <c:pt idx="1571">
                  <c:v>21.74</c:v>
                </c:pt>
                <c:pt idx="1572">
                  <c:v>20.13</c:v>
                </c:pt>
                <c:pt idx="1573">
                  <c:v>16.48</c:v>
                </c:pt>
                <c:pt idx="1574">
                  <c:v>15.61</c:v>
                </c:pt>
                <c:pt idx="1575">
                  <c:v>15.8</c:v>
                </c:pt>
                <c:pt idx="1576">
                  <c:v>22.18</c:v>
                </c:pt>
                <c:pt idx="1577">
                  <c:v>20.079999999999998</c:v>
                </c:pt>
                <c:pt idx="1578">
                  <c:v>15.98</c:v>
                </c:pt>
                <c:pt idx="1579">
                  <c:v>13.79</c:v>
                </c:pt>
                <c:pt idx="1580">
                  <c:v>14.33</c:v>
                </c:pt>
                <c:pt idx="1581">
                  <c:v>16.079999999999998</c:v>
                </c:pt>
                <c:pt idx="1582">
                  <c:v>17.59</c:v>
                </c:pt>
                <c:pt idx="1583">
                  <c:v>15.78</c:v>
                </c:pt>
                <c:pt idx="1584">
                  <c:v>15.46</c:v>
                </c:pt>
                <c:pt idx="1585">
                  <c:v>17.21</c:v>
                </c:pt>
                <c:pt idx="1586">
                  <c:v>18.87</c:v>
                </c:pt>
                <c:pt idx="1587">
                  <c:v>16.82</c:v>
                </c:pt>
                <c:pt idx="1588">
                  <c:v>15.65</c:v>
                </c:pt>
                <c:pt idx="1589">
                  <c:v>17.309999999999999</c:v>
                </c:pt>
                <c:pt idx="1590">
                  <c:v>16.39</c:v>
                </c:pt>
                <c:pt idx="1591">
                  <c:v>14.64</c:v>
                </c:pt>
                <c:pt idx="1592">
                  <c:v>12.09</c:v>
                </c:pt>
                <c:pt idx="1593">
                  <c:v>11.86</c:v>
                </c:pt>
                <c:pt idx="1594">
                  <c:v>10.4</c:v>
                </c:pt>
                <c:pt idx="1595">
                  <c:v>10.38</c:v>
                </c:pt>
                <c:pt idx="1596">
                  <c:v>9.61</c:v>
                </c:pt>
                <c:pt idx="1597">
                  <c:v>8.61</c:v>
                </c:pt>
                <c:pt idx="1598">
                  <c:v>6.91</c:v>
                </c:pt>
                <c:pt idx="1599">
                  <c:v>9.91</c:v>
                </c:pt>
                <c:pt idx="1600">
                  <c:v>9.77</c:v>
                </c:pt>
                <c:pt idx="1601">
                  <c:v>9.6199999999999992</c:v>
                </c:pt>
                <c:pt idx="1602">
                  <c:v>8.7100000000000009</c:v>
                </c:pt>
                <c:pt idx="1603">
                  <c:v>10.46</c:v>
                </c:pt>
                <c:pt idx="1604">
                  <c:v>10.86</c:v>
                </c:pt>
                <c:pt idx="1605">
                  <c:v>12.45</c:v>
                </c:pt>
                <c:pt idx="1606">
                  <c:v>12.44</c:v>
                </c:pt>
                <c:pt idx="1607">
                  <c:v>12.04</c:v>
                </c:pt>
                <c:pt idx="1608">
                  <c:v>14.84</c:v>
                </c:pt>
                <c:pt idx="1609">
                  <c:v>14.94</c:v>
                </c:pt>
                <c:pt idx="1610">
                  <c:v>16.350000000000001</c:v>
                </c:pt>
                <c:pt idx="1611">
                  <c:v>17.77</c:v>
                </c:pt>
                <c:pt idx="1612">
                  <c:v>18.28</c:v>
                </c:pt>
                <c:pt idx="1613">
                  <c:v>17.21</c:v>
                </c:pt>
                <c:pt idx="1614">
                  <c:v>15.6</c:v>
                </c:pt>
                <c:pt idx="1615">
                  <c:v>14</c:v>
                </c:pt>
                <c:pt idx="1616">
                  <c:v>12.85</c:v>
                </c:pt>
                <c:pt idx="1617">
                  <c:v>11.99</c:v>
                </c:pt>
                <c:pt idx="1618">
                  <c:v>12.03</c:v>
                </c:pt>
                <c:pt idx="1619">
                  <c:v>10.78</c:v>
                </c:pt>
                <c:pt idx="1620">
                  <c:v>12.13</c:v>
                </c:pt>
                <c:pt idx="1621">
                  <c:v>13.95</c:v>
                </c:pt>
                <c:pt idx="1622">
                  <c:v>14.63</c:v>
                </c:pt>
                <c:pt idx="1623">
                  <c:v>12.23</c:v>
                </c:pt>
                <c:pt idx="1624">
                  <c:v>13.17</c:v>
                </c:pt>
                <c:pt idx="1625">
                  <c:v>13.72</c:v>
                </c:pt>
                <c:pt idx="1626">
                  <c:v>14.92</c:v>
                </c:pt>
                <c:pt idx="1627">
                  <c:v>16.64</c:v>
                </c:pt>
                <c:pt idx="1628">
                  <c:v>17.62</c:v>
                </c:pt>
                <c:pt idx="1629">
                  <c:v>15.81</c:v>
                </c:pt>
                <c:pt idx="1630">
                  <c:v>15.43</c:v>
                </c:pt>
                <c:pt idx="1631">
                  <c:v>17.38</c:v>
                </c:pt>
                <c:pt idx="1632">
                  <c:v>18.670000000000002</c:v>
                </c:pt>
                <c:pt idx="1633">
                  <c:v>16.57</c:v>
                </c:pt>
                <c:pt idx="1634">
                  <c:v>13.91</c:v>
                </c:pt>
                <c:pt idx="1635">
                  <c:v>13.54</c:v>
                </c:pt>
                <c:pt idx="1636">
                  <c:v>13.85</c:v>
                </c:pt>
                <c:pt idx="1637">
                  <c:v>11.69</c:v>
                </c:pt>
                <c:pt idx="1638">
                  <c:v>10.119999999999999</c:v>
                </c:pt>
                <c:pt idx="1639">
                  <c:v>9.51</c:v>
                </c:pt>
                <c:pt idx="1640">
                  <c:v>8.2799999999999994</c:v>
                </c:pt>
                <c:pt idx="1641">
                  <c:v>10.029999999999999</c:v>
                </c:pt>
                <c:pt idx="1642">
                  <c:v>10.63</c:v>
                </c:pt>
                <c:pt idx="1643">
                  <c:v>10.29</c:v>
                </c:pt>
                <c:pt idx="1644">
                  <c:v>9.4</c:v>
                </c:pt>
                <c:pt idx="1645">
                  <c:v>10.95</c:v>
                </c:pt>
                <c:pt idx="1646">
                  <c:v>10.79</c:v>
                </c:pt>
                <c:pt idx="1647">
                  <c:v>12.46</c:v>
                </c:pt>
                <c:pt idx="1648">
                  <c:v>14.19</c:v>
                </c:pt>
                <c:pt idx="1649">
                  <c:v>15.63</c:v>
                </c:pt>
                <c:pt idx="1650">
                  <c:v>15.87</c:v>
                </c:pt>
                <c:pt idx="1651">
                  <c:v>16.399999999999999</c:v>
                </c:pt>
                <c:pt idx="1652">
                  <c:v>15.26</c:v>
                </c:pt>
                <c:pt idx="1653">
                  <c:v>14.58</c:v>
                </c:pt>
                <c:pt idx="1654">
                  <c:v>15.81</c:v>
                </c:pt>
                <c:pt idx="1655">
                  <c:v>16.27</c:v>
                </c:pt>
                <c:pt idx="1656">
                  <c:v>14.23</c:v>
                </c:pt>
                <c:pt idx="1657">
                  <c:v>13.58</c:v>
                </c:pt>
                <c:pt idx="1658">
                  <c:v>14.63</c:v>
                </c:pt>
                <c:pt idx="1659">
                  <c:v>15.14</c:v>
                </c:pt>
                <c:pt idx="1660">
                  <c:v>15.31</c:v>
                </c:pt>
                <c:pt idx="1661">
                  <c:v>15.56</c:v>
                </c:pt>
                <c:pt idx="1662">
                  <c:v>16.690000000000001</c:v>
                </c:pt>
                <c:pt idx="1663">
                  <c:v>21.41</c:v>
                </c:pt>
                <c:pt idx="1664">
                  <c:v>25.82</c:v>
                </c:pt>
                <c:pt idx="1665">
                  <c:v>26.5</c:v>
                </c:pt>
                <c:pt idx="1666">
                  <c:v>26.76</c:v>
                </c:pt>
                <c:pt idx="1667">
                  <c:v>27.14</c:v>
                </c:pt>
                <c:pt idx="1668">
                  <c:v>28.36</c:v>
                </c:pt>
                <c:pt idx="1669">
                  <c:v>27.39</c:v>
                </c:pt>
                <c:pt idx="1670">
                  <c:v>25.74</c:v>
                </c:pt>
                <c:pt idx="1671">
                  <c:v>21.44</c:v>
                </c:pt>
                <c:pt idx="1672">
                  <c:v>19.46</c:v>
                </c:pt>
                <c:pt idx="1673">
                  <c:v>17.95</c:v>
                </c:pt>
                <c:pt idx="1674">
                  <c:v>17.59</c:v>
                </c:pt>
                <c:pt idx="1675">
                  <c:v>16.690000000000001</c:v>
                </c:pt>
                <c:pt idx="1676">
                  <c:v>16.16</c:v>
                </c:pt>
                <c:pt idx="1677">
                  <c:v>13.33</c:v>
                </c:pt>
                <c:pt idx="1678">
                  <c:v>13.04</c:v>
                </c:pt>
                <c:pt idx="1679">
                  <c:v>12.37</c:v>
                </c:pt>
                <c:pt idx="1680">
                  <c:v>10.81</c:v>
                </c:pt>
                <c:pt idx="1681">
                  <c:v>9.99</c:v>
                </c:pt>
                <c:pt idx="1682">
                  <c:v>10.32</c:v>
                </c:pt>
                <c:pt idx="1683">
                  <c:v>10.15</c:v>
                </c:pt>
                <c:pt idx="1684">
                  <c:v>10.23</c:v>
                </c:pt>
                <c:pt idx="1685">
                  <c:v>10.88</c:v>
                </c:pt>
                <c:pt idx="1686">
                  <c:v>11.92</c:v>
                </c:pt>
                <c:pt idx="1687">
                  <c:v>12.35</c:v>
                </c:pt>
                <c:pt idx="1688">
                  <c:v>13.33</c:v>
                </c:pt>
                <c:pt idx="1689">
                  <c:v>14.03</c:v>
                </c:pt>
                <c:pt idx="1690">
                  <c:v>13.49</c:v>
                </c:pt>
                <c:pt idx="1691">
                  <c:v>13.3</c:v>
                </c:pt>
                <c:pt idx="1692">
                  <c:v>12.85</c:v>
                </c:pt>
                <c:pt idx="1693">
                  <c:v>12.7</c:v>
                </c:pt>
                <c:pt idx="1694">
                  <c:v>10.1</c:v>
                </c:pt>
                <c:pt idx="1695">
                  <c:v>9.5299999999999994</c:v>
                </c:pt>
                <c:pt idx="1696">
                  <c:v>9.83</c:v>
                </c:pt>
                <c:pt idx="1697">
                  <c:v>11.56</c:v>
                </c:pt>
                <c:pt idx="1698">
                  <c:v>13.58</c:v>
                </c:pt>
                <c:pt idx="1699">
                  <c:v>15.53</c:v>
                </c:pt>
                <c:pt idx="1700">
                  <c:v>16.600000000000001</c:v>
                </c:pt>
                <c:pt idx="1701">
                  <c:v>18.100000000000001</c:v>
                </c:pt>
                <c:pt idx="1702">
                  <c:v>16.82</c:v>
                </c:pt>
                <c:pt idx="1703">
                  <c:v>15.18</c:v>
                </c:pt>
                <c:pt idx="1704">
                  <c:v>14.03</c:v>
                </c:pt>
                <c:pt idx="1705">
                  <c:v>14.21</c:v>
                </c:pt>
                <c:pt idx="1706">
                  <c:v>18.34</c:v>
                </c:pt>
                <c:pt idx="1707">
                  <c:v>21.91</c:v>
                </c:pt>
                <c:pt idx="1708">
                  <c:v>21.57</c:v>
                </c:pt>
                <c:pt idx="1709">
                  <c:v>20.010000000000002</c:v>
                </c:pt>
                <c:pt idx="1710">
                  <c:v>23.1</c:v>
                </c:pt>
                <c:pt idx="1711">
                  <c:v>24.32</c:v>
                </c:pt>
                <c:pt idx="1712">
                  <c:v>24.39</c:v>
                </c:pt>
                <c:pt idx="1713">
                  <c:v>24.96</c:v>
                </c:pt>
                <c:pt idx="1714">
                  <c:v>23.36</c:v>
                </c:pt>
                <c:pt idx="1715">
                  <c:v>22.35</c:v>
                </c:pt>
                <c:pt idx="1716">
                  <c:v>23.28</c:v>
                </c:pt>
                <c:pt idx="1717">
                  <c:v>25.69</c:v>
                </c:pt>
                <c:pt idx="1718">
                  <c:v>29.73</c:v>
                </c:pt>
                <c:pt idx="1719">
                  <c:v>30.93</c:v>
                </c:pt>
                <c:pt idx="1720">
                  <c:v>31.2</c:v>
                </c:pt>
                <c:pt idx="1721">
                  <c:v>27.93</c:v>
                </c:pt>
                <c:pt idx="1722">
                  <c:v>25.75</c:v>
                </c:pt>
                <c:pt idx="1723">
                  <c:v>26.55</c:v>
                </c:pt>
                <c:pt idx="1724">
                  <c:v>26.07</c:v>
                </c:pt>
                <c:pt idx="1725">
                  <c:v>21.57</c:v>
                </c:pt>
                <c:pt idx="1726">
                  <c:v>22.69</c:v>
                </c:pt>
                <c:pt idx="1727">
                  <c:v>23.03</c:v>
                </c:pt>
                <c:pt idx="1728">
                  <c:v>22.97</c:v>
                </c:pt>
                <c:pt idx="1729">
                  <c:v>24.66</c:v>
                </c:pt>
                <c:pt idx="1730">
                  <c:v>37.08</c:v>
                </c:pt>
                <c:pt idx="1731">
                  <c:v>45.21</c:v>
                </c:pt>
                <c:pt idx="1732">
                  <c:v>47.71</c:v>
                </c:pt>
                <c:pt idx="1733">
                  <c:v>51.19</c:v>
                </c:pt>
                <c:pt idx="1734">
                  <c:v>61.02</c:v>
                </c:pt>
                <c:pt idx="1735">
                  <c:v>71.17</c:v>
                </c:pt>
                <c:pt idx="1736">
                  <c:v>72.98</c:v>
                </c:pt>
                <c:pt idx="1737">
                  <c:v>75.260000000000005</c:v>
                </c:pt>
                <c:pt idx="1738">
                  <c:v>79.95</c:v>
                </c:pt>
                <c:pt idx="1739">
                  <c:v>81.3</c:v>
                </c:pt>
                <c:pt idx="1740">
                  <c:v>79.77</c:v>
                </c:pt>
                <c:pt idx="1741">
                  <c:v>74</c:v>
                </c:pt>
                <c:pt idx="1742">
                  <c:v>67.23</c:v>
                </c:pt>
                <c:pt idx="1743">
                  <c:v>65.02</c:v>
                </c:pt>
                <c:pt idx="1744">
                  <c:v>63.41</c:v>
                </c:pt>
                <c:pt idx="1745">
                  <c:v>62.76</c:v>
                </c:pt>
                <c:pt idx="1746">
                  <c:v>63.39</c:v>
                </c:pt>
                <c:pt idx="1747">
                  <c:v>66.58</c:v>
                </c:pt>
                <c:pt idx="1748">
                  <c:v>65.290000000000006</c:v>
                </c:pt>
                <c:pt idx="1749">
                  <c:v>64.66</c:v>
                </c:pt>
                <c:pt idx="1750">
                  <c:v>61.43</c:v>
                </c:pt>
                <c:pt idx="1751">
                  <c:v>59.15</c:v>
                </c:pt>
                <c:pt idx="1752">
                  <c:v>58.38</c:v>
                </c:pt>
                <c:pt idx="1753">
                  <c:v>59.44</c:v>
                </c:pt>
                <c:pt idx="1754">
                  <c:v>59.92</c:v>
                </c:pt>
                <c:pt idx="1755">
                  <c:v>61.21</c:v>
                </c:pt>
                <c:pt idx="1756">
                  <c:v>63.19</c:v>
                </c:pt>
                <c:pt idx="1757">
                  <c:v>65.72</c:v>
                </c:pt>
                <c:pt idx="1758">
                  <c:v>67.069999999999993</c:v>
                </c:pt>
                <c:pt idx="1759">
                  <c:v>68.84</c:v>
                </c:pt>
                <c:pt idx="1760">
                  <c:v>69.959999999999994</c:v>
                </c:pt>
                <c:pt idx="1761">
                  <c:v>70.260000000000005</c:v>
                </c:pt>
                <c:pt idx="1762">
                  <c:v>69.67</c:v>
                </c:pt>
                <c:pt idx="1763">
                  <c:v>67.91</c:v>
                </c:pt>
                <c:pt idx="1764">
                  <c:v>65.66</c:v>
                </c:pt>
                <c:pt idx="1765">
                  <c:v>62.72</c:v>
                </c:pt>
                <c:pt idx="1766">
                  <c:v>61.29</c:v>
                </c:pt>
                <c:pt idx="1767">
                  <c:v>60.78</c:v>
                </c:pt>
                <c:pt idx="1768">
                  <c:v>63.12</c:v>
                </c:pt>
                <c:pt idx="1769">
                  <c:v>65.290000000000006</c:v>
                </c:pt>
                <c:pt idx="1770">
                  <c:v>68.41</c:v>
                </c:pt>
                <c:pt idx="1771">
                  <c:v>72.92</c:v>
                </c:pt>
                <c:pt idx="1772">
                  <c:v>73.540000000000006</c:v>
                </c:pt>
                <c:pt idx="1773">
                  <c:v>73.92</c:v>
                </c:pt>
                <c:pt idx="1774">
                  <c:v>75.400000000000006</c:v>
                </c:pt>
                <c:pt idx="1775">
                  <c:v>75.36</c:v>
                </c:pt>
                <c:pt idx="1776">
                  <c:v>74.87</c:v>
                </c:pt>
                <c:pt idx="1777">
                  <c:v>74.150000000000006</c:v>
                </c:pt>
                <c:pt idx="1778">
                  <c:v>73.040000000000006</c:v>
                </c:pt>
                <c:pt idx="1779">
                  <c:v>72.599999999999994</c:v>
                </c:pt>
                <c:pt idx="1780">
                  <c:v>71.58</c:v>
                </c:pt>
                <c:pt idx="1781">
                  <c:v>70.17</c:v>
                </c:pt>
                <c:pt idx="1782">
                  <c:v>69.849999999999994</c:v>
                </c:pt>
                <c:pt idx="1783">
                  <c:v>69.099999999999994</c:v>
                </c:pt>
                <c:pt idx="1784">
                  <c:v>63.36</c:v>
                </c:pt>
                <c:pt idx="1785">
                  <c:v>61.94</c:v>
                </c:pt>
                <c:pt idx="1786">
                  <c:v>59.21</c:v>
                </c:pt>
                <c:pt idx="1787">
                  <c:v>57.94</c:v>
                </c:pt>
                <c:pt idx="1788">
                  <c:v>54.58</c:v>
                </c:pt>
                <c:pt idx="1789">
                  <c:v>53.8</c:v>
                </c:pt>
                <c:pt idx="1790">
                  <c:v>54.14</c:v>
                </c:pt>
                <c:pt idx="1791">
                  <c:v>53.66</c:v>
                </c:pt>
                <c:pt idx="1792">
                  <c:v>50.63</c:v>
                </c:pt>
                <c:pt idx="1793">
                  <c:v>50.59</c:v>
                </c:pt>
                <c:pt idx="1794">
                  <c:v>47.08</c:v>
                </c:pt>
                <c:pt idx="1795">
                  <c:v>45.19</c:v>
                </c:pt>
                <c:pt idx="1796">
                  <c:v>43.01</c:v>
                </c:pt>
                <c:pt idx="1797">
                  <c:v>47.97</c:v>
                </c:pt>
                <c:pt idx="1798">
                  <c:v>45.54</c:v>
                </c:pt>
                <c:pt idx="1799">
                  <c:v>45.35</c:v>
                </c:pt>
                <c:pt idx="1800">
                  <c:v>50.94</c:v>
                </c:pt>
                <c:pt idx="1801">
                  <c:v>50.3</c:v>
                </c:pt>
                <c:pt idx="1802">
                  <c:v>48.32</c:v>
                </c:pt>
                <c:pt idx="1803">
                  <c:v>47.66</c:v>
                </c:pt>
                <c:pt idx="1804">
                  <c:v>47.27</c:v>
                </c:pt>
                <c:pt idx="1805">
                  <c:v>49.85</c:v>
                </c:pt>
                <c:pt idx="1806">
                  <c:v>52.5</c:v>
                </c:pt>
                <c:pt idx="1807">
                  <c:v>52.74</c:v>
                </c:pt>
                <c:pt idx="1808">
                  <c:v>51.92</c:v>
                </c:pt>
                <c:pt idx="1809">
                  <c:v>51.26</c:v>
                </c:pt>
                <c:pt idx="1810">
                  <c:v>50.1</c:v>
                </c:pt>
                <c:pt idx="1811">
                  <c:v>45.61</c:v>
                </c:pt>
                <c:pt idx="1812">
                  <c:v>46.66</c:v>
                </c:pt>
                <c:pt idx="1813">
                  <c:v>50.8</c:v>
                </c:pt>
                <c:pt idx="1814">
                  <c:v>55.78</c:v>
                </c:pt>
                <c:pt idx="1815">
                  <c:v>57.26</c:v>
                </c:pt>
                <c:pt idx="1816">
                  <c:v>61.3</c:v>
                </c:pt>
                <c:pt idx="1817">
                  <c:v>65.349999999999994</c:v>
                </c:pt>
                <c:pt idx="1818">
                  <c:v>67.3</c:v>
                </c:pt>
                <c:pt idx="1819">
                  <c:v>62.18</c:v>
                </c:pt>
                <c:pt idx="1820">
                  <c:v>61.88</c:v>
                </c:pt>
                <c:pt idx="1821">
                  <c:v>68.81</c:v>
                </c:pt>
                <c:pt idx="1822">
                  <c:v>73.150000000000006</c:v>
                </c:pt>
                <c:pt idx="1823">
                  <c:v>68.77</c:v>
                </c:pt>
                <c:pt idx="1824">
                  <c:v>69.540000000000006</c:v>
                </c:pt>
                <c:pt idx="1825">
                  <c:v>70.67</c:v>
                </c:pt>
                <c:pt idx="1826">
                  <c:v>71.790000000000006</c:v>
                </c:pt>
                <c:pt idx="1827">
                  <c:v>70.84</c:v>
                </c:pt>
                <c:pt idx="1828">
                  <c:v>67.31</c:v>
                </c:pt>
                <c:pt idx="1829">
                  <c:v>61.06</c:v>
                </c:pt>
                <c:pt idx="1830">
                  <c:v>57.1</c:v>
                </c:pt>
                <c:pt idx="1831">
                  <c:v>55.25</c:v>
                </c:pt>
                <c:pt idx="1832">
                  <c:v>50.24</c:v>
                </c:pt>
                <c:pt idx="1833">
                  <c:v>39.31</c:v>
                </c:pt>
                <c:pt idx="1834">
                  <c:v>31.21</c:v>
                </c:pt>
                <c:pt idx="1835">
                  <c:v>41.96</c:v>
                </c:pt>
                <c:pt idx="1836">
                  <c:v>43.32</c:v>
                </c:pt>
                <c:pt idx="1837">
                  <c:v>38.5</c:v>
                </c:pt>
                <c:pt idx="1838">
                  <c:v>37.75</c:v>
                </c:pt>
                <c:pt idx="1839">
                  <c:v>40.909999999999997</c:v>
                </c:pt>
                <c:pt idx="1840">
                  <c:v>39.380000000000003</c:v>
                </c:pt>
                <c:pt idx="1841">
                  <c:v>33.619999999999997</c:v>
                </c:pt>
                <c:pt idx="1842">
                  <c:v>30.43</c:v>
                </c:pt>
                <c:pt idx="1843">
                  <c:v>30.32</c:v>
                </c:pt>
                <c:pt idx="1844">
                  <c:v>29.4</c:v>
                </c:pt>
                <c:pt idx="1845">
                  <c:v>30.06</c:v>
                </c:pt>
                <c:pt idx="1846">
                  <c:v>28.77</c:v>
                </c:pt>
                <c:pt idx="1847">
                  <c:v>30.43</c:v>
                </c:pt>
                <c:pt idx="1848">
                  <c:v>30.67</c:v>
                </c:pt>
                <c:pt idx="1849">
                  <c:v>27.1</c:v>
                </c:pt>
                <c:pt idx="1850">
                  <c:v>27.23</c:v>
                </c:pt>
                <c:pt idx="1851">
                  <c:v>31.37</c:v>
                </c:pt>
                <c:pt idx="1852">
                  <c:v>30.09</c:v>
                </c:pt>
                <c:pt idx="1853">
                  <c:v>27.67</c:v>
                </c:pt>
                <c:pt idx="1854">
                  <c:v>25.33</c:v>
                </c:pt>
                <c:pt idx="1855">
                  <c:v>26.71</c:v>
                </c:pt>
                <c:pt idx="1856">
                  <c:v>27.19</c:v>
                </c:pt>
                <c:pt idx="1857">
                  <c:v>26.75</c:v>
                </c:pt>
                <c:pt idx="1858">
                  <c:v>25.6</c:v>
                </c:pt>
                <c:pt idx="1859">
                  <c:v>20.27</c:v>
                </c:pt>
                <c:pt idx="1860">
                  <c:v>18.559999999999999</c:v>
                </c:pt>
                <c:pt idx="1861">
                  <c:v>24.24</c:v>
                </c:pt>
                <c:pt idx="1862">
                  <c:v>33.56</c:v>
                </c:pt>
                <c:pt idx="1863">
                  <c:v>31.25</c:v>
                </c:pt>
                <c:pt idx="1864">
                  <c:v>30.26</c:v>
                </c:pt>
                <c:pt idx="1865">
                  <c:v>28.92</c:v>
                </c:pt>
                <c:pt idx="1866">
                  <c:v>32.78</c:v>
                </c:pt>
                <c:pt idx="1867">
                  <c:v>32.369999999999997</c:v>
                </c:pt>
                <c:pt idx="1868">
                  <c:v>32.21</c:v>
                </c:pt>
                <c:pt idx="1869">
                  <c:v>31.99</c:v>
                </c:pt>
                <c:pt idx="1870">
                  <c:v>31.68</c:v>
                </c:pt>
                <c:pt idx="1871">
                  <c:v>30.47</c:v>
                </c:pt>
                <c:pt idx="1872">
                  <c:v>27.48</c:v>
                </c:pt>
                <c:pt idx="1873">
                  <c:v>25.76</c:v>
                </c:pt>
                <c:pt idx="1874">
                  <c:v>24.99</c:v>
                </c:pt>
                <c:pt idx="1875">
                  <c:v>24.32</c:v>
                </c:pt>
                <c:pt idx="1876">
                  <c:v>25.93</c:v>
                </c:pt>
                <c:pt idx="1877">
                  <c:v>27.5</c:v>
                </c:pt>
                <c:pt idx="1878">
                  <c:v>27.85</c:v>
                </c:pt>
                <c:pt idx="1879">
                  <c:v>29.4</c:v>
                </c:pt>
                <c:pt idx="1880">
                  <c:v>28.28</c:v>
                </c:pt>
                <c:pt idx="1881">
                  <c:v>28.17</c:v>
                </c:pt>
                <c:pt idx="1882">
                  <c:v>27.16</c:v>
                </c:pt>
                <c:pt idx="1883">
                  <c:v>24.52</c:v>
                </c:pt>
                <c:pt idx="1884">
                  <c:v>20.3</c:v>
                </c:pt>
                <c:pt idx="1885">
                  <c:v>20.45</c:v>
                </c:pt>
                <c:pt idx="1886">
                  <c:v>20.36</c:v>
                </c:pt>
                <c:pt idx="1887">
                  <c:v>20.2</c:v>
                </c:pt>
                <c:pt idx="1888">
                  <c:v>17.05</c:v>
                </c:pt>
                <c:pt idx="1889">
                  <c:v>16.54</c:v>
                </c:pt>
                <c:pt idx="1890">
                  <c:v>16.52</c:v>
                </c:pt>
                <c:pt idx="1891">
                  <c:v>19.28</c:v>
                </c:pt>
                <c:pt idx="1892">
                  <c:v>19.25</c:v>
                </c:pt>
                <c:pt idx="1893">
                  <c:v>20.83</c:v>
                </c:pt>
                <c:pt idx="1894">
                  <c:v>18.53</c:v>
                </c:pt>
                <c:pt idx="1895">
                  <c:v>16.850000000000001</c:v>
                </c:pt>
                <c:pt idx="1896">
                  <c:v>14.87</c:v>
                </c:pt>
                <c:pt idx="1897">
                  <c:v>11.96</c:v>
                </c:pt>
                <c:pt idx="1898">
                  <c:v>9.98</c:v>
                </c:pt>
                <c:pt idx="1899">
                  <c:v>7.71</c:v>
                </c:pt>
                <c:pt idx="1900">
                  <c:v>6.67</c:v>
                </c:pt>
                <c:pt idx="1901">
                  <c:v>9.18</c:v>
                </c:pt>
                <c:pt idx="1902">
                  <c:v>10.01</c:v>
                </c:pt>
                <c:pt idx="1903">
                  <c:v>10.57</c:v>
                </c:pt>
                <c:pt idx="1904">
                  <c:v>13.75</c:v>
                </c:pt>
                <c:pt idx="1905">
                  <c:v>16.309999999999999</c:v>
                </c:pt>
                <c:pt idx="1906">
                  <c:v>16.64</c:v>
                </c:pt>
                <c:pt idx="1907">
                  <c:v>16.16</c:v>
                </c:pt>
                <c:pt idx="1908">
                  <c:v>16.28</c:v>
                </c:pt>
                <c:pt idx="1909">
                  <c:v>15.98</c:v>
                </c:pt>
                <c:pt idx="1910">
                  <c:v>18.850000000000001</c:v>
                </c:pt>
                <c:pt idx="1911">
                  <c:v>21.77</c:v>
                </c:pt>
                <c:pt idx="1912">
                  <c:v>23.64</c:v>
                </c:pt>
                <c:pt idx="1913">
                  <c:v>24.95</c:v>
                </c:pt>
                <c:pt idx="1914">
                  <c:v>27.02</c:v>
                </c:pt>
                <c:pt idx="1915">
                  <c:v>26.79</c:v>
                </c:pt>
                <c:pt idx="1916">
                  <c:v>27.98</c:v>
                </c:pt>
                <c:pt idx="1917">
                  <c:v>26.36</c:v>
                </c:pt>
                <c:pt idx="1918">
                  <c:v>25.75</c:v>
                </c:pt>
                <c:pt idx="1919">
                  <c:v>25.22</c:v>
                </c:pt>
                <c:pt idx="1920">
                  <c:v>24.12</c:v>
                </c:pt>
                <c:pt idx="1921">
                  <c:v>19.73</c:v>
                </c:pt>
                <c:pt idx="1922">
                  <c:v>18.079999999999998</c:v>
                </c:pt>
                <c:pt idx="1923">
                  <c:v>17.559999999999999</c:v>
                </c:pt>
                <c:pt idx="1924">
                  <c:v>16.16</c:v>
                </c:pt>
                <c:pt idx="1925">
                  <c:v>15.31</c:v>
                </c:pt>
                <c:pt idx="1926">
                  <c:v>14.15</c:v>
                </c:pt>
                <c:pt idx="1927">
                  <c:v>12.82</c:v>
                </c:pt>
                <c:pt idx="1928">
                  <c:v>12.02</c:v>
                </c:pt>
                <c:pt idx="1929">
                  <c:v>11.91</c:v>
                </c:pt>
                <c:pt idx="1930">
                  <c:v>10.85</c:v>
                </c:pt>
                <c:pt idx="1931">
                  <c:v>10.94</c:v>
                </c:pt>
                <c:pt idx="1932">
                  <c:v>10.41</c:v>
                </c:pt>
                <c:pt idx="1933">
                  <c:v>11.12</c:v>
                </c:pt>
                <c:pt idx="1934">
                  <c:v>13.33</c:v>
                </c:pt>
                <c:pt idx="1935">
                  <c:v>14.8</c:v>
                </c:pt>
                <c:pt idx="1936">
                  <c:v>12.79</c:v>
                </c:pt>
                <c:pt idx="1937">
                  <c:v>11.26</c:v>
                </c:pt>
                <c:pt idx="1938">
                  <c:v>10.47</c:v>
                </c:pt>
                <c:pt idx="1939">
                  <c:v>12.86</c:v>
                </c:pt>
                <c:pt idx="1940">
                  <c:v>11.86</c:v>
                </c:pt>
                <c:pt idx="1941">
                  <c:v>10</c:v>
                </c:pt>
                <c:pt idx="1942">
                  <c:v>7.49</c:v>
                </c:pt>
                <c:pt idx="1943">
                  <c:v>7.9</c:v>
                </c:pt>
                <c:pt idx="1944">
                  <c:v>10.23</c:v>
                </c:pt>
                <c:pt idx="1945">
                  <c:v>11.91</c:v>
                </c:pt>
                <c:pt idx="1946">
                  <c:v>10.199999999999999</c:v>
                </c:pt>
                <c:pt idx="1947">
                  <c:v>8.7100000000000009</c:v>
                </c:pt>
                <c:pt idx="1948">
                  <c:v>9.1300000000000008</c:v>
                </c:pt>
                <c:pt idx="1949">
                  <c:v>10.42</c:v>
                </c:pt>
                <c:pt idx="1950">
                  <c:v>12.14</c:v>
                </c:pt>
                <c:pt idx="1951">
                  <c:v>14.18</c:v>
                </c:pt>
                <c:pt idx="1952">
                  <c:v>18.690000000000001</c:v>
                </c:pt>
                <c:pt idx="1953">
                  <c:v>26.06</c:v>
                </c:pt>
                <c:pt idx="1954">
                  <c:v>30.29</c:v>
                </c:pt>
                <c:pt idx="1955">
                  <c:v>34.630000000000003</c:v>
                </c:pt>
                <c:pt idx="1956">
                  <c:v>39.729999999999997</c:v>
                </c:pt>
                <c:pt idx="1957">
                  <c:v>47.93</c:v>
                </c:pt>
                <c:pt idx="1958">
                  <c:v>52.71</c:v>
                </c:pt>
                <c:pt idx="1959">
                  <c:v>56.9</c:v>
                </c:pt>
                <c:pt idx="1960">
                  <c:v>56.81</c:v>
                </c:pt>
                <c:pt idx="1961">
                  <c:v>57.1</c:v>
                </c:pt>
                <c:pt idx="1962">
                  <c:v>62.63</c:v>
                </c:pt>
                <c:pt idx="1963">
                  <c:v>62.3</c:v>
                </c:pt>
                <c:pt idx="1964">
                  <c:v>60.5</c:v>
                </c:pt>
                <c:pt idx="1965">
                  <c:v>58.59</c:v>
                </c:pt>
                <c:pt idx="1966">
                  <c:v>61.15</c:v>
                </c:pt>
                <c:pt idx="1967">
                  <c:v>63.14</c:v>
                </c:pt>
                <c:pt idx="1968">
                  <c:v>66.87</c:v>
                </c:pt>
                <c:pt idx="1969">
                  <c:v>67.77</c:v>
                </c:pt>
                <c:pt idx="1970">
                  <c:v>73.39</c:v>
                </c:pt>
                <c:pt idx="1971">
                  <c:v>77.94</c:v>
                </c:pt>
                <c:pt idx="1972">
                  <c:v>81.239999999999995</c:v>
                </c:pt>
                <c:pt idx="1973">
                  <c:v>84.92</c:v>
                </c:pt>
                <c:pt idx="1974">
                  <c:v>86.87</c:v>
                </c:pt>
                <c:pt idx="1975">
                  <c:v>87.12</c:v>
                </c:pt>
                <c:pt idx="1976">
                  <c:v>87.39</c:v>
                </c:pt>
                <c:pt idx="1977">
                  <c:v>87.6</c:v>
                </c:pt>
                <c:pt idx="1978">
                  <c:v>87.31</c:v>
                </c:pt>
                <c:pt idx="1979">
                  <c:v>87.89</c:v>
                </c:pt>
                <c:pt idx="1980">
                  <c:v>88.17</c:v>
                </c:pt>
                <c:pt idx="1981">
                  <c:v>89.6</c:v>
                </c:pt>
                <c:pt idx="1982">
                  <c:v>89.77</c:v>
                </c:pt>
                <c:pt idx="1983">
                  <c:v>90.42</c:v>
                </c:pt>
                <c:pt idx="1984">
                  <c:v>91.34</c:v>
                </c:pt>
                <c:pt idx="1985">
                  <c:v>94.4</c:v>
                </c:pt>
                <c:pt idx="1986">
                  <c:v>94.85</c:v>
                </c:pt>
                <c:pt idx="1987">
                  <c:v>94.82</c:v>
                </c:pt>
                <c:pt idx="1988">
                  <c:v>95.07</c:v>
                </c:pt>
                <c:pt idx="1989">
                  <c:v>95.28</c:v>
                </c:pt>
                <c:pt idx="1990">
                  <c:v>95.34</c:v>
                </c:pt>
                <c:pt idx="1991">
                  <c:v>94.42</c:v>
                </c:pt>
                <c:pt idx="1992">
                  <c:v>93.94</c:v>
                </c:pt>
                <c:pt idx="1993">
                  <c:v>93.84</c:v>
                </c:pt>
                <c:pt idx="1994">
                  <c:v>93.99</c:v>
                </c:pt>
                <c:pt idx="1995">
                  <c:v>93.56</c:v>
                </c:pt>
                <c:pt idx="1996">
                  <c:v>93.43</c:v>
                </c:pt>
                <c:pt idx="1997">
                  <c:v>93.35</c:v>
                </c:pt>
                <c:pt idx="1998">
                  <c:v>92.91</c:v>
                </c:pt>
                <c:pt idx="1999">
                  <c:v>90.14</c:v>
                </c:pt>
                <c:pt idx="2000">
                  <c:v>88.46</c:v>
                </c:pt>
                <c:pt idx="2001">
                  <c:v>85.63</c:v>
                </c:pt>
                <c:pt idx="2002">
                  <c:v>85.73</c:v>
                </c:pt>
                <c:pt idx="2003">
                  <c:v>86.24</c:v>
                </c:pt>
                <c:pt idx="2004">
                  <c:v>87.02</c:v>
                </c:pt>
                <c:pt idx="2005">
                  <c:v>85.07</c:v>
                </c:pt>
                <c:pt idx="2006">
                  <c:v>84.81</c:v>
                </c:pt>
                <c:pt idx="2007">
                  <c:v>83.91</c:v>
                </c:pt>
                <c:pt idx="2008">
                  <c:v>87.67</c:v>
                </c:pt>
                <c:pt idx="2009">
                  <c:v>87.67</c:v>
                </c:pt>
                <c:pt idx="2010">
                  <c:v>87.51</c:v>
                </c:pt>
                <c:pt idx="2011">
                  <c:v>88.98</c:v>
                </c:pt>
                <c:pt idx="2012">
                  <c:v>89.48</c:v>
                </c:pt>
                <c:pt idx="2013">
                  <c:v>88.92</c:v>
                </c:pt>
                <c:pt idx="2014">
                  <c:v>88.28</c:v>
                </c:pt>
                <c:pt idx="2015">
                  <c:v>88.13</c:v>
                </c:pt>
                <c:pt idx="2016">
                  <c:v>88.07</c:v>
                </c:pt>
                <c:pt idx="2017">
                  <c:v>88.05</c:v>
                </c:pt>
                <c:pt idx="2018">
                  <c:v>86.8</c:v>
                </c:pt>
                <c:pt idx="2019">
                  <c:v>85.94</c:v>
                </c:pt>
                <c:pt idx="2020">
                  <c:v>85.14</c:v>
                </c:pt>
                <c:pt idx="2021">
                  <c:v>83.26</c:v>
                </c:pt>
                <c:pt idx="2022">
                  <c:v>82.78</c:v>
                </c:pt>
                <c:pt idx="2023">
                  <c:v>82.61</c:v>
                </c:pt>
                <c:pt idx="2024">
                  <c:v>81.760000000000005</c:v>
                </c:pt>
                <c:pt idx="2025">
                  <c:v>81.48</c:v>
                </c:pt>
                <c:pt idx="2026">
                  <c:v>80.55</c:v>
                </c:pt>
                <c:pt idx="2027">
                  <c:v>80.12</c:v>
                </c:pt>
                <c:pt idx="2028">
                  <c:v>78.91</c:v>
                </c:pt>
                <c:pt idx="2029">
                  <c:v>77.72</c:v>
                </c:pt>
                <c:pt idx="2030">
                  <c:v>74.86</c:v>
                </c:pt>
                <c:pt idx="2031">
                  <c:v>72.8</c:v>
                </c:pt>
                <c:pt idx="2032">
                  <c:v>70.48</c:v>
                </c:pt>
                <c:pt idx="2033">
                  <c:v>69.88</c:v>
                </c:pt>
                <c:pt idx="2034">
                  <c:v>67.89</c:v>
                </c:pt>
                <c:pt idx="2035">
                  <c:v>68.05</c:v>
                </c:pt>
                <c:pt idx="2036">
                  <c:v>69.83</c:v>
                </c:pt>
                <c:pt idx="2037">
                  <c:v>70.58</c:v>
                </c:pt>
                <c:pt idx="2038">
                  <c:v>71.69</c:v>
                </c:pt>
                <c:pt idx="2039">
                  <c:v>71.67</c:v>
                </c:pt>
                <c:pt idx="2040">
                  <c:v>70.599999999999994</c:v>
                </c:pt>
                <c:pt idx="2041">
                  <c:v>68.42</c:v>
                </c:pt>
                <c:pt idx="2042">
                  <c:v>66.81</c:v>
                </c:pt>
                <c:pt idx="2043">
                  <c:v>65.05</c:v>
                </c:pt>
                <c:pt idx="2044">
                  <c:v>65.53</c:v>
                </c:pt>
                <c:pt idx="2045">
                  <c:v>65.3</c:v>
                </c:pt>
                <c:pt idx="2046">
                  <c:v>65.42</c:v>
                </c:pt>
                <c:pt idx="2047">
                  <c:v>65.75</c:v>
                </c:pt>
                <c:pt idx="2048">
                  <c:v>66.069999999999993</c:v>
                </c:pt>
                <c:pt idx="2049">
                  <c:v>65.040000000000006</c:v>
                </c:pt>
                <c:pt idx="2050">
                  <c:v>66.25</c:v>
                </c:pt>
                <c:pt idx="2051">
                  <c:v>67.42</c:v>
                </c:pt>
                <c:pt idx="2052">
                  <c:v>72.510000000000005</c:v>
                </c:pt>
                <c:pt idx="2053">
                  <c:v>78.040000000000006</c:v>
                </c:pt>
                <c:pt idx="2054">
                  <c:v>85.09</c:v>
                </c:pt>
                <c:pt idx="2055">
                  <c:v>89.06</c:v>
                </c:pt>
                <c:pt idx="2056">
                  <c:v>91.1</c:v>
                </c:pt>
                <c:pt idx="2057">
                  <c:v>91.1</c:v>
                </c:pt>
                <c:pt idx="2058">
                  <c:v>89.02</c:v>
                </c:pt>
                <c:pt idx="2059">
                  <c:v>86.52</c:v>
                </c:pt>
                <c:pt idx="2060">
                  <c:v>84.05</c:v>
                </c:pt>
                <c:pt idx="2061">
                  <c:v>83.56</c:v>
                </c:pt>
                <c:pt idx="2062">
                  <c:v>78.75</c:v>
                </c:pt>
                <c:pt idx="2063">
                  <c:v>78.72</c:v>
                </c:pt>
                <c:pt idx="2064">
                  <c:v>75.36</c:v>
                </c:pt>
                <c:pt idx="2065">
                  <c:v>73.349999999999994</c:v>
                </c:pt>
                <c:pt idx="2066">
                  <c:v>73.06</c:v>
                </c:pt>
                <c:pt idx="2067">
                  <c:v>72.34</c:v>
                </c:pt>
                <c:pt idx="2068">
                  <c:v>73.8</c:v>
                </c:pt>
                <c:pt idx="2069">
                  <c:v>75.099999999999994</c:v>
                </c:pt>
                <c:pt idx="2070">
                  <c:v>78.95</c:v>
                </c:pt>
                <c:pt idx="2071">
                  <c:v>77.69</c:v>
                </c:pt>
                <c:pt idx="2072">
                  <c:v>81.66</c:v>
                </c:pt>
                <c:pt idx="2073">
                  <c:v>79.209999999999994</c:v>
                </c:pt>
                <c:pt idx="2074">
                  <c:v>80.22</c:v>
                </c:pt>
                <c:pt idx="2075">
                  <c:v>86.64</c:v>
                </c:pt>
                <c:pt idx="2076">
                  <c:v>85.56</c:v>
                </c:pt>
                <c:pt idx="2077">
                  <c:v>90.11</c:v>
                </c:pt>
                <c:pt idx="2078">
                  <c:v>87.82</c:v>
                </c:pt>
                <c:pt idx="2079">
                  <c:v>86.41</c:v>
                </c:pt>
                <c:pt idx="2080">
                  <c:v>84.8</c:v>
                </c:pt>
                <c:pt idx="2081">
                  <c:v>79.58</c:v>
                </c:pt>
                <c:pt idx="2082">
                  <c:v>76.150000000000006</c:v>
                </c:pt>
                <c:pt idx="2083">
                  <c:v>72.5</c:v>
                </c:pt>
                <c:pt idx="2084">
                  <c:v>68.03</c:v>
                </c:pt>
                <c:pt idx="2085">
                  <c:v>64.78</c:v>
                </c:pt>
                <c:pt idx="2086">
                  <c:v>73.67</c:v>
                </c:pt>
                <c:pt idx="2087">
                  <c:v>73.38</c:v>
                </c:pt>
                <c:pt idx="2088">
                  <c:v>78.400000000000006</c:v>
                </c:pt>
                <c:pt idx="2089">
                  <c:v>83.29</c:v>
                </c:pt>
                <c:pt idx="2090">
                  <c:v>82.72</c:v>
                </c:pt>
                <c:pt idx="2091">
                  <c:v>81.98</c:v>
                </c:pt>
                <c:pt idx="2092">
                  <c:v>79.010000000000005</c:v>
                </c:pt>
                <c:pt idx="2093">
                  <c:v>78.61</c:v>
                </c:pt>
                <c:pt idx="2094">
                  <c:v>75.150000000000006</c:v>
                </c:pt>
                <c:pt idx="2095">
                  <c:v>79.69</c:v>
                </c:pt>
                <c:pt idx="2096">
                  <c:v>78.39</c:v>
                </c:pt>
                <c:pt idx="2097">
                  <c:v>74.78</c:v>
                </c:pt>
                <c:pt idx="2098">
                  <c:v>78.83</c:v>
                </c:pt>
                <c:pt idx="2099">
                  <c:v>72.12</c:v>
                </c:pt>
                <c:pt idx="2100">
                  <c:v>70.11</c:v>
                </c:pt>
                <c:pt idx="2101">
                  <c:v>69.05</c:v>
                </c:pt>
                <c:pt idx="2102">
                  <c:v>70.61</c:v>
                </c:pt>
                <c:pt idx="2103">
                  <c:v>69.099999999999994</c:v>
                </c:pt>
                <c:pt idx="2104">
                  <c:v>70.39</c:v>
                </c:pt>
                <c:pt idx="2105">
                  <c:v>68.099999999999994</c:v>
                </c:pt>
                <c:pt idx="2106">
                  <c:v>68.239999999999995</c:v>
                </c:pt>
                <c:pt idx="2107">
                  <c:v>66.38</c:v>
                </c:pt>
                <c:pt idx="2108">
                  <c:v>66.63</c:v>
                </c:pt>
                <c:pt idx="2109">
                  <c:v>68.47</c:v>
                </c:pt>
                <c:pt idx="2110">
                  <c:v>63.14</c:v>
                </c:pt>
                <c:pt idx="2111">
                  <c:v>67.36</c:v>
                </c:pt>
                <c:pt idx="2112">
                  <c:v>63.92</c:v>
                </c:pt>
                <c:pt idx="2113">
                  <c:v>63.61</c:v>
                </c:pt>
                <c:pt idx="2114">
                  <c:v>61.96</c:v>
                </c:pt>
                <c:pt idx="2115">
                  <c:v>60.79</c:v>
                </c:pt>
                <c:pt idx="2116">
                  <c:v>60.76</c:v>
                </c:pt>
                <c:pt idx="2117">
                  <c:v>57.86</c:v>
                </c:pt>
                <c:pt idx="2118">
                  <c:v>55.05</c:v>
                </c:pt>
                <c:pt idx="2119">
                  <c:v>48.94</c:v>
                </c:pt>
                <c:pt idx="2120">
                  <c:v>45.62</c:v>
                </c:pt>
                <c:pt idx="2121">
                  <c:v>46.43</c:v>
                </c:pt>
                <c:pt idx="2122">
                  <c:v>46.56</c:v>
                </c:pt>
                <c:pt idx="2123">
                  <c:v>53.84</c:v>
                </c:pt>
                <c:pt idx="2124">
                  <c:v>54.48</c:v>
                </c:pt>
                <c:pt idx="2125">
                  <c:v>56.39</c:v>
                </c:pt>
                <c:pt idx="2126">
                  <c:v>56.68</c:v>
                </c:pt>
                <c:pt idx="2127">
                  <c:v>55.82</c:v>
                </c:pt>
                <c:pt idx="2128">
                  <c:v>60.13</c:v>
                </c:pt>
                <c:pt idx="2129">
                  <c:v>62.71</c:v>
                </c:pt>
                <c:pt idx="2130">
                  <c:v>66.150000000000006</c:v>
                </c:pt>
                <c:pt idx="2131">
                  <c:v>62.83</c:v>
                </c:pt>
                <c:pt idx="2132">
                  <c:v>58.72</c:v>
                </c:pt>
                <c:pt idx="2133">
                  <c:v>55</c:v>
                </c:pt>
                <c:pt idx="2134">
                  <c:v>50.04</c:v>
                </c:pt>
                <c:pt idx="2135">
                  <c:v>48.39</c:v>
                </c:pt>
                <c:pt idx="2136">
                  <c:v>48.74</c:v>
                </c:pt>
                <c:pt idx="2137">
                  <c:v>49.95</c:v>
                </c:pt>
                <c:pt idx="2138">
                  <c:v>49.75</c:v>
                </c:pt>
                <c:pt idx="2139">
                  <c:v>46.62</c:v>
                </c:pt>
                <c:pt idx="2140">
                  <c:v>45.85</c:v>
                </c:pt>
                <c:pt idx="2141">
                  <c:v>45.08</c:v>
                </c:pt>
                <c:pt idx="2142">
                  <c:v>40.86</c:v>
                </c:pt>
                <c:pt idx="2143">
                  <c:v>42.29</c:v>
                </c:pt>
                <c:pt idx="2144">
                  <c:v>42.07</c:v>
                </c:pt>
                <c:pt idx="2145">
                  <c:v>38.56</c:v>
                </c:pt>
                <c:pt idx="2146">
                  <c:v>42.48</c:v>
                </c:pt>
                <c:pt idx="2147">
                  <c:v>44.24</c:v>
                </c:pt>
                <c:pt idx="2148">
                  <c:v>42.49</c:v>
                </c:pt>
                <c:pt idx="2149">
                  <c:v>40.07</c:v>
                </c:pt>
                <c:pt idx="2150">
                  <c:v>45.74</c:v>
                </c:pt>
                <c:pt idx="2151">
                  <c:v>43.95</c:v>
                </c:pt>
                <c:pt idx="2152">
                  <c:v>43.28</c:v>
                </c:pt>
                <c:pt idx="2153">
                  <c:v>44.45</c:v>
                </c:pt>
                <c:pt idx="2154">
                  <c:v>43.71</c:v>
                </c:pt>
                <c:pt idx="2155">
                  <c:v>42.3</c:v>
                </c:pt>
                <c:pt idx="2156">
                  <c:v>41.12</c:v>
                </c:pt>
                <c:pt idx="2157">
                  <c:v>39.270000000000003</c:v>
                </c:pt>
                <c:pt idx="2158">
                  <c:v>34.380000000000003</c:v>
                </c:pt>
                <c:pt idx="2159">
                  <c:v>35.450000000000003</c:v>
                </c:pt>
                <c:pt idx="2160">
                  <c:v>37.9</c:v>
                </c:pt>
                <c:pt idx="2161">
                  <c:v>33.119999999999997</c:v>
                </c:pt>
                <c:pt idx="2162">
                  <c:v>38.51</c:v>
                </c:pt>
                <c:pt idx="2163">
                  <c:v>41.17</c:v>
                </c:pt>
                <c:pt idx="2164">
                  <c:v>38.11</c:v>
                </c:pt>
                <c:pt idx="2165">
                  <c:v>37.82</c:v>
                </c:pt>
                <c:pt idx="2166">
                  <c:v>37.950000000000003</c:v>
                </c:pt>
                <c:pt idx="2167">
                  <c:v>34.479999999999997</c:v>
                </c:pt>
                <c:pt idx="2168">
                  <c:v>31.85</c:v>
                </c:pt>
                <c:pt idx="2169">
                  <c:v>33.44</c:v>
                </c:pt>
                <c:pt idx="2170">
                  <c:v>31.73</c:v>
                </c:pt>
                <c:pt idx="2171">
                  <c:v>29.02</c:v>
                </c:pt>
                <c:pt idx="2172">
                  <c:v>29.34</c:v>
                </c:pt>
                <c:pt idx="2173">
                  <c:v>29.6</c:v>
                </c:pt>
                <c:pt idx="2174">
                  <c:v>25.53</c:v>
                </c:pt>
                <c:pt idx="2175">
                  <c:v>24.06</c:v>
                </c:pt>
                <c:pt idx="2176">
                  <c:v>23.75</c:v>
                </c:pt>
                <c:pt idx="2177">
                  <c:v>26.33</c:v>
                </c:pt>
                <c:pt idx="2178">
                  <c:v>23.14</c:v>
                </c:pt>
                <c:pt idx="2179">
                  <c:v>25.13</c:v>
                </c:pt>
                <c:pt idx="2180">
                  <c:v>29.11</c:v>
                </c:pt>
                <c:pt idx="2181">
                  <c:v>27.23</c:v>
                </c:pt>
                <c:pt idx="2182">
                  <c:v>26.14</c:v>
                </c:pt>
                <c:pt idx="2183">
                  <c:v>26</c:v>
                </c:pt>
                <c:pt idx="2184">
                  <c:v>24.98</c:v>
                </c:pt>
                <c:pt idx="2185">
                  <c:v>22.01</c:v>
                </c:pt>
                <c:pt idx="2186">
                  <c:v>21.23</c:v>
                </c:pt>
                <c:pt idx="2187">
                  <c:v>20.399999999999999</c:v>
                </c:pt>
                <c:pt idx="2188">
                  <c:v>21.14</c:v>
                </c:pt>
                <c:pt idx="2189">
                  <c:v>21.13</c:v>
                </c:pt>
                <c:pt idx="2190">
                  <c:v>21.78</c:v>
                </c:pt>
                <c:pt idx="2191">
                  <c:v>23.61</c:v>
                </c:pt>
                <c:pt idx="2192">
                  <c:v>23.56</c:v>
                </c:pt>
                <c:pt idx="2193">
                  <c:v>22.91</c:v>
                </c:pt>
                <c:pt idx="2194">
                  <c:v>23.11</c:v>
                </c:pt>
                <c:pt idx="2195">
                  <c:v>24.3</c:v>
                </c:pt>
                <c:pt idx="2196">
                  <c:v>25.69</c:v>
                </c:pt>
                <c:pt idx="2197">
                  <c:v>27.41</c:v>
                </c:pt>
                <c:pt idx="2198">
                  <c:v>27.35</c:v>
                </c:pt>
                <c:pt idx="2199">
                  <c:v>25.07</c:v>
                </c:pt>
                <c:pt idx="2200">
                  <c:v>25.02</c:v>
                </c:pt>
                <c:pt idx="2201">
                  <c:v>21.42</c:v>
                </c:pt>
                <c:pt idx="2202">
                  <c:v>16.149999999999999</c:v>
                </c:pt>
                <c:pt idx="2203">
                  <c:v>8.74</c:v>
                </c:pt>
                <c:pt idx="2204">
                  <c:v>7.45</c:v>
                </c:pt>
                <c:pt idx="2205">
                  <c:v>16.84</c:v>
                </c:pt>
                <c:pt idx="2206">
                  <c:v>25.82</c:v>
                </c:pt>
                <c:pt idx="2207">
                  <c:v>25.79</c:v>
                </c:pt>
                <c:pt idx="2208">
                  <c:v>25.78</c:v>
                </c:pt>
                <c:pt idx="2209">
                  <c:v>24.13</c:v>
                </c:pt>
                <c:pt idx="2210">
                  <c:v>21.02</c:v>
                </c:pt>
                <c:pt idx="2211">
                  <c:v>17.63</c:v>
                </c:pt>
                <c:pt idx="2212">
                  <c:v>17.18</c:v>
                </c:pt>
                <c:pt idx="2213">
                  <c:v>17.34</c:v>
                </c:pt>
                <c:pt idx="2214">
                  <c:v>19.41</c:v>
                </c:pt>
                <c:pt idx="2215">
                  <c:v>22.46</c:v>
                </c:pt>
                <c:pt idx="2216">
                  <c:v>22.19</c:v>
                </c:pt>
                <c:pt idx="2217">
                  <c:v>21.22</c:v>
                </c:pt>
                <c:pt idx="2218">
                  <c:v>20.27</c:v>
                </c:pt>
                <c:pt idx="2219">
                  <c:v>20.48</c:v>
                </c:pt>
                <c:pt idx="2220">
                  <c:v>17.940000000000001</c:v>
                </c:pt>
                <c:pt idx="2221">
                  <c:v>17.3</c:v>
                </c:pt>
                <c:pt idx="2222">
                  <c:v>19.62</c:v>
                </c:pt>
                <c:pt idx="2223">
                  <c:v>19.23</c:v>
                </c:pt>
                <c:pt idx="2224">
                  <c:v>14.86</c:v>
                </c:pt>
                <c:pt idx="2225">
                  <c:v>11.36</c:v>
                </c:pt>
                <c:pt idx="2226">
                  <c:v>13.64</c:v>
                </c:pt>
                <c:pt idx="2227">
                  <c:v>18.61</c:v>
                </c:pt>
                <c:pt idx="2228">
                  <c:v>17.420000000000002</c:v>
                </c:pt>
                <c:pt idx="2229">
                  <c:v>19.63</c:v>
                </c:pt>
                <c:pt idx="2230">
                  <c:v>19.940000000000001</c:v>
                </c:pt>
                <c:pt idx="2231">
                  <c:v>18.920000000000002</c:v>
                </c:pt>
                <c:pt idx="2232">
                  <c:v>19.5</c:v>
                </c:pt>
                <c:pt idx="2233">
                  <c:v>19.57</c:v>
                </c:pt>
                <c:pt idx="2234">
                  <c:v>18.510000000000002</c:v>
                </c:pt>
                <c:pt idx="2235">
                  <c:v>17.920000000000002</c:v>
                </c:pt>
                <c:pt idx="2236">
                  <c:v>19.82</c:v>
                </c:pt>
                <c:pt idx="2237">
                  <c:v>19.16</c:v>
                </c:pt>
                <c:pt idx="2238">
                  <c:v>17.52</c:v>
                </c:pt>
                <c:pt idx="2239">
                  <c:v>20.04</c:v>
                </c:pt>
                <c:pt idx="2240">
                  <c:v>22.92</c:v>
                </c:pt>
                <c:pt idx="2241">
                  <c:v>19.73</c:v>
                </c:pt>
                <c:pt idx="2242">
                  <c:v>18.18</c:v>
                </c:pt>
                <c:pt idx="2243">
                  <c:v>17.91</c:v>
                </c:pt>
                <c:pt idx="2244">
                  <c:v>15.85</c:v>
                </c:pt>
                <c:pt idx="2245">
                  <c:v>11.46</c:v>
                </c:pt>
                <c:pt idx="2246">
                  <c:v>10.119999999999999</c:v>
                </c:pt>
                <c:pt idx="2247">
                  <c:v>6.9</c:v>
                </c:pt>
                <c:pt idx="2248">
                  <c:v>6.49</c:v>
                </c:pt>
                <c:pt idx="2249">
                  <c:v>5.91</c:v>
                </c:pt>
                <c:pt idx="2250">
                  <c:v>8.5299999999999994</c:v>
                </c:pt>
                <c:pt idx="2251">
                  <c:v>9.9499999999999993</c:v>
                </c:pt>
                <c:pt idx="2252">
                  <c:v>11.51</c:v>
                </c:pt>
                <c:pt idx="2253">
                  <c:v>13.66</c:v>
                </c:pt>
                <c:pt idx="2254">
                  <c:v>15.34</c:v>
                </c:pt>
                <c:pt idx="2255">
                  <c:v>15.5</c:v>
                </c:pt>
                <c:pt idx="2256">
                  <c:v>17.350000000000001</c:v>
                </c:pt>
                <c:pt idx="2257">
                  <c:v>17.579999999999998</c:v>
                </c:pt>
                <c:pt idx="2258">
                  <c:v>18.04</c:v>
                </c:pt>
                <c:pt idx="2259">
                  <c:v>17.989999999999998</c:v>
                </c:pt>
                <c:pt idx="2260">
                  <c:v>16.34</c:v>
                </c:pt>
                <c:pt idx="2261">
                  <c:v>16.93</c:v>
                </c:pt>
                <c:pt idx="2262">
                  <c:v>19.11</c:v>
                </c:pt>
                <c:pt idx="2263">
                  <c:v>20.52</c:v>
                </c:pt>
                <c:pt idx="2264">
                  <c:v>19.28</c:v>
                </c:pt>
                <c:pt idx="2265">
                  <c:v>15.42</c:v>
                </c:pt>
                <c:pt idx="2266">
                  <c:v>13.22</c:v>
                </c:pt>
                <c:pt idx="2267">
                  <c:v>15.26</c:v>
                </c:pt>
                <c:pt idx="2268">
                  <c:v>14.8</c:v>
                </c:pt>
                <c:pt idx="2269">
                  <c:v>13.22</c:v>
                </c:pt>
                <c:pt idx="2270">
                  <c:v>9.86</c:v>
                </c:pt>
                <c:pt idx="2271">
                  <c:v>8.7200000000000006</c:v>
                </c:pt>
                <c:pt idx="2272">
                  <c:v>7.9</c:v>
                </c:pt>
                <c:pt idx="2273">
                  <c:v>7.33</c:v>
                </c:pt>
                <c:pt idx="2274">
                  <c:v>4.9400000000000004</c:v>
                </c:pt>
                <c:pt idx="2275">
                  <c:v>4.7300000000000004</c:v>
                </c:pt>
                <c:pt idx="2276">
                  <c:v>5.09</c:v>
                </c:pt>
                <c:pt idx="2277">
                  <c:v>10.98</c:v>
                </c:pt>
                <c:pt idx="2278">
                  <c:v>12.28</c:v>
                </c:pt>
                <c:pt idx="2279">
                  <c:v>17.059999999999999</c:v>
                </c:pt>
                <c:pt idx="2280">
                  <c:v>19.5</c:v>
                </c:pt>
                <c:pt idx="2281">
                  <c:v>19.059999999999999</c:v>
                </c:pt>
                <c:pt idx="2282">
                  <c:v>17.59</c:v>
                </c:pt>
                <c:pt idx="2283">
                  <c:v>15.28</c:v>
                </c:pt>
                <c:pt idx="2284">
                  <c:v>14.89</c:v>
                </c:pt>
                <c:pt idx="2285">
                  <c:v>15.25</c:v>
                </c:pt>
                <c:pt idx="2286">
                  <c:v>14.9</c:v>
                </c:pt>
                <c:pt idx="2287">
                  <c:v>13.88</c:v>
                </c:pt>
                <c:pt idx="2288">
                  <c:v>12.6</c:v>
                </c:pt>
                <c:pt idx="2289">
                  <c:v>10.96</c:v>
                </c:pt>
                <c:pt idx="2290">
                  <c:v>11.94</c:v>
                </c:pt>
                <c:pt idx="2291">
                  <c:v>9.89</c:v>
                </c:pt>
                <c:pt idx="2292">
                  <c:v>9.65</c:v>
                </c:pt>
                <c:pt idx="2293">
                  <c:v>13.41</c:v>
                </c:pt>
                <c:pt idx="2294">
                  <c:v>18.5</c:v>
                </c:pt>
                <c:pt idx="2295">
                  <c:v>15.71</c:v>
                </c:pt>
                <c:pt idx="2296">
                  <c:v>12.14</c:v>
                </c:pt>
                <c:pt idx="2297">
                  <c:v>8.91</c:v>
                </c:pt>
                <c:pt idx="2298">
                  <c:v>11.12</c:v>
                </c:pt>
                <c:pt idx="2299">
                  <c:v>12.59</c:v>
                </c:pt>
                <c:pt idx="2300">
                  <c:v>13.18</c:v>
                </c:pt>
                <c:pt idx="2301">
                  <c:v>12.52</c:v>
                </c:pt>
                <c:pt idx="2302">
                  <c:v>20</c:v>
                </c:pt>
                <c:pt idx="2303">
                  <c:v>21.47</c:v>
                </c:pt>
                <c:pt idx="2304">
                  <c:v>17.96</c:v>
                </c:pt>
                <c:pt idx="2305">
                  <c:v>13.56</c:v>
                </c:pt>
                <c:pt idx="2306">
                  <c:v>13.96</c:v>
                </c:pt>
                <c:pt idx="2307">
                  <c:v>13.13</c:v>
                </c:pt>
                <c:pt idx="2308">
                  <c:v>16.100000000000001</c:v>
                </c:pt>
                <c:pt idx="2309">
                  <c:v>15.03</c:v>
                </c:pt>
                <c:pt idx="2310">
                  <c:v>14.52</c:v>
                </c:pt>
                <c:pt idx="2311">
                  <c:v>18.43</c:v>
                </c:pt>
                <c:pt idx="2312">
                  <c:v>20.27</c:v>
                </c:pt>
                <c:pt idx="2313">
                  <c:v>17.600000000000001</c:v>
                </c:pt>
                <c:pt idx="2314">
                  <c:v>16.57</c:v>
                </c:pt>
                <c:pt idx="2315">
                  <c:v>17.89</c:v>
                </c:pt>
                <c:pt idx="2316">
                  <c:v>18.579999999999998</c:v>
                </c:pt>
                <c:pt idx="2317">
                  <c:v>14.96</c:v>
                </c:pt>
                <c:pt idx="2318">
                  <c:v>10.82</c:v>
                </c:pt>
                <c:pt idx="2319">
                  <c:v>9.1</c:v>
                </c:pt>
                <c:pt idx="2320">
                  <c:v>6.95</c:v>
                </c:pt>
                <c:pt idx="2321">
                  <c:v>9.11</c:v>
                </c:pt>
                <c:pt idx="2322">
                  <c:v>10.26</c:v>
                </c:pt>
                <c:pt idx="2323">
                  <c:v>9.86</c:v>
                </c:pt>
                <c:pt idx="2324">
                  <c:v>7.28</c:v>
                </c:pt>
                <c:pt idx="2325">
                  <c:v>8.44</c:v>
                </c:pt>
                <c:pt idx="2326">
                  <c:v>12.65</c:v>
                </c:pt>
                <c:pt idx="2327">
                  <c:v>20.28</c:v>
                </c:pt>
                <c:pt idx="2328">
                  <c:v>22.85</c:v>
                </c:pt>
                <c:pt idx="2329">
                  <c:v>31.65</c:v>
                </c:pt>
                <c:pt idx="2330">
                  <c:v>33.18</c:v>
                </c:pt>
                <c:pt idx="2331">
                  <c:v>31.31</c:v>
                </c:pt>
                <c:pt idx="2332">
                  <c:v>29.73</c:v>
                </c:pt>
                <c:pt idx="2333">
                  <c:v>32.909999999999997</c:v>
                </c:pt>
                <c:pt idx="2334">
                  <c:v>32.770000000000003</c:v>
                </c:pt>
                <c:pt idx="2335">
                  <c:v>27.62</c:v>
                </c:pt>
                <c:pt idx="2336">
                  <c:v>25.16</c:v>
                </c:pt>
                <c:pt idx="2337">
                  <c:v>24.64</c:v>
                </c:pt>
                <c:pt idx="2338">
                  <c:v>25.91</c:v>
                </c:pt>
                <c:pt idx="2339">
                  <c:v>28.57</c:v>
                </c:pt>
                <c:pt idx="2340">
                  <c:v>25.05</c:v>
                </c:pt>
                <c:pt idx="2341">
                  <c:v>20.25</c:v>
                </c:pt>
                <c:pt idx="2342">
                  <c:v>21.32</c:v>
                </c:pt>
                <c:pt idx="2343">
                  <c:v>18.77</c:v>
                </c:pt>
                <c:pt idx="2344">
                  <c:v>15.51</c:v>
                </c:pt>
                <c:pt idx="2345">
                  <c:v>13.25</c:v>
                </c:pt>
                <c:pt idx="2346">
                  <c:v>15.91</c:v>
                </c:pt>
                <c:pt idx="2347">
                  <c:v>18.09</c:v>
                </c:pt>
                <c:pt idx="2348">
                  <c:v>17.03</c:v>
                </c:pt>
                <c:pt idx="2349">
                  <c:v>13.89</c:v>
                </c:pt>
                <c:pt idx="2350">
                  <c:v>16.16</c:v>
                </c:pt>
                <c:pt idx="2351">
                  <c:v>17.559999999999999</c:v>
                </c:pt>
                <c:pt idx="2352">
                  <c:v>16.98</c:v>
                </c:pt>
                <c:pt idx="2353">
                  <c:v>12.92</c:v>
                </c:pt>
                <c:pt idx="2354">
                  <c:v>11.13</c:v>
                </c:pt>
                <c:pt idx="2355">
                  <c:v>11.04</c:v>
                </c:pt>
                <c:pt idx="2356">
                  <c:v>14.24</c:v>
                </c:pt>
                <c:pt idx="2357">
                  <c:v>16.25</c:v>
                </c:pt>
                <c:pt idx="2358">
                  <c:v>18.66</c:v>
                </c:pt>
                <c:pt idx="2359">
                  <c:v>20.88</c:v>
                </c:pt>
                <c:pt idx="2360">
                  <c:v>20.36</c:v>
                </c:pt>
                <c:pt idx="2361">
                  <c:v>18.14</c:v>
                </c:pt>
                <c:pt idx="2362">
                  <c:v>15.93</c:v>
                </c:pt>
                <c:pt idx="2363">
                  <c:v>15.1</c:v>
                </c:pt>
                <c:pt idx="2364">
                  <c:v>14.46</c:v>
                </c:pt>
                <c:pt idx="2365">
                  <c:v>16.739999999999998</c:v>
                </c:pt>
                <c:pt idx="2366">
                  <c:v>19.25</c:v>
                </c:pt>
                <c:pt idx="2367">
                  <c:v>18.88</c:v>
                </c:pt>
                <c:pt idx="2368">
                  <c:v>20.99</c:v>
                </c:pt>
                <c:pt idx="2369">
                  <c:v>25.23</c:v>
                </c:pt>
                <c:pt idx="2370">
                  <c:v>24.35</c:v>
                </c:pt>
                <c:pt idx="2371">
                  <c:v>23.41</c:v>
                </c:pt>
                <c:pt idx="2372">
                  <c:v>23.26</c:v>
                </c:pt>
                <c:pt idx="2373">
                  <c:v>21.65</c:v>
                </c:pt>
                <c:pt idx="2374">
                  <c:v>16.13</c:v>
                </c:pt>
                <c:pt idx="2375">
                  <c:v>13.93</c:v>
                </c:pt>
                <c:pt idx="2376">
                  <c:v>9.18</c:v>
                </c:pt>
                <c:pt idx="2377">
                  <c:v>9.0399999999999991</c:v>
                </c:pt>
                <c:pt idx="2378">
                  <c:v>8.08</c:v>
                </c:pt>
                <c:pt idx="2379">
                  <c:v>6.48</c:v>
                </c:pt>
                <c:pt idx="2380">
                  <c:v>5.61</c:v>
                </c:pt>
                <c:pt idx="2381">
                  <c:v>6.96</c:v>
                </c:pt>
                <c:pt idx="2382">
                  <c:v>14.74</c:v>
                </c:pt>
                <c:pt idx="2383">
                  <c:v>22.32</c:v>
                </c:pt>
                <c:pt idx="2384">
                  <c:v>21.9</c:v>
                </c:pt>
                <c:pt idx="2385">
                  <c:v>20.87</c:v>
                </c:pt>
                <c:pt idx="2386">
                  <c:v>19.22</c:v>
                </c:pt>
                <c:pt idx="2387">
                  <c:v>17.13</c:v>
                </c:pt>
                <c:pt idx="2388">
                  <c:v>16.489999999999998</c:v>
                </c:pt>
                <c:pt idx="2389">
                  <c:v>15.82</c:v>
                </c:pt>
                <c:pt idx="2390">
                  <c:v>15.04</c:v>
                </c:pt>
                <c:pt idx="2391">
                  <c:v>13.81</c:v>
                </c:pt>
                <c:pt idx="2392">
                  <c:v>18.920000000000002</c:v>
                </c:pt>
                <c:pt idx="2393">
                  <c:v>22.73</c:v>
                </c:pt>
                <c:pt idx="2394">
                  <c:v>22.57</c:v>
                </c:pt>
                <c:pt idx="2395">
                  <c:v>19.82</c:v>
                </c:pt>
                <c:pt idx="2396">
                  <c:v>19.170000000000002</c:v>
                </c:pt>
                <c:pt idx="2397">
                  <c:v>17.8</c:v>
                </c:pt>
                <c:pt idx="2398">
                  <c:v>18.13</c:v>
                </c:pt>
                <c:pt idx="2399">
                  <c:v>16.8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9F-4356-9DF0-8C88EF500499}"/>
            </c:ext>
          </c:extLst>
        </c:ser>
        <c:ser>
          <c:idx val="1"/>
          <c:order val="1"/>
          <c:tx>
            <c:v>Sim Data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'Track Data'!$M$4:$M$2403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'Track Data'!$Z$4:$Z$2403</c:f>
              <c:numCache>
                <c:formatCode>General</c:formatCode>
                <c:ptCount val="2400"/>
                <c:pt idx="0">
                  <c:v>21.412094822377146</c:v>
                </c:pt>
                <c:pt idx="1">
                  <c:v>21.399130845565839</c:v>
                </c:pt>
                <c:pt idx="2">
                  <c:v>21.418563023237983</c:v>
                </c:pt>
                <c:pt idx="3">
                  <c:v>21.405624807576121</c:v>
                </c:pt>
                <c:pt idx="4">
                  <c:v>21.392686591914252</c:v>
                </c:pt>
                <c:pt idx="5">
                  <c:v>21.379748376252387</c:v>
                </c:pt>
                <c:pt idx="6">
                  <c:v>21.366810160590529</c:v>
                </c:pt>
                <c:pt idx="7">
                  <c:v>21.353871944928663</c:v>
                </c:pt>
                <c:pt idx="8">
                  <c:v>21.340933729266801</c:v>
                </c:pt>
                <c:pt idx="9">
                  <c:v>21.361347458424529</c:v>
                </c:pt>
                <c:pt idx="10">
                  <c:v>21.34843576394854</c:v>
                </c:pt>
                <c:pt idx="11">
                  <c:v>21.335524069472545</c:v>
                </c:pt>
                <c:pt idx="12">
                  <c:v>21.322612374996559</c:v>
                </c:pt>
                <c:pt idx="13">
                  <c:v>21.309700680520567</c:v>
                </c:pt>
                <c:pt idx="14">
                  <c:v>21.296788986044575</c:v>
                </c:pt>
                <c:pt idx="15">
                  <c:v>21.283877291568583</c:v>
                </c:pt>
                <c:pt idx="16">
                  <c:v>21.305262422044571</c:v>
                </c:pt>
                <c:pt idx="17">
                  <c:v>21.292378000115182</c:v>
                </c:pt>
                <c:pt idx="18">
                  <c:v>21.279493578185797</c:v>
                </c:pt>
                <c:pt idx="19">
                  <c:v>21.266609156256404</c:v>
                </c:pt>
                <c:pt idx="20">
                  <c:v>21.253724734327019</c:v>
                </c:pt>
                <c:pt idx="21">
                  <c:v>21.24084031239763</c:v>
                </c:pt>
                <c:pt idx="22">
                  <c:v>21.227955890468241</c:v>
                </c:pt>
                <c:pt idx="23">
                  <c:v>21.343026999562003</c:v>
                </c:pt>
                <c:pt idx="24">
                  <c:v>21.330244326794173</c:v>
                </c:pt>
                <c:pt idx="25">
                  <c:v>21.317461654026349</c:v>
                </c:pt>
                <c:pt idx="26">
                  <c:v>21.304678981258519</c:v>
                </c:pt>
                <c:pt idx="27">
                  <c:v>21.291896308490692</c:v>
                </c:pt>
                <c:pt idx="28">
                  <c:v>21.279113635722858</c:v>
                </c:pt>
                <c:pt idx="29">
                  <c:v>21.266330962955031</c:v>
                </c:pt>
                <c:pt idx="30">
                  <c:v>21.253548290187201</c:v>
                </c:pt>
                <c:pt idx="31">
                  <c:v>21.36820763026164</c:v>
                </c:pt>
                <c:pt idx="32">
                  <c:v>21.355526298310032</c:v>
                </c:pt>
                <c:pt idx="33">
                  <c:v>21.342844966358424</c:v>
                </c:pt>
                <c:pt idx="34">
                  <c:v>21.330163634406819</c:v>
                </c:pt>
                <c:pt idx="35">
                  <c:v>21.317482302455215</c:v>
                </c:pt>
                <c:pt idx="36">
                  <c:v>21.304800970503607</c:v>
                </c:pt>
                <c:pt idx="37">
                  <c:v>21.292119638552006</c:v>
                </c:pt>
                <c:pt idx="38">
                  <c:v>21.497687915993371</c:v>
                </c:pt>
                <c:pt idx="39">
                  <c:v>21.485180134294637</c:v>
                </c:pt>
                <c:pt idx="40">
                  <c:v>21.472672352595918</c:v>
                </c:pt>
                <c:pt idx="41">
                  <c:v>21.460164570897188</c:v>
                </c:pt>
                <c:pt idx="42">
                  <c:v>21.447656789198458</c:v>
                </c:pt>
                <c:pt idx="43">
                  <c:v>21.435149007499732</c:v>
                </c:pt>
                <c:pt idx="44">
                  <c:v>21.422641225801005</c:v>
                </c:pt>
                <c:pt idx="45">
                  <c:v>21.410133444102282</c:v>
                </c:pt>
                <c:pt idx="46">
                  <c:v>21.614013680561317</c:v>
                </c:pt>
                <c:pt idx="47">
                  <c:v>21.60167796879378</c:v>
                </c:pt>
                <c:pt idx="48">
                  <c:v>21.589342257026249</c:v>
                </c:pt>
                <c:pt idx="49">
                  <c:v>21.577006545258712</c:v>
                </c:pt>
                <c:pt idx="50">
                  <c:v>21.564670833491178</c:v>
                </c:pt>
                <c:pt idx="51">
                  <c:v>21.552335121723647</c:v>
                </c:pt>
                <c:pt idx="52">
                  <c:v>21.539999409956113</c:v>
                </c:pt>
                <c:pt idx="53">
                  <c:v>21.742243659572022</c:v>
                </c:pt>
                <c:pt idx="54">
                  <c:v>21.730078579984148</c:v>
                </c:pt>
                <c:pt idx="55">
                  <c:v>21.717913500396275</c:v>
                </c:pt>
                <c:pt idx="56">
                  <c:v>21.705748420808405</c:v>
                </c:pt>
                <c:pt idx="57">
                  <c:v>21.693583341220531</c:v>
                </c:pt>
                <c:pt idx="58">
                  <c:v>21.681418261632651</c:v>
                </c:pt>
                <c:pt idx="59">
                  <c:v>21.669253182044777</c:v>
                </c:pt>
                <c:pt idx="60">
                  <c:v>21.65708810245691</c:v>
                </c:pt>
                <c:pt idx="61">
                  <c:v>21.857746851880048</c:v>
                </c:pt>
                <c:pt idx="62">
                  <c:v>21.845751008010144</c:v>
                </c:pt>
                <c:pt idx="63">
                  <c:v>21.83375516414025</c:v>
                </c:pt>
                <c:pt idx="64">
                  <c:v>21.821759320270353</c:v>
                </c:pt>
                <c:pt idx="65">
                  <c:v>21.809763476400452</c:v>
                </c:pt>
                <c:pt idx="66">
                  <c:v>21.797767632530558</c:v>
                </c:pt>
                <c:pt idx="67">
                  <c:v>21.785771788660661</c:v>
                </c:pt>
                <c:pt idx="68">
                  <c:v>21.77377594479076</c:v>
                </c:pt>
                <c:pt idx="69">
                  <c:v>21.972898171979232</c:v>
                </c:pt>
                <c:pt idx="70">
                  <c:v>21.961070207422942</c:v>
                </c:pt>
                <c:pt idx="71">
                  <c:v>21.949242242866646</c:v>
                </c:pt>
                <c:pt idx="72">
                  <c:v>21.937414278310357</c:v>
                </c:pt>
                <c:pt idx="73">
                  <c:v>21.925586313754064</c:v>
                </c:pt>
                <c:pt idx="74">
                  <c:v>21.913758349197771</c:v>
                </c:pt>
                <c:pt idx="75">
                  <c:v>21.901930384641478</c:v>
                </c:pt>
                <c:pt idx="76">
                  <c:v>21.890102420085181</c:v>
                </c:pt>
                <c:pt idx="77">
                  <c:v>22.087735650478947</c:v>
                </c:pt>
                <c:pt idx="78">
                  <c:v>22.07607424770233</c:v>
                </c:pt>
                <c:pt idx="79">
                  <c:v>22.064412844925695</c:v>
                </c:pt>
                <c:pt idx="80">
                  <c:v>22.05275144214907</c:v>
                </c:pt>
                <c:pt idx="81">
                  <c:v>22.041090039372445</c:v>
                </c:pt>
                <c:pt idx="82">
                  <c:v>22.029428636595814</c:v>
                </c:pt>
                <c:pt idx="83">
                  <c:v>22.017767233819193</c:v>
                </c:pt>
                <c:pt idx="84">
                  <c:v>22.006105831042564</c:v>
                </c:pt>
                <c:pt idx="85">
                  <c:v>21.994444428265936</c:v>
                </c:pt>
                <c:pt idx="86">
                  <c:v>22.190634788474128</c:v>
                </c:pt>
                <c:pt idx="87">
                  <c:v>22.179138667670408</c:v>
                </c:pt>
                <c:pt idx="88">
                  <c:v>22.167642546866691</c:v>
                </c:pt>
                <c:pt idx="89">
                  <c:v>22.156146426062975</c:v>
                </c:pt>
                <c:pt idx="90">
                  <c:v>22.144650305259262</c:v>
                </c:pt>
                <c:pt idx="91">
                  <c:v>22.133154184455545</c:v>
                </c:pt>
                <c:pt idx="92">
                  <c:v>22.121658063651829</c:v>
                </c:pt>
                <c:pt idx="93">
                  <c:v>22.110161942848109</c:v>
                </c:pt>
                <c:pt idx="94">
                  <c:v>22.304954211976568</c:v>
                </c:pt>
                <c:pt idx="95">
                  <c:v>22.293622129964671</c:v>
                </c:pt>
                <c:pt idx="96">
                  <c:v>22.282290047952763</c:v>
                </c:pt>
                <c:pt idx="97">
                  <c:v>22.270957965940859</c:v>
                </c:pt>
                <c:pt idx="98">
                  <c:v>22.259625883928955</c:v>
                </c:pt>
                <c:pt idx="99">
                  <c:v>22.248293801917058</c:v>
                </c:pt>
                <c:pt idx="100">
                  <c:v>22.236961719905153</c:v>
                </c:pt>
                <c:pt idx="101">
                  <c:v>22.225629637893253</c:v>
                </c:pt>
                <c:pt idx="102">
                  <c:v>22.214297555881348</c:v>
                </c:pt>
                <c:pt idx="103">
                  <c:v>22.321729978494325</c:v>
                </c:pt>
                <c:pt idx="104">
                  <c:v>22.310492337017131</c:v>
                </c:pt>
                <c:pt idx="105">
                  <c:v>22.299254695539936</c:v>
                </c:pt>
                <c:pt idx="106">
                  <c:v>22.288017054062735</c:v>
                </c:pt>
                <c:pt idx="107">
                  <c:v>22.276779412585533</c:v>
                </c:pt>
                <c:pt idx="108">
                  <c:v>22.265541771108339</c:v>
                </c:pt>
                <c:pt idx="109">
                  <c:v>22.254304129631144</c:v>
                </c:pt>
                <c:pt idx="110">
                  <c:v>22.243066488153943</c:v>
                </c:pt>
                <c:pt idx="111">
                  <c:v>22.231828846676752</c:v>
                </c:pt>
                <c:pt idx="112">
                  <c:v>22.339117982909105</c:v>
                </c:pt>
                <c:pt idx="113">
                  <c:v>22.327974592928168</c:v>
                </c:pt>
                <c:pt idx="114">
                  <c:v>22.316831202947238</c:v>
                </c:pt>
                <c:pt idx="115">
                  <c:v>22.305687812966305</c:v>
                </c:pt>
                <c:pt idx="116">
                  <c:v>22.294544422985368</c:v>
                </c:pt>
                <c:pt idx="117">
                  <c:v>22.283401033004438</c:v>
                </c:pt>
                <c:pt idx="118">
                  <c:v>22.272257643023508</c:v>
                </c:pt>
                <c:pt idx="119">
                  <c:v>22.261114253042567</c:v>
                </c:pt>
                <c:pt idx="120">
                  <c:v>22.249970863061638</c:v>
                </c:pt>
                <c:pt idx="121">
                  <c:v>22.272355612235248</c:v>
                </c:pt>
                <c:pt idx="122">
                  <c:v>22.26123888354844</c:v>
                </c:pt>
                <c:pt idx="123">
                  <c:v>22.250122154861636</c:v>
                </c:pt>
                <c:pt idx="124">
                  <c:v>22.239005426174831</c:v>
                </c:pt>
                <c:pt idx="125">
                  <c:v>22.227888697488019</c:v>
                </c:pt>
                <c:pt idx="126">
                  <c:v>22.216771968801211</c:v>
                </c:pt>
                <c:pt idx="127">
                  <c:v>22.205655240114407</c:v>
                </c:pt>
                <c:pt idx="128">
                  <c:v>22.194538511427602</c:v>
                </c:pt>
                <c:pt idx="129">
                  <c:v>22.183421782740794</c:v>
                </c:pt>
                <c:pt idx="130">
                  <c:v>22.29100422033904</c:v>
                </c:pt>
                <c:pt idx="131">
                  <c:v>22.279981880230441</c:v>
                </c:pt>
                <c:pt idx="132">
                  <c:v>22.268959540121848</c:v>
                </c:pt>
                <c:pt idx="133">
                  <c:v>22.257937200013249</c:v>
                </c:pt>
                <c:pt idx="134">
                  <c:v>22.246914859904653</c:v>
                </c:pt>
                <c:pt idx="135">
                  <c:v>22.235892519796057</c:v>
                </c:pt>
                <c:pt idx="136">
                  <c:v>22.224870179687457</c:v>
                </c:pt>
                <c:pt idx="137">
                  <c:v>22.213847839578861</c:v>
                </c:pt>
                <c:pt idx="138">
                  <c:v>22.202825499470261</c:v>
                </c:pt>
                <c:pt idx="139">
                  <c:v>22.191803159361665</c:v>
                </c:pt>
                <c:pt idx="140">
                  <c:v>22.299279506389102</c:v>
                </c:pt>
                <c:pt idx="141">
                  <c:v>22.288351395439381</c:v>
                </c:pt>
                <c:pt idx="142">
                  <c:v>22.277423284489654</c:v>
                </c:pt>
                <c:pt idx="143">
                  <c:v>22.266495173539933</c:v>
                </c:pt>
                <c:pt idx="144">
                  <c:v>22.255567062590217</c:v>
                </c:pt>
                <c:pt idx="145">
                  <c:v>22.244638951640493</c:v>
                </c:pt>
                <c:pt idx="146">
                  <c:v>22.233710840690772</c:v>
                </c:pt>
                <c:pt idx="147">
                  <c:v>22.222782729741052</c:v>
                </c:pt>
                <c:pt idx="148">
                  <c:v>22.211854618791332</c:v>
                </c:pt>
                <c:pt idx="149">
                  <c:v>22.402237343786748</c:v>
                </c:pt>
                <c:pt idx="150">
                  <c:v>22.391469313519796</c:v>
                </c:pt>
                <c:pt idx="151">
                  <c:v>22.38070128325284</c:v>
                </c:pt>
                <c:pt idx="152">
                  <c:v>22.369933252985888</c:v>
                </c:pt>
                <c:pt idx="153">
                  <c:v>22.359165222718936</c:v>
                </c:pt>
                <c:pt idx="154">
                  <c:v>22.348397192451984</c:v>
                </c:pt>
                <c:pt idx="155">
                  <c:v>22.337629162185028</c:v>
                </c:pt>
                <c:pt idx="156">
                  <c:v>22.326861131918079</c:v>
                </c:pt>
                <c:pt idx="157">
                  <c:v>22.316093101651123</c:v>
                </c:pt>
                <c:pt idx="158">
                  <c:v>22.305325071384178</c:v>
                </c:pt>
                <c:pt idx="159">
                  <c:v>22.494543378255276</c:v>
                </c:pt>
                <c:pt idx="160">
                  <c:v>22.483934375440793</c:v>
                </c:pt>
                <c:pt idx="161">
                  <c:v>22.473325372626299</c:v>
                </c:pt>
                <c:pt idx="162">
                  <c:v>22.462716369811805</c:v>
                </c:pt>
                <c:pt idx="163">
                  <c:v>22.452107366997314</c:v>
                </c:pt>
                <c:pt idx="164">
                  <c:v>22.44149836418282</c:v>
                </c:pt>
                <c:pt idx="165">
                  <c:v>86.088845304475171</c:v>
                </c:pt>
                <c:pt idx="166">
                  <c:v>86.128856572562398</c:v>
                </c:pt>
                <c:pt idx="167">
                  <c:v>86.168867840649611</c:v>
                </c:pt>
                <c:pt idx="168">
                  <c:v>86.208879108736866</c:v>
                </c:pt>
                <c:pt idx="169">
                  <c:v>86.248890376824079</c:v>
                </c:pt>
                <c:pt idx="170">
                  <c:v>86.288901644911306</c:v>
                </c:pt>
                <c:pt idx="171">
                  <c:v>86.328912912998533</c:v>
                </c:pt>
                <c:pt idx="172">
                  <c:v>86.368924181085745</c:v>
                </c:pt>
                <c:pt idx="173">
                  <c:v>86.408935449172986</c:v>
                </c:pt>
                <c:pt idx="174">
                  <c:v>86.448946717260213</c:v>
                </c:pt>
                <c:pt idx="175">
                  <c:v>86.488957985347426</c:v>
                </c:pt>
                <c:pt idx="176">
                  <c:v>86.528969253434653</c:v>
                </c:pt>
                <c:pt idx="177">
                  <c:v>86.568980521521866</c:v>
                </c:pt>
                <c:pt idx="178">
                  <c:v>86.608991789609121</c:v>
                </c:pt>
                <c:pt idx="179">
                  <c:v>86.649003057696333</c:v>
                </c:pt>
                <c:pt idx="180">
                  <c:v>86.68901432578356</c:v>
                </c:pt>
                <c:pt idx="181">
                  <c:v>86.729025593870787</c:v>
                </c:pt>
                <c:pt idx="182">
                  <c:v>86.769036861958</c:v>
                </c:pt>
                <c:pt idx="183">
                  <c:v>94.666637194998756</c:v>
                </c:pt>
                <c:pt idx="184">
                  <c:v>94.712896751790979</c:v>
                </c:pt>
                <c:pt idx="185">
                  <c:v>94.759156308583201</c:v>
                </c:pt>
                <c:pt idx="186">
                  <c:v>94.805415865375423</c:v>
                </c:pt>
                <c:pt idx="187">
                  <c:v>94.851675422167645</c:v>
                </c:pt>
                <c:pt idx="188">
                  <c:v>94.897934978959867</c:v>
                </c:pt>
                <c:pt idx="189">
                  <c:v>94.944194535752089</c:v>
                </c:pt>
                <c:pt idx="190">
                  <c:v>94.990454092544311</c:v>
                </c:pt>
                <c:pt idx="191">
                  <c:v>95.036713649336519</c:v>
                </c:pt>
                <c:pt idx="192">
                  <c:v>95.082973206128742</c:v>
                </c:pt>
                <c:pt idx="193">
                  <c:v>95.129232762920964</c:v>
                </c:pt>
                <c:pt idx="194">
                  <c:v>95.175492319713186</c:v>
                </c:pt>
                <c:pt idx="195">
                  <c:v>95.221751876505408</c:v>
                </c:pt>
                <c:pt idx="196">
                  <c:v>95.268011433297616</c:v>
                </c:pt>
                <c:pt idx="197">
                  <c:v>95.314270990089838</c:v>
                </c:pt>
                <c:pt idx="198">
                  <c:v>95.360530546882046</c:v>
                </c:pt>
                <c:pt idx="199">
                  <c:v>95.406790103674282</c:v>
                </c:pt>
                <c:pt idx="200">
                  <c:v>95.45304966046649</c:v>
                </c:pt>
                <c:pt idx="201">
                  <c:v>95.499309217258698</c:v>
                </c:pt>
                <c:pt idx="202">
                  <c:v>95.545568774050921</c:v>
                </c:pt>
                <c:pt idx="203">
                  <c:v>95.591828330843143</c:v>
                </c:pt>
                <c:pt idx="204">
                  <c:v>95.638087887635365</c:v>
                </c:pt>
                <c:pt idx="205">
                  <c:v>95.684347444427587</c:v>
                </c:pt>
                <c:pt idx="206">
                  <c:v>95.730607001219809</c:v>
                </c:pt>
                <c:pt idx="207">
                  <c:v>95.776866558012031</c:v>
                </c:pt>
                <c:pt idx="208">
                  <c:v>95.823126114804253</c:v>
                </c:pt>
                <c:pt idx="209">
                  <c:v>95.869385671596476</c:v>
                </c:pt>
                <c:pt idx="210">
                  <c:v>95.915645228388669</c:v>
                </c:pt>
                <c:pt idx="211">
                  <c:v>95.961904785180892</c:v>
                </c:pt>
                <c:pt idx="212">
                  <c:v>96.008164341973099</c:v>
                </c:pt>
                <c:pt idx="213">
                  <c:v>96.054423898765322</c:v>
                </c:pt>
                <c:pt idx="214">
                  <c:v>96.100683455557544</c:v>
                </c:pt>
                <c:pt idx="215">
                  <c:v>103.99116883059421</c:v>
                </c:pt>
                <c:pt idx="216">
                  <c:v>104.04366604975007</c:v>
                </c:pt>
                <c:pt idx="217">
                  <c:v>104.09616326890595</c:v>
                </c:pt>
                <c:pt idx="218">
                  <c:v>104.14866048806182</c:v>
                </c:pt>
                <c:pt idx="219">
                  <c:v>104.2011577072177</c:v>
                </c:pt>
                <c:pt idx="220">
                  <c:v>104.25365492637358</c:v>
                </c:pt>
                <c:pt idx="221">
                  <c:v>104.30615214552945</c:v>
                </c:pt>
                <c:pt idx="222">
                  <c:v>104.35864936468533</c:v>
                </c:pt>
                <c:pt idx="223">
                  <c:v>104.41114658384122</c:v>
                </c:pt>
                <c:pt idx="224">
                  <c:v>104.46364380299708</c:v>
                </c:pt>
                <c:pt idx="225">
                  <c:v>104.51614102215298</c:v>
                </c:pt>
                <c:pt idx="226">
                  <c:v>104.56863824130886</c:v>
                </c:pt>
                <c:pt idx="227">
                  <c:v>104.62113546046474</c:v>
                </c:pt>
                <c:pt idx="228">
                  <c:v>104.67363267962061</c:v>
                </c:pt>
                <c:pt idx="229">
                  <c:v>104.72612989877649</c:v>
                </c:pt>
                <c:pt idx="230">
                  <c:v>104.77862711793237</c:v>
                </c:pt>
                <c:pt idx="231">
                  <c:v>104.83112433708824</c:v>
                </c:pt>
                <c:pt idx="232">
                  <c:v>104.88362155624414</c:v>
                </c:pt>
                <c:pt idx="233">
                  <c:v>104.9361187754</c:v>
                </c:pt>
                <c:pt idx="234">
                  <c:v>104.98861599455589</c:v>
                </c:pt>
                <c:pt idx="235">
                  <c:v>105.04111321371175</c:v>
                </c:pt>
                <c:pt idx="236">
                  <c:v>105.09361043286765</c:v>
                </c:pt>
                <c:pt idx="237">
                  <c:v>105.1461076520235</c:v>
                </c:pt>
                <c:pt idx="238">
                  <c:v>105.1986048711794</c:v>
                </c:pt>
                <c:pt idx="239">
                  <c:v>105.25110209033525</c:v>
                </c:pt>
                <c:pt idx="240">
                  <c:v>105.30359930949115</c:v>
                </c:pt>
                <c:pt idx="241">
                  <c:v>105.35609652864703</c:v>
                </c:pt>
                <c:pt idx="242">
                  <c:v>105.40859374780291</c:v>
                </c:pt>
                <c:pt idx="243">
                  <c:v>105.46109096695876</c:v>
                </c:pt>
                <c:pt idx="244">
                  <c:v>105.51358818611466</c:v>
                </c:pt>
                <c:pt idx="245">
                  <c:v>105.56608540527054</c:v>
                </c:pt>
                <c:pt idx="246">
                  <c:v>105.61858262442641</c:v>
                </c:pt>
                <c:pt idx="247">
                  <c:v>105.67107984358229</c:v>
                </c:pt>
                <c:pt idx="248">
                  <c:v>105.72357706273817</c:v>
                </c:pt>
                <c:pt idx="249">
                  <c:v>105.77607428189404</c:v>
                </c:pt>
                <c:pt idx="250">
                  <c:v>105.82857150104992</c:v>
                </c:pt>
                <c:pt idx="251">
                  <c:v>105.88106872020582</c:v>
                </c:pt>
                <c:pt idx="252">
                  <c:v>105.93356593936167</c:v>
                </c:pt>
                <c:pt idx="253">
                  <c:v>105.98606315851755</c:v>
                </c:pt>
                <c:pt idx="254">
                  <c:v>106.03856037767343</c:v>
                </c:pt>
                <c:pt idx="255">
                  <c:v>106.0910575968293</c:v>
                </c:pt>
                <c:pt idx="256">
                  <c:v>106.14355481598518</c:v>
                </c:pt>
                <c:pt idx="257">
                  <c:v>106.19605203514108</c:v>
                </c:pt>
                <c:pt idx="258">
                  <c:v>106.24854925429693</c:v>
                </c:pt>
                <c:pt idx="259">
                  <c:v>106.30104647345283</c:v>
                </c:pt>
                <c:pt idx="260">
                  <c:v>106.35354369260868</c:v>
                </c:pt>
                <c:pt idx="261">
                  <c:v>106.40604091176458</c:v>
                </c:pt>
                <c:pt idx="262">
                  <c:v>106.45853813092046</c:v>
                </c:pt>
                <c:pt idx="263">
                  <c:v>106.51103535007634</c:v>
                </c:pt>
                <c:pt idx="264">
                  <c:v>106.56353256923219</c:v>
                </c:pt>
                <c:pt idx="265">
                  <c:v>106.61602978838809</c:v>
                </c:pt>
                <c:pt idx="266">
                  <c:v>106.66852700754394</c:v>
                </c:pt>
                <c:pt idx="267">
                  <c:v>106.72102422669984</c:v>
                </c:pt>
                <c:pt idx="268">
                  <c:v>106.77352144585571</c:v>
                </c:pt>
                <c:pt idx="269">
                  <c:v>106.8260186650116</c:v>
                </c:pt>
                <c:pt idx="270">
                  <c:v>106.87851588416748</c:v>
                </c:pt>
                <c:pt idx="271">
                  <c:v>106.93101310332335</c:v>
                </c:pt>
                <c:pt idx="272">
                  <c:v>106.98351032247925</c:v>
                </c:pt>
                <c:pt idx="273">
                  <c:v>107.0360075416351</c:v>
                </c:pt>
                <c:pt idx="274">
                  <c:v>107.088504760791</c:v>
                </c:pt>
                <c:pt idx="275">
                  <c:v>107.14100197994686</c:v>
                </c:pt>
                <c:pt idx="276">
                  <c:v>107.19349919910275</c:v>
                </c:pt>
                <c:pt idx="277">
                  <c:v>107.24599641825861</c:v>
                </c:pt>
                <c:pt idx="278">
                  <c:v>107.29849363741451</c:v>
                </c:pt>
                <c:pt idx="279">
                  <c:v>107.35099085657036</c:v>
                </c:pt>
                <c:pt idx="280">
                  <c:v>107.40348807572626</c:v>
                </c:pt>
                <c:pt idx="281">
                  <c:v>107.45598529488211</c:v>
                </c:pt>
                <c:pt idx="282">
                  <c:v>107.50848251403801</c:v>
                </c:pt>
                <c:pt idx="283">
                  <c:v>107.56097973319388</c:v>
                </c:pt>
                <c:pt idx="284">
                  <c:v>107.61347695234977</c:v>
                </c:pt>
                <c:pt idx="285">
                  <c:v>107.66597417150564</c:v>
                </c:pt>
                <c:pt idx="286">
                  <c:v>107.71847139066152</c:v>
                </c:pt>
                <c:pt idx="287">
                  <c:v>107.7709686098174</c:v>
                </c:pt>
                <c:pt idx="288">
                  <c:v>107.82346582897327</c:v>
                </c:pt>
                <c:pt idx="289">
                  <c:v>107.87596304812915</c:v>
                </c:pt>
                <c:pt idx="290">
                  <c:v>107.92846026728503</c:v>
                </c:pt>
                <c:pt idx="291">
                  <c:v>107.98095748644091</c:v>
                </c:pt>
                <c:pt idx="292">
                  <c:v>108.0334547055968</c:v>
                </c:pt>
                <c:pt idx="293">
                  <c:v>108.08595192475268</c:v>
                </c:pt>
                <c:pt idx="294">
                  <c:v>108.13844914390855</c:v>
                </c:pt>
                <c:pt idx="295">
                  <c:v>108.19094636306443</c:v>
                </c:pt>
                <c:pt idx="296">
                  <c:v>108.24344358222031</c:v>
                </c:pt>
                <c:pt idx="297">
                  <c:v>108.2959408013762</c:v>
                </c:pt>
                <c:pt idx="298">
                  <c:v>108.34843802053206</c:v>
                </c:pt>
                <c:pt idx="299">
                  <c:v>108.40093523968795</c:v>
                </c:pt>
                <c:pt idx="300">
                  <c:v>108.45343245884381</c:v>
                </c:pt>
                <c:pt idx="301">
                  <c:v>108.5059296779997</c:v>
                </c:pt>
                <c:pt idx="302">
                  <c:v>108.55842689715557</c:v>
                </c:pt>
                <c:pt idx="303">
                  <c:v>108.61092411631145</c:v>
                </c:pt>
                <c:pt idx="304">
                  <c:v>108.66342133546732</c:v>
                </c:pt>
                <c:pt idx="305">
                  <c:v>108.71591855462322</c:v>
                </c:pt>
                <c:pt idx="306">
                  <c:v>17.235164322832922</c:v>
                </c:pt>
                <c:pt idx="307">
                  <c:v>17.235164322832922</c:v>
                </c:pt>
                <c:pt idx="308">
                  <c:v>17.235164322832922</c:v>
                </c:pt>
                <c:pt idx="309">
                  <c:v>17.235164322832922</c:v>
                </c:pt>
                <c:pt idx="310">
                  <c:v>17.235164322832922</c:v>
                </c:pt>
                <c:pt idx="311">
                  <c:v>17.235164322832922</c:v>
                </c:pt>
                <c:pt idx="312">
                  <c:v>17.235164322832922</c:v>
                </c:pt>
                <c:pt idx="313">
                  <c:v>17.235164322832922</c:v>
                </c:pt>
                <c:pt idx="314">
                  <c:v>17.235164322832922</c:v>
                </c:pt>
                <c:pt idx="315">
                  <c:v>17.235164322832922</c:v>
                </c:pt>
                <c:pt idx="316">
                  <c:v>17.235164322832922</c:v>
                </c:pt>
                <c:pt idx="317">
                  <c:v>17.235164322832922</c:v>
                </c:pt>
                <c:pt idx="318">
                  <c:v>17.235164322832922</c:v>
                </c:pt>
                <c:pt idx="319">
                  <c:v>17.235164322832922</c:v>
                </c:pt>
                <c:pt idx="320">
                  <c:v>17.235164322832922</c:v>
                </c:pt>
                <c:pt idx="321">
                  <c:v>17.235164322832922</c:v>
                </c:pt>
                <c:pt idx="322">
                  <c:v>17.235164322832922</c:v>
                </c:pt>
                <c:pt idx="323">
                  <c:v>17.235164322832922</c:v>
                </c:pt>
                <c:pt idx="324">
                  <c:v>17.235164322832922</c:v>
                </c:pt>
                <c:pt idx="325">
                  <c:v>17.235164322832922</c:v>
                </c:pt>
                <c:pt idx="326">
                  <c:v>17.235164322832922</c:v>
                </c:pt>
                <c:pt idx="327">
                  <c:v>17.235164322832922</c:v>
                </c:pt>
                <c:pt idx="328">
                  <c:v>17.235164322832922</c:v>
                </c:pt>
                <c:pt idx="329">
                  <c:v>17.235164322832922</c:v>
                </c:pt>
                <c:pt idx="330">
                  <c:v>17.235164322832922</c:v>
                </c:pt>
                <c:pt idx="331">
                  <c:v>17.235164322832922</c:v>
                </c:pt>
                <c:pt idx="332">
                  <c:v>17.235164322832922</c:v>
                </c:pt>
                <c:pt idx="333">
                  <c:v>17.235164322832922</c:v>
                </c:pt>
                <c:pt idx="334">
                  <c:v>17.235164322832922</c:v>
                </c:pt>
                <c:pt idx="335">
                  <c:v>17.235164322832922</c:v>
                </c:pt>
                <c:pt idx="336">
                  <c:v>17.235164322832922</c:v>
                </c:pt>
                <c:pt idx="337">
                  <c:v>17.235164322832922</c:v>
                </c:pt>
                <c:pt idx="338">
                  <c:v>17.235164322832922</c:v>
                </c:pt>
                <c:pt idx="339">
                  <c:v>17.235164322832922</c:v>
                </c:pt>
                <c:pt idx="340">
                  <c:v>17.235164322832922</c:v>
                </c:pt>
                <c:pt idx="341">
                  <c:v>17.235164322832922</c:v>
                </c:pt>
                <c:pt idx="342">
                  <c:v>17.235164322832922</c:v>
                </c:pt>
                <c:pt idx="343">
                  <c:v>17.235164322832922</c:v>
                </c:pt>
                <c:pt idx="344">
                  <c:v>17.235164322832922</c:v>
                </c:pt>
                <c:pt idx="345">
                  <c:v>17.235164322832922</c:v>
                </c:pt>
                <c:pt idx="346">
                  <c:v>17.235164322832922</c:v>
                </c:pt>
                <c:pt idx="347">
                  <c:v>17.235164322832922</c:v>
                </c:pt>
                <c:pt idx="348">
                  <c:v>17.235164322832922</c:v>
                </c:pt>
                <c:pt idx="349">
                  <c:v>17.235164322832922</c:v>
                </c:pt>
                <c:pt idx="350">
                  <c:v>17.235164322832922</c:v>
                </c:pt>
                <c:pt idx="351">
                  <c:v>17.235164322832922</c:v>
                </c:pt>
                <c:pt idx="352">
                  <c:v>17.235164322832922</c:v>
                </c:pt>
                <c:pt idx="353">
                  <c:v>17.235164322832922</c:v>
                </c:pt>
                <c:pt idx="354">
                  <c:v>17.235164322832922</c:v>
                </c:pt>
                <c:pt idx="355">
                  <c:v>17.235164322832922</c:v>
                </c:pt>
                <c:pt idx="356">
                  <c:v>17.235164322832922</c:v>
                </c:pt>
                <c:pt idx="357">
                  <c:v>17.235164322832922</c:v>
                </c:pt>
                <c:pt idx="358">
                  <c:v>17.235164322832922</c:v>
                </c:pt>
                <c:pt idx="359">
                  <c:v>17.235164322832922</c:v>
                </c:pt>
                <c:pt idx="360">
                  <c:v>17.235164322832922</c:v>
                </c:pt>
                <c:pt idx="361">
                  <c:v>17.235164322832922</c:v>
                </c:pt>
                <c:pt idx="362">
                  <c:v>17.235164322832922</c:v>
                </c:pt>
                <c:pt idx="363">
                  <c:v>17.235164322832922</c:v>
                </c:pt>
                <c:pt idx="364">
                  <c:v>17.235164322832922</c:v>
                </c:pt>
                <c:pt idx="365">
                  <c:v>16.953524125127313</c:v>
                </c:pt>
                <c:pt idx="366">
                  <c:v>16.391057691813689</c:v>
                </c:pt>
                <c:pt idx="367">
                  <c:v>15.321405581419521</c:v>
                </c:pt>
                <c:pt idx="368">
                  <c:v>14.792151966064734</c:v>
                </c:pt>
                <c:pt idx="369">
                  <c:v>13.787015606899452</c:v>
                </c:pt>
                <c:pt idx="370">
                  <c:v>12.821639321878404</c:v>
                </c:pt>
                <c:pt idx="371">
                  <c:v>11.958579256397757</c:v>
                </c:pt>
                <c:pt idx="372">
                  <c:v>11.055674868486333</c:v>
                </c:pt>
                <c:pt idx="373">
                  <c:v>10.186688435533416</c:v>
                </c:pt>
                <c:pt idx="374">
                  <c:v>9.7513608826357583</c:v>
                </c:pt>
                <c:pt idx="375">
                  <c:v>9.6448388184142164</c:v>
                </c:pt>
                <c:pt idx="376">
                  <c:v>9.5420328209642573</c:v>
                </c:pt>
                <c:pt idx="377">
                  <c:v>9.8266806182231097</c:v>
                </c:pt>
                <c:pt idx="378">
                  <c:v>10.406378727459545</c:v>
                </c:pt>
                <c:pt idx="379">
                  <c:v>10.676013657841754</c:v>
                </c:pt>
                <c:pt idx="380">
                  <c:v>11.226200689278157</c:v>
                </c:pt>
                <c:pt idx="381">
                  <c:v>11.103989296994694</c:v>
                </c:pt>
                <c:pt idx="382">
                  <c:v>11.031975605897001</c:v>
                </c:pt>
                <c:pt idx="383">
                  <c:v>10.960926141847072</c:v>
                </c:pt>
                <c:pt idx="384">
                  <c:v>10.530385748522905</c:v>
                </c:pt>
                <c:pt idx="385">
                  <c:v>10.464437327295084</c:v>
                </c:pt>
                <c:pt idx="386">
                  <c:v>10.36033925038301</c:v>
                </c:pt>
                <c:pt idx="387">
                  <c:v>10.296851094876246</c:v>
                </c:pt>
                <c:pt idx="388">
                  <c:v>10.197603581932785</c:v>
                </c:pt>
                <c:pt idx="389">
                  <c:v>10.28587012485354</c:v>
                </c:pt>
                <c:pt idx="390">
                  <c:v>10.372673517152561</c:v>
                </c:pt>
                <c:pt idx="391">
                  <c:v>10.85924789990267</c:v>
                </c:pt>
                <c:pt idx="392">
                  <c:v>11.084817692313095</c:v>
                </c:pt>
                <c:pt idx="393">
                  <c:v>13.63440125600011</c:v>
                </c:pt>
                <c:pt idx="394">
                  <c:v>13.242800874454884</c:v>
                </c:pt>
                <c:pt idx="395">
                  <c:v>12.858341228166465</c:v>
                </c:pt>
                <c:pt idx="396">
                  <c:v>12.806182742971171</c:v>
                </c:pt>
                <c:pt idx="397">
                  <c:v>12.75494850267647</c:v>
                </c:pt>
                <c:pt idx="398">
                  <c:v>12.704616736434595</c:v>
                </c:pt>
                <c:pt idx="399">
                  <c:v>12.655166482060361</c:v>
                </c:pt>
                <c:pt idx="400">
                  <c:v>12.920107292182344</c:v>
                </c:pt>
                <c:pt idx="401">
                  <c:v>12.897078592384529</c:v>
                </c:pt>
                <c:pt idx="402">
                  <c:v>13.157461401989176</c:v>
                </c:pt>
                <c:pt idx="403">
                  <c:v>13.413414286531864</c:v>
                </c:pt>
                <c:pt idx="404">
                  <c:v>13.665060757943921</c:v>
                </c:pt>
                <c:pt idx="405">
                  <c:v>13.91251996567464</c:v>
                </c:pt>
                <c:pt idx="406">
                  <c:v>14.155906887213126</c:v>
                </c:pt>
                <c:pt idx="407">
                  <c:v>14.133968995166542</c:v>
                </c:pt>
                <c:pt idx="408">
                  <c:v>14.076081929290169</c:v>
                </c:pt>
                <c:pt idx="409">
                  <c:v>14.019186577193613</c:v>
                </c:pt>
                <c:pt idx="410">
                  <c:v>13.963261278870647</c:v>
                </c:pt>
                <c:pt idx="411">
                  <c:v>13.908285111785167</c:v>
                </c:pt>
                <c:pt idx="412">
                  <c:v>13.886237670946119</c:v>
                </c:pt>
                <c:pt idx="413">
                  <c:v>13.832190419160336</c:v>
                </c:pt>
                <c:pt idx="414">
                  <c:v>13.494025504848201</c:v>
                </c:pt>
                <c:pt idx="415">
                  <c:v>13.443887753111023</c:v>
                </c:pt>
                <c:pt idx="416">
                  <c:v>13.421541395501082</c:v>
                </c:pt>
                <c:pt idx="417">
                  <c:v>13.372239734017899</c:v>
                </c:pt>
                <c:pt idx="418">
                  <c:v>13.323757382813744</c:v>
                </c:pt>
                <c:pt idx="419">
                  <c:v>13.276078106824936</c:v>
                </c:pt>
                <c:pt idx="420">
                  <c:v>13.253669437540765</c:v>
                </c:pt>
                <c:pt idx="421">
                  <c:v>13.206777524884764</c:v>
                </c:pt>
                <c:pt idx="422">
                  <c:v>13.206777524884764</c:v>
                </c:pt>
                <c:pt idx="423">
                  <c:v>13.206777524884764</c:v>
                </c:pt>
                <c:pt idx="424">
                  <c:v>13.206777524884764</c:v>
                </c:pt>
                <c:pt idx="425">
                  <c:v>13.206777524884764</c:v>
                </c:pt>
                <c:pt idx="426">
                  <c:v>13.206777524884764</c:v>
                </c:pt>
                <c:pt idx="427">
                  <c:v>13.206777524884764</c:v>
                </c:pt>
                <c:pt idx="428">
                  <c:v>13.206777524884764</c:v>
                </c:pt>
                <c:pt idx="429">
                  <c:v>13.206777524884764</c:v>
                </c:pt>
                <c:pt idx="430">
                  <c:v>13.206777524884764</c:v>
                </c:pt>
                <c:pt idx="431">
                  <c:v>13.206777524884764</c:v>
                </c:pt>
                <c:pt idx="432">
                  <c:v>13.206777524884764</c:v>
                </c:pt>
                <c:pt idx="433">
                  <c:v>13.206777524884764</c:v>
                </c:pt>
                <c:pt idx="434">
                  <c:v>13.206777524884764</c:v>
                </c:pt>
                <c:pt idx="435">
                  <c:v>13.206777524884764</c:v>
                </c:pt>
                <c:pt idx="436">
                  <c:v>13.206777524884764</c:v>
                </c:pt>
                <c:pt idx="437">
                  <c:v>13.206777524884764</c:v>
                </c:pt>
                <c:pt idx="438">
                  <c:v>13.206777524884764</c:v>
                </c:pt>
                <c:pt idx="439">
                  <c:v>13.206777524884764</c:v>
                </c:pt>
                <c:pt idx="440">
                  <c:v>13.206777524884764</c:v>
                </c:pt>
                <c:pt idx="441">
                  <c:v>13.206777524884764</c:v>
                </c:pt>
                <c:pt idx="442">
                  <c:v>13.206777524884764</c:v>
                </c:pt>
                <c:pt idx="443">
                  <c:v>13.206777524884764</c:v>
                </c:pt>
                <c:pt idx="444">
                  <c:v>13.206777524884764</c:v>
                </c:pt>
                <c:pt idx="445">
                  <c:v>13.206777524884764</c:v>
                </c:pt>
                <c:pt idx="446">
                  <c:v>13.206777524884764</c:v>
                </c:pt>
                <c:pt idx="447">
                  <c:v>13.206777524884764</c:v>
                </c:pt>
                <c:pt idx="448">
                  <c:v>13.206777524884764</c:v>
                </c:pt>
                <c:pt idx="449">
                  <c:v>13.206777524884764</c:v>
                </c:pt>
                <c:pt idx="450">
                  <c:v>13.206777524884764</c:v>
                </c:pt>
                <c:pt idx="451">
                  <c:v>13.206777524884764</c:v>
                </c:pt>
                <c:pt idx="452">
                  <c:v>13.206777524884764</c:v>
                </c:pt>
                <c:pt idx="453">
                  <c:v>13.206777524884764</c:v>
                </c:pt>
                <c:pt idx="454">
                  <c:v>13.206777524884764</c:v>
                </c:pt>
                <c:pt idx="455">
                  <c:v>13.206777524884764</c:v>
                </c:pt>
                <c:pt idx="456">
                  <c:v>13.206777524884764</c:v>
                </c:pt>
                <c:pt idx="457">
                  <c:v>13.206777524884764</c:v>
                </c:pt>
                <c:pt idx="458">
                  <c:v>13.206777524884764</c:v>
                </c:pt>
                <c:pt idx="459">
                  <c:v>13.206777524884764</c:v>
                </c:pt>
                <c:pt idx="460">
                  <c:v>13.206777524884764</c:v>
                </c:pt>
                <c:pt idx="461">
                  <c:v>13.206777524884764</c:v>
                </c:pt>
                <c:pt idx="462">
                  <c:v>13.206777524884764</c:v>
                </c:pt>
                <c:pt idx="463">
                  <c:v>13.206777524884764</c:v>
                </c:pt>
                <c:pt idx="464">
                  <c:v>13.206777524884764</c:v>
                </c:pt>
                <c:pt idx="465">
                  <c:v>13.206777524884764</c:v>
                </c:pt>
                <c:pt idx="466">
                  <c:v>13.206777524884764</c:v>
                </c:pt>
                <c:pt idx="467">
                  <c:v>13.206777524884764</c:v>
                </c:pt>
                <c:pt idx="468">
                  <c:v>13.206777524884764</c:v>
                </c:pt>
                <c:pt idx="469">
                  <c:v>13.206777524884764</c:v>
                </c:pt>
                <c:pt idx="470">
                  <c:v>13.206777524884764</c:v>
                </c:pt>
                <c:pt idx="471">
                  <c:v>13.206777524884764</c:v>
                </c:pt>
                <c:pt idx="472">
                  <c:v>13.206777524884764</c:v>
                </c:pt>
                <c:pt idx="473">
                  <c:v>13.206777524884764</c:v>
                </c:pt>
                <c:pt idx="474">
                  <c:v>13.206777524884764</c:v>
                </c:pt>
                <c:pt idx="475">
                  <c:v>13.206777524884764</c:v>
                </c:pt>
                <c:pt idx="476">
                  <c:v>13.206777524884764</c:v>
                </c:pt>
                <c:pt idx="477">
                  <c:v>13.206777524884764</c:v>
                </c:pt>
                <c:pt idx="478">
                  <c:v>13.206777524884764</c:v>
                </c:pt>
                <c:pt idx="479">
                  <c:v>13.206777524884764</c:v>
                </c:pt>
                <c:pt idx="480">
                  <c:v>13.206777524884764</c:v>
                </c:pt>
                <c:pt idx="481">
                  <c:v>13.206777524884764</c:v>
                </c:pt>
                <c:pt idx="482">
                  <c:v>13.206777524884764</c:v>
                </c:pt>
                <c:pt idx="483">
                  <c:v>13.206777524884764</c:v>
                </c:pt>
                <c:pt idx="484">
                  <c:v>13.206777524884764</c:v>
                </c:pt>
                <c:pt idx="485">
                  <c:v>13.206777524884764</c:v>
                </c:pt>
                <c:pt idx="486">
                  <c:v>13.206777524884764</c:v>
                </c:pt>
                <c:pt idx="487">
                  <c:v>13.206777524884764</c:v>
                </c:pt>
                <c:pt idx="488">
                  <c:v>13.206777524884764</c:v>
                </c:pt>
                <c:pt idx="489">
                  <c:v>13.206777524884764</c:v>
                </c:pt>
                <c:pt idx="490">
                  <c:v>13.206777524884764</c:v>
                </c:pt>
                <c:pt idx="491">
                  <c:v>13.206777524884764</c:v>
                </c:pt>
                <c:pt idx="492">
                  <c:v>13.206777524884764</c:v>
                </c:pt>
                <c:pt idx="493">
                  <c:v>13.206777524884764</c:v>
                </c:pt>
                <c:pt idx="494">
                  <c:v>13.206777524884764</c:v>
                </c:pt>
                <c:pt idx="495">
                  <c:v>13.206777524884764</c:v>
                </c:pt>
                <c:pt idx="496">
                  <c:v>13.206777524884764</c:v>
                </c:pt>
                <c:pt idx="497">
                  <c:v>13.206777524884764</c:v>
                </c:pt>
                <c:pt idx="498">
                  <c:v>13.206777524884764</c:v>
                </c:pt>
                <c:pt idx="499">
                  <c:v>13.206777524884764</c:v>
                </c:pt>
                <c:pt idx="500">
                  <c:v>13.206777524884764</c:v>
                </c:pt>
                <c:pt idx="501">
                  <c:v>13.206777524884764</c:v>
                </c:pt>
                <c:pt idx="502">
                  <c:v>13.206777524884764</c:v>
                </c:pt>
                <c:pt idx="503">
                  <c:v>13.206777524884764</c:v>
                </c:pt>
                <c:pt idx="504">
                  <c:v>13.206777524884764</c:v>
                </c:pt>
                <c:pt idx="505">
                  <c:v>13.206777524884764</c:v>
                </c:pt>
                <c:pt idx="506">
                  <c:v>13.206777524884764</c:v>
                </c:pt>
                <c:pt idx="507">
                  <c:v>13.206777524884764</c:v>
                </c:pt>
                <c:pt idx="508">
                  <c:v>13.206777524884764</c:v>
                </c:pt>
                <c:pt idx="509">
                  <c:v>13.206777524884764</c:v>
                </c:pt>
                <c:pt idx="510">
                  <c:v>13.206777524884764</c:v>
                </c:pt>
                <c:pt idx="511">
                  <c:v>13.206777524884764</c:v>
                </c:pt>
                <c:pt idx="512">
                  <c:v>13.206777524884764</c:v>
                </c:pt>
                <c:pt idx="513">
                  <c:v>13.206777524884764</c:v>
                </c:pt>
                <c:pt idx="514">
                  <c:v>13.206777524884764</c:v>
                </c:pt>
                <c:pt idx="515">
                  <c:v>13.206777524884764</c:v>
                </c:pt>
                <c:pt idx="516">
                  <c:v>13.206777524884764</c:v>
                </c:pt>
                <c:pt idx="517">
                  <c:v>13.206777524884764</c:v>
                </c:pt>
                <c:pt idx="518">
                  <c:v>13.206777524884764</c:v>
                </c:pt>
                <c:pt idx="519">
                  <c:v>13.206777524884764</c:v>
                </c:pt>
                <c:pt idx="520">
                  <c:v>13.206777524884764</c:v>
                </c:pt>
                <c:pt idx="521">
                  <c:v>13.206777524884764</c:v>
                </c:pt>
                <c:pt idx="522">
                  <c:v>13.160657766160053</c:v>
                </c:pt>
                <c:pt idx="523">
                  <c:v>13.250015246192861</c:v>
                </c:pt>
                <c:pt idx="524">
                  <c:v>13.227657174626106</c:v>
                </c:pt>
                <c:pt idx="525">
                  <c:v>13.315776268056849</c:v>
                </c:pt>
                <c:pt idx="526">
                  <c:v>13.535336896579127</c:v>
                </c:pt>
                <c:pt idx="527">
                  <c:v>13.513258977380984</c:v>
                </c:pt>
                <c:pt idx="528">
                  <c:v>13.729725992036174</c:v>
                </c:pt>
                <c:pt idx="529">
                  <c:v>13.943174560420406</c:v>
                </c:pt>
                <c:pt idx="530">
                  <c:v>14.1536775727162</c:v>
                </c:pt>
                <c:pt idx="531">
                  <c:v>14.132161127034315</c:v>
                </c:pt>
                <c:pt idx="532">
                  <c:v>14.33978928143638</c:v>
                </c:pt>
                <c:pt idx="533">
                  <c:v>14.544611165767513</c:v>
                </c:pt>
                <c:pt idx="534">
                  <c:v>14.523456771383946</c:v>
                </c:pt>
                <c:pt idx="535">
                  <c:v>14.72553894109743</c:v>
                </c:pt>
                <c:pt idx="536">
                  <c:v>14.704562062551165</c:v>
                </c:pt>
                <c:pt idx="537">
                  <c:v>14.903969115304967</c:v>
                </c:pt>
                <c:pt idx="538">
                  <c:v>14.975806255987758</c:v>
                </c:pt>
                <c:pt idx="539">
                  <c:v>14.95507829046098</c:v>
                </c:pt>
                <c:pt idx="540">
                  <c:v>15.026062502878641</c:v>
                </c:pt>
                <c:pt idx="541">
                  <c:v>14.973043430179553</c:v>
                </c:pt>
                <c:pt idx="542">
                  <c:v>14.952362657795913</c:v>
                </c:pt>
                <c:pt idx="543">
                  <c:v>15.022482129671463</c:v>
                </c:pt>
                <c:pt idx="544">
                  <c:v>15.001873560878</c:v>
                </c:pt>
                <c:pt idx="545">
                  <c:v>16.568729970916159</c:v>
                </c:pt>
                <c:pt idx="546">
                  <c:v>16.530295015089862</c:v>
                </c:pt>
                <c:pt idx="547">
                  <c:v>16.510933605895332</c:v>
                </c:pt>
                <c:pt idx="548">
                  <c:v>16.473433546195466</c:v>
                </c:pt>
                <c:pt idx="549">
                  <c:v>16.454057713298685</c:v>
                </c:pt>
                <c:pt idx="550">
                  <c:v>16.160658935828589</c:v>
                </c:pt>
                <c:pt idx="551">
                  <c:v>16.141065202192106</c:v>
                </c:pt>
                <c:pt idx="552">
                  <c:v>16.107283750758491</c:v>
                </c:pt>
                <c:pt idx="553">
                  <c:v>16.087678735168211</c:v>
                </c:pt>
                <c:pt idx="554">
                  <c:v>16.054748755789639</c:v>
                </c:pt>
                <c:pt idx="555">
                  <c:v>16.035133144300275</c:v>
                </c:pt>
                <c:pt idx="556">
                  <c:v>16.003039588984706</c:v>
                </c:pt>
                <c:pt idx="557">
                  <c:v>15.983414055139409</c:v>
                </c:pt>
                <c:pt idx="558">
                  <c:v>15.963788521294116</c:v>
                </c:pt>
                <c:pt idx="559">
                  <c:v>15.932516833027373</c:v>
                </c:pt>
                <c:pt idx="560">
                  <c:v>15.912882038258083</c:v>
                </c:pt>
                <c:pt idx="561">
                  <c:v>15.882418131424592</c:v>
                </c:pt>
                <c:pt idx="562">
                  <c:v>15.862774725436507</c:v>
                </c:pt>
                <c:pt idx="563">
                  <c:v>15.833104967167882</c:v>
                </c:pt>
                <c:pt idx="564">
                  <c:v>15.813453588308835</c:v>
                </c:pt>
                <c:pt idx="565">
                  <c:v>15.813453588308835</c:v>
                </c:pt>
                <c:pt idx="566">
                  <c:v>15.813453588308835</c:v>
                </c:pt>
                <c:pt idx="567">
                  <c:v>15.813453588308835</c:v>
                </c:pt>
                <c:pt idx="568">
                  <c:v>15.813453588308835</c:v>
                </c:pt>
                <c:pt idx="569">
                  <c:v>15.813453588308835</c:v>
                </c:pt>
                <c:pt idx="570">
                  <c:v>15.813453588308835</c:v>
                </c:pt>
                <c:pt idx="571">
                  <c:v>15.813453588308835</c:v>
                </c:pt>
                <c:pt idx="572">
                  <c:v>15.813453588308835</c:v>
                </c:pt>
                <c:pt idx="573">
                  <c:v>15.813453588308835</c:v>
                </c:pt>
                <c:pt idx="574">
                  <c:v>15.813453588308835</c:v>
                </c:pt>
                <c:pt idx="575">
                  <c:v>15.813453588308835</c:v>
                </c:pt>
                <c:pt idx="576">
                  <c:v>15.813453588308835</c:v>
                </c:pt>
                <c:pt idx="577">
                  <c:v>15.813453588308835</c:v>
                </c:pt>
                <c:pt idx="578">
                  <c:v>15.813453588308835</c:v>
                </c:pt>
                <c:pt idx="579">
                  <c:v>15.813453588308835</c:v>
                </c:pt>
                <c:pt idx="580">
                  <c:v>15.813453588308835</c:v>
                </c:pt>
                <c:pt idx="581">
                  <c:v>15.813453588308835</c:v>
                </c:pt>
                <c:pt idx="582">
                  <c:v>15.813453588308835</c:v>
                </c:pt>
                <c:pt idx="583">
                  <c:v>15.813453588308835</c:v>
                </c:pt>
                <c:pt idx="584">
                  <c:v>15.813453588308835</c:v>
                </c:pt>
                <c:pt idx="585">
                  <c:v>15.813453588308835</c:v>
                </c:pt>
                <c:pt idx="586">
                  <c:v>15.813453588308835</c:v>
                </c:pt>
                <c:pt idx="587">
                  <c:v>15.813453588308835</c:v>
                </c:pt>
                <c:pt idx="588">
                  <c:v>15.813453588308835</c:v>
                </c:pt>
                <c:pt idx="589">
                  <c:v>15.813453588308835</c:v>
                </c:pt>
                <c:pt idx="590">
                  <c:v>15.813453588308835</c:v>
                </c:pt>
                <c:pt idx="591">
                  <c:v>15.813453588308835</c:v>
                </c:pt>
                <c:pt idx="592">
                  <c:v>15.813453588308835</c:v>
                </c:pt>
                <c:pt idx="593">
                  <c:v>15.813453588308835</c:v>
                </c:pt>
                <c:pt idx="594">
                  <c:v>15.813453588308835</c:v>
                </c:pt>
                <c:pt idx="595">
                  <c:v>15.813453588308835</c:v>
                </c:pt>
                <c:pt idx="596">
                  <c:v>15.813453588308835</c:v>
                </c:pt>
                <c:pt idx="597">
                  <c:v>15.813453588308835</c:v>
                </c:pt>
                <c:pt idx="598">
                  <c:v>15.813453588308835</c:v>
                </c:pt>
                <c:pt idx="599">
                  <c:v>15.813453588308835</c:v>
                </c:pt>
                <c:pt idx="600">
                  <c:v>15.813453588308835</c:v>
                </c:pt>
                <c:pt idx="601">
                  <c:v>15.813453588308835</c:v>
                </c:pt>
                <c:pt idx="602">
                  <c:v>15.813453588308835</c:v>
                </c:pt>
                <c:pt idx="603">
                  <c:v>15.813453588308835</c:v>
                </c:pt>
                <c:pt idx="604">
                  <c:v>15.813453588308835</c:v>
                </c:pt>
                <c:pt idx="605">
                  <c:v>15.813453588308835</c:v>
                </c:pt>
                <c:pt idx="606">
                  <c:v>15.813453588308835</c:v>
                </c:pt>
                <c:pt idx="607">
                  <c:v>15.813453588308835</c:v>
                </c:pt>
                <c:pt idx="608">
                  <c:v>15.813453588308835</c:v>
                </c:pt>
                <c:pt idx="609">
                  <c:v>15.813453588308835</c:v>
                </c:pt>
                <c:pt idx="610">
                  <c:v>15.813453588308835</c:v>
                </c:pt>
                <c:pt idx="611">
                  <c:v>15.813453588308835</c:v>
                </c:pt>
                <c:pt idx="612">
                  <c:v>15.813453588308835</c:v>
                </c:pt>
                <c:pt idx="613">
                  <c:v>15.813453588308835</c:v>
                </c:pt>
                <c:pt idx="614">
                  <c:v>15.813453588308835</c:v>
                </c:pt>
                <c:pt idx="615">
                  <c:v>15.813453588308835</c:v>
                </c:pt>
                <c:pt idx="616">
                  <c:v>15.813453588308835</c:v>
                </c:pt>
                <c:pt idx="617">
                  <c:v>15.813453588308835</c:v>
                </c:pt>
                <c:pt idx="618">
                  <c:v>15.813453588308835</c:v>
                </c:pt>
                <c:pt idx="619">
                  <c:v>15.813453588308835</c:v>
                </c:pt>
                <c:pt idx="620">
                  <c:v>15.813453588308835</c:v>
                </c:pt>
                <c:pt idx="621">
                  <c:v>15.813453588308835</c:v>
                </c:pt>
                <c:pt idx="622">
                  <c:v>15.813453588308835</c:v>
                </c:pt>
                <c:pt idx="623">
                  <c:v>15.813453588308835</c:v>
                </c:pt>
                <c:pt idx="624">
                  <c:v>15.813453588308835</c:v>
                </c:pt>
                <c:pt idx="625">
                  <c:v>15.813453588308835</c:v>
                </c:pt>
                <c:pt idx="626">
                  <c:v>15.813453588308835</c:v>
                </c:pt>
                <c:pt idx="627">
                  <c:v>15.813453588308835</c:v>
                </c:pt>
                <c:pt idx="628">
                  <c:v>15.813453588308835</c:v>
                </c:pt>
                <c:pt idx="629">
                  <c:v>15.813453588308835</c:v>
                </c:pt>
                <c:pt idx="630">
                  <c:v>15.813453588308835</c:v>
                </c:pt>
                <c:pt idx="631">
                  <c:v>15.813453588308835</c:v>
                </c:pt>
                <c:pt idx="632">
                  <c:v>15.813453588308835</c:v>
                </c:pt>
                <c:pt idx="633">
                  <c:v>15.813453588308835</c:v>
                </c:pt>
                <c:pt idx="634">
                  <c:v>15.813453588308835</c:v>
                </c:pt>
                <c:pt idx="635">
                  <c:v>15.813453588308835</c:v>
                </c:pt>
                <c:pt idx="636">
                  <c:v>15.813453588308835</c:v>
                </c:pt>
                <c:pt idx="637">
                  <c:v>15.813453588308835</c:v>
                </c:pt>
                <c:pt idx="638">
                  <c:v>15.813453588308835</c:v>
                </c:pt>
                <c:pt idx="639">
                  <c:v>15.813453588308835</c:v>
                </c:pt>
                <c:pt idx="640">
                  <c:v>15.813453588308835</c:v>
                </c:pt>
                <c:pt idx="641">
                  <c:v>15.813453588308835</c:v>
                </c:pt>
                <c:pt idx="642">
                  <c:v>15.813453588308835</c:v>
                </c:pt>
                <c:pt idx="643">
                  <c:v>15.813453588308835</c:v>
                </c:pt>
                <c:pt idx="644">
                  <c:v>15.813453588308835</c:v>
                </c:pt>
                <c:pt idx="645">
                  <c:v>15.813453588308835</c:v>
                </c:pt>
                <c:pt idx="646">
                  <c:v>15.813453588308835</c:v>
                </c:pt>
                <c:pt idx="647">
                  <c:v>15.813453588308835</c:v>
                </c:pt>
                <c:pt idx="648">
                  <c:v>15.813453588308835</c:v>
                </c:pt>
                <c:pt idx="649">
                  <c:v>15.813453588308835</c:v>
                </c:pt>
                <c:pt idx="650">
                  <c:v>15.813453588308835</c:v>
                </c:pt>
                <c:pt idx="651">
                  <c:v>15.813453588308835</c:v>
                </c:pt>
                <c:pt idx="652">
                  <c:v>15.813453588308835</c:v>
                </c:pt>
                <c:pt idx="653">
                  <c:v>15.813453588308835</c:v>
                </c:pt>
                <c:pt idx="654">
                  <c:v>15.813453588308835</c:v>
                </c:pt>
                <c:pt idx="655">
                  <c:v>15.813453588308835</c:v>
                </c:pt>
                <c:pt idx="656">
                  <c:v>15.813453588308835</c:v>
                </c:pt>
                <c:pt idx="657">
                  <c:v>15.813453588308835</c:v>
                </c:pt>
                <c:pt idx="658">
                  <c:v>15.813453588308835</c:v>
                </c:pt>
                <c:pt idx="659">
                  <c:v>15.813453588308835</c:v>
                </c:pt>
                <c:pt idx="660">
                  <c:v>15.813453588308835</c:v>
                </c:pt>
                <c:pt idx="661">
                  <c:v>15.813453588308835</c:v>
                </c:pt>
                <c:pt idx="662">
                  <c:v>15.813453588308835</c:v>
                </c:pt>
                <c:pt idx="663">
                  <c:v>15.813453588308835</c:v>
                </c:pt>
                <c:pt idx="664">
                  <c:v>15.813453588308835</c:v>
                </c:pt>
                <c:pt idx="665">
                  <c:v>15.813453588308835</c:v>
                </c:pt>
                <c:pt idx="666">
                  <c:v>15.813453588308835</c:v>
                </c:pt>
                <c:pt idx="667">
                  <c:v>15.813453588308835</c:v>
                </c:pt>
                <c:pt idx="668">
                  <c:v>15.813453588308835</c:v>
                </c:pt>
                <c:pt idx="669">
                  <c:v>15.813453588308835</c:v>
                </c:pt>
                <c:pt idx="670">
                  <c:v>15.813453588308835</c:v>
                </c:pt>
                <c:pt idx="671">
                  <c:v>15.813453588308835</c:v>
                </c:pt>
                <c:pt idx="672">
                  <c:v>15.813453588308835</c:v>
                </c:pt>
                <c:pt idx="673">
                  <c:v>15.813453588308835</c:v>
                </c:pt>
                <c:pt idx="674">
                  <c:v>15.813453588308835</c:v>
                </c:pt>
                <c:pt idx="675">
                  <c:v>15.813453588308835</c:v>
                </c:pt>
                <c:pt idx="676">
                  <c:v>15.813453588308835</c:v>
                </c:pt>
                <c:pt idx="677">
                  <c:v>15.813453588308835</c:v>
                </c:pt>
                <c:pt idx="678">
                  <c:v>15.813453588308835</c:v>
                </c:pt>
                <c:pt idx="679">
                  <c:v>15.813453588308835</c:v>
                </c:pt>
                <c:pt idx="680">
                  <c:v>15.813453588308835</c:v>
                </c:pt>
                <c:pt idx="681">
                  <c:v>15.813453588308835</c:v>
                </c:pt>
                <c:pt idx="682">
                  <c:v>15.813453588308835</c:v>
                </c:pt>
                <c:pt idx="683">
                  <c:v>15.813453588308835</c:v>
                </c:pt>
                <c:pt idx="684">
                  <c:v>15.813453588308835</c:v>
                </c:pt>
                <c:pt idx="685">
                  <c:v>15.813453588308835</c:v>
                </c:pt>
                <c:pt idx="686">
                  <c:v>15.813453588308835</c:v>
                </c:pt>
                <c:pt idx="687">
                  <c:v>15.813453588308835</c:v>
                </c:pt>
                <c:pt idx="688">
                  <c:v>15.813453588308835</c:v>
                </c:pt>
                <c:pt idx="689">
                  <c:v>15.813453588308835</c:v>
                </c:pt>
                <c:pt idx="690">
                  <c:v>15.813453588308835</c:v>
                </c:pt>
                <c:pt idx="691">
                  <c:v>15.813453588308835</c:v>
                </c:pt>
                <c:pt idx="692">
                  <c:v>15.813453588308835</c:v>
                </c:pt>
                <c:pt idx="693">
                  <c:v>15.90595050614052</c:v>
                </c:pt>
                <c:pt idx="694">
                  <c:v>15.886388306663306</c:v>
                </c:pt>
                <c:pt idx="695">
                  <c:v>15.866826107186091</c:v>
                </c:pt>
                <c:pt idx="696">
                  <c:v>15.958305771496219</c:v>
                </c:pt>
                <c:pt idx="697">
                  <c:v>15.938831871574699</c:v>
                </c:pt>
                <c:pt idx="698">
                  <c:v>16.148842090183894</c:v>
                </c:pt>
                <c:pt idx="699">
                  <c:v>16.129550674102379</c:v>
                </c:pt>
                <c:pt idx="700">
                  <c:v>16.336872178019046</c:v>
                </c:pt>
                <c:pt idx="701">
                  <c:v>16.317760962624632</c:v>
                </c:pt>
                <c:pt idx="702">
                  <c:v>16.298649747230222</c:v>
                </c:pt>
                <c:pt idx="703">
                  <c:v>16.503350335390977</c:v>
                </c:pt>
                <c:pt idx="704">
                  <c:v>16.484417093259438</c:v>
                </c:pt>
                <c:pt idx="705">
                  <c:v>16.686562512597636</c:v>
                </c:pt>
                <c:pt idx="706">
                  <c:v>16.667805070357378</c:v>
                </c:pt>
                <c:pt idx="707">
                  <c:v>16.867459092773672</c:v>
                </c:pt>
                <c:pt idx="708">
                  <c:v>16.848875329492241</c:v>
                </c:pt>
                <c:pt idx="709">
                  <c:v>16.830291566210807</c:v>
                </c:pt>
                <c:pt idx="710">
                  <c:v>17.027516062111012</c:v>
                </c:pt>
                <c:pt idx="711">
                  <c:v>17.00910390774132</c:v>
                </c:pt>
                <c:pt idx="712">
                  <c:v>17.203958916318392</c:v>
                </c:pt>
                <c:pt idx="713">
                  <c:v>17.185716350202082</c:v>
                </c:pt>
                <c:pt idx="714">
                  <c:v>17.167473784085775</c:v>
                </c:pt>
                <c:pt idx="715">
                  <c:v>17.360017580513006</c:v>
                </c:pt>
                <c:pt idx="716">
                  <c:v>17.341942629938483</c:v>
                </c:pt>
                <c:pt idx="717">
                  <c:v>17.323867679363957</c:v>
                </c:pt>
                <c:pt idx="718">
                  <c:v>17.401567180685493</c:v>
                </c:pt>
                <c:pt idx="719">
                  <c:v>17.3835683891492</c:v>
                </c:pt>
                <c:pt idx="720">
                  <c:v>17.460598655604699</c:v>
                </c:pt>
                <c:pt idx="721">
                  <c:v>17.442675430375679</c:v>
                </c:pt>
                <c:pt idx="722">
                  <c:v>17.42475220514666</c:v>
                </c:pt>
                <c:pt idx="723">
                  <c:v>17.390151933768006</c:v>
                </c:pt>
                <c:pt idx="724">
                  <c:v>17.37221544709222</c:v>
                </c:pt>
                <c:pt idx="725">
                  <c:v>17.354278960416437</c:v>
                </c:pt>
                <c:pt idx="726">
                  <c:v>17.430728835952642</c:v>
                </c:pt>
                <c:pt idx="727">
                  <c:v>17.412867404517851</c:v>
                </c:pt>
                <c:pt idx="728">
                  <c:v>17.488695702529938</c:v>
                </c:pt>
                <c:pt idx="729">
                  <c:v>17.47090877237963</c:v>
                </c:pt>
                <c:pt idx="730">
                  <c:v>17.453121842229319</c:v>
                </c:pt>
                <c:pt idx="731">
                  <c:v>17.637000036688455</c:v>
                </c:pt>
                <c:pt idx="732">
                  <c:v>18.161500339581863</c:v>
                </c:pt>
                <c:pt idx="733">
                  <c:v>18.144304866567371</c:v>
                </c:pt>
                <c:pt idx="734">
                  <c:v>18.129410868909815</c:v>
                </c:pt>
                <c:pt idx="735">
                  <c:v>18.112217226009161</c:v>
                </c:pt>
                <c:pt idx="736">
                  <c:v>18.095023583108507</c:v>
                </c:pt>
                <c:pt idx="737">
                  <c:v>18.077829940207849</c:v>
                </c:pt>
                <c:pt idx="738">
                  <c:v>18.06378344108527</c:v>
                </c:pt>
                <c:pt idx="739">
                  <c:v>18.046592300766857</c:v>
                </c:pt>
                <c:pt idx="740">
                  <c:v>18.029401160448451</c:v>
                </c:pt>
                <c:pt idx="741">
                  <c:v>18.016189857936446</c:v>
                </c:pt>
                <c:pt idx="742">
                  <c:v>17.999001882351571</c:v>
                </c:pt>
                <c:pt idx="743">
                  <c:v>17.981813906766696</c:v>
                </c:pt>
                <c:pt idx="744">
                  <c:v>17.964625931181825</c:v>
                </c:pt>
                <c:pt idx="745">
                  <c:v>18.062505586649923</c:v>
                </c:pt>
                <c:pt idx="746">
                  <c:v>18.045409111876996</c:v>
                </c:pt>
                <c:pt idx="747">
                  <c:v>18.028312637104079</c:v>
                </c:pt>
                <c:pt idx="748">
                  <c:v>18.125382163010435</c:v>
                </c:pt>
                <c:pt idx="749">
                  <c:v>18.108376472080582</c:v>
                </c:pt>
                <c:pt idx="750">
                  <c:v>18.091370781150726</c:v>
                </c:pt>
                <c:pt idx="751">
                  <c:v>18.296228350319868</c:v>
                </c:pt>
                <c:pt idx="752">
                  <c:v>18.279399083187524</c:v>
                </c:pt>
                <c:pt idx="753">
                  <c:v>18.26256981605518</c:v>
                </c:pt>
                <c:pt idx="754">
                  <c:v>18.245740548922832</c:v>
                </c:pt>
                <c:pt idx="755">
                  <c:v>18.448269785694468</c:v>
                </c:pt>
                <c:pt idx="756">
                  <c:v>18.431614950598583</c:v>
                </c:pt>
                <c:pt idx="757">
                  <c:v>18.414960115502701</c:v>
                </c:pt>
                <c:pt idx="758">
                  <c:v>18.39830528040682</c:v>
                </c:pt>
                <c:pt idx="759">
                  <c:v>18.598567856095336</c:v>
                </c:pt>
                <c:pt idx="760">
                  <c:v>18.582085511899209</c:v>
                </c:pt>
                <c:pt idx="761">
                  <c:v>18.565603167703081</c:v>
                </c:pt>
                <c:pt idx="762">
                  <c:v>18.763658889568262</c:v>
                </c:pt>
                <c:pt idx="763">
                  <c:v>18.747347144236993</c:v>
                </c:pt>
                <c:pt idx="764">
                  <c:v>18.731035398905718</c:v>
                </c:pt>
                <c:pt idx="765">
                  <c:v>18.714723653574442</c:v>
                </c:pt>
                <c:pt idx="766">
                  <c:v>18.910630534742147</c:v>
                </c:pt>
                <c:pt idx="767">
                  <c:v>18.894487543876906</c:v>
                </c:pt>
                <c:pt idx="768">
                  <c:v>18.878344553011662</c:v>
                </c:pt>
                <c:pt idx="769">
                  <c:v>18.862201562146421</c:v>
                </c:pt>
                <c:pt idx="770">
                  <c:v>19.05601588841089</c:v>
                </c:pt>
                <c:pt idx="771">
                  <c:v>19.040039853837492</c:v>
                </c:pt>
                <c:pt idx="772">
                  <c:v>19.0240638192641</c:v>
                </c:pt>
                <c:pt idx="773">
                  <c:v>19.008087784690701</c:v>
                </c:pt>
                <c:pt idx="774">
                  <c:v>19.199864178359235</c:v>
                </c:pt>
                <c:pt idx="775">
                  <c:v>19.184053346768597</c:v>
                </c:pt>
                <c:pt idx="776">
                  <c:v>19.168242515177958</c:v>
                </c:pt>
                <c:pt idx="777">
                  <c:v>19.15243168358732</c:v>
                </c:pt>
                <c:pt idx="778">
                  <c:v>19.342223164518966</c:v>
                </c:pt>
                <c:pt idx="779">
                  <c:v>19.326575826157164</c:v>
                </c:pt>
                <c:pt idx="780">
                  <c:v>19.310928487795355</c:v>
                </c:pt>
                <c:pt idx="781">
                  <c:v>19.295281149433546</c:v>
                </c:pt>
                <c:pt idx="782">
                  <c:v>19.3808619359895</c:v>
                </c:pt>
                <c:pt idx="783">
                  <c:v>19.365295093380823</c:v>
                </c:pt>
                <c:pt idx="784">
                  <c:v>19.349728250772149</c:v>
                </c:pt>
                <c:pt idx="785">
                  <c:v>19.334161408163467</c:v>
                </c:pt>
                <c:pt idx="786">
                  <c:v>19.419249030528736</c:v>
                </c:pt>
                <c:pt idx="787">
                  <c:v>19.40376222750362</c:v>
                </c:pt>
                <c:pt idx="788">
                  <c:v>19.388275424478511</c:v>
                </c:pt>
                <c:pt idx="789">
                  <c:v>19.372788621453402</c:v>
                </c:pt>
                <c:pt idx="790">
                  <c:v>19.356585114262373</c:v>
                </c:pt>
                <c:pt idx="791">
                  <c:v>19.341097741320141</c:v>
                </c:pt>
                <c:pt idx="792">
                  <c:v>19.325610368377912</c:v>
                </c:pt>
                <c:pt idx="793">
                  <c:v>19.310122995435677</c:v>
                </c:pt>
                <c:pt idx="794">
                  <c:v>19.394913180493283</c:v>
                </c:pt>
                <c:pt idx="795">
                  <c:v>19.379505547421363</c:v>
                </c:pt>
                <c:pt idx="796">
                  <c:v>19.364097914349443</c:v>
                </c:pt>
                <c:pt idx="797">
                  <c:v>19.348690281277527</c:v>
                </c:pt>
                <c:pt idx="798">
                  <c:v>89.025797238929584</c:v>
                </c:pt>
                <c:pt idx="799">
                  <c:v>89.065808507016811</c:v>
                </c:pt>
                <c:pt idx="800">
                  <c:v>89.105819775104024</c:v>
                </c:pt>
                <c:pt idx="801">
                  <c:v>89.145831043191251</c:v>
                </c:pt>
                <c:pt idx="802">
                  <c:v>89.185842311278492</c:v>
                </c:pt>
                <c:pt idx="803">
                  <c:v>89.225853579365705</c:v>
                </c:pt>
                <c:pt idx="804">
                  <c:v>89.265864847452946</c:v>
                </c:pt>
                <c:pt idx="805">
                  <c:v>89.305876115540144</c:v>
                </c:pt>
                <c:pt idx="806">
                  <c:v>89.345887383627385</c:v>
                </c:pt>
                <c:pt idx="807">
                  <c:v>89.385898651714598</c:v>
                </c:pt>
                <c:pt idx="808">
                  <c:v>89.425909919801839</c:v>
                </c:pt>
                <c:pt idx="809">
                  <c:v>89.465921187889066</c:v>
                </c:pt>
                <c:pt idx="810">
                  <c:v>97.363521520929808</c:v>
                </c:pt>
                <c:pt idx="811">
                  <c:v>97.409781077722045</c:v>
                </c:pt>
                <c:pt idx="812">
                  <c:v>97.456040634514252</c:v>
                </c:pt>
                <c:pt idx="813">
                  <c:v>97.502300191306475</c:v>
                </c:pt>
                <c:pt idx="814">
                  <c:v>97.548559748098697</c:v>
                </c:pt>
                <c:pt idx="815">
                  <c:v>97.594819304890919</c:v>
                </c:pt>
                <c:pt idx="816">
                  <c:v>97.641078861683127</c:v>
                </c:pt>
                <c:pt idx="817">
                  <c:v>97.687338418475349</c:v>
                </c:pt>
                <c:pt idx="818">
                  <c:v>97.733597975267571</c:v>
                </c:pt>
                <c:pt idx="819">
                  <c:v>97.779857532059779</c:v>
                </c:pt>
                <c:pt idx="820">
                  <c:v>97.826117088852001</c:v>
                </c:pt>
                <c:pt idx="821">
                  <c:v>97.872376645644223</c:v>
                </c:pt>
                <c:pt idx="822">
                  <c:v>97.918636202436446</c:v>
                </c:pt>
                <c:pt idx="823">
                  <c:v>97.964895759228668</c:v>
                </c:pt>
                <c:pt idx="824">
                  <c:v>98.01115531602089</c:v>
                </c:pt>
                <c:pt idx="825">
                  <c:v>98.057414872813112</c:v>
                </c:pt>
                <c:pt idx="826">
                  <c:v>18.303563078254452</c:v>
                </c:pt>
                <c:pt idx="827">
                  <c:v>18.303563078254452</c:v>
                </c:pt>
                <c:pt idx="828">
                  <c:v>18.303563078254452</c:v>
                </c:pt>
                <c:pt idx="829">
                  <c:v>18.303563078254452</c:v>
                </c:pt>
                <c:pt idx="830">
                  <c:v>18.303563078254452</c:v>
                </c:pt>
                <c:pt idx="831">
                  <c:v>18.303563078254452</c:v>
                </c:pt>
                <c:pt idx="832">
                  <c:v>18.303563078254452</c:v>
                </c:pt>
                <c:pt idx="833">
                  <c:v>18.303563078254452</c:v>
                </c:pt>
                <c:pt idx="834">
                  <c:v>18.303563078254452</c:v>
                </c:pt>
                <c:pt idx="835">
                  <c:v>18.303563078254452</c:v>
                </c:pt>
                <c:pt idx="836">
                  <c:v>18.303563078254452</c:v>
                </c:pt>
                <c:pt idx="837">
                  <c:v>18.303563078254452</c:v>
                </c:pt>
                <c:pt idx="838">
                  <c:v>18.303563078254452</c:v>
                </c:pt>
                <c:pt idx="839">
                  <c:v>18.303563078254452</c:v>
                </c:pt>
                <c:pt idx="840">
                  <c:v>18.303563078254452</c:v>
                </c:pt>
                <c:pt idx="841">
                  <c:v>18.303563078254452</c:v>
                </c:pt>
                <c:pt idx="842">
                  <c:v>18.303563078254452</c:v>
                </c:pt>
                <c:pt idx="843">
                  <c:v>18.303563078254452</c:v>
                </c:pt>
                <c:pt idx="844">
                  <c:v>18.303563078254452</c:v>
                </c:pt>
                <c:pt idx="845">
                  <c:v>18.303563078254452</c:v>
                </c:pt>
                <c:pt idx="846">
                  <c:v>18.303563078254452</c:v>
                </c:pt>
                <c:pt idx="847">
                  <c:v>18.303563078254452</c:v>
                </c:pt>
                <c:pt idx="848">
                  <c:v>18.303563078254452</c:v>
                </c:pt>
                <c:pt idx="849">
                  <c:v>18.303563078254452</c:v>
                </c:pt>
                <c:pt idx="850">
                  <c:v>18.303563078254452</c:v>
                </c:pt>
                <c:pt idx="851">
                  <c:v>18.303563078254452</c:v>
                </c:pt>
                <c:pt idx="852">
                  <c:v>18.303563078254452</c:v>
                </c:pt>
                <c:pt idx="853">
                  <c:v>18.303563078254452</c:v>
                </c:pt>
                <c:pt idx="854">
                  <c:v>18.303563078254452</c:v>
                </c:pt>
                <c:pt idx="855">
                  <c:v>18.303563078254452</c:v>
                </c:pt>
                <c:pt idx="856">
                  <c:v>18.303563078254452</c:v>
                </c:pt>
                <c:pt idx="857">
                  <c:v>18.303563078254452</c:v>
                </c:pt>
                <c:pt idx="858">
                  <c:v>18.303563078254452</c:v>
                </c:pt>
                <c:pt idx="859">
                  <c:v>18.303563078254452</c:v>
                </c:pt>
                <c:pt idx="860">
                  <c:v>18.303563078254452</c:v>
                </c:pt>
                <c:pt idx="861">
                  <c:v>18.303563078254452</c:v>
                </c:pt>
                <c:pt idx="862">
                  <c:v>18.303563078254452</c:v>
                </c:pt>
                <c:pt idx="863">
                  <c:v>18.303563078254452</c:v>
                </c:pt>
                <c:pt idx="864">
                  <c:v>18.303563078254452</c:v>
                </c:pt>
                <c:pt idx="865">
                  <c:v>18.303563078254452</c:v>
                </c:pt>
                <c:pt idx="866">
                  <c:v>18.303563078254452</c:v>
                </c:pt>
                <c:pt idx="867">
                  <c:v>18.303563078254452</c:v>
                </c:pt>
                <c:pt idx="868">
                  <c:v>18.303563078254452</c:v>
                </c:pt>
                <c:pt idx="869">
                  <c:v>18.303563078254452</c:v>
                </c:pt>
                <c:pt idx="870">
                  <c:v>18.303563078254452</c:v>
                </c:pt>
                <c:pt idx="871">
                  <c:v>18.303563078254452</c:v>
                </c:pt>
                <c:pt idx="872">
                  <c:v>18.303563078254452</c:v>
                </c:pt>
                <c:pt idx="873">
                  <c:v>18.303563078254452</c:v>
                </c:pt>
                <c:pt idx="874">
                  <c:v>18.303563078254452</c:v>
                </c:pt>
                <c:pt idx="875">
                  <c:v>18.303563078254452</c:v>
                </c:pt>
                <c:pt idx="876">
                  <c:v>18.303563078254452</c:v>
                </c:pt>
                <c:pt idx="877">
                  <c:v>18.303563078254452</c:v>
                </c:pt>
                <c:pt idx="878">
                  <c:v>18.303563078254452</c:v>
                </c:pt>
                <c:pt idx="879">
                  <c:v>18.303563078254452</c:v>
                </c:pt>
                <c:pt idx="880">
                  <c:v>18.303563078254452</c:v>
                </c:pt>
                <c:pt idx="881">
                  <c:v>18.303563078254452</c:v>
                </c:pt>
                <c:pt idx="882">
                  <c:v>18.303563078254452</c:v>
                </c:pt>
                <c:pt idx="883">
                  <c:v>18.303563078254452</c:v>
                </c:pt>
                <c:pt idx="884">
                  <c:v>18.303563078254452</c:v>
                </c:pt>
                <c:pt idx="885">
                  <c:v>18.303563078254452</c:v>
                </c:pt>
                <c:pt idx="886">
                  <c:v>18.303563078254452</c:v>
                </c:pt>
                <c:pt idx="887">
                  <c:v>18.303563078254452</c:v>
                </c:pt>
                <c:pt idx="888">
                  <c:v>18.303563078254452</c:v>
                </c:pt>
                <c:pt idx="889">
                  <c:v>18.303563078254452</c:v>
                </c:pt>
                <c:pt idx="890">
                  <c:v>18.303563078254452</c:v>
                </c:pt>
                <c:pt idx="891">
                  <c:v>18.303563078254452</c:v>
                </c:pt>
                <c:pt idx="892">
                  <c:v>18.303563078254452</c:v>
                </c:pt>
                <c:pt idx="893">
                  <c:v>18.303563078254452</c:v>
                </c:pt>
                <c:pt idx="894">
                  <c:v>18.303563078254452</c:v>
                </c:pt>
                <c:pt idx="895">
                  <c:v>18.303563078254452</c:v>
                </c:pt>
                <c:pt idx="896">
                  <c:v>18.303563078254452</c:v>
                </c:pt>
                <c:pt idx="897">
                  <c:v>18.303563078254452</c:v>
                </c:pt>
                <c:pt idx="898">
                  <c:v>18.303563078254452</c:v>
                </c:pt>
                <c:pt idx="899">
                  <c:v>18.303563078254452</c:v>
                </c:pt>
                <c:pt idx="900">
                  <c:v>18.303563078254452</c:v>
                </c:pt>
                <c:pt idx="901">
                  <c:v>18.303563078254452</c:v>
                </c:pt>
                <c:pt idx="902">
                  <c:v>18.303563078254452</c:v>
                </c:pt>
                <c:pt idx="903">
                  <c:v>18.303563078254452</c:v>
                </c:pt>
                <c:pt idx="904">
                  <c:v>18.303563078254452</c:v>
                </c:pt>
                <c:pt idx="905">
                  <c:v>18.303563078254452</c:v>
                </c:pt>
                <c:pt idx="906">
                  <c:v>18.303563078254452</c:v>
                </c:pt>
                <c:pt idx="907">
                  <c:v>18.303563078254452</c:v>
                </c:pt>
                <c:pt idx="908">
                  <c:v>18.303563078254452</c:v>
                </c:pt>
                <c:pt idx="909">
                  <c:v>18.303563078254452</c:v>
                </c:pt>
                <c:pt idx="910">
                  <c:v>18.303563078254452</c:v>
                </c:pt>
                <c:pt idx="911">
                  <c:v>18.303563078254452</c:v>
                </c:pt>
                <c:pt idx="912">
                  <c:v>18.303563078254452</c:v>
                </c:pt>
                <c:pt idx="913">
                  <c:v>18.303563078254452</c:v>
                </c:pt>
                <c:pt idx="914">
                  <c:v>18.303563078254452</c:v>
                </c:pt>
                <c:pt idx="915">
                  <c:v>18.303563078254452</c:v>
                </c:pt>
                <c:pt idx="916">
                  <c:v>18.303563078254452</c:v>
                </c:pt>
                <c:pt idx="917">
                  <c:v>18.303563078254452</c:v>
                </c:pt>
                <c:pt idx="918">
                  <c:v>18.303563078254452</c:v>
                </c:pt>
                <c:pt idx="919">
                  <c:v>18.303563078254452</c:v>
                </c:pt>
                <c:pt idx="920">
                  <c:v>18.303563078254452</c:v>
                </c:pt>
                <c:pt idx="921">
                  <c:v>18.303563078254452</c:v>
                </c:pt>
                <c:pt idx="922">
                  <c:v>18.303563078254452</c:v>
                </c:pt>
                <c:pt idx="923">
                  <c:v>18.303563078254452</c:v>
                </c:pt>
                <c:pt idx="924">
                  <c:v>18.303563078254452</c:v>
                </c:pt>
                <c:pt idx="925">
                  <c:v>18.303563078254452</c:v>
                </c:pt>
                <c:pt idx="926">
                  <c:v>18.303563078254452</c:v>
                </c:pt>
                <c:pt idx="927">
                  <c:v>18.303563078254452</c:v>
                </c:pt>
                <c:pt idx="928">
                  <c:v>18.303563078254452</c:v>
                </c:pt>
                <c:pt idx="929">
                  <c:v>18.303563078254452</c:v>
                </c:pt>
                <c:pt idx="930">
                  <c:v>18.303563078254452</c:v>
                </c:pt>
                <c:pt idx="931">
                  <c:v>18.303563078254452</c:v>
                </c:pt>
                <c:pt idx="932">
                  <c:v>18.303563078254452</c:v>
                </c:pt>
                <c:pt idx="933">
                  <c:v>18.303563078254452</c:v>
                </c:pt>
                <c:pt idx="934">
                  <c:v>18.303563078254452</c:v>
                </c:pt>
                <c:pt idx="935">
                  <c:v>18.303563078254452</c:v>
                </c:pt>
                <c:pt idx="936">
                  <c:v>18.303563078254452</c:v>
                </c:pt>
                <c:pt idx="937">
                  <c:v>18.303563078254452</c:v>
                </c:pt>
                <c:pt idx="938">
                  <c:v>18.303563078254452</c:v>
                </c:pt>
                <c:pt idx="939">
                  <c:v>18.303563078254452</c:v>
                </c:pt>
                <c:pt idx="940">
                  <c:v>18.303563078254452</c:v>
                </c:pt>
                <c:pt idx="941">
                  <c:v>18.303563078254452</c:v>
                </c:pt>
                <c:pt idx="942">
                  <c:v>18.303563078254452</c:v>
                </c:pt>
                <c:pt idx="943">
                  <c:v>18.303563078254452</c:v>
                </c:pt>
                <c:pt idx="944">
                  <c:v>18.303563078254452</c:v>
                </c:pt>
                <c:pt idx="945">
                  <c:v>18.303563078254452</c:v>
                </c:pt>
                <c:pt idx="946">
                  <c:v>18.303563078254452</c:v>
                </c:pt>
                <c:pt idx="947">
                  <c:v>18.303563078254452</c:v>
                </c:pt>
                <c:pt idx="948">
                  <c:v>18.303563078254452</c:v>
                </c:pt>
                <c:pt idx="949">
                  <c:v>18.303563078254452</c:v>
                </c:pt>
                <c:pt idx="950">
                  <c:v>18.303563078254452</c:v>
                </c:pt>
                <c:pt idx="951">
                  <c:v>18.303563078254452</c:v>
                </c:pt>
                <c:pt idx="952">
                  <c:v>18.303563078254452</c:v>
                </c:pt>
                <c:pt idx="953">
                  <c:v>18.303563078254452</c:v>
                </c:pt>
                <c:pt idx="954">
                  <c:v>18.303563078254452</c:v>
                </c:pt>
                <c:pt idx="955">
                  <c:v>18.303563078254452</c:v>
                </c:pt>
                <c:pt idx="956">
                  <c:v>18.303563078254452</c:v>
                </c:pt>
                <c:pt idx="957">
                  <c:v>18.303563078254452</c:v>
                </c:pt>
                <c:pt idx="958">
                  <c:v>18.303563078254452</c:v>
                </c:pt>
                <c:pt idx="959">
                  <c:v>18.303563078254452</c:v>
                </c:pt>
                <c:pt idx="960">
                  <c:v>18.303563078254452</c:v>
                </c:pt>
                <c:pt idx="961">
                  <c:v>18.303563078254452</c:v>
                </c:pt>
                <c:pt idx="962">
                  <c:v>18.303563078254452</c:v>
                </c:pt>
                <c:pt idx="963">
                  <c:v>18.303563078254452</c:v>
                </c:pt>
                <c:pt idx="964">
                  <c:v>18.303563078254452</c:v>
                </c:pt>
                <c:pt idx="965">
                  <c:v>18.303563078254452</c:v>
                </c:pt>
                <c:pt idx="966">
                  <c:v>18.303563078254452</c:v>
                </c:pt>
                <c:pt idx="967">
                  <c:v>18.303563078254452</c:v>
                </c:pt>
                <c:pt idx="968">
                  <c:v>18.303563078254452</c:v>
                </c:pt>
                <c:pt idx="969">
                  <c:v>18.303563078254452</c:v>
                </c:pt>
                <c:pt idx="970">
                  <c:v>18.303563078254452</c:v>
                </c:pt>
                <c:pt idx="971">
                  <c:v>18.286048575099098</c:v>
                </c:pt>
                <c:pt idx="972">
                  <c:v>18.268851502222006</c:v>
                </c:pt>
                <c:pt idx="973">
                  <c:v>18.251654429344917</c:v>
                </c:pt>
                <c:pt idx="974">
                  <c:v>18.23502686678583</c:v>
                </c:pt>
                <c:pt idx="975">
                  <c:v>18.217830246778561</c:v>
                </c:pt>
                <c:pt idx="976">
                  <c:v>18.200633626771282</c:v>
                </c:pt>
                <c:pt idx="977">
                  <c:v>18.184879417375505</c:v>
                </c:pt>
                <c:pt idx="978">
                  <c:v>18.167683944361006</c:v>
                </c:pt>
                <c:pt idx="979">
                  <c:v>18.150488471346513</c:v>
                </c:pt>
                <c:pt idx="980">
                  <c:v>18.133292998332017</c:v>
                </c:pt>
                <c:pt idx="981">
                  <c:v>18.118399000674462</c:v>
                </c:pt>
                <c:pt idx="982">
                  <c:v>18.101205357773807</c:v>
                </c:pt>
                <c:pt idx="983">
                  <c:v>18.084011714873153</c:v>
                </c:pt>
                <c:pt idx="984">
                  <c:v>18.069965215750575</c:v>
                </c:pt>
                <c:pt idx="985">
                  <c:v>18.052774075432165</c:v>
                </c:pt>
                <c:pt idx="986">
                  <c:v>18.035582935113759</c:v>
                </c:pt>
                <c:pt idx="987">
                  <c:v>18.022371632601747</c:v>
                </c:pt>
                <c:pt idx="988">
                  <c:v>18.005183657016875</c:v>
                </c:pt>
                <c:pt idx="989">
                  <c:v>17.987995681432004</c:v>
                </c:pt>
                <c:pt idx="990">
                  <c:v>17.970807705847125</c:v>
                </c:pt>
                <c:pt idx="991">
                  <c:v>18.068687361315224</c:v>
                </c:pt>
                <c:pt idx="992">
                  <c:v>18.051590886542307</c:v>
                </c:pt>
                <c:pt idx="993">
                  <c:v>18.03449441176938</c:v>
                </c:pt>
                <c:pt idx="994">
                  <c:v>18.131563937675743</c:v>
                </c:pt>
                <c:pt idx="995">
                  <c:v>18.114558246745883</c:v>
                </c:pt>
                <c:pt idx="996">
                  <c:v>18.09755255581603</c:v>
                </c:pt>
                <c:pt idx="997">
                  <c:v>18.08054686488617</c:v>
                </c:pt>
                <c:pt idx="998">
                  <c:v>18.285404434055316</c:v>
                </c:pt>
                <c:pt idx="999">
                  <c:v>18.268575166922972</c:v>
                </c:pt>
                <c:pt idx="1000">
                  <c:v>18.251745899790624</c:v>
                </c:pt>
                <c:pt idx="1001">
                  <c:v>18.454275136562259</c:v>
                </c:pt>
                <c:pt idx="1002">
                  <c:v>18.437620301466382</c:v>
                </c:pt>
                <c:pt idx="1003">
                  <c:v>18.420965466370497</c:v>
                </c:pt>
                <c:pt idx="1004">
                  <c:v>18.404310631274615</c:v>
                </c:pt>
                <c:pt idx="1005">
                  <c:v>18.604573206963131</c:v>
                </c:pt>
                <c:pt idx="1006">
                  <c:v>18.588090862767004</c:v>
                </c:pt>
                <c:pt idx="1007">
                  <c:v>18.57160851857088</c:v>
                </c:pt>
                <c:pt idx="1008">
                  <c:v>18.555126174374752</c:v>
                </c:pt>
                <c:pt idx="1009">
                  <c:v>18.753181896239933</c:v>
                </c:pt>
                <c:pt idx="1010">
                  <c:v>18.736870150908665</c:v>
                </c:pt>
                <c:pt idx="1011">
                  <c:v>18.720558405577389</c:v>
                </c:pt>
                <c:pt idx="1012">
                  <c:v>18.91646528674509</c:v>
                </c:pt>
                <c:pt idx="1013">
                  <c:v>18.90032229587985</c:v>
                </c:pt>
                <c:pt idx="1014">
                  <c:v>18.884179305014605</c:v>
                </c:pt>
                <c:pt idx="1015">
                  <c:v>18.868036314149364</c:v>
                </c:pt>
                <c:pt idx="1016">
                  <c:v>19.06185064041383</c:v>
                </c:pt>
                <c:pt idx="1017">
                  <c:v>19.045874605840435</c:v>
                </c:pt>
                <c:pt idx="1018">
                  <c:v>19.02989857126704</c:v>
                </c:pt>
                <c:pt idx="1019">
                  <c:v>19.013922536693642</c:v>
                </c:pt>
                <c:pt idx="1020">
                  <c:v>19.205698930362178</c:v>
                </c:pt>
                <c:pt idx="1021">
                  <c:v>19.189888098771537</c:v>
                </c:pt>
                <c:pt idx="1022">
                  <c:v>19.174077267180902</c:v>
                </c:pt>
                <c:pt idx="1023">
                  <c:v>19.158266435590267</c:v>
                </c:pt>
                <c:pt idx="1024">
                  <c:v>19.348057916521913</c:v>
                </c:pt>
                <c:pt idx="1025">
                  <c:v>19.332410578160111</c:v>
                </c:pt>
                <c:pt idx="1026">
                  <c:v>19.316763239798298</c:v>
                </c:pt>
                <c:pt idx="1027">
                  <c:v>19.301115901436493</c:v>
                </c:pt>
                <c:pt idx="1028">
                  <c:v>19.386696687992451</c:v>
                </c:pt>
                <c:pt idx="1029">
                  <c:v>19.37112984538377</c:v>
                </c:pt>
                <c:pt idx="1030">
                  <c:v>19.355563002775092</c:v>
                </c:pt>
                <c:pt idx="1031">
                  <c:v>19.339996160166411</c:v>
                </c:pt>
                <c:pt idx="1032">
                  <c:v>19.425083782531679</c:v>
                </c:pt>
                <c:pt idx="1033">
                  <c:v>19.409596979506571</c:v>
                </c:pt>
                <c:pt idx="1034">
                  <c:v>19.394110176481458</c:v>
                </c:pt>
                <c:pt idx="1035">
                  <c:v>19.378623373456346</c:v>
                </c:pt>
                <c:pt idx="1036">
                  <c:v>19.36241986626532</c:v>
                </c:pt>
                <c:pt idx="1037">
                  <c:v>19.346932493323088</c:v>
                </c:pt>
                <c:pt idx="1038">
                  <c:v>19.331445120380859</c:v>
                </c:pt>
                <c:pt idx="1039">
                  <c:v>19.31595774743862</c:v>
                </c:pt>
                <c:pt idx="1040">
                  <c:v>19.40074793249623</c:v>
                </c:pt>
                <c:pt idx="1041">
                  <c:v>19.385340299424307</c:v>
                </c:pt>
                <c:pt idx="1042">
                  <c:v>19.369932666352391</c:v>
                </c:pt>
                <c:pt idx="1043">
                  <c:v>19.354525033280474</c:v>
                </c:pt>
                <c:pt idx="1044">
                  <c:v>19.339117400208551</c:v>
                </c:pt>
                <c:pt idx="1045">
                  <c:v>19.423457960162995</c:v>
                </c:pt>
                <c:pt idx="1046">
                  <c:v>19.408129646014814</c:v>
                </c:pt>
                <c:pt idx="1047">
                  <c:v>19.392801331866639</c:v>
                </c:pt>
                <c:pt idx="1048">
                  <c:v>19.377473017718454</c:v>
                </c:pt>
                <c:pt idx="1049">
                  <c:v>19.560081985308074</c:v>
                </c:pt>
                <c:pt idx="1050">
                  <c:v>96.797329250134112</c:v>
                </c:pt>
                <c:pt idx="1051">
                  <c:v>96.843588806926334</c:v>
                </c:pt>
                <c:pt idx="1052">
                  <c:v>96.889848363718542</c:v>
                </c:pt>
                <c:pt idx="1053">
                  <c:v>96.936107920510764</c:v>
                </c:pt>
                <c:pt idx="1054">
                  <c:v>96.982367477302972</c:v>
                </c:pt>
                <c:pt idx="1055">
                  <c:v>97.028627034095209</c:v>
                </c:pt>
                <c:pt idx="1056">
                  <c:v>97.074886590887417</c:v>
                </c:pt>
                <c:pt idx="1057">
                  <c:v>97.121146147679639</c:v>
                </c:pt>
                <c:pt idx="1058">
                  <c:v>97.167405704471861</c:v>
                </c:pt>
                <c:pt idx="1059">
                  <c:v>97.213665261264083</c:v>
                </c:pt>
                <c:pt idx="1060">
                  <c:v>97.259924818056305</c:v>
                </c:pt>
                <c:pt idx="1061">
                  <c:v>97.306184374848527</c:v>
                </c:pt>
                <c:pt idx="1062">
                  <c:v>97.352443931640749</c:v>
                </c:pt>
                <c:pt idx="1063">
                  <c:v>97.398703488432943</c:v>
                </c:pt>
                <c:pt idx="1064">
                  <c:v>105.28918886346958</c:v>
                </c:pt>
                <c:pt idx="1065">
                  <c:v>105.34168608262547</c:v>
                </c:pt>
                <c:pt idx="1066">
                  <c:v>105.39418330178134</c:v>
                </c:pt>
                <c:pt idx="1067">
                  <c:v>105.44668052093724</c:v>
                </c:pt>
                <c:pt idx="1068">
                  <c:v>105.4991777400931</c:v>
                </c:pt>
                <c:pt idx="1069">
                  <c:v>105.55167495924898</c:v>
                </c:pt>
                <c:pt idx="1070">
                  <c:v>105.60417217840487</c:v>
                </c:pt>
                <c:pt idx="1071">
                  <c:v>105.65666939756073</c:v>
                </c:pt>
                <c:pt idx="1072">
                  <c:v>105.70916661671663</c:v>
                </c:pt>
                <c:pt idx="1073">
                  <c:v>105.7616638358725</c:v>
                </c:pt>
                <c:pt idx="1074">
                  <c:v>105.81416105502838</c:v>
                </c:pt>
                <c:pt idx="1075">
                  <c:v>105.86665827418425</c:v>
                </c:pt>
                <c:pt idx="1076">
                  <c:v>18.274500640847798</c:v>
                </c:pt>
                <c:pt idx="1077">
                  <c:v>18.274500640847798</c:v>
                </c:pt>
                <c:pt idx="1078">
                  <c:v>18.274500640847798</c:v>
                </c:pt>
                <c:pt idx="1079">
                  <c:v>18.274500640847798</c:v>
                </c:pt>
                <c:pt idx="1080">
                  <c:v>18.274500640847798</c:v>
                </c:pt>
                <c:pt idx="1081">
                  <c:v>18.274500640847798</c:v>
                </c:pt>
                <c:pt idx="1082">
                  <c:v>18.274500640847798</c:v>
                </c:pt>
                <c:pt idx="1083">
                  <c:v>18.274500640847798</c:v>
                </c:pt>
                <c:pt idx="1084">
                  <c:v>18.274500640847798</c:v>
                </c:pt>
                <c:pt idx="1085">
                  <c:v>18.274500640847798</c:v>
                </c:pt>
                <c:pt idx="1086">
                  <c:v>18.274500640847798</c:v>
                </c:pt>
                <c:pt idx="1087">
                  <c:v>18.274500640847798</c:v>
                </c:pt>
                <c:pt idx="1088">
                  <c:v>18.274500640847798</c:v>
                </c:pt>
                <c:pt idx="1089">
                  <c:v>18.274500640847798</c:v>
                </c:pt>
                <c:pt idx="1090">
                  <c:v>18.274500640847798</c:v>
                </c:pt>
                <c:pt idx="1091">
                  <c:v>18.274500640847798</c:v>
                </c:pt>
                <c:pt idx="1092">
                  <c:v>18.274500640847798</c:v>
                </c:pt>
                <c:pt idx="1093">
                  <c:v>18.274500640847798</c:v>
                </c:pt>
                <c:pt idx="1094">
                  <c:v>18.274500640847798</c:v>
                </c:pt>
                <c:pt idx="1095">
                  <c:v>18.274500640847798</c:v>
                </c:pt>
                <c:pt idx="1096">
                  <c:v>18.274500640847798</c:v>
                </c:pt>
                <c:pt idx="1097">
                  <c:v>18.274500640847798</c:v>
                </c:pt>
                <c:pt idx="1098">
                  <c:v>18.274500640847798</c:v>
                </c:pt>
                <c:pt idx="1099">
                  <c:v>18.274500640847798</c:v>
                </c:pt>
                <c:pt idx="1100">
                  <c:v>18.274500640847798</c:v>
                </c:pt>
                <c:pt idx="1101">
                  <c:v>18.274500640847798</c:v>
                </c:pt>
                <c:pt idx="1102">
                  <c:v>18.274500640847798</c:v>
                </c:pt>
                <c:pt idx="1103">
                  <c:v>18.274500640847798</c:v>
                </c:pt>
                <c:pt idx="1104">
                  <c:v>18.274500640847798</c:v>
                </c:pt>
                <c:pt idx="1105">
                  <c:v>18.274500640847798</c:v>
                </c:pt>
                <c:pt idx="1106">
                  <c:v>18.274500640847798</c:v>
                </c:pt>
                <c:pt idx="1107">
                  <c:v>18.274500640847798</c:v>
                </c:pt>
                <c:pt idx="1108">
                  <c:v>18.274500640847798</c:v>
                </c:pt>
                <c:pt idx="1109">
                  <c:v>18.274500640847798</c:v>
                </c:pt>
                <c:pt idx="1110">
                  <c:v>18.274500640847798</c:v>
                </c:pt>
                <c:pt idx="1111">
                  <c:v>18.274500640847798</c:v>
                </c:pt>
                <c:pt idx="1112">
                  <c:v>18.274500640847798</c:v>
                </c:pt>
                <c:pt idx="1113">
                  <c:v>18.274500640847798</c:v>
                </c:pt>
                <c:pt idx="1114">
                  <c:v>18.274500640847798</c:v>
                </c:pt>
                <c:pt idx="1115">
                  <c:v>18.274500640847798</c:v>
                </c:pt>
                <c:pt idx="1116">
                  <c:v>18.274500640847798</c:v>
                </c:pt>
                <c:pt idx="1117">
                  <c:v>18.274500640847798</c:v>
                </c:pt>
                <c:pt idx="1118">
                  <c:v>18.274500640847798</c:v>
                </c:pt>
                <c:pt idx="1119">
                  <c:v>18.274500640847798</c:v>
                </c:pt>
                <c:pt idx="1120">
                  <c:v>18.274500640847798</c:v>
                </c:pt>
                <c:pt idx="1121">
                  <c:v>18.274500640847798</c:v>
                </c:pt>
                <c:pt idx="1122">
                  <c:v>18.274500640847798</c:v>
                </c:pt>
                <c:pt idx="1123">
                  <c:v>18.274500640847798</c:v>
                </c:pt>
                <c:pt idx="1124">
                  <c:v>18.274500640847798</c:v>
                </c:pt>
                <c:pt idx="1125">
                  <c:v>18.274500640847798</c:v>
                </c:pt>
                <c:pt idx="1126">
                  <c:v>18.274500640847798</c:v>
                </c:pt>
                <c:pt idx="1127">
                  <c:v>18.274500640847798</c:v>
                </c:pt>
                <c:pt idx="1128">
                  <c:v>18.274500640847798</c:v>
                </c:pt>
                <c:pt idx="1129">
                  <c:v>18.274500640847798</c:v>
                </c:pt>
                <c:pt idx="1130">
                  <c:v>18.274500640847798</c:v>
                </c:pt>
                <c:pt idx="1131">
                  <c:v>18.274500640847798</c:v>
                </c:pt>
                <c:pt idx="1132">
                  <c:v>18.274500640847798</c:v>
                </c:pt>
                <c:pt idx="1133">
                  <c:v>18.274500640847798</c:v>
                </c:pt>
                <c:pt idx="1134">
                  <c:v>18.274500640847798</c:v>
                </c:pt>
                <c:pt idx="1135">
                  <c:v>18.274500640847798</c:v>
                </c:pt>
                <c:pt idx="1136">
                  <c:v>18.274500640847798</c:v>
                </c:pt>
                <c:pt idx="1137">
                  <c:v>18.274500640847798</c:v>
                </c:pt>
                <c:pt idx="1138">
                  <c:v>18.274500640847798</c:v>
                </c:pt>
                <c:pt idx="1139">
                  <c:v>18.274500640847798</c:v>
                </c:pt>
                <c:pt idx="1140">
                  <c:v>18.274500640847798</c:v>
                </c:pt>
                <c:pt idx="1141">
                  <c:v>18.274500640847798</c:v>
                </c:pt>
                <c:pt idx="1142">
                  <c:v>18.274500640847798</c:v>
                </c:pt>
                <c:pt idx="1143">
                  <c:v>18.274500640847798</c:v>
                </c:pt>
                <c:pt idx="1144">
                  <c:v>18.274500640847798</c:v>
                </c:pt>
                <c:pt idx="1145">
                  <c:v>18.274500640847798</c:v>
                </c:pt>
                <c:pt idx="1146">
                  <c:v>18.274500640847798</c:v>
                </c:pt>
                <c:pt idx="1147">
                  <c:v>18.274500640847798</c:v>
                </c:pt>
                <c:pt idx="1148">
                  <c:v>18.274500640847798</c:v>
                </c:pt>
                <c:pt idx="1149">
                  <c:v>18.274500640847798</c:v>
                </c:pt>
                <c:pt idx="1150">
                  <c:v>18.274500640847798</c:v>
                </c:pt>
                <c:pt idx="1151">
                  <c:v>18.274500640847798</c:v>
                </c:pt>
                <c:pt idx="1152">
                  <c:v>18.274500640847798</c:v>
                </c:pt>
                <c:pt idx="1153">
                  <c:v>18.274500640847798</c:v>
                </c:pt>
                <c:pt idx="1154">
                  <c:v>18.274500640847798</c:v>
                </c:pt>
                <c:pt idx="1155">
                  <c:v>18.274500640847798</c:v>
                </c:pt>
                <c:pt idx="1156">
                  <c:v>18.274500640847798</c:v>
                </c:pt>
                <c:pt idx="1157">
                  <c:v>18.274500640847798</c:v>
                </c:pt>
                <c:pt idx="1158">
                  <c:v>18.274500640847798</c:v>
                </c:pt>
                <c:pt idx="1159">
                  <c:v>18.274500640847798</c:v>
                </c:pt>
                <c:pt idx="1160">
                  <c:v>18.274500640847798</c:v>
                </c:pt>
                <c:pt idx="1161">
                  <c:v>18.274500640847798</c:v>
                </c:pt>
                <c:pt idx="1162">
                  <c:v>18.274500640847798</c:v>
                </c:pt>
                <c:pt idx="1163">
                  <c:v>18.274500640847798</c:v>
                </c:pt>
                <c:pt idx="1164">
                  <c:v>18.274500640847798</c:v>
                </c:pt>
                <c:pt idx="1165">
                  <c:v>18.274500640847798</c:v>
                </c:pt>
                <c:pt idx="1166">
                  <c:v>18.274500640847798</c:v>
                </c:pt>
                <c:pt idx="1167">
                  <c:v>18.274500640847798</c:v>
                </c:pt>
                <c:pt idx="1168">
                  <c:v>18.274500640847798</c:v>
                </c:pt>
                <c:pt idx="1169">
                  <c:v>18.274500640847798</c:v>
                </c:pt>
                <c:pt idx="1170">
                  <c:v>18.274500640847798</c:v>
                </c:pt>
                <c:pt idx="1171">
                  <c:v>18.274500640847798</c:v>
                </c:pt>
                <c:pt idx="1172">
                  <c:v>18.274500640847798</c:v>
                </c:pt>
                <c:pt idx="1173">
                  <c:v>18.274500640847798</c:v>
                </c:pt>
                <c:pt idx="1174">
                  <c:v>18.274500640847798</c:v>
                </c:pt>
                <c:pt idx="1175">
                  <c:v>18.274500640847798</c:v>
                </c:pt>
                <c:pt idx="1176">
                  <c:v>18.274500640847798</c:v>
                </c:pt>
                <c:pt idx="1177">
                  <c:v>18.274500640847798</c:v>
                </c:pt>
                <c:pt idx="1178">
                  <c:v>18.274500640847798</c:v>
                </c:pt>
                <c:pt idx="1179">
                  <c:v>18.274500640847798</c:v>
                </c:pt>
                <c:pt idx="1180">
                  <c:v>18.274500640847798</c:v>
                </c:pt>
                <c:pt idx="1181">
                  <c:v>18.274500640847798</c:v>
                </c:pt>
                <c:pt idx="1182">
                  <c:v>18.274500640847798</c:v>
                </c:pt>
                <c:pt idx="1183">
                  <c:v>18.274500640847798</c:v>
                </c:pt>
                <c:pt idx="1184">
                  <c:v>18.274500640847798</c:v>
                </c:pt>
                <c:pt idx="1185">
                  <c:v>18.274500640847798</c:v>
                </c:pt>
                <c:pt idx="1186">
                  <c:v>18.274500640847798</c:v>
                </c:pt>
                <c:pt idx="1187">
                  <c:v>18.274500640847798</c:v>
                </c:pt>
                <c:pt idx="1188">
                  <c:v>18.274500640847798</c:v>
                </c:pt>
                <c:pt idx="1189">
                  <c:v>18.274500640847798</c:v>
                </c:pt>
                <c:pt idx="1190">
                  <c:v>18.274500640847798</c:v>
                </c:pt>
                <c:pt idx="1191">
                  <c:v>18.274500640847798</c:v>
                </c:pt>
                <c:pt idx="1192">
                  <c:v>18.274500640847798</c:v>
                </c:pt>
                <c:pt idx="1193">
                  <c:v>18.274500640847798</c:v>
                </c:pt>
                <c:pt idx="1194">
                  <c:v>18.274500640847798</c:v>
                </c:pt>
                <c:pt idx="1195">
                  <c:v>18.274500640847798</c:v>
                </c:pt>
                <c:pt idx="1196">
                  <c:v>18.274500640847798</c:v>
                </c:pt>
                <c:pt idx="1197">
                  <c:v>18.274500640847798</c:v>
                </c:pt>
                <c:pt idx="1198">
                  <c:v>18.274500640847798</c:v>
                </c:pt>
                <c:pt idx="1199">
                  <c:v>18.274500640847798</c:v>
                </c:pt>
                <c:pt idx="1200">
                  <c:v>18.274500640847798</c:v>
                </c:pt>
                <c:pt idx="1201">
                  <c:v>18.274500640847798</c:v>
                </c:pt>
                <c:pt idx="1202">
                  <c:v>18.274500640847798</c:v>
                </c:pt>
                <c:pt idx="1203">
                  <c:v>18.274500640847798</c:v>
                </c:pt>
                <c:pt idx="1204">
                  <c:v>18.274500640847798</c:v>
                </c:pt>
                <c:pt idx="1205">
                  <c:v>18.274500640847798</c:v>
                </c:pt>
                <c:pt idx="1206">
                  <c:v>18.274500640847798</c:v>
                </c:pt>
                <c:pt idx="1207">
                  <c:v>18.274500640847798</c:v>
                </c:pt>
                <c:pt idx="1208">
                  <c:v>18.274500640847798</c:v>
                </c:pt>
                <c:pt idx="1209">
                  <c:v>18.274500640847798</c:v>
                </c:pt>
                <c:pt idx="1210">
                  <c:v>18.274500640847798</c:v>
                </c:pt>
                <c:pt idx="1211">
                  <c:v>18.274500640847798</c:v>
                </c:pt>
                <c:pt idx="1212">
                  <c:v>18.274500640847798</c:v>
                </c:pt>
                <c:pt idx="1213">
                  <c:v>18.274500640847798</c:v>
                </c:pt>
                <c:pt idx="1214">
                  <c:v>18.274500640847798</c:v>
                </c:pt>
                <c:pt idx="1215">
                  <c:v>18.274500640847798</c:v>
                </c:pt>
                <c:pt idx="1216">
                  <c:v>18.274500640847798</c:v>
                </c:pt>
                <c:pt idx="1217">
                  <c:v>18.274500640847798</c:v>
                </c:pt>
                <c:pt idx="1218">
                  <c:v>18.274500640847798</c:v>
                </c:pt>
                <c:pt idx="1219">
                  <c:v>18.274500640847798</c:v>
                </c:pt>
                <c:pt idx="1220">
                  <c:v>18.274500640847798</c:v>
                </c:pt>
                <c:pt idx="1221">
                  <c:v>18.274500640847798</c:v>
                </c:pt>
                <c:pt idx="1222">
                  <c:v>18.274500640847798</c:v>
                </c:pt>
                <c:pt idx="1223">
                  <c:v>18.274500640847798</c:v>
                </c:pt>
                <c:pt idx="1224">
                  <c:v>18.274500640847798</c:v>
                </c:pt>
                <c:pt idx="1225">
                  <c:v>18.274500640847798</c:v>
                </c:pt>
                <c:pt idx="1226">
                  <c:v>18.274500640847798</c:v>
                </c:pt>
                <c:pt idx="1227">
                  <c:v>18.274500640847798</c:v>
                </c:pt>
                <c:pt idx="1228">
                  <c:v>18.274500640847798</c:v>
                </c:pt>
                <c:pt idx="1229">
                  <c:v>18.257303567970709</c:v>
                </c:pt>
                <c:pt idx="1230">
                  <c:v>18.240676005411618</c:v>
                </c:pt>
                <c:pt idx="1231">
                  <c:v>18.22347938540435</c:v>
                </c:pt>
                <c:pt idx="1232">
                  <c:v>18.20628276539707</c:v>
                </c:pt>
                <c:pt idx="1233">
                  <c:v>18.189086145389794</c:v>
                </c:pt>
                <c:pt idx="1234">
                  <c:v>18.173331935994014</c:v>
                </c:pt>
                <c:pt idx="1235">
                  <c:v>18.156136462979518</c:v>
                </c:pt>
                <c:pt idx="1236">
                  <c:v>18.138940989965029</c:v>
                </c:pt>
                <c:pt idx="1237">
                  <c:v>18.124046992307473</c:v>
                </c:pt>
                <c:pt idx="1238">
                  <c:v>18.106853349406816</c:v>
                </c:pt>
                <c:pt idx="1239">
                  <c:v>18.089659706506158</c:v>
                </c:pt>
                <c:pt idx="1240">
                  <c:v>18.075613207383579</c:v>
                </c:pt>
                <c:pt idx="1241">
                  <c:v>18.05842206706517</c:v>
                </c:pt>
                <c:pt idx="1242">
                  <c:v>18.041230926746763</c:v>
                </c:pt>
                <c:pt idx="1243">
                  <c:v>18.024039786428357</c:v>
                </c:pt>
                <c:pt idx="1244">
                  <c:v>18.010828483916352</c:v>
                </c:pt>
                <c:pt idx="1245">
                  <c:v>17.993640508331481</c:v>
                </c:pt>
                <c:pt idx="1246">
                  <c:v>17.976452532746602</c:v>
                </c:pt>
                <c:pt idx="1247">
                  <c:v>18.074332188214701</c:v>
                </c:pt>
                <c:pt idx="1248">
                  <c:v>18.057235713441777</c:v>
                </c:pt>
                <c:pt idx="1249">
                  <c:v>18.040139238668857</c:v>
                </c:pt>
                <c:pt idx="1250">
                  <c:v>18.023042763895933</c:v>
                </c:pt>
                <c:pt idx="1251">
                  <c:v>18.120112289802293</c:v>
                </c:pt>
                <c:pt idx="1252">
                  <c:v>18.10310659887244</c:v>
                </c:pt>
                <c:pt idx="1253">
                  <c:v>18.08610090794258</c:v>
                </c:pt>
                <c:pt idx="1254">
                  <c:v>18.290958477111726</c:v>
                </c:pt>
                <c:pt idx="1255">
                  <c:v>18.274129209979378</c:v>
                </c:pt>
                <c:pt idx="1256">
                  <c:v>18.257299942847034</c:v>
                </c:pt>
                <c:pt idx="1257">
                  <c:v>18.24047067571469</c:v>
                </c:pt>
                <c:pt idx="1258">
                  <c:v>18.442999912486325</c:v>
                </c:pt>
                <c:pt idx="1259">
                  <c:v>18.42634507739044</c:v>
                </c:pt>
                <c:pt idx="1260">
                  <c:v>18.409690242294559</c:v>
                </c:pt>
                <c:pt idx="1261">
                  <c:v>18.609952817983075</c:v>
                </c:pt>
                <c:pt idx="1262">
                  <c:v>18.593470473786951</c:v>
                </c:pt>
                <c:pt idx="1263">
                  <c:v>18.57698812959082</c:v>
                </c:pt>
                <c:pt idx="1264">
                  <c:v>18.560505785394696</c:v>
                </c:pt>
                <c:pt idx="1265">
                  <c:v>18.758561507259877</c:v>
                </c:pt>
                <c:pt idx="1266">
                  <c:v>18.742249761928608</c:v>
                </c:pt>
                <c:pt idx="1267">
                  <c:v>18.725938016597329</c:v>
                </c:pt>
                <c:pt idx="1268">
                  <c:v>18.709626271266057</c:v>
                </c:pt>
                <c:pt idx="1269">
                  <c:v>18.905533152433758</c:v>
                </c:pt>
                <c:pt idx="1270">
                  <c:v>18.889390161568517</c:v>
                </c:pt>
                <c:pt idx="1271">
                  <c:v>18.873247170703273</c:v>
                </c:pt>
                <c:pt idx="1272">
                  <c:v>18.857104179838029</c:v>
                </c:pt>
                <c:pt idx="1273">
                  <c:v>19.050918506102498</c:v>
                </c:pt>
                <c:pt idx="1274">
                  <c:v>19.034942471529103</c:v>
                </c:pt>
                <c:pt idx="1275">
                  <c:v>19.018966436955704</c:v>
                </c:pt>
                <c:pt idx="1276">
                  <c:v>19.210742830624238</c:v>
                </c:pt>
                <c:pt idx="1277">
                  <c:v>19.194931999033596</c:v>
                </c:pt>
                <c:pt idx="1278">
                  <c:v>19.179121167442961</c:v>
                </c:pt>
                <c:pt idx="1279">
                  <c:v>19.163310335852319</c:v>
                </c:pt>
                <c:pt idx="1280">
                  <c:v>19.353101816783976</c:v>
                </c:pt>
                <c:pt idx="1281">
                  <c:v>19.337454478422167</c:v>
                </c:pt>
                <c:pt idx="1282">
                  <c:v>19.321807140060358</c:v>
                </c:pt>
                <c:pt idx="1283">
                  <c:v>19.306159801698556</c:v>
                </c:pt>
                <c:pt idx="1284">
                  <c:v>19.391740588254507</c:v>
                </c:pt>
                <c:pt idx="1285">
                  <c:v>89.268903655177681</c:v>
                </c:pt>
                <c:pt idx="1286">
                  <c:v>89.308914923264908</c:v>
                </c:pt>
                <c:pt idx="1287">
                  <c:v>89.348926191352135</c:v>
                </c:pt>
                <c:pt idx="1288">
                  <c:v>89.388937459439362</c:v>
                </c:pt>
                <c:pt idx="1289">
                  <c:v>89.428948727526574</c:v>
                </c:pt>
                <c:pt idx="1290">
                  <c:v>89.468959995613815</c:v>
                </c:pt>
                <c:pt idx="1291">
                  <c:v>89.508971263701028</c:v>
                </c:pt>
                <c:pt idx="1292">
                  <c:v>89.548982531788255</c:v>
                </c:pt>
                <c:pt idx="1293">
                  <c:v>89.588993799875482</c:v>
                </c:pt>
                <c:pt idx="1294">
                  <c:v>97.486594132916238</c:v>
                </c:pt>
                <c:pt idx="1295">
                  <c:v>97.53285368970846</c:v>
                </c:pt>
                <c:pt idx="1296">
                  <c:v>97.579113246500683</c:v>
                </c:pt>
                <c:pt idx="1297">
                  <c:v>97.625372803292905</c:v>
                </c:pt>
                <c:pt idx="1298">
                  <c:v>97.671632360085127</c:v>
                </c:pt>
                <c:pt idx="1299">
                  <c:v>97.717891916877349</c:v>
                </c:pt>
                <c:pt idx="1300">
                  <c:v>97.764151473669557</c:v>
                </c:pt>
                <c:pt idx="1301">
                  <c:v>97.810411030461793</c:v>
                </c:pt>
                <c:pt idx="1302">
                  <c:v>97.856670587254001</c:v>
                </c:pt>
                <c:pt idx="1303">
                  <c:v>97.902930144046195</c:v>
                </c:pt>
                <c:pt idx="1304">
                  <c:v>97.949189700838417</c:v>
                </c:pt>
                <c:pt idx="1305">
                  <c:v>97.995449257630639</c:v>
                </c:pt>
                <c:pt idx="1306">
                  <c:v>98.041708814422861</c:v>
                </c:pt>
                <c:pt idx="1307">
                  <c:v>98.087968371215084</c:v>
                </c:pt>
                <c:pt idx="1308">
                  <c:v>98.134227928007306</c:v>
                </c:pt>
                <c:pt idx="1309">
                  <c:v>98.180487484799528</c:v>
                </c:pt>
                <c:pt idx="1310">
                  <c:v>98.226747041591736</c:v>
                </c:pt>
                <c:pt idx="1311">
                  <c:v>106.11723241662838</c:v>
                </c:pt>
                <c:pt idx="1312">
                  <c:v>106.16972963578426</c:v>
                </c:pt>
                <c:pt idx="1313">
                  <c:v>106.22222685494015</c:v>
                </c:pt>
                <c:pt idx="1314">
                  <c:v>106.27472407409604</c:v>
                </c:pt>
                <c:pt idx="1315">
                  <c:v>106.32722129325191</c:v>
                </c:pt>
                <c:pt idx="1316">
                  <c:v>106.37971851240779</c:v>
                </c:pt>
                <c:pt idx="1317">
                  <c:v>106.43221573156367</c:v>
                </c:pt>
                <c:pt idx="1318">
                  <c:v>106.48471295071954</c:v>
                </c:pt>
                <c:pt idx="1319">
                  <c:v>106.53721016987542</c:v>
                </c:pt>
                <c:pt idx="1320">
                  <c:v>106.58970738903129</c:v>
                </c:pt>
                <c:pt idx="1321">
                  <c:v>106.64220460818719</c:v>
                </c:pt>
                <c:pt idx="1322">
                  <c:v>106.69470182734305</c:v>
                </c:pt>
                <c:pt idx="1323">
                  <c:v>106.74719904649895</c:v>
                </c:pt>
                <c:pt idx="1324">
                  <c:v>106.7996962656548</c:v>
                </c:pt>
                <c:pt idx="1325">
                  <c:v>106.8521934848107</c:v>
                </c:pt>
                <c:pt idx="1326">
                  <c:v>106.90469070396655</c:v>
                </c:pt>
                <c:pt idx="1327">
                  <c:v>106.95718792312245</c:v>
                </c:pt>
                <c:pt idx="1328">
                  <c:v>107.00968514227831</c:v>
                </c:pt>
                <c:pt idx="1329">
                  <c:v>107.06218236143421</c:v>
                </c:pt>
                <c:pt idx="1330">
                  <c:v>107.11467958059006</c:v>
                </c:pt>
                <c:pt idx="1331">
                  <c:v>107.16717679974596</c:v>
                </c:pt>
                <c:pt idx="1332">
                  <c:v>107.21967401890181</c:v>
                </c:pt>
                <c:pt idx="1333">
                  <c:v>107.27217123805771</c:v>
                </c:pt>
                <c:pt idx="1334">
                  <c:v>107.32466845721358</c:v>
                </c:pt>
                <c:pt idx="1335">
                  <c:v>107.37716567636947</c:v>
                </c:pt>
                <c:pt idx="1336">
                  <c:v>107.42966289552533</c:v>
                </c:pt>
                <c:pt idx="1337">
                  <c:v>107.48216011468122</c:v>
                </c:pt>
                <c:pt idx="1338">
                  <c:v>107.53465733383712</c:v>
                </c:pt>
                <c:pt idx="1339">
                  <c:v>107.58715455299297</c:v>
                </c:pt>
                <c:pt idx="1340">
                  <c:v>107.63965177214887</c:v>
                </c:pt>
                <c:pt idx="1341">
                  <c:v>107.69214899130472</c:v>
                </c:pt>
                <c:pt idx="1342">
                  <c:v>107.74464621046062</c:v>
                </c:pt>
                <c:pt idx="1343">
                  <c:v>107.79714342961648</c:v>
                </c:pt>
                <c:pt idx="1344">
                  <c:v>107.84964064877238</c:v>
                </c:pt>
                <c:pt idx="1345">
                  <c:v>21.591502493544937</c:v>
                </c:pt>
                <c:pt idx="1346">
                  <c:v>21.591502493544937</c:v>
                </c:pt>
                <c:pt idx="1347">
                  <c:v>21.591502493544937</c:v>
                </c:pt>
                <c:pt idx="1348">
                  <c:v>21.591502493544937</c:v>
                </c:pt>
                <c:pt idx="1349">
                  <c:v>21.591502493544937</c:v>
                </c:pt>
                <c:pt idx="1350">
                  <c:v>21.591502493544937</c:v>
                </c:pt>
                <c:pt idx="1351">
                  <c:v>21.591502493544937</c:v>
                </c:pt>
                <c:pt idx="1352">
                  <c:v>21.591502493544937</c:v>
                </c:pt>
                <c:pt idx="1353">
                  <c:v>21.591502493544937</c:v>
                </c:pt>
                <c:pt idx="1354">
                  <c:v>21.591502493544937</c:v>
                </c:pt>
                <c:pt idx="1355">
                  <c:v>21.591502493544937</c:v>
                </c:pt>
                <c:pt idx="1356">
                  <c:v>21.591502493544937</c:v>
                </c:pt>
                <c:pt idx="1357">
                  <c:v>21.591502493544937</c:v>
                </c:pt>
                <c:pt idx="1358">
                  <c:v>21.591502493544937</c:v>
                </c:pt>
                <c:pt idx="1359">
                  <c:v>21.591502493544937</c:v>
                </c:pt>
                <c:pt idx="1360">
                  <c:v>21.591502493544937</c:v>
                </c:pt>
                <c:pt idx="1361">
                  <c:v>21.591502493544937</c:v>
                </c:pt>
                <c:pt idx="1362">
                  <c:v>21.591502493544937</c:v>
                </c:pt>
                <c:pt idx="1363">
                  <c:v>21.591502493544937</c:v>
                </c:pt>
                <c:pt idx="1364">
                  <c:v>21.591502493544937</c:v>
                </c:pt>
                <c:pt idx="1365">
                  <c:v>21.591502493544937</c:v>
                </c:pt>
                <c:pt idx="1366">
                  <c:v>21.591502493544937</c:v>
                </c:pt>
                <c:pt idx="1367">
                  <c:v>21.591502493544937</c:v>
                </c:pt>
                <c:pt idx="1368">
                  <c:v>21.591502493544937</c:v>
                </c:pt>
                <c:pt idx="1369">
                  <c:v>21.591502493544937</c:v>
                </c:pt>
                <c:pt idx="1370">
                  <c:v>21.591502493544937</c:v>
                </c:pt>
                <c:pt idx="1371">
                  <c:v>21.591502493544937</c:v>
                </c:pt>
                <c:pt idx="1372">
                  <c:v>21.591502493544937</c:v>
                </c:pt>
                <c:pt idx="1373">
                  <c:v>21.591502493544937</c:v>
                </c:pt>
                <c:pt idx="1374">
                  <c:v>21.591502493544937</c:v>
                </c:pt>
                <c:pt idx="1375">
                  <c:v>21.591502493544937</c:v>
                </c:pt>
                <c:pt idx="1376">
                  <c:v>21.591502493544937</c:v>
                </c:pt>
                <c:pt idx="1377">
                  <c:v>21.591502493544937</c:v>
                </c:pt>
                <c:pt idx="1378">
                  <c:v>21.591502493544937</c:v>
                </c:pt>
                <c:pt idx="1379">
                  <c:v>21.591502493544937</c:v>
                </c:pt>
                <c:pt idx="1380">
                  <c:v>21.591502493544937</c:v>
                </c:pt>
                <c:pt idx="1381">
                  <c:v>21.591502493544937</c:v>
                </c:pt>
                <c:pt idx="1382">
                  <c:v>21.591502493544937</c:v>
                </c:pt>
                <c:pt idx="1383">
                  <c:v>21.591502493544937</c:v>
                </c:pt>
                <c:pt idx="1384">
                  <c:v>21.591502493544937</c:v>
                </c:pt>
                <c:pt idx="1385">
                  <c:v>21.591502493544937</c:v>
                </c:pt>
                <c:pt idx="1386">
                  <c:v>21.591502493544937</c:v>
                </c:pt>
                <c:pt idx="1387">
                  <c:v>21.591502493544937</c:v>
                </c:pt>
                <c:pt idx="1388">
                  <c:v>21.591502493544937</c:v>
                </c:pt>
                <c:pt idx="1389">
                  <c:v>21.591502493544937</c:v>
                </c:pt>
                <c:pt idx="1390">
                  <c:v>21.591502493544937</c:v>
                </c:pt>
                <c:pt idx="1391">
                  <c:v>21.591502493544937</c:v>
                </c:pt>
                <c:pt idx="1392">
                  <c:v>21.591502493544937</c:v>
                </c:pt>
                <c:pt idx="1393">
                  <c:v>21.591502493544937</c:v>
                </c:pt>
                <c:pt idx="1394">
                  <c:v>21.591502493544937</c:v>
                </c:pt>
                <c:pt idx="1395">
                  <c:v>21.591502493544937</c:v>
                </c:pt>
                <c:pt idx="1396">
                  <c:v>21.591502493544937</c:v>
                </c:pt>
                <c:pt idx="1397">
                  <c:v>21.591502493544937</c:v>
                </c:pt>
                <c:pt idx="1398">
                  <c:v>21.591502493544937</c:v>
                </c:pt>
                <c:pt idx="1399">
                  <c:v>21.591502493544937</c:v>
                </c:pt>
                <c:pt idx="1400">
                  <c:v>21.591502493544937</c:v>
                </c:pt>
                <c:pt idx="1401">
                  <c:v>21.591502493544937</c:v>
                </c:pt>
                <c:pt idx="1402">
                  <c:v>21.591502493544937</c:v>
                </c:pt>
                <c:pt idx="1403">
                  <c:v>21.591502493544937</c:v>
                </c:pt>
                <c:pt idx="1404">
                  <c:v>21.591502493544937</c:v>
                </c:pt>
                <c:pt idx="1405">
                  <c:v>21.591502493544937</c:v>
                </c:pt>
                <c:pt idx="1406">
                  <c:v>21.591502493544937</c:v>
                </c:pt>
                <c:pt idx="1407">
                  <c:v>21.591502493544937</c:v>
                </c:pt>
                <c:pt idx="1408">
                  <c:v>21.591502493544937</c:v>
                </c:pt>
                <c:pt idx="1409">
                  <c:v>21.591502493544937</c:v>
                </c:pt>
                <c:pt idx="1410">
                  <c:v>21.591502493544937</c:v>
                </c:pt>
                <c:pt idx="1411">
                  <c:v>21.591502493544937</c:v>
                </c:pt>
                <c:pt idx="1412">
                  <c:v>21.591502493544937</c:v>
                </c:pt>
                <c:pt idx="1413">
                  <c:v>21.591502493544937</c:v>
                </c:pt>
                <c:pt idx="1414">
                  <c:v>21.591502493544937</c:v>
                </c:pt>
                <c:pt idx="1415">
                  <c:v>21.591502493544937</c:v>
                </c:pt>
                <c:pt idx="1416">
                  <c:v>21.591502493544937</c:v>
                </c:pt>
                <c:pt idx="1417">
                  <c:v>21.591502493544937</c:v>
                </c:pt>
                <c:pt idx="1418">
                  <c:v>21.591502493544937</c:v>
                </c:pt>
                <c:pt idx="1419">
                  <c:v>21.591502493544937</c:v>
                </c:pt>
                <c:pt idx="1420">
                  <c:v>21.591502493544937</c:v>
                </c:pt>
                <c:pt idx="1421">
                  <c:v>21.591502493544937</c:v>
                </c:pt>
                <c:pt idx="1422">
                  <c:v>21.591502493544937</c:v>
                </c:pt>
                <c:pt idx="1423">
                  <c:v>21.591502493544937</c:v>
                </c:pt>
                <c:pt idx="1424">
                  <c:v>21.591502493544937</c:v>
                </c:pt>
                <c:pt idx="1425">
                  <c:v>21.591502493544937</c:v>
                </c:pt>
                <c:pt idx="1426">
                  <c:v>21.591502493544937</c:v>
                </c:pt>
                <c:pt idx="1427">
                  <c:v>21.591502493544937</c:v>
                </c:pt>
                <c:pt idx="1428">
                  <c:v>21.591502493544937</c:v>
                </c:pt>
                <c:pt idx="1429">
                  <c:v>21.591502493544937</c:v>
                </c:pt>
                <c:pt idx="1430">
                  <c:v>21.591502493544937</c:v>
                </c:pt>
                <c:pt idx="1431">
                  <c:v>21.591502493544937</c:v>
                </c:pt>
                <c:pt idx="1432">
                  <c:v>21.591502493544937</c:v>
                </c:pt>
                <c:pt idx="1433">
                  <c:v>21.591502493544937</c:v>
                </c:pt>
                <c:pt idx="1434">
                  <c:v>21.591502493544937</c:v>
                </c:pt>
                <c:pt idx="1435">
                  <c:v>21.591502493544937</c:v>
                </c:pt>
                <c:pt idx="1436">
                  <c:v>21.591502493544937</c:v>
                </c:pt>
                <c:pt idx="1437">
                  <c:v>21.591502493544937</c:v>
                </c:pt>
                <c:pt idx="1438">
                  <c:v>21.591502493544937</c:v>
                </c:pt>
                <c:pt idx="1439">
                  <c:v>21.591502493544937</c:v>
                </c:pt>
                <c:pt idx="1440">
                  <c:v>21.591502493544937</c:v>
                </c:pt>
                <c:pt idx="1441">
                  <c:v>21.591502493544937</c:v>
                </c:pt>
                <c:pt idx="1442">
                  <c:v>21.591502493544937</c:v>
                </c:pt>
                <c:pt idx="1443">
                  <c:v>21.591502493544937</c:v>
                </c:pt>
                <c:pt idx="1444">
                  <c:v>21.591502493544937</c:v>
                </c:pt>
                <c:pt idx="1445">
                  <c:v>21.591502493544937</c:v>
                </c:pt>
                <c:pt idx="1446">
                  <c:v>21.591502493544937</c:v>
                </c:pt>
                <c:pt idx="1447">
                  <c:v>21.591502493544937</c:v>
                </c:pt>
                <c:pt idx="1448">
                  <c:v>21.591502493544937</c:v>
                </c:pt>
                <c:pt idx="1449">
                  <c:v>21.591502493544937</c:v>
                </c:pt>
                <c:pt idx="1450">
                  <c:v>21.591502493544937</c:v>
                </c:pt>
                <c:pt idx="1451">
                  <c:v>21.591502493544937</c:v>
                </c:pt>
                <c:pt idx="1452">
                  <c:v>21.591502493544937</c:v>
                </c:pt>
                <c:pt idx="1453">
                  <c:v>21.591502493544937</c:v>
                </c:pt>
                <c:pt idx="1454">
                  <c:v>21.591502493544937</c:v>
                </c:pt>
                <c:pt idx="1455">
                  <c:v>21.591502493544937</c:v>
                </c:pt>
                <c:pt idx="1456">
                  <c:v>21.591502493544937</c:v>
                </c:pt>
                <c:pt idx="1457">
                  <c:v>21.591502493544937</c:v>
                </c:pt>
                <c:pt idx="1458">
                  <c:v>21.591502493544937</c:v>
                </c:pt>
                <c:pt idx="1459">
                  <c:v>21.591502493544937</c:v>
                </c:pt>
                <c:pt idx="1460">
                  <c:v>21.591502493544937</c:v>
                </c:pt>
                <c:pt idx="1461">
                  <c:v>21.591502493544937</c:v>
                </c:pt>
                <c:pt idx="1462">
                  <c:v>21.591502493544937</c:v>
                </c:pt>
                <c:pt idx="1463">
                  <c:v>21.591502493544937</c:v>
                </c:pt>
                <c:pt idx="1464">
                  <c:v>21.591502493544937</c:v>
                </c:pt>
                <c:pt idx="1465">
                  <c:v>21.591502493544937</c:v>
                </c:pt>
                <c:pt idx="1466">
                  <c:v>21.591502493544937</c:v>
                </c:pt>
                <c:pt idx="1467">
                  <c:v>21.591502493544937</c:v>
                </c:pt>
                <c:pt idx="1468">
                  <c:v>21.591502493544937</c:v>
                </c:pt>
                <c:pt idx="1469">
                  <c:v>21.591502493544937</c:v>
                </c:pt>
                <c:pt idx="1470">
                  <c:v>21.591502493544937</c:v>
                </c:pt>
                <c:pt idx="1471">
                  <c:v>21.591502493544937</c:v>
                </c:pt>
                <c:pt idx="1472">
                  <c:v>21.591502493544937</c:v>
                </c:pt>
                <c:pt idx="1473">
                  <c:v>21.591502493544937</c:v>
                </c:pt>
                <c:pt idx="1474">
                  <c:v>21.591502493544937</c:v>
                </c:pt>
                <c:pt idx="1475">
                  <c:v>21.591502493544937</c:v>
                </c:pt>
                <c:pt idx="1476">
                  <c:v>21.591502493544937</c:v>
                </c:pt>
                <c:pt idx="1477">
                  <c:v>21.591502493544937</c:v>
                </c:pt>
                <c:pt idx="1478">
                  <c:v>21.591502493544937</c:v>
                </c:pt>
                <c:pt idx="1479">
                  <c:v>21.591502493544937</c:v>
                </c:pt>
                <c:pt idx="1480">
                  <c:v>21.591502493544937</c:v>
                </c:pt>
                <c:pt idx="1481">
                  <c:v>21.591502493544937</c:v>
                </c:pt>
                <c:pt idx="1482">
                  <c:v>24.585308518998318</c:v>
                </c:pt>
                <c:pt idx="1483">
                  <c:v>24.571552896544194</c:v>
                </c:pt>
                <c:pt idx="1484">
                  <c:v>24.456299517706316</c:v>
                </c:pt>
                <c:pt idx="1485">
                  <c:v>24.442463185090396</c:v>
                </c:pt>
                <c:pt idx="1486">
                  <c:v>24.428626852474476</c:v>
                </c:pt>
                <c:pt idx="1487">
                  <c:v>24.490927302084099</c:v>
                </c:pt>
                <c:pt idx="1488">
                  <c:v>24.477151512796731</c:v>
                </c:pt>
                <c:pt idx="1489">
                  <c:v>24.538533923818573</c:v>
                </c:pt>
                <c:pt idx="1490">
                  <c:v>24.524817899699659</c:v>
                </c:pt>
                <c:pt idx="1491">
                  <c:v>24.511101875580746</c:v>
                </c:pt>
                <c:pt idx="1492">
                  <c:v>24.401560210559229</c:v>
                </c:pt>
                <c:pt idx="1493">
                  <c:v>24.387767986697018</c:v>
                </c:pt>
                <c:pt idx="1494">
                  <c:v>24.373975762834803</c:v>
                </c:pt>
                <c:pt idx="1495">
                  <c:v>24.267518131925534</c:v>
                </c:pt>
                <c:pt idx="1496">
                  <c:v>24.253652221311391</c:v>
                </c:pt>
                <c:pt idx="1497">
                  <c:v>24.239786310697248</c:v>
                </c:pt>
                <c:pt idx="1498">
                  <c:v>24.136314151077574</c:v>
                </c:pt>
                <c:pt idx="1499">
                  <c:v>24.122376986328231</c:v>
                </c:pt>
                <c:pt idx="1500">
                  <c:v>24.021796356001499</c:v>
                </c:pt>
                <c:pt idx="1501">
                  <c:v>24.007790293097408</c:v>
                </c:pt>
                <c:pt idx="1502">
                  <c:v>23.99378423019332</c:v>
                </c:pt>
                <c:pt idx="1503">
                  <c:v>23.896005541543307</c:v>
                </c:pt>
                <c:pt idx="1504">
                  <c:v>23.881932863352151</c:v>
                </c:pt>
                <c:pt idx="1505">
                  <c:v>23.867860185160993</c:v>
                </c:pt>
                <c:pt idx="1506">
                  <c:v>23.772797956713102</c:v>
                </c:pt>
                <c:pt idx="1507">
                  <c:v>23.758660876313087</c:v>
                </c:pt>
                <c:pt idx="1508">
                  <c:v>23.744523795913071</c:v>
                </c:pt>
                <c:pt idx="1509">
                  <c:v>23.652096420868073</c:v>
                </c:pt>
                <c:pt idx="1510">
                  <c:v>23.637897084684546</c:v>
                </c:pt>
                <c:pt idx="1511">
                  <c:v>23.623697748501019</c:v>
                </c:pt>
                <c:pt idx="1512">
                  <c:v>23.53382727873468</c:v>
                </c:pt>
                <c:pt idx="1513">
                  <c:v>23.519567769502483</c:v>
                </c:pt>
                <c:pt idx="1514">
                  <c:v>23.505308260270279</c:v>
                </c:pt>
                <c:pt idx="1515">
                  <c:v>23.41792020460743</c:v>
                </c:pt>
                <c:pt idx="1516">
                  <c:v>23.403602544170468</c:v>
                </c:pt>
                <c:pt idx="1517">
                  <c:v>23.389284883733502</c:v>
                </c:pt>
                <c:pt idx="1518">
                  <c:v>22.997476247133481</c:v>
                </c:pt>
                <c:pt idx="1519">
                  <c:v>22.982858409048752</c:v>
                </c:pt>
                <c:pt idx="1520">
                  <c:v>22.968240570964024</c:v>
                </c:pt>
                <c:pt idx="1521">
                  <c:v>22.585129537692112</c:v>
                </c:pt>
                <c:pt idx="1522">
                  <c:v>22.570218676919342</c:v>
                </c:pt>
                <c:pt idx="1523">
                  <c:v>22.195534698897429</c:v>
                </c:pt>
                <c:pt idx="1524">
                  <c:v>22.180337749569219</c:v>
                </c:pt>
                <c:pt idx="1525">
                  <c:v>22.165140800241005</c:v>
                </c:pt>
                <c:pt idx="1526">
                  <c:v>21.798624801323374</c:v>
                </c:pt>
                <c:pt idx="1527">
                  <c:v>21.783148486043181</c:v>
                </c:pt>
                <c:pt idx="1528">
                  <c:v>21.767672170762985</c:v>
                </c:pt>
                <c:pt idx="1529">
                  <c:v>21.409075947036413</c:v>
                </c:pt>
                <c:pt idx="1530">
                  <c:v>21.393326785692285</c:v>
                </c:pt>
                <c:pt idx="1531">
                  <c:v>21.377577624348152</c:v>
                </c:pt>
                <c:pt idx="1532">
                  <c:v>21.026663281617626</c:v>
                </c:pt>
                <c:pt idx="1533">
                  <c:v>21.010647599741578</c:v>
                </c:pt>
                <c:pt idx="1534">
                  <c:v>20.994631917865529</c:v>
                </c:pt>
                <c:pt idx="1535">
                  <c:v>20.651171343665041</c:v>
                </c:pt>
                <c:pt idx="1536">
                  <c:v>20.634895280365981</c:v>
                </c:pt>
                <c:pt idx="1537">
                  <c:v>20.298669648048776</c:v>
                </c:pt>
                <c:pt idx="1538">
                  <c:v>20.28213916354472</c:v>
                </c:pt>
                <c:pt idx="1539">
                  <c:v>20.265608679040664</c:v>
                </c:pt>
                <c:pt idx="1540">
                  <c:v>19.654122751206337</c:v>
                </c:pt>
                <c:pt idx="1541">
                  <c:v>19.637119163140131</c:v>
                </c:pt>
                <c:pt idx="1542">
                  <c:v>19.620115575073918</c:v>
                </c:pt>
                <c:pt idx="1543">
                  <c:v>19.300308619651499</c:v>
                </c:pt>
                <c:pt idx="1544">
                  <c:v>19.283064244895577</c:v>
                </c:pt>
                <c:pt idx="1545">
                  <c:v>19.265819870139662</c:v>
                </c:pt>
                <c:pt idx="1546">
                  <c:v>18.952589988120749</c:v>
                </c:pt>
                <c:pt idx="1547">
                  <c:v>18.935110248180091</c:v>
                </c:pt>
                <c:pt idx="1548">
                  <c:v>18.62827291618709</c:v>
                </c:pt>
                <c:pt idx="1549">
                  <c:v>18.610563081524091</c:v>
                </c:pt>
                <c:pt idx="1550">
                  <c:v>18.592853246861097</c:v>
                </c:pt>
                <c:pt idx="1551">
                  <c:v>18.292231096046233</c:v>
                </c:pt>
                <c:pt idx="1552">
                  <c:v>18.274296291890064</c:v>
                </c:pt>
                <c:pt idx="1553">
                  <c:v>18.256361487733891</c:v>
                </c:pt>
                <c:pt idx="1554">
                  <c:v>17.961783961704167</c:v>
                </c:pt>
                <c:pt idx="1555">
                  <c:v>17.943629173583435</c:v>
                </c:pt>
                <c:pt idx="1556">
                  <c:v>17.921239026960261</c:v>
                </c:pt>
                <c:pt idx="1557">
                  <c:v>17.903080870918085</c:v>
                </c:pt>
                <c:pt idx="1558">
                  <c:v>17.884922714875909</c:v>
                </c:pt>
                <c:pt idx="1559">
                  <c:v>17.863489312468424</c:v>
                </c:pt>
                <c:pt idx="1560">
                  <c:v>17.845328551977897</c:v>
                </c:pt>
                <c:pt idx="1561">
                  <c:v>17.827167791487376</c:v>
                </c:pt>
                <c:pt idx="1562">
                  <c:v>17.806673460851638</c:v>
                </c:pt>
                <c:pt idx="1563">
                  <c:v>17.788510844725771</c:v>
                </c:pt>
                <c:pt idx="1564">
                  <c:v>17.768938575305217</c:v>
                </c:pt>
                <c:pt idx="1565">
                  <c:v>17.750774838234911</c:v>
                </c:pt>
                <c:pt idx="1566">
                  <c:v>17.732611101164608</c:v>
                </c:pt>
                <c:pt idx="1567">
                  <c:v>17.970567450887575</c:v>
                </c:pt>
                <c:pt idx="1568">
                  <c:v>17.952607378355111</c:v>
                </c:pt>
                <c:pt idx="1569">
                  <c:v>17.93464730582264</c:v>
                </c:pt>
                <c:pt idx="1570">
                  <c:v>18.169073789791355</c:v>
                </c:pt>
                <c:pt idx="1571">
                  <c:v>18.151314412924854</c:v>
                </c:pt>
                <c:pt idx="1572">
                  <c:v>18.133555036058354</c:v>
                </c:pt>
                <c:pt idx="1573">
                  <c:v>18.364556630474603</c:v>
                </c:pt>
                <c:pt idx="1574">
                  <c:v>18.346995066239213</c:v>
                </c:pt>
                <c:pt idx="1575">
                  <c:v>18.329433502003823</c:v>
                </c:pt>
                <c:pt idx="1576">
                  <c:v>18.557111447841862</c:v>
                </c:pt>
                <c:pt idx="1577">
                  <c:v>18.53974489600126</c:v>
                </c:pt>
                <c:pt idx="1578">
                  <c:v>18.522378344160657</c:v>
                </c:pt>
                <c:pt idx="1579">
                  <c:v>18.746830311719286</c:v>
                </c:pt>
                <c:pt idx="1580">
                  <c:v>18.729656051930476</c:v>
                </c:pt>
                <c:pt idx="1581">
                  <c:v>18.712481792141659</c:v>
                </c:pt>
                <c:pt idx="1582">
                  <c:v>18.933802036985668</c:v>
                </c:pt>
                <c:pt idx="1583">
                  <c:v>18.916817426020078</c:v>
                </c:pt>
                <c:pt idx="1584">
                  <c:v>18.899832815054477</c:v>
                </c:pt>
                <c:pt idx="1585">
                  <c:v>18.874762989234423</c:v>
                </c:pt>
                <c:pt idx="1586">
                  <c:v>18.857771948974005</c:v>
                </c:pt>
                <c:pt idx="1587">
                  <c:v>18.84078090871359</c:v>
                </c:pt>
                <c:pt idx="1588">
                  <c:v>18.816724519283479</c:v>
                </c:pt>
                <c:pt idx="1589">
                  <c:v>18.799727860716864</c:v>
                </c:pt>
                <c:pt idx="1590">
                  <c:v>18.782731202150238</c:v>
                </c:pt>
                <c:pt idx="1591">
                  <c:v>18.75967066738956</c:v>
                </c:pt>
                <c:pt idx="1592">
                  <c:v>18.742669186879613</c:v>
                </c:pt>
                <c:pt idx="1593">
                  <c:v>18.725667706369666</c:v>
                </c:pt>
                <c:pt idx="1594">
                  <c:v>18.708666225859723</c:v>
                </c:pt>
                <c:pt idx="1595">
                  <c:v>18.686584567664504</c:v>
                </c:pt>
                <c:pt idx="1596">
                  <c:v>18.669579047440017</c:v>
                </c:pt>
                <c:pt idx="1597">
                  <c:v>18.65257352721552</c:v>
                </c:pt>
                <c:pt idx="1598">
                  <c:v>18.631454345829951</c:v>
                </c:pt>
                <c:pt idx="1599">
                  <c:v>18.614445554456719</c:v>
                </c:pt>
                <c:pt idx="1600">
                  <c:v>18.597436763083486</c:v>
                </c:pt>
                <c:pt idx="1601">
                  <c:v>18.343970634168443</c:v>
                </c:pt>
                <c:pt idx="1602">
                  <c:v>18.326773813910126</c:v>
                </c:pt>
                <c:pt idx="1603">
                  <c:v>18.309576993651806</c:v>
                </c:pt>
                <c:pt idx="1604">
                  <c:v>18.292062490496445</c:v>
                </c:pt>
                <c:pt idx="1605">
                  <c:v>18.274865417619356</c:v>
                </c:pt>
                <c:pt idx="1606">
                  <c:v>18.257668344742264</c:v>
                </c:pt>
                <c:pt idx="1607">
                  <c:v>18.24104078218318</c:v>
                </c:pt>
                <c:pt idx="1608">
                  <c:v>18.223844162175904</c:v>
                </c:pt>
                <c:pt idx="1609">
                  <c:v>18.206647542168628</c:v>
                </c:pt>
                <c:pt idx="1610">
                  <c:v>18.189450922161356</c:v>
                </c:pt>
                <c:pt idx="1611">
                  <c:v>18.173696712765576</c:v>
                </c:pt>
                <c:pt idx="1612">
                  <c:v>18.15650123975108</c:v>
                </c:pt>
                <c:pt idx="1613">
                  <c:v>18.139305766736584</c:v>
                </c:pt>
                <c:pt idx="1614">
                  <c:v>18.124411769079032</c:v>
                </c:pt>
                <c:pt idx="1615">
                  <c:v>18.107218126178378</c:v>
                </c:pt>
                <c:pt idx="1616">
                  <c:v>18.090024483277713</c:v>
                </c:pt>
                <c:pt idx="1617">
                  <c:v>18.075977984155134</c:v>
                </c:pt>
                <c:pt idx="1618">
                  <c:v>18.058786843836728</c:v>
                </c:pt>
                <c:pt idx="1619">
                  <c:v>18.041595703518322</c:v>
                </c:pt>
                <c:pt idx="1620">
                  <c:v>18.024404563199912</c:v>
                </c:pt>
                <c:pt idx="1621">
                  <c:v>18.011193260687907</c:v>
                </c:pt>
                <c:pt idx="1622">
                  <c:v>17.994005285103029</c:v>
                </c:pt>
                <c:pt idx="1623">
                  <c:v>17.976817309518161</c:v>
                </c:pt>
                <c:pt idx="1624">
                  <c:v>18.074696964986256</c:v>
                </c:pt>
                <c:pt idx="1625">
                  <c:v>18.057600490213336</c:v>
                </c:pt>
                <c:pt idx="1626">
                  <c:v>18.040504015440412</c:v>
                </c:pt>
                <c:pt idx="1627">
                  <c:v>18.023407540667492</c:v>
                </c:pt>
                <c:pt idx="1628">
                  <c:v>18.120477066573848</c:v>
                </c:pt>
                <c:pt idx="1629">
                  <c:v>18.103471375643995</c:v>
                </c:pt>
                <c:pt idx="1630">
                  <c:v>18.086465684714138</c:v>
                </c:pt>
                <c:pt idx="1631">
                  <c:v>18.291323253883281</c:v>
                </c:pt>
                <c:pt idx="1632">
                  <c:v>18.274493986750937</c:v>
                </c:pt>
                <c:pt idx="1633">
                  <c:v>18.257664719618589</c:v>
                </c:pt>
                <c:pt idx="1634">
                  <c:v>18.240835452486245</c:v>
                </c:pt>
                <c:pt idx="1635">
                  <c:v>18.44336468925788</c:v>
                </c:pt>
                <c:pt idx="1636">
                  <c:v>18.426709854161995</c:v>
                </c:pt>
                <c:pt idx="1637">
                  <c:v>18.410055019066114</c:v>
                </c:pt>
                <c:pt idx="1638">
                  <c:v>18.61031759475463</c:v>
                </c:pt>
                <c:pt idx="1639">
                  <c:v>18.593835250558506</c:v>
                </c:pt>
                <c:pt idx="1640">
                  <c:v>18.577352906362378</c:v>
                </c:pt>
                <c:pt idx="1641">
                  <c:v>18.560870562166251</c:v>
                </c:pt>
                <c:pt idx="1642">
                  <c:v>18.758926284031432</c:v>
                </c:pt>
                <c:pt idx="1643">
                  <c:v>18.742614538700156</c:v>
                </c:pt>
                <c:pt idx="1644">
                  <c:v>18.726302793368884</c:v>
                </c:pt>
                <c:pt idx="1645">
                  <c:v>18.709991048037612</c:v>
                </c:pt>
                <c:pt idx="1646">
                  <c:v>18.905897929205313</c:v>
                </c:pt>
                <c:pt idx="1647">
                  <c:v>18.889754938340069</c:v>
                </c:pt>
                <c:pt idx="1648">
                  <c:v>18.873611947474824</c:v>
                </c:pt>
                <c:pt idx="1649">
                  <c:v>18.857468956609583</c:v>
                </c:pt>
                <c:pt idx="1650">
                  <c:v>19.051283282874049</c:v>
                </c:pt>
                <c:pt idx="1651">
                  <c:v>19.035307248300658</c:v>
                </c:pt>
                <c:pt idx="1652">
                  <c:v>19.019331213727259</c:v>
                </c:pt>
                <c:pt idx="1653">
                  <c:v>19.211107607395792</c:v>
                </c:pt>
                <c:pt idx="1654">
                  <c:v>19.195296775805158</c:v>
                </c:pt>
                <c:pt idx="1655">
                  <c:v>19.179485944214516</c:v>
                </c:pt>
                <c:pt idx="1656">
                  <c:v>19.163675112623881</c:v>
                </c:pt>
                <c:pt idx="1657">
                  <c:v>19.353466593555527</c:v>
                </c:pt>
                <c:pt idx="1658">
                  <c:v>19.337819255193722</c:v>
                </c:pt>
                <c:pt idx="1659">
                  <c:v>19.322171916831913</c:v>
                </c:pt>
                <c:pt idx="1660">
                  <c:v>19.30652457847011</c:v>
                </c:pt>
                <c:pt idx="1661">
                  <c:v>19.392105365026062</c:v>
                </c:pt>
                <c:pt idx="1662">
                  <c:v>19.376538522417384</c:v>
                </c:pt>
                <c:pt idx="1663">
                  <c:v>19.360971679808706</c:v>
                </c:pt>
                <c:pt idx="1664">
                  <c:v>19.345404837200025</c:v>
                </c:pt>
                <c:pt idx="1665">
                  <c:v>19.329837994591344</c:v>
                </c:pt>
                <c:pt idx="1666">
                  <c:v>19.414925616956612</c:v>
                </c:pt>
                <c:pt idx="1667">
                  <c:v>19.399438813931503</c:v>
                </c:pt>
                <c:pt idx="1668">
                  <c:v>19.383952010906391</c:v>
                </c:pt>
                <c:pt idx="1669">
                  <c:v>19.368465207881275</c:v>
                </c:pt>
                <c:pt idx="1670">
                  <c:v>19.352261700690253</c:v>
                </c:pt>
                <c:pt idx="1671">
                  <c:v>19.336774327748021</c:v>
                </c:pt>
                <c:pt idx="1672">
                  <c:v>19.321286954805789</c:v>
                </c:pt>
                <c:pt idx="1673">
                  <c:v>19.305799581863553</c:v>
                </c:pt>
                <c:pt idx="1674">
                  <c:v>19.809913172501481</c:v>
                </c:pt>
                <c:pt idx="1675">
                  <c:v>19.794838981873184</c:v>
                </c:pt>
                <c:pt idx="1676">
                  <c:v>19.796924434621154</c:v>
                </c:pt>
                <c:pt idx="1677">
                  <c:v>19.781863889196881</c:v>
                </c:pt>
                <c:pt idx="1678">
                  <c:v>19.766803343772605</c:v>
                </c:pt>
                <c:pt idx="1679">
                  <c:v>19.751742798348332</c:v>
                </c:pt>
                <c:pt idx="1680">
                  <c:v>19.736682252924052</c:v>
                </c:pt>
                <c:pt idx="1681">
                  <c:v>19.739659326598073</c:v>
                </c:pt>
                <c:pt idx="1682">
                  <c:v>19.72461312453672</c:v>
                </c:pt>
                <c:pt idx="1683">
                  <c:v>19.709566922475371</c:v>
                </c:pt>
                <c:pt idx="1684">
                  <c:v>19.694520720414022</c:v>
                </c:pt>
                <c:pt idx="1685">
                  <c:v>19.67947451835267</c:v>
                </c:pt>
                <c:pt idx="1686">
                  <c:v>19.784538012934043</c:v>
                </c:pt>
                <c:pt idx="1687">
                  <c:v>19.769587321092768</c:v>
                </c:pt>
                <c:pt idx="1688">
                  <c:v>19.7546366292515</c:v>
                </c:pt>
                <c:pt idx="1689">
                  <c:v>19.739685937410229</c:v>
                </c:pt>
                <c:pt idx="1690">
                  <c:v>19.724735245568962</c:v>
                </c:pt>
                <c:pt idx="1691">
                  <c:v>19.829180432140298</c:v>
                </c:pt>
                <c:pt idx="1692">
                  <c:v>19.814324682896864</c:v>
                </c:pt>
                <c:pt idx="1693">
                  <c:v>19.799468933653419</c:v>
                </c:pt>
                <c:pt idx="1694">
                  <c:v>19.784613184409984</c:v>
                </c:pt>
                <c:pt idx="1695">
                  <c:v>19.769757435166543</c:v>
                </c:pt>
                <c:pt idx="1696">
                  <c:v>19.973257749298835</c:v>
                </c:pt>
                <c:pt idx="1697">
                  <c:v>19.95857563495958</c:v>
                </c:pt>
                <c:pt idx="1698">
                  <c:v>19.943893520620328</c:v>
                </c:pt>
                <c:pt idx="1699">
                  <c:v>19.929211406281087</c:v>
                </c:pt>
                <c:pt idx="1700">
                  <c:v>19.914529291941836</c:v>
                </c:pt>
                <c:pt idx="1701">
                  <c:v>20.116018045199688</c:v>
                </c:pt>
                <c:pt idx="1702">
                  <c:v>20.101507828115334</c:v>
                </c:pt>
                <c:pt idx="1703">
                  <c:v>20.086997611030981</c:v>
                </c:pt>
                <c:pt idx="1704">
                  <c:v>20.072487393946627</c:v>
                </c:pt>
                <c:pt idx="1705">
                  <c:v>20.05797717686227</c:v>
                </c:pt>
                <c:pt idx="1706">
                  <c:v>20.257511062705564</c:v>
                </c:pt>
                <c:pt idx="1707">
                  <c:v>20.24317105169073</c:v>
                </c:pt>
                <c:pt idx="1708">
                  <c:v>20.228831040675903</c:v>
                </c:pt>
                <c:pt idx="1709">
                  <c:v>20.21449102966108</c:v>
                </c:pt>
                <c:pt idx="1710">
                  <c:v>20.200151018646249</c:v>
                </c:pt>
                <c:pt idx="1711">
                  <c:v>20.397785019672206</c:v>
                </c:pt>
                <c:pt idx="1712">
                  <c:v>20.383613568608048</c:v>
                </c:pt>
                <c:pt idx="1713">
                  <c:v>20.369442117543894</c:v>
                </c:pt>
                <c:pt idx="1714">
                  <c:v>20.355270666479736</c:v>
                </c:pt>
                <c:pt idx="1715">
                  <c:v>20.341099215415579</c:v>
                </c:pt>
                <c:pt idx="1716">
                  <c:v>20.326927764351417</c:v>
                </c:pt>
                <c:pt idx="1717">
                  <c:v>20.522715216469045</c:v>
                </c:pt>
                <c:pt idx="1718">
                  <c:v>20.50871072295795</c:v>
                </c:pt>
                <c:pt idx="1719">
                  <c:v>20.494706229446859</c:v>
                </c:pt>
                <c:pt idx="1720">
                  <c:v>20.480701735935764</c:v>
                </c:pt>
                <c:pt idx="1721">
                  <c:v>20.466697242424669</c:v>
                </c:pt>
                <c:pt idx="1722">
                  <c:v>20.660689896167124</c:v>
                </c:pt>
                <c:pt idx="1723">
                  <c:v>20.646850800237285</c:v>
                </c:pt>
                <c:pt idx="1724">
                  <c:v>20.633011704307449</c:v>
                </c:pt>
                <c:pt idx="1725">
                  <c:v>20.619172608377614</c:v>
                </c:pt>
                <c:pt idx="1726">
                  <c:v>20.605333512447778</c:v>
                </c:pt>
                <c:pt idx="1727">
                  <c:v>20.591494416517939</c:v>
                </c:pt>
                <c:pt idx="1728">
                  <c:v>20.783742495640325</c:v>
                </c:pt>
                <c:pt idx="1729">
                  <c:v>20.770067278497919</c:v>
                </c:pt>
                <c:pt idx="1730">
                  <c:v>20.75639206135552</c:v>
                </c:pt>
                <c:pt idx="1731">
                  <c:v>20.742716844213117</c:v>
                </c:pt>
                <c:pt idx="1732">
                  <c:v>20.729041627070711</c:v>
                </c:pt>
                <c:pt idx="1733">
                  <c:v>20.715366409928311</c:v>
                </c:pt>
                <c:pt idx="1734">
                  <c:v>20.905918667430075</c:v>
                </c:pt>
                <c:pt idx="1735">
                  <c:v>20.892405850256996</c:v>
                </c:pt>
                <c:pt idx="1736">
                  <c:v>20.878893033083912</c:v>
                </c:pt>
                <c:pt idx="1737">
                  <c:v>20.865380215910829</c:v>
                </c:pt>
                <c:pt idx="1738">
                  <c:v>20.851867398737742</c:v>
                </c:pt>
                <c:pt idx="1739">
                  <c:v>20.838354581564658</c:v>
                </c:pt>
                <c:pt idx="1740">
                  <c:v>20.933386457315699</c:v>
                </c:pt>
                <c:pt idx="1741">
                  <c:v>20.919959953969052</c:v>
                </c:pt>
                <c:pt idx="1742">
                  <c:v>20.906533450622405</c:v>
                </c:pt>
                <c:pt idx="1743">
                  <c:v>20.893106947275765</c:v>
                </c:pt>
                <c:pt idx="1744">
                  <c:v>20.879680443929118</c:v>
                </c:pt>
                <c:pt idx="1745">
                  <c:v>20.866253940582471</c:v>
                </c:pt>
                <c:pt idx="1746">
                  <c:v>20.960959329055658</c:v>
                </c:pt>
                <c:pt idx="1747">
                  <c:v>20.947618811279483</c:v>
                </c:pt>
                <c:pt idx="1748">
                  <c:v>20.934278293503318</c:v>
                </c:pt>
                <c:pt idx="1749">
                  <c:v>20.92093777572715</c:v>
                </c:pt>
                <c:pt idx="1750">
                  <c:v>20.907597257950975</c:v>
                </c:pt>
                <c:pt idx="1751">
                  <c:v>20.894256740174811</c:v>
                </c:pt>
                <c:pt idx="1752">
                  <c:v>20.896121556550121</c:v>
                </c:pt>
                <c:pt idx="1753">
                  <c:v>20.882793129927713</c:v>
                </c:pt>
                <c:pt idx="1754">
                  <c:v>20.869464703305319</c:v>
                </c:pt>
                <c:pt idx="1755">
                  <c:v>20.856136276682918</c:v>
                </c:pt>
                <c:pt idx="1756">
                  <c:v>20.842807850060517</c:v>
                </c:pt>
                <c:pt idx="1757">
                  <c:v>20.829479423438116</c:v>
                </c:pt>
                <c:pt idx="1758">
                  <c:v>20.924164385176788</c:v>
                </c:pt>
                <c:pt idx="1759">
                  <c:v>20.91092184989191</c:v>
                </c:pt>
                <c:pt idx="1760">
                  <c:v>20.897679314607029</c:v>
                </c:pt>
                <c:pt idx="1761">
                  <c:v>20.884436779322151</c:v>
                </c:pt>
                <c:pt idx="1762">
                  <c:v>20.87119424403727</c:v>
                </c:pt>
                <c:pt idx="1763">
                  <c:v>20.857951708752392</c:v>
                </c:pt>
                <c:pt idx="1764">
                  <c:v>20.952350415440247</c:v>
                </c:pt>
                <c:pt idx="1765">
                  <c:v>20.939193475565215</c:v>
                </c:pt>
                <c:pt idx="1766">
                  <c:v>87.788172588001771</c:v>
                </c:pt>
                <c:pt idx="1767">
                  <c:v>87.828183856088998</c:v>
                </c:pt>
                <c:pt idx="1768">
                  <c:v>87.868195124176211</c:v>
                </c:pt>
                <c:pt idx="1769">
                  <c:v>87.908206392263438</c:v>
                </c:pt>
                <c:pt idx="1770">
                  <c:v>87.948217660350664</c:v>
                </c:pt>
                <c:pt idx="1771">
                  <c:v>87.988228928437877</c:v>
                </c:pt>
                <c:pt idx="1772">
                  <c:v>88.028240196525132</c:v>
                </c:pt>
                <c:pt idx="1773">
                  <c:v>88.068251464612331</c:v>
                </c:pt>
                <c:pt idx="1774">
                  <c:v>88.108262732699572</c:v>
                </c:pt>
                <c:pt idx="1775">
                  <c:v>88.148274000786785</c:v>
                </c:pt>
                <c:pt idx="1776">
                  <c:v>88.188285268874012</c:v>
                </c:pt>
                <c:pt idx="1777">
                  <c:v>88.228296536961253</c:v>
                </c:pt>
                <c:pt idx="1778">
                  <c:v>88.268307805048465</c:v>
                </c:pt>
                <c:pt idx="1779">
                  <c:v>88.308319073135692</c:v>
                </c:pt>
                <c:pt idx="1780">
                  <c:v>88.348330341222919</c:v>
                </c:pt>
                <c:pt idx="1781">
                  <c:v>88.388341609310132</c:v>
                </c:pt>
                <c:pt idx="1782">
                  <c:v>20.500368478906633</c:v>
                </c:pt>
                <c:pt idx="1783">
                  <c:v>20.500368478906633</c:v>
                </c:pt>
                <c:pt idx="1784">
                  <c:v>20.500368478906633</c:v>
                </c:pt>
                <c:pt idx="1785">
                  <c:v>20.500368478906633</c:v>
                </c:pt>
                <c:pt idx="1786">
                  <c:v>20.500368478906633</c:v>
                </c:pt>
                <c:pt idx="1787">
                  <c:v>20.500368478906633</c:v>
                </c:pt>
                <c:pt idx="1788">
                  <c:v>20.500368478906633</c:v>
                </c:pt>
                <c:pt idx="1789">
                  <c:v>20.500368478906633</c:v>
                </c:pt>
                <c:pt idx="1790">
                  <c:v>20.500368478906633</c:v>
                </c:pt>
                <c:pt idx="1791">
                  <c:v>20.500368478906633</c:v>
                </c:pt>
                <c:pt idx="1792">
                  <c:v>20.500368478906633</c:v>
                </c:pt>
                <c:pt idx="1793">
                  <c:v>20.500368478906633</c:v>
                </c:pt>
                <c:pt idx="1794">
                  <c:v>20.500368478906633</c:v>
                </c:pt>
                <c:pt idx="1795">
                  <c:v>20.500368478906633</c:v>
                </c:pt>
                <c:pt idx="1796">
                  <c:v>20.500368478906633</c:v>
                </c:pt>
                <c:pt idx="1797">
                  <c:v>20.500368478906633</c:v>
                </c:pt>
                <c:pt idx="1798">
                  <c:v>20.500368478906633</c:v>
                </c:pt>
                <c:pt idx="1799">
                  <c:v>20.500368478906633</c:v>
                </c:pt>
                <c:pt idx="1800">
                  <c:v>20.500368478906633</c:v>
                </c:pt>
                <c:pt idx="1801">
                  <c:v>20.500368478906633</c:v>
                </c:pt>
                <c:pt idx="1802">
                  <c:v>20.500368478906633</c:v>
                </c:pt>
                <c:pt idx="1803">
                  <c:v>20.500368478906633</c:v>
                </c:pt>
                <c:pt idx="1804">
                  <c:v>20.500368478906633</c:v>
                </c:pt>
                <c:pt idx="1805">
                  <c:v>20.500368478906633</c:v>
                </c:pt>
                <c:pt idx="1806">
                  <c:v>20.500368478906633</c:v>
                </c:pt>
                <c:pt idx="1807">
                  <c:v>20.500368478906633</c:v>
                </c:pt>
                <c:pt idx="1808">
                  <c:v>20.500368478906633</c:v>
                </c:pt>
                <c:pt idx="1809">
                  <c:v>20.500368478906633</c:v>
                </c:pt>
                <c:pt idx="1810">
                  <c:v>20.500368478906633</c:v>
                </c:pt>
                <c:pt idx="1811">
                  <c:v>20.500368478906633</c:v>
                </c:pt>
                <c:pt idx="1812">
                  <c:v>20.500368478906633</c:v>
                </c:pt>
                <c:pt idx="1813">
                  <c:v>20.500368478906633</c:v>
                </c:pt>
                <c:pt idx="1814">
                  <c:v>20.500368478906633</c:v>
                </c:pt>
                <c:pt idx="1815">
                  <c:v>20.500368478906633</c:v>
                </c:pt>
                <c:pt idx="1816">
                  <c:v>20.500368478906633</c:v>
                </c:pt>
                <c:pt idx="1817">
                  <c:v>20.500368478906633</c:v>
                </c:pt>
                <c:pt idx="1818">
                  <c:v>20.500368478906633</c:v>
                </c:pt>
                <c:pt idx="1819">
                  <c:v>20.500368478906633</c:v>
                </c:pt>
                <c:pt idx="1820">
                  <c:v>20.500368478906633</c:v>
                </c:pt>
                <c:pt idx="1821">
                  <c:v>20.500368478906633</c:v>
                </c:pt>
                <c:pt idx="1822">
                  <c:v>20.500368478906633</c:v>
                </c:pt>
                <c:pt idx="1823">
                  <c:v>20.500368478906633</c:v>
                </c:pt>
                <c:pt idx="1824">
                  <c:v>20.500368478906633</c:v>
                </c:pt>
                <c:pt idx="1825">
                  <c:v>20.500368478906633</c:v>
                </c:pt>
                <c:pt idx="1826">
                  <c:v>20.500368478906633</c:v>
                </c:pt>
                <c:pt idx="1827">
                  <c:v>20.500368478906633</c:v>
                </c:pt>
                <c:pt idx="1828">
                  <c:v>20.500368478906633</c:v>
                </c:pt>
                <c:pt idx="1829">
                  <c:v>20.500368478906633</c:v>
                </c:pt>
                <c:pt idx="1830">
                  <c:v>20.500368478906633</c:v>
                </c:pt>
                <c:pt idx="1831">
                  <c:v>20.500368478906633</c:v>
                </c:pt>
                <c:pt idx="1832">
                  <c:v>20.500368478906633</c:v>
                </c:pt>
                <c:pt idx="1833">
                  <c:v>20.500368478906633</c:v>
                </c:pt>
                <c:pt idx="1834">
                  <c:v>20.500368478906633</c:v>
                </c:pt>
                <c:pt idx="1835">
                  <c:v>20.500368478906633</c:v>
                </c:pt>
                <c:pt idx="1836">
                  <c:v>20.500368478906633</c:v>
                </c:pt>
                <c:pt idx="1837">
                  <c:v>20.500368478906633</c:v>
                </c:pt>
                <c:pt idx="1838">
                  <c:v>20.500368478906633</c:v>
                </c:pt>
                <c:pt idx="1839">
                  <c:v>20.500368478906633</c:v>
                </c:pt>
                <c:pt idx="1840">
                  <c:v>20.500368478906633</c:v>
                </c:pt>
                <c:pt idx="1841">
                  <c:v>20.500368478906633</c:v>
                </c:pt>
                <c:pt idx="1842">
                  <c:v>20.500368478906633</c:v>
                </c:pt>
                <c:pt idx="1843">
                  <c:v>20.500368478906633</c:v>
                </c:pt>
                <c:pt idx="1844">
                  <c:v>20.500368478906633</c:v>
                </c:pt>
                <c:pt idx="1845">
                  <c:v>20.500368478906633</c:v>
                </c:pt>
                <c:pt idx="1846">
                  <c:v>20.500368478906633</c:v>
                </c:pt>
                <c:pt idx="1847">
                  <c:v>20.500368478906633</c:v>
                </c:pt>
                <c:pt idx="1848">
                  <c:v>20.500368478906633</c:v>
                </c:pt>
                <c:pt idx="1849">
                  <c:v>20.500368478906633</c:v>
                </c:pt>
                <c:pt idx="1850">
                  <c:v>20.500368478906633</c:v>
                </c:pt>
                <c:pt idx="1851">
                  <c:v>20.500368478906633</c:v>
                </c:pt>
                <c:pt idx="1852">
                  <c:v>20.500368478906633</c:v>
                </c:pt>
                <c:pt idx="1853">
                  <c:v>20.500368478906633</c:v>
                </c:pt>
                <c:pt idx="1854">
                  <c:v>20.500368478906633</c:v>
                </c:pt>
                <c:pt idx="1855">
                  <c:v>20.500368478906633</c:v>
                </c:pt>
                <c:pt idx="1856">
                  <c:v>20.500368478906633</c:v>
                </c:pt>
                <c:pt idx="1857">
                  <c:v>20.500368478906633</c:v>
                </c:pt>
                <c:pt idx="1858">
                  <c:v>20.500368478906633</c:v>
                </c:pt>
                <c:pt idx="1859">
                  <c:v>20.500368478906633</c:v>
                </c:pt>
                <c:pt idx="1860">
                  <c:v>20.500368478906633</c:v>
                </c:pt>
                <c:pt idx="1861">
                  <c:v>20.500368478906633</c:v>
                </c:pt>
                <c:pt idx="1862">
                  <c:v>20.500368478906633</c:v>
                </c:pt>
                <c:pt idx="1863">
                  <c:v>20.500368478906633</c:v>
                </c:pt>
                <c:pt idx="1864">
                  <c:v>20.500368478906633</c:v>
                </c:pt>
                <c:pt idx="1865">
                  <c:v>20.500368478906633</c:v>
                </c:pt>
                <c:pt idx="1866">
                  <c:v>20.500368478906633</c:v>
                </c:pt>
                <c:pt idx="1867">
                  <c:v>20.500368478906633</c:v>
                </c:pt>
                <c:pt idx="1868">
                  <c:v>20.500368478906633</c:v>
                </c:pt>
                <c:pt idx="1869">
                  <c:v>20.500368478906633</c:v>
                </c:pt>
                <c:pt idx="1870">
                  <c:v>20.500368478906633</c:v>
                </c:pt>
                <c:pt idx="1871">
                  <c:v>20.500368478906633</c:v>
                </c:pt>
                <c:pt idx="1872">
                  <c:v>20.500368478906633</c:v>
                </c:pt>
                <c:pt idx="1873">
                  <c:v>20.500368478906633</c:v>
                </c:pt>
                <c:pt idx="1874">
                  <c:v>20.500368478906633</c:v>
                </c:pt>
                <c:pt idx="1875">
                  <c:v>20.500368478906633</c:v>
                </c:pt>
                <c:pt idx="1876">
                  <c:v>20.500368478906633</c:v>
                </c:pt>
                <c:pt idx="1877">
                  <c:v>20.500368478906633</c:v>
                </c:pt>
                <c:pt idx="1878">
                  <c:v>20.500368478906633</c:v>
                </c:pt>
                <c:pt idx="1879">
                  <c:v>20.500368478906633</c:v>
                </c:pt>
                <c:pt idx="1880">
                  <c:v>20.500368478906633</c:v>
                </c:pt>
                <c:pt idx="1881">
                  <c:v>20.500368478906633</c:v>
                </c:pt>
                <c:pt idx="1882">
                  <c:v>20.500368478906633</c:v>
                </c:pt>
                <c:pt idx="1883">
                  <c:v>20.486363985395538</c:v>
                </c:pt>
                <c:pt idx="1884">
                  <c:v>20.472359491884447</c:v>
                </c:pt>
                <c:pt idx="1885">
                  <c:v>20.458354998373355</c:v>
                </c:pt>
                <c:pt idx="1886">
                  <c:v>20.6523476521158</c:v>
                </c:pt>
                <c:pt idx="1887">
                  <c:v>20.638508556185968</c:v>
                </c:pt>
                <c:pt idx="1888">
                  <c:v>20.624669460256133</c:v>
                </c:pt>
                <c:pt idx="1889">
                  <c:v>20.610830364326294</c:v>
                </c:pt>
                <c:pt idx="1890">
                  <c:v>20.596991268396458</c:v>
                </c:pt>
                <c:pt idx="1891">
                  <c:v>20.789239347518841</c:v>
                </c:pt>
                <c:pt idx="1892">
                  <c:v>20.775564130376441</c:v>
                </c:pt>
                <c:pt idx="1893">
                  <c:v>20.761888913234042</c:v>
                </c:pt>
                <c:pt idx="1894">
                  <c:v>20.748213696091639</c:v>
                </c:pt>
                <c:pt idx="1895">
                  <c:v>20.734538478949236</c:v>
                </c:pt>
                <c:pt idx="1896">
                  <c:v>20.72086326180683</c:v>
                </c:pt>
                <c:pt idx="1897">
                  <c:v>20.911415519308601</c:v>
                </c:pt>
                <c:pt idx="1898">
                  <c:v>20.897902702135511</c:v>
                </c:pt>
                <c:pt idx="1899">
                  <c:v>20.884389884962431</c:v>
                </c:pt>
                <c:pt idx="1900">
                  <c:v>20.870877067789344</c:v>
                </c:pt>
                <c:pt idx="1901">
                  <c:v>20.857364250616264</c:v>
                </c:pt>
                <c:pt idx="1902">
                  <c:v>20.843851433443177</c:v>
                </c:pt>
                <c:pt idx="1903">
                  <c:v>20.938883309194214</c:v>
                </c:pt>
                <c:pt idx="1904">
                  <c:v>20.925456805847571</c:v>
                </c:pt>
                <c:pt idx="1905">
                  <c:v>20.912030302500924</c:v>
                </c:pt>
                <c:pt idx="1906">
                  <c:v>20.89860379915428</c:v>
                </c:pt>
                <c:pt idx="1907">
                  <c:v>20.88517729580764</c:v>
                </c:pt>
                <c:pt idx="1908">
                  <c:v>20.871750792460997</c:v>
                </c:pt>
                <c:pt idx="1909">
                  <c:v>20.966456180934173</c:v>
                </c:pt>
                <c:pt idx="1910">
                  <c:v>20.953115663158005</c:v>
                </c:pt>
                <c:pt idx="1911">
                  <c:v>20.939775145381834</c:v>
                </c:pt>
                <c:pt idx="1912">
                  <c:v>20.926434627605669</c:v>
                </c:pt>
                <c:pt idx="1913">
                  <c:v>20.913094109829501</c:v>
                </c:pt>
                <c:pt idx="1914">
                  <c:v>20.899753592053329</c:v>
                </c:pt>
                <c:pt idx="1915">
                  <c:v>20.901618408428636</c:v>
                </c:pt>
                <c:pt idx="1916">
                  <c:v>20.888289981806242</c:v>
                </c:pt>
                <c:pt idx="1917">
                  <c:v>20.874961555183841</c:v>
                </c:pt>
                <c:pt idx="1918">
                  <c:v>21.352346269599128</c:v>
                </c:pt>
                <c:pt idx="1919">
                  <c:v>21.339408053937269</c:v>
                </c:pt>
                <c:pt idx="1920">
                  <c:v>21.359821783094997</c:v>
                </c:pt>
                <c:pt idx="1921">
                  <c:v>21.346910088619001</c:v>
                </c:pt>
                <c:pt idx="1922">
                  <c:v>21.333998394143013</c:v>
                </c:pt>
                <c:pt idx="1923">
                  <c:v>21.321086699667024</c:v>
                </c:pt>
                <c:pt idx="1924">
                  <c:v>21.308175005191028</c:v>
                </c:pt>
                <c:pt idx="1925">
                  <c:v>21.295263310715036</c:v>
                </c:pt>
                <c:pt idx="1926">
                  <c:v>21.282351616239048</c:v>
                </c:pt>
                <c:pt idx="1927">
                  <c:v>21.303736746715032</c:v>
                </c:pt>
                <c:pt idx="1928">
                  <c:v>21.290852324785639</c:v>
                </c:pt>
                <c:pt idx="1929">
                  <c:v>21.277967902856254</c:v>
                </c:pt>
                <c:pt idx="1930">
                  <c:v>21.265083480926865</c:v>
                </c:pt>
                <c:pt idx="1931">
                  <c:v>21.25219905899748</c:v>
                </c:pt>
                <c:pt idx="1932">
                  <c:v>21.239314637068091</c:v>
                </c:pt>
                <c:pt idx="1933">
                  <c:v>21.226430215138702</c:v>
                </c:pt>
                <c:pt idx="1934">
                  <c:v>21.341501324232464</c:v>
                </c:pt>
                <c:pt idx="1935">
                  <c:v>21.328718651464641</c:v>
                </c:pt>
                <c:pt idx="1936">
                  <c:v>21.315935978696807</c:v>
                </c:pt>
                <c:pt idx="1937">
                  <c:v>21.30315330592898</c:v>
                </c:pt>
                <c:pt idx="1938">
                  <c:v>21.290370633161153</c:v>
                </c:pt>
                <c:pt idx="1939">
                  <c:v>21.277587960393326</c:v>
                </c:pt>
                <c:pt idx="1940">
                  <c:v>21.264805287625496</c:v>
                </c:pt>
                <c:pt idx="1941">
                  <c:v>21.252022614857665</c:v>
                </c:pt>
                <c:pt idx="1942">
                  <c:v>21.366681954932101</c:v>
                </c:pt>
                <c:pt idx="1943">
                  <c:v>21.354000622980497</c:v>
                </c:pt>
                <c:pt idx="1944">
                  <c:v>21.341319291028885</c:v>
                </c:pt>
                <c:pt idx="1945">
                  <c:v>21.328637959077284</c:v>
                </c:pt>
                <c:pt idx="1946">
                  <c:v>21.315956627125676</c:v>
                </c:pt>
                <c:pt idx="1947">
                  <c:v>21.303275295174068</c:v>
                </c:pt>
                <c:pt idx="1948">
                  <c:v>21.290593963222467</c:v>
                </c:pt>
                <c:pt idx="1949">
                  <c:v>21.496162240663828</c:v>
                </c:pt>
                <c:pt idx="1950">
                  <c:v>21.483654458965102</c:v>
                </c:pt>
                <c:pt idx="1951">
                  <c:v>21.471146677266375</c:v>
                </c:pt>
                <c:pt idx="1952">
                  <c:v>21.458638895567653</c:v>
                </c:pt>
                <c:pt idx="1953">
                  <c:v>21.446131113868923</c:v>
                </c:pt>
                <c:pt idx="1954">
                  <c:v>21.433623332170196</c:v>
                </c:pt>
                <c:pt idx="1955">
                  <c:v>21.42111555047147</c:v>
                </c:pt>
                <c:pt idx="1956">
                  <c:v>21.40860776877274</c:v>
                </c:pt>
                <c:pt idx="1957">
                  <c:v>21.612488005231778</c:v>
                </c:pt>
                <c:pt idx="1958">
                  <c:v>21.600152293464241</c:v>
                </c:pt>
                <c:pt idx="1959">
                  <c:v>21.587816581696707</c:v>
                </c:pt>
                <c:pt idx="1960">
                  <c:v>21.575480869929176</c:v>
                </c:pt>
                <c:pt idx="1961">
                  <c:v>21.563145158161642</c:v>
                </c:pt>
                <c:pt idx="1962">
                  <c:v>21.550809446394108</c:v>
                </c:pt>
                <c:pt idx="1963">
                  <c:v>21.538473734626574</c:v>
                </c:pt>
                <c:pt idx="1964">
                  <c:v>21.740717984242487</c:v>
                </c:pt>
                <c:pt idx="1965">
                  <c:v>21.72855290465461</c:v>
                </c:pt>
                <c:pt idx="1966">
                  <c:v>21.716387825066736</c:v>
                </c:pt>
                <c:pt idx="1967">
                  <c:v>21.704222745478859</c:v>
                </c:pt>
                <c:pt idx="1968">
                  <c:v>21.692057665890989</c:v>
                </c:pt>
                <c:pt idx="1969">
                  <c:v>21.679892586303115</c:v>
                </c:pt>
                <c:pt idx="1970">
                  <c:v>21.667727506715238</c:v>
                </c:pt>
                <c:pt idx="1971">
                  <c:v>21.655562427127368</c:v>
                </c:pt>
                <c:pt idx="1972">
                  <c:v>21.856221176550509</c:v>
                </c:pt>
                <c:pt idx="1973">
                  <c:v>21.844225332680612</c:v>
                </c:pt>
                <c:pt idx="1974">
                  <c:v>21.832229488810711</c:v>
                </c:pt>
                <c:pt idx="1975">
                  <c:v>21.820233644940814</c:v>
                </c:pt>
                <c:pt idx="1976">
                  <c:v>21.808237801070916</c:v>
                </c:pt>
                <c:pt idx="1977">
                  <c:v>21.796241957201016</c:v>
                </c:pt>
                <c:pt idx="1978">
                  <c:v>21.784246113331118</c:v>
                </c:pt>
                <c:pt idx="1979">
                  <c:v>21.772250269461221</c:v>
                </c:pt>
                <c:pt idx="1980">
                  <c:v>21.971372496649696</c:v>
                </c:pt>
                <c:pt idx="1981">
                  <c:v>21.9595445320934</c:v>
                </c:pt>
                <c:pt idx="1982">
                  <c:v>21.947716567537103</c:v>
                </c:pt>
                <c:pt idx="1983">
                  <c:v>21.93588860298081</c:v>
                </c:pt>
                <c:pt idx="1984">
                  <c:v>21.924060638424521</c:v>
                </c:pt>
                <c:pt idx="1985">
                  <c:v>21.912232673868225</c:v>
                </c:pt>
                <c:pt idx="1986">
                  <c:v>87.091276448279103</c:v>
                </c:pt>
                <c:pt idx="1987">
                  <c:v>87.13128771636633</c:v>
                </c:pt>
                <c:pt idx="1988">
                  <c:v>87.171298984453543</c:v>
                </c:pt>
                <c:pt idx="1989">
                  <c:v>87.21131025254077</c:v>
                </c:pt>
                <c:pt idx="1990">
                  <c:v>87.251321520628011</c:v>
                </c:pt>
                <c:pt idx="1991">
                  <c:v>87.291332788715238</c:v>
                </c:pt>
                <c:pt idx="1992">
                  <c:v>87.33134405680245</c:v>
                </c:pt>
                <c:pt idx="1993">
                  <c:v>87.371355324889677</c:v>
                </c:pt>
                <c:pt idx="1994">
                  <c:v>87.41136659297689</c:v>
                </c:pt>
                <c:pt idx="1995">
                  <c:v>87.451377861064117</c:v>
                </c:pt>
                <c:pt idx="1996">
                  <c:v>87.491389129151372</c:v>
                </c:pt>
                <c:pt idx="1997">
                  <c:v>87.531400397238585</c:v>
                </c:pt>
                <c:pt idx="1998">
                  <c:v>95.429000730279341</c:v>
                </c:pt>
                <c:pt idx="1999">
                  <c:v>95.475260287071563</c:v>
                </c:pt>
                <c:pt idx="2000">
                  <c:v>95.521519843863786</c:v>
                </c:pt>
                <c:pt idx="2001">
                  <c:v>95.567779400656008</c:v>
                </c:pt>
                <c:pt idx="2002">
                  <c:v>95.61403895744823</c:v>
                </c:pt>
                <c:pt idx="2003">
                  <c:v>95.660298514240438</c:v>
                </c:pt>
                <c:pt idx="2004">
                  <c:v>95.70655807103266</c:v>
                </c:pt>
                <c:pt idx="2005">
                  <c:v>95.752817627824868</c:v>
                </c:pt>
                <c:pt idx="2006">
                  <c:v>95.79907718461709</c:v>
                </c:pt>
                <c:pt idx="2007">
                  <c:v>95.845336741409312</c:v>
                </c:pt>
                <c:pt idx="2008">
                  <c:v>95.891596298201534</c:v>
                </c:pt>
                <c:pt idx="2009">
                  <c:v>95.937855854993757</c:v>
                </c:pt>
                <c:pt idx="2010">
                  <c:v>95.984115411785979</c:v>
                </c:pt>
                <c:pt idx="2011">
                  <c:v>96.030374968578187</c:v>
                </c:pt>
                <c:pt idx="2012">
                  <c:v>96.076634525370423</c:v>
                </c:pt>
                <c:pt idx="2013">
                  <c:v>96.122894082162631</c:v>
                </c:pt>
                <c:pt idx="2014">
                  <c:v>96.169153638954853</c:v>
                </c:pt>
                <c:pt idx="2015">
                  <c:v>96.215413195747061</c:v>
                </c:pt>
                <c:pt idx="2016">
                  <c:v>96.261672752539283</c:v>
                </c:pt>
                <c:pt idx="2017">
                  <c:v>96.307932309331505</c:v>
                </c:pt>
                <c:pt idx="2018">
                  <c:v>104.19841768436815</c:v>
                </c:pt>
                <c:pt idx="2019">
                  <c:v>104.25091490352403</c:v>
                </c:pt>
                <c:pt idx="2020">
                  <c:v>104.3034121226799</c:v>
                </c:pt>
                <c:pt idx="2021">
                  <c:v>104.35590934183577</c:v>
                </c:pt>
                <c:pt idx="2022">
                  <c:v>104.40840656099166</c:v>
                </c:pt>
                <c:pt idx="2023">
                  <c:v>104.46090378014753</c:v>
                </c:pt>
                <c:pt idx="2024">
                  <c:v>104.51340099930341</c:v>
                </c:pt>
                <c:pt idx="2025">
                  <c:v>104.5658982184593</c:v>
                </c:pt>
                <c:pt idx="2026">
                  <c:v>104.61839543761516</c:v>
                </c:pt>
                <c:pt idx="2027">
                  <c:v>104.67089265677106</c:v>
                </c:pt>
                <c:pt idx="2028">
                  <c:v>104.72338987592693</c:v>
                </c:pt>
                <c:pt idx="2029">
                  <c:v>104.77588709508279</c:v>
                </c:pt>
                <c:pt idx="2030">
                  <c:v>104.82838431423868</c:v>
                </c:pt>
                <c:pt idx="2031">
                  <c:v>104.88088153339456</c:v>
                </c:pt>
                <c:pt idx="2032">
                  <c:v>104.93337875255042</c:v>
                </c:pt>
                <c:pt idx="2033">
                  <c:v>104.98587597170632</c:v>
                </c:pt>
                <c:pt idx="2034">
                  <c:v>105.03837319086219</c:v>
                </c:pt>
                <c:pt idx="2035">
                  <c:v>105.09087041001807</c:v>
                </c:pt>
                <c:pt idx="2036">
                  <c:v>105.14336762917394</c:v>
                </c:pt>
                <c:pt idx="2037">
                  <c:v>105.19586484832983</c:v>
                </c:pt>
                <c:pt idx="2038">
                  <c:v>105.2483620674857</c:v>
                </c:pt>
                <c:pt idx="2039">
                  <c:v>105.30085928664158</c:v>
                </c:pt>
                <c:pt idx="2040">
                  <c:v>105.35335650579746</c:v>
                </c:pt>
                <c:pt idx="2041">
                  <c:v>105.40585372495333</c:v>
                </c:pt>
                <c:pt idx="2042">
                  <c:v>105.45835094410921</c:v>
                </c:pt>
                <c:pt idx="2043">
                  <c:v>105.51084816326509</c:v>
                </c:pt>
                <c:pt idx="2044">
                  <c:v>105.56334538242096</c:v>
                </c:pt>
                <c:pt idx="2045">
                  <c:v>105.61584260157684</c:v>
                </c:pt>
                <c:pt idx="2046">
                  <c:v>105.66833982073273</c:v>
                </c:pt>
                <c:pt idx="2047">
                  <c:v>105.72083703988859</c:v>
                </c:pt>
                <c:pt idx="2048">
                  <c:v>105.77333425904447</c:v>
                </c:pt>
                <c:pt idx="2049">
                  <c:v>105.82583147820037</c:v>
                </c:pt>
                <c:pt idx="2050">
                  <c:v>105.87832869735624</c:v>
                </c:pt>
                <c:pt idx="2051">
                  <c:v>105.93082591651212</c:v>
                </c:pt>
                <c:pt idx="2052">
                  <c:v>105.983323135668</c:v>
                </c:pt>
                <c:pt idx="2053">
                  <c:v>106.03582035482387</c:v>
                </c:pt>
                <c:pt idx="2054">
                  <c:v>106.08831757397975</c:v>
                </c:pt>
                <c:pt idx="2055">
                  <c:v>106.14081479313563</c:v>
                </c:pt>
                <c:pt idx="2056">
                  <c:v>106.19331201229153</c:v>
                </c:pt>
                <c:pt idx="2057">
                  <c:v>106.24580923144738</c:v>
                </c:pt>
                <c:pt idx="2058">
                  <c:v>16.691395719071824</c:v>
                </c:pt>
                <c:pt idx="2059">
                  <c:v>16.691395719071824</c:v>
                </c:pt>
                <c:pt idx="2060">
                  <c:v>16.691395719071824</c:v>
                </c:pt>
                <c:pt idx="2061">
                  <c:v>16.691395719071824</c:v>
                </c:pt>
                <c:pt idx="2062">
                  <c:v>16.691395719071824</c:v>
                </c:pt>
                <c:pt idx="2063">
                  <c:v>16.691395719071824</c:v>
                </c:pt>
                <c:pt idx="2064">
                  <c:v>16.691395719071824</c:v>
                </c:pt>
                <c:pt idx="2065">
                  <c:v>16.691395719071824</c:v>
                </c:pt>
                <c:pt idx="2066">
                  <c:v>16.691395719071824</c:v>
                </c:pt>
                <c:pt idx="2067">
                  <c:v>16.691395719071824</c:v>
                </c:pt>
                <c:pt idx="2068">
                  <c:v>16.691395719071824</c:v>
                </c:pt>
                <c:pt idx="2069">
                  <c:v>16.691395719071824</c:v>
                </c:pt>
                <c:pt idx="2070">
                  <c:v>16.691395719071824</c:v>
                </c:pt>
                <c:pt idx="2071">
                  <c:v>16.691395719071824</c:v>
                </c:pt>
                <c:pt idx="2072">
                  <c:v>16.691395719071824</c:v>
                </c:pt>
                <c:pt idx="2073">
                  <c:v>16.691395719071824</c:v>
                </c:pt>
                <c:pt idx="2074">
                  <c:v>16.691395719071824</c:v>
                </c:pt>
                <c:pt idx="2075">
                  <c:v>16.691395719071824</c:v>
                </c:pt>
                <c:pt idx="2076">
                  <c:v>16.691395719071824</c:v>
                </c:pt>
                <c:pt idx="2077">
                  <c:v>16.691395719071824</c:v>
                </c:pt>
                <c:pt idx="2078">
                  <c:v>16.691395719071824</c:v>
                </c:pt>
                <c:pt idx="2079">
                  <c:v>16.691395719071824</c:v>
                </c:pt>
                <c:pt idx="2080">
                  <c:v>16.691395719071824</c:v>
                </c:pt>
                <c:pt idx="2081">
                  <c:v>16.691395719071824</c:v>
                </c:pt>
                <c:pt idx="2082">
                  <c:v>16.691395719071824</c:v>
                </c:pt>
                <c:pt idx="2083">
                  <c:v>16.691395719071824</c:v>
                </c:pt>
                <c:pt idx="2084">
                  <c:v>16.691395719071824</c:v>
                </c:pt>
                <c:pt idx="2085">
                  <c:v>16.691395719071824</c:v>
                </c:pt>
                <c:pt idx="2086">
                  <c:v>16.691395719071824</c:v>
                </c:pt>
                <c:pt idx="2087">
                  <c:v>16.691395719071824</c:v>
                </c:pt>
                <c:pt idx="2088">
                  <c:v>16.691395719071824</c:v>
                </c:pt>
                <c:pt idx="2089">
                  <c:v>16.691395719071824</c:v>
                </c:pt>
                <c:pt idx="2090">
                  <c:v>16.691395719071824</c:v>
                </c:pt>
                <c:pt idx="2091">
                  <c:v>16.691395719071824</c:v>
                </c:pt>
                <c:pt idx="2092">
                  <c:v>16.691395719071824</c:v>
                </c:pt>
                <c:pt idx="2093">
                  <c:v>16.691395719071824</c:v>
                </c:pt>
                <c:pt idx="2094">
                  <c:v>16.691395719071824</c:v>
                </c:pt>
                <c:pt idx="2095">
                  <c:v>16.691395719071824</c:v>
                </c:pt>
                <c:pt idx="2096">
                  <c:v>16.691395719071824</c:v>
                </c:pt>
                <c:pt idx="2097">
                  <c:v>16.691395719071824</c:v>
                </c:pt>
                <c:pt idx="2098">
                  <c:v>16.691395719071824</c:v>
                </c:pt>
                <c:pt idx="2099">
                  <c:v>16.691395719071824</c:v>
                </c:pt>
                <c:pt idx="2100">
                  <c:v>16.691395719071824</c:v>
                </c:pt>
                <c:pt idx="2101">
                  <c:v>16.691395719071824</c:v>
                </c:pt>
                <c:pt idx="2102">
                  <c:v>16.691395719071824</c:v>
                </c:pt>
                <c:pt idx="2103">
                  <c:v>16.691395719071824</c:v>
                </c:pt>
                <c:pt idx="2104">
                  <c:v>16.691395719071824</c:v>
                </c:pt>
                <c:pt idx="2105">
                  <c:v>16.691395719071824</c:v>
                </c:pt>
                <c:pt idx="2106">
                  <c:v>16.691395719071824</c:v>
                </c:pt>
                <c:pt idx="2107">
                  <c:v>16.691395719071824</c:v>
                </c:pt>
                <c:pt idx="2108">
                  <c:v>16.691395719071824</c:v>
                </c:pt>
                <c:pt idx="2109">
                  <c:v>16.691395719071824</c:v>
                </c:pt>
                <c:pt idx="2110">
                  <c:v>16.691395719071824</c:v>
                </c:pt>
                <c:pt idx="2111">
                  <c:v>16.691395719071824</c:v>
                </c:pt>
                <c:pt idx="2112">
                  <c:v>16.691395719071824</c:v>
                </c:pt>
                <c:pt idx="2113">
                  <c:v>16.691395719071824</c:v>
                </c:pt>
                <c:pt idx="2114">
                  <c:v>16.691395719071824</c:v>
                </c:pt>
                <c:pt idx="2115">
                  <c:v>16.691395719071824</c:v>
                </c:pt>
                <c:pt idx="2116">
                  <c:v>16.691395719071824</c:v>
                </c:pt>
                <c:pt idx="2117">
                  <c:v>16.691395719071824</c:v>
                </c:pt>
                <c:pt idx="2118">
                  <c:v>16.691395719071824</c:v>
                </c:pt>
                <c:pt idx="2119">
                  <c:v>16.691395719071824</c:v>
                </c:pt>
                <c:pt idx="2120">
                  <c:v>16.691395719071824</c:v>
                </c:pt>
                <c:pt idx="2121">
                  <c:v>16.691395719071824</c:v>
                </c:pt>
                <c:pt idx="2122">
                  <c:v>16.691395719071824</c:v>
                </c:pt>
                <c:pt idx="2123">
                  <c:v>16.691395719071824</c:v>
                </c:pt>
                <c:pt idx="2124">
                  <c:v>16.691395719071824</c:v>
                </c:pt>
                <c:pt idx="2125">
                  <c:v>16.691395719071824</c:v>
                </c:pt>
                <c:pt idx="2126">
                  <c:v>16.691395719071824</c:v>
                </c:pt>
                <c:pt idx="2127">
                  <c:v>16.691395719071824</c:v>
                </c:pt>
                <c:pt idx="2128">
                  <c:v>16.691395719071824</c:v>
                </c:pt>
                <c:pt idx="2129">
                  <c:v>16.691395719071824</c:v>
                </c:pt>
                <c:pt idx="2130">
                  <c:v>16.691395719071824</c:v>
                </c:pt>
                <c:pt idx="2131">
                  <c:v>16.691395719071824</c:v>
                </c:pt>
                <c:pt idx="2132">
                  <c:v>16.691395719071824</c:v>
                </c:pt>
                <c:pt idx="2133">
                  <c:v>16.691395719071824</c:v>
                </c:pt>
                <c:pt idx="2134">
                  <c:v>16.691395719071824</c:v>
                </c:pt>
                <c:pt idx="2135">
                  <c:v>16.691395719071824</c:v>
                </c:pt>
                <c:pt idx="2136">
                  <c:v>16.691395719071824</c:v>
                </c:pt>
                <c:pt idx="2137">
                  <c:v>16.691395719071824</c:v>
                </c:pt>
                <c:pt idx="2138">
                  <c:v>16.691395719071824</c:v>
                </c:pt>
                <c:pt idx="2139">
                  <c:v>16.691395719071824</c:v>
                </c:pt>
                <c:pt idx="2140">
                  <c:v>16.691395719071824</c:v>
                </c:pt>
                <c:pt idx="2141">
                  <c:v>16.691395719071824</c:v>
                </c:pt>
                <c:pt idx="2142">
                  <c:v>16.691395719071824</c:v>
                </c:pt>
                <c:pt idx="2143">
                  <c:v>16.691395719071824</c:v>
                </c:pt>
                <c:pt idx="2144">
                  <c:v>16.691395719071824</c:v>
                </c:pt>
                <c:pt idx="2145">
                  <c:v>16.691395719071824</c:v>
                </c:pt>
                <c:pt idx="2146">
                  <c:v>16.691395719071824</c:v>
                </c:pt>
                <c:pt idx="2147">
                  <c:v>16.691395719071824</c:v>
                </c:pt>
                <c:pt idx="2148">
                  <c:v>16.691395719071824</c:v>
                </c:pt>
                <c:pt idx="2149">
                  <c:v>16.691395719071824</c:v>
                </c:pt>
                <c:pt idx="2150">
                  <c:v>16.691395719071824</c:v>
                </c:pt>
                <c:pt idx="2151">
                  <c:v>16.691395719071824</c:v>
                </c:pt>
                <c:pt idx="2152">
                  <c:v>16.691395719071824</c:v>
                </c:pt>
                <c:pt idx="2153">
                  <c:v>16.691395719071824</c:v>
                </c:pt>
                <c:pt idx="2154">
                  <c:v>16.691395719071824</c:v>
                </c:pt>
                <c:pt idx="2155">
                  <c:v>16.691395719071824</c:v>
                </c:pt>
                <c:pt idx="2156">
                  <c:v>16.691395719071824</c:v>
                </c:pt>
                <c:pt idx="2157">
                  <c:v>16.691395719071824</c:v>
                </c:pt>
                <c:pt idx="2158">
                  <c:v>16.691395719071824</c:v>
                </c:pt>
                <c:pt idx="2159">
                  <c:v>16.691395719071824</c:v>
                </c:pt>
                <c:pt idx="2160">
                  <c:v>16.691395719071824</c:v>
                </c:pt>
                <c:pt idx="2161">
                  <c:v>16.691395719071824</c:v>
                </c:pt>
                <c:pt idx="2162">
                  <c:v>16.691395719071824</c:v>
                </c:pt>
                <c:pt idx="2163">
                  <c:v>16.691395719071824</c:v>
                </c:pt>
                <c:pt idx="2164">
                  <c:v>16.691395719071824</c:v>
                </c:pt>
                <c:pt idx="2165">
                  <c:v>16.691395719071824</c:v>
                </c:pt>
                <c:pt idx="2166">
                  <c:v>16.691395719071824</c:v>
                </c:pt>
                <c:pt idx="2167">
                  <c:v>16.691395719071824</c:v>
                </c:pt>
                <c:pt idx="2168">
                  <c:v>16.691395719071824</c:v>
                </c:pt>
                <c:pt idx="2169">
                  <c:v>16.691395719071824</c:v>
                </c:pt>
                <c:pt idx="2170">
                  <c:v>16.691395719071824</c:v>
                </c:pt>
                <c:pt idx="2171">
                  <c:v>16.691395719071824</c:v>
                </c:pt>
                <c:pt idx="2172">
                  <c:v>16.691395719071824</c:v>
                </c:pt>
                <c:pt idx="2173">
                  <c:v>16.691395719071824</c:v>
                </c:pt>
                <c:pt idx="2174">
                  <c:v>16.691395719071824</c:v>
                </c:pt>
                <c:pt idx="2175">
                  <c:v>16.691395719071824</c:v>
                </c:pt>
                <c:pt idx="2176">
                  <c:v>16.691395719071824</c:v>
                </c:pt>
                <c:pt idx="2177">
                  <c:v>16.691395719071824</c:v>
                </c:pt>
                <c:pt idx="2178">
                  <c:v>16.691395719071824</c:v>
                </c:pt>
                <c:pt idx="2179">
                  <c:v>16.691395719071824</c:v>
                </c:pt>
                <c:pt idx="2180">
                  <c:v>16.691395719071824</c:v>
                </c:pt>
                <c:pt idx="2181">
                  <c:v>16.691395719071824</c:v>
                </c:pt>
                <c:pt idx="2182">
                  <c:v>16.691395719071824</c:v>
                </c:pt>
                <c:pt idx="2183">
                  <c:v>16.691395719071824</c:v>
                </c:pt>
                <c:pt idx="2184">
                  <c:v>16.691395719071824</c:v>
                </c:pt>
                <c:pt idx="2185">
                  <c:v>16.691395719071824</c:v>
                </c:pt>
                <c:pt idx="2186">
                  <c:v>16.691395719071824</c:v>
                </c:pt>
                <c:pt idx="2187">
                  <c:v>16.691395719071824</c:v>
                </c:pt>
                <c:pt idx="2188">
                  <c:v>16.691395719071824</c:v>
                </c:pt>
                <c:pt idx="2189">
                  <c:v>16.691395719071824</c:v>
                </c:pt>
                <c:pt idx="2190">
                  <c:v>16.691395719071824</c:v>
                </c:pt>
                <c:pt idx="2191">
                  <c:v>16.691395719071824</c:v>
                </c:pt>
                <c:pt idx="2192">
                  <c:v>16.691395719071824</c:v>
                </c:pt>
                <c:pt idx="2193">
                  <c:v>16.691395719071824</c:v>
                </c:pt>
                <c:pt idx="2194">
                  <c:v>16.691395719071824</c:v>
                </c:pt>
                <c:pt idx="2195">
                  <c:v>16.691395719071824</c:v>
                </c:pt>
                <c:pt idx="2196">
                  <c:v>16.691395719071824</c:v>
                </c:pt>
                <c:pt idx="2197">
                  <c:v>16.691395719071824</c:v>
                </c:pt>
                <c:pt idx="2198">
                  <c:v>16.691395719071824</c:v>
                </c:pt>
                <c:pt idx="2199">
                  <c:v>16.691395719071824</c:v>
                </c:pt>
                <c:pt idx="2200">
                  <c:v>16.691395719071824</c:v>
                </c:pt>
                <c:pt idx="2201">
                  <c:v>16.691395719071824</c:v>
                </c:pt>
                <c:pt idx="2202">
                  <c:v>16.691395719071824</c:v>
                </c:pt>
                <c:pt idx="2203">
                  <c:v>16.691395719071824</c:v>
                </c:pt>
                <c:pt idx="2204">
                  <c:v>16.691395719071824</c:v>
                </c:pt>
                <c:pt idx="2205">
                  <c:v>16.691395719071824</c:v>
                </c:pt>
                <c:pt idx="2206">
                  <c:v>16.691395719071824</c:v>
                </c:pt>
                <c:pt idx="2207">
                  <c:v>16.691395719071824</c:v>
                </c:pt>
                <c:pt idx="2208">
                  <c:v>16.691395719071824</c:v>
                </c:pt>
                <c:pt idx="2209">
                  <c:v>16.691395719071824</c:v>
                </c:pt>
                <c:pt idx="2210">
                  <c:v>16.691395719071824</c:v>
                </c:pt>
                <c:pt idx="2211">
                  <c:v>16.691395719071824</c:v>
                </c:pt>
                <c:pt idx="2212">
                  <c:v>16.691395719071824</c:v>
                </c:pt>
                <c:pt idx="2213">
                  <c:v>16.691395719071824</c:v>
                </c:pt>
                <c:pt idx="2214">
                  <c:v>16.691395719071824</c:v>
                </c:pt>
                <c:pt idx="2215">
                  <c:v>16.691395719071824</c:v>
                </c:pt>
                <c:pt idx="2216">
                  <c:v>16.691395719071824</c:v>
                </c:pt>
                <c:pt idx="2217">
                  <c:v>16.691395719071824</c:v>
                </c:pt>
                <c:pt idx="2218">
                  <c:v>16.691395719071824</c:v>
                </c:pt>
                <c:pt idx="2219">
                  <c:v>16.691395719071824</c:v>
                </c:pt>
                <c:pt idx="2220">
                  <c:v>16.691395719071824</c:v>
                </c:pt>
                <c:pt idx="2221">
                  <c:v>16.691395719071824</c:v>
                </c:pt>
                <c:pt idx="2222">
                  <c:v>16.691395719071824</c:v>
                </c:pt>
                <c:pt idx="2223">
                  <c:v>16.691395719071824</c:v>
                </c:pt>
                <c:pt idx="2224">
                  <c:v>16.691395719071824</c:v>
                </c:pt>
                <c:pt idx="2225">
                  <c:v>16.691395719071824</c:v>
                </c:pt>
                <c:pt idx="2226">
                  <c:v>16.691395719071824</c:v>
                </c:pt>
                <c:pt idx="2227">
                  <c:v>16.691395719071824</c:v>
                </c:pt>
                <c:pt idx="2228">
                  <c:v>16.691395719071824</c:v>
                </c:pt>
                <c:pt idx="2229">
                  <c:v>16.67263827683157</c:v>
                </c:pt>
                <c:pt idx="2230">
                  <c:v>16.653880834591316</c:v>
                </c:pt>
                <c:pt idx="2231">
                  <c:v>16.853534857007613</c:v>
                </c:pt>
                <c:pt idx="2232">
                  <c:v>16.834951093726179</c:v>
                </c:pt>
                <c:pt idx="2233">
                  <c:v>17.032175589626387</c:v>
                </c:pt>
                <c:pt idx="2234">
                  <c:v>17.013763435256688</c:v>
                </c:pt>
                <c:pt idx="2235">
                  <c:v>16.99535128088699</c:v>
                </c:pt>
                <c:pt idx="2236">
                  <c:v>17.190206289464065</c:v>
                </c:pt>
                <c:pt idx="2237">
                  <c:v>17.171963723347758</c:v>
                </c:pt>
                <c:pt idx="2238">
                  <c:v>17.364507519774985</c:v>
                </c:pt>
                <c:pt idx="2239">
                  <c:v>17.346432569200459</c:v>
                </c:pt>
                <c:pt idx="2240">
                  <c:v>17.32835761862594</c:v>
                </c:pt>
                <c:pt idx="2241">
                  <c:v>17.406057119947473</c:v>
                </c:pt>
                <c:pt idx="2242">
                  <c:v>17.38805832841118</c:v>
                </c:pt>
                <c:pt idx="2243">
                  <c:v>17.370059536874894</c:v>
                </c:pt>
                <c:pt idx="2244">
                  <c:v>17.447089803330385</c:v>
                </c:pt>
                <c:pt idx="2245">
                  <c:v>17.42916657810137</c:v>
                </c:pt>
                <c:pt idx="2246">
                  <c:v>17.394566306722712</c:v>
                </c:pt>
                <c:pt idx="2247">
                  <c:v>17.376629820046929</c:v>
                </c:pt>
                <c:pt idx="2248">
                  <c:v>18.288549499343532</c:v>
                </c:pt>
                <c:pt idx="2249">
                  <c:v>18.271352426466446</c:v>
                </c:pt>
                <c:pt idx="2250">
                  <c:v>18.254155353589361</c:v>
                </c:pt>
                <c:pt idx="2251">
                  <c:v>18.237527791030274</c:v>
                </c:pt>
                <c:pt idx="2252">
                  <c:v>18.220331171022995</c:v>
                </c:pt>
                <c:pt idx="2253">
                  <c:v>18.203134551015722</c:v>
                </c:pt>
                <c:pt idx="2254">
                  <c:v>18.185937931008446</c:v>
                </c:pt>
                <c:pt idx="2255">
                  <c:v>18.170183721612666</c:v>
                </c:pt>
                <c:pt idx="2256">
                  <c:v>18.15298824859817</c:v>
                </c:pt>
                <c:pt idx="2257">
                  <c:v>18.135792775583674</c:v>
                </c:pt>
                <c:pt idx="2258">
                  <c:v>18.120898777926122</c:v>
                </c:pt>
                <c:pt idx="2259">
                  <c:v>18.103705135025464</c:v>
                </c:pt>
                <c:pt idx="2260">
                  <c:v>18.08651149212481</c:v>
                </c:pt>
                <c:pt idx="2261">
                  <c:v>18.072464993002232</c:v>
                </c:pt>
                <c:pt idx="2262">
                  <c:v>18.055273852683822</c:v>
                </c:pt>
                <c:pt idx="2263">
                  <c:v>18.038082712365412</c:v>
                </c:pt>
                <c:pt idx="2264">
                  <c:v>18.02089157204701</c:v>
                </c:pt>
                <c:pt idx="2265">
                  <c:v>18.007680269535001</c:v>
                </c:pt>
                <c:pt idx="2266">
                  <c:v>17.990492293950126</c:v>
                </c:pt>
                <c:pt idx="2267">
                  <c:v>17.973304318365255</c:v>
                </c:pt>
                <c:pt idx="2268">
                  <c:v>18.07118397383335</c:v>
                </c:pt>
                <c:pt idx="2269">
                  <c:v>18.054087499060433</c:v>
                </c:pt>
                <c:pt idx="2270">
                  <c:v>18.036991024287506</c:v>
                </c:pt>
                <c:pt idx="2271">
                  <c:v>18.134060550193865</c:v>
                </c:pt>
                <c:pt idx="2272">
                  <c:v>18.117054859264009</c:v>
                </c:pt>
                <c:pt idx="2273">
                  <c:v>18.100049168334152</c:v>
                </c:pt>
                <c:pt idx="2274">
                  <c:v>18.083043477404299</c:v>
                </c:pt>
                <c:pt idx="2275">
                  <c:v>18.287901046573445</c:v>
                </c:pt>
                <c:pt idx="2276">
                  <c:v>18.271071779441098</c:v>
                </c:pt>
                <c:pt idx="2277">
                  <c:v>18.254242512308746</c:v>
                </c:pt>
                <c:pt idx="2278">
                  <c:v>18.237413245176409</c:v>
                </c:pt>
                <c:pt idx="2279">
                  <c:v>18.439942481948037</c:v>
                </c:pt>
                <c:pt idx="2280">
                  <c:v>18.42328764685216</c:v>
                </c:pt>
                <c:pt idx="2281">
                  <c:v>18.406632811756275</c:v>
                </c:pt>
                <c:pt idx="2282">
                  <c:v>18.606895387444791</c:v>
                </c:pt>
                <c:pt idx="2283">
                  <c:v>18.590413043248667</c:v>
                </c:pt>
                <c:pt idx="2284">
                  <c:v>18.573930699052543</c:v>
                </c:pt>
                <c:pt idx="2285">
                  <c:v>18.557448354856415</c:v>
                </c:pt>
                <c:pt idx="2286">
                  <c:v>18.7555040767216</c:v>
                </c:pt>
                <c:pt idx="2287">
                  <c:v>18.739192331390324</c:v>
                </c:pt>
                <c:pt idx="2288">
                  <c:v>18.722880586059048</c:v>
                </c:pt>
                <c:pt idx="2289">
                  <c:v>18.706568840727776</c:v>
                </c:pt>
                <c:pt idx="2290">
                  <c:v>18.902475721895478</c:v>
                </c:pt>
                <c:pt idx="2291">
                  <c:v>18.886332731030237</c:v>
                </c:pt>
                <c:pt idx="2292">
                  <c:v>18.870189740164989</c:v>
                </c:pt>
                <c:pt idx="2293">
                  <c:v>19.064004066429465</c:v>
                </c:pt>
                <c:pt idx="2294">
                  <c:v>19.04802803185607</c:v>
                </c:pt>
                <c:pt idx="2295">
                  <c:v>19.032051997282668</c:v>
                </c:pt>
                <c:pt idx="2296">
                  <c:v>19.016075962709273</c:v>
                </c:pt>
                <c:pt idx="2297">
                  <c:v>19.207852356377803</c:v>
                </c:pt>
                <c:pt idx="2298">
                  <c:v>19.192041524787172</c:v>
                </c:pt>
                <c:pt idx="2299">
                  <c:v>19.17623069319653</c:v>
                </c:pt>
                <c:pt idx="2300">
                  <c:v>19.160419861605895</c:v>
                </c:pt>
                <c:pt idx="2301">
                  <c:v>19.350211342537541</c:v>
                </c:pt>
                <c:pt idx="2302">
                  <c:v>19.334564004175736</c:v>
                </c:pt>
                <c:pt idx="2303">
                  <c:v>19.31891666581393</c:v>
                </c:pt>
                <c:pt idx="2304">
                  <c:v>19.303269327452117</c:v>
                </c:pt>
                <c:pt idx="2305">
                  <c:v>19.388850114008072</c:v>
                </c:pt>
                <c:pt idx="2306">
                  <c:v>19.373283271399398</c:v>
                </c:pt>
                <c:pt idx="2307">
                  <c:v>19.357716428790717</c:v>
                </c:pt>
                <c:pt idx="2308">
                  <c:v>19.342149586182039</c:v>
                </c:pt>
                <c:pt idx="2309">
                  <c:v>19.427237208547304</c:v>
                </c:pt>
                <c:pt idx="2310">
                  <c:v>19.411750405522195</c:v>
                </c:pt>
                <c:pt idx="2311">
                  <c:v>19.396263602497086</c:v>
                </c:pt>
                <c:pt idx="2312">
                  <c:v>19.380776799471974</c:v>
                </c:pt>
                <c:pt idx="2313">
                  <c:v>19.364573292280948</c:v>
                </c:pt>
                <c:pt idx="2314">
                  <c:v>19.349085919338716</c:v>
                </c:pt>
                <c:pt idx="2315">
                  <c:v>19.33359854639648</c:v>
                </c:pt>
                <c:pt idx="2316">
                  <c:v>19.318111173454245</c:v>
                </c:pt>
                <c:pt idx="2317">
                  <c:v>19.302623800512013</c:v>
                </c:pt>
                <c:pt idx="2318">
                  <c:v>19.806737391149937</c:v>
                </c:pt>
                <c:pt idx="2319">
                  <c:v>19.79166320052164</c:v>
                </c:pt>
                <c:pt idx="2320">
                  <c:v>19.79374865326961</c:v>
                </c:pt>
                <c:pt idx="2321">
                  <c:v>19.778688107845337</c:v>
                </c:pt>
                <c:pt idx="2322">
                  <c:v>19.76362756242106</c:v>
                </c:pt>
                <c:pt idx="2323">
                  <c:v>19.748567016996788</c:v>
                </c:pt>
                <c:pt idx="2324">
                  <c:v>19.733506471572511</c:v>
                </c:pt>
                <c:pt idx="2325">
                  <c:v>19.736483545246529</c:v>
                </c:pt>
                <c:pt idx="2326">
                  <c:v>19.721437343185183</c:v>
                </c:pt>
                <c:pt idx="2327">
                  <c:v>19.706391141123827</c:v>
                </c:pt>
                <c:pt idx="2328">
                  <c:v>19.691344939062478</c:v>
                </c:pt>
                <c:pt idx="2329">
                  <c:v>19.796408433643848</c:v>
                </c:pt>
                <c:pt idx="2330">
                  <c:v>19.781457741802576</c:v>
                </c:pt>
                <c:pt idx="2331">
                  <c:v>19.766507049961312</c:v>
                </c:pt>
                <c:pt idx="2332">
                  <c:v>19.751556358120038</c:v>
                </c:pt>
                <c:pt idx="2333">
                  <c:v>19.736605666278777</c:v>
                </c:pt>
                <c:pt idx="2334">
                  <c:v>19.841050852850106</c:v>
                </c:pt>
                <c:pt idx="2335">
                  <c:v>19.826195103606672</c:v>
                </c:pt>
                <c:pt idx="2336">
                  <c:v>19.811339354363227</c:v>
                </c:pt>
                <c:pt idx="2337">
                  <c:v>19.796483605119796</c:v>
                </c:pt>
                <c:pt idx="2338">
                  <c:v>19.781627855876351</c:v>
                </c:pt>
                <c:pt idx="2339">
                  <c:v>19.985128170008647</c:v>
                </c:pt>
                <c:pt idx="2340">
                  <c:v>19.970446055669395</c:v>
                </c:pt>
                <c:pt idx="2341">
                  <c:v>19.95576394133014</c:v>
                </c:pt>
                <c:pt idx="2342">
                  <c:v>19.941081826990892</c:v>
                </c:pt>
                <c:pt idx="2343">
                  <c:v>19.926399712651641</c:v>
                </c:pt>
                <c:pt idx="2344">
                  <c:v>19.911717598312393</c:v>
                </c:pt>
                <c:pt idx="2345">
                  <c:v>20.113206351570252</c:v>
                </c:pt>
                <c:pt idx="2346">
                  <c:v>20.098696134485895</c:v>
                </c:pt>
                <c:pt idx="2347">
                  <c:v>20.084185917401538</c:v>
                </c:pt>
                <c:pt idx="2348">
                  <c:v>20.06967570031718</c:v>
                </c:pt>
                <c:pt idx="2349">
                  <c:v>20.05516548323283</c:v>
                </c:pt>
                <c:pt idx="2350">
                  <c:v>20.254699369076118</c:v>
                </c:pt>
                <c:pt idx="2351">
                  <c:v>20.240359358061291</c:v>
                </c:pt>
                <c:pt idx="2352">
                  <c:v>20.226019347046464</c:v>
                </c:pt>
                <c:pt idx="2353">
                  <c:v>20.211679336031636</c:v>
                </c:pt>
                <c:pt idx="2354">
                  <c:v>20.197339325016809</c:v>
                </c:pt>
                <c:pt idx="2355">
                  <c:v>20.394973326042766</c:v>
                </c:pt>
                <c:pt idx="2356">
                  <c:v>20.380801874978612</c:v>
                </c:pt>
                <c:pt idx="2357">
                  <c:v>20.366630423914458</c:v>
                </c:pt>
                <c:pt idx="2358">
                  <c:v>20.3524589728503</c:v>
                </c:pt>
                <c:pt idx="2359">
                  <c:v>20.338287521786139</c:v>
                </c:pt>
                <c:pt idx="2360">
                  <c:v>20.324116070721981</c:v>
                </c:pt>
                <c:pt idx="2361">
                  <c:v>20.519903522839606</c:v>
                </c:pt>
                <c:pt idx="2362">
                  <c:v>20.505899029328511</c:v>
                </c:pt>
                <c:pt idx="2363">
                  <c:v>20.491894535817419</c:v>
                </c:pt>
                <c:pt idx="2364">
                  <c:v>20.477890042306324</c:v>
                </c:pt>
                <c:pt idx="2365">
                  <c:v>20.463885548795233</c:v>
                </c:pt>
                <c:pt idx="2366">
                  <c:v>20.657878202537681</c:v>
                </c:pt>
                <c:pt idx="2367">
                  <c:v>20.644039106607845</c:v>
                </c:pt>
                <c:pt idx="2368">
                  <c:v>20.63020001067801</c:v>
                </c:pt>
                <c:pt idx="2369">
                  <c:v>20.616360914748174</c:v>
                </c:pt>
                <c:pt idx="2370">
                  <c:v>20.602521818818339</c:v>
                </c:pt>
                <c:pt idx="2371">
                  <c:v>20.5886827228885</c:v>
                </c:pt>
                <c:pt idx="2372">
                  <c:v>20.780930802010886</c:v>
                </c:pt>
                <c:pt idx="2373">
                  <c:v>20.767255584868483</c:v>
                </c:pt>
                <c:pt idx="2374">
                  <c:v>20.753580367726084</c:v>
                </c:pt>
                <c:pt idx="2375">
                  <c:v>20.739905150583677</c:v>
                </c:pt>
                <c:pt idx="2376">
                  <c:v>20.726229933441275</c:v>
                </c:pt>
                <c:pt idx="2377">
                  <c:v>20.712554716298875</c:v>
                </c:pt>
                <c:pt idx="2378">
                  <c:v>20.903106973800639</c:v>
                </c:pt>
                <c:pt idx="2379">
                  <c:v>20.889594156627556</c:v>
                </c:pt>
                <c:pt idx="2380">
                  <c:v>20.876081339454476</c:v>
                </c:pt>
                <c:pt idx="2381">
                  <c:v>20.862568522281393</c:v>
                </c:pt>
                <c:pt idx="2382">
                  <c:v>20.849055705108306</c:v>
                </c:pt>
                <c:pt idx="2383">
                  <c:v>20.944087580859343</c:v>
                </c:pt>
                <c:pt idx="2384">
                  <c:v>20.930661077512696</c:v>
                </c:pt>
                <c:pt idx="2385">
                  <c:v>20.917234574166052</c:v>
                </c:pt>
                <c:pt idx="2386">
                  <c:v>20.903808070819412</c:v>
                </c:pt>
                <c:pt idx="2387">
                  <c:v>20.890381567472769</c:v>
                </c:pt>
                <c:pt idx="2388">
                  <c:v>20.876955064126125</c:v>
                </c:pt>
                <c:pt idx="2389">
                  <c:v>20.971660452599302</c:v>
                </c:pt>
                <c:pt idx="2390">
                  <c:v>20.95831993482313</c:v>
                </c:pt>
                <c:pt idx="2391">
                  <c:v>20.944979417046969</c:v>
                </c:pt>
                <c:pt idx="2392">
                  <c:v>20.931638899270794</c:v>
                </c:pt>
                <c:pt idx="2393">
                  <c:v>20.91829838149463</c:v>
                </c:pt>
                <c:pt idx="2394">
                  <c:v>20.904957863718462</c:v>
                </c:pt>
                <c:pt idx="2395">
                  <c:v>20.906822680093768</c:v>
                </c:pt>
                <c:pt idx="2396">
                  <c:v>20.893494253471367</c:v>
                </c:pt>
                <c:pt idx="2397">
                  <c:v>20.880165826848966</c:v>
                </c:pt>
                <c:pt idx="2398">
                  <c:v>20.866837400226565</c:v>
                </c:pt>
                <c:pt idx="2399">
                  <c:v>20.853508973604168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39F-4356-9DF0-8C88EF5004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149312"/>
        <c:axId val="472151608"/>
      </c:scatterChart>
      <c:valAx>
        <c:axId val="472149312"/>
        <c:scaling>
          <c:orientation val="minMax"/>
          <c:max val="2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151608"/>
        <c:crosses val="autoZero"/>
        <c:crossBetween val="midCat"/>
        <c:majorUnit val="200"/>
      </c:valAx>
      <c:valAx>
        <c:axId val="472151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Travel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1493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Lean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2D Data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'Track Data'!$M$4:$M$2403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'Track Data'!$K$4:$K$2403</c:f>
              <c:numCache>
                <c:formatCode>General</c:formatCode>
                <c:ptCount val="2400"/>
                <c:pt idx="0">
                  <c:v>-5</c:v>
                </c:pt>
                <c:pt idx="1">
                  <c:v>-5</c:v>
                </c:pt>
                <c:pt idx="2">
                  <c:v>-5</c:v>
                </c:pt>
                <c:pt idx="3">
                  <c:v>-5</c:v>
                </c:pt>
                <c:pt idx="4">
                  <c:v>-5</c:v>
                </c:pt>
                <c:pt idx="5">
                  <c:v>-6</c:v>
                </c:pt>
                <c:pt idx="6">
                  <c:v>-7.4</c:v>
                </c:pt>
                <c:pt idx="7">
                  <c:v>-8.8000000000000007</c:v>
                </c:pt>
                <c:pt idx="8">
                  <c:v>-9.5</c:v>
                </c:pt>
                <c:pt idx="9">
                  <c:v>-10</c:v>
                </c:pt>
                <c:pt idx="10">
                  <c:v>-6.9</c:v>
                </c:pt>
                <c:pt idx="11">
                  <c:v>-3.8</c:v>
                </c:pt>
                <c:pt idx="12">
                  <c:v>-2.2999999999999998</c:v>
                </c:pt>
                <c:pt idx="13">
                  <c:v>0.8</c:v>
                </c:pt>
                <c:pt idx="14">
                  <c:v>0</c:v>
                </c:pt>
                <c:pt idx="15">
                  <c:v>-2.7</c:v>
                </c:pt>
                <c:pt idx="16">
                  <c:v>-4</c:v>
                </c:pt>
                <c:pt idx="17">
                  <c:v>-6.6</c:v>
                </c:pt>
                <c:pt idx="18">
                  <c:v>-8.3000000000000007</c:v>
                </c:pt>
                <c:pt idx="19">
                  <c:v>-7</c:v>
                </c:pt>
                <c:pt idx="20">
                  <c:v>-4.3</c:v>
                </c:pt>
                <c:pt idx="21">
                  <c:v>-1.7</c:v>
                </c:pt>
                <c:pt idx="22">
                  <c:v>1</c:v>
                </c:pt>
                <c:pt idx="23">
                  <c:v>1.8</c:v>
                </c:pt>
                <c:pt idx="24">
                  <c:v>1.8</c:v>
                </c:pt>
                <c:pt idx="25">
                  <c:v>1.8</c:v>
                </c:pt>
                <c:pt idx="26">
                  <c:v>1.8</c:v>
                </c:pt>
                <c:pt idx="27">
                  <c:v>1.8</c:v>
                </c:pt>
                <c:pt idx="28">
                  <c:v>-0.2</c:v>
                </c:pt>
                <c:pt idx="29">
                  <c:v>-3.2</c:v>
                </c:pt>
                <c:pt idx="30">
                  <c:v>-4.7</c:v>
                </c:pt>
                <c:pt idx="31">
                  <c:v>-7.6</c:v>
                </c:pt>
                <c:pt idx="32">
                  <c:v>-9.1</c:v>
                </c:pt>
                <c:pt idx="33">
                  <c:v>-6.5</c:v>
                </c:pt>
                <c:pt idx="34">
                  <c:v>-1.3</c:v>
                </c:pt>
                <c:pt idx="35">
                  <c:v>3.9</c:v>
                </c:pt>
                <c:pt idx="36">
                  <c:v>6.4</c:v>
                </c:pt>
                <c:pt idx="37">
                  <c:v>10.1</c:v>
                </c:pt>
                <c:pt idx="38">
                  <c:v>7.7</c:v>
                </c:pt>
                <c:pt idx="39">
                  <c:v>5.0999999999999996</c:v>
                </c:pt>
                <c:pt idx="40">
                  <c:v>3.9</c:v>
                </c:pt>
                <c:pt idx="41">
                  <c:v>1.4</c:v>
                </c:pt>
                <c:pt idx="42">
                  <c:v>5</c:v>
                </c:pt>
                <c:pt idx="43">
                  <c:v>8.1999999999999993</c:v>
                </c:pt>
                <c:pt idx="44">
                  <c:v>14.5</c:v>
                </c:pt>
                <c:pt idx="45">
                  <c:v>20.9</c:v>
                </c:pt>
                <c:pt idx="46">
                  <c:v>26.1</c:v>
                </c:pt>
                <c:pt idx="47">
                  <c:v>26.1</c:v>
                </c:pt>
                <c:pt idx="48">
                  <c:v>26.1</c:v>
                </c:pt>
                <c:pt idx="49">
                  <c:v>26.1</c:v>
                </c:pt>
                <c:pt idx="50">
                  <c:v>26.1</c:v>
                </c:pt>
                <c:pt idx="51">
                  <c:v>23.4</c:v>
                </c:pt>
                <c:pt idx="52">
                  <c:v>9.1</c:v>
                </c:pt>
                <c:pt idx="53">
                  <c:v>1.9</c:v>
                </c:pt>
                <c:pt idx="54">
                  <c:v>-12.4</c:v>
                </c:pt>
                <c:pt idx="55">
                  <c:v>-26.7</c:v>
                </c:pt>
                <c:pt idx="56">
                  <c:v>-29.6</c:v>
                </c:pt>
                <c:pt idx="57">
                  <c:v>-21.2</c:v>
                </c:pt>
                <c:pt idx="58">
                  <c:v>-12.7</c:v>
                </c:pt>
                <c:pt idx="59">
                  <c:v>-8.5</c:v>
                </c:pt>
                <c:pt idx="60">
                  <c:v>-0.1</c:v>
                </c:pt>
                <c:pt idx="61">
                  <c:v>-2.6</c:v>
                </c:pt>
                <c:pt idx="62">
                  <c:v>-6.3</c:v>
                </c:pt>
                <c:pt idx="63">
                  <c:v>-13.7</c:v>
                </c:pt>
                <c:pt idx="64">
                  <c:v>-21.1</c:v>
                </c:pt>
                <c:pt idx="65">
                  <c:v>-24.8</c:v>
                </c:pt>
                <c:pt idx="66">
                  <c:v>-18.2</c:v>
                </c:pt>
                <c:pt idx="67">
                  <c:v>-5.3</c:v>
                </c:pt>
                <c:pt idx="68">
                  <c:v>1.1000000000000001</c:v>
                </c:pt>
                <c:pt idx="69">
                  <c:v>14</c:v>
                </c:pt>
                <c:pt idx="70">
                  <c:v>24.5</c:v>
                </c:pt>
                <c:pt idx="71">
                  <c:v>24.5</c:v>
                </c:pt>
                <c:pt idx="72">
                  <c:v>24.5</c:v>
                </c:pt>
                <c:pt idx="73">
                  <c:v>24.5</c:v>
                </c:pt>
                <c:pt idx="74">
                  <c:v>24.5</c:v>
                </c:pt>
                <c:pt idx="75">
                  <c:v>21.9</c:v>
                </c:pt>
                <c:pt idx="76">
                  <c:v>8.3000000000000007</c:v>
                </c:pt>
                <c:pt idx="77">
                  <c:v>1.5</c:v>
                </c:pt>
                <c:pt idx="78">
                  <c:v>-12.3</c:v>
                </c:pt>
                <c:pt idx="79">
                  <c:v>-25.9</c:v>
                </c:pt>
                <c:pt idx="80">
                  <c:v>-28</c:v>
                </c:pt>
                <c:pt idx="81">
                  <c:v>-16.100000000000001</c:v>
                </c:pt>
                <c:pt idx="82">
                  <c:v>-4.3</c:v>
                </c:pt>
                <c:pt idx="83">
                  <c:v>1.7</c:v>
                </c:pt>
                <c:pt idx="84">
                  <c:v>13.5</c:v>
                </c:pt>
                <c:pt idx="85">
                  <c:v>13</c:v>
                </c:pt>
                <c:pt idx="86">
                  <c:v>9.9</c:v>
                </c:pt>
                <c:pt idx="87">
                  <c:v>3.7</c:v>
                </c:pt>
                <c:pt idx="88">
                  <c:v>-2.4</c:v>
                </c:pt>
                <c:pt idx="89">
                  <c:v>-5.5</c:v>
                </c:pt>
                <c:pt idx="90">
                  <c:v>-7.7</c:v>
                </c:pt>
                <c:pt idx="91">
                  <c:v>-8.1999999999999993</c:v>
                </c:pt>
                <c:pt idx="92">
                  <c:v>-8.4</c:v>
                </c:pt>
                <c:pt idx="93">
                  <c:v>-8.9</c:v>
                </c:pt>
                <c:pt idx="94">
                  <c:v>-9.3000000000000007</c:v>
                </c:pt>
                <c:pt idx="95">
                  <c:v>-9.3000000000000007</c:v>
                </c:pt>
                <c:pt idx="96">
                  <c:v>-9.3000000000000007</c:v>
                </c:pt>
                <c:pt idx="97">
                  <c:v>-9.3000000000000007</c:v>
                </c:pt>
                <c:pt idx="98">
                  <c:v>-9.3000000000000007</c:v>
                </c:pt>
                <c:pt idx="99">
                  <c:v>-8.9</c:v>
                </c:pt>
                <c:pt idx="100">
                  <c:v>-7.9</c:v>
                </c:pt>
                <c:pt idx="101">
                  <c:v>-5.9</c:v>
                </c:pt>
                <c:pt idx="102">
                  <c:v>-3.9</c:v>
                </c:pt>
                <c:pt idx="103">
                  <c:v>-2.9</c:v>
                </c:pt>
                <c:pt idx="104">
                  <c:v>-1.1000000000000001</c:v>
                </c:pt>
                <c:pt idx="105">
                  <c:v>-0.5</c:v>
                </c:pt>
                <c:pt idx="106">
                  <c:v>-0.2</c:v>
                </c:pt>
                <c:pt idx="107">
                  <c:v>0.4</c:v>
                </c:pt>
                <c:pt idx="108">
                  <c:v>1</c:v>
                </c:pt>
                <c:pt idx="109">
                  <c:v>1.1000000000000001</c:v>
                </c:pt>
                <c:pt idx="110">
                  <c:v>0.5</c:v>
                </c:pt>
                <c:pt idx="111">
                  <c:v>0.2</c:v>
                </c:pt>
                <c:pt idx="112">
                  <c:v>-0.4</c:v>
                </c:pt>
                <c:pt idx="113">
                  <c:v>-1</c:v>
                </c:pt>
                <c:pt idx="114">
                  <c:v>-1.2</c:v>
                </c:pt>
                <c:pt idx="115">
                  <c:v>-1.2</c:v>
                </c:pt>
                <c:pt idx="116">
                  <c:v>-1.2</c:v>
                </c:pt>
                <c:pt idx="117">
                  <c:v>-1.2</c:v>
                </c:pt>
                <c:pt idx="118">
                  <c:v>-1.2</c:v>
                </c:pt>
                <c:pt idx="119">
                  <c:v>-1.2</c:v>
                </c:pt>
                <c:pt idx="120">
                  <c:v>-1.2</c:v>
                </c:pt>
                <c:pt idx="121">
                  <c:v>-1.2</c:v>
                </c:pt>
                <c:pt idx="122">
                  <c:v>-1.2</c:v>
                </c:pt>
                <c:pt idx="123">
                  <c:v>-1.3</c:v>
                </c:pt>
                <c:pt idx="124">
                  <c:v>-1.5</c:v>
                </c:pt>
                <c:pt idx="125">
                  <c:v>-2</c:v>
                </c:pt>
                <c:pt idx="126">
                  <c:v>-2.5</c:v>
                </c:pt>
                <c:pt idx="127">
                  <c:v>-2.7</c:v>
                </c:pt>
                <c:pt idx="128">
                  <c:v>-3.6</c:v>
                </c:pt>
                <c:pt idx="129">
                  <c:v>-6.2</c:v>
                </c:pt>
                <c:pt idx="130">
                  <c:v>-8.8000000000000007</c:v>
                </c:pt>
                <c:pt idx="131">
                  <c:v>-10.1</c:v>
                </c:pt>
                <c:pt idx="132">
                  <c:v>-12.8</c:v>
                </c:pt>
                <c:pt idx="133">
                  <c:v>-9.6999999999999993</c:v>
                </c:pt>
                <c:pt idx="134">
                  <c:v>-4.0999999999999996</c:v>
                </c:pt>
                <c:pt idx="135">
                  <c:v>-1.3</c:v>
                </c:pt>
                <c:pt idx="136">
                  <c:v>4.3</c:v>
                </c:pt>
                <c:pt idx="137">
                  <c:v>8.1</c:v>
                </c:pt>
                <c:pt idx="138">
                  <c:v>4.0999999999999996</c:v>
                </c:pt>
                <c:pt idx="139">
                  <c:v>2.1</c:v>
                </c:pt>
                <c:pt idx="140">
                  <c:v>-1.7</c:v>
                </c:pt>
                <c:pt idx="141">
                  <c:v>-5.7</c:v>
                </c:pt>
                <c:pt idx="142">
                  <c:v>-6.9</c:v>
                </c:pt>
                <c:pt idx="143">
                  <c:v>-6.9</c:v>
                </c:pt>
                <c:pt idx="144">
                  <c:v>-6.9</c:v>
                </c:pt>
                <c:pt idx="145">
                  <c:v>-6.9</c:v>
                </c:pt>
                <c:pt idx="146">
                  <c:v>-7.2</c:v>
                </c:pt>
                <c:pt idx="147">
                  <c:v>-8.6999999999999993</c:v>
                </c:pt>
                <c:pt idx="148">
                  <c:v>-10.199999999999999</c:v>
                </c:pt>
                <c:pt idx="149">
                  <c:v>-11</c:v>
                </c:pt>
                <c:pt idx="150">
                  <c:v>-12.5</c:v>
                </c:pt>
                <c:pt idx="151">
                  <c:v>-15.3</c:v>
                </c:pt>
                <c:pt idx="152">
                  <c:v>-18.7</c:v>
                </c:pt>
                <c:pt idx="153">
                  <c:v>-22.1</c:v>
                </c:pt>
                <c:pt idx="154">
                  <c:v>-25.5</c:v>
                </c:pt>
                <c:pt idx="155">
                  <c:v>-23.9</c:v>
                </c:pt>
                <c:pt idx="156">
                  <c:v>-21.9</c:v>
                </c:pt>
                <c:pt idx="157">
                  <c:v>-17.899999999999999</c:v>
                </c:pt>
                <c:pt idx="158">
                  <c:v>-13.9</c:v>
                </c:pt>
                <c:pt idx="159">
                  <c:v>-9.9</c:v>
                </c:pt>
                <c:pt idx="160">
                  <c:v>-6.1</c:v>
                </c:pt>
                <c:pt idx="161">
                  <c:v>-2.4</c:v>
                </c:pt>
                <c:pt idx="162">
                  <c:v>1.4</c:v>
                </c:pt>
                <c:pt idx="163">
                  <c:v>4.4000000000000004</c:v>
                </c:pt>
                <c:pt idx="164">
                  <c:v>4.4000000000000004</c:v>
                </c:pt>
                <c:pt idx="165">
                  <c:v>4.4000000000000004</c:v>
                </c:pt>
                <c:pt idx="166">
                  <c:v>4.4000000000000004</c:v>
                </c:pt>
                <c:pt idx="167">
                  <c:v>4.4000000000000004</c:v>
                </c:pt>
                <c:pt idx="168">
                  <c:v>2.1</c:v>
                </c:pt>
                <c:pt idx="169">
                  <c:v>-1.2</c:v>
                </c:pt>
                <c:pt idx="170">
                  <c:v>-4.5</c:v>
                </c:pt>
                <c:pt idx="171">
                  <c:v>-7.8</c:v>
                </c:pt>
                <c:pt idx="172">
                  <c:v>-10.7</c:v>
                </c:pt>
                <c:pt idx="173">
                  <c:v>-13.5</c:v>
                </c:pt>
                <c:pt idx="174">
                  <c:v>-16.399999999999999</c:v>
                </c:pt>
                <c:pt idx="175">
                  <c:v>-19.2</c:v>
                </c:pt>
                <c:pt idx="176">
                  <c:v>-19.7</c:v>
                </c:pt>
                <c:pt idx="177">
                  <c:v>-19.100000000000001</c:v>
                </c:pt>
                <c:pt idx="178">
                  <c:v>-18.5</c:v>
                </c:pt>
                <c:pt idx="179">
                  <c:v>-18</c:v>
                </c:pt>
                <c:pt idx="180">
                  <c:v>-17.2</c:v>
                </c:pt>
                <c:pt idx="181">
                  <c:v>-16.3</c:v>
                </c:pt>
                <c:pt idx="182">
                  <c:v>-15</c:v>
                </c:pt>
                <c:pt idx="183">
                  <c:v>-14.3</c:v>
                </c:pt>
                <c:pt idx="184">
                  <c:v>-14.3</c:v>
                </c:pt>
                <c:pt idx="185">
                  <c:v>-14.3</c:v>
                </c:pt>
                <c:pt idx="186">
                  <c:v>-14.3</c:v>
                </c:pt>
                <c:pt idx="187">
                  <c:v>-14.3</c:v>
                </c:pt>
                <c:pt idx="188">
                  <c:v>-14.1</c:v>
                </c:pt>
                <c:pt idx="189">
                  <c:v>-13.9</c:v>
                </c:pt>
                <c:pt idx="190">
                  <c:v>-13.7</c:v>
                </c:pt>
                <c:pt idx="191">
                  <c:v>-13.1</c:v>
                </c:pt>
                <c:pt idx="192">
                  <c:v>-10.9</c:v>
                </c:pt>
                <c:pt idx="193">
                  <c:v>-7.5</c:v>
                </c:pt>
                <c:pt idx="194">
                  <c:v>-5.0999999999999996</c:v>
                </c:pt>
                <c:pt idx="195">
                  <c:v>-5.9</c:v>
                </c:pt>
                <c:pt idx="196">
                  <c:v>-8.3000000000000007</c:v>
                </c:pt>
                <c:pt idx="197">
                  <c:v>-10.5</c:v>
                </c:pt>
                <c:pt idx="198">
                  <c:v>-13.9</c:v>
                </c:pt>
                <c:pt idx="199">
                  <c:v>-15.2</c:v>
                </c:pt>
                <c:pt idx="200">
                  <c:v>-16.5</c:v>
                </c:pt>
                <c:pt idx="201">
                  <c:v>-17.8</c:v>
                </c:pt>
                <c:pt idx="202">
                  <c:v>-18.899999999999999</c:v>
                </c:pt>
                <c:pt idx="203">
                  <c:v>-18.899999999999999</c:v>
                </c:pt>
                <c:pt idx="204">
                  <c:v>-18.899999999999999</c:v>
                </c:pt>
                <c:pt idx="205">
                  <c:v>-18.899999999999999</c:v>
                </c:pt>
                <c:pt idx="206">
                  <c:v>-18.7</c:v>
                </c:pt>
                <c:pt idx="207">
                  <c:v>-18.600000000000001</c:v>
                </c:pt>
                <c:pt idx="208">
                  <c:v>-18.399999999999999</c:v>
                </c:pt>
                <c:pt idx="209">
                  <c:v>-18</c:v>
                </c:pt>
                <c:pt idx="210">
                  <c:v>-15.6</c:v>
                </c:pt>
                <c:pt idx="211">
                  <c:v>-13.9</c:v>
                </c:pt>
                <c:pt idx="212">
                  <c:v>-11.5</c:v>
                </c:pt>
                <c:pt idx="213">
                  <c:v>-10</c:v>
                </c:pt>
                <c:pt idx="214">
                  <c:v>-8.4</c:v>
                </c:pt>
                <c:pt idx="215">
                  <c:v>-6.1</c:v>
                </c:pt>
                <c:pt idx="216">
                  <c:v>-6.1</c:v>
                </c:pt>
                <c:pt idx="217">
                  <c:v>-7.3</c:v>
                </c:pt>
                <c:pt idx="218">
                  <c:v>-8.1</c:v>
                </c:pt>
                <c:pt idx="219">
                  <c:v>-8.8000000000000007</c:v>
                </c:pt>
                <c:pt idx="220">
                  <c:v>-8.8000000000000007</c:v>
                </c:pt>
                <c:pt idx="221">
                  <c:v>-8.8000000000000007</c:v>
                </c:pt>
                <c:pt idx="222">
                  <c:v>-8.9</c:v>
                </c:pt>
                <c:pt idx="223">
                  <c:v>-9.5</c:v>
                </c:pt>
                <c:pt idx="224">
                  <c:v>-10.4</c:v>
                </c:pt>
                <c:pt idx="225">
                  <c:v>-11</c:v>
                </c:pt>
                <c:pt idx="226">
                  <c:v>-9.5</c:v>
                </c:pt>
                <c:pt idx="227">
                  <c:v>-7.4</c:v>
                </c:pt>
                <c:pt idx="228">
                  <c:v>-6</c:v>
                </c:pt>
                <c:pt idx="229">
                  <c:v>-4.9000000000000004</c:v>
                </c:pt>
                <c:pt idx="230">
                  <c:v>-4.2</c:v>
                </c:pt>
                <c:pt idx="231">
                  <c:v>-3.3</c:v>
                </c:pt>
                <c:pt idx="232">
                  <c:v>-1.4</c:v>
                </c:pt>
                <c:pt idx="233">
                  <c:v>0</c:v>
                </c:pt>
                <c:pt idx="234">
                  <c:v>2.1</c:v>
                </c:pt>
                <c:pt idx="235">
                  <c:v>2.5</c:v>
                </c:pt>
                <c:pt idx="236">
                  <c:v>2.5</c:v>
                </c:pt>
                <c:pt idx="237">
                  <c:v>2.5</c:v>
                </c:pt>
                <c:pt idx="238">
                  <c:v>0.8</c:v>
                </c:pt>
                <c:pt idx="239">
                  <c:v>-1.3</c:v>
                </c:pt>
                <c:pt idx="240">
                  <c:v>-2.7</c:v>
                </c:pt>
                <c:pt idx="241">
                  <c:v>-4.4000000000000004</c:v>
                </c:pt>
                <c:pt idx="242">
                  <c:v>-6</c:v>
                </c:pt>
                <c:pt idx="243">
                  <c:v>-7.3</c:v>
                </c:pt>
                <c:pt idx="244">
                  <c:v>-5.9</c:v>
                </c:pt>
                <c:pt idx="245">
                  <c:v>-4.5</c:v>
                </c:pt>
                <c:pt idx="246">
                  <c:v>-3.5</c:v>
                </c:pt>
                <c:pt idx="247">
                  <c:v>-3.2</c:v>
                </c:pt>
                <c:pt idx="248">
                  <c:v>-2.7</c:v>
                </c:pt>
                <c:pt idx="249">
                  <c:v>-2.5</c:v>
                </c:pt>
                <c:pt idx="250">
                  <c:v>-2.5</c:v>
                </c:pt>
                <c:pt idx="251">
                  <c:v>-2.5</c:v>
                </c:pt>
                <c:pt idx="252">
                  <c:v>-3.1</c:v>
                </c:pt>
                <c:pt idx="253">
                  <c:v>-3.8</c:v>
                </c:pt>
                <c:pt idx="254">
                  <c:v>-4.0999999999999996</c:v>
                </c:pt>
                <c:pt idx="255">
                  <c:v>-1.7</c:v>
                </c:pt>
                <c:pt idx="256">
                  <c:v>0.2</c:v>
                </c:pt>
                <c:pt idx="257">
                  <c:v>2.1</c:v>
                </c:pt>
                <c:pt idx="258">
                  <c:v>3.9</c:v>
                </c:pt>
                <c:pt idx="259">
                  <c:v>5.3</c:v>
                </c:pt>
                <c:pt idx="260">
                  <c:v>2.5</c:v>
                </c:pt>
                <c:pt idx="261">
                  <c:v>0.4</c:v>
                </c:pt>
                <c:pt idx="262">
                  <c:v>0</c:v>
                </c:pt>
                <c:pt idx="263">
                  <c:v>0</c:v>
                </c:pt>
                <c:pt idx="264">
                  <c:v>0.3</c:v>
                </c:pt>
                <c:pt idx="265">
                  <c:v>1</c:v>
                </c:pt>
                <c:pt idx="266">
                  <c:v>1.7</c:v>
                </c:pt>
                <c:pt idx="267">
                  <c:v>1.3</c:v>
                </c:pt>
                <c:pt idx="268">
                  <c:v>0.7</c:v>
                </c:pt>
                <c:pt idx="269">
                  <c:v>0.9</c:v>
                </c:pt>
                <c:pt idx="270">
                  <c:v>1.5</c:v>
                </c:pt>
                <c:pt idx="271">
                  <c:v>1.8</c:v>
                </c:pt>
                <c:pt idx="272">
                  <c:v>1.8</c:v>
                </c:pt>
                <c:pt idx="273">
                  <c:v>1.8</c:v>
                </c:pt>
                <c:pt idx="274">
                  <c:v>1.8</c:v>
                </c:pt>
                <c:pt idx="275">
                  <c:v>1.1000000000000001</c:v>
                </c:pt>
                <c:pt idx="276">
                  <c:v>-0.1</c:v>
                </c:pt>
                <c:pt idx="277">
                  <c:v>-1.9</c:v>
                </c:pt>
                <c:pt idx="278">
                  <c:v>-2.8</c:v>
                </c:pt>
                <c:pt idx="279">
                  <c:v>-3.5</c:v>
                </c:pt>
                <c:pt idx="280">
                  <c:v>-1.3</c:v>
                </c:pt>
                <c:pt idx="281">
                  <c:v>0.7</c:v>
                </c:pt>
                <c:pt idx="282">
                  <c:v>1.3</c:v>
                </c:pt>
                <c:pt idx="283">
                  <c:v>1.8</c:v>
                </c:pt>
                <c:pt idx="284">
                  <c:v>1.8</c:v>
                </c:pt>
                <c:pt idx="285">
                  <c:v>1.8</c:v>
                </c:pt>
                <c:pt idx="286">
                  <c:v>2.2999999999999998</c:v>
                </c:pt>
                <c:pt idx="287">
                  <c:v>2.2000000000000002</c:v>
                </c:pt>
                <c:pt idx="288">
                  <c:v>1.2</c:v>
                </c:pt>
                <c:pt idx="289">
                  <c:v>0.9</c:v>
                </c:pt>
                <c:pt idx="290">
                  <c:v>1.5</c:v>
                </c:pt>
                <c:pt idx="291">
                  <c:v>0.8</c:v>
                </c:pt>
                <c:pt idx="292">
                  <c:v>-0.6</c:v>
                </c:pt>
                <c:pt idx="293">
                  <c:v>-0.6</c:v>
                </c:pt>
                <c:pt idx="294">
                  <c:v>-0.5</c:v>
                </c:pt>
                <c:pt idx="295">
                  <c:v>-0.1</c:v>
                </c:pt>
                <c:pt idx="296">
                  <c:v>-0.3</c:v>
                </c:pt>
                <c:pt idx="297">
                  <c:v>-1.1000000000000001</c:v>
                </c:pt>
                <c:pt idx="298">
                  <c:v>-3.1</c:v>
                </c:pt>
                <c:pt idx="299">
                  <c:v>-3.5</c:v>
                </c:pt>
                <c:pt idx="300">
                  <c:v>-3.1</c:v>
                </c:pt>
                <c:pt idx="301">
                  <c:v>-3.1</c:v>
                </c:pt>
                <c:pt idx="302">
                  <c:v>-6.5</c:v>
                </c:pt>
                <c:pt idx="303">
                  <c:v>-11.1</c:v>
                </c:pt>
                <c:pt idx="304">
                  <c:v>-15.1</c:v>
                </c:pt>
                <c:pt idx="305">
                  <c:v>-10.4</c:v>
                </c:pt>
                <c:pt idx="306">
                  <c:v>-15.3</c:v>
                </c:pt>
                <c:pt idx="307">
                  <c:v>-17.8</c:v>
                </c:pt>
                <c:pt idx="308">
                  <c:v>-19.7</c:v>
                </c:pt>
                <c:pt idx="309">
                  <c:v>-17.7</c:v>
                </c:pt>
                <c:pt idx="310">
                  <c:v>-9.6999999999999993</c:v>
                </c:pt>
                <c:pt idx="311">
                  <c:v>-24.6</c:v>
                </c:pt>
                <c:pt idx="312">
                  <c:v>-33.1</c:v>
                </c:pt>
                <c:pt idx="313">
                  <c:v>-33.1</c:v>
                </c:pt>
                <c:pt idx="314">
                  <c:v>-34.299999999999997</c:v>
                </c:pt>
                <c:pt idx="315">
                  <c:v>-40.200000000000003</c:v>
                </c:pt>
                <c:pt idx="316">
                  <c:v>-44.3</c:v>
                </c:pt>
                <c:pt idx="317">
                  <c:v>-44.1</c:v>
                </c:pt>
                <c:pt idx="318">
                  <c:v>-43.6</c:v>
                </c:pt>
                <c:pt idx="319">
                  <c:v>-44.3</c:v>
                </c:pt>
                <c:pt idx="320">
                  <c:v>-47.2</c:v>
                </c:pt>
                <c:pt idx="321">
                  <c:v>-13.5</c:v>
                </c:pt>
                <c:pt idx="322">
                  <c:v>-11.3</c:v>
                </c:pt>
                <c:pt idx="323">
                  <c:v>-26.9</c:v>
                </c:pt>
                <c:pt idx="324">
                  <c:v>-37.5</c:v>
                </c:pt>
                <c:pt idx="325">
                  <c:v>-59.1</c:v>
                </c:pt>
                <c:pt idx="326">
                  <c:v>-58.6</c:v>
                </c:pt>
                <c:pt idx="327">
                  <c:v>-57.9</c:v>
                </c:pt>
                <c:pt idx="328">
                  <c:v>-52.2</c:v>
                </c:pt>
                <c:pt idx="329">
                  <c:v>-46.4</c:v>
                </c:pt>
                <c:pt idx="330">
                  <c:v>-45.3</c:v>
                </c:pt>
                <c:pt idx="331">
                  <c:v>-45.5</c:v>
                </c:pt>
                <c:pt idx="332">
                  <c:v>-44.3</c:v>
                </c:pt>
                <c:pt idx="333">
                  <c:v>-28.1</c:v>
                </c:pt>
                <c:pt idx="334">
                  <c:v>-17.899999999999999</c:v>
                </c:pt>
                <c:pt idx="335">
                  <c:v>-32.200000000000003</c:v>
                </c:pt>
                <c:pt idx="336">
                  <c:v>-31.5</c:v>
                </c:pt>
                <c:pt idx="337">
                  <c:v>-18.399999999999999</c:v>
                </c:pt>
                <c:pt idx="338">
                  <c:v>-24.9</c:v>
                </c:pt>
                <c:pt idx="339">
                  <c:v>-34</c:v>
                </c:pt>
                <c:pt idx="340">
                  <c:v>-40.5</c:v>
                </c:pt>
                <c:pt idx="341">
                  <c:v>-40.299999999999997</c:v>
                </c:pt>
                <c:pt idx="342">
                  <c:v>-65.3</c:v>
                </c:pt>
                <c:pt idx="343">
                  <c:v>-78.400000000000006</c:v>
                </c:pt>
                <c:pt idx="344">
                  <c:v>-74.400000000000006</c:v>
                </c:pt>
                <c:pt idx="345">
                  <c:v>-59.9</c:v>
                </c:pt>
                <c:pt idx="346">
                  <c:v>-52.3</c:v>
                </c:pt>
                <c:pt idx="347">
                  <c:v>-48.5</c:v>
                </c:pt>
                <c:pt idx="348">
                  <c:v>-44</c:v>
                </c:pt>
                <c:pt idx="349">
                  <c:v>-24.3</c:v>
                </c:pt>
                <c:pt idx="350">
                  <c:v>-9.3000000000000007</c:v>
                </c:pt>
                <c:pt idx="351">
                  <c:v>-9.3000000000000007</c:v>
                </c:pt>
                <c:pt idx="352">
                  <c:v>-18.2</c:v>
                </c:pt>
                <c:pt idx="353">
                  <c:v>-36.9</c:v>
                </c:pt>
                <c:pt idx="354">
                  <c:v>-43.4</c:v>
                </c:pt>
                <c:pt idx="355">
                  <c:v>-44.2</c:v>
                </c:pt>
                <c:pt idx="356">
                  <c:v>-38.700000000000003</c:v>
                </c:pt>
                <c:pt idx="357">
                  <c:v>-35.299999999999997</c:v>
                </c:pt>
                <c:pt idx="358">
                  <c:v>-33.1</c:v>
                </c:pt>
                <c:pt idx="359">
                  <c:v>-33.1</c:v>
                </c:pt>
                <c:pt idx="360">
                  <c:v>-29.3</c:v>
                </c:pt>
                <c:pt idx="361">
                  <c:v>-23.1</c:v>
                </c:pt>
                <c:pt idx="362">
                  <c:v>-20.399999999999999</c:v>
                </c:pt>
                <c:pt idx="363">
                  <c:v>-18.100000000000001</c:v>
                </c:pt>
                <c:pt idx="364">
                  <c:v>-14.5</c:v>
                </c:pt>
                <c:pt idx="365">
                  <c:v>-9.1</c:v>
                </c:pt>
                <c:pt idx="366">
                  <c:v>-7.4</c:v>
                </c:pt>
                <c:pt idx="367">
                  <c:v>-7.4</c:v>
                </c:pt>
                <c:pt idx="368">
                  <c:v>-5.3</c:v>
                </c:pt>
                <c:pt idx="369">
                  <c:v>-2.9</c:v>
                </c:pt>
                <c:pt idx="370">
                  <c:v>-1.5</c:v>
                </c:pt>
                <c:pt idx="371">
                  <c:v>-0.1</c:v>
                </c:pt>
                <c:pt idx="372">
                  <c:v>0.6</c:v>
                </c:pt>
                <c:pt idx="373">
                  <c:v>0.6</c:v>
                </c:pt>
                <c:pt idx="374">
                  <c:v>0.8</c:v>
                </c:pt>
                <c:pt idx="375">
                  <c:v>1.4</c:v>
                </c:pt>
                <c:pt idx="376">
                  <c:v>1.8</c:v>
                </c:pt>
                <c:pt idx="377">
                  <c:v>1.8</c:v>
                </c:pt>
                <c:pt idx="378">
                  <c:v>1.9</c:v>
                </c:pt>
                <c:pt idx="379">
                  <c:v>3.1</c:v>
                </c:pt>
                <c:pt idx="380">
                  <c:v>4.7</c:v>
                </c:pt>
                <c:pt idx="381">
                  <c:v>4.4000000000000004</c:v>
                </c:pt>
                <c:pt idx="382">
                  <c:v>3.5</c:v>
                </c:pt>
                <c:pt idx="383">
                  <c:v>3.1</c:v>
                </c:pt>
                <c:pt idx="384">
                  <c:v>3.1</c:v>
                </c:pt>
                <c:pt idx="385">
                  <c:v>3.1</c:v>
                </c:pt>
                <c:pt idx="386">
                  <c:v>3.1</c:v>
                </c:pt>
                <c:pt idx="387">
                  <c:v>3.1</c:v>
                </c:pt>
                <c:pt idx="388">
                  <c:v>3.1</c:v>
                </c:pt>
                <c:pt idx="389">
                  <c:v>3.1</c:v>
                </c:pt>
                <c:pt idx="390">
                  <c:v>3.2</c:v>
                </c:pt>
                <c:pt idx="391">
                  <c:v>3.4</c:v>
                </c:pt>
                <c:pt idx="392">
                  <c:v>3.7</c:v>
                </c:pt>
                <c:pt idx="393">
                  <c:v>3.3</c:v>
                </c:pt>
                <c:pt idx="394">
                  <c:v>2.7</c:v>
                </c:pt>
                <c:pt idx="395">
                  <c:v>3.6</c:v>
                </c:pt>
                <c:pt idx="396">
                  <c:v>5.9</c:v>
                </c:pt>
                <c:pt idx="397">
                  <c:v>8.3000000000000007</c:v>
                </c:pt>
                <c:pt idx="398">
                  <c:v>7.1</c:v>
                </c:pt>
                <c:pt idx="399">
                  <c:v>5</c:v>
                </c:pt>
                <c:pt idx="400">
                  <c:v>3.1</c:v>
                </c:pt>
                <c:pt idx="401">
                  <c:v>3.1</c:v>
                </c:pt>
                <c:pt idx="402">
                  <c:v>3.1</c:v>
                </c:pt>
                <c:pt idx="403">
                  <c:v>2</c:v>
                </c:pt>
                <c:pt idx="404">
                  <c:v>-0.3</c:v>
                </c:pt>
                <c:pt idx="405">
                  <c:v>-2.6</c:v>
                </c:pt>
                <c:pt idx="406">
                  <c:v>-6.4</c:v>
                </c:pt>
                <c:pt idx="407">
                  <c:v>-10.6</c:v>
                </c:pt>
                <c:pt idx="408">
                  <c:v>-14.3</c:v>
                </c:pt>
                <c:pt idx="409">
                  <c:v>-13.7</c:v>
                </c:pt>
                <c:pt idx="410">
                  <c:v>-13.1</c:v>
                </c:pt>
                <c:pt idx="411">
                  <c:v>-15.9</c:v>
                </c:pt>
                <c:pt idx="412">
                  <c:v>-19.5</c:v>
                </c:pt>
                <c:pt idx="413">
                  <c:v>-22.8</c:v>
                </c:pt>
                <c:pt idx="414">
                  <c:v>-22.8</c:v>
                </c:pt>
                <c:pt idx="415">
                  <c:v>-22.8</c:v>
                </c:pt>
                <c:pt idx="416">
                  <c:v>-24.1</c:v>
                </c:pt>
                <c:pt idx="417">
                  <c:v>-27.1</c:v>
                </c:pt>
                <c:pt idx="418">
                  <c:v>-30</c:v>
                </c:pt>
                <c:pt idx="419">
                  <c:v>-33.299999999999997</c:v>
                </c:pt>
                <c:pt idx="420">
                  <c:v>-35.799999999999997</c:v>
                </c:pt>
                <c:pt idx="421">
                  <c:v>-37.9</c:v>
                </c:pt>
                <c:pt idx="422">
                  <c:v>-39.9</c:v>
                </c:pt>
                <c:pt idx="423">
                  <c:v>-41.7</c:v>
                </c:pt>
                <c:pt idx="424">
                  <c:v>-42.6</c:v>
                </c:pt>
                <c:pt idx="425">
                  <c:v>-43.1</c:v>
                </c:pt>
                <c:pt idx="426">
                  <c:v>-43.3</c:v>
                </c:pt>
                <c:pt idx="427">
                  <c:v>-43.3</c:v>
                </c:pt>
                <c:pt idx="428">
                  <c:v>-43.3</c:v>
                </c:pt>
                <c:pt idx="429">
                  <c:v>-42.3</c:v>
                </c:pt>
                <c:pt idx="430">
                  <c:v>-41.5</c:v>
                </c:pt>
                <c:pt idx="431">
                  <c:v>-37.6</c:v>
                </c:pt>
                <c:pt idx="432">
                  <c:v>-30.2</c:v>
                </c:pt>
                <c:pt idx="433">
                  <c:v>-22.5</c:v>
                </c:pt>
                <c:pt idx="434">
                  <c:v>-32.299999999999997</c:v>
                </c:pt>
                <c:pt idx="435">
                  <c:v>-42.3</c:v>
                </c:pt>
                <c:pt idx="436">
                  <c:v>-50.9</c:v>
                </c:pt>
                <c:pt idx="437">
                  <c:v>-60.7</c:v>
                </c:pt>
                <c:pt idx="438">
                  <c:v>-67.099999999999994</c:v>
                </c:pt>
                <c:pt idx="439">
                  <c:v>-67.099999999999994</c:v>
                </c:pt>
                <c:pt idx="440">
                  <c:v>-67.099999999999994</c:v>
                </c:pt>
                <c:pt idx="441">
                  <c:v>-64.3</c:v>
                </c:pt>
                <c:pt idx="442">
                  <c:v>-59.3</c:v>
                </c:pt>
                <c:pt idx="443">
                  <c:v>-57.1</c:v>
                </c:pt>
                <c:pt idx="444">
                  <c:v>-56.5</c:v>
                </c:pt>
                <c:pt idx="445">
                  <c:v>-55.5</c:v>
                </c:pt>
                <c:pt idx="446">
                  <c:v>-54.3</c:v>
                </c:pt>
                <c:pt idx="447">
                  <c:v>-52.5</c:v>
                </c:pt>
                <c:pt idx="448">
                  <c:v>-53.6</c:v>
                </c:pt>
                <c:pt idx="449">
                  <c:v>-55.3</c:v>
                </c:pt>
                <c:pt idx="450">
                  <c:v>-56.9</c:v>
                </c:pt>
                <c:pt idx="451">
                  <c:v>-56.9</c:v>
                </c:pt>
                <c:pt idx="452">
                  <c:v>-56.8</c:v>
                </c:pt>
                <c:pt idx="453">
                  <c:v>-56.2</c:v>
                </c:pt>
                <c:pt idx="454">
                  <c:v>-55.3</c:v>
                </c:pt>
                <c:pt idx="455">
                  <c:v>-54.5</c:v>
                </c:pt>
                <c:pt idx="456">
                  <c:v>-53.3</c:v>
                </c:pt>
                <c:pt idx="457">
                  <c:v>-52.4</c:v>
                </c:pt>
                <c:pt idx="458">
                  <c:v>-51.2</c:v>
                </c:pt>
                <c:pt idx="459">
                  <c:v>-49.2</c:v>
                </c:pt>
                <c:pt idx="460">
                  <c:v>-39.5</c:v>
                </c:pt>
                <c:pt idx="461">
                  <c:v>-26.5</c:v>
                </c:pt>
                <c:pt idx="462">
                  <c:v>-24.5</c:v>
                </c:pt>
                <c:pt idx="463">
                  <c:v>-24.5</c:v>
                </c:pt>
                <c:pt idx="464">
                  <c:v>-30.1</c:v>
                </c:pt>
                <c:pt idx="465">
                  <c:v>-42.2</c:v>
                </c:pt>
                <c:pt idx="466">
                  <c:v>-56.9</c:v>
                </c:pt>
                <c:pt idx="467">
                  <c:v>-57.3</c:v>
                </c:pt>
                <c:pt idx="468">
                  <c:v>-57.8</c:v>
                </c:pt>
                <c:pt idx="469">
                  <c:v>-57.1</c:v>
                </c:pt>
                <c:pt idx="470">
                  <c:v>-55.7</c:v>
                </c:pt>
                <c:pt idx="471">
                  <c:v>-55.2</c:v>
                </c:pt>
                <c:pt idx="472">
                  <c:v>-55.1</c:v>
                </c:pt>
                <c:pt idx="473">
                  <c:v>-55</c:v>
                </c:pt>
                <c:pt idx="474">
                  <c:v>-55</c:v>
                </c:pt>
                <c:pt idx="475">
                  <c:v>-55</c:v>
                </c:pt>
                <c:pt idx="476">
                  <c:v>-54.3</c:v>
                </c:pt>
                <c:pt idx="477">
                  <c:v>-53.5</c:v>
                </c:pt>
                <c:pt idx="478">
                  <c:v>-52.5</c:v>
                </c:pt>
                <c:pt idx="479">
                  <c:v>-51.8</c:v>
                </c:pt>
                <c:pt idx="480">
                  <c:v>-51.1</c:v>
                </c:pt>
                <c:pt idx="481">
                  <c:v>-52.5</c:v>
                </c:pt>
                <c:pt idx="482">
                  <c:v>-53.9</c:v>
                </c:pt>
                <c:pt idx="483">
                  <c:v>-54.3</c:v>
                </c:pt>
                <c:pt idx="484">
                  <c:v>-53.6</c:v>
                </c:pt>
                <c:pt idx="485">
                  <c:v>-53.1</c:v>
                </c:pt>
                <c:pt idx="486">
                  <c:v>-53.1</c:v>
                </c:pt>
                <c:pt idx="487">
                  <c:v>-53.1</c:v>
                </c:pt>
                <c:pt idx="488">
                  <c:v>-53.3</c:v>
                </c:pt>
                <c:pt idx="489">
                  <c:v>-53.7</c:v>
                </c:pt>
                <c:pt idx="490">
                  <c:v>-52.3</c:v>
                </c:pt>
                <c:pt idx="491">
                  <c:v>-39.4</c:v>
                </c:pt>
                <c:pt idx="492">
                  <c:v>-22.2</c:v>
                </c:pt>
                <c:pt idx="493">
                  <c:v>-30.3</c:v>
                </c:pt>
                <c:pt idx="494">
                  <c:v>-44</c:v>
                </c:pt>
                <c:pt idx="495">
                  <c:v>-55.8</c:v>
                </c:pt>
                <c:pt idx="496">
                  <c:v>-55.2</c:v>
                </c:pt>
                <c:pt idx="497">
                  <c:v>-54.3</c:v>
                </c:pt>
                <c:pt idx="498">
                  <c:v>-54.2</c:v>
                </c:pt>
                <c:pt idx="499">
                  <c:v>-54.2</c:v>
                </c:pt>
                <c:pt idx="500">
                  <c:v>-54.1</c:v>
                </c:pt>
                <c:pt idx="501">
                  <c:v>-53.5</c:v>
                </c:pt>
                <c:pt idx="502">
                  <c:v>-52.9</c:v>
                </c:pt>
                <c:pt idx="503">
                  <c:v>-51.9</c:v>
                </c:pt>
                <c:pt idx="504">
                  <c:v>-50.5</c:v>
                </c:pt>
                <c:pt idx="505">
                  <c:v>-49.1</c:v>
                </c:pt>
                <c:pt idx="506">
                  <c:v>-48.2</c:v>
                </c:pt>
                <c:pt idx="507">
                  <c:v>-47.5</c:v>
                </c:pt>
                <c:pt idx="508">
                  <c:v>-46.9</c:v>
                </c:pt>
                <c:pt idx="509">
                  <c:v>-47.8</c:v>
                </c:pt>
                <c:pt idx="510">
                  <c:v>-48.6</c:v>
                </c:pt>
                <c:pt idx="511">
                  <c:v>-49.1</c:v>
                </c:pt>
                <c:pt idx="512">
                  <c:v>-49.1</c:v>
                </c:pt>
                <c:pt idx="513">
                  <c:v>-49.1</c:v>
                </c:pt>
                <c:pt idx="514">
                  <c:v>-49.5</c:v>
                </c:pt>
                <c:pt idx="515">
                  <c:v>-50</c:v>
                </c:pt>
                <c:pt idx="516">
                  <c:v>-50.3</c:v>
                </c:pt>
                <c:pt idx="517">
                  <c:v>-49.6</c:v>
                </c:pt>
                <c:pt idx="518">
                  <c:v>-48.9</c:v>
                </c:pt>
                <c:pt idx="519">
                  <c:v>-42.6</c:v>
                </c:pt>
                <c:pt idx="520">
                  <c:v>-29.8</c:v>
                </c:pt>
                <c:pt idx="521">
                  <c:v>-21.3</c:v>
                </c:pt>
                <c:pt idx="522">
                  <c:v>-13.2</c:v>
                </c:pt>
                <c:pt idx="523">
                  <c:v>-10.9</c:v>
                </c:pt>
                <c:pt idx="524">
                  <c:v>-8.6</c:v>
                </c:pt>
                <c:pt idx="525">
                  <c:v>-8.1</c:v>
                </c:pt>
                <c:pt idx="526">
                  <c:v>-8.1</c:v>
                </c:pt>
                <c:pt idx="527">
                  <c:v>-8.6999999999999993</c:v>
                </c:pt>
                <c:pt idx="528">
                  <c:v>-11.8</c:v>
                </c:pt>
                <c:pt idx="529">
                  <c:v>-16.5</c:v>
                </c:pt>
                <c:pt idx="530">
                  <c:v>-19.899999999999999</c:v>
                </c:pt>
                <c:pt idx="531">
                  <c:v>-13.7</c:v>
                </c:pt>
                <c:pt idx="532">
                  <c:v>-7.7</c:v>
                </c:pt>
                <c:pt idx="533">
                  <c:v>-3.8</c:v>
                </c:pt>
                <c:pt idx="534">
                  <c:v>1.2</c:v>
                </c:pt>
                <c:pt idx="535">
                  <c:v>6.1</c:v>
                </c:pt>
                <c:pt idx="536">
                  <c:v>9.5</c:v>
                </c:pt>
                <c:pt idx="537">
                  <c:v>10.3</c:v>
                </c:pt>
                <c:pt idx="538">
                  <c:v>11.7</c:v>
                </c:pt>
                <c:pt idx="539">
                  <c:v>12.4</c:v>
                </c:pt>
                <c:pt idx="540">
                  <c:v>12.4</c:v>
                </c:pt>
                <c:pt idx="541">
                  <c:v>12.4</c:v>
                </c:pt>
                <c:pt idx="542">
                  <c:v>12.5</c:v>
                </c:pt>
                <c:pt idx="543">
                  <c:v>12.7</c:v>
                </c:pt>
                <c:pt idx="544">
                  <c:v>12.9</c:v>
                </c:pt>
                <c:pt idx="545">
                  <c:v>13.3</c:v>
                </c:pt>
                <c:pt idx="546">
                  <c:v>14</c:v>
                </c:pt>
                <c:pt idx="547">
                  <c:v>14.4</c:v>
                </c:pt>
                <c:pt idx="548">
                  <c:v>16.3</c:v>
                </c:pt>
                <c:pt idx="549">
                  <c:v>19.5</c:v>
                </c:pt>
                <c:pt idx="550">
                  <c:v>21.7</c:v>
                </c:pt>
                <c:pt idx="551">
                  <c:v>26.3</c:v>
                </c:pt>
                <c:pt idx="552">
                  <c:v>32.700000000000003</c:v>
                </c:pt>
                <c:pt idx="553">
                  <c:v>37</c:v>
                </c:pt>
                <c:pt idx="554">
                  <c:v>40.5</c:v>
                </c:pt>
                <c:pt idx="555">
                  <c:v>40.5</c:v>
                </c:pt>
                <c:pt idx="556">
                  <c:v>40.5</c:v>
                </c:pt>
                <c:pt idx="557">
                  <c:v>41.6</c:v>
                </c:pt>
                <c:pt idx="558">
                  <c:v>44.1</c:v>
                </c:pt>
                <c:pt idx="559">
                  <c:v>45.8</c:v>
                </c:pt>
                <c:pt idx="560">
                  <c:v>42.9</c:v>
                </c:pt>
                <c:pt idx="561">
                  <c:v>33.799999999999997</c:v>
                </c:pt>
                <c:pt idx="562">
                  <c:v>27.7</c:v>
                </c:pt>
                <c:pt idx="563">
                  <c:v>25.9</c:v>
                </c:pt>
                <c:pt idx="564">
                  <c:v>32.5</c:v>
                </c:pt>
                <c:pt idx="565">
                  <c:v>39.1</c:v>
                </c:pt>
                <c:pt idx="566">
                  <c:v>40.4</c:v>
                </c:pt>
                <c:pt idx="567">
                  <c:v>40.299999999999997</c:v>
                </c:pt>
                <c:pt idx="568">
                  <c:v>40.1</c:v>
                </c:pt>
                <c:pt idx="569">
                  <c:v>40.1</c:v>
                </c:pt>
                <c:pt idx="570">
                  <c:v>40.1</c:v>
                </c:pt>
                <c:pt idx="571">
                  <c:v>40.1</c:v>
                </c:pt>
                <c:pt idx="572">
                  <c:v>38.700000000000003</c:v>
                </c:pt>
                <c:pt idx="573">
                  <c:v>36.9</c:v>
                </c:pt>
                <c:pt idx="574">
                  <c:v>35.700000000000003</c:v>
                </c:pt>
                <c:pt idx="575">
                  <c:v>32.9</c:v>
                </c:pt>
                <c:pt idx="576">
                  <c:v>29.8</c:v>
                </c:pt>
                <c:pt idx="577">
                  <c:v>27.4</c:v>
                </c:pt>
                <c:pt idx="578">
                  <c:v>30.1</c:v>
                </c:pt>
                <c:pt idx="579">
                  <c:v>31.8</c:v>
                </c:pt>
                <c:pt idx="580">
                  <c:v>35.1</c:v>
                </c:pt>
                <c:pt idx="581">
                  <c:v>42.7</c:v>
                </c:pt>
                <c:pt idx="582">
                  <c:v>50.5</c:v>
                </c:pt>
                <c:pt idx="583">
                  <c:v>54.6</c:v>
                </c:pt>
                <c:pt idx="584">
                  <c:v>54.6</c:v>
                </c:pt>
                <c:pt idx="585">
                  <c:v>54.6</c:v>
                </c:pt>
                <c:pt idx="586">
                  <c:v>57.4</c:v>
                </c:pt>
                <c:pt idx="587">
                  <c:v>63.5</c:v>
                </c:pt>
                <c:pt idx="588">
                  <c:v>69.7</c:v>
                </c:pt>
                <c:pt idx="589">
                  <c:v>70.7</c:v>
                </c:pt>
                <c:pt idx="590">
                  <c:v>70.400000000000006</c:v>
                </c:pt>
                <c:pt idx="591">
                  <c:v>70</c:v>
                </c:pt>
                <c:pt idx="592">
                  <c:v>68.5</c:v>
                </c:pt>
                <c:pt idx="593">
                  <c:v>67.099999999999994</c:v>
                </c:pt>
                <c:pt idx="594">
                  <c:v>60.7</c:v>
                </c:pt>
                <c:pt idx="595">
                  <c:v>48.4</c:v>
                </c:pt>
                <c:pt idx="596">
                  <c:v>36.1</c:v>
                </c:pt>
                <c:pt idx="597">
                  <c:v>33.6</c:v>
                </c:pt>
                <c:pt idx="598">
                  <c:v>33.6</c:v>
                </c:pt>
                <c:pt idx="599">
                  <c:v>33.6</c:v>
                </c:pt>
                <c:pt idx="600">
                  <c:v>43.4</c:v>
                </c:pt>
                <c:pt idx="601">
                  <c:v>55.8</c:v>
                </c:pt>
                <c:pt idx="602">
                  <c:v>66.400000000000006</c:v>
                </c:pt>
                <c:pt idx="603">
                  <c:v>64.8</c:v>
                </c:pt>
                <c:pt idx="604">
                  <c:v>63.2</c:v>
                </c:pt>
                <c:pt idx="605">
                  <c:v>61.5</c:v>
                </c:pt>
                <c:pt idx="606">
                  <c:v>59.8</c:v>
                </c:pt>
                <c:pt idx="607">
                  <c:v>58.1</c:v>
                </c:pt>
                <c:pt idx="608">
                  <c:v>56.9</c:v>
                </c:pt>
                <c:pt idx="609">
                  <c:v>55.9</c:v>
                </c:pt>
                <c:pt idx="610">
                  <c:v>55</c:v>
                </c:pt>
                <c:pt idx="611">
                  <c:v>55</c:v>
                </c:pt>
                <c:pt idx="612">
                  <c:v>55</c:v>
                </c:pt>
                <c:pt idx="613">
                  <c:v>54.8</c:v>
                </c:pt>
                <c:pt idx="614">
                  <c:v>54.5</c:v>
                </c:pt>
                <c:pt idx="615">
                  <c:v>54.1</c:v>
                </c:pt>
                <c:pt idx="616">
                  <c:v>53.5</c:v>
                </c:pt>
                <c:pt idx="617">
                  <c:v>52.5</c:v>
                </c:pt>
                <c:pt idx="618">
                  <c:v>51.5</c:v>
                </c:pt>
                <c:pt idx="619">
                  <c:v>52</c:v>
                </c:pt>
                <c:pt idx="620">
                  <c:v>52.9</c:v>
                </c:pt>
                <c:pt idx="621">
                  <c:v>53.4</c:v>
                </c:pt>
                <c:pt idx="622">
                  <c:v>52</c:v>
                </c:pt>
                <c:pt idx="623">
                  <c:v>50.5</c:v>
                </c:pt>
                <c:pt idx="624">
                  <c:v>49.8</c:v>
                </c:pt>
                <c:pt idx="625">
                  <c:v>49.8</c:v>
                </c:pt>
                <c:pt idx="626">
                  <c:v>49.8</c:v>
                </c:pt>
                <c:pt idx="627">
                  <c:v>50</c:v>
                </c:pt>
                <c:pt idx="628">
                  <c:v>50.5</c:v>
                </c:pt>
                <c:pt idx="629">
                  <c:v>50.9</c:v>
                </c:pt>
                <c:pt idx="630">
                  <c:v>42.6</c:v>
                </c:pt>
                <c:pt idx="631">
                  <c:v>35.6</c:v>
                </c:pt>
                <c:pt idx="632">
                  <c:v>25</c:v>
                </c:pt>
                <c:pt idx="633">
                  <c:v>31.8</c:v>
                </c:pt>
                <c:pt idx="634">
                  <c:v>43.1</c:v>
                </c:pt>
                <c:pt idx="635">
                  <c:v>53.1</c:v>
                </c:pt>
                <c:pt idx="636">
                  <c:v>52.8</c:v>
                </c:pt>
                <c:pt idx="637">
                  <c:v>52.5</c:v>
                </c:pt>
                <c:pt idx="638">
                  <c:v>52.2</c:v>
                </c:pt>
                <c:pt idx="639">
                  <c:v>52.2</c:v>
                </c:pt>
                <c:pt idx="640">
                  <c:v>52.2</c:v>
                </c:pt>
                <c:pt idx="641">
                  <c:v>52.2</c:v>
                </c:pt>
                <c:pt idx="642">
                  <c:v>52</c:v>
                </c:pt>
                <c:pt idx="643">
                  <c:v>51.8</c:v>
                </c:pt>
                <c:pt idx="644">
                  <c:v>51.7</c:v>
                </c:pt>
                <c:pt idx="645">
                  <c:v>51.5</c:v>
                </c:pt>
                <c:pt idx="646">
                  <c:v>51.4</c:v>
                </c:pt>
                <c:pt idx="647">
                  <c:v>51.4</c:v>
                </c:pt>
                <c:pt idx="648">
                  <c:v>51.5</c:v>
                </c:pt>
                <c:pt idx="649">
                  <c:v>51.6</c:v>
                </c:pt>
                <c:pt idx="650">
                  <c:v>51.5</c:v>
                </c:pt>
                <c:pt idx="651">
                  <c:v>51.1</c:v>
                </c:pt>
                <c:pt idx="652">
                  <c:v>50.7</c:v>
                </c:pt>
                <c:pt idx="653">
                  <c:v>50.4</c:v>
                </c:pt>
                <c:pt idx="654">
                  <c:v>50.4</c:v>
                </c:pt>
                <c:pt idx="655">
                  <c:v>50.4</c:v>
                </c:pt>
                <c:pt idx="656">
                  <c:v>51.1</c:v>
                </c:pt>
                <c:pt idx="657">
                  <c:v>52.5</c:v>
                </c:pt>
                <c:pt idx="658">
                  <c:v>53.5</c:v>
                </c:pt>
                <c:pt idx="659">
                  <c:v>53.1</c:v>
                </c:pt>
                <c:pt idx="660">
                  <c:v>50.6</c:v>
                </c:pt>
                <c:pt idx="661">
                  <c:v>48.9</c:v>
                </c:pt>
                <c:pt idx="662">
                  <c:v>47.4</c:v>
                </c:pt>
                <c:pt idx="663">
                  <c:v>47.1</c:v>
                </c:pt>
                <c:pt idx="664">
                  <c:v>46.7</c:v>
                </c:pt>
                <c:pt idx="665">
                  <c:v>42.1</c:v>
                </c:pt>
                <c:pt idx="666">
                  <c:v>35.6</c:v>
                </c:pt>
                <c:pt idx="667">
                  <c:v>25.9</c:v>
                </c:pt>
                <c:pt idx="668">
                  <c:v>20.6</c:v>
                </c:pt>
                <c:pt idx="669">
                  <c:v>20.6</c:v>
                </c:pt>
                <c:pt idx="670">
                  <c:v>20.6</c:v>
                </c:pt>
                <c:pt idx="671">
                  <c:v>22.3</c:v>
                </c:pt>
                <c:pt idx="672">
                  <c:v>35.6</c:v>
                </c:pt>
                <c:pt idx="673">
                  <c:v>44.5</c:v>
                </c:pt>
                <c:pt idx="674">
                  <c:v>56.2</c:v>
                </c:pt>
                <c:pt idx="675">
                  <c:v>56.1</c:v>
                </c:pt>
                <c:pt idx="676">
                  <c:v>56</c:v>
                </c:pt>
                <c:pt idx="677">
                  <c:v>55.7</c:v>
                </c:pt>
                <c:pt idx="678">
                  <c:v>54.9</c:v>
                </c:pt>
                <c:pt idx="679">
                  <c:v>53.7</c:v>
                </c:pt>
                <c:pt idx="680">
                  <c:v>52.7</c:v>
                </c:pt>
                <c:pt idx="681">
                  <c:v>50.4</c:v>
                </c:pt>
                <c:pt idx="682">
                  <c:v>48.7</c:v>
                </c:pt>
                <c:pt idx="683">
                  <c:v>46.1</c:v>
                </c:pt>
                <c:pt idx="684">
                  <c:v>45.5</c:v>
                </c:pt>
                <c:pt idx="685">
                  <c:v>45.5</c:v>
                </c:pt>
                <c:pt idx="686">
                  <c:v>45.5</c:v>
                </c:pt>
                <c:pt idx="687">
                  <c:v>45.5</c:v>
                </c:pt>
                <c:pt idx="688">
                  <c:v>45.5</c:v>
                </c:pt>
                <c:pt idx="689">
                  <c:v>45.5</c:v>
                </c:pt>
                <c:pt idx="690">
                  <c:v>45.9</c:v>
                </c:pt>
                <c:pt idx="691">
                  <c:v>46.7</c:v>
                </c:pt>
                <c:pt idx="692">
                  <c:v>47.7</c:v>
                </c:pt>
                <c:pt idx="693">
                  <c:v>48.3</c:v>
                </c:pt>
                <c:pt idx="694">
                  <c:v>49</c:v>
                </c:pt>
                <c:pt idx="695">
                  <c:v>49.5</c:v>
                </c:pt>
                <c:pt idx="696">
                  <c:v>49.9</c:v>
                </c:pt>
                <c:pt idx="697">
                  <c:v>48.9</c:v>
                </c:pt>
                <c:pt idx="698">
                  <c:v>47.9</c:v>
                </c:pt>
                <c:pt idx="699">
                  <c:v>46.5</c:v>
                </c:pt>
                <c:pt idx="700">
                  <c:v>46.2</c:v>
                </c:pt>
                <c:pt idx="701">
                  <c:v>46.2</c:v>
                </c:pt>
                <c:pt idx="702">
                  <c:v>46.2</c:v>
                </c:pt>
                <c:pt idx="703">
                  <c:v>45.5</c:v>
                </c:pt>
                <c:pt idx="704">
                  <c:v>44.7</c:v>
                </c:pt>
                <c:pt idx="705">
                  <c:v>43.7</c:v>
                </c:pt>
                <c:pt idx="706">
                  <c:v>41.3</c:v>
                </c:pt>
                <c:pt idx="707">
                  <c:v>34.6</c:v>
                </c:pt>
                <c:pt idx="708">
                  <c:v>24.7</c:v>
                </c:pt>
                <c:pt idx="709">
                  <c:v>18.100000000000001</c:v>
                </c:pt>
                <c:pt idx="710">
                  <c:v>19.899999999999999</c:v>
                </c:pt>
                <c:pt idx="711">
                  <c:v>28.5</c:v>
                </c:pt>
                <c:pt idx="712">
                  <c:v>34.299999999999997</c:v>
                </c:pt>
                <c:pt idx="713">
                  <c:v>39</c:v>
                </c:pt>
                <c:pt idx="714">
                  <c:v>39.6</c:v>
                </c:pt>
                <c:pt idx="715">
                  <c:v>40</c:v>
                </c:pt>
                <c:pt idx="716">
                  <c:v>40.5</c:v>
                </c:pt>
                <c:pt idx="717">
                  <c:v>40.5</c:v>
                </c:pt>
                <c:pt idx="718">
                  <c:v>40.5</c:v>
                </c:pt>
                <c:pt idx="719">
                  <c:v>40.5</c:v>
                </c:pt>
                <c:pt idx="720">
                  <c:v>41.6</c:v>
                </c:pt>
                <c:pt idx="721">
                  <c:v>43.2</c:v>
                </c:pt>
                <c:pt idx="722">
                  <c:v>45.5</c:v>
                </c:pt>
                <c:pt idx="723">
                  <c:v>47</c:v>
                </c:pt>
                <c:pt idx="724">
                  <c:v>48.1</c:v>
                </c:pt>
                <c:pt idx="725">
                  <c:v>49.1</c:v>
                </c:pt>
                <c:pt idx="726">
                  <c:v>50.7</c:v>
                </c:pt>
                <c:pt idx="727">
                  <c:v>50.6</c:v>
                </c:pt>
                <c:pt idx="728">
                  <c:v>50.1</c:v>
                </c:pt>
                <c:pt idx="729">
                  <c:v>49.2</c:v>
                </c:pt>
                <c:pt idx="730">
                  <c:v>48.5</c:v>
                </c:pt>
                <c:pt idx="731">
                  <c:v>47.3</c:v>
                </c:pt>
                <c:pt idx="732">
                  <c:v>45.3</c:v>
                </c:pt>
                <c:pt idx="733">
                  <c:v>44</c:v>
                </c:pt>
                <c:pt idx="734">
                  <c:v>43.6</c:v>
                </c:pt>
                <c:pt idx="735">
                  <c:v>43.6</c:v>
                </c:pt>
                <c:pt idx="736">
                  <c:v>43.6</c:v>
                </c:pt>
                <c:pt idx="737">
                  <c:v>43.8</c:v>
                </c:pt>
                <c:pt idx="738">
                  <c:v>44.9</c:v>
                </c:pt>
                <c:pt idx="739">
                  <c:v>45.9</c:v>
                </c:pt>
                <c:pt idx="740">
                  <c:v>47.6</c:v>
                </c:pt>
                <c:pt idx="741">
                  <c:v>48</c:v>
                </c:pt>
                <c:pt idx="742">
                  <c:v>48.1</c:v>
                </c:pt>
                <c:pt idx="743">
                  <c:v>48.3</c:v>
                </c:pt>
                <c:pt idx="744">
                  <c:v>48.2</c:v>
                </c:pt>
                <c:pt idx="745">
                  <c:v>46.4</c:v>
                </c:pt>
                <c:pt idx="746">
                  <c:v>44.6</c:v>
                </c:pt>
                <c:pt idx="747">
                  <c:v>42.8</c:v>
                </c:pt>
                <c:pt idx="748">
                  <c:v>37.299999999999997</c:v>
                </c:pt>
                <c:pt idx="749">
                  <c:v>31.6</c:v>
                </c:pt>
                <c:pt idx="750">
                  <c:v>25.9</c:v>
                </c:pt>
                <c:pt idx="751">
                  <c:v>20.100000000000001</c:v>
                </c:pt>
                <c:pt idx="752">
                  <c:v>18.3</c:v>
                </c:pt>
                <c:pt idx="753">
                  <c:v>18.3</c:v>
                </c:pt>
                <c:pt idx="754">
                  <c:v>18.3</c:v>
                </c:pt>
                <c:pt idx="755">
                  <c:v>19.600000000000001</c:v>
                </c:pt>
                <c:pt idx="756">
                  <c:v>26.6</c:v>
                </c:pt>
                <c:pt idx="757">
                  <c:v>37.1</c:v>
                </c:pt>
                <c:pt idx="758">
                  <c:v>44</c:v>
                </c:pt>
                <c:pt idx="759">
                  <c:v>45.5</c:v>
                </c:pt>
                <c:pt idx="760">
                  <c:v>44.5</c:v>
                </c:pt>
                <c:pt idx="761">
                  <c:v>42.9</c:v>
                </c:pt>
                <c:pt idx="762">
                  <c:v>41.8</c:v>
                </c:pt>
                <c:pt idx="763">
                  <c:v>40.200000000000003</c:v>
                </c:pt>
                <c:pt idx="764">
                  <c:v>38.700000000000003</c:v>
                </c:pt>
                <c:pt idx="765">
                  <c:v>37.1</c:v>
                </c:pt>
                <c:pt idx="766">
                  <c:v>35.6</c:v>
                </c:pt>
                <c:pt idx="767">
                  <c:v>35.299999999999997</c:v>
                </c:pt>
                <c:pt idx="768">
                  <c:v>34.9</c:v>
                </c:pt>
                <c:pt idx="769">
                  <c:v>34.5</c:v>
                </c:pt>
                <c:pt idx="770">
                  <c:v>34.5</c:v>
                </c:pt>
                <c:pt idx="771">
                  <c:v>34.5</c:v>
                </c:pt>
                <c:pt idx="772">
                  <c:v>34.5</c:v>
                </c:pt>
                <c:pt idx="773">
                  <c:v>34.700000000000003</c:v>
                </c:pt>
                <c:pt idx="774">
                  <c:v>35.1</c:v>
                </c:pt>
                <c:pt idx="775">
                  <c:v>35.4</c:v>
                </c:pt>
                <c:pt idx="776">
                  <c:v>35.700000000000003</c:v>
                </c:pt>
                <c:pt idx="777">
                  <c:v>35.1</c:v>
                </c:pt>
                <c:pt idx="778">
                  <c:v>34.6</c:v>
                </c:pt>
                <c:pt idx="779">
                  <c:v>33.799999999999997</c:v>
                </c:pt>
                <c:pt idx="780">
                  <c:v>33.9</c:v>
                </c:pt>
                <c:pt idx="781">
                  <c:v>34.299999999999997</c:v>
                </c:pt>
                <c:pt idx="782">
                  <c:v>35</c:v>
                </c:pt>
                <c:pt idx="783">
                  <c:v>35.6</c:v>
                </c:pt>
                <c:pt idx="784">
                  <c:v>37.1</c:v>
                </c:pt>
                <c:pt idx="785">
                  <c:v>38</c:v>
                </c:pt>
                <c:pt idx="786">
                  <c:v>39</c:v>
                </c:pt>
                <c:pt idx="787">
                  <c:v>39.299999999999997</c:v>
                </c:pt>
                <c:pt idx="788">
                  <c:v>39.299999999999997</c:v>
                </c:pt>
                <c:pt idx="789">
                  <c:v>39.299999999999997</c:v>
                </c:pt>
                <c:pt idx="790">
                  <c:v>38</c:v>
                </c:pt>
                <c:pt idx="791">
                  <c:v>35.1</c:v>
                </c:pt>
                <c:pt idx="792">
                  <c:v>33.1</c:v>
                </c:pt>
                <c:pt idx="793">
                  <c:v>28.5</c:v>
                </c:pt>
                <c:pt idx="794">
                  <c:v>24</c:v>
                </c:pt>
                <c:pt idx="795">
                  <c:v>17.3</c:v>
                </c:pt>
                <c:pt idx="796">
                  <c:v>14.9</c:v>
                </c:pt>
                <c:pt idx="797">
                  <c:v>25.5</c:v>
                </c:pt>
                <c:pt idx="798">
                  <c:v>32.5</c:v>
                </c:pt>
                <c:pt idx="799">
                  <c:v>41.8</c:v>
                </c:pt>
                <c:pt idx="800">
                  <c:v>42</c:v>
                </c:pt>
                <c:pt idx="801">
                  <c:v>42.3</c:v>
                </c:pt>
                <c:pt idx="802">
                  <c:v>42.5</c:v>
                </c:pt>
                <c:pt idx="803">
                  <c:v>42.5</c:v>
                </c:pt>
                <c:pt idx="804">
                  <c:v>42.5</c:v>
                </c:pt>
                <c:pt idx="805">
                  <c:v>42.5</c:v>
                </c:pt>
                <c:pt idx="806">
                  <c:v>42.6</c:v>
                </c:pt>
                <c:pt idx="807">
                  <c:v>42.7</c:v>
                </c:pt>
                <c:pt idx="808">
                  <c:v>42.9</c:v>
                </c:pt>
                <c:pt idx="809">
                  <c:v>42.3</c:v>
                </c:pt>
                <c:pt idx="810">
                  <c:v>40.9</c:v>
                </c:pt>
                <c:pt idx="811">
                  <c:v>39.5</c:v>
                </c:pt>
                <c:pt idx="812">
                  <c:v>40.700000000000003</c:v>
                </c:pt>
                <c:pt idx="813">
                  <c:v>43.9</c:v>
                </c:pt>
                <c:pt idx="814">
                  <c:v>46.9</c:v>
                </c:pt>
                <c:pt idx="815">
                  <c:v>47.2</c:v>
                </c:pt>
                <c:pt idx="816">
                  <c:v>46.5</c:v>
                </c:pt>
                <c:pt idx="817">
                  <c:v>45.7</c:v>
                </c:pt>
                <c:pt idx="818">
                  <c:v>45.5</c:v>
                </c:pt>
                <c:pt idx="819">
                  <c:v>45.5</c:v>
                </c:pt>
                <c:pt idx="820">
                  <c:v>45.5</c:v>
                </c:pt>
                <c:pt idx="821">
                  <c:v>45.9</c:v>
                </c:pt>
                <c:pt idx="822">
                  <c:v>46.2</c:v>
                </c:pt>
                <c:pt idx="823">
                  <c:v>46.7</c:v>
                </c:pt>
                <c:pt idx="824">
                  <c:v>46.3</c:v>
                </c:pt>
                <c:pt idx="825">
                  <c:v>45.9</c:v>
                </c:pt>
                <c:pt idx="826">
                  <c:v>45.3</c:v>
                </c:pt>
                <c:pt idx="827">
                  <c:v>45.6</c:v>
                </c:pt>
                <c:pt idx="828">
                  <c:v>46.3</c:v>
                </c:pt>
                <c:pt idx="829">
                  <c:v>45.5</c:v>
                </c:pt>
                <c:pt idx="830">
                  <c:v>38.9</c:v>
                </c:pt>
                <c:pt idx="831">
                  <c:v>28.9</c:v>
                </c:pt>
                <c:pt idx="832">
                  <c:v>20.100000000000001</c:v>
                </c:pt>
                <c:pt idx="833">
                  <c:v>20.100000000000001</c:v>
                </c:pt>
                <c:pt idx="834">
                  <c:v>20.100000000000001</c:v>
                </c:pt>
                <c:pt idx="835">
                  <c:v>21.9</c:v>
                </c:pt>
                <c:pt idx="836">
                  <c:v>36.1</c:v>
                </c:pt>
                <c:pt idx="837">
                  <c:v>50.2</c:v>
                </c:pt>
                <c:pt idx="838">
                  <c:v>57.5</c:v>
                </c:pt>
                <c:pt idx="839">
                  <c:v>56.7</c:v>
                </c:pt>
                <c:pt idx="840">
                  <c:v>55.9</c:v>
                </c:pt>
                <c:pt idx="841">
                  <c:v>55.2</c:v>
                </c:pt>
                <c:pt idx="842">
                  <c:v>54.1</c:v>
                </c:pt>
                <c:pt idx="843">
                  <c:v>53.1</c:v>
                </c:pt>
                <c:pt idx="844">
                  <c:v>52.1</c:v>
                </c:pt>
                <c:pt idx="845">
                  <c:v>51.2</c:v>
                </c:pt>
                <c:pt idx="846">
                  <c:v>50.4</c:v>
                </c:pt>
                <c:pt idx="847">
                  <c:v>50.4</c:v>
                </c:pt>
                <c:pt idx="848">
                  <c:v>50.4</c:v>
                </c:pt>
                <c:pt idx="849">
                  <c:v>50.3</c:v>
                </c:pt>
                <c:pt idx="850">
                  <c:v>49.5</c:v>
                </c:pt>
                <c:pt idx="851">
                  <c:v>48.6</c:v>
                </c:pt>
                <c:pt idx="852">
                  <c:v>48.6</c:v>
                </c:pt>
                <c:pt idx="853">
                  <c:v>49.4</c:v>
                </c:pt>
                <c:pt idx="854">
                  <c:v>50.2</c:v>
                </c:pt>
                <c:pt idx="855">
                  <c:v>51.1</c:v>
                </c:pt>
                <c:pt idx="856">
                  <c:v>52.6</c:v>
                </c:pt>
                <c:pt idx="857">
                  <c:v>54.1</c:v>
                </c:pt>
                <c:pt idx="858">
                  <c:v>53.3</c:v>
                </c:pt>
                <c:pt idx="859">
                  <c:v>51.9</c:v>
                </c:pt>
                <c:pt idx="860">
                  <c:v>50.7</c:v>
                </c:pt>
                <c:pt idx="861">
                  <c:v>50.7</c:v>
                </c:pt>
                <c:pt idx="862">
                  <c:v>50.7</c:v>
                </c:pt>
                <c:pt idx="863">
                  <c:v>50.7</c:v>
                </c:pt>
                <c:pt idx="864">
                  <c:v>50.6</c:v>
                </c:pt>
                <c:pt idx="865">
                  <c:v>50.5</c:v>
                </c:pt>
                <c:pt idx="866">
                  <c:v>44.7</c:v>
                </c:pt>
                <c:pt idx="867">
                  <c:v>36.4</c:v>
                </c:pt>
                <c:pt idx="868">
                  <c:v>23.9</c:v>
                </c:pt>
                <c:pt idx="869">
                  <c:v>23.6</c:v>
                </c:pt>
                <c:pt idx="870">
                  <c:v>37.5</c:v>
                </c:pt>
                <c:pt idx="871">
                  <c:v>51.5</c:v>
                </c:pt>
                <c:pt idx="872">
                  <c:v>54.9</c:v>
                </c:pt>
                <c:pt idx="873">
                  <c:v>55.9</c:v>
                </c:pt>
                <c:pt idx="874">
                  <c:v>57</c:v>
                </c:pt>
                <c:pt idx="875">
                  <c:v>57.2</c:v>
                </c:pt>
                <c:pt idx="876">
                  <c:v>57.2</c:v>
                </c:pt>
                <c:pt idx="877">
                  <c:v>57.2</c:v>
                </c:pt>
                <c:pt idx="878">
                  <c:v>56.3</c:v>
                </c:pt>
                <c:pt idx="879">
                  <c:v>54.9</c:v>
                </c:pt>
                <c:pt idx="880">
                  <c:v>53.7</c:v>
                </c:pt>
                <c:pt idx="881">
                  <c:v>52.4</c:v>
                </c:pt>
                <c:pt idx="882">
                  <c:v>50.5</c:v>
                </c:pt>
                <c:pt idx="883">
                  <c:v>48.7</c:v>
                </c:pt>
                <c:pt idx="884">
                  <c:v>48.3</c:v>
                </c:pt>
                <c:pt idx="885">
                  <c:v>47.7</c:v>
                </c:pt>
                <c:pt idx="886">
                  <c:v>47.3</c:v>
                </c:pt>
                <c:pt idx="887">
                  <c:v>48.5</c:v>
                </c:pt>
                <c:pt idx="888">
                  <c:v>49.3</c:v>
                </c:pt>
                <c:pt idx="889">
                  <c:v>50.4</c:v>
                </c:pt>
                <c:pt idx="890">
                  <c:v>50.4</c:v>
                </c:pt>
                <c:pt idx="891">
                  <c:v>50.4</c:v>
                </c:pt>
                <c:pt idx="892">
                  <c:v>50.6</c:v>
                </c:pt>
                <c:pt idx="893">
                  <c:v>52</c:v>
                </c:pt>
                <c:pt idx="894">
                  <c:v>52.9</c:v>
                </c:pt>
                <c:pt idx="895">
                  <c:v>54.1</c:v>
                </c:pt>
                <c:pt idx="896">
                  <c:v>52.9</c:v>
                </c:pt>
                <c:pt idx="897">
                  <c:v>52.3</c:v>
                </c:pt>
                <c:pt idx="898">
                  <c:v>51.4</c:v>
                </c:pt>
                <c:pt idx="899">
                  <c:v>52.1</c:v>
                </c:pt>
                <c:pt idx="900">
                  <c:v>52.6</c:v>
                </c:pt>
                <c:pt idx="901">
                  <c:v>51.7</c:v>
                </c:pt>
                <c:pt idx="902">
                  <c:v>42.9</c:v>
                </c:pt>
                <c:pt idx="903">
                  <c:v>29.7</c:v>
                </c:pt>
                <c:pt idx="904">
                  <c:v>18.3</c:v>
                </c:pt>
                <c:pt idx="905">
                  <c:v>18.3</c:v>
                </c:pt>
                <c:pt idx="906">
                  <c:v>18.3</c:v>
                </c:pt>
                <c:pt idx="907">
                  <c:v>20.100000000000001</c:v>
                </c:pt>
                <c:pt idx="908">
                  <c:v>29.5</c:v>
                </c:pt>
                <c:pt idx="909">
                  <c:v>43.8</c:v>
                </c:pt>
                <c:pt idx="910">
                  <c:v>53.2</c:v>
                </c:pt>
                <c:pt idx="911">
                  <c:v>56</c:v>
                </c:pt>
                <c:pt idx="912">
                  <c:v>55.8</c:v>
                </c:pt>
                <c:pt idx="913">
                  <c:v>55.5</c:v>
                </c:pt>
                <c:pt idx="914">
                  <c:v>54.5</c:v>
                </c:pt>
                <c:pt idx="915">
                  <c:v>53.5</c:v>
                </c:pt>
                <c:pt idx="916">
                  <c:v>52.1</c:v>
                </c:pt>
                <c:pt idx="917">
                  <c:v>51.9</c:v>
                </c:pt>
                <c:pt idx="918">
                  <c:v>51.9</c:v>
                </c:pt>
                <c:pt idx="919">
                  <c:v>51.9</c:v>
                </c:pt>
                <c:pt idx="920">
                  <c:v>51.9</c:v>
                </c:pt>
                <c:pt idx="921">
                  <c:v>51.9</c:v>
                </c:pt>
                <c:pt idx="922">
                  <c:v>51.9</c:v>
                </c:pt>
                <c:pt idx="923">
                  <c:v>51.7</c:v>
                </c:pt>
                <c:pt idx="924">
                  <c:v>49.7</c:v>
                </c:pt>
                <c:pt idx="925">
                  <c:v>48.5</c:v>
                </c:pt>
                <c:pt idx="926">
                  <c:v>46.9</c:v>
                </c:pt>
                <c:pt idx="927">
                  <c:v>47.3</c:v>
                </c:pt>
                <c:pt idx="928">
                  <c:v>47.9</c:v>
                </c:pt>
                <c:pt idx="929">
                  <c:v>48.3</c:v>
                </c:pt>
                <c:pt idx="930">
                  <c:v>48.7</c:v>
                </c:pt>
                <c:pt idx="931">
                  <c:v>49.2</c:v>
                </c:pt>
                <c:pt idx="932">
                  <c:v>49.5</c:v>
                </c:pt>
                <c:pt idx="933">
                  <c:v>49.1</c:v>
                </c:pt>
                <c:pt idx="934">
                  <c:v>48</c:v>
                </c:pt>
                <c:pt idx="935">
                  <c:v>46.4</c:v>
                </c:pt>
                <c:pt idx="936">
                  <c:v>45.5</c:v>
                </c:pt>
                <c:pt idx="937">
                  <c:v>45.5</c:v>
                </c:pt>
                <c:pt idx="938">
                  <c:v>45.5</c:v>
                </c:pt>
                <c:pt idx="939">
                  <c:v>45.5</c:v>
                </c:pt>
                <c:pt idx="940">
                  <c:v>45.7</c:v>
                </c:pt>
                <c:pt idx="941">
                  <c:v>45.9</c:v>
                </c:pt>
                <c:pt idx="942">
                  <c:v>46.1</c:v>
                </c:pt>
                <c:pt idx="943">
                  <c:v>41.4</c:v>
                </c:pt>
                <c:pt idx="944">
                  <c:v>34.4</c:v>
                </c:pt>
                <c:pt idx="945">
                  <c:v>24</c:v>
                </c:pt>
                <c:pt idx="946">
                  <c:v>20</c:v>
                </c:pt>
                <c:pt idx="947">
                  <c:v>28.9</c:v>
                </c:pt>
                <c:pt idx="948">
                  <c:v>42.4</c:v>
                </c:pt>
                <c:pt idx="949">
                  <c:v>51.4</c:v>
                </c:pt>
                <c:pt idx="950">
                  <c:v>53.7</c:v>
                </c:pt>
                <c:pt idx="951">
                  <c:v>52.6</c:v>
                </c:pt>
                <c:pt idx="952">
                  <c:v>51.9</c:v>
                </c:pt>
                <c:pt idx="953">
                  <c:v>51.3</c:v>
                </c:pt>
                <c:pt idx="954">
                  <c:v>51.3</c:v>
                </c:pt>
                <c:pt idx="955">
                  <c:v>51.3</c:v>
                </c:pt>
                <c:pt idx="956">
                  <c:v>51.3</c:v>
                </c:pt>
                <c:pt idx="957">
                  <c:v>50.2</c:v>
                </c:pt>
                <c:pt idx="958">
                  <c:v>47.7</c:v>
                </c:pt>
                <c:pt idx="959">
                  <c:v>46</c:v>
                </c:pt>
                <c:pt idx="960">
                  <c:v>44.7</c:v>
                </c:pt>
                <c:pt idx="961">
                  <c:v>44.3</c:v>
                </c:pt>
                <c:pt idx="962">
                  <c:v>43.7</c:v>
                </c:pt>
                <c:pt idx="963">
                  <c:v>43.4</c:v>
                </c:pt>
                <c:pt idx="964">
                  <c:v>41.9</c:v>
                </c:pt>
                <c:pt idx="965">
                  <c:v>39.9</c:v>
                </c:pt>
                <c:pt idx="966">
                  <c:v>37</c:v>
                </c:pt>
                <c:pt idx="967">
                  <c:v>34.9</c:v>
                </c:pt>
                <c:pt idx="968">
                  <c:v>32.5</c:v>
                </c:pt>
                <c:pt idx="969">
                  <c:v>30.1</c:v>
                </c:pt>
                <c:pt idx="970">
                  <c:v>26.3</c:v>
                </c:pt>
                <c:pt idx="971">
                  <c:v>25.6</c:v>
                </c:pt>
                <c:pt idx="972">
                  <c:v>25.6</c:v>
                </c:pt>
                <c:pt idx="973">
                  <c:v>25.6</c:v>
                </c:pt>
                <c:pt idx="974">
                  <c:v>25.6</c:v>
                </c:pt>
                <c:pt idx="975">
                  <c:v>24.7</c:v>
                </c:pt>
                <c:pt idx="976">
                  <c:v>23.7</c:v>
                </c:pt>
                <c:pt idx="977">
                  <c:v>22.9</c:v>
                </c:pt>
                <c:pt idx="978">
                  <c:v>22.5</c:v>
                </c:pt>
                <c:pt idx="979">
                  <c:v>23.5</c:v>
                </c:pt>
                <c:pt idx="980">
                  <c:v>24.9</c:v>
                </c:pt>
                <c:pt idx="981">
                  <c:v>25.8</c:v>
                </c:pt>
                <c:pt idx="982">
                  <c:v>26.5</c:v>
                </c:pt>
                <c:pt idx="983">
                  <c:v>27</c:v>
                </c:pt>
                <c:pt idx="984">
                  <c:v>27.5</c:v>
                </c:pt>
                <c:pt idx="985">
                  <c:v>28</c:v>
                </c:pt>
                <c:pt idx="986">
                  <c:v>22</c:v>
                </c:pt>
                <c:pt idx="987">
                  <c:v>16.8</c:v>
                </c:pt>
                <c:pt idx="988">
                  <c:v>11.6</c:v>
                </c:pt>
                <c:pt idx="989">
                  <c:v>7.4</c:v>
                </c:pt>
                <c:pt idx="990">
                  <c:v>7.4</c:v>
                </c:pt>
                <c:pt idx="991">
                  <c:v>7.4</c:v>
                </c:pt>
                <c:pt idx="992">
                  <c:v>7.4</c:v>
                </c:pt>
                <c:pt idx="993">
                  <c:v>10.1</c:v>
                </c:pt>
                <c:pt idx="994">
                  <c:v>14.1</c:v>
                </c:pt>
                <c:pt idx="995">
                  <c:v>18.100000000000001</c:v>
                </c:pt>
                <c:pt idx="996">
                  <c:v>22.1</c:v>
                </c:pt>
                <c:pt idx="997">
                  <c:v>22.9</c:v>
                </c:pt>
                <c:pt idx="998">
                  <c:v>22.2</c:v>
                </c:pt>
                <c:pt idx="999">
                  <c:v>21.5</c:v>
                </c:pt>
                <c:pt idx="1000">
                  <c:v>20.8</c:v>
                </c:pt>
                <c:pt idx="1001">
                  <c:v>21.3</c:v>
                </c:pt>
                <c:pt idx="1002">
                  <c:v>21.8</c:v>
                </c:pt>
                <c:pt idx="1003">
                  <c:v>22.4</c:v>
                </c:pt>
                <c:pt idx="1004">
                  <c:v>22.5</c:v>
                </c:pt>
                <c:pt idx="1005">
                  <c:v>21.3</c:v>
                </c:pt>
                <c:pt idx="1006">
                  <c:v>20.100000000000001</c:v>
                </c:pt>
                <c:pt idx="1007">
                  <c:v>18.8</c:v>
                </c:pt>
                <c:pt idx="1008">
                  <c:v>17.8</c:v>
                </c:pt>
                <c:pt idx="1009">
                  <c:v>17.8</c:v>
                </c:pt>
                <c:pt idx="1010">
                  <c:v>17.8</c:v>
                </c:pt>
                <c:pt idx="1011">
                  <c:v>17.8</c:v>
                </c:pt>
                <c:pt idx="1012">
                  <c:v>17.600000000000001</c:v>
                </c:pt>
                <c:pt idx="1013">
                  <c:v>17.3</c:v>
                </c:pt>
                <c:pt idx="1014">
                  <c:v>17</c:v>
                </c:pt>
                <c:pt idx="1015">
                  <c:v>16.7</c:v>
                </c:pt>
                <c:pt idx="1016">
                  <c:v>15.7</c:v>
                </c:pt>
                <c:pt idx="1017">
                  <c:v>14.3</c:v>
                </c:pt>
                <c:pt idx="1018">
                  <c:v>13</c:v>
                </c:pt>
                <c:pt idx="1019">
                  <c:v>11.6</c:v>
                </c:pt>
                <c:pt idx="1020">
                  <c:v>11.2</c:v>
                </c:pt>
                <c:pt idx="1021">
                  <c:v>11.2</c:v>
                </c:pt>
                <c:pt idx="1022">
                  <c:v>11.2</c:v>
                </c:pt>
                <c:pt idx="1023">
                  <c:v>11</c:v>
                </c:pt>
                <c:pt idx="1024">
                  <c:v>10.1</c:v>
                </c:pt>
                <c:pt idx="1025">
                  <c:v>9.1</c:v>
                </c:pt>
                <c:pt idx="1026">
                  <c:v>8.1</c:v>
                </c:pt>
                <c:pt idx="1027">
                  <c:v>7.4</c:v>
                </c:pt>
                <c:pt idx="1028">
                  <c:v>7.4</c:v>
                </c:pt>
                <c:pt idx="1029">
                  <c:v>7.4</c:v>
                </c:pt>
                <c:pt idx="1030">
                  <c:v>7.4</c:v>
                </c:pt>
                <c:pt idx="1031">
                  <c:v>5.9</c:v>
                </c:pt>
                <c:pt idx="1032">
                  <c:v>3.8</c:v>
                </c:pt>
                <c:pt idx="1033">
                  <c:v>1.6</c:v>
                </c:pt>
                <c:pt idx="1034">
                  <c:v>-0.5</c:v>
                </c:pt>
                <c:pt idx="1035">
                  <c:v>-0.3</c:v>
                </c:pt>
                <c:pt idx="1036">
                  <c:v>0.5</c:v>
                </c:pt>
                <c:pt idx="1037">
                  <c:v>1.2</c:v>
                </c:pt>
                <c:pt idx="1038">
                  <c:v>2.2999999999999998</c:v>
                </c:pt>
                <c:pt idx="1039">
                  <c:v>5.3</c:v>
                </c:pt>
                <c:pt idx="1040">
                  <c:v>9.6999999999999993</c:v>
                </c:pt>
                <c:pt idx="1041">
                  <c:v>12.7</c:v>
                </c:pt>
                <c:pt idx="1042">
                  <c:v>10.4</c:v>
                </c:pt>
                <c:pt idx="1043">
                  <c:v>5.7</c:v>
                </c:pt>
                <c:pt idx="1044">
                  <c:v>-1.2</c:v>
                </c:pt>
                <c:pt idx="1045">
                  <c:v>-5</c:v>
                </c:pt>
                <c:pt idx="1046">
                  <c:v>-5</c:v>
                </c:pt>
                <c:pt idx="1047">
                  <c:v>-5</c:v>
                </c:pt>
                <c:pt idx="1048">
                  <c:v>-5</c:v>
                </c:pt>
                <c:pt idx="1049">
                  <c:v>-5.7</c:v>
                </c:pt>
                <c:pt idx="1050">
                  <c:v>-6.6</c:v>
                </c:pt>
                <c:pt idx="1051">
                  <c:v>-8.1</c:v>
                </c:pt>
                <c:pt idx="1052">
                  <c:v>-8.5</c:v>
                </c:pt>
                <c:pt idx="1053">
                  <c:v>-6.5</c:v>
                </c:pt>
                <c:pt idx="1054">
                  <c:v>-3.7</c:v>
                </c:pt>
                <c:pt idx="1055">
                  <c:v>-1.8</c:v>
                </c:pt>
                <c:pt idx="1056">
                  <c:v>-3.7</c:v>
                </c:pt>
                <c:pt idx="1057">
                  <c:v>-8.9</c:v>
                </c:pt>
                <c:pt idx="1058">
                  <c:v>-12.5</c:v>
                </c:pt>
                <c:pt idx="1059">
                  <c:v>-17.3</c:v>
                </c:pt>
                <c:pt idx="1060">
                  <c:v>-32.5</c:v>
                </c:pt>
                <c:pt idx="1061">
                  <c:v>-42.6</c:v>
                </c:pt>
                <c:pt idx="1062">
                  <c:v>-52.7</c:v>
                </c:pt>
                <c:pt idx="1063">
                  <c:v>-55.9</c:v>
                </c:pt>
                <c:pt idx="1064">
                  <c:v>-55.9</c:v>
                </c:pt>
                <c:pt idx="1065">
                  <c:v>-55.9</c:v>
                </c:pt>
                <c:pt idx="1066">
                  <c:v>-52.9</c:v>
                </c:pt>
                <c:pt idx="1067">
                  <c:v>-48.5</c:v>
                </c:pt>
                <c:pt idx="1068">
                  <c:v>-44.2</c:v>
                </c:pt>
                <c:pt idx="1069">
                  <c:v>-38.4</c:v>
                </c:pt>
                <c:pt idx="1070">
                  <c:v>-38</c:v>
                </c:pt>
                <c:pt idx="1071">
                  <c:v>-37.299999999999997</c:v>
                </c:pt>
                <c:pt idx="1072">
                  <c:v>-36.9</c:v>
                </c:pt>
                <c:pt idx="1073">
                  <c:v>-37.5</c:v>
                </c:pt>
                <c:pt idx="1074">
                  <c:v>-39.200000000000003</c:v>
                </c:pt>
                <c:pt idx="1075">
                  <c:v>-40.299999999999997</c:v>
                </c:pt>
                <c:pt idx="1076">
                  <c:v>-37.700000000000003</c:v>
                </c:pt>
                <c:pt idx="1077">
                  <c:v>-32.5</c:v>
                </c:pt>
                <c:pt idx="1078">
                  <c:v>-27.4</c:v>
                </c:pt>
                <c:pt idx="1079">
                  <c:v>-20.6</c:v>
                </c:pt>
                <c:pt idx="1080">
                  <c:v>-20.6</c:v>
                </c:pt>
                <c:pt idx="1081">
                  <c:v>-20.6</c:v>
                </c:pt>
                <c:pt idx="1082">
                  <c:v>-20.6</c:v>
                </c:pt>
                <c:pt idx="1083">
                  <c:v>-29.8</c:v>
                </c:pt>
                <c:pt idx="1084">
                  <c:v>-37.6</c:v>
                </c:pt>
                <c:pt idx="1085">
                  <c:v>-49.3</c:v>
                </c:pt>
                <c:pt idx="1086">
                  <c:v>-51.6</c:v>
                </c:pt>
                <c:pt idx="1087">
                  <c:v>-51.4</c:v>
                </c:pt>
                <c:pt idx="1088">
                  <c:v>-51.1</c:v>
                </c:pt>
                <c:pt idx="1089">
                  <c:v>-50.7</c:v>
                </c:pt>
                <c:pt idx="1090">
                  <c:v>-48.3</c:v>
                </c:pt>
                <c:pt idx="1091">
                  <c:v>-46.8</c:v>
                </c:pt>
                <c:pt idx="1092">
                  <c:v>-45</c:v>
                </c:pt>
                <c:pt idx="1093">
                  <c:v>-46.8</c:v>
                </c:pt>
                <c:pt idx="1094">
                  <c:v>-49.5</c:v>
                </c:pt>
                <c:pt idx="1095">
                  <c:v>-51.3</c:v>
                </c:pt>
                <c:pt idx="1096">
                  <c:v>-51.9</c:v>
                </c:pt>
                <c:pt idx="1097">
                  <c:v>-51.9</c:v>
                </c:pt>
                <c:pt idx="1098">
                  <c:v>-51.9</c:v>
                </c:pt>
                <c:pt idx="1099">
                  <c:v>-52</c:v>
                </c:pt>
                <c:pt idx="1100">
                  <c:v>-52.2</c:v>
                </c:pt>
                <c:pt idx="1101">
                  <c:v>-52.4</c:v>
                </c:pt>
                <c:pt idx="1102">
                  <c:v>-52.1</c:v>
                </c:pt>
                <c:pt idx="1103">
                  <c:v>-51.5</c:v>
                </c:pt>
                <c:pt idx="1104">
                  <c:v>-50.6</c:v>
                </c:pt>
                <c:pt idx="1105">
                  <c:v>-50.2</c:v>
                </c:pt>
                <c:pt idx="1106">
                  <c:v>-51</c:v>
                </c:pt>
                <c:pt idx="1107">
                  <c:v>-51.8</c:v>
                </c:pt>
                <c:pt idx="1108">
                  <c:v>-52.2</c:v>
                </c:pt>
                <c:pt idx="1109">
                  <c:v>-52.3</c:v>
                </c:pt>
                <c:pt idx="1110">
                  <c:v>-52.4</c:v>
                </c:pt>
                <c:pt idx="1111">
                  <c:v>-52.5</c:v>
                </c:pt>
                <c:pt idx="1112">
                  <c:v>-52.5</c:v>
                </c:pt>
                <c:pt idx="1113">
                  <c:v>-52.5</c:v>
                </c:pt>
                <c:pt idx="1114">
                  <c:v>-52.3</c:v>
                </c:pt>
                <c:pt idx="1115">
                  <c:v>-51.7</c:v>
                </c:pt>
                <c:pt idx="1116">
                  <c:v>-50.7</c:v>
                </c:pt>
                <c:pt idx="1117">
                  <c:v>-48.6</c:v>
                </c:pt>
                <c:pt idx="1118">
                  <c:v>-42.1</c:v>
                </c:pt>
                <c:pt idx="1119">
                  <c:v>-32.4</c:v>
                </c:pt>
                <c:pt idx="1120">
                  <c:v>-25.5</c:v>
                </c:pt>
                <c:pt idx="1121">
                  <c:v>-34.5</c:v>
                </c:pt>
                <c:pt idx="1122">
                  <c:v>-47.8</c:v>
                </c:pt>
                <c:pt idx="1123">
                  <c:v>-59.5</c:v>
                </c:pt>
                <c:pt idx="1124">
                  <c:v>-59.2</c:v>
                </c:pt>
                <c:pt idx="1125">
                  <c:v>-58.9</c:v>
                </c:pt>
                <c:pt idx="1126">
                  <c:v>-58.6</c:v>
                </c:pt>
                <c:pt idx="1127">
                  <c:v>-58.6</c:v>
                </c:pt>
                <c:pt idx="1128">
                  <c:v>-58.6</c:v>
                </c:pt>
                <c:pt idx="1129">
                  <c:v>-58.4</c:v>
                </c:pt>
                <c:pt idx="1130">
                  <c:v>-57.4</c:v>
                </c:pt>
                <c:pt idx="1131">
                  <c:v>-55.9</c:v>
                </c:pt>
                <c:pt idx="1132">
                  <c:v>-54.7</c:v>
                </c:pt>
                <c:pt idx="1133">
                  <c:v>-55</c:v>
                </c:pt>
                <c:pt idx="1134">
                  <c:v>-55.2</c:v>
                </c:pt>
                <c:pt idx="1135">
                  <c:v>-55.5</c:v>
                </c:pt>
                <c:pt idx="1136">
                  <c:v>-55.3</c:v>
                </c:pt>
                <c:pt idx="1137">
                  <c:v>-55.1</c:v>
                </c:pt>
                <c:pt idx="1138">
                  <c:v>-55.1</c:v>
                </c:pt>
                <c:pt idx="1139">
                  <c:v>-55.4</c:v>
                </c:pt>
                <c:pt idx="1140">
                  <c:v>-55.7</c:v>
                </c:pt>
                <c:pt idx="1141">
                  <c:v>-55.9</c:v>
                </c:pt>
                <c:pt idx="1142">
                  <c:v>-55.9</c:v>
                </c:pt>
                <c:pt idx="1143">
                  <c:v>-55.9</c:v>
                </c:pt>
                <c:pt idx="1144">
                  <c:v>-55.6</c:v>
                </c:pt>
                <c:pt idx="1145">
                  <c:v>-54.8</c:v>
                </c:pt>
                <c:pt idx="1146">
                  <c:v>-54.1</c:v>
                </c:pt>
                <c:pt idx="1147">
                  <c:v>-54</c:v>
                </c:pt>
                <c:pt idx="1148">
                  <c:v>-54.1</c:v>
                </c:pt>
                <c:pt idx="1149">
                  <c:v>-54.1</c:v>
                </c:pt>
                <c:pt idx="1150">
                  <c:v>-52.9</c:v>
                </c:pt>
                <c:pt idx="1151">
                  <c:v>-52.3</c:v>
                </c:pt>
                <c:pt idx="1152">
                  <c:v>-50.1</c:v>
                </c:pt>
                <c:pt idx="1153">
                  <c:v>-40.700000000000003</c:v>
                </c:pt>
                <c:pt idx="1154">
                  <c:v>-31.2</c:v>
                </c:pt>
                <c:pt idx="1155">
                  <c:v>-26.1</c:v>
                </c:pt>
                <c:pt idx="1156">
                  <c:v>-26.1</c:v>
                </c:pt>
                <c:pt idx="1157">
                  <c:v>-26.1</c:v>
                </c:pt>
                <c:pt idx="1158">
                  <c:v>-36.299999999999997</c:v>
                </c:pt>
                <c:pt idx="1159">
                  <c:v>-44.8</c:v>
                </c:pt>
                <c:pt idx="1160">
                  <c:v>-57.6</c:v>
                </c:pt>
                <c:pt idx="1161">
                  <c:v>-60</c:v>
                </c:pt>
                <c:pt idx="1162">
                  <c:v>-59.5</c:v>
                </c:pt>
                <c:pt idx="1163">
                  <c:v>-59.1</c:v>
                </c:pt>
                <c:pt idx="1164">
                  <c:v>-58.2</c:v>
                </c:pt>
                <c:pt idx="1165">
                  <c:v>-57.4</c:v>
                </c:pt>
                <c:pt idx="1166">
                  <c:v>-56.9</c:v>
                </c:pt>
                <c:pt idx="1167">
                  <c:v>-57.1</c:v>
                </c:pt>
                <c:pt idx="1168">
                  <c:v>-57.1</c:v>
                </c:pt>
                <c:pt idx="1169">
                  <c:v>-57.2</c:v>
                </c:pt>
                <c:pt idx="1170">
                  <c:v>-57.2</c:v>
                </c:pt>
                <c:pt idx="1171">
                  <c:v>-57.2</c:v>
                </c:pt>
                <c:pt idx="1172">
                  <c:v>-55.3</c:v>
                </c:pt>
                <c:pt idx="1173">
                  <c:v>-52.8</c:v>
                </c:pt>
                <c:pt idx="1174">
                  <c:v>-50.6</c:v>
                </c:pt>
                <c:pt idx="1175">
                  <c:v>-50</c:v>
                </c:pt>
                <c:pt idx="1176">
                  <c:v>-49.2</c:v>
                </c:pt>
                <c:pt idx="1177">
                  <c:v>-48.3</c:v>
                </c:pt>
                <c:pt idx="1178">
                  <c:v>-47.3</c:v>
                </c:pt>
                <c:pt idx="1179">
                  <c:v>-46.1</c:v>
                </c:pt>
                <c:pt idx="1180">
                  <c:v>-46.5</c:v>
                </c:pt>
                <c:pt idx="1181">
                  <c:v>-48.7</c:v>
                </c:pt>
                <c:pt idx="1182">
                  <c:v>-50.1</c:v>
                </c:pt>
                <c:pt idx="1183">
                  <c:v>-51.3</c:v>
                </c:pt>
                <c:pt idx="1184">
                  <c:v>-51.3</c:v>
                </c:pt>
                <c:pt idx="1185">
                  <c:v>-51.3</c:v>
                </c:pt>
                <c:pt idx="1186">
                  <c:v>-50.6</c:v>
                </c:pt>
                <c:pt idx="1187">
                  <c:v>-49.8</c:v>
                </c:pt>
                <c:pt idx="1188">
                  <c:v>-49.3</c:v>
                </c:pt>
                <c:pt idx="1189">
                  <c:v>-39.6</c:v>
                </c:pt>
                <c:pt idx="1190">
                  <c:v>-27.7</c:v>
                </c:pt>
                <c:pt idx="1191">
                  <c:v>-18.899999999999999</c:v>
                </c:pt>
                <c:pt idx="1192">
                  <c:v>-27.7</c:v>
                </c:pt>
                <c:pt idx="1193">
                  <c:v>-41.1</c:v>
                </c:pt>
                <c:pt idx="1194">
                  <c:v>-52.8</c:v>
                </c:pt>
                <c:pt idx="1195">
                  <c:v>-53</c:v>
                </c:pt>
                <c:pt idx="1196">
                  <c:v>-53.1</c:v>
                </c:pt>
                <c:pt idx="1197">
                  <c:v>-53.3</c:v>
                </c:pt>
                <c:pt idx="1198">
                  <c:v>-53.3</c:v>
                </c:pt>
                <c:pt idx="1199">
                  <c:v>-53.3</c:v>
                </c:pt>
                <c:pt idx="1200">
                  <c:v>-53.1</c:v>
                </c:pt>
                <c:pt idx="1201">
                  <c:v>-51.9</c:v>
                </c:pt>
                <c:pt idx="1202">
                  <c:v>-50.7</c:v>
                </c:pt>
                <c:pt idx="1203">
                  <c:v>-49.4</c:v>
                </c:pt>
                <c:pt idx="1204">
                  <c:v>-48.3</c:v>
                </c:pt>
                <c:pt idx="1205">
                  <c:v>-46.7</c:v>
                </c:pt>
                <c:pt idx="1206">
                  <c:v>-46</c:v>
                </c:pt>
                <c:pt idx="1207">
                  <c:v>-46.2</c:v>
                </c:pt>
                <c:pt idx="1208">
                  <c:v>-46.6</c:v>
                </c:pt>
                <c:pt idx="1209">
                  <c:v>-46</c:v>
                </c:pt>
                <c:pt idx="1210">
                  <c:v>-44.8</c:v>
                </c:pt>
                <c:pt idx="1211">
                  <c:v>-43.1</c:v>
                </c:pt>
                <c:pt idx="1212">
                  <c:v>-42.1</c:v>
                </c:pt>
                <c:pt idx="1213">
                  <c:v>-42.1</c:v>
                </c:pt>
                <c:pt idx="1214">
                  <c:v>-42.1</c:v>
                </c:pt>
                <c:pt idx="1215">
                  <c:v>-42.1</c:v>
                </c:pt>
                <c:pt idx="1216">
                  <c:v>-42.1</c:v>
                </c:pt>
                <c:pt idx="1217">
                  <c:v>-42.1</c:v>
                </c:pt>
                <c:pt idx="1218">
                  <c:v>-42.3</c:v>
                </c:pt>
                <c:pt idx="1219">
                  <c:v>-43.9</c:v>
                </c:pt>
                <c:pt idx="1220">
                  <c:v>-45.1</c:v>
                </c:pt>
                <c:pt idx="1221">
                  <c:v>-46.5</c:v>
                </c:pt>
                <c:pt idx="1222">
                  <c:v>-46.7</c:v>
                </c:pt>
                <c:pt idx="1223">
                  <c:v>-46.9</c:v>
                </c:pt>
                <c:pt idx="1224">
                  <c:v>-47.1</c:v>
                </c:pt>
                <c:pt idx="1225">
                  <c:v>-37.1</c:v>
                </c:pt>
                <c:pt idx="1226">
                  <c:v>-28.8</c:v>
                </c:pt>
                <c:pt idx="1227">
                  <c:v>-16.2</c:v>
                </c:pt>
                <c:pt idx="1228">
                  <c:v>-13.6</c:v>
                </c:pt>
                <c:pt idx="1229">
                  <c:v>-13.6</c:v>
                </c:pt>
                <c:pt idx="1230">
                  <c:v>-13.6</c:v>
                </c:pt>
                <c:pt idx="1231">
                  <c:v>-18.2</c:v>
                </c:pt>
                <c:pt idx="1232">
                  <c:v>-28.3</c:v>
                </c:pt>
                <c:pt idx="1233">
                  <c:v>-35.1</c:v>
                </c:pt>
                <c:pt idx="1234">
                  <c:v>-39.799999999999997</c:v>
                </c:pt>
                <c:pt idx="1235">
                  <c:v>-38.700000000000003</c:v>
                </c:pt>
                <c:pt idx="1236">
                  <c:v>-37.1</c:v>
                </c:pt>
                <c:pt idx="1237">
                  <c:v>-35.4</c:v>
                </c:pt>
                <c:pt idx="1238">
                  <c:v>-28</c:v>
                </c:pt>
                <c:pt idx="1239">
                  <c:v>-23.1</c:v>
                </c:pt>
                <c:pt idx="1240">
                  <c:v>-18.100000000000001</c:v>
                </c:pt>
                <c:pt idx="1241">
                  <c:v>-16.8</c:v>
                </c:pt>
                <c:pt idx="1242">
                  <c:v>-16.899999999999999</c:v>
                </c:pt>
                <c:pt idx="1243">
                  <c:v>-17.100000000000001</c:v>
                </c:pt>
                <c:pt idx="1244">
                  <c:v>-17.2</c:v>
                </c:pt>
                <c:pt idx="1245">
                  <c:v>-17.2</c:v>
                </c:pt>
                <c:pt idx="1246">
                  <c:v>-17.2</c:v>
                </c:pt>
                <c:pt idx="1247">
                  <c:v>-17.5</c:v>
                </c:pt>
                <c:pt idx="1248">
                  <c:v>-19.3</c:v>
                </c:pt>
                <c:pt idx="1249">
                  <c:v>-20.6</c:v>
                </c:pt>
                <c:pt idx="1250">
                  <c:v>-22.2</c:v>
                </c:pt>
                <c:pt idx="1251">
                  <c:v>-21.6</c:v>
                </c:pt>
                <c:pt idx="1252">
                  <c:v>-21.1</c:v>
                </c:pt>
                <c:pt idx="1253">
                  <c:v>-20.3</c:v>
                </c:pt>
                <c:pt idx="1254">
                  <c:v>-19.399999999999999</c:v>
                </c:pt>
                <c:pt idx="1255">
                  <c:v>-17.899999999999999</c:v>
                </c:pt>
                <c:pt idx="1256">
                  <c:v>-16.8</c:v>
                </c:pt>
                <c:pt idx="1257">
                  <c:v>-16</c:v>
                </c:pt>
                <c:pt idx="1258">
                  <c:v>-15.7</c:v>
                </c:pt>
                <c:pt idx="1259">
                  <c:v>-15.6</c:v>
                </c:pt>
                <c:pt idx="1260">
                  <c:v>-15.5</c:v>
                </c:pt>
                <c:pt idx="1261">
                  <c:v>-15.4</c:v>
                </c:pt>
                <c:pt idx="1262">
                  <c:v>-15.4</c:v>
                </c:pt>
                <c:pt idx="1263">
                  <c:v>-15.4</c:v>
                </c:pt>
                <c:pt idx="1264">
                  <c:v>-15.3</c:v>
                </c:pt>
                <c:pt idx="1265">
                  <c:v>-14.1</c:v>
                </c:pt>
                <c:pt idx="1266">
                  <c:v>-13.3</c:v>
                </c:pt>
                <c:pt idx="1267">
                  <c:v>-12.7</c:v>
                </c:pt>
                <c:pt idx="1268">
                  <c:v>-9.6999999999999993</c:v>
                </c:pt>
                <c:pt idx="1269">
                  <c:v>-7.3</c:v>
                </c:pt>
                <c:pt idx="1270">
                  <c:v>-5</c:v>
                </c:pt>
                <c:pt idx="1271">
                  <c:v>-5.3</c:v>
                </c:pt>
                <c:pt idx="1272">
                  <c:v>-8.5</c:v>
                </c:pt>
                <c:pt idx="1273">
                  <c:v>-11.8</c:v>
                </c:pt>
                <c:pt idx="1274">
                  <c:v>-15</c:v>
                </c:pt>
                <c:pt idx="1275">
                  <c:v>-14.9</c:v>
                </c:pt>
                <c:pt idx="1276">
                  <c:v>-14.1</c:v>
                </c:pt>
                <c:pt idx="1277">
                  <c:v>-13.1</c:v>
                </c:pt>
                <c:pt idx="1278">
                  <c:v>-12.4</c:v>
                </c:pt>
                <c:pt idx="1279">
                  <c:v>-12.4</c:v>
                </c:pt>
                <c:pt idx="1280">
                  <c:v>-12.4</c:v>
                </c:pt>
                <c:pt idx="1281">
                  <c:v>-12.4</c:v>
                </c:pt>
                <c:pt idx="1282">
                  <c:v>-12.7</c:v>
                </c:pt>
                <c:pt idx="1283">
                  <c:v>-13.2</c:v>
                </c:pt>
                <c:pt idx="1284">
                  <c:v>-13.9</c:v>
                </c:pt>
                <c:pt idx="1285">
                  <c:v>-14.3</c:v>
                </c:pt>
                <c:pt idx="1286">
                  <c:v>-14.1</c:v>
                </c:pt>
                <c:pt idx="1287">
                  <c:v>-13.9</c:v>
                </c:pt>
                <c:pt idx="1288">
                  <c:v>-13.7</c:v>
                </c:pt>
                <c:pt idx="1289">
                  <c:v>-12.9</c:v>
                </c:pt>
                <c:pt idx="1290">
                  <c:v>-12.1</c:v>
                </c:pt>
                <c:pt idx="1291">
                  <c:v>-10.7</c:v>
                </c:pt>
                <c:pt idx="1292">
                  <c:v>-10.3</c:v>
                </c:pt>
                <c:pt idx="1293">
                  <c:v>-12</c:v>
                </c:pt>
                <c:pt idx="1294">
                  <c:v>-14.4</c:v>
                </c:pt>
                <c:pt idx="1295">
                  <c:v>-16.100000000000001</c:v>
                </c:pt>
                <c:pt idx="1296">
                  <c:v>-16.600000000000001</c:v>
                </c:pt>
                <c:pt idx="1297">
                  <c:v>-16.600000000000001</c:v>
                </c:pt>
                <c:pt idx="1298">
                  <c:v>-16.600000000000001</c:v>
                </c:pt>
                <c:pt idx="1299">
                  <c:v>-16.7</c:v>
                </c:pt>
                <c:pt idx="1300">
                  <c:v>-16.899999999999999</c:v>
                </c:pt>
                <c:pt idx="1301">
                  <c:v>-17.100000000000001</c:v>
                </c:pt>
                <c:pt idx="1302">
                  <c:v>-17.5</c:v>
                </c:pt>
                <c:pt idx="1303">
                  <c:v>-20.3</c:v>
                </c:pt>
                <c:pt idx="1304">
                  <c:v>-22.1</c:v>
                </c:pt>
                <c:pt idx="1305">
                  <c:v>-24.6</c:v>
                </c:pt>
                <c:pt idx="1306">
                  <c:v>-25</c:v>
                </c:pt>
                <c:pt idx="1307">
                  <c:v>-25.6</c:v>
                </c:pt>
                <c:pt idx="1308">
                  <c:v>-26</c:v>
                </c:pt>
                <c:pt idx="1309">
                  <c:v>-21.1</c:v>
                </c:pt>
                <c:pt idx="1310">
                  <c:v>-14.8</c:v>
                </c:pt>
                <c:pt idx="1311">
                  <c:v>-10.6</c:v>
                </c:pt>
                <c:pt idx="1312">
                  <c:v>-9.3000000000000007</c:v>
                </c:pt>
                <c:pt idx="1313">
                  <c:v>-9.3000000000000007</c:v>
                </c:pt>
                <c:pt idx="1314">
                  <c:v>-9.3000000000000007</c:v>
                </c:pt>
                <c:pt idx="1315">
                  <c:v>-12.3</c:v>
                </c:pt>
                <c:pt idx="1316">
                  <c:v>-16.100000000000001</c:v>
                </c:pt>
                <c:pt idx="1317">
                  <c:v>-18.7</c:v>
                </c:pt>
                <c:pt idx="1318">
                  <c:v>-14.8</c:v>
                </c:pt>
                <c:pt idx="1319">
                  <c:v>-8.9</c:v>
                </c:pt>
                <c:pt idx="1320">
                  <c:v>-3.1</c:v>
                </c:pt>
                <c:pt idx="1321">
                  <c:v>0</c:v>
                </c:pt>
                <c:pt idx="1322">
                  <c:v>4.7</c:v>
                </c:pt>
                <c:pt idx="1323">
                  <c:v>8.4</c:v>
                </c:pt>
                <c:pt idx="1324">
                  <c:v>5.0999999999999996</c:v>
                </c:pt>
                <c:pt idx="1325">
                  <c:v>1.8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-10.6</c:v>
                </c:pt>
                <c:pt idx="1330">
                  <c:v>-24.1</c:v>
                </c:pt>
                <c:pt idx="1331">
                  <c:v>-35.4</c:v>
                </c:pt>
                <c:pt idx="1332">
                  <c:v>-32.4</c:v>
                </c:pt>
                <c:pt idx="1333">
                  <c:v>-29.3</c:v>
                </c:pt>
                <c:pt idx="1334">
                  <c:v>-28.2</c:v>
                </c:pt>
                <c:pt idx="1335">
                  <c:v>-29.3</c:v>
                </c:pt>
                <c:pt idx="1336">
                  <c:v>-30.3</c:v>
                </c:pt>
                <c:pt idx="1337">
                  <c:v>-30.3</c:v>
                </c:pt>
                <c:pt idx="1338">
                  <c:v>-29.9</c:v>
                </c:pt>
                <c:pt idx="1339">
                  <c:v>-29.7</c:v>
                </c:pt>
                <c:pt idx="1340">
                  <c:v>-29.7</c:v>
                </c:pt>
                <c:pt idx="1341">
                  <c:v>-29.7</c:v>
                </c:pt>
                <c:pt idx="1342">
                  <c:v>-29.9</c:v>
                </c:pt>
                <c:pt idx="1343">
                  <c:v>-30.1</c:v>
                </c:pt>
                <c:pt idx="1344">
                  <c:v>-27.3</c:v>
                </c:pt>
                <c:pt idx="1345">
                  <c:v>-18.7</c:v>
                </c:pt>
                <c:pt idx="1346">
                  <c:v>-14.2</c:v>
                </c:pt>
                <c:pt idx="1347">
                  <c:v>-23.5</c:v>
                </c:pt>
                <c:pt idx="1348">
                  <c:v>-36.1</c:v>
                </c:pt>
                <c:pt idx="1349">
                  <c:v>-36.700000000000003</c:v>
                </c:pt>
                <c:pt idx="1350">
                  <c:v>-34.5</c:v>
                </c:pt>
                <c:pt idx="1351">
                  <c:v>-33.6</c:v>
                </c:pt>
                <c:pt idx="1352">
                  <c:v>-33.6</c:v>
                </c:pt>
                <c:pt idx="1353">
                  <c:v>-34</c:v>
                </c:pt>
                <c:pt idx="1354">
                  <c:v>-38.299999999999997</c:v>
                </c:pt>
                <c:pt idx="1355">
                  <c:v>-41.4</c:v>
                </c:pt>
                <c:pt idx="1356">
                  <c:v>-42</c:v>
                </c:pt>
                <c:pt idx="1357">
                  <c:v>-41.9</c:v>
                </c:pt>
                <c:pt idx="1358">
                  <c:v>-41.7</c:v>
                </c:pt>
                <c:pt idx="1359">
                  <c:v>-41.5</c:v>
                </c:pt>
                <c:pt idx="1360">
                  <c:v>-40.799999999999997</c:v>
                </c:pt>
                <c:pt idx="1361">
                  <c:v>-39.700000000000003</c:v>
                </c:pt>
                <c:pt idx="1362">
                  <c:v>-38.5</c:v>
                </c:pt>
                <c:pt idx="1363">
                  <c:v>-38.5</c:v>
                </c:pt>
                <c:pt idx="1364">
                  <c:v>-38.5</c:v>
                </c:pt>
                <c:pt idx="1365">
                  <c:v>-42</c:v>
                </c:pt>
                <c:pt idx="1366">
                  <c:v>-45.1</c:v>
                </c:pt>
                <c:pt idx="1367">
                  <c:v>-47.2</c:v>
                </c:pt>
                <c:pt idx="1368">
                  <c:v>-47.9</c:v>
                </c:pt>
                <c:pt idx="1369">
                  <c:v>-48</c:v>
                </c:pt>
                <c:pt idx="1370">
                  <c:v>-47.5</c:v>
                </c:pt>
                <c:pt idx="1371">
                  <c:v>-41.1</c:v>
                </c:pt>
                <c:pt idx="1372">
                  <c:v>-28.1</c:v>
                </c:pt>
                <c:pt idx="1373">
                  <c:v>-12.4</c:v>
                </c:pt>
                <c:pt idx="1374">
                  <c:v>-12.4</c:v>
                </c:pt>
                <c:pt idx="1375">
                  <c:v>-13.3</c:v>
                </c:pt>
                <c:pt idx="1376">
                  <c:v>-20.5</c:v>
                </c:pt>
                <c:pt idx="1377">
                  <c:v>-30.1</c:v>
                </c:pt>
                <c:pt idx="1378">
                  <c:v>-35.299999999999997</c:v>
                </c:pt>
                <c:pt idx="1379">
                  <c:v>-39.799999999999997</c:v>
                </c:pt>
                <c:pt idx="1380">
                  <c:v>-54.3</c:v>
                </c:pt>
                <c:pt idx="1381">
                  <c:v>-70.5</c:v>
                </c:pt>
                <c:pt idx="1382">
                  <c:v>-62.7</c:v>
                </c:pt>
                <c:pt idx="1383">
                  <c:v>-53.5</c:v>
                </c:pt>
                <c:pt idx="1384">
                  <c:v>-48.5</c:v>
                </c:pt>
                <c:pt idx="1385">
                  <c:v>-48.5</c:v>
                </c:pt>
                <c:pt idx="1386">
                  <c:v>-48</c:v>
                </c:pt>
                <c:pt idx="1387">
                  <c:v>-47.1</c:v>
                </c:pt>
                <c:pt idx="1388">
                  <c:v>-48.1</c:v>
                </c:pt>
                <c:pt idx="1389">
                  <c:v>-50.1</c:v>
                </c:pt>
                <c:pt idx="1390">
                  <c:v>-51.4</c:v>
                </c:pt>
                <c:pt idx="1391">
                  <c:v>-52.4</c:v>
                </c:pt>
                <c:pt idx="1392">
                  <c:v>-53.7</c:v>
                </c:pt>
                <c:pt idx="1393">
                  <c:v>-55.1</c:v>
                </c:pt>
                <c:pt idx="1394">
                  <c:v>-56.2</c:v>
                </c:pt>
                <c:pt idx="1395">
                  <c:v>-56.2</c:v>
                </c:pt>
                <c:pt idx="1396">
                  <c:v>-55.5</c:v>
                </c:pt>
                <c:pt idx="1397">
                  <c:v>-53.7</c:v>
                </c:pt>
                <c:pt idx="1398">
                  <c:v>-50.7</c:v>
                </c:pt>
                <c:pt idx="1399">
                  <c:v>-31.9</c:v>
                </c:pt>
                <c:pt idx="1400">
                  <c:v>-16.5</c:v>
                </c:pt>
                <c:pt idx="1401">
                  <c:v>-33.9</c:v>
                </c:pt>
                <c:pt idx="1402">
                  <c:v>-50.1</c:v>
                </c:pt>
                <c:pt idx="1403">
                  <c:v>-53.5</c:v>
                </c:pt>
                <c:pt idx="1404">
                  <c:v>-56</c:v>
                </c:pt>
                <c:pt idx="1405">
                  <c:v>-56.5</c:v>
                </c:pt>
                <c:pt idx="1406">
                  <c:v>-56.5</c:v>
                </c:pt>
                <c:pt idx="1407">
                  <c:v>-55.4</c:v>
                </c:pt>
                <c:pt idx="1408">
                  <c:v>-54.1</c:v>
                </c:pt>
                <c:pt idx="1409">
                  <c:v>-53.3</c:v>
                </c:pt>
                <c:pt idx="1410">
                  <c:v>-52.6</c:v>
                </c:pt>
                <c:pt idx="1411">
                  <c:v>-51.3</c:v>
                </c:pt>
                <c:pt idx="1412">
                  <c:v>-49.7</c:v>
                </c:pt>
                <c:pt idx="1413">
                  <c:v>-52</c:v>
                </c:pt>
                <c:pt idx="1414">
                  <c:v>-55</c:v>
                </c:pt>
                <c:pt idx="1415">
                  <c:v>-55.5</c:v>
                </c:pt>
                <c:pt idx="1416">
                  <c:v>-55.5</c:v>
                </c:pt>
                <c:pt idx="1417">
                  <c:v>-57.3</c:v>
                </c:pt>
                <c:pt idx="1418">
                  <c:v>-59.7</c:v>
                </c:pt>
                <c:pt idx="1419">
                  <c:v>-58.1</c:v>
                </c:pt>
                <c:pt idx="1420">
                  <c:v>-56.3</c:v>
                </c:pt>
                <c:pt idx="1421">
                  <c:v>-54.9</c:v>
                </c:pt>
                <c:pt idx="1422">
                  <c:v>-51.7</c:v>
                </c:pt>
                <c:pt idx="1423">
                  <c:v>-32.1</c:v>
                </c:pt>
                <c:pt idx="1424">
                  <c:v>-14.3</c:v>
                </c:pt>
                <c:pt idx="1425">
                  <c:v>-14.3</c:v>
                </c:pt>
                <c:pt idx="1426">
                  <c:v>-16.100000000000001</c:v>
                </c:pt>
                <c:pt idx="1427">
                  <c:v>-21.1</c:v>
                </c:pt>
                <c:pt idx="1428">
                  <c:v>-26.3</c:v>
                </c:pt>
                <c:pt idx="1429">
                  <c:v>-31.5</c:v>
                </c:pt>
                <c:pt idx="1430">
                  <c:v>-36.700000000000003</c:v>
                </c:pt>
                <c:pt idx="1431">
                  <c:v>-41.7</c:v>
                </c:pt>
                <c:pt idx="1432">
                  <c:v>-45.1</c:v>
                </c:pt>
                <c:pt idx="1433">
                  <c:v>-45.1</c:v>
                </c:pt>
                <c:pt idx="1434">
                  <c:v>-45.4</c:v>
                </c:pt>
                <c:pt idx="1435">
                  <c:v>-46.3</c:v>
                </c:pt>
                <c:pt idx="1436">
                  <c:v>-52.2</c:v>
                </c:pt>
                <c:pt idx="1437">
                  <c:v>-67.900000000000006</c:v>
                </c:pt>
                <c:pt idx="1438">
                  <c:v>-73.7</c:v>
                </c:pt>
                <c:pt idx="1439">
                  <c:v>-60.5</c:v>
                </c:pt>
                <c:pt idx="1440">
                  <c:v>-51.7</c:v>
                </c:pt>
                <c:pt idx="1441">
                  <c:v>-49.9</c:v>
                </c:pt>
                <c:pt idx="1442">
                  <c:v>-48.3</c:v>
                </c:pt>
                <c:pt idx="1443">
                  <c:v>-49.2</c:v>
                </c:pt>
                <c:pt idx="1444">
                  <c:v>-49.9</c:v>
                </c:pt>
                <c:pt idx="1445">
                  <c:v>-50.1</c:v>
                </c:pt>
                <c:pt idx="1446">
                  <c:v>-50.1</c:v>
                </c:pt>
                <c:pt idx="1447">
                  <c:v>-48.9</c:v>
                </c:pt>
                <c:pt idx="1448">
                  <c:v>-47</c:v>
                </c:pt>
                <c:pt idx="1449">
                  <c:v>-40.9</c:v>
                </c:pt>
                <c:pt idx="1450">
                  <c:v>-34.1</c:v>
                </c:pt>
                <c:pt idx="1451">
                  <c:v>-27.9</c:v>
                </c:pt>
                <c:pt idx="1452">
                  <c:v>-27.3</c:v>
                </c:pt>
                <c:pt idx="1453">
                  <c:v>-26.6</c:v>
                </c:pt>
                <c:pt idx="1454">
                  <c:v>-26.6</c:v>
                </c:pt>
                <c:pt idx="1455">
                  <c:v>-26.6</c:v>
                </c:pt>
                <c:pt idx="1456">
                  <c:v>-26.1</c:v>
                </c:pt>
                <c:pt idx="1457">
                  <c:v>-25.5</c:v>
                </c:pt>
                <c:pt idx="1458">
                  <c:v>-25.1</c:v>
                </c:pt>
                <c:pt idx="1459">
                  <c:v>-25.3</c:v>
                </c:pt>
                <c:pt idx="1460">
                  <c:v>-25.5</c:v>
                </c:pt>
                <c:pt idx="1461">
                  <c:v>-32.5</c:v>
                </c:pt>
                <c:pt idx="1462">
                  <c:v>-38.5</c:v>
                </c:pt>
                <c:pt idx="1463">
                  <c:v>-47.5</c:v>
                </c:pt>
                <c:pt idx="1464">
                  <c:v>-59.9</c:v>
                </c:pt>
                <c:pt idx="1465">
                  <c:v>-73.5</c:v>
                </c:pt>
                <c:pt idx="1466">
                  <c:v>-62.7</c:v>
                </c:pt>
                <c:pt idx="1467">
                  <c:v>-52</c:v>
                </c:pt>
                <c:pt idx="1468">
                  <c:v>-46.2</c:v>
                </c:pt>
                <c:pt idx="1469">
                  <c:v>-46.2</c:v>
                </c:pt>
                <c:pt idx="1470">
                  <c:v>-46.2</c:v>
                </c:pt>
                <c:pt idx="1471">
                  <c:v>-48.9</c:v>
                </c:pt>
                <c:pt idx="1472">
                  <c:v>-53.3</c:v>
                </c:pt>
                <c:pt idx="1473">
                  <c:v>-50.1</c:v>
                </c:pt>
                <c:pt idx="1474">
                  <c:v>-39</c:v>
                </c:pt>
                <c:pt idx="1475">
                  <c:v>-27.9</c:v>
                </c:pt>
                <c:pt idx="1476">
                  <c:v>-25.9</c:v>
                </c:pt>
                <c:pt idx="1477">
                  <c:v>-26.3</c:v>
                </c:pt>
                <c:pt idx="1478">
                  <c:v>-25.6</c:v>
                </c:pt>
                <c:pt idx="1479">
                  <c:v>-17.5</c:v>
                </c:pt>
                <c:pt idx="1480">
                  <c:v>-9.4</c:v>
                </c:pt>
                <c:pt idx="1481">
                  <c:v>-5</c:v>
                </c:pt>
                <c:pt idx="1482">
                  <c:v>-5</c:v>
                </c:pt>
                <c:pt idx="1483">
                  <c:v>-5</c:v>
                </c:pt>
                <c:pt idx="1484">
                  <c:v>-7</c:v>
                </c:pt>
                <c:pt idx="1485">
                  <c:v>-9.6</c:v>
                </c:pt>
                <c:pt idx="1486">
                  <c:v>-11.7</c:v>
                </c:pt>
                <c:pt idx="1487">
                  <c:v>-11.1</c:v>
                </c:pt>
                <c:pt idx="1488">
                  <c:v>-10.4</c:v>
                </c:pt>
                <c:pt idx="1489">
                  <c:v>-9.8000000000000007</c:v>
                </c:pt>
                <c:pt idx="1490">
                  <c:v>-8.1</c:v>
                </c:pt>
                <c:pt idx="1491">
                  <c:v>-6.5</c:v>
                </c:pt>
                <c:pt idx="1492">
                  <c:v>-4.2</c:v>
                </c:pt>
                <c:pt idx="1493">
                  <c:v>-1.1000000000000001</c:v>
                </c:pt>
                <c:pt idx="1494">
                  <c:v>1.9</c:v>
                </c:pt>
                <c:pt idx="1495">
                  <c:v>2.5</c:v>
                </c:pt>
                <c:pt idx="1496">
                  <c:v>2.5</c:v>
                </c:pt>
                <c:pt idx="1497">
                  <c:v>2.5</c:v>
                </c:pt>
                <c:pt idx="1498">
                  <c:v>2.7</c:v>
                </c:pt>
                <c:pt idx="1499">
                  <c:v>2.8</c:v>
                </c:pt>
                <c:pt idx="1500">
                  <c:v>3.1</c:v>
                </c:pt>
                <c:pt idx="1501">
                  <c:v>3.5</c:v>
                </c:pt>
                <c:pt idx="1502">
                  <c:v>3.8</c:v>
                </c:pt>
                <c:pt idx="1503">
                  <c:v>4.3</c:v>
                </c:pt>
                <c:pt idx="1504">
                  <c:v>4.3</c:v>
                </c:pt>
                <c:pt idx="1505">
                  <c:v>4</c:v>
                </c:pt>
                <c:pt idx="1506">
                  <c:v>3.7</c:v>
                </c:pt>
                <c:pt idx="1507">
                  <c:v>3.6</c:v>
                </c:pt>
                <c:pt idx="1508">
                  <c:v>3.4</c:v>
                </c:pt>
                <c:pt idx="1509">
                  <c:v>3.2</c:v>
                </c:pt>
                <c:pt idx="1510">
                  <c:v>3.1</c:v>
                </c:pt>
                <c:pt idx="1511">
                  <c:v>3.1</c:v>
                </c:pt>
                <c:pt idx="1512">
                  <c:v>3.1</c:v>
                </c:pt>
                <c:pt idx="1513">
                  <c:v>3.3</c:v>
                </c:pt>
                <c:pt idx="1514">
                  <c:v>5.2</c:v>
                </c:pt>
                <c:pt idx="1515">
                  <c:v>6.5</c:v>
                </c:pt>
                <c:pt idx="1516">
                  <c:v>7.8</c:v>
                </c:pt>
                <c:pt idx="1517">
                  <c:v>6.1</c:v>
                </c:pt>
                <c:pt idx="1518">
                  <c:v>3.5</c:v>
                </c:pt>
                <c:pt idx="1519">
                  <c:v>1.7</c:v>
                </c:pt>
                <c:pt idx="1520">
                  <c:v>1.8</c:v>
                </c:pt>
                <c:pt idx="1521">
                  <c:v>2.2000000000000002</c:v>
                </c:pt>
                <c:pt idx="1522">
                  <c:v>2.9</c:v>
                </c:pt>
                <c:pt idx="1523">
                  <c:v>3.8</c:v>
                </c:pt>
                <c:pt idx="1524">
                  <c:v>4.9000000000000004</c:v>
                </c:pt>
                <c:pt idx="1525">
                  <c:v>6.5</c:v>
                </c:pt>
                <c:pt idx="1526">
                  <c:v>7.4</c:v>
                </c:pt>
                <c:pt idx="1527">
                  <c:v>7.4</c:v>
                </c:pt>
                <c:pt idx="1528">
                  <c:v>7.4</c:v>
                </c:pt>
                <c:pt idx="1529">
                  <c:v>7.4</c:v>
                </c:pt>
                <c:pt idx="1530">
                  <c:v>7.8</c:v>
                </c:pt>
                <c:pt idx="1531">
                  <c:v>8.1</c:v>
                </c:pt>
                <c:pt idx="1532">
                  <c:v>8.6999999999999993</c:v>
                </c:pt>
                <c:pt idx="1533">
                  <c:v>8.3000000000000007</c:v>
                </c:pt>
                <c:pt idx="1534">
                  <c:v>7.7</c:v>
                </c:pt>
                <c:pt idx="1535">
                  <c:v>6.7</c:v>
                </c:pt>
                <c:pt idx="1536">
                  <c:v>6.3</c:v>
                </c:pt>
                <c:pt idx="1537">
                  <c:v>7.1</c:v>
                </c:pt>
                <c:pt idx="1538">
                  <c:v>8.3000000000000007</c:v>
                </c:pt>
                <c:pt idx="1539">
                  <c:v>9.1</c:v>
                </c:pt>
                <c:pt idx="1540">
                  <c:v>9.3000000000000007</c:v>
                </c:pt>
                <c:pt idx="1541">
                  <c:v>9.3000000000000007</c:v>
                </c:pt>
                <c:pt idx="1542">
                  <c:v>9.3000000000000007</c:v>
                </c:pt>
                <c:pt idx="1543">
                  <c:v>9.3000000000000007</c:v>
                </c:pt>
                <c:pt idx="1544">
                  <c:v>9.3000000000000007</c:v>
                </c:pt>
                <c:pt idx="1545">
                  <c:v>9.3000000000000007</c:v>
                </c:pt>
                <c:pt idx="1546">
                  <c:v>9.3000000000000007</c:v>
                </c:pt>
                <c:pt idx="1547">
                  <c:v>9.1</c:v>
                </c:pt>
                <c:pt idx="1548">
                  <c:v>8.8000000000000007</c:v>
                </c:pt>
                <c:pt idx="1549">
                  <c:v>8.3000000000000007</c:v>
                </c:pt>
                <c:pt idx="1550">
                  <c:v>7.8</c:v>
                </c:pt>
                <c:pt idx="1551">
                  <c:v>6.2</c:v>
                </c:pt>
                <c:pt idx="1552">
                  <c:v>3.9</c:v>
                </c:pt>
                <c:pt idx="1553">
                  <c:v>2.2999999999999998</c:v>
                </c:pt>
                <c:pt idx="1554">
                  <c:v>2.5</c:v>
                </c:pt>
                <c:pt idx="1555">
                  <c:v>3.4</c:v>
                </c:pt>
                <c:pt idx="1556">
                  <c:v>4.3</c:v>
                </c:pt>
                <c:pt idx="1557">
                  <c:v>5.3</c:v>
                </c:pt>
                <c:pt idx="1558">
                  <c:v>4.0999999999999996</c:v>
                </c:pt>
                <c:pt idx="1559">
                  <c:v>2.9</c:v>
                </c:pt>
                <c:pt idx="1560">
                  <c:v>1.6</c:v>
                </c:pt>
                <c:pt idx="1561">
                  <c:v>0.6</c:v>
                </c:pt>
                <c:pt idx="1562">
                  <c:v>0.6</c:v>
                </c:pt>
                <c:pt idx="1563">
                  <c:v>0.6</c:v>
                </c:pt>
                <c:pt idx="1564">
                  <c:v>0.6</c:v>
                </c:pt>
                <c:pt idx="1565">
                  <c:v>1.3</c:v>
                </c:pt>
                <c:pt idx="1566">
                  <c:v>2.2000000000000002</c:v>
                </c:pt>
                <c:pt idx="1567">
                  <c:v>3.1</c:v>
                </c:pt>
                <c:pt idx="1568">
                  <c:v>4.0999999999999996</c:v>
                </c:pt>
                <c:pt idx="1569">
                  <c:v>3.6</c:v>
                </c:pt>
                <c:pt idx="1570">
                  <c:v>3</c:v>
                </c:pt>
                <c:pt idx="1571">
                  <c:v>2.2999999999999998</c:v>
                </c:pt>
                <c:pt idx="1572">
                  <c:v>2</c:v>
                </c:pt>
                <c:pt idx="1573">
                  <c:v>2.9</c:v>
                </c:pt>
                <c:pt idx="1574">
                  <c:v>3.9</c:v>
                </c:pt>
                <c:pt idx="1575">
                  <c:v>4.9000000000000004</c:v>
                </c:pt>
                <c:pt idx="1576">
                  <c:v>5.5</c:v>
                </c:pt>
                <c:pt idx="1577">
                  <c:v>5.3</c:v>
                </c:pt>
                <c:pt idx="1578">
                  <c:v>5.2</c:v>
                </c:pt>
                <c:pt idx="1579">
                  <c:v>5.0999999999999996</c:v>
                </c:pt>
                <c:pt idx="1580">
                  <c:v>5</c:v>
                </c:pt>
                <c:pt idx="1581">
                  <c:v>5</c:v>
                </c:pt>
                <c:pt idx="1582">
                  <c:v>5</c:v>
                </c:pt>
                <c:pt idx="1583">
                  <c:v>5</c:v>
                </c:pt>
                <c:pt idx="1584">
                  <c:v>4.7</c:v>
                </c:pt>
                <c:pt idx="1585">
                  <c:v>4.2</c:v>
                </c:pt>
                <c:pt idx="1586">
                  <c:v>3.5</c:v>
                </c:pt>
                <c:pt idx="1587">
                  <c:v>3.4</c:v>
                </c:pt>
                <c:pt idx="1588">
                  <c:v>4.9000000000000004</c:v>
                </c:pt>
                <c:pt idx="1589">
                  <c:v>6.5</c:v>
                </c:pt>
                <c:pt idx="1590">
                  <c:v>8</c:v>
                </c:pt>
                <c:pt idx="1591">
                  <c:v>9.1</c:v>
                </c:pt>
                <c:pt idx="1592">
                  <c:v>8.3000000000000007</c:v>
                </c:pt>
                <c:pt idx="1593">
                  <c:v>7.6</c:v>
                </c:pt>
                <c:pt idx="1594">
                  <c:v>6.9</c:v>
                </c:pt>
                <c:pt idx="1595">
                  <c:v>5.9</c:v>
                </c:pt>
                <c:pt idx="1596">
                  <c:v>4</c:v>
                </c:pt>
                <c:pt idx="1597">
                  <c:v>2.1</c:v>
                </c:pt>
                <c:pt idx="1598">
                  <c:v>0.3</c:v>
                </c:pt>
                <c:pt idx="1599">
                  <c:v>-1.2</c:v>
                </c:pt>
                <c:pt idx="1600">
                  <c:v>-1.2</c:v>
                </c:pt>
                <c:pt idx="1601">
                  <c:v>-1.2</c:v>
                </c:pt>
                <c:pt idx="1602">
                  <c:v>-1.2</c:v>
                </c:pt>
                <c:pt idx="1603">
                  <c:v>-1.1000000000000001</c:v>
                </c:pt>
                <c:pt idx="1604">
                  <c:v>-0.9</c:v>
                </c:pt>
                <c:pt idx="1605">
                  <c:v>-0.4</c:v>
                </c:pt>
                <c:pt idx="1606">
                  <c:v>-0.1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0.7</c:v>
                </c:pt>
                <c:pt idx="1612">
                  <c:v>1.5</c:v>
                </c:pt>
                <c:pt idx="1613">
                  <c:v>2.1</c:v>
                </c:pt>
                <c:pt idx="1614">
                  <c:v>2.9</c:v>
                </c:pt>
                <c:pt idx="1615">
                  <c:v>3.9</c:v>
                </c:pt>
                <c:pt idx="1616">
                  <c:v>4.7</c:v>
                </c:pt>
                <c:pt idx="1617">
                  <c:v>5.5</c:v>
                </c:pt>
                <c:pt idx="1618">
                  <c:v>6.3</c:v>
                </c:pt>
                <c:pt idx="1619">
                  <c:v>6.9</c:v>
                </c:pt>
                <c:pt idx="1620">
                  <c:v>6.9</c:v>
                </c:pt>
                <c:pt idx="1621">
                  <c:v>6.9</c:v>
                </c:pt>
                <c:pt idx="1622">
                  <c:v>6.9</c:v>
                </c:pt>
                <c:pt idx="1623">
                  <c:v>6.8</c:v>
                </c:pt>
                <c:pt idx="1624">
                  <c:v>6.1</c:v>
                </c:pt>
                <c:pt idx="1625">
                  <c:v>5.5</c:v>
                </c:pt>
                <c:pt idx="1626">
                  <c:v>4.9000000000000004</c:v>
                </c:pt>
                <c:pt idx="1627">
                  <c:v>4.5</c:v>
                </c:pt>
                <c:pt idx="1628">
                  <c:v>5.5</c:v>
                </c:pt>
                <c:pt idx="1629">
                  <c:v>6.5</c:v>
                </c:pt>
                <c:pt idx="1630">
                  <c:v>7.3</c:v>
                </c:pt>
                <c:pt idx="1631">
                  <c:v>7.8</c:v>
                </c:pt>
                <c:pt idx="1632">
                  <c:v>6.1</c:v>
                </c:pt>
                <c:pt idx="1633">
                  <c:v>4.3</c:v>
                </c:pt>
                <c:pt idx="1634">
                  <c:v>2.6</c:v>
                </c:pt>
                <c:pt idx="1635">
                  <c:v>1.7</c:v>
                </c:pt>
                <c:pt idx="1636">
                  <c:v>0.7</c:v>
                </c:pt>
                <c:pt idx="1637">
                  <c:v>-0.1</c:v>
                </c:pt>
                <c:pt idx="1638">
                  <c:v>-0.9</c:v>
                </c:pt>
                <c:pt idx="1639">
                  <c:v>-1.5</c:v>
                </c:pt>
                <c:pt idx="1640">
                  <c:v>-1.8</c:v>
                </c:pt>
                <c:pt idx="1641">
                  <c:v>-1.8</c:v>
                </c:pt>
                <c:pt idx="1642">
                  <c:v>-1.8</c:v>
                </c:pt>
                <c:pt idx="1643">
                  <c:v>-1.8</c:v>
                </c:pt>
                <c:pt idx="1644">
                  <c:v>-1.4</c:v>
                </c:pt>
                <c:pt idx="1645">
                  <c:v>-0.8</c:v>
                </c:pt>
                <c:pt idx="1646">
                  <c:v>-0.5</c:v>
                </c:pt>
                <c:pt idx="1647">
                  <c:v>0.1</c:v>
                </c:pt>
                <c:pt idx="1648">
                  <c:v>0.9</c:v>
                </c:pt>
                <c:pt idx="1649">
                  <c:v>2.2999999999999998</c:v>
                </c:pt>
                <c:pt idx="1650">
                  <c:v>3.7</c:v>
                </c:pt>
                <c:pt idx="1651">
                  <c:v>5.0999999999999996</c:v>
                </c:pt>
                <c:pt idx="1652">
                  <c:v>6.1</c:v>
                </c:pt>
                <c:pt idx="1653">
                  <c:v>5.3</c:v>
                </c:pt>
                <c:pt idx="1654">
                  <c:v>4.5</c:v>
                </c:pt>
                <c:pt idx="1655">
                  <c:v>4.0999999999999996</c:v>
                </c:pt>
                <c:pt idx="1656">
                  <c:v>3.3</c:v>
                </c:pt>
                <c:pt idx="1657">
                  <c:v>2.4</c:v>
                </c:pt>
                <c:pt idx="1658">
                  <c:v>1.3</c:v>
                </c:pt>
                <c:pt idx="1659">
                  <c:v>0.2</c:v>
                </c:pt>
                <c:pt idx="1660">
                  <c:v>-0.9</c:v>
                </c:pt>
                <c:pt idx="1661">
                  <c:v>-1.2</c:v>
                </c:pt>
                <c:pt idx="1662">
                  <c:v>-1.2</c:v>
                </c:pt>
                <c:pt idx="1663">
                  <c:v>-1.2</c:v>
                </c:pt>
                <c:pt idx="1664">
                  <c:v>-1.2</c:v>
                </c:pt>
                <c:pt idx="1665">
                  <c:v>-1.5</c:v>
                </c:pt>
                <c:pt idx="1666">
                  <c:v>-3.5</c:v>
                </c:pt>
                <c:pt idx="1667">
                  <c:v>-5.3</c:v>
                </c:pt>
                <c:pt idx="1668">
                  <c:v>-7.3</c:v>
                </c:pt>
                <c:pt idx="1669">
                  <c:v>-8.1999999999999993</c:v>
                </c:pt>
                <c:pt idx="1670">
                  <c:v>-3.9</c:v>
                </c:pt>
                <c:pt idx="1671">
                  <c:v>3.1</c:v>
                </c:pt>
                <c:pt idx="1672">
                  <c:v>10.199999999999999</c:v>
                </c:pt>
                <c:pt idx="1673">
                  <c:v>17.3</c:v>
                </c:pt>
                <c:pt idx="1674">
                  <c:v>12.4</c:v>
                </c:pt>
                <c:pt idx="1675">
                  <c:v>7.3</c:v>
                </c:pt>
                <c:pt idx="1676">
                  <c:v>-3.1</c:v>
                </c:pt>
                <c:pt idx="1677">
                  <c:v>-13.3</c:v>
                </c:pt>
                <c:pt idx="1678">
                  <c:v>-20.5</c:v>
                </c:pt>
                <c:pt idx="1679">
                  <c:v>-13.9</c:v>
                </c:pt>
                <c:pt idx="1680">
                  <c:v>-7.4</c:v>
                </c:pt>
                <c:pt idx="1681">
                  <c:v>-4.2</c:v>
                </c:pt>
                <c:pt idx="1682">
                  <c:v>2.4</c:v>
                </c:pt>
                <c:pt idx="1683">
                  <c:v>4.4000000000000004</c:v>
                </c:pt>
                <c:pt idx="1684">
                  <c:v>4.4000000000000004</c:v>
                </c:pt>
                <c:pt idx="1685">
                  <c:v>4.4000000000000004</c:v>
                </c:pt>
                <c:pt idx="1686">
                  <c:v>4.4000000000000004</c:v>
                </c:pt>
                <c:pt idx="1687">
                  <c:v>3.1</c:v>
                </c:pt>
                <c:pt idx="1688">
                  <c:v>-3.9</c:v>
                </c:pt>
                <c:pt idx="1689">
                  <c:v>-10.8</c:v>
                </c:pt>
                <c:pt idx="1690">
                  <c:v>-17.8</c:v>
                </c:pt>
                <c:pt idx="1691">
                  <c:v>-21.9</c:v>
                </c:pt>
                <c:pt idx="1692">
                  <c:v>-17.7</c:v>
                </c:pt>
                <c:pt idx="1693">
                  <c:v>-9.3000000000000007</c:v>
                </c:pt>
                <c:pt idx="1694">
                  <c:v>-0.9</c:v>
                </c:pt>
                <c:pt idx="1695">
                  <c:v>7.4</c:v>
                </c:pt>
                <c:pt idx="1696">
                  <c:v>5.6</c:v>
                </c:pt>
                <c:pt idx="1697">
                  <c:v>2.5</c:v>
                </c:pt>
                <c:pt idx="1698">
                  <c:v>-3.9</c:v>
                </c:pt>
                <c:pt idx="1699">
                  <c:v>-10.199999999999999</c:v>
                </c:pt>
                <c:pt idx="1700">
                  <c:v>-15.1</c:v>
                </c:pt>
                <c:pt idx="1701">
                  <c:v>-13.6</c:v>
                </c:pt>
                <c:pt idx="1702">
                  <c:v>-12.8</c:v>
                </c:pt>
                <c:pt idx="1703">
                  <c:v>-11.3</c:v>
                </c:pt>
                <c:pt idx="1704">
                  <c:v>-9.8000000000000007</c:v>
                </c:pt>
                <c:pt idx="1705">
                  <c:v>-9.3000000000000007</c:v>
                </c:pt>
                <c:pt idx="1706">
                  <c:v>-9.3000000000000007</c:v>
                </c:pt>
                <c:pt idx="1707">
                  <c:v>-9.3000000000000007</c:v>
                </c:pt>
                <c:pt idx="1708">
                  <c:v>-9.3000000000000007</c:v>
                </c:pt>
                <c:pt idx="1709">
                  <c:v>-9.9</c:v>
                </c:pt>
                <c:pt idx="1710">
                  <c:v>-13.2</c:v>
                </c:pt>
                <c:pt idx="1711">
                  <c:v>-14.8</c:v>
                </c:pt>
                <c:pt idx="1712">
                  <c:v>-18</c:v>
                </c:pt>
                <c:pt idx="1713">
                  <c:v>-21.3</c:v>
                </c:pt>
                <c:pt idx="1714">
                  <c:v>-18.100000000000001</c:v>
                </c:pt>
                <c:pt idx="1715">
                  <c:v>-15.1</c:v>
                </c:pt>
                <c:pt idx="1716">
                  <c:v>-9.1</c:v>
                </c:pt>
                <c:pt idx="1717">
                  <c:v>-3.1</c:v>
                </c:pt>
                <c:pt idx="1718">
                  <c:v>0.5</c:v>
                </c:pt>
                <c:pt idx="1719">
                  <c:v>-6.1</c:v>
                </c:pt>
                <c:pt idx="1720">
                  <c:v>-9.5</c:v>
                </c:pt>
                <c:pt idx="1721">
                  <c:v>-16.2</c:v>
                </c:pt>
                <c:pt idx="1722">
                  <c:v>-22.9</c:v>
                </c:pt>
                <c:pt idx="1723">
                  <c:v>-24.1</c:v>
                </c:pt>
                <c:pt idx="1724">
                  <c:v>-23.5</c:v>
                </c:pt>
                <c:pt idx="1725">
                  <c:v>-22.3</c:v>
                </c:pt>
                <c:pt idx="1726">
                  <c:v>-21.1</c:v>
                </c:pt>
                <c:pt idx="1727">
                  <c:v>-20.100000000000001</c:v>
                </c:pt>
                <c:pt idx="1728">
                  <c:v>-20.100000000000001</c:v>
                </c:pt>
                <c:pt idx="1729">
                  <c:v>-20.100000000000001</c:v>
                </c:pt>
                <c:pt idx="1730">
                  <c:v>-20.100000000000001</c:v>
                </c:pt>
                <c:pt idx="1731">
                  <c:v>-20.100000000000001</c:v>
                </c:pt>
                <c:pt idx="1732">
                  <c:v>-19.899999999999999</c:v>
                </c:pt>
                <c:pt idx="1733">
                  <c:v>-19.3</c:v>
                </c:pt>
                <c:pt idx="1734">
                  <c:v>-18.5</c:v>
                </c:pt>
                <c:pt idx="1735">
                  <c:v>-17.8</c:v>
                </c:pt>
                <c:pt idx="1736">
                  <c:v>-17.5</c:v>
                </c:pt>
                <c:pt idx="1737">
                  <c:v>-20.5</c:v>
                </c:pt>
                <c:pt idx="1738">
                  <c:v>-25.4</c:v>
                </c:pt>
                <c:pt idx="1739">
                  <c:v>-30.3</c:v>
                </c:pt>
                <c:pt idx="1740">
                  <c:v>-32.700000000000003</c:v>
                </c:pt>
                <c:pt idx="1741">
                  <c:v>-36.9</c:v>
                </c:pt>
                <c:pt idx="1742">
                  <c:v>-37.6</c:v>
                </c:pt>
                <c:pt idx="1743">
                  <c:v>-38.299999999999997</c:v>
                </c:pt>
                <c:pt idx="1744">
                  <c:v>-38.700000000000003</c:v>
                </c:pt>
                <c:pt idx="1745">
                  <c:v>-39.5</c:v>
                </c:pt>
                <c:pt idx="1746">
                  <c:v>-37.5</c:v>
                </c:pt>
                <c:pt idx="1747">
                  <c:v>-34.4</c:v>
                </c:pt>
                <c:pt idx="1748">
                  <c:v>-31.2</c:v>
                </c:pt>
                <c:pt idx="1749">
                  <c:v>-29.7</c:v>
                </c:pt>
                <c:pt idx="1750">
                  <c:v>-27.1</c:v>
                </c:pt>
                <c:pt idx="1751">
                  <c:v>-27.1</c:v>
                </c:pt>
                <c:pt idx="1752">
                  <c:v>-27.1</c:v>
                </c:pt>
                <c:pt idx="1753">
                  <c:v>-27.1</c:v>
                </c:pt>
                <c:pt idx="1754">
                  <c:v>-27.1</c:v>
                </c:pt>
                <c:pt idx="1755">
                  <c:v>-28.6</c:v>
                </c:pt>
                <c:pt idx="1756">
                  <c:v>-30.8</c:v>
                </c:pt>
                <c:pt idx="1757">
                  <c:v>-32.9</c:v>
                </c:pt>
                <c:pt idx="1758">
                  <c:v>-34</c:v>
                </c:pt>
                <c:pt idx="1759">
                  <c:v>-35.700000000000003</c:v>
                </c:pt>
                <c:pt idx="1760">
                  <c:v>-35.1</c:v>
                </c:pt>
                <c:pt idx="1761">
                  <c:v>-34.6</c:v>
                </c:pt>
                <c:pt idx="1762">
                  <c:v>-34</c:v>
                </c:pt>
                <c:pt idx="1763">
                  <c:v>-33.799999999999997</c:v>
                </c:pt>
                <c:pt idx="1764">
                  <c:v>-35.5</c:v>
                </c:pt>
                <c:pt idx="1765">
                  <c:v>-38.299999999999997</c:v>
                </c:pt>
                <c:pt idx="1766">
                  <c:v>-41.1</c:v>
                </c:pt>
                <c:pt idx="1767">
                  <c:v>-43.9</c:v>
                </c:pt>
                <c:pt idx="1768">
                  <c:v>-43.3</c:v>
                </c:pt>
                <c:pt idx="1769">
                  <c:v>-36</c:v>
                </c:pt>
                <c:pt idx="1770">
                  <c:v>-28.7</c:v>
                </c:pt>
                <c:pt idx="1771">
                  <c:v>-21.3</c:v>
                </c:pt>
                <c:pt idx="1772">
                  <c:v>-15.4</c:v>
                </c:pt>
                <c:pt idx="1773">
                  <c:v>-15.4</c:v>
                </c:pt>
                <c:pt idx="1774">
                  <c:v>-15.4</c:v>
                </c:pt>
                <c:pt idx="1775">
                  <c:v>-15.4</c:v>
                </c:pt>
                <c:pt idx="1776">
                  <c:v>-15.4</c:v>
                </c:pt>
                <c:pt idx="1777">
                  <c:v>-21.8</c:v>
                </c:pt>
                <c:pt idx="1778">
                  <c:v>-31.2</c:v>
                </c:pt>
                <c:pt idx="1779">
                  <c:v>-40.5</c:v>
                </c:pt>
                <c:pt idx="1780">
                  <c:v>-45.2</c:v>
                </c:pt>
                <c:pt idx="1781">
                  <c:v>-53.2</c:v>
                </c:pt>
                <c:pt idx="1782">
                  <c:v>-55.3</c:v>
                </c:pt>
                <c:pt idx="1783">
                  <c:v>-57.5</c:v>
                </c:pt>
                <c:pt idx="1784">
                  <c:v>-59.6</c:v>
                </c:pt>
                <c:pt idx="1785">
                  <c:v>-61.3</c:v>
                </c:pt>
                <c:pt idx="1786">
                  <c:v>-61.3</c:v>
                </c:pt>
                <c:pt idx="1787">
                  <c:v>-61.3</c:v>
                </c:pt>
                <c:pt idx="1788">
                  <c:v>-61.3</c:v>
                </c:pt>
                <c:pt idx="1789">
                  <c:v>-61.3</c:v>
                </c:pt>
                <c:pt idx="1790">
                  <c:v>-60.6</c:v>
                </c:pt>
                <c:pt idx="1791">
                  <c:v>-59.6</c:v>
                </c:pt>
                <c:pt idx="1792">
                  <c:v>-58.5</c:v>
                </c:pt>
                <c:pt idx="1793">
                  <c:v>-57.5</c:v>
                </c:pt>
                <c:pt idx="1794">
                  <c:v>-57.2</c:v>
                </c:pt>
                <c:pt idx="1795">
                  <c:v>-57.2</c:v>
                </c:pt>
                <c:pt idx="1796">
                  <c:v>-57.2</c:v>
                </c:pt>
                <c:pt idx="1797">
                  <c:v>-57.2</c:v>
                </c:pt>
                <c:pt idx="1798">
                  <c:v>-57.1</c:v>
                </c:pt>
                <c:pt idx="1799">
                  <c:v>-56.7</c:v>
                </c:pt>
                <c:pt idx="1800">
                  <c:v>-56.4</c:v>
                </c:pt>
                <c:pt idx="1801">
                  <c:v>-56</c:v>
                </c:pt>
                <c:pt idx="1802">
                  <c:v>-55.6</c:v>
                </c:pt>
                <c:pt idx="1803">
                  <c:v>-55.4</c:v>
                </c:pt>
                <c:pt idx="1804">
                  <c:v>-54.9</c:v>
                </c:pt>
                <c:pt idx="1805">
                  <c:v>-54.5</c:v>
                </c:pt>
                <c:pt idx="1806">
                  <c:v>-54.1</c:v>
                </c:pt>
                <c:pt idx="1807">
                  <c:v>-53.9</c:v>
                </c:pt>
                <c:pt idx="1808">
                  <c:v>-53.9</c:v>
                </c:pt>
                <c:pt idx="1809">
                  <c:v>-53.9</c:v>
                </c:pt>
                <c:pt idx="1810">
                  <c:v>-53.9</c:v>
                </c:pt>
                <c:pt idx="1811">
                  <c:v>-53.3</c:v>
                </c:pt>
                <c:pt idx="1812">
                  <c:v>-52.7</c:v>
                </c:pt>
                <c:pt idx="1813">
                  <c:v>-51.8</c:v>
                </c:pt>
                <c:pt idx="1814">
                  <c:v>-50.9</c:v>
                </c:pt>
                <c:pt idx="1815">
                  <c:v>-50.1</c:v>
                </c:pt>
                <c:pt idx="1816">
                  <c:v>-50.1</c:v>
                </c:pt>
                <c:pt idx="1817">
                  <c:v>-50.1</c:v>
                </c:pt>
                <c:pt idx="1818">
                  <c:v>-50.1</c:v>
                </c:pt>
                <c:pt idx="1819">
                  <c:v>-50.1</c:v>
                </c:pt>
                <c:pt idx="1820">
                  <c:v>-50.3</c:v>
                </c:pt>
                <c:pt idx="1821">
                  <c:v>-50.6</c:v>
                </c:pt>
                <c:pt idx="1822">
                  <c:v>-50.9</c:v>
                </c:pt>
                <c:pt idx="1823">
                  <c:v>-51.2</c:v>
                </c:pt>
                <c:pt idx="1824">
                  <c:v>-46.7</c:v>
                </c:pt>
                <c:pt idx="1825">
                  <c:v>-40</c:v>
                </c:pt>
                <c:pt idx="1826">
                  <c:v>-33.299999999999997</c:v>
                </c:pt>
                <c:pt idx="1827">
                  <c:v>-26.6</c:v>
                </c:pt>
                <c:pt idx="1828">
                  <c:v>-31.2</c:v>
                </c:pt>
                <c:pt idx="1829">
                  <c:v>-40.9</c:v>
                </c:pt>
                <c:pt idx="1830">
                  <c:v>-45.8</c:v>
                </c:pt>
                <c:pt idx="1831">
                  <c:v>-55.5</c:v>
                </c:pt>
                <c:pt idx="1832">
                  <c:v>-63.5</c:v>
                </c:pt>
                <c:pt idx="1833">
                  <c:v>-64</c:v>
                </c:pt>
                <c:pt idx="1834">
                  <c:v>-64.5</c:v>
                </c:pt>
                <c:pt idx="1835">
                  <c:v>-65.099999999999994</c:v>
                </c:pt>
                <c:pt idx="1836">
                  <c:v>-65.5</c:v>
                </c:pt>
                <c:pt idx="1837">
                  <c:v>-65.5</c:v>
                </c:pt>
                <c:pt idx="1838">
                  <c:v>-65.5</c:v>
                </c:pt>
                <c:pt idx="1839">
                  <c:v>-65.5</c:v>
                </c:pt>
                <c:pt idx="1840">
                  <c:v>-65.2</c:v>
                </c:pt>
                <c:pt idx="1841">
                  <c:v>-63.5</c:v>
                </c:pt>
                <c:pt idx="1842">
                  <c:v>-62.7</c:v>
                </c:pt>
                <c:pt idx="1843">
                  <c:v>-61</c:v>
                </c:pt>
                <c:pt idx="1844">
                  <c:v>-59.3</c:v>
                </c:pt>
                <c:pt idx="1845">
                  <c:v>-57</c:v>
                </c:pt>
                <c:pt idx="1846">
                  <c:v>-54.3</c:v>
                </c:pt>
                <c:pt idx="1847">
                  <c:v>-51.7</c:v>
                </c:pt>
                <c:pt idx="1848">
                  <c:v>-49</c:v>
                </c:pt>
                <c:pt idx="1849">
                  <c:v>-47.7</c:v>
                </c:pt>
                <c:pt idx="1850">
                  <c:v>-47.1</c:v>
                </c:pt>
                <c:pt idx="1851">
                  <c:v>-46.4</c:v>
                </c:pt>
                <c:pt idx="1852">
                  <c:v>-45.7</c:v>
                </c:pt>
                <c:pt idx="1853">
                  <c:v>-45.6</c:v>
                </c:pt>
                <c:pt idx="1854">
                  <c:v>-46.2</c:v>
                </c:pt>
                <c:pt idx="1855">
                  <c:v>-46.8</c:v>
                </c:pt>
                <c:pt idx="1856">
                  <c:v>-47.4</c:v>
                </c:pt>
                <c:pt idx="1857">
                  <c:v>-47.9</c:v>
                </c:pt>
                <c:pt idx="1858">
                  <c:v>-47.9</c:v>
                </c:pt>
                <c:pt idx="1859">
                  <c:v>-47.9</c:v>
                </c:pt>
                <c:pt idx="1860">
                  <c:v>-47.9</c:v>
                </c:pt>
                <c:pt idx="1861">
                  <c:v>-47.9</c:v>
                </c:pt>
                <c:pt idx="1862">
                  <c:v>-47.7</c:v>
                </c:pt>
                <c:pt idx="1863">
                  <c:v>-47.5</c:v>
                </c:pt>
                <c:pt idx="1864">
                  <c:v>-47.3</c:v>
                </c:pt>
                <c:pt idx="1865">
                  <c:v>-47.1</c:v>
                </c:pt>
                <c:pt idx="1866">
                  <c:v>-46.7</c:v>
                </c:pt>
                <c:pt idx="1867">
                  <c:v>-45.9</c:v>
                </c:pt>
                <c:pt idx="1868">
                  <c:v>-45.3</c:v>
                </c:pt>
                <c:pt idx="1869">
                  <c:v>-44.6</c:v>
                </c:pt>
                <c:pt idx="1870">
                  <c:v>-44.3</c:v>
                </c:pt>
                <c:pt idx="1871">
                  <c:v>-44.1</c:v>
                </c:pt>
                <c:pt idx="1872">
                  <c:v>-43.9</c:v>
                </c:pt>
                <c:pt idx="1873">
                  <c:v>-43.7</c:v>
                </c:pt>
                <c:pt idx="1874">
                  <c:v>-42.5</c:v>
                </c:pt>
                <c:pt idx="1875">
                  <c:v>-36.299999999999997</c:v>
                </c:pt>
                <c:pt idx="1876">
                  <c:v>-30.1</c:v>
                </c:pt>
                <c:pt idx="1877">
                  <c:v>-23.9</c:v>
                </c:pt>
                <c:pt idx="1878">
                  <c:v>-18.899999999999999</c:v>
                </c:pt>
                <c:pt idx="1879">
                  <c:v>-18.899999999999999</c:v>
                </c:pt>
                <c:pt idx="1880">
                  <c:v>-18.899999999999999</c:v>
                </c:pt>
                <c:pt idx="1881">
                  <c:v>-18.899999999999999</c:v>
                </c:pt>
                <c:pt idx="1882">
                  <c:v>-18.899999999999999</c:v>
                </c:pt>
                <c:pt idx="1883">
                  <c:v>-24</c:v>
                </c:pt>
                <c:pt idx="1884">
                  <c:v>-31.5</c:v>
                </c:pt>
                <c:pt idx="1885">
                  <c:v>-39</c:v>
                </c:pt>
                <c:pt idx="1886">
                  <c:v>-46.5</c:v>
                </c:pt>
                <c:pt idx="1887">
                  <c:v>-48.3</c:v>
                </c:pt>
                <c:pt idx="1888">
                  <c:v>-47.5</c:v>
                </c:pt>
                <c:pt idx="1889">
                  <c:v>-46.5</c:v>
                </c:pt>
                <c:pt idx="1890">
                  <c:v>-46.1</c:v>
                </c:pt>
                <c:pt idx="1891">
                  <c:v>-45.2</c:v>
                </c:pt>
                <c:pt idx="1892">
                  <c:v>-43.8</c:v>
                </c:pt>
                <c:pt idx="1893">
                  <c:v>-42.3</c:v>
                </c:pt>
                <c:pt idx="1894">
                  <c:v>-40.9</c:v>
                </c:pt>
                <c:pt idx="1895">
                  <c:v>-39.6</c:v>
                </c:pt>
                <c:pt idx="1896">
                  <c:v>-38.9</c:v>
                </c:pt>
                <c:pt idx="1897">
                  <c:v>-38.299999999999997</c:v>
                </c:pt>
                <c:pt idx="1898">
                  <c:v>-37.9</c:v>
                </c:pt>
                <c:pt idx="1899">
                  <c:v>-37.299999999999997</c:v>
                </c:pt>
                <c:pt idx="1900">
                  <c:v>-37.1</c:v>
                </c:pt>
                <c:pt idx="1901">
                  <c:v>-37.1</c:v>
                </c:pt>
                <c:pt idx="1902">
                  <c:v>-37.1</c:v>
                </c:pt>
                <c:pt idx="1903">
                  <c:v>-37.1</c:v>
                </c:pt>
                <c:pt idx="1904">
                  <c:v>-34.700000000000003</c:v>
                </c:pt>
                <c:pt idx="1905">
                  <c:v>-31.3</c:v>
                </c:pt>
                <c:pt idx="1906">
                  <c:v>-29.6</c:v>
                </c:pt>
                <c:pt idx="1907">
                  <c:v>-26.2</c:v>
                </c:pt>
                <c:pt idx="1908">
                  <c:v>-23.2</c:v>
                </c:pt>
                <c:pt idx="1909">
                  <c:v>-22.1</c:v>
                </c:pt>
                <c:pt idx="1910">
                  <c:v>-20.9</c:v>
                </c:pt>
                <c:pt idx="1911">
                  <c:v>-19.8</c:v>
                </c:pt>
                <c:pt idx="1912">
                  <c:v>-19.3</c:v>
                </c:pt>
                <c:pt idx="1913">
                  <c:v>-19.2</c:v>
                </c:pt>
                <c:pt idx="1914">
                  <c:v>-19.600000000000001</c:v>
                </c:pt>
                <c:pt idx="1915">
                  <c:v>-20.100000000000001</c:v>
                </c:pt>
                <c:pt idx="1916">
                  <c:v>-20.5</c:v>
                </c:pt>
                <c:pt idx="1917">
                  <c:v>-20.5</c:v>
                </c:pt>
                <c:pt idx="1918">
                  <c:v>-20.399999999999999</c:v>
                </c:pt>
                <c:pt idx="1919">
                  <c:v>-20.3</c:v>
                </c:pt>
                <c:pt idx="1920">
                  <c:v>-20.2</c:v>
                </c:pt>
                <c:pt idx="1921">
                  <c:v>-20.100000000000001</c:v>
                </c:pt>
                <c:pt idx="1922">
                  <c:v>-20.100000000000001</c:v>
                </c:pt>
                <c:pt idx="1923">
                  <c:v>-20.100000000000001</c:v>
                </c:pt>
                <c:pt idx="1924">
                  <c:v>-20.100000000000001</c:v>
                </c:pt>
                <c:pt idx="1925">
                  <c:v>-20.100000000000001</c:v>
                </c:pt>
                <c:pt idx="1926">
                  <c:v>-20.399999999999999</c:v>
                </c:pt>
                <c:pt idx="1927">
                  <c:v>-20.8</c:v>
                </c:pt>
                <c:pt idx="1928">
                  <c:v>-21.2</c:v>
                </c:pt>
                <c:pt idx="1929">
                  <c:v>-21.6</c:v>
                </c:pt>
                <c:pt idx="1930">
                  <c:v>-18.8</c:v>
                </c:pt>
                <c:pt idx="1931">
                  <c:v>-14.7</c:v>
                </c:pt>
                <c:pt idx="1932">
                  <c:v>-12.5</c:v>
                </c:pt>
                <c:pt idx="1933">
                  <c:v>-8.4</c:v>
                </c:pt>
                <c:pt idx="1934">
                  <c:v>-5.7</c:v>
                </c:pt>
                <c:pt idx="1935">
                  <c:v>-9.1</c:v>
                </c:pt>
                <c:pt idx="1936">
                  <c:v>-12.6</c:v>
                </c:pt>
                <c:pt idx="1937">
                  <c:v>-16.100000000000001</c:v>
                </c:pt>
                <c:pt idx="1938">
                  <c:v>-17.8</c:v>
                </c:pt>
                <c:pt idx="1939">
                  <c:v>-19.100000000000001</c:v>
                </c:pt>
                <c:pt idx="1940">
                  <c:v>-19.399999999999999</c:v>
                </c:pt>
                <c:pt idx="1941">
                  <c:v>-19.7</c:v>
                </c:pt>
                <c:pt idx="1942">
                  <c:v>-20</c:v>
                </c:pt>
                <c:pt idx="1943">
                  <c:v>-20.100000000000001</c:v>
                </c:pt>
                <c:pt idx="1944">
                  <c:v>-20.100000000000001</c:v>
                </c:pt>
                <c:pt idx="1945">
                  <c:v>-20.100000000000001</c:v>
                </c:pt>
                <c:pt idx="1946">
                  <c:v>-20.100000000000001</c:v>
                </c:pt>
                <c:pt idx="1947">
                  <c:v>-19.899999999999999</c:v>
                </c:pt>
                <c:pt idx="1948">
                  <c:v>-18.899999999999999</c:v>
                </c:pt>
                <c:pt idx="1949">
                  <c:v>-18.399999999999999</c:v>
                </c:pt>
                <c:pt idx="1950">
                  <c:v>-17.3</c:v>
                </c:pt>
                <c:pt idx="1951">
                  <c:v>-16.3</c:v>
                </c:pt>
                <c:pt idx="1952">
                  <c:v>-15.1</c:v>
                </c:pt>
                <c:pt idx="1953">
                  <c:v>-13.7</c:v>
                </c:pt>
                <c:pt idx="1954">
                  <c:v>-13.1</c:v>
                </c:pt>
                <c:pt idx="1955">
                  <c:v>-11.7</c:v>
                </c:pt>
                <c:pt idx="1956">
                  <c:v>-10.9</c:v>
                </c:pt>
                <c:pt idx="1957">
                  <c:v>-12.4</c:v>
                </c:pt>
                <c:pt idx="1958">
                  <c:v>-13.1</c:v>
                </c:pt>
                <c:pt idx="1959">
                  <c:v>-14.6</c:v>
                </c:pt>
                <c:pt idx="1960">
                  <c:v>-16.100000000000001</c:v>
                </c:pt>
                <c:pt idx="1961">
                  <c:v>-17.399999999999999</c:v>
                </c:pt>
                <c:pt idx="1962">
                  <c:v>-18.5</c:v>
                </c:pt>
                <c:pt idx="1963">
                  <c:v>-19.100000000000001</c:v>
                </c:pt>
                <c:pt idx="1964">
                  <c:v>-20.3</c:v>
                </c:pt>
                <c:pt idx="1965">
                  <c:v>-21.2</c:v>
                </c:pt>
                <c:pt idx="1966">
                  <c:v>-21.2</c:v>
                </c:pt>
                <c:pt idx="1967">
                  <c:v>-21.2</c:v>
                </c:pt>
                <c:pt idx="1968">
                  <c:v>-21.2</c:v>
                </c:pt>
                <c:pt idx="1969">
                  <c:v>-21.2</c:v>
                </c:pt>
                <c:pt idx="1970">
                  <c:v>-21.9</c:v>
                </c:pt>
                <c:pt idx="1971">
                  <c:v>-22.8</c:v>
                </c:pt>
                <c:pt idx="1972">
                  <c:v>-23.7</c:v>
                </c:pt>
                <c:pt idx="1973">
                  <c:v>-24.7</c:v>
                </c:pt>
                <c:pt idx="1974">
                  <c:v>-25.2</c:v>
                </c:pt>
                <c:pt idx="1975">
                  <c:v>-25.5</c:v>
                </c:pt>
                <c:pt idx="1976">
                  <c:v>-25.7</c:v>
                </c:pt>
                <c:pt idx="1977">
                  <c:v>-26</c:v>
                </c:pt>
                <c:pt idx="1978">
                  <c:v>-26</c:v>
                </c:pt>
                <c:pt idx="1979">
                  <c:v>-25.6</c:v>
                </c:pt>
                <c:pt idx="1980">
                  <c:v>-25.2</c:v>
                </c:pt>
                <c:pt idx="1981">
                  <c:v>-24.8</c:v>
                </c:pt>
                <c:pt idx="1982">
                  <c:v>-23.8</c:v>
                </c:pt>
                <c:pt idx="1983">
                  <c:v>-20.2</c:v>
                </c:pt>
                <c:pt idx="1984">
                  <c:v>-16.600000000000001</c:v>
                </c:pt>
                <c:pt idx="1985">
                  <c:v>-12.9</c:v>
                </c:pt>
                <c:pt idx="1986">
                  <c:v>-10</c:v>
                </c:pt>
                <c:pt idx="1987">
                  <c:v>-10</c:v>
                </c:pt>
                <c:pt idx="1988">
                  <c:v>-10</c:v>
                </c:pt>
                <c:pt idx="1989">
                  <c:v>-10</c:v>
                </c:pt>
                <c:pt idx="1990">
                  <c:v>-10.4</c:v>
                </c:pt>
                <c:pt idx="1991">
                  <c:v>-12.5</c:v>
                </c:pt>
                <c:pt idx="1992">
                  <c:v>-14.5</c:v>
                </c:pt>
                <c:pt idx="1993">
                  <c:v>-16.600000000000001</c:v>
                </c:pt>
                <c:pt idx="1994">
                  <c:v>-18.2</c:v>
                </c:pt>
                <c:pt idx="1995">
                  <c:v>-17.8</c:v>
                </c:pt>
                <c:pt idx="1996">
                  <c:v>-17.100000000000001</c:v>
                </c:pt>
                <c:pt idx="1997">
                  <c:v>-16.7</c:v>
                </c:pt>
                <c:pt idx="1998">
                  <c:v>-11.7</c:v>
                </c:pt>
                <c:pt idx="1999">
                  <c:v>-4.3</c:v>
                </c:pt>
                <c:pt idx="2000">
                  <c:v>2.9</c:v>
                </c:pt>
                <c:pt idx="2001">
                  <c:v>10.1</c:v>
                </c:pt>
                <c:pt idx="2002">
                  <c:v>10.7</c:v>
                </c:pt>
                <c:pt idx="2003">
                  <c:v>8.3000000000000007</c:v>
                </c:pt>
                <c:pt idx="2004">
                  <c:v>5.7</c:v>
                </c:pt>
                <c:pt idx="2005">
                  <c:v>2.5</c:v>
                </c:pt>
                <c:pt idx="2006">
                  <c:v>2.5</c:v>
                </c:pt>
                <c:pt idx="2007">
                  <c:v>2.5</c:v>
                </c:pt>
                <c:pt idx="2008">
                  <c:v>2.5</c:v>
                </c:pt>
                <c:pt idx="2009">
                  <c:v>0.1</c:v>
                </c:pt>
                <c:pt idx="2010">
                  <c:v>-12.4</c:v>
                </c:pt>
                <c:pt idx="2011">
                  <c:v>-31.1</c:v>
                </c:pt>
                <c:pt idx="2012">
                  <c:v>-43.7</c:v>
                </c:pt>
                <c:pt idx="2013">
                  <c:v>-45.4</c:v>
                </c:pt>
                <c:pt idx="2014">
                  <c:v>-42.2</c:v>
                </c:pt>
                <c:pt idx="2015">
                  <c:v>-39.1</c:v>
                </c:pt>
                <c:pt idx="2016">
                  <c:v>-34.700000000000003</c:v>
                </c:pt>
                <c:pt idx="2017">
                  <c:v>-33.5</c:v>
                </c:pt>
                <c:pt idx="2018">
                  <c:v>-32.299999999999997</c:v>
                </c:pt>
                <c:pt idx="2019">
                  <c:v>-31.1</c:v>
                </c:pt>
                <c:pt idx="2020">
                  <c:v>-30.5</c:v>
                </c:pt>
                <c:pt idx="2021">
                  <c:v>-30.8</c:v>
                </c:pt>
                <c:pt idx="2022">
                  <c:v>-31.1</c:v>
                </c:pt>
                <c:pt idx="2023">
                  <c:v>-31.5</c:v>
                </c:pt>
                <c:pt idx="2024">
                  <c:v>-31.6</c:v>
                </c:pt>
                <c:pt idx="2025">
                  <c:v>-31.6</c:v>
                </c:pt>
                <c:pt idx="2026">
                  <c:v>-31.6</c:v>
                </c:pt>
                <c:pt idx="2027">
                  <c:v>-31.5</c:v>
                </c:pt>
                <c:pt idx="2028">
                  <c:v>-31.4</c:v>
                </c:pt>
                <c:pt idx="2029">
                  <c:v>-31.3</c:v>
                </c:pt>
                <c:pt idx="2030">
                  <c:v>-31.2</c:v>
                </c:pt>
                <c:pt idx="2031">
                  <c:v>-26.3</c:v>
                </c:pt>
                <c:pt idx="2032">
                  <c:v>-22.3</c:v>
                </c:pt>
                <c:pt idx="2033">
                  <c:v>-18.100000000000001</c:v>
                </c:pt>
                <c:pt idx="2034">
                  <c:v>-19.5</c:v>
                </c:pt>
                <c:pt idx="2035">
                  <c:v>-26.2</c:v>
                </c:pt>
                <c:pt idx="2036">
                  <c:v>-32.9</c:v>
                </c:pt>
                <c:pt idx="2037">
                  <c:v>-41.7</c:v>
                </c:pt>
                <c:pt idx="2038">
                  <c:v>-41.1</c:v>
                </c:pt>
                <c:pt idx="2039">
                  <c:v>-40.1</c:v>
                </c:pt>
                <c:pt idx="2040">
                  <c:v>-39.5</c:v>
                </c:pt>
                <c:pt idx="2041">
                  <c:v>-39.299999999999997</c:v>
                </c:pt>
                <c:pt idx="2042">
                  <c:v>-39.299999999999997</c:v>
                </c:pt>
                <c:pt idx="2043">
                  <c:v>-39.299999999999997</c:v>
                </c:pt>
                <c:pt idx="2044">
                  <c:v>-38.700000000000003</c:v>
                </c:pt>
                <c:pt idx="2045">
                  <c:v>-38.1</c:v>
                </c:pt>
                <c:pt idx="2046">
                  <c:v>-37.299999999999997</c:v>
                </c:pt>
                <c:pt idx="2047">
                  <c:v>-36.299999999999997</c:v>
                </c:pt>
                <c:pt idx="2048">
                  <c:v>-36.1</c:v>
                </c:pt>
                <c:pt idx="2049">
                  <c:v>-36</c:v>
                </c:pt>
                <c:pt idx="2050">
                  <c:v>-35.799999999999997</c:v>
                </c:pt>
                <c:pt idx="2051">
                  <c:v>-35.700000000000003</c:v>
                </c:pt>
                <c:pt idx="2052">
                  <c:v>-35.6</c:v>
                </c:pt>
                <c:pt idx="2053">
                  <c:v>-35.5</c:v>
                </c:pt>
                <c:pt idx="2054">
                  <c:v>-35.799999999999997</c:v>
                </c:pt>
                <c:pt idx="2055">
                  <c:v>-36.299999999999997</c:v>
                </c:pt>
                <c:pt idx="2056">
                  <c:v>-37.200000000000003</c:v>
                </c:pt>
                <c:pt idx="2057">
                  <c:v>-37.6</c:v>
                </c:pt>
                <c:pt idx="2058">
                  <c:v>-37.6</c:v>
                </c:pt>
                <c:pt idx="2059">
                  <c:v>-37.6</c:v>
                </c:pt>
                <c:pt idx="2060">
                  <c:v>-38.200000000000003</c:v>
                </c:pt>
                <c:pt idx="2061">
                  <c:v>-41.4</c:v>
                </c:pt>
                <c:pt idx="2062">
                  <c:v>-46.2</c:v>
                </c:pt>
                <c:pt idx="2063">
                  <c:v>-49.4</c:v>
                </c:pt>
                <c:pt idx="2064">
                  <c:v>-51.5</c:v>
                </c:pt>
                <c:pt idx="2065">
                  <c:v>-52.5</c:v>
                </c:pt>
                <c:pt idx="2066">
                  <c:v>-53.9</c:v>
                </c:pt>
                <c:pt idx="2067">
                  <c:v>-53</c:v>
                </c:pt>
                <c:pt idx="2068">
                  <c:v>-50.3</c:v>
                </c:pt>
                <c:pt idx="2069">
                  <c:v>-48.5</c:v>
                </c:pt>
                <c:pt idx="2070">
                  <c:v>-42.4</c:v>
                </c:pt>
                <c:pt idx="2071">
                  <c:v>-32</c:v>
                </c:pt>
                <c:pt idx="2072">
                  <c:v>-25.1</c:v>
                </c:pt>
                <c:pt idx="2073">
                  <c:v>-19.5</c:v>
                </c:pt>
                <c:pt idx="2074">
                  <c:v>-19.5</c:v>
                </c:pt>
                <c:pt idx="2075">
                  <c:v>-19.5</c:v>
                </c:pt>
                <c:pt idx="2076">
                  <c:v>-25.9</c:v>
                </c:pt>
                <c:pt idx="2077">
                  <c:v>-35.299999999999997</c:v>
                </c:pt>
                <c:pt idx="2078">
                  <c:v>-49.3</c:v>
                </c:pt>
                <c:pt idx="2079">
                  <c:v>-57.1</c:v>
                </c:pt>
                <c:pt idx="2080">
                  <c:v>-58.6</c:v>
                </c:pt>
                <c:pt idx="2081">
                  <c:v>-60.1</c:v>
                </c:pt>
                <c:pt idx="2082">
                  <c:v>-60.7</c:v>
                </c:pt>
                <c:pt idx="2083">
                  <c:v>-59.7</c:v>
                </c:pt>
                <c:pt idx="2084">
                  <c:v>-58.7</c:v>
                </c:pt>
                <c:pt idx="2085">
                  <c:v>-57.7</c:v>
                </c:pt>
                <c:pt idx="2086">
                  <c:v>-54.7</c:v>
                </c:pt>
                <c:pt idx="2087">
                  <c:v>-52.7</c:v>
                </c:pt>
                <c:pt idx="2088">
                  <c:v>-50.1</c:v>
                </c:pt>
                <c:pt idx="2089">
                  <c:v>-50.1</c:v>
                </c:pt>
                <c:pt idx="2090">
                  <c:v>-50.1</c:v>
                </c:pt>
                <c:pt idx="2091">
                  <c:v>-50.3</c:v>
                </c:pt>
                <c:pt idx="2092">
                  <c:v>-51.8</c:v>
                </c:pt>
                <c:pt idx="2093">
                  <c:v>-52.9</c:v>
                </c:pt>
                <c:pt idx="2094">
                  <c:v>-54.3</c:v>
                </c:pt>
                <c:pt idx="2095">
                  <c:v>-55.3</c:v>
                </c:pt>
                <c:pt idx="2096">
                  <c:v>-56.3</c:v>
                </c:pt>
                <c:pt idx="2097">
                  <c:v>-56.9</c:v>
                </c:pt>
                <c:pt idx="2098">
                  <c:v>-57.3</c:v>
                </c:pt>
                <c:pt idx="2099">
                  <c:v>-57.7</c:v>
                </c:pt>
                <c:pt idx="2100">
                  <c:v>-57.6</c:v>
                </c:pt>
                <c:pt idx="2101">
                  <c:v>-57.1</c:v>
                </c:pt>
                <c:pt idx="2102">
                  <c:v>-56.3</c:v>
                </c:pt>
                <c:pt idx="2103">
                  <c:v>-55.9</c:v>
                </c:pt>
                <c:pt idx="2104">
                  <c:v>-55.9</c:v>
                </c:pt>
                <c:pt idx="2105">
                  <c:v>-55.9</c:v>
                </c:pt>
                <c:pt idx="2106">
                  <c:v>-55.2</c:v>
                </c:pt>
                <c:pt idx="2107">
                  <c:v>-53.6</c:v>
                </c:pt>
                <c:pt idx="2108">
                  <c:v>-52</c:v>
                </c:pt>
                <c:pt idx="2109">
                  <c:v>-47.2</c:v>
                </c:pt>
                <c:pt idx="2110">
                  <c:v>-37.4</c:v>
                </c:pt>
                <c:pt idx="2111">
                  <c:v>-27.6</c:v>
                </c:pt>
                <c:pt idx="2112">
                  <c:v>-35.799999999999997</c:v>
                </c:pt>
                <c:pt idx="2113">
                  <c:v>-44.3</c:v>
                </c:pt>
                <c:pt idx="2114">
                  <c:v>-57.2</c:v>
                </c:pt>
                <c:pt idx="2115">
                  <c:v>-60</c:v>
                </c:pt>
                <c:pt idx="2116">
                  <c:v>-60</c:v>
                </c:pt>
                <c:pt idx="2117">
                  <c:v>-60.1</c:v>
                </c:pt>
                <c:pt idx="2118">
                  <c:v>-60.1</c:v>
                </c:pt>
                <c:pt idx="2119">
                  <c:v>-60.1</c:v>
                </c:pt>
                <c:pt idx="2120">
                  <c:v>-59.9</c:v>
                </c:pt>
                <c:pt idx="2121">
                  <c:v>-58.7</c:v>
                </c:pt>
                <c:pt idx="2122">
                  <c:v>-57.9</c:v>
                </c:pt>
                <c:pt idx="2123">
                  <c:v>-56.7</c:v>
                </c:pt>
                <c:pt idx="2124">
                  <c:v>-55.3</c:v>
                </c:pt>
                <c:pt idx="2125">
                  <c:v>-53.9</c:v>
                </c:pt>
                <c:pt idx="2126">
                  <c:v>-53.5</c:v>
                </c:pt>
                <c:pt idx="2127">
                  <c:v>-54.1</c:v>
                </c:pt>
                <c:pt idx="2128">
                  <c:v>-55</c:v>
                </c:pt>
                <c:pt idx="2129">
                  <c:v>-55.1</c:v>
                </c:pt>
                <c:pt idx="2130">
                  <c:v>-54</c:v>
                </c:pt>
                <c:pt idx="2131">
                  <c:v>-53</c:v>
                </c:pt>
                <c:pt idx="2132">
                  <c:v>-52.8</c:v>
                </c:pt>
                <c:pt idx="2133">
                  <c:v>-52.8</c:v>
                </c:pt>
                <c:pt idx="2134">
                  <c:v>-52.8</c:v>
                </c:pt>
                <c:pt idx="2135">
                  <c:v>-53.7</c:v>
                </c:pt>
                <c:pt idx="2136">
                  <c:v>-54.4</c:v>
                </c:pt>
                <c:pt idx="2137">
                  <c:v>-55.5</c:v>
                </c:pt>
                <c:pt idx="2138">
                  <c:v>-54.2</c:v>
                </c:pt>
                <c:pt idx="2139">
                  <c:v>-52.3</c:v>
                </c:pt>
                <c:pt idx="2140">
                  <c:v>-51.1</c:v>
                </c:pt>
                <c:pt idx="2141">
                  <c:v>-51.8</c:v>
                </c:pt>
                <c:pt idx="2142">
                  <c:v>-53.2</c:v>
                </c:pt>
                <c:pt idx="2143">
                  <c:v>-53.1</c:v>
                </c:pt>
                <c:pt idx="2144">
                  <c:v>-46.5</c:v>
                </c:pt>
                <c:pt idx="2145">
                  <c:v>-36.5</c:v>
                </c:pt>
                <c:pt idx="2146">
                  <c:v>-27.7</c:v>
                </c:pt>
                <c:pt idx="2147">
                  <c:v>-27.7</c:v>
                </c:pt>
                <c:pt idx="2148">
                  <c:v>-27.7</c:v>
                </c:pt>
                <c:pt idx="2149">
                  <c:v>-29.2</c:v>
                </c:pt>
                <c:pt idx="2150">
                  <c:v>-40.9</c:v>
                </c:pt>
                <c:pt idx="2151">
                  <c:v>-52.7</c:v>
                </c:pt>
                <c:pt idx="2152">
                  <c:v>-58.9</c:v>
                </c:pt>
                <c:pt idx="2153">
                  <c:v>-57.9</c:v>
                </c:pt>
                <c:pt idx="2154">
                  <c:v>-57</c:v>
                </c:pt>
                <c:pt idx="2155">
                  <c:v>-55.9</c:v>
                </c:pt>
                <c:pt idx="2156">
                  <c:v>-54.9</c:v>
                </c:pt>
                <c:pt idx="2157">
                  <c:v>-53.5</c:v>
                </c:pt>
                <c:pt idx="2158">
                  <c:v>-52.6</c:v>
                </c:pt>
                <c:pt idx="2159">
                  <c:v>-52.3</c:v>
                </c:pt>
                <c:pt idx="2160">
                  <c:v>-51.9</c:v>
                </c:pt>
                <c:pt idx="2161">
                  <c:v>-51.7</c:v>
                </c:pt>
                <c:pt idx="2162">
                  <c:v>-51.7</c:v>
                </c:pt>
                <c:pt idx="2163">
                  <c:v>-51.7</c:v>
                </c:pt>
                <c:pt idx="2164">
                  <c:v>-51.2</c:v>
                </c:pt>
                <c:pt idx="2165">
                  <c:v>-50.5</c:v>
                </c:pt>
                <c:pt idx="2166">
                  <c:v>-49.4</c:v>
                </c:pt>
                <c:pt idx="2167">
                  <c:v>-49.3</c:v>
                </c:pt>
                <c:pt idx="2168">
                  <c:v>-50.1</c:v>
                </c:pt>
                <c:pt idx="2169">
                  <c:v>-51.1</c:v>
                </c:pt>
                <c:pt idx="2170">
                  <c:v>-51.7</c:v>
                </c:pt>
                <c:pt idx="2171">
                  <c:v>-51.3</c:v>
                </c:pt>
                <c:pt idx="2172">
                  <c:v>-50.9</c:v>
                </c:pt>
                <c:pt idx="2173">
                  <c:v>-50.6</c:v>
                </c:pt>
                <c:pt idx="2174">
                  <c:v>-49.8</c:v>
                </c:pt>
                <c:pt idx="2175">
                  <c:v>-49.2</c:v>
                </c:pt>
                <c:pt idx="2176">
                  <c:v>-48.5</c:v>
                </c:pt>
                <c:pt idx="2177">
                  <c:v>-48.5</c:v>
                </c:pt>
                <c:pt idx="2178">
                  <c:v>-48.5</c:v>
                </c:pt>
                <c:pt idx="2179">
                  <c:v>-48.5</c:v>
                </c:pt>
                <c:pt idx="2180">
                  <c:v>-48.8</c:v>
                </c:pt>
                <c:pt idx="2181">
                  <c:v>-49.2</c:v>
                </c:pt>
                <c:pt idx="2182">
                  <c:v>-49.4</c:v>
                </c:pt>
                <c:pt idx="2183">
                  <c:v>-41.1</c:v>
                </c:pt>
                <c:pt idx="2184">
                  <c:v>-34</c:v>
                </c:pt>
                <c:pt idx="2185">
                  <c:v>-23.4</c:v>
                </c:pt>
                <c:pt idx="2186">
                  <c:v>-26.6</c:v>
                </c:pt>
                <c:pt idx="2187">
                  <c:v>-38.299999999999997</c:v>
                </c:pt>
                <c:pt idx="2188">
                  <c:v>-46.1</c:v>
                </c:pt>
                <c:pt idx="2189">
                  <c:v>-52.5</c:v>
                </c:pt>
                <c:pt idx="2190">
                  <c:v>-52.4</c:v>
                </c:pt>
                <c:pt idx="2191">
                  <c:v>-52.3</c:v>
                </c:pt>
                <c:pt idx="2192">
                  <c:v>-52.2</c:v>
                </c:pt>
                <c:pt idx="2193">
                  <c:v>-52.2</c:v>
                </c:pt>
                <c:pt idx="2194">
                  <c:v>-52.2</c:v>
                </c:pt>
                <c:pt idx="2195">
                  <c:v>-52.2</c:v>
                </c:pt>
                <c:pt idx="2196">
                  <c:v>-50.7</c:v>
                </c:pt>
                <c:pt idx="2197">
                  <c:v>-49.4</c:v>
                </c:pt>
                <c:pt idx="2198">
                  <c:v>-47.5</c:v>
                </c:pt>
                <c:pt idx="2199">
                  <c:v>-46.8</c:v>
                </c:pt>
                <c:pt idx="2200">
                  <c:v>-46.4</c:v>
                </c:pt>
                <c:pt idx="2201">
                  <c:v>-45.8</c:v>
                </c:pt>
                <c:pt idx="2202">
                  <c:v>-45.5</c:v>
                </c:pt>
                <c:pt idx="2203">
                  <c:v>-46.1</c:v>
                </c:pt>
                <c:pt idx="2204">
                  <c:v>-46.4</c:v>
                </c:pt>
                <c:pt idx="2205">
                  <c:v>-46.7</c:v>
                </c:pt>
                <c:pt idx="2206">
                  <c:v>-43</c:v>
                </c:pt>
                <c:pt idx="2207">
                  <c:v>-39.9</c:v>
                </c:pt>
                <c:pt idx="2208">
                  <c:v>-36.700000000000003</c:v>
                </c:pt>
                <c:pt idx="2209">
                  <c:v>-34.1</c:v>
                </c:pt>
                <c:pt idx="2210">
                  <c:v>-34.1</c:v>
                </c:pt>
                <c:pt idx="2211">
                  <c:v>-34.1</c:v>
                </c:pt>
                <c:pt idx="2212">
                  <c:v>-34.799999999999997</c:v>
                </c:pt>
                <c:pt idx="2213">
                  <c:v>-38.4</c:v>
                </c:pt>
                <c:pt idx="2214">
                  <c:v>-43.8</c:v>
                </c:pt>
                <c:pt idx="2215">
                  <c:v>-47.4</c:v>
                </c:pt>
                <c:pt idx="2216">
                  <c:v>-47.4</c:v>
                </c:pt>
                <c:pt idx="2217">
                  <c:v>-45.8</c:v>
                </c:pt>
                <c:pt idx="2218">
                  <c:v>-43.4</c:v>
                </c:pt>
                <c:pt idx="2219">
                  <c:v>-41.8</c:v>
                </c:pt>
                <c:pt idx="2220">
                  <c:v>-40.1</c:v>
                </c:pt>
                <c:pt idx="2221">
                  <c:v>-37.6</c:v>
                </c:pt>
                <c:pt idx="2222">
                  <c:v>-35.9</c:v>
                </c:pt>
                <c:pt idx="2223">
                  <c:v>-31.5</c:v>
                </c:pt>
                <c:pt idx="2224">
                  <c:v>-25.9</c:v>
                </c:pt>
                <c:pt idx="2225">
                  <c:v>-17.5</c:v>
                </c:pt>
                <c:pt idx="2226">
                  <c:v>-13</c:v>
                </c:pt>
                <c:pt idx="2227">
                  <c:v>-13</c:v>
                </c:pt>
                <c:pt idx="2228">
                  <c:v>-13</c:v>
                </c:pt>
                <c:pt idx="2229">
                  <c:v>-13</c:v>
                </c:pt>
                <c:pt idx="2230">
                  <c:v>-17.100000000000001</c:v>
                </c:pt>
                <c:pt idx="2231">
                  <c:v>-23.1</c:v>
                </c:pt>
                <c:pt idx="2232">
                  <c:v>-32.200000000000003</c:v>
                </c:pt>
                <c:pt idx="2233">
                  <c:v>-37.299999999999997</c:v>
                </c:pt>
                <c:pt idx="2234">
                  <c:v>-38.299999999999997</c:v>
                </c:pt>
                <c:pt idx="2235">
                  <c:v>-39.4</c:v>
                </c:pt>
                <c:pt idx="2236">
                  <c:v>-40.5</c:v>
                </c:pt>
                <c:pt idx="2237">
                  <c:v>-40.200000000000003</c:v>
                </c:pt>
                <c:pt idx="2238">
                  <c:v>-38.6</c:v>
                </c:pt>
                <c:pt idx="2239">
                  <c:v>-37</c:v>
                </c:pt>
                <c:pt idx="2240">
                  <c:v>-35.4</c:v>
                </c:pt>
                <c:pt idx="2241">
                  <c:v>-34.799999999999997</c:v>
                </c:pt>
                <c:pt idx="2242">
                  <c:v>-34.700000000000003</c:v>
                </c:pt>
                <c:pt idx="2243">
                  <c:v>-34.6</c:v>
                </c:pt>
                <c:pt idx="2244">
                  <c:v>-34.5</c:v>
                </c:pt>
                <c:pt idx="2245">
                  <c:v>-34.5</c:v>
                </c:pt>
                <c:pt idx="2246">
                  <c:v>-34.5</c:v>
                </c:pt>
                <c:pt idx="2247">
                  <c:v>-34.5</c:v>
                </c:pt>
                <c:pt idx="2248">
                  <c:v>-32.799999999999997</c:v>
                </c:pt>
                <c:pt idx="2249">
                  <c:v>-30.3</c:v>
                </c:pt>
                <c:pt idx="2250">
                  <c:v>-27.8</c:v>
                </c:pt>
                <c:pt idx="2251">
                  <c:v>-25.3</c:v>
                </c:pt>
                <c:pt idx="2252">
                  <c:v>-23</c:v>
                </c:pt>
                <c:pt idx="2253">
                  <c:v>-21.7</c:v>
                </c:pt>
                <c:pt idx="2254">
                  <c:v>-20.5</c:v>
                </c:pt>
                <c:pt idx="2255">
                  <c:v>-19</c:v>
                </c:pt>
                <c:pt idx="2256">
                  <c:v>-16.3</c:v>
                </c:pt>
                <c:pt idx="2257">
                  <c:v>-13.6</c:v>
                </c:pt>
                <c:pt idx="2258">
                  <c:v>-11</c:v>
                </c:pt>
                <c:pt idx="2259">
                  <c:v>-9.3000000000000007</c:v>
                </c:pt>
                <c:pt idx="2260">
                  <c:v>-10.1</c:v>
                </c:pt>
                <c:pt idx="2261">
                  <c:v>-10.9</c:v>
                </c:pt>
                <c:pt idx="2262">
                  <c:v>-11.5</c:v>
                </c:pt>
                <c:pt idx="2263">
                  <c:v>-11.8</c:v>
                </c:pt>
                <c:pt idx="2264">
                  <c:v>-11.8</c:v>
                </c:pt>
                <c:pt idx="2265">
                  <c:v>-11.8</c:v>
                </c:pt>
                <c:pt idx="2266">
                  <c:v>-11.8</c:v>
                </c:pt>
                <c:pt idx="2267">
                  <c:v>-11.8</c:v>
                </c:pt>
                <c:pt idx="2268">
                  <c:v>-11.8</c:v>
                </c:pt>
                <c:pt idx="2269">
                  <c:v>-11.8</c:v>
                </c:pt>
                <c:pt idx="2270">
                  <c:v>-11.3</c:v>
                </c:pt>
                <c:pt idx="2271">
                  <c:v>-9.1</c:v>
                </c:pt>
                <c:pt idx="2272">
                  <c:v>-6.7</c:v>
                </c:pt>
                <c:pt idx="2273">
                  <c:v>-4.4000000000000004</c:v>
                </c:pt>
                <c:pt idx="2274">
                  <c:v>-2.8</c:v>
                </c:pt>
                <c:pt idx="2275">
                  <c:v>-4.4000000000000004</c:v>
                </c:pt>
                <c:pt idx="2276">
                  <c:v>-5.9</c:v>
                </c:pt>
                <c:pt idx="2277">
                  <c:v>-8.3000000000000007</c:v>
                </c:pt>
                <c:pt idx="2278">
                  <c:v>-7.9</c:v>
                </c:pt>
                <c:pt idx="2279">
                  <c:v>-6.7</c:v>
                </c:pt>
                <c:pt idx="2280">
                  <c:v>-5.4</c:v>
                </c:pt>
                <c:pt idx="2281">
                  <c:v>-4.0999999999999996</c:v>
                </c:pt>
                <c:pt idx="2282">
                  <c:v>-3.7</c:v>
                </c:pt>
                <c:pt idx="2283">
                  <c:v>-3.7</c:v>
                </c:pt>
                <c:pt idx="2284">
                  <c:v>-3.7</c:v>
                </c:pt>
                <c:pt idx="2285">
                  <c:v>-3.7</c:v>
                </c:pt>
                <c:pt idx="2286">
                  <c:v>-3.3</c:v>
                </c:pt>
                <c:pt idx="2287">
                  <c:v>-2.7</c:v>
                </c:pt>
                <c:pt idx="2288">
                  <c:v>-2</c:v>
                </c:pt>
                <c:pt idx="2289">
                  <c:v>-1.4</c:v>
                </c:pt>
                <c:pt idx="2290">
                  <c:v>-1.1000000000000001</c:v>
                </c:pt>
                <c:pt idx="2291">
                  <c:v>-0.9</c:v>
                </c:pt>
                <c:pt idx="2292">
                  <c:v>-0.8</c:v>
                </c:pt>
                <c:pt idx="2293">
                  <c:v>-0.7</c:v>
                </c:pt>
                <c:pt idx="2294">
                  <c:v>-0.4</c:v>
                </c:pt>
                <c:pt idx="2295">
                  <c:v>-0.1</c:v>
                </c:pt>
                <c:pt idx="2296">
                  <c:v>0.2</c:v>
                </c:pt>
                <c:pt idx="2297">
                  <c:v>0.5</c:v>
                </c:pt>
                <c:pt idx="2298">
                  <c:v>-0.3</c:v>
                </c:pt>
                <c:pt idx="2299">
                  <c:v>-1.5</c:v>
                </c:pt>
                <c:pt idx="2300">
                  <c:v>-2.7</c:v>
                </c:pt>
                <c:pt idx="2301">
                  <c:v>-4</c:v>
                </c:pt>
                <c:pt idx="2302">
                  <c:v>-4.4000000000000004</c:v>
                </c:pt>
                <c:pt idx="2303">
                  <c:v>-4.4000000000000004</c:v>
                </c:pt>
                <c:pt idx="2304">
                  <c:v>-4.4000000000000004</c:v>
                </c:pt>
                <c:pt idx="2305">
                  <c:v>-4.4000000000000004</c:v>
                </c:pt>
                <c:pt idx="2306">
                  <c:v>-3.7</c:v>
                </c:pt>
                <c:pt idx="2307">
                  <c:v>-2.8</c:v>
                </c:pt>
                <c:pt idx="2308">
                  <c:v>-1.9</c:v>
                </c:pt>
                <c:pt idx="2309">
                  <c:v>-0.9</c:v>
                </c:pt>
                <c:pt idx="2310">
                  <c:v>-0.5</c:v>
                </c:pt>
                <c:pt idx="2311">
                  <c:v>-0.3</c:v>
                </c:pt>
                <c:pt idx="2312">
                  <c:v>-0.2</c:v>
                </c:pt>
                <c:pt idx="2313">
                  <c:v>-0.1</c:v>
                </c:pt>
                <c:pt idx="2314">
                  <c:v>0.7</c:v>
                </c:pt>
                <c:pt idx="2315">
                  <c:v>1.1000000000000001</c:v>
                </c:pt>
                <c:pt idx="2316">
                  <c:v>2.1</c:v>
                </c:pt>
                <c:pt idx="2317">
                  <c:v>2.9</c:v>
                </c:pt>
                <c:pt idx="2318">
                  <c:v>3.5</c:v>
                </c:pt>
                <c:pt idx="2319">
                  <c:v>2.4</c:v>
                </c:pt>
                <c:pt idx="2320">
                  <c:v>1.3</c:v>
                </c:pt>
                <c:pt idx="2321">
                  <c:v>0.3</c:v>
                </c:pt>
                <c:pt idx="2322">
                  <c:v>-0.6</c:v>
                </c:pt>
                <c:pt idx="2323">
                  <c:v>-0.6</c:v>
                </c:pt>
                <c:pt idx="2324">
                  <c:v>-0.6</c:v>
                </c:pt>
                <c:pt idx="2325">
                  <c:v>-0.6</c:v>
                </c:pt>
                <c:pt idx="2326">
                  <c:v>-0.5</c:v>
                </c:pt>
                <c:pt idx="2327">
                  <c:v>0.1</c:v>
                </c:pt>
                <c:pt idx="2328">
                  <c:v>0.4</c:v>
                </c:pt>
                <c:pt idx="2329">
                  <c:v>1</c:v>
                </c:pt>
                <c:pt idx="2330">
                  <c:v>1.6</c:v>
                </c:pt>
                <c:pt idx="2331">
                  <c:v>2.5</c:v>
                </c:pt>
                <c:pt idx="2332">
                  <c:v>3.4</c:v>
                </c:pt>
                <c:pt idx="2333">
                  <c:v>4.3</c:v>
                </c:pt>
                <c:pt idx="2334">
                  <c:v>5.3</c:v>
                </c:pt>
                <c:pt idx="2335">
                  <c:v>4.5999999999999996</c:v>
                </c:pt>
                <c:pt idx="2336">
                  <c:v>3.2</c:v>
                </c:pt>
                <c:pt idx="2337">
                  <c:v>2.5</c:v>
                </c:pt>
                <c:pt idx="2338">
                  <c:v>1.1000000000000001</c:v>
                </c:pt>
                <c:pt idx="2339">
                  <c:v>0.1</c:v>
                </c:pt>
                <c:pt idx="2340">
                  <c:v>0.7</c:v>
                </c:pt>
                <c:pt idx="2341">
                  <c:v>1.4</c:v>
                </c:pt>
                <c:pt idx="2342">
                  <c:v>2</c:v>
                </c:pt>
                <c:pt idx="2343">
                  <c:v>2.5</c:v>
                </c:pt>
                <c:pt idx="2344">
                  <c:v>2.5</c:v>
                </c:pt>
                <c:pt idx="2345">
                  <c:v>2.5</c:v>
                </c:pt>
                <c:pt idx="2346">
                  <c:v>2.5</c:v>
                </c:pt>
                <c:pt idx="2347">
                  <c:v>2.5</c:v>
                </c:pt>
                <c:pt idx="2348">
                  <c:v>1.9</c:v>
                </c:pt>
                <c:pt idx="2349">
                  <c:v>1.1000000000000001</c:v>
                </c:pt>
                <c:pt idx="2350">
                  <c:v>0.5</c:v>
                </c:pt>
                <c:pt idx="2351">
                  <c:v>-0.3</c:v>
                </c:pt>
                <c:pt idx="2352">
                  <c:v>-0.5</c:v>
                </c:pt>
                <c:pt idx="2353">
                  <c:v>0.3</c:v>
                </c:pt>
                <c:pt idx="2354">
                  <c:v>1.1000000000000001</c:v>
                </c:pt>
                <c:pt idx="2355">
                  <c:v>1.9</c:v>
                </c:pt>
                <c:pt idx="2356">
                  <c:v>2.5</c:v>
                </c:pt>
                <c:pt idx="2357">
                  <c:v>2.1</c:v>
                </c:pt>
                <c:pt idx="2358">
                  <c:v>1.9</c:v>
                </c:pt>
                <c:pt idx="2359">
                  <c:v>1.6</c:v>
                </c:pt>
                <c:pt idx="2360">
                  <c:v>1.3</c:v>
                </c:pt>
                <c:pt idx="2361">
                  <c:v>1.7</c:v>
                </c:pt>
                <c:pt idx="2362">
                  <c:v>2.5</c:v>
                </c:pt>
                <c:pt idx="2363">
                  <c:v>3.3</c:v>
                </c:pt>
                <c:pt idx="2364">
                  <c:v>3.7</c:v>
                </c:pt>
                <c:pt idx="2365">
                  <c:v>4.4000000000000004</c:v>
                </c:pt>
                <c:pt idx="2366">
                  <c:v>4.4000000000000004</c:v>
                </c:pt>
                <c:pt idx="2367">
                  <c:v>4.4000000000000004</c:v>
                </c:pt>
                <c:pt idx="2368">
                  <c:v>4.4000000000000004</c:v>
                </c:pt>
                <c:pt idx="2369">
                  <c:v>4.5</c:v>
                </c:pt>
                <c:pt idx="2370">
                  <c:v>4.9000000000000004</c:v>
                </c:pt>
                <c:pt idx="2371">
                  <c:v>5.7</c:v>
                </c:pt>
                <c:pt idx="2372">
                  <c:v>6.5</c:v>
                </c:pt>
                <c:pt idx="2373">
                  <c:v>7.1</c:v>
                </c:pt>
                <c:pt idx="2374">
                  <c:v>6.1</c:v>
                </c:pt>
                <c:pt idx="2375">
                  <c:v>5.2</c:v>
                </c:pt>
                <c:pt idx="2376">
                  <c:v>3.3</c:v>
                </c:pt>
                <c:pt idx="2377">
                  <c:v>1.5</c:v>
                </c:pt>
                <c:pt idx="2378">
                  <c:v>0.3</c:v>
                </c:pt>
                <c:pt idx="2379">
                  <c:v>1.5</c:v>
                </c:pt>
                <c:pt idx="2380">
                  <c:v>2.1</c:v>
                </c:pt>
                <c:pt idx="2381">
                  <c:v>3.3</c:v>
                </c:pt>
                <c:pt idx="2382">
                  <c:v>4.5999999999999996</c:v>
                </c:pt>
                <c:pt idx="2383">
                  <c:v>0.6</c:v>
                </c:pt>
                <c:pt idx="2384">
                  <c:v>-5.8</c:v>
                </c:pt>
                <c:pt idx="2385">
                  <c:v>-9</c:v>
                </c:pt>
                <c:pt idx="2386">
                  <c:v>-15.4</c:v>
                </c:pt>
                <c:pt idx="2387">
                  <c:v>-20.6</c:v>
                </c:pt>
                <c:pt idx="2388">
                  <c:v>-20.6</c:v>
                </c:pt>
                <c:pt idx="2389">
                  <c:v>-20.6</c:v>
                </c:pt>
                <c:pt idx="2390">
                  <c:v>-20.6</c:v>
                </c:pt>
                <c:pt idx="2391">
                  <c:v>-20.6</c:v>
                </c:pt>
                <c:pt idx="2392">
                  <c:v>-14.4</c:v>
                </c:pt>
                <c:pt idx="2393">
                  <c:v>-5.4</c:v>
                </c:pt>
                <c:pt idx="2394">
                  <c:v>-0.9</c:v>
                </c:pt>
                <c:pt idx="2395">
                  <c:v>8.1</c:v>
                </c:pt>
                <c:pt idx="2396">
                  <c:v>13.6</c:v>
                </c:pt>
                <c:pt idx="2397">
                  <c:v>4.2</c:v>
                </c:pt>
                <c:pt idx="2398">
                  <c:v>-0.5</c:v>
                </c:pt>
                <c:pt idx="2399">
                  <c:v>-9.9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024-47FB-9554-06DD19D6FA6B}"/>
            </c:ext>
          </c:extLst>
        </c:ser>
        <c:ser>
          <c:idx val="1"/>
          <c:order val="1"/>
          <c:tx>
            <c:v>Sim Data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'Track Data'!$M$4:$M$2403</c:f>
              <c:numCache>
                <c:formatCode>General</c:formatCode>
                <c:ptCount val="24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</c:numCache>
            </c:numRef>
          </c:xVal>
          <c:yVal>
            <c:numRef>
              <c:f>'Track Data'!$AD$4:$AD$2403</c:f>
              <c:numCache>
                <c:formatCode>General</c:formatCode>
                <c:ptCount val="24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-50.276124960482598</c:v>
                </c:pt>
                <c:pt idx="307">
                  <c:v>-50.276124960482598</c:v>
                </c:pt>
                <c:pt idx="308">
                  <c:v>-50.276124960482598</c:v>
                </c:pt>
                <c:pt idx="309">
                  <c:v>-50.276124960482598</c:v>
                </c:pt>
                <c:pt idx="310">
                  <c:v>-50.276124960482598</c:v>
                </c:pt>
                <c:pt idx="311">
                  <c:v>-50.276124960482598</c:v>
                </c:pt>
                <c:pt idx="312">
                  <c:v>-50.276124960482598</c:v>
                </c:pt>
                <c:pt idx="313">
                  <c:v>-50.276124960482598</c:v>
                </c:pt>
                <c:pt idx="314">
                  <c:v>-50.276124960482598</c:v>
                </c:pt>
                <c:pt idx="315">
                  <c:v>-50.276124960482598</c:v>
                </c:pt>
                <c:pt idx="316">
                  <c:v>-50.276124960482598</c:v>
                </c:pt>
                <c:pt idx="317">
                  <c:v>-50.276124960482598</c:v>
                </c:pt>
                <c:pt idx="318">
                  <c:v>-50.276124960482598</c:v>
                </c:pt>
                <c:pt idx="319">
                  <c:v>-50.276124960482598</c:v>
                </c:pt>
                <c:pt idx="320">
                  <c:v>-50.276124960482598</c:v>
                </c:pt>
                <c:pt idx="321">
                  <c:v>-50.276124960482598</c:v>
                </c:pt>
                <c:pt idx="322">
                  <c:v>-50.276124960482598</c:v>
                </c:pt>
                <c:pt idx="323">
                  <c:v>-50.276124960482598</c:v>
                </c:pt>
                <c:pt idx="324">
                  <c:v>-50.276124960482598</c:v>
                </c:pt>
                <c:pt idx="325">
                  <c:v>-50.276124960482598</c:v>
                </c:pt>
                <c:pt idx="326">
                  <c:v>-50.276124960482598</c:v>
                </c:pt>
                <c:pt idx="327">
                  <c:v>-50.276124960482598</c:v>
                </c:pt>
                <c:pt idx="328">
                  <c:v>-50.276124960482598</c:v>
                </c:pt>
                <c:pt idx="329">
                  <c:v>-50.276124960482598</c:v>
                </c:pt>
                <c:pt idx="330">
                  <c:v>-50.276124960482598</c:v>
                </c:pt>
                <c:pt idx="331">
                  <c:v>-50.276124960482598</c:v>
                </c:pt>
                <c:pt idx="332">
                  <c:v>-50.276124960482598</c:v>
                </c:pt>
                <c:pt idx="333">
                  <c:v>-50.276124960482598</c:v>
                </c:pt>
                <c:pt idx="334">
                  <c:v>-50.276124960482598</c:v>
                </c:pt>
                <c:pt idx="335">
                  <c:v>-50.276124960482598</c:v>
                </c:pt>
                <c:pt idx="336">
                  <c:v>-50.276124960482598</c:v>
                </c:pt>
                <c:pt idx="337">
                  <c:v>-50.276124960482598</c:v>
                </c:pt>
                <c:pt idx="338">
                  <c:v>-50.276124960482598</c:v>
                </c:pt>
                <c:pt idx="339">
                  <c:v>-50.276124960482598</c:v>
                </c:pt>
                <c:pt idx="340">
                  <c:v>-50.276124960482598</c:v>
                </c:pt>
                <c:pt idx="341">
                  <c:v>-50.276124960482598</c:v>
                </c:pt>
                <c:pt idx="342">
                  <c:v>-50.276124960482598</c:v>
                </c:pt>
                <c:pt idx="343">
                  <c:v>-50.276124960482598</c:v>
                </c:pt>
                <c:pt idx="344">
                  <c:v>-50.276124960482598</c:v>
                </c:pt>
                <c:pt idx="345">
                  <c:v>-50.276124960482598</c:v>
                </c:pt>
                <c:pt idx="346">
                  <c:v>-50.276124960482598</c:v>
                </c:pt>
                <c:pt idx="347">
                  <c:v>-50.276124960482598</c:v>
                </c:pt>
                <c:pt idx="348">
                  <c:v>-50.276124960482598</c:v>
                </c:pt>
                <c:pt idx="349">
                  <c:v>-50.276124960482598</c:v>
                </c:pt>
                <c:pt idx="350">
                  <c:v>-50.276124960482598</c:v>
                </c:pt>
                <c:pt idx="351">
                  <c:v>-50.276124960482598</c:v>
                </c:pt>
                <c:pt idx="352">
                  <c:v>-50.276124960482598</c:v>
                </c:pt>
                <c:pt idx="353">
                  <c:v>-50.276124960482598</c:v>
                </c:pt>
                <c:pt idx="354">
                  <c:v>-50.276124960482598</c:v>
                </c:pt>
                <c:pt idx="355">
                  <c:v>-50.276124960482598</c:v>
                </c:pt>
                <c:pt idx="356">
                  <c:v>-50.276124960482598</c:v>
                </c:pt>
                <c:pt idx="357">
                  <c:v>-50.276124960482598</c:v>
                </c:pt>
                <c:pt idx="358">
                  <c:v>-50.276124960482598</c:v>
                </c:pt>
                <c:pt idx="359">
                  <c:v>-50.276124960482598</c:v>
                </c:pt>
                <c:pt idx="360">
                  <c:v>-50.276124960482598</c:v>
                </c:pt>
                <c:pt idx="361">
                  <c:v>-50.276124960482598</c:v>
                </c:pt>
                <c:pt idx="362">
                  <c:v>-50.276124960482598</c:v>
                </c:pt>
                <c:pt idx="363">
                  <c:v>-50.276124960482598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-50.419976243670298</c:v>
                </c:pt>
                <c:pt idx="422">
                  <c:v>-50.419976243670298</c:v>
                </c:pt>
                <c:pt idx="423">
                  <c:v>-50.419976243670298</c:v>
                </c:pt>
                <c:pt idx="424">
                  <c:v>-50.419976243670298</c:v>
                </c:pt>
                <c:pt idx="425">
                  <c:v>-50.419976243670298</c:v>
                </c:pt>
                <c:pt idx="426">
                  <c:v>-50.419976243670298</c:v>
                </c:pt>
                <c:pt idx="427">
                  <c:v>-50.419976243670298</c:v>
                </c:pt>
                <c:pt idx="428">
                  <c:v>-50.419976243670298</c:v>
                </c:pt>
                <c:pt idx="429">
                  <c:v>-50.419976243670298</c:v>
                </c:pt>
                <c:pt idx="430">
                  <c:v>-50.419976243670298</c:v>
                </c:pt>
                <c:pt idx="431">
                  <c:v>-50.419976243670298</c:v>
                </c:pt>
                <c:pt idx="432">
                  <c:v>-50.419976243670298</c:v>
                </c:pt>
                <c:pt idx="433">
                  <c:v>-50.419976243670298</c:v>
                </c:pt>
                <c:pt idx="434">
                  <c:v>-50.419976243670298</c:v>
                </c:pt>
                <c:pt idx="435">
                  <c:v>-50.419976243670298</c:v>
                </c:pt>
                <c:pt idx="436">
                  <c:v>-50.419976243670298</c:v>
                </c:pt>
                <c:pt idx="437">
                  <c:v>-50.419976243670298</c:v>
                </c:pt>
                <c:pt idx="438">
                  <c:v>-50.419976243670298</c:v>
                </c:pt>
                <c:pt idx="439">
                  <c:v>-50.419976243670298</c:v>
                </c:pt>
                <c:pt idx="440">
                  <c:v>-50.419976243670298</c:v>
                </c:pt>
                <c:pt idx="441">
                  <c:v>-50.419976243670298</c:v>
                </c:pt>
                <c:pt idx="442">
                  <c:v>-50.419976243670298</c:v>
                </c:pt>
                <c:pt idx="443">
                  <c:v>-50.419976243670298</c:v>
                </c:pt>
                <c:pt idx="444">
                  <c:v>-50.419976243670298</c:v>
                </c:pt>
                <c:pt idx="445">
                  <c:v>-50.419976243670298</c:v>
                </c:pt>
                <c:pt idx="446">
                  <c:v>-50.419976243670298</c:v>
                </c:pt>
                <c:pt idx="447">
                  <c:v>-50.419976243670298</c:v>
                </c:pt>
                <c:pt idx="448">
                  <c:v>-50.419976243670298</c:v>
                </c:pt>
                <c:pt idx="449">
                  <c:v>-50.419976243670298</c:v>
                </c:pt>
                <c:pt idx="450">
                  <c:v>-50.419976243670298</c:v>
                </c:pt>
                <c:pt idx="451">
                  <c:v>-50.419976243670298</c:v>
                </c:pt>
                <c:pt idx="452">
                  <c:v>-50.419976243670298</c:v>
                </c:pt>
                <c:pt idx="453">
                  <c:v>-50.419976243670298</c:v>
                </c:pt>
                <c:pt idx="454">
                  <c:v>-50.419976243670298</c:v>
                </c:pt>
                <c:pt idx="455">
                  <c:v>-50.419976243670298</c:v>
                </c:pt>
                <c:pt idx="456">
                  <c:v>-50.419976243670298</c:v>
                </c:pt>
                <c:pt idx="457">
                  <c:v>-50.419976243670298</c:v>
                </c:pt>
                <c:pt idx="458">
                  <c:v>-50.419976243670298</c:v>
                </c:pt>
                <c:pt idx="459">
                  <c:v>-50.419976243670298</c:v>
                </c:pt>
                <c:pt idx="460">
                  <c:v>-50.419976243670298</c:v>
                </c:pt>
                <c:pt idx="461">
                  <c:v>-50.419976243670298</c:v>
                </c:pt>
                <c:pt idx="462">
                  <c:v>-50.419976243670298</c:v>
                </c:pt>
                <c:pt idx="463">
                  <c:v>-50.419976243670298</c:v>
                </c:pt>
                <c:pt idx="464">
                  <c:v>-50.419976243670298</c:v>
                </c:pt>
                <c:pt idx="465">
                  <c:v>-50.419976243670298</c:v>
                </c:pt>
                <c:pt idx="466">
                  <c:v>-50.419976243670298</c:v>
                </c:pt>
                <c:pt idx="467">
                  <c:v>-50.419976243670298</c:v>
                </c:pt>
                <c:pt idx="468">
                  <c:v>-50.419976243670298</c:v>
                </c:pt>
                <c:pt idx="469">
                  <c:v>-50.419976243670298</c:v>
                </c:pt>
                <c:pt idx="470">
                  <c:v>-50.419976243670298</c:v>
                </c:pt>
                <c:pt idx="471">
                  <c:v>-50.419976243670298</c:v>
                </c:pt>
                <c:pt idx="472">
                  <c:v>-50.419976243670298</c:v>
                </c:pt>
                <c:pt idx="473">
                  <c:v>-50.419976243670298</c:v>
                </c:pt>
                <c:pt idx="474">
                  <c:v>-50.419976243670298</c:v>
                </c:pt>
                <c:pt idx="475">
                  <c:v>-50.419976243670298</c:v>
                </c:pt>
                <c:pt idx="476">
                  <c:v>-50.419976243670298</c:v>
                </c:pt>
                <c:pt idx="477">
                  <c:v>-50.419976243670298</c:v>
                </c:pt>
                <c:pt idx="478">
                  <c:v>-50.419976243670298</c:v>
                </c:pt>
                <c:pt idx="479">
                  <c:v>-50.419976243670298</c:v>
                </c:pt>
                <c:pt idx="480">
                  <c:v>-50.419976243670298</c:v>
                </c:pt>
                <c:pt idx="481">
                  <c:v>-50.419976243670298</c:v>
                </c:pt>
                <c:pt idx="482">
                  <c:v>-50.419976243670298</c:v>
                </c:pt>
                <c:pt idx="483">
                  <c:v>-50.419976243670298</c:v>
                </c:pt>
                <c:pt idx="484">
                  <c:v>-50.419976243670298</c:v>
                </c:pt>
                <c:pt idx="485">
                  <c:v>-50.419976243670298</c:v>
                </c:pt>
                <c:pt idx="486">
                  <c:v>-50.419976243670298</c:v>
                </c:pt>
                <c:pt idx="487">
                  <c:v>-50.419976243670298</c:v>
                </c:pt>
                <c:pt idx="488">
                  <c:v>-50.419976243670298</c:v>
                </c:pt>
                <c:pt idx="489">
                  <c:v>-50.419976243670298</c:v>
                </c:pt>
                <c:pt idx="490">
                  <c:v>-50.419976243670298</c:v>
                </c:pt>
                <c:pt idx="491">
                  <c:v>-50.419976243670298</c:v>
                </c:pt>
                <c:pt idx="492">
                  <c:v>-50.419976243670298</c:v>
                </c:pt>
                <c:pt idx="493">
                  <c:v>-50.419976243670298</c:v>
                </c:pt>
                <c:pt idx="494">
                  <c:v>-50.419976243670298</c:v>
                </c:pt>
                <c:pt idx="495">
                  <c:v>-50.419976243670298</c:v>
                </c:pt>
                <c:pt idx="496">
                  <c:v>-50.419976243670298</c:v>
                </c:pt>
                <c:pt idx="497">
                  <c:v>-50.419976243670298</c:v>
                </c:pt>
                <c:pt idx="498">
                  <c:v>-50.419976243670298</c:v>
                </c:pt>
                <c:pt idx="499">
                  <c:v>-50.419976243670298</c:v>
                </c:pt>
                <c:pt idx="500">
                  <c:v>-50.419976243670298</c:v>
                </c:pt>
                <c:pt idx="501">
                  <c:v>-50.419976243670298</c:v>
                </c:pt>
                <c:pt idx="502">
                  <c:v>-50.419976243670298</c:v>
                </c:pt>
                <c:pt idx="503">
                  <c:v>-50.419976243670298</c:v>
                </c:pt>
                <c:pt idx="504">
                  <c:v>-50.419976243670298</c:v>
                </c:pt>
                <c:pt idx="505">
                  <c:v>-50.419976243670298</c:v>
                </c:pt>
                <c:pt idx="506">
                  <c:v>-50.419976243670298</c:v>
                </c:pt>
                <c:pt idx="507">
                  <c:v>-50.419976243670298</c:v>
                </c:pt>
                <c:pt idx="508">
                  <c:v>-50.419976243670298</c:v>
                </c:pt>
                <c:pt idx="509">
                  <c:v>-50.419976243670298</c:v>
                </c:pt>
                <c:pt idx="510">
                  <c:v>-50.419976243670298</c:v>
                </c:pt>
                <c:pt idx="511">
                  <c:v>-50.419976243670298</c:v>
                </c:pt>
                <c:pt idx="512">
                  <c:v>-50.419976243670298</c:v>
                </c:pt>
                <c:pt idx="513">
                  <c:v>-50.419976243670298</c:v>
                </c:pt>
                <c:pt idx="514">
                  <c:v>-50.419976243670298</c:v>
                </c:pt>
                <c:pt idx="515">
                  <c:v>-50.419976243670298</c:v>
                </c:pt>
                <c:pt idx="516">
                  <c:v>-50.419976243670298</c:v>
                </c:pt>
                <c:pt idx="517">
                  <c:v>-50.419976243670298</c:v>
                </c:pt>
                <c:pt idx="518">
                  <c:v>-50.419976243670298</c:v>
                </c:pt>
                <c:pt idx="519">
                  <c:v>-50.419976243670298</c:v>
                </c:pt>
                <c:pt idx="520">
                  <c:v>-50.419976243670298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51.415226335993168</c:v>
                </c:pt>
                <c:pt idx="565">
                  <c:v>51.415226335993168</c:v>
                </c:pt>
                <c:pt idx="566">
                  <c:v>51.415226335993168</c:v>
                </c:pt>
                <c:pt idx="567">
                  <c:v>51.415226335993168</c:v>
                </c:pt>
                <c:pt idx="568">
                  <c:v>51.415226335993168</c:v>
                </c:pt>
                <c:pt idx="569">
                  <c:v>51.415226335993168</c:v>
                </c:pt>
                <c:pt idx="570">
                  <c:v>51.415226335993168</c:v>
                </c:pt>
                <c:pt idx="571">
                  <c:v>51.415226335993168</c:v>
                </c:pt>
                <c:pt idx="572">
                  <c:v>51.415226335993168</c:v>
                </c:pt>
                <c:pt idx="573">
                  <c:v>51.415226335993168</c:v>
                </c:pt>
                <c:pt idx="574">
                  <c:v>51.415226335993168</c:v>
                </c:pt>
                <c:pt idx="575">
                  <c:v>51.415226335993168</c:v>
                </c:pt>
                <c:pt idx="576">
                  <c:v>51.415226335993168</c:v>
                </c:pt>
                <c:pt idx="577">
                  <c:v>51.415226335993168</c:v>
                </c:pt>
                <c:pt idx="578">
                  <c:v>51.415226335993168</c:v>
                </c:pt>
                <c:pt idx="579">
                  <c:v>51.415226335993168</c:v>
                </c:pt>
                <c:pt idx="580">
                  <c:v>51.415226335993168</c:v>
                </c:pt>
                <c:pt idx="581">
                  <c:v>51.415226335993168</c:v>
                </c:pt>
                <c:pt idx="582">
                  <c:v>51.415226335993168</c:v>
                </c:pt>
                <c:pt idx="583">
                  <c:v>51.415226335993168</c:v>
                </c:pt>
                <c:pt idx="584">
                  <c:v>51.415226335993168</c:v>
                </c:pt>
                <c:pt idx="585">
                  <c:v>51.415226335993168</c:v>
                </c:pt>
                <c:pt idx="586">
                  <c:v>51.415226335993168</c:v>
                </c:pt>
                <c:pt idx="587">
                  <c:v>51.415226335993168</c:v>
                </c:pt>
                <c:pt idx="588">
                  <c:v>51.415226335993168</c:v>
                </c:pt>
                <c:pt idx="589">
                  <c:v>51.415226335993168</c:v>
                </c:pt>
                <c:pt idx="590">
                  <c:v>51.415226335993168</c:v>
                </c:pt>
                <c:pt idx="591">
                  <c:v>51.415226335993168</c:v>
                </c:pt>
                <c:pt idx="592">
                  <c:v>51.415226335993168</c:v>
                </c:pt>
                <c:pt idx="593">
                  <c:v>51.415226335993168</c:v>
                </c:pt>
                <c:pt idx="594">
                  <c:v>51.415226335993168</c:v>
                </c:pt>
                <c:pt idx="595">
                  <c:v>51.415226335993168</c:v>
                </c:pt>
                <c:pt idx="596">
                  <c:v>51.415226335993168</c:v>
                </c:pt>
                <c:pt idx="597">
                  <c:v>51.415226335993168</c:v>
                </c:pt>
                <c:pt idx="598">
                  <c:v>51.415226335993168</c:v>
                </c:pt>
                <c:pt idx="599">
                  <c:v>51.415226335993168</c:v>
                </c:pt>
                <c:pt idx="600">
                  <c:v>51.415226335993168</c:v>
                </c:pt>
                <c:pt idx="601">
                  <c:v>51.415226335993168</c:v>
                </c:pt>
                <c:pt idx="602">
                  <c:v>51.415226335993168</c:v>
                </c:pt>
                <c:pt idx="603">
                  <c:v>51.415226335993168</c:v>
                </c:pt>
                <c:pt idx="604">
                  <c:v>51.415226335993168</c:v>
                </c:pt>
                <c:pt idx="605">
                  <c:v>51.415226335993168</c:v>
                </c:pt>
                <c:pt idx="606">
                  <c:v>51.415226335993168</c:v>
                </c:pt>
                <c:pt idx="607">
                  <c:v>51.415226335993168</c:v>
                </c:pt>
                <c:pt idx="608">
                  <c:v>51.415226335993168</c:v>
                </c:pt>
                <c:pt idx="609">
                  <c:v>51.415226335993168</c:v>
                </c:pt>
                <c:pt idx="610">
                  <c:v>51.415226335993168</c:v>
                </c:pt>
                <c:pt idx="611">
                  <c:v>51.415226335993168</c:v>
                </c:pt>
                <c:pt idx="612">
                  <c:v>51.415226335993168</c:v>
                </c:pt>
                <c:pt idx="613">
                  <c:v>51.415226335993168</c:v>
                </c:pt>
                <c:pt idx="614">
                  <c:v>51.415226335993168</c:v>
                </c:pt>
                <c:pt idx="615">
                  <c:v>51.415226335993168</c:v>
                </c:pt>
                <c:pt idx="616">
                  <c:v>51.415226335993168</c:v>
                </c:pt>
                <c:pt idx="617">
                  <c:v>51.415226335993168</c:v>
                </c:pt>
                <c:pt idx="618">
                  <c:v>51.415226335993168</c:v>
                </c:pt>
                <c:pt idx="619">
                  <c:v>51.415226335993168</c:v>
                </c:pt>
                <c:pt idx="620">
                  <c:v>51.415226335993168</c:v>
                </c:pt>
                <c:pt idx="621">
                  <c:v>51.415226335993168</c:v>
                </c:pt>
                <c:pt idx="622">
                  <c:v>51.415226335993168</c:v>
                </c:pt>
                <c:pt idx="623">
                  <c:v>51.415226335993168</c:v>
                </c:pt>
                <c:pt idx="624">
                  <c:v>51.415226335993168</c:v>
                </c:pt>
                <c:pt idx="625">
                  <c:v>51.415226335993168</c:v>
                </c:pt>
                <c:pt idx="626">
                  <c:v>51.415226335993168</c:v>
                </c:pt>
                <c:pt idx="627">
                  <c:v>51.415226335993168</c:v>
                </c:pt>
                <c:pt idx="628">
                  <c:v>51.415226335993168</c:v>
                </c:pt>
                <c:pt idx="629">
                  <c:v>51.415226335993168</c:v>
                </c:pt>
                <c:pt idx="630">
                  <c:v>51.415226335993168</c:v>
                </c:pt>
                <c:pt idx="631">
                  <c:v>51.415226335993168</c:v>
                </c:pt>
                <c:pt idx="632">
                  <c:v>51.415226335993168</c:v>
                </c:pt>
                <c:pt idx="633">
                  <c:v>51.415226335993168</c:v>
                </c:pt>
                <c:pt idx="634">
                  <c:v>51.415226335993168</c:v>
                </c:pt>
                <c:pt idx="635">
                  <c:v>51.415226335993168</c:v>
                </c:pt>
                <c:pt idx="636">
                  <c:v>51.415226335993168</c:v>
                </c:pt>
                <c:pt idx="637">
                  <c:v>51.415226335993168</c:v>
                </c:pt>
                <c:pt idx="638">
                  <c:v>51.415226335993168</c:v>
                </c:pt>
                <c:pt idx="639">
                  <c:v>51.415226335993168</c:v>
                </c:pt>
                <c:pt idx="640">
                  <c:v>51.415226335993168</c:v>
                </c:pt>
                <c:pt idx="641">
                  <c:v>51.415226335993168</c:v>
                </c:pt>
                <c:pt idx="642">
                  <c:v>51.415226335993168</c:v>
                </c:pt>
                <c:pt idx="643">
                  <c:v>51.415226335993168</c:v>
                </c:pt>
                <c:pt idx="644">
                  <c:v>51.415226335993168</c:v>
                </c:pt>
                <c:pt idx="645">
                  <c:v>51.415226335993168</c:v>
                </c:pt>
                <c:pt idx="646">
                  <c:v>51.415226335993168</c:v>
                </c:pt>
                <c:pt idx="647">
                  <c:v>51.415226335993168</c:v>
                </c:pt>
                <c:pt idx="648">
                  <c:v>51.415226335993168</c:v>
                </c:pt>
                <c:pt idx="649">
                  <c:v>51.415226335993168</c:v>
                </c:pt>
                <c:pt idx="650">
                  <c:v>51.415226335993168</c:v>
                </c:pt>
                <c:pt idx="651">
                  <c:v>51.415226335993168</c:v>
                </c:pt>
                <c:pt idx="652">
                  <c:v>51.415226335993168</c:v>
                </c:pt>
                <c:pt idx="653">
                  <c:v>51.415226335993168</c:v>
                </c:pt>
                <c:pt idx="654">
                  <c:v>51.415226335993168</c:v>
                </c:pt>
                <c:pt idx="655">
                  <c:v>51.415226335993168</c:v>
                </c:pt>
                <c:pt idx="656">
                  <c:v>51.415226335993168</c:v>
                </c:pt>
                <c:pt idx="657">
                  <c:v>51.415226335993168</c:v>
                </c:pt>
                <c:pt idx="658">
                  <c:v>51.415226335993168</c:v>
                </c:pt>
                <c:pt idx="659">
                  <c:v>51.415226335993168</c:v>
                </c:pt>
                <c:pt idx="660">
                  <c:v>51.415226335993168</c:v>
                </c:pt>
                <c:pt idx="661">
                  <c:v>51.415226335993168</c:v>
                </c:pt>
                <c:pt idx="662">
                  <c:v>51.415226335993168</c:v>
                </c:pt>
                <c:pt idx="663">
                  <c:v>51.415226335993168</c:v>
                </c:pt>
                <c:pt idx="664">
                  <c:v>51.415226335993168</c:v>
                </c:pt>
                <c:pt idx="665">
                  <c:v>51.415226335993168</c:v>
                </c:pt>
                <c:pt idx="666">
                  <c:v>51.415226335993168</c:v>
                </c:pt>
                <c:pt idx="667">
                  <c:v>51.415226335993168</c:v>
                </c:pt>
                <c:pt idx="668">
                  <c:v>51.415226335993168</c:v>
                </c:pt>
                <c:pt idx="669">
                  <c:v>51.415226335993168</c:v>
                </c:pt>
                <c:pt idx="670">
                  <c:v>51.415226335993168</c:v>
                </c:pt>
                <c:pt idx="671">
                  <c:v>51.415226335993168</c:v>
                </c:pt>
                <c:pt idx="672">
                  <c:v>51.415226335993168</c:v>
                </c:pt>
                <c:pt idx="673">
                  <c:v>51.415226335993168</c:v>
                </c:pt>
                <c:pt idx="674">
                  <c:v>51.415226335993168</c:v>
                </c:pt>
                <c:pt idx="675">
                  <c:v>51.415226335993168</c:v>
                </c:pt>
                <c:pt idx="676">
                  <c:v>51.415226335993168</c:v>
                </c:pt>
                <c:pt idx="677">
                  <c:v>51.415226335993168</c:v>
                </c:pt>
                <c:pt idx="678">
                  <c:v>51.415226335993168</c:v>
                </c:pt>
                <c:pt idx="679">
                  <c:v>51.415226335993168</c:v>
                </c:pt>
                <c:pt idx="680">
                  <c:v>51.415226335993168</c:v>
                </c:pt>
                <c:pt idx="681">
                  <c:v>51.415226335993168</c:v>
                </c:pt>
                <c:pt idx="682">
                  <c:v>51.415226335993168</c:v>
                </c:pt>
                <c:pt idx="683">
                  <c:v>51.415226335993168</c:v>
                </c:pt>
                <c:pt idx="684">
                  <c:v>51.415226335993168</c:v>
                </c:pt>
                <c:pt idx="685">
                  <c:v>51.415226335993168</c:v>
                </c:pt>
                <c:pt idx="686">
                  <c:v>51.415226335993168</c:v>
                </c:pt>
                <c:pt idx="687">
                  <c:v>51.415226335993168</c:v>
                </c:pt>
                <c:pt idx="688">
                  <c:v>51.415226335993168</c:v>
                </c:pt>
                <c:pt idx="689">
                  <c:v>51.415226335993168</c:v>
                </c:pt>
                <c:pt idx="690">
                  <c:v>51.415226335993168</c:v>
                </c:pt>
                <c:pt idx="691">
                  <c:v>51.415226335993168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48.889993475913293</c:v>
                </c:pt>
                <c:pt idx="827">
                  <c:v>48.889993475913293</c:v>
                </c:pt>
                <c:pt idx="828">
                  <c:v>48.889993475913293</c:v>
                </c:pt>
                <c:pt idx="829">
                  <c:v>48.889993475913293</c:v>
                </c:pt>
                <c:pt idx="830">
                  <c:v>48.889993475913293</c:v>
                </c:pt>
                <c:pt idx="831">
                  <c:v>48.889993475913293</c:v>
                </c:pt>
                <c:pt idx="832">
                  <c:v>48.889993475913293</c:v>
                </c:pt>
                <c:pt idx="833">
                  <c:v>48.889993475913293</c:v>
                </c:pt>
                <c:pt idx="834">
                  <c:v>48.889993475913293</c:v>
                </c:pt>
                <c:pt idx="835">
                  <c:v>48.889993475913293</c:v>
                </c:pt>
                <c:pt idx="836">
                  <c:v>48.889993475913293</c:v>
                </c:pt>
                <c:pt idx="837">
                  <c:v>48.889993475913293</c:v>
                </c:pt>
                <c:pt idx="838">
                  <c:v>48.889993475913293</c:v>
                </c:pt>
                <c:pt idx="839">
                  <c:v>48.889993475913293</c:v>
                </c:pt>
                <c:pt idx="840">
                  <c:v>48.889993475913293</c:v>
                </c:pt>
                <c:pt idx="841">
                  <c:v>48.889993475913293</c:v>
                </c:pt>
                <c:pt idx="842">
                  <c:v>48.889993475913293</c:v>
                </c:pt>
                <c:pt idx="843">
                  <c:v>48.889993475913293</c:v>
                </c:pt>
                <c:pt idx="844">
                  <c:v>48.889993475913293</c:v>
                </c:pt>
                <c:pt idx="845">
                  <c:v>48.889993475913293</c:v>
                </c:pt>
                <c:pt idx="846">
                  <c:v>48.889993475913293</c:v>
                </c:pt>
                <c:pt idx="847">
                  <c:v>48.889993475913293</c:v>
                </c:pt>
                <c:pt idx="848">
                  <c:v>48.889993475913293</c:v>
                </c:pt>
                <c:pt idx="849">
                  <c:v>48.889993475913293</c:v>
                </c:pt>
                <c:pt idx="850">
                  <c:v>48.889993475913293</c:v>
                </c:pt>
                <c:pt idx="851">
                  <c:v>48.889993475913293</c:v>
                </c:pt>
                <c:pt idx="852">
                  <c:v>48.889993475913293</c:v>
                </c:pt>
                <c:pt idx="853">
                  <c:v>48.889993475913293</c:v>
                </c:pt>
                <c:pt idx="854">
                  <c:v>48.889993475913293</c:v>
                </c:pt>
                <c:pt idx="855">
                  <c:v>48.889993475913293</c:v>
                </c:pt>
                <c:pt idx="856">
                  <c:v>48.889993475913293</c:v>
                </c:pt>
                <c:pt idx="857">
                  <c:v>48.889993475913293</c:v>
                </c:pt>
                <c:pt idx="858">
                  <c:v>48.889993475913293</c:v>
                </c:pt>
                <c:pt idx="859">
                  <c:v>48.889993475913293</c:v>
                </c:pt>
                <c:pt idx="860">
                  <c:v>48.889993475913293</c:v>
                </c:pt>
                <c:pt idx="861">
                  <c:v>48.889993475913293</c:v>
                </c:pt>
                <c:pt idx="862">
                  <c:v>48.889993475913293</c:v>
                </c:pt>
                <c:pt idx="863">
                  <c:v>48.889993475913293</c:v>
                </c:pt>
                <c:pt idx="864">
                  <c:v>48.889993475913293</c:v>
                </c:pt>
                <c:pt idx="865">
                  <c:v>48.889993475913293</c:v>
                </c:pt>
                <c:pt idx="866">
                  <c:v>48.889993475913293</c:v>
                </c:pt>
                <c:pt idx="867">
                  <c:v>48.889993475913293</c:v>
                </c:pt>
                <c:pt idx="868">
                  <c:v>48.889993475913293</c:v>
                </c:pt>
                <c:pt idx="869">
                  <c:v>48.889993475913293</c:v>
                </c:pt>
                <c:pt idx="870">
                  <c:v>48.889993475913293</c:v>
                </c:pt>
                <c:pt idx="871">
                  <c:v>48.889993475913293</c:v>
                </c:pt>
                <c:pt idx="872">
                  <c:v>48.889993475913293</c:v>
                </c:pt>
                <c:pt idx="873">
                  <c:v>48.889993475913293</c:v>
                </c:pt>
                <c:pt idx="874">
                  <c:v>48.889993475913293</c:v>
                </c:pt>
                <c:pt idx="875">
                  <c:v>48.889993475913293</c:v>
                </c:pt>
                <c:pt idx="876">
                  <c:v>48.889993475913293</c:v>
                </c:pt>
                <c:pt idx="877">
                  <c:v>48.889993475913293</c:v>
                </c:pt>
                <c:pt idx="878">
                  <c:v>48.889993475913293</c:v>
                </c:pt>
                <c:pt idx="879">
                  <c:v>48.889993475913293</c:v>
                </c:pt>
                <c:pt idx="880">
                  <c:v>48.889993475913293</c:v>
                </c:pt>
                <c:pt idx="881">
                  <c:v>48.889993475913293</c:v>
                </c:pt>
                <c:pt idx="882">
                  <c:v>48.889993475913293</c:v>
                </c:pt>
                <c:pt idx="883">
                  <c:v>48.889993475913293</c:v>
                </c:pt>
                <c:pt idx="884">
                  <c:v>48.889993475913293</c:v>
                </c:pt>
                <c:pt idx="885">
                  <c:v>48.889993475913293</c:v>
                </c:pt>
                <c:pt idx="886">
                  <c:v>48.889993475913293</c:v>
                </c:pt>
                <c:pt idx="887">
                  <c:v>48.889993475913293</c:v>
                </c:pt>
                <c:pt idx="888">
                  <c:v>48.889993475913293</c:v>
                </c:pt>
                <c:pt idx="889">
                  <c:v>48.889993475913293</c:v>
                </c:pt>
                <c:pt idx="890">
                  <c:v>48.889993475913293</c:v>
                </c:pt>
                <c:pt idx="891">
                  <c:v>48.889993475913293</c:v>
                </c:pt>
                <c:pt idx="892">
                  <c:v>48.889993475913293</c:v>
                </c:pt>
                <c:pt idx="893">
                  <c:v>48.889993475913293</c:v>
                </c:pt>
                <c:pt idx="894">
                  <c:v>48.889993475913293</c:v>
                </c:pt>
                <c:pt idx="895">
                  <c:v>48.889993475913293</c:v>
                </c:pt>
                <c:pt idx="896">
                  <c:v>48.889993475913293</c:v>
                </c:pt>
                <c:pt idx="897">
                  <c:v>48.889993475913293</c:v>
                </c:pt>
                <c:pt idx="898">
                  <c:v>48.889993475913293</c:v>
                </c:pt>
                <c:pt idx="899">
                  <c:v>48.889993475913293</c:v>
                </c:pt>
                <c:pt idx="900">
                  <c:v>48.889993475913293</c:v>
                </c:pt>
                <c:pt idx="901">
                  <c:v>48.889993475913293</c:v>
                </c:pt>
                <c:pt idx="902">
                  <c:v>48.889993475913293</c:v>
                </c:pt>
                <c:pt idx="903">
                  <c:v>48.889993475913293</c:v>
                </c:pt>
                <c:pt idx="904">
                  <c:v>48.889993475913293</c:v>
                </c:pt>
                <c:pt idx="905">
                  <c:v>48.889993475913293</c:v>
                </c:pt>
                <c:pt idx="906">
                  <c:v>48.889993475913293</c:v>
                </c:pt>
                <c:pt idx="907">
                  <c:v>48.889993475913293</c:v>
                </c:pt>
                <c:pt idx="908">
                  <c:v>48.889993475913293</c:v>
                </c:pt>
                <c:pt idx="909">
                  <c:v>48.889993475913293</c:v>
                </c:pt>
                <c:pt idx="910">
                  <c:v>48.889993475913293</c:v>
                </c:pt>
                <c:pt idx="911">
                  <c:v>48.889993475913293</c:v>
                </c:pt>
                <c:pt idx="912">
                  <c:v>48.889993475913293</c:v>
                </c:pt>
                <c:pt idx="913">
                  <c:v>48.889993475913293</c:v>
                </c:pt>
                <c:pt idx="914">
                  <c:v>48.889993475913293</c:v>
                </c:pt>
                <c:pt idx="915">
                  <c:v>48.889993475913293</c:v>
                </c:pt>
                <c:pt idx="916">
                  <c:v>48.889993475913293</c:v>
                </c:pt>
                <c:pt idx="917">
                  <c:v>48.889993475913293</c:v>
                </c:pt>
                <c:pt idx="918">
                  <c:v>48.889993475913293</c:v>
                </c:pt>
                <c:pt idx="919">
                  <c:v>48.889993475913293</c:v>
                </c:pt>
                <c:pt idx="920">
                  <c:v>48.889993475913293</c:v>
                </c:pt>
                <c:pt idx="921">
                  <c:v>48.889993475913293</c:v>
                </c:pt>
                <c:pt idx="922">
                  <c:v>48.889993475913293</c:v>
                </c:pt>
                <c:pt idx="923">
                  <c:v>48.889993475913293</c:v>
                </c:pt>
                <c:pt idx="924">
                  <c:v>48.889993475913293</c:v>
                </c:pt>
                <c:pt idx="925">
                  <c:v>48.889993475913293</c:v>
                </c:pt>
                <c:pt idx="926">
                  <c:v>48.889993475913293</c:v>
                </c:pt>
                <c:pt idx="927">
                  <c:v>48.889993475913293</c:v>
                </c:pt>
                <c:pt idx="928">
                  <c:v>48.889993475913293</c:v>
                </c:pt>
                <c:pt idx="929">
                  <c:v>48.889993475913293</c:v>
                </c:pt>
                <c:pt idx="930">
                  <c:v>48.889993475913293</c:v>
                </c:pt>
                <c:pt idx="931">
                  <c:v>48.889993475913293</c:v>
                </c:pt>
                <c:pt idx="932">
                  <c:v>48.889993475913293</c:v>
                </c:pt>
                <c:pt idx="933">
                  <c:v>48.889993475913293</c:v>
                </c:pt>
                <c:pt idx="934">
                  <c:v>48.889993475913293</c:v>
                </c:pt>
                <c:pt idx="935">
                  <c:v>48.889993475913293</c:v>
                </c:pt>
                <c:pt idx="936">
                  <c:v>48.889993475913293</c:v>
                </c:pt>
                <c:pt idx="937">
                  <c:v>48.889993475913293</c:v>
                </c:pt>
                <c:pt idx="938">
                  <c:v>48.889993475913293</c:v>
                </c:pt>
                <c:pt idx="939">
                  <c:v>48.889993475913293</c:v>
                </c:pt>
                <c:pt idx="940">
                  <c:v>48.889993475913293</c:v>
                </c:pt>
                <c:pt idx="941">
                  <c:v>48.889993475913293</c:v>
                </c:pt>
                <c:pt idx="942">
                  <c:v>48.889993475913293</c:v>
                </c:pt>
                <c:pt idx="943">
                  <c:v>48.889993475913293</c:v>
                </c:pt>
                <c:pt idx="944">
                  <c:v>48.889993475913293</c:v>
                </c:pt>
                <c:pt idx="945">
                  <c:v>48.889993475913293</c:v>
                </c:pt>
                <c:pt idx="946">
                  <c:v>48.889993475913293</c:v>
                </c:pt>
                <c:pt idx="947">
                  <c:v>48.889993475913293</c:v>
                </c:pt>
                <c:pt idx="948">
                  <c:v>48.889993475913293</c:v>
                </c:pt>
                <c:pt idx="949">
                  <c:v>48.889993475913293</c:v>
                </c:pt>
                <c:pt idx="950">
                  <c:v>48.889993475913293</c:v>
                </c:pt>
                <c:pt idx="951">
                  <c:v>48.889993475913293</c:v>
                </c:pt>
                <c:pt idx="952">
                  <c:v>48.889993475913293</c:v>
                </c:pt>
                <c:pt idx="953">
                  <c:v>48.889993475913293</c:v>
                </c:pt>
                <c:pt idx="954">
                  <c:v>48.889993475913293</c:v>
                </c:pt>
                <c:pt idx="955">
                  <c:v>48.889993475913293</c:v>
                </c:pt>
                <c:pt idx="956">
                  <c:v>48.889993475913293</c:v>
                </c:pt>
                <c:pt idx="957">
                  <c:v>48.889993475913293</c:v>
                </c:pt>
                <c:pt idx="958">
                  <c:v>48.889993475913293</c:v>
                </c:pt>
                <c:pt idx="959">
                  <c:v>48.889993475913293</c:v>
                </c:pt>
                <c:pt idx="960">
                  <c:v>48.889993475913293</c:v>
                </c:pt>
                <c:pt idx="961">
                  <c:v>48.889993475913293</c:v>
                </c:pt>
                <c:pt idx="962">
                  <c:v>48.889993475913293</c:v>
                </c:pt>
                <c:pt idx="963">
                  <c:v>48.889993475913293</c:v>
                </c:pt>
                <c:pt idx="964">
                  <c:v>48.889993475913293</c:v>
                </c:pt>
                <c:pt idx="965">
                  <c:v>48.889993475913293</c:v>
                </c:pt>
                <c:pt idx="966">
                  <c:v>48.889993475913293</c:v>
                </c:pt>
                <c:pt idx="967">
                  <c:v>48.889993475913293</c:v>
                </c:pt>
                <c:pt idx="968">
                  <c:v>48.889993475913293</c:v>
                </c:pt>
                <c:pt idx="969">
                  <c:v>48.889993475913293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-45.249166535644598</c:v>
                </c:pt>
                <c:pt idx="1077">
                  <c:v>-45.249166535644598</c:v>
                </c:pt>
                <c:pt idx="1078">
                  <c:v>-45.249166535644598</c:v>
                </c:pt>
                <c:pt idx="1079">
                  <c:v>-45.249166535644598</c:v>
                </c:pt>
                <c:pt idx="1080">
                  <c:v>-45.249166535644598</c:v>
                </c:pt>
                <c:pt idx="1081">
                  <c:v>-45.249166535644598</c:v>
                </c:pt>
                <c:pt idx="1082">
                  <c:v>-45.249166535644598</c:v>
                </c:pt>
                <c:pt idx="1083">
                  <c:v>-45.249166535644598</c:v>
                </c:pt>
                <c:pt idx="1084">
                  <c:v>-45.249166535644598</c:v>
                </c:pt>
                <c:pt idx="1085">
                  <c:v>-45.249166535644598</c:v>
                </c:pt>
                <c:pt idx="1086">
                  <c:v>-45.249166535644598</c:v>
                </c:pt>
                <c:pt idx="1087">
                  <c:v>-45.249166535644598</c:v>
                </c:pt>
                <c:pt idx="1088">
                  <c:v>-45.249166535644598</c:v>
                </c:pt>
                <c:pt idx="1089">
                  <c:v>-45.249166535644598</c:v>
                </c:pt>
                <c:pt idx="1090">
                  <c:v>-45.249166535644598</c:v>
                </c:pt>
                <c:pt idx="1091">
                  <c:v>-45.249166535644598</c:v>
                </c:pt>
                <c:pt idx="1092">
                  <c:v>-45.249166535644598</c:v>
                </c:pt>
                <c:pt idx="1093">
                  <c:v>-45.249166535644598</c:v>
                </c:pt>
                <c:pt idx="1094">
                  <c:v>-45.249166535644598</c:v>
                </c:pt>
                <c:pt idx="1095">
                  <c:v>-45.249166535644598</c:v>
                </c:pt>
                <c:pt idx="1096">
                  <c:v>-45.249166535644598</c:v>
                </c:pt>
                <c:pt idx="1097">
                  <c:v>-45.249166535644598</c:v>
                </c:pt>
                <c:pt idx="1098">
                  <c:v>-45.249166535644598</c:v>
                </c:pt>
                <c:pt idx="1099">
                  <c:v>-45.249166535644598</c:v>
                </c:pt>
                <c:pt idx="1100">
                  <c:v>-45.249166535644598</c:v>
                </c:pt>
                <c:pt idx="1101">
                  <c:v>-45.249166535644598</c:v>
                </c:pt>
                <c:pt idx="1102">
                  <c:v>-45.249166535644598</c:v>
                </c:pt>
                <c:pt idx="1103">
                  <c:v>-45.249166535644598</c:v>
                </c:pt>
                <c:pt idx="1104">
                  <c:v>-45.249166535644598</c:v>
                </c:pt>
                <c:pt idx="1105">
                  <c:v>-45.249166535644598</c:v>
                </c:pt>
                <c:pt idx="1106">
                  <c:v>-45.249166535644598</c:v>
                </c:pt>
                <c:pt idx="1107">
                  <c:v>-45.249166535644598</c:v>
                </c:pt>
                <c:pt idx="1108">
                  <c:v>-45.249166535644598</c:v>
                </c:pt>
                <c:pt idx="1109">
                  <c:v>-45.249166535644598</c:v>
                </c:pt>
                <c:pt idx="1110">
                  <c:v>-45.249166535644598</c:v>
                </c:pt>
                <c:pt idx="1111">
                  <c:v>-45.249166535644598</c:v>
                </c:pt>
                <c:pt idx="1112">
                  <c:v>-45.249166535644598</c:v>
                </c:pt>
                <c:pt idx="1113">
                  <c:v>-45.249166535644598</c:v>
                </c:pt>
                <c:pt idx="1114">
                  <c:v>-45.249166535644598</c:v>
                </c:pt>
                <c:pt idx="1115">
                  <c:v>-45.249166535644598</c:v>
                </c:pt>
                <c:pt idx="1116">
                  <c:v>-45.249166535644598</c:v>
                </c:pt>
                <c:pt idx="1117">
                  <c:v>-45.249166535644598</c:v>
                </c:pt>
                <c:pt idx="1118">
                  <c:v>-45.249166535644598</c:v>
                </c:pt>
                <c:pt idx="1119">
                  <c:v>-45.249166535644598</c:v>
                </c:pt>
                <c:pt idx="1120">
                  <c:v>-45.249166535644598</c:v>
                </c:pt>
                <c:pt idx="1121">
                  <c:v>-45.249166535644598</c:v>
                </c:pt>
                <c:pt idx="1122">
                  <c:v>-45.249166535644598</c:v>
                </c:pt>
                <c:pt idx="1123">
                  <c:v>-45.249166535644598</c:v>
                </c:pt>
                <c:pt idx="1124">
                  <c:v>-45.249166535644598</c:v>
                </c:pt>
                <c:pt idx="1125">
                  <c:v>-45.249166535644598</c:v>
                </c:pt>
                <c:pt idx="1126">
                  <c:v>-45.249166535644598</c:v>
                </c:pt>
                <c:pt idx="1127">
                  <c:v>-45.249166535644598</c:v>
                </c:pt>
                <c:pt idx="1128">
                  <c:v>-45.249166535644598</c:v>
                </c:pt>
                <c:pt idx="1129">
                  <c:v>-45.249166535644598</c:v>
                </c:pt>
                <c:pt idx="1130">
                  <c:v>-45.249166535644598</c:v>
                </c:pt>
                <c:pt idx="1131">
                  <c:v>-45.249166535644598</c:v>
                </c:pt>
                <c:pt idx="1132">
                  <c:v>-45.249166535644598</c:v>
                </c:pt>
                <c:pt idx="1133">
                  <c:v>-45.249166535644598</c:v>
                </c:pt>
                <c:pt idx="1134">
                  <c:v>-45.249166535644598</c:v>
                </c:pt>
                <c:pt idx="1135">
                  <c:v>-45.249166535644598</c:v>
                </c:pt>
                <c:pt idx="1136">
                  <c:v>-45.249166535644598</c:v>
                </c:pt>
                <c:pt idx="1137">
                  <c:v>-45.249166535644598</c:v>
                </c:pt>
                <c:pt idx="1138">
                  <c:v>-45.249166535644598</c:v>
                </c:pt>
                <c:pt idx="1139">
                  <c:v>-45.249166535644598</c:v>
                </c:pt>
                <c:pt idx="1140">
                  <c:v>-45.249166535644598</c:v>
                </c:pt>
                <c:pt idx="1141">
                  <c:v>-45.249166535644598</c:v>
                </c:pt>
                <c:pt idx="1142">
                  <c:v>-45.249166535644598</c:v>
                </c:pt>
                <c:pt idx="1143">
                  <c:v>-45.249166535644598</c:v>
                </c:pt>
                <c:pt idx="1144">
                  <c:v>-45.249166535644598</c:v>
                </c:pt>
                <c:pt idx="1145">
                  <c:v>-45.249166535644598</c:v>
                </c:pt>
                <c:pt idx="1146">
                  <c:v>-45.249166535644598</c:v>
                </c:pt>
                <c:pt idx="1147">
                  <c:v>-45.249166535644598</c:v>
                </c:pt>
                <c:pt idx="1148">
                  <c:v>-45.249166535644598</c:v>
                </c:pt>
                <c:pt idx="1149">
                  <c:v>-45.249166535644598</c:v>
                </c:pt>
                <c:pt idx="1150">
                  <c:v>-45.249166535644598</c:v>
                </c:pt>
                <c:pt idx="1151">
                  <c:v>-45.249166535644598</c:v>
                </c:pt>
                <c:pt idx="1152">
                  <c:v>-45.249166535644598</c:v>
                </c:pt>
                <c:pt idx="1153">
                  <c:v>-45.249166535644598</c:v>
                </c:pt>
                <c:pt idx="1154">
                  <c:v>-45.249166535644598</c:v>
                </c:pt>
                <c:pt idx="1155">
                  <c:v>-45.249166535644598</c:v>
                </c:pt>
                <c:pt idx="1156">
                  <c:v>-45.249166535644598</c:v>
                </c:pt>
                <c:pt idx="1157">
                  <c:v>-45.249166535644598</c:v>
                </c:pt>
                <c:pt idx="1158">
                  <c:v>-45.249166535644598</c:v>
                </c:pt>
                <c:pt idx="1159">
                  <c:v>-45.249166535644598</c:v>
                </c:pt>
                <c:pt idx="1160">
                  <c:v>-45.249166535644598</c:v>
                </c:pt>
                <c:pt idx="1161">
                  <c:v>-45.249166535644598</c:v>
                </c:pt>
                <c:pt idx="1162">
                  <c:v>-45.249166535644598</c:v>
                </c:pt>
                <c:pt idx="1163">
                  <c:v>-45.249166535644598</c:v>
                </c:pt>
                <c:pt idx="1164">
                  <c:v>-45.249166535644598</c:v>
                </c:pt>
                <c:pt idx="1165">
                  <c:v>-45.249166535644598</c:v>
                </c:pt>
                <c:pt idx="1166">
                  <c:v>-45.249166535644598</c:v>
                </c:pt>
                <c:pt idx="1167">
                  <c:v>-45.249166535644598</c:v>
                </c:pt>
                <c:pt idx="1168">
                  <c:v>-45.249166535644598</c:v>
                </c:pt>
                <c:pt idx="1169">
                  <c:v>-45.249166535644598</c:v>
                </c:pt>
                <c:pt idx="1170">
                  <c:v>-45.249166535644598</c:v>
                </c:pt>
                <c:pt idx="1171">
                  <c:v>-45.249166535644598</c:v>
                </c:pt>
                <c:pt idx="1172">
                  <c:v>-45.249166535644598</c:v>
                </c:pt>
                <c:pt idx="1173">
                  <c:v>-45.249166535644598</c:v>
                </c:pt>
                <c:pt idx="1174">
                  <c:v>-45.249166535644598</c:v>
                </c:pt>
                <c:pt idx="1175">
                  <c:v>-45.249166535644598</c:v>
                </c:pt>
                <c:pt idx="1176">
                  <c:v>-45.249166535644598</c:v>
                </c:pt>
                <c:pt idx="1177">
                  <c:v>-45.249166535644598</c:v>
                </c:pt>
                <c:pt idx="1178">
                  <c:v>-45.249166535644598</c:v>
                </c:pt>
                <c:pt idx="1179">
                  <c:v>-45.249166535644598</c:v>
                </c:pt>
                <c:pt idx="1180">
                  <c:v>-45.249166535644598</c:v>
                </c:pt>
                <c:pt idx="1181">
                  <c:v>-45.249166535644598</c:v>
                </c:pt>
                <c:pt idx="1182">
                  <c:v>-45.249166535644598</c:v>
                </c:pt>
                <c:pt idx="1183">
                  <c:v>-45.249166535644598</c:v>
                </c:pt>
                <c:pt idx="1184">
                  <c:v>-45.249166535644598</c:v>
                </c:pt>
                <c:pt idx="1185">
                  <c:v>-45.249166535644598</c:v>
                </c:pt>
                <c:pt idx="1186">
                  <c:v>-45.249166535644598</c:v>
                </c:pt>
                <c:pt idx="1187">
                  <c:v>-45.249166535644598</c:v>
                </c:pt>
                <c:pt idx="1188">
                  <c:v>-45.249166535644598</c:v>
                </c:pt>
                <c:pt idx="1189">
                  <c:v>-45.249166535644598</c:v>
                </c:pt>
                <c:pt idx="1190">
                  <c:v>-45.249166535644598</c:v>
                </c:pt>
                <c:pt idx="1191">
                  <c:v>-45.249166535644598</c:v>
                </c:pt>
                <c:pt idx="1192">
                  <c:v>-45.249166535644598</c:v>
                </c:pt>
                <c:pt idx="1193">
                  <c:v>-45.249166535644598</c:v>
                </c:pt>
                <c:pt idx="1194">
                  <c:v>-45.249166535644598</c:v>
                </c:pt>
                <c:pt idx="1195">
                  <c:v>-45.249166535644598</c:v>
                </c:pt>
                <c:pt idx="1196">
                  <c:v>-45.249166535644598</c:v>
                </c:pt>
                <c:pt idx="1197">
                  <c:v>-45.249166535644598</c:v>
                </c:pt>
                <c:pt idx="1198">
                  <c:v>-45.249166535644598</c:v>
                </c:pt>
                <c:pt idx="1199">
                  <c:v>-45.249166535644598</c:v>
                </c:pt>
                <c:pt idx="1200">
                  <c:v>-45.249166535644598</c:v>
                </c:pt>
                <c:pt idx="1201">
                  <c:v>-45.249166535644598</c:v>
                </c:pt>
                <c:pt idx="1202">
                  <c:v>-45.249166535644598</c:v>
                </c:pt>
                <c:pt idx="1203">
                  <c:v>-45.249166535644598</c:v>
                </c:pt>
                <c:pt idx="1204">
                  <c:v>-45.249166535644598</c:v>
                </c:pt>
                <c:pt idx="1205">
                  <c:v>-45.249166535644598</c:v>
                </c:pt>
                <c:pt idx="1206">
                  <c:v>-45.249166535644598</c:v>
                </c:pt>
                <c:pt idx="1207">
                  <c:v>-45.249166535644598</c:v>
                </c:pt>
                <c:pt idx="1208">
                  <c:v>-45.249166535644598</c:v>
                </c:pt>
                <c:pt idx="1209">
                  <c:v>-45.249166535644598</c:v>
                </c:pt>
                <c:pt idx="1210">
                  <c:v>-45.249166535644598</c:v>
                </c:pt>
                <c:pt idx="1211">
                  <c:v>-45.249166535644598</c:v>
                </c:pt>
                <c:pt idx="1212">
                  <c:v>-45.249166535644598</c:v>
                </c:pt>
                <c:pt idx="1213">
                  <c:v>-45.249166535644598</c:v>
                </c:pt>
                <c:pt idx="1214">
                  <c:v>-45.249166535644598</c:v>
                </c:pt>
                <c:pt idx="1215">
                  <c:v>-45.249166535644598</c:v>
                </c:pt>
                <c:pt idx="1216">
                  <c:v>-45.249166535644598</c:v>
                </c:pt>
                <c:pt idx="1217">
                  <c:v>-45.249166535644598</c:v>
                </c:pt>
                <c:pt idx="1218">
                  <c:v>-45.249166535644598</c:v>
                </c:pt>
                <c:pt idx="1219">
                  <c:v>-45.249166535644598</c:v>
                </c:pt>
                <c:pt idx="1220">
                  <c:v>-45.249166535644598</c:v>
                </c:pt>
                <c:pt idx="1221">
                  <c:v>-45.249166535644598</c:v>
                </c:pt>
                <c:pt idx="1222">
                  <c:v>-45.249166535644598</c:v>
                </c:pt>
                <c:pt idx="1223">
                  <c:v>-45.249166535644598</c:v>
                </c:pt>
                <c:pt idx="1224">
                  <c:v>-45.249166535644598</c:v>
                </c:pt>
                <c:pt idx="1225">
                  <c:v>-45.249166535644598</c:v>
                </c:pt>
                <c:pt idx="1226">
                  <c:v>-45.249166535644598</c:v>
                </c:pt>
                <c:pt idx="1227">
                  <c:v>-45.249166535644598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-46.712096975939801</c:v>
                </c:pt>
                <c:pt idx="1346">
                  <c:v>-46.712096975939801</c:v>
                </c:pt>
                <c:pt idx="1347">
                  <c:v>-46.712096975939801</c:v>
                </c:pt>
                <c:pt idx="1348">
                  <c:v>-46.712096975939801</c:v>
                </c:pt>
                <c:pt idx="1349">
                  <c:v>-46.712096975939801</c:v>
                </c:pt>
                <c:pt idx="1350">
                  <c:v>-46.712096975939801</c:v>
                </c:pt>
                <c:pt idx="1351">
                  <c:v>-46.712096975939801</c:v>
                </c:pt>
                <c:pt idx="1352">
                  <c:v>-46.712096975939801</c:v>
                </c:pt>
                <c:pt idx="1353">
                  <c:v>-46.712096975939801</c:v>
                </c:pt>
                <c:pt idx="1354">
                  <c:v>-46.712096975939801</c:v>
                </c:pt>
                <c:pt idx="1355">
                  <c:v>-46.712096975939801</c:v>
                </c:pt>
                <c:pt idx="1356">
                  <c:v>-46.712096975939801</c:v>
                </c:pt>
                <c:pt idx="1357">
                  <c:v>-46.712096975939801</c:v>
                </c:pt>
                <c:pt idx="1358">
                  <c:v>-46.712096975939801</c:v>
                </c:pt>
                <c:pt idx="1359">
                  <c:v>-46.712096975939801</c:v>
                </c:pt>
                <c:pt idx="1360">
                  <c:v>-46.712096975939801</c:v>
                </c:pt>
                <c:pt idx="1361">
                  <c:v>-46.712096975939801</c:v>
                </c:pt>
                <c:pt idx="1362">
                  <c:v>-46.712096975939801</c:v>
                </c:pt>
                <c:pt idx="1363">
                  <c:v>-46.712096975939801</c:v>
                </c:pt>
                <c:pt idx="1364">
                  <c:v>-46.712096975939801</c:v>
                </c:pt>
                <c:pt idx="1365">
                  <c:v>-46.712096975939801</c:v>
                </c:pt>
                <c:pt idx="1366">
                  <c:v>-46.712096975939801</c:v>
                </c:pt>
                <c:pt idx="1367">
                  <c:v>-46.712096975939801</c:v>
                </c:pt>
                <c:pt idx="1368">
                  <c:v>-46.712096975939801</c:v>
                </c:pt>
                <c:pt idx="1369">
                  <c:v>-46.712096975939801</c:v>
                </c:pt>
                <c:pt idx="1370">
                  <c:v>-46.712096975939801</c:v>
                </c:pt>
                <c:pt idx="1371">
                  <c:v>-46.712096975939801</c:v>
                </c:pt>
                <c:pt idx="1372">
                  <c:v>-46.712096975939801</c:v>
                </c:pt>
                <c:pt idx="1373">
                  <c:v>-46.712096975939801</c:v>
                </c:pt>
                <c:pt idx="1374">
                  <c:v>-46.712096975939801</c:v>
                </c:pt>
                <c:pt idx="1375">
                  <c:v>-46.712096975939801</c:v>
                </c:pt>
                <c:pt idx="1376">
                  <c:v>-46.712096975939801</c:v>
                </c:pt>
                <c:pt idx="1377">
                  <c:v>-46.712096975939801</c:v>
                </c:pt>
                <c:pt idx="1378">
                  <c:v>-46.712096975939801</c:v>
                </c:pt>
                <c:pt idx="1379">
                  <c:v>-46.712096975939801</c:v>
                </c:pt>
                <c:pt idx="1380">
                  <c:v>-46.712096975939801</c:v>
                </c:pt>
                <c:pt idx="1381">
                  <c:v>-46.712096975939801</c:v>
                </c:pt>
                <c:pt idx="1382">
                  <c:v>-46.712096975939801</c:v>
                </c:pt>
                <c:pt idx="1383">
                  <c:v>-46.712096975939801</c:v>
                </c:pt>
                <c:pt idx="1384">
                  <c:v>-46.712096975939801</c:v>
                </c:pt>
                <c:pt idx="1385">
                  <c:v>-46.712096975939801</c:v>
                </c:pt>
                <c:pt idx="1386">
                  <c:v>-46.712096975939801</c:v>
                </c:pt>
                <c:pt idx="1387">
                  <c:v>-46.712096975939801</c:v>
                </c:pt>
                <c:pt idx="1388">
                  <c:v>-46.712096975939801</c:v>
                </c:pt>
                <c:pt idx="1389">
                  <c:v>-46.712096975939801</c:v>
                </c:pt>
                <c:pt idx="1390">
                  <c:v>-46.712096975939801</c:v>
                </c:pt>
                <c:pt idx="1391">
                  <c:v>-46.712096975939801</c:v>
                </c:pt>
                <c:pt idx="1392">
                  <c:v>-46.712096975939801</c:v>
                </c:pt>
                <c:pt idx="1393">
                  <c:v>-46.712096975939801</c:v>
                </c:pt>
                <c:pt idx="1394">
                  <c:v>-46.712096975939801</c:v>
                </c:pt>
                <c:pt idx="1395">
                  <c:v>-46.712096975939801</c:v>
                </c:pt>
                <c:pt idx="1396">
                  <c:v>-46.712096975939801</c:v>
                </c:pt>
                <c:pt idx="1397">
                  <c:v>-46.712096975939801</c:v>
                </c:pt>
                <c:pt idx="1398">
                  <c:v>-46.712096975939801</c:v>
                </c:pt>
                <c:pt idx="1399">
                  <c:v>-46.712096975939801</c:v>
                </c:pt>
                <c:pt idx="1400">
                  <c:v>-46.712096975939801</c:v>
                </c:pt>
                <c:pt idx="1401">
                  <c:v>-46.712096975939801</c:v>
                </c:pt>
                <c:pt idx="1402">
                  <c:v>-46.712096975939801</c:v>
                </c:pt>
                <c:pt idx="1403">
                  <c:v>-46.712096975939801</c:v>
                </c:pt>
                <c:pt idx="1404">
                  <c:v>-46.712096975939801</c:v>
                </c:pt>
                <c:pt idx="1405">
                  <c:v>-46.712096975939801</c:v>
                </c:pt>
                <c:pt idx="1406">
                  <c:v>-46.712096975939801</c:v>
                </c:pt>
                <c:pt idx="1407">
                  <c:v>-46.712096975939801</c:v>
                </c:pt>
                <c:pt idx="1408">
                  <c:v>-46.712096975939801</c:v>
                </c:pt>
                <c:pt idx="1409">
                  <c:v>-46.712096975939801</c:v>
                </c:pt>
                <c:pt idx="1410">
                  <c:v>-46.712096975939801</c:v>
                </c:pt>
                <c:pt idx="1411">
                  <c:v>-46.712096975939801</c:v>
                </c:pt>
                <c:pt idx="1412">
                  <c:v>-46.712096975939801</c:v>
                </c:pt>
                <c:pt idx="1413">
                  <c:v>-46.712096975939801</c:v>
                </c:pt>
                <c:pt idx="1414">
                  <c:v>-46.712096975939801</c:v>
                </c:pt>
                <c:pt idx="1415">
                  <c:v>-46.712096975939801</c:v>
                </c:pt>
                <c:pt idx="1416">
                  <c:v>-46.712096975939801</c:v>
                </c:pt>
                <c:pt idx="1417">
                  <c:v>-46.712096975939801</c:v>
                </c:pt>
                <c:pt idx="1418">
                  <c:v>-46.712096975939801</c:v>
                </c:pt>
                <c:pt idx="1419">
                  <c:v>-46.712096975939801</c:v>
                </c:pt>
                <c:pt idx="1420">
                  <c:v>-46.712096975939801</c:v>
                </c:pt>
                <c:pt idx="1421">
                  <c:v>-46.712096975939801</c:v>
                </c:pt>
                <c:pt idx="1422">
                  <c:v>-46.712096975939801</c:v>
                </c:pt>
                <c:pt idx="1423">
                  <c:v>-46.712096975939801</c:v>
                </c:pt>
                <c:pt idx="1424">
                  <c:v>-46.712096975939801</c:v>
                </c:pt>
                <c:pt idx="1425">
                  <c:v>-46.712096975939801</c:v>
                </c:pt>
                <c:pt idx="1426">
                  <c:v>-46.712096975939801</c:v>
                </c:pt>
                <c:pt idx="1427">
                  <c:v>-46.712096975939801</c:v>
                </c:pt>
                <c:pt idx="1428">
                  <c:v>-46.712096975939801</c:v>
                </c:pt>
                <c:pt idx="1429">
                  <c:v>-46.712096975939801</c:v>
                </c:pt>
                <c:pt idx="1430">
                  <c:v>-46.712096975939801</c:v>
                </c:pt>
                <c:pt idx="1431">
                  <c:v>-46.712096975939801</c:v>
                </c:pt>
                <c:pt idx="1432">
                  <c:v>-46.712096975939801</c:v>
                </c:pt>
                <c:pt idx="1433">
                  <c:v>-46.712096975939801</c:v>
                </c:pt>
                <c:pt idx="1434">
                  <c:v>-46.712096975939801</c:v>
                </c:pt>
                <c:pt idx="1435">
                  <c:v>-46.712096975939801</c:v>
                </c:pt>
                <c:pt idx="1436">
                  <c:v>-46.712096975939801</c:v>
                </c:pt>
                <c:pt idx="1437">
                  <c:v>-46.712096975939801</c:v>
                </c:pt>
                <c:pt idx="1438">
                  <c:v>-46.712096975939801</c:v>
                </c:pt>
                <c:pt idx="1439">
                  <c:v>-46.712096975939801</c:v>
                </c:pt>
                <c:pt idx="1440">
                  <c:v>-46.712096975939801</c:v>
                </c:pt>
                <c:pt idx="1441">
                  <c:v>-46.712096975939801</c:v>
                </c:pt>
                <c:pt idx="1442">
                  <c:v>-46.712096975939801</c:v>
                </c:pt>
                <c:pt idx="1443">
                  <c:v>-46.712096975939801</c:v>
                </c:pt>
                <c:pt idx="1444">
                  <c:v>-46.712096975939801</c:v>
                </c:pt>
                <c:pt idx="1445">
                  <c:v>-46.712096975939801</c:v>
                </c:pt>
                <c:pt idx="1446">
                  <c:v>-46.712096975939801</c:v>
                </c:pt>
                <c:pt idx="1447">
                  <c:v>-46.712096975939801</c:v>
                </c:pt>
                <c:pt idx="1448">
                  <c:v>-46.712096975939801</c:v>
                </c:pt>
                <c:pt idx="1449">
                  <c:v>-46.712096975939801</c:v>
                </c:pt>
                <c:pt idx="1450">
                  <c:v>-46.712096975939801</c:v>
                </c:pt>
                <c:pt idx="1451">
                  <c:v>-46.712096975939801</c:v>
                </c:pt>
                <c:pt idx="1452">
                  <c:v>-46.712096975939801</c:v>
                </c:pt>
                <c:pt idx="1453">
                  <c:v>-46.712096975939801</c:v>
                </c:pt>
                <c:pt idx="1454">
                  <c:v>-46.712096975939801</c:v>
                </c:pt>
                <c:pt idx="1455">
                  <c:v>-46.712096975939801</c:v>
                </c:pt>
                <c:pt idx="1456">
                  <c:v>-46.712096975939801</c:v>
                </c:pt>
                <c:pt idx="1457">
                  <c:v>-46.712096975939801</c:v>
                </c:pt>
                <c:pt idx="1458">
                  <c:v>-46.712096975939801</c:v>
                </c:pt>
                <c:pt idx="1459">
                  <c:v>-46.712096975939801</c:v>
                </c:pt>
                <c:pt idx="1460">
                  <c:v>-46.712096975939801</c:v>
                </c:pt>
                <c:pt idx="1461">
                  <c:v>-46.712096975939801</c:v>
                </c:pt>
                <c:pt idx="1462">
                  <c:v>-46.712096975939801</c:v>
                </c:pt>
                <c:pt idx="1463">
                  <c:v>-46.712096975939801</c:v>
                </c:pt>
                <c:pt idx="1464">
                  <c:v>-46.712096975939801</c:v>
                </c:pt>
                <c:pt idx="1465">
                  <c:v>-46.712096975939801</c:v>
                </c:pt>
                <c:pt idx="1466">
                  <c:v>-46.712096975939801</c:v>
                </c:pt>
                <c:pt idx="1467">
                  <c:v>-46.712096975939801</c:v>
                </c:pt>
                <c:pt idx="1468">
                  <c:v>-46.712096975939801</c:v>
                </c:pt>
                <c:pt idx="1469">
                  <c:v>-46.712096975939801</c:v>
                </c:pt>
                <c:pt idx="1470">
                  <c:v>-46.712096975939801</c:v>
                </c:pt>
                <c:pt idx="1471">
                  <c:v>-46.712096975939801</c:v>
                </c:pt>
                <c:pt idx="1472">
                  <c:v>-46.712096975939801</c:v>
                </c:pt>
                <c:pt idx="1473">
                  <c:v>-46.712096975939801</c:v>
                </c:pt>
                <c:pt idx="1474">
                  <c:v>-46.712096975939801</c:v>
                </c:pt>
                <c:pt idx="1475">
                  <c:v>-46.712096975939801</c:v>
                </c:pt>
                <c:pt idx="1476">
                  <c:v>-46.712096975939801</c:v>
                </c:pt>
                <c:pt idx="1477">
                  <c:v>-46.712096975939801</c:v>
                </c:pt>
                <c:pt idx="1478">
                  <c:v>-46.712096975939801</c:v>
                </c:pt>
                <c:pt idx="1479">
                  <c:v>-46.712096975939801</c:v>
                </c:pt>
                <c:pt idx="1480">
                  <c:v>-46.712096975939801</c:v>
                </c:pt>
                <c:pt idx="1481">
                  <c:v>-46.712096975939801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-49.842163139380297</c:v>
                </c:pt>
                <c:pt idx="1783">
                  <c:v>-49.842163139380297</c:v>
                </c:pt>
                <c:pt idx="1784">
                  <c:v>-49.842163139380297</c:v>
                </c:pt>
                <c:pt idx="1785">
                  <c:v>-49.842163139380297</c:v>
                </c:pt>
                <c:pt idx="1786">
                  <c:v>-49.842163139380297</c:v>
                </c:pt>
                <c:pt idx="1787">
                  <c:v>-49.842163139380297</c:v>
                </c:pt>
                <c:pt idx="1788">
                  <c:v>-49.842163139380297</c:v>
                </c:pt>
                <c:pt idx="1789">
                  <c:v>-49.842163139380297</c:v>
                </c:pt>
                <c:pt idx="1790">
                  <c:v>-49.842163139380297</c:v>
                </c:pt>
                <c:pt idx="1791">
                  <c:v>-49.842163139380297</c:v>
                </c:pt>
                <c:pt idx="1792">
                  <c:v>-49.842163139380297</c:v>
                </c:pt>
                <c:pt idx="1793">
                  <c:v>-49.842163139380297</c:v>
                </c:pt>
                <c:pt idx="1794">
                  <c:v>-49.842163139380297</c:v>
                </c:pt>
                <c:pt idx="1795">
                  <c:v>-49.842163139380297</c:v>
                </c:pt>
                <c:pt idx="1796">
                  <c:v>-49.842163139380297</c:v>
                </c:pt>
                <c:pt idx="1797">
                  <c:v>-49.842163139380297</c:v>
                </c:pt>
                <c:pt idx="1798">
                  <c:v>-49.842163139380297</c:v>
                </c:pt>
                <c:pt idx="1799">
                  <c:v>-49.842163139380297</c:v>
                </c:pt>
                <c:pt idx="1800">
                  <c:v>-49.842163139380297</c:v>
                </c:pt>
                <c:pt idx="1801">
                  <c:v>-49.842163139380297</c:v>
                </c:pt>
                <c:pt idx="1802">
                  <c:v>-49.842163139380297</c:v>
                </c:pt>
                <c:pt idx="1803">
                  <c:v>-49.842163139380297</c:v>
                </c:pt>
                <c:pt idx="1804">
                  <c:v>-49.842163139380297</c:v>
                </c:pt>
                <c:pt idx="1805">
                  <c:v>-49.842163139380297</c:v>
                </c:pt>
                <c:pt idx="1806">
                  <c:v>-49.842163139380297</c:v>
                </c:pt>
                <c:pt idx="1807">
                  <c:v>-49.842163139380297</c:v>
                </c:pt>
                <c:pt idx="1808">
                  <c:v>-49.842163139380297</c:v>
                </c:pt>
                <c:pt idx="1809">
                  <c:v>-49.842163139380297</c:v>
                </c:pt>
                <c:pt idx="1810">
                  <c:v>-49.842163139380297</c:v>
                </c:pt>
                <c:pt idx="1811">
                  <c:v>-49.842163139380297</c:v>
                </c:pt>
                <c:pt idx="1812">
                  <c:v>-49.842163139380297</c:v>
                </c:pt>
                <c:pt idx="1813">
                  <c:v>-49.842163139380297</c:v>
                </c:pt>
                <c:pt idx="1814">
                  <c:v>-49.842163139380297</c:v>
                </c:pt>
                <c:pt idx="1815">
                  <c:v>-49.842163139380297</c:v>
                </c:pt>
                <c:pt idx="1816">
                  <c:v>-49.842163139380297</c:v>
                </c:pt>
                <c:pt idx="1817">
                  <c:v>-49.842163139380297</c:v>
                </c:pt>
                <c:pt idx="1818">
                  <c:v>-49.842163139380297</c:v>
                </c:pt>
                <c:pt idx="1819">
                  <c:v>-49.842163139380297</c:v>
                </c:pt>
                <c:pt idx="1820">
                  <c:v>-49.842163139380297</c:v>
                </c:pt>
                <c:pt idx="1821">
                  <c:v>-49.842163139380297</c:v>
                </c:pt>
                <c:pt idx="1822">
                  <c:v>-49.842163139380297</c:v>
                </c:pt>
                <c:pt idx="1823">
                  <c:v>-49.842163139380297</c:v>
                </c:pt>
                <c:pt idx="1824">
                  <c:v>-49.842163139380297</c:v>
                </c:pt>
                <c:pt idx="1825">
                  <c:v>-49.842163139380297</c:v>
                </c:pt>
                <c:pt idx="1826">
                  <c:v>-49.842163139380297</c:v>
                </c:pt>
                <c:pt idx="1827">
                  <c:v>-49.842163139380297</c:v>
                </c:pt>
                <c:pt idx="1828">
                  <c:v>-49.842163139380297</c:v>
                </c:pt>
                <c:pt idx="1829">
                  <c:v>-49.842163139380297</c:v>
                </c:pt>
                <c:pt idx="1830">
                  <c:v>-49.842163139380297</c:v>
                </c:pt>
                <c:pt idx="1831">
                  <c:v>-49.842163139380297</c:v>
                </c:pt>
                <c:pt idx="1832">
                  <c:v>-49.842163139380297</c:v>
                </c:pt>
                <c:pt idx="1833">
                  <c:v>-49.842163139380297</c:v>
                </c:pt>
                <c:pt idx="1834">
                  <c:v>-49.842163139380297</c:v>
                </c:pt>
                <c:pt idx="1835">
                  <c:v>-49.842163139380297</c:v>
                </c:pt>
                <c:pt idx="1836">
                  <c:v>-49.842163139380297</c:v>
                </c:pt>
                <c:pt idx="1837">
                  <c:v>-49.842163139380297</c:v>
                </c:pt>
                <c:pt idx="1838">
                  <c:v>-49.842163139380297</c:v>
                </c:pt>
                <c:pt idx="1839">
                  <c:v>-49.842163139380297</c:v>
                </c:pt>
                <c:pt idx="1840">
                  <c:v>-49.842163139380297</c:v>
                </c:pt>
                <c:pt idx="1841">
                  <c:v>-49.842163139380297</c:v>
                </c:pt>
                <c:pt idx="1842">
                  <c:v>-49.842163139380297</c:v>
                </c:pt>
                <c:pt idx="1843">
                  <c:v>-49.842163139380297</c:v>
                </c:pt>
                <c:pt idx="1844">
                  <c:v>-49.842163139380297</c:v>
                </c:pt>
                <c:pt idx="1845">
                  <c:v>-49.842163139380297</c:v>
                </c:pt>
                <c:pt idx="1846">
                  <c:v>-49.842163139380297</c:v>
                </c:pt>
                <c:pt idx="1847">
                  <c:v>-49.842163139380297</c:v>
                </c:pt>
                <c:pt idx="1848">
                  <c:v>-49.842163139380297</c:v>
                </c:pt>
                <c:pt idx="1849">
                  <c:v>-49.842163139380297</c:v>
                </c:pt>
                <c:pt idx="1850">
                  <c:v>-49.842163139380297</c:v>
                </c:pt>
                <c:pt idx="1851">
                  <c:v>-49.842163139380297</c:v>
                </c:pt>
                <c:pt idx="1852">
                  <c:v>-49.842163139380297</c:v>
                </c:pt>
                <c:pt idx="1853">
                  <c:v>-49.842163139380297</c:v>
                </c:pt>
                <c:pt idx="1854">
                  <c:v>-49.842163139380297</c:v>
                </c:pt>
                <c:pt idx="1855">
                  <c:v>-49.842163139380297</c:v>
                </c:pt>
                <c:pt idx="1856">
                  <c:v>-49.842163139380297</c:v>
                </c:pt>
                <c:pt idx="1857">
                  <c:v>-49.842163139380297</c:v>
                </c:pt>
                <c:pt idx="1858">
                  <c:v>-49.842163139380297</c:v>
                </c:pt>
                <c:pt idx="1859">
                  <c:v>-49.842163139380297</c:v>
                </c:pt>
                <c:pt idx="1860">
                  <c:v>-49.842163139380297</c:v>
                </c:pt>
                <c:pt idx="1861">
                  <c:v>-49.842163139380297</c:v>
                </c:pt>
                <c:pt idx="1862">
                  <c:v>-49.842163139380297</c:v>
                </c:pt>
                <c:pt idx="1863">
                  <c:v>-49.842163139380297</c:v>
                </c:pt>
                <c:pt idx="1864">
                  <c:v>-49.842163139380297</c:v>
                </c:pt>
                <c:pt idx="1865">
                  <c:v>-49.842163139380297</c:v>
                </c:pt>
                <c:pt idx="1866">
                  <c:v>-49.842163139380297</c:v>
                </c:pt>
                <c:pt idx="1867">
                  <c:v>-49.842163139380297</c:v>
                </c:pt>
                <c:pt idx="1868">
                  <c:v>-49.842163139380297</c:v>
                </c:pt>
                <c:pt idx="1869">
                  <c:v>-49.842163139380297</c:v>
                </c:pt>
                <c:pt idx="1870">
                  <c:v>-49.842163139380297</c:v>
                </c:pt>
                <c:pt idx="1871">
                  <c:v>-49.842163139380297</c:v>
                </c:pt>
                <c:pt idx="1872">
                  <c:v>-49.842163139380297</c:v>
                </c:pt>
                <c:pt idx="1873">
                  <c:v>-49.842163139380297</c:v>
                </c:pt>
                <c:pt idx="1874">
                  <c:v>-49.842163139380297</c:v>
                </c:pt>
                <c:pt idx="1875">
                  <c:v>-49.842163139380297</c:v>
                </c:pt>
                <c:pt idx="1876">
                  <c:v>-49.842163139380297</c:v>
                </c:pt>
                <c:pt idx="1877">
                  <c:v>-49.842163139380297</c:v>
                </c:pt>
                <c:pt idx="1878">
                  <c:v>-49.842163139380297</c:v>
                </c:pt>
                <c:pt idx="1879">
                  <c:v>-49.842163139380297</c:v>
                </c:pt>
                <c:pt idx="1880">
                  <c:v>-49.842163139380297</c:v>
                </c:pt>
                <c:pt idx="1881">
                  <c:v>-49.842163139380297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-51.415226335993196</c:v>
                </c:pt>
                <c:pt idx="2059">
                  <c:v>-51.415226335993196</c:v>
                </c:pt>
                <c:pt idx="2060">
                  <c:v>-51.415226335993196</c:v>
                </c:pt>
                <c:pt idx="2061">
                  <c:v>-51.415226335993196</c:v>
                </c:pt>
                <c:pt idx="2062">
                  <c:v>-51.415226335993196</c:v>
                </c:pt>
                <c:pt idx="2063">
                  <c:v>-51.415226335993196</c:v>
                </c:pt>
                <c:pt idx="2064">
                  <c:v>-51.415226335993196</c:v>
                </c:pt>
                <c:pt idx="2065">
                  <c:v>-51.415226335993196</c:v>
                </c:pt>
                <c:pt idx="2066">
                  <c:v>-51.415226335993196</c:v>
                </c:pt>
                <c:pt idx="2067">
                  <c:v>-51.415226335993196</c:v>
                </c:pt>
                <c:pt idx="2068">
                  <c:v>-51.415226335993196</c:v>
                </c:pt>
                <c:pt idx="2069">
                  <c:v>-51.415226335993196</c:v>
                </c:pt>
                <c:pt idx="2070">
                  <c:v>-51.415226335993196</c:v>
                </c:pt>
                <c:pt idx="2071">
                  <c:v>-51.415226335993196</c:v>
                </c:pt>
                <c:pt idx="2072">
                  <c:v>-51.415226335993196</c:v>
                </c:pt>
                <c:pt idx="2073">
                  <c:v>-51.415226335993196</c:v>
                </c:pt>
                <c:pt idx="2074">
                  <c:v>-51.415226335993196</c:v>
                </c:pt>
                <c:pt idx="2075">
                  <c:v>-51.415226335993196</c:v>
                </c:pt>
                <c:pt idx="2076">
                  <c:v>-51.415226335993196</c:v>
                </c:pt>
                <c:pt idx="2077">
                  <c:v>-51.415226335993196</c:v>
                </c:pt>
                <c:pt idx="2078">
                  <c:v>-51.415226335993196</c:v>
                </c:pt>
                <c:pt idx="2079">
                  <c:v>-51.415226335993196</c:v>
                </c:pt>
                <c:pt idx="2080">
                  <c:v>-51.415226335993196</c:v>
                </c:pt>
                <c:pt idx="2081">
                  <c:v>-51.415226335993196</c:v>
                </c:pt>
                <c:pt idx="2082">
                  <c:v>-51.415226335993196</c:v>
                </c:pt>
                <c:pt idx="2083">
                  <c:v>-51.415226335993196</c:v>
                </c:pt>
                <c:pt idx="2084">
                  <c:v>-51.415226335993196</c:v>
                </c:pt>
                <c:pt idx="2085">
                  <c:v>-51.415226335993196</c:v>
                </c:pt>
                <c:pt idx="2086">
                  <c:v>-51.415226335993196</c:v>
                </c:pt>
                <c:pt idx="2087">
                  <c:v>-51.415226335993196</c:v>
                </c:pt>
                <c:pt idx="2088">
                  <c:v>-51.415226335993196</c:v>
                </c:pt>
                <c:pt idx="2089">
                  <c:v>-51.415226335993196</c:v>
                </c:pt>
                <c:pt idx="2090">
                  <c:v>-51.415226335993196</c:v>
                </c:pt>
                <c:pt idx="2091">
                  <c:v>-51.415226335993196</c:v>
                </c:pt>
                <c:pt idx="2092">
                  <c:v>-51.415226335993196</c:v>
                </c:pt>
                <c:pt idx="2093">
                  <c:v>-51.415226335993196</c:v>
                </c:pt>
                <c:pt idx="2094">
                  <c:v>-51.415226335993196</c:v>
                </c:pt>
                <c:pt idx="2095">
                  <c:v>-51.415226335993196</c:v>
                </c:pt>
                <c:pt idx="2096">
                  <c:v>-51.415226335993196</c:v>
                </c:pt>
                <c:pt idx="2097">
                  <c:v>-51.415226335993196</c:v>
                </c:pt>
                <c:pt idx="2098">
                  <c:v>-51.415226335993196</c:v>
                </c:pt>
                <c:pt idx="2099">
                  <c:v>-51.415226335993196</c:v>
                </c:pt>
                <c:pt idx="2100">
                  <c:v>-51.415226335993196</c:v>
                </c:pt>
                <c:pt idx="2101">
                  <c:v>-51.415226335993196</c:v>
                </c:pt>
                <c:pt idx="2102">
                  <c:v>-51.415226335993196</c:v>
                </c:pt>
                <c:pt idx="2103">
                  <c:v>-51.415226335993196</c:v>
                </c:pt>
                <c:pt idx="2104">
                  <c:v>-51.415226335993196</c:v>
                </c:pt>
                <c:pt idx="2105">
                  <c:v>-51.415226335993196</c:v>
                </c:pt>
                <c:pt idx="2106">
                  <c:v>-51.415226335993196</c:v>
                </c:pt>
                <c:pt idx="2107">
                  <c:v>-51.415226335993196</c:v>
                </c:pt>
                <c:pt idx="2108">
                  <c:v>-51.415226335993196</c:v>
                </c:pt>
                <c:pt idx="2109">
                  <c:v>-51.415226335993196</c:v>
                </c:pt>
                <c:pt idx="2110">
                  <c:v>-51.415226335993196</c:v>
                </c:pt>
                <c:pt idx="2111">
                  <c:v>-51.415226335993196</c:v>
                </c:pt>
                <c:pt idx="2112">
                  <c:v>-51.415226335993196</c:v>
                </c:pt>
                <c:pt idx="2113">
                  <c:v>-51.415226335993196</c:v>
                </c:pt>
                <c:pt idx="2114">
                  <c:v>-51.415226335993196</c:v>
                </c:pt>
                <c:pt idx="2115">
                  <c:v>-51.415226335993196</c:v>
                </c:pt>
                <c:pt idx="2116">
                  <c:v>-51.415226335993196</c:v>
                </c:pt>
                <c:pt idx="2117">
                  <c:v>-51.415226335993196</c:v>
                </c:pt>
                <c:pt idx="2118">
                  <c:v>-51.415226335993196</c:v>
                </c:pt>
                <c:pt idx="2119">
                  <c:v>-51.415226335993196</c:v>
                </c:pt>
                <c:pt idx="2120">
                  <c:v>-51.415226335993196</c:v>
                </c:pt>
                <c:pt idx="2121">
                  <c:v>-51.415226335993196</c:v>
                </c:pt>
                <c:pt idx="2122">
                  <c:v>-51.415226335993196</c:v>
                </c:pt>
                <c:pt idx="2123">
                  <c:v>-51.415226335993196</c:v>
                </c:pt>
                <c:pt idx="2124">
                  <c:v>-51.415226335993196</c:v>
                </c:pt>
                <c:pt idx="2125">
                  <c:v>-51.415226335993196</c:v>
                </c:pt>
                <c:pt idx="2126">
                  <c:v>-51.415226335993196</c:v>
                </c:pt>
                <c:pt idx="2127">
                  <c:v>-51.415226335993196</c:v>
                </c:pt>
                <c:pt idx="2128">
                  <c:v>-51.415226335993196</c:v>
                </c:pt>
                <c:pt idx="2129">
                  <c:v>-51.415226335993196</c:v>
                </c:pt>
                <c:pt idx="2130">
                  <c:v>-51.415226335993196</c:v>
                </c:pt>
                <c:pt idx="2131">
                  <c:v>-51.415226335993196</c:v>
                </c:pt>
                <c:pt idx="2132">
                  <c:v>-51.415226335993196</c:v>
                </c:pt>
                <c:pt idx="2133">
                  <c:v>-51.415226335993196</c:v>
                </c:pt>
                <c:pt idx="2134">
                  <c:v>-51.415226335993196</c:v>
                </c:pt>
                <c:pt idx="2135">
                  <c:v>-51.415226335993196</c:v>
                </c:pt>
                <c:pt idx="2136">
                  <c:v>-51.415226335993196</c:v>
                </c:pt>
                <c:pt idx="2137">
                  <c:v>-51.415226335993196</c:v>
                </c:pt>
                <c:pt idx="2138">
                  <c:v>-51.415226335993196</c:v>
                </c:pt>
                <c:pt idx="2139">
                  <c:v>-51.415226335993196</c:v>
                </c:pt>
                <c:pt idx="2140">
                  <c:v>-51.415226335993196</c:v>
                </c:pt>
                <c:pt idx="2141">
                  <c:v>-51.415226335993196</c:v>
                </c:pt>
                <c:pt idx="2142">
                  <c:v>-51.415226335993196</c:v>
                </c:pt>
                <c:pt idx="2143">
                  <c:v>-51.415226335993196</c:v>
                </c:pt>
                <c:pt idx="2144">
                  <c:v>-51.415226335993196</c:v>
                </c:pt>
                <c:pt idx="2145">
                  <c:v>-51.415226335993196</c:v>
                </c:pt>
                <c:pt idx="2146">
                  <c:v>-51.415226335993196</c:v>
                </c:pt>
                <c:pt idx="2147">
                  <c:v>-51.415226335993196</c:v>
                </c:pt>
                <c:pt idx="2148">
                  <c:v>-51.415226335993196</c:v>
                </c:pt>
                <c:pt idx="2149">
                  <c:v>-51.415226335993196</c:v>
                </c:pt>
                <c:pt idx="2150">
                  <c:v>-51.415226335993196</c:v>
                </c:pt>
                <c:pt idx="2151">
                  <c:v>-51.415226335993196</c:v>
                </c:pt>
                <c:pt idx="2152">
                  <c:v>-51.415226335993196</c:v>
                </c:pt>
                <c:pt idx="2153">
                  <c:v>-51.415226335993196</c:v>
                </c:pt>
                <c:pt idx="2154">
                  <c:v>-51.415226335993196</c:v>
                </c:pt>
                <c:pt idx="2155">
                  <c:v>-51.415226335993196</c:v>
                </c:pt>
                <c:pt idx="2156">
                  <c:v>-51.415226335993196</c:v>
                </c:pt>
                <c:pt idx="2157">
                  <c:v>-51.415226335993196</c:v>
                </c:pt>
                <c:pt idx="2158">
                  <c:v>-51.415226335993196</c:v>
                </c:pt>
                <c:pt idx="2159">
                  <c:v>-51.415226335993196</c:v>
                </c:pt>
                <c:pt idx="2160">
                  <c:v>-51.415226335993196</c:v>
                </c:pt>
                <c:pt idx="2161">
                  <c:v>-51.415226335993196</c:v>
                </c:pt>
                <c:pt idx="2162">
                  <c:v>-51.415226335993196</c:v>
                </c:pt>
                <c:pt idx="2163">
                  <c:v>-51.415226335993196</c:v>
                </c:pt>
                <c:pt idx="2164">
                  <c:v>-51.415226335993196</c:v>
                </c:pt>
                <c:pt idx="2165">
                  <c:v>-51.415226335993196</c:v>
                </c:pt>
                <c:pt idx="2166">
                  <c:v>-51.415226335993196</c:v>
                </c:pt>
                <c:pt idx="2167">
                  <c:v>-51.415226335993196</c:v>
                </c:pt>
                <c:pt idx="2168">
                  <c:v>-51.415226335993196</c:v>
                </c:pt>
                <c:pt idx="2169">
                  <c:v>-51.415226335993196</c:v>
                </c:pt>
                <c:pt idx="2170">
                  <c:v>-51.415226335993196</c:v>
                </c:pt>
                <c:pt idx="2171">
                  <c:v>-51.415226335993196</c:v>
                </c:pt>
                <c:pt idx="2172">
                  <c:v>-51.415226335993196</c:v>
                </c:pt>
                <c:pt idx="2173">
                  <c:v>-51.415226335993196</c:v>
                </c:pt>
                <c:pt idx="2174">
                  <c:v>-51.415226335993196</c:v>
                </c:pt>
                <c:pt idx="2175">
                  <c:v>-51.415226335993196</c:v>
                </c:pt>
                <c:pt idx="2176">
                  <c:v>-51.415226335993196</c:v>
                </c:pt>
                <c:pt idx="2177">
                  <c:v>-51.415226335993196</c:v>
                </c:pt>
                <c:pt idx="2178">
                  <c:v>-51.415226335993196</c:v>
                </c:pt>
                <c:pt idx="2179">
                  <c:v>-51.415226335993196</c:v>
                </c:pt>
                <c:pt idx="2180">
                  <c:v>-51.415226335993196</c:v>
                </c:pt>
                <c:pt idx="2181">
                  <c:v>-51.415226335993196</c:v>
                </c:pt>
                <c:pt idx="2182">
                  <c:v>-51.415226335993196</c:v>
                </c:pt>
                <c:pt idx="2183">
                  <c:v>-51.415226335993196</c:v>
                </c:pt>
                <c:pt idx="2184">
                  <c:v>-51.415226335993196</c:v>
                </c:pt>
                <c:pt idx="2185">
                  <c:v>-51.415226335993196</c:v>
                </c:pt>
                <c:pt idx="2186">
                  <c:v>-51.415226335993196</c:v>
                </c:pt>
                <c:pt idx="2187">
                  <c:v>-51.415226335993196</c:v>
                </c:pt>
                <c:pt idx="2188">
                  <c:v>-51.415226335993196</c:v>
                </c:pt>
                <c:pt idx="2189">
                  <c:v>-51.415226335993196</c:v>
                </c:pt>
                <c:pt idx="2190">
                  <c:v>-51.415226335993196</c:v>
                </c:pt>
                <c:pt idx="2191">
                  <c:v>-51.415226335993196</c:v>
                </c:pt>
                <c:pt idx="2192">
                  <c:v>-51.415226335993196</c:v>
                </c:pt>
                <c:pt idx="2193">
                  <c:v>-51.415226335993196</c:v>
                </c:pt>
                <c:pt idx="2194">
                  <c:v>-51.415226335993196</c:v>
                </c:pt>
                <c:pt idx="2195">
                  <c:v>-51.415226335993196</c:v>
                </c:pt>
                <c:pt idx="2196">
                  <c:v>-51.415226335993196</c:v>
                </c:pt>
                <c:pt idx="2197">
                  <c:v>-51.415226335993196</c:v>
                </c:pt>
                <c:pt idx="2198">
                  <c:v>-51.415226335993196</c:v>
                </c:pt>
                <c:pt idx="2199">
                  <c:v>-51.415226335993196</c:v>
                </c:pt>
                <c:pt idx="2200">
                  <c:v>-51.415226335993196</c:v>
                </c:pt>
                <c:pt idx="2201">
                  <c:v>-51.415226335993196</c:v>
                </c:pt>
                <c:pt idx="2202">
                  <c:v>-51.415226335993196</c:v>
                </c:pt>
                <c:pt idx="2203">
                  <c:v>-51.415226335993196</c:v>
                </c:pt>
                <c:pt idx="2204">
                  <c:v>-51.415226335993196</c:v>
                </c:pt>
                <c:pt idx="2205">
                  <c:v>-51.415226335993196</c:v>
                </c:pt>
                <c:pt idx="2206">
                  <c:v>-51.415226335993196</c:v>
                </c:pt>
                <c:pt idx="2207">
                  <c:v>-51.415226335993196</c:v>
                </c:pt>
                <c:pt idx="2208">
                  <c:v>-51.415226335993196</c:v>
                </c:pt>
                <c:pt idx="2209">
                  <c:v>-51.415226335993196</c:v>
                </c:pt>
                <c:pt idx="2210">
                  <c:v>-51.415226335993196</c:v>
                </c:pt>
                <c:pt idx="2211">
                  <c:v>-51.415226335993196</c:v>
                </c:pt>
                <c:pt idx="2212">
                  <c:v>-51.415226335993196</c:v>
                </c:pt>
                <c:pt idx="2213">
                  <c:v>-51.415226335993196</c:v>
                </c:pt>
                <c:pt idx="2214">
                  <c:v>-51.415226335993196</c:v>
                </c:pt>
                <c:pt idx="2215">
                  <c:v>-51.415226335993196</c:v>
                </c:pt>
                <c:pt idx="2216">
                  <c:v>-51.415226335993196</c:v>
                </c:pt>
                <c:pt idx="2217">
                  <c:v>-51.415226335993196</c:v>
                </c:pt>
                <c:pt idx="2218">
                  <c:v>-51.415226335993196</c:v>
                </c:pt>
                <c:pt idx="2219">
                  <c:v>-51.415226335993196</c:v>
                </c:pt>
                <c:pt idx="2220">
                  <c:v>-51.415226335993196</c:v>
                </c:pt>
                <c:pt idx="2221">
                  <c:v>-51.415226335993196</c:v>
                </c:pt>
                <c:pt idx="2222">
                  <c:v>-51.415226335993196</c:v>
                </c:pt>
                <c:pt idx="2223">
                  <c:v>-51.415226335993196</c:v>
                </c:pt>
                <c:pt idx="2224">
                  <c:v>-51.415226335993196</c:v>
                </c:pt>
                <c:pt idx="2225">
                  <c:v>-51.415226335993196</c:v>
                </c:pt>
                <c:pt idx="2226">
                  <c:v>-51.415226335993196</c:v>
                </c:pt>
                <c:pt idx="2227">
                  <c:v>-51.415226335993196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024-47FB-9554-06DD19D6F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8139184"/>
        <c:axId val="688139512"/>
      </c:scatterChart>
      <c:valAx>
        <c:axId val="688139184"/>
        <c:scaling>
          <c:orientation val="minMax"/>
          <c:max val="2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139512"/>
        <c:crosses val="autoZero"/>
        <c:crossBetween val="midCat"/>
        <c:majorUnit val="200"/>
      </c:valAx>
      <c:valAx>
        <c:axId val="688139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Lean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1391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4761</xdr:colOff>
      <xdr:row>15</xdr:row>
      <xdr:rowOff>10715</xdr:rowOff>
    </xdr:from>
    <xdr:to>
      <xdr:col>13</xdr:col>
      <xdr:colOff>-1</xdr:colOff>
      <xdr:row>30</xdr:row>
      <xdr:rowOff>186928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46E3D02-29BD-4982-9341-EA59A61B24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9526</xdr:rowOff>
    </xdr:from>
    <xdr:to>
      <xdr:col>18</xdr:col>
      <xdr:colOff>19050</xdr:colOff>
      <xdr:row>16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F161AA5-9313-4A17-9756-6B6BB7E1B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104776"/>
          <a:ext cx="6715125" cy="3038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19049</xdr:colOff>
      <xdr:row>17</xdr:row>
      <xdr:rowOff>0</xdr:rowOff>
    </xdr:from>
    <xdr:to>
      <xdr:col>18</xdr:col>
      <xdr:colOff>9524</xdr:colOff>
      <xdr:row>32</xdr:row>
      <xdr:rowOff>55961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81B4CC6-5DA5-45D2-B3A3-43800404E2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21431</xdr:colOff>
      <xdr:row>4</xdr:row>
      <xdr:rowOff>11905</xdr:rowOff>
    </xdr:from>
    <xdr:to>
      <xdr:col>42</xdr:col>
      <xdr:colOff>723898</xdr:colOff>
      <xdr:row>34</xdr:row>
      <xdr:rowOff>845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9481DE-831D-4495-A926-6395E47EA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623506" y="792955"/>
          <a:ext cx="5474493" cy="57039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5952</xdr:colOff>
      <xdr:row>4</xdr:row>
      <xdr:rowOff>15477</xdr:rowOff>
    </xdr:from>
    <xdr:to>
      <xdr:col>26</xdr:col>
      <xdr:colOff>0</xdr:colOff>
      <xdr:row>22</xdr:row>
      <xdr:rowOff>-1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25CA819-56C7-43DF-AD70-0E547D18A6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-1</xdr:colOff>
      <xdr:row>23</xdr:row>
      <xdr:rowOff>0</xdr:rowOff>
    </xdr:from>
    <xdr:to>
      <xdr:col>25</xdr:col>
      <xdr:colOff>601266</xdr:colOff>
      <xdr:row>40</xdr:row>
      <xdr:rowOff>175022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B27FE67-DA1D-4842-92DD-312EC13CF4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42</xdr:row>
      <xdr:rowOff>0</xdr:rowOff>
    </xdr:from>
    <xdr:to>
      <xdr:col>25</xdr:col>
      <xdr:colOff>601267</xdr:colOff>
      <xdr:row>59</xdr:row>
      <xdr:rowOff>175022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5FBA699-BE5F-4E12-8135-73EFE9432A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1</xdr:row>
      <xdr:rowOff>4761</xdr:rowOff>
    </xdr:from>
    <xdr:to>
      <xdr:col>10</xdr:col>
      <xdr:colOff>600074</xdr:colOff>
      <xdr:row>16</xdr:row>
      <xdr:rowOff>9524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76DD35-C2FE-4A6B-AAB5-CC4C1ECDC0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4762</xdr:colOff>
      <xdr:row>17</xdr:row>
      <xdr:rowOff>4761</xdr:rowOff>
    </xdr:from>
    <xdr:to>
      <xdr:col>11</xdr:col>
      <xdr:colOff>0</xdr:colOff>
      <xdr:row>32</xdr:row>
      <xdr:rowOff>9524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12A5651-0DB3-4EEA-9723-57557AB2CC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4762</xdr:colOff>
      <xdr:row>17</xdr:row>
      <xdr:rowOff>4762</xdr:rowOff>
    </xdr:from>
    <xdr:to>
      <xdr:col>22</xdr:col>
      <xdr:colOff>0</xdr:colOff>
      <xdr:row>32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F7A8993-3D4B-4A62-87C2-6CE7656146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4761</xdr:colOff>
      <xdr:row>1</xdr:row>
      <xdr:rowOff>4762</xdr:rowOff>
    </xdr:from>
    <xdr:to>
      <xdr:col>21</xdr:col>
      <xdr:colOff>600074</xdr:colOff>
      <xdr:row>16</xdr:row>
      <xdr:rowOff>19050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DED2EB6-4116-4D4F-9815-7323648C33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odm.lt/wp-content/uploads/2016/03/yzf_r6_2009_user_manual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B74AF-2D23-4A57-9AA9-7ADCAE224CC0}">
  <sheetPr>
    <tabColor rgb="FF0070C0"/>
  </sheetPr>
  <dimension ref="B1:AZ112"/>
  <sheetViews>
    <sheetView zoomScaleNormal="100" workbookViewId="0">
      <selection activeCell="C24" sqref="C24"/>
    </sheetView>
  </sheetViews>
  <sheetFormatPr defaultRowHeight="15" x14ac:dyDescent="0.25"/>
  <cols>
    <col min="1" max="1" width="1.42578125" customWidth="1"/>
    <col min="2" max="2" width="18.140625" bestFit="1" customWidth="1"/>
    <col min="5" max="5" width="1.42578125" customWidth="1"/>
    <col min="6" max="6" width="17.5703125" bestFit="1" customWidth="1"/>
    <col min="7" max="7" width="10.5703125" customWidth="1"/>
    <col min="8" max="8" width="1.42578125" customWidth="1"/>
    <col min="9" max="9" width="10.140625" bestFit="1" customWidth="1"/>
    <col min="14" max="14" width="1.42578125" customWidth="1"/>
    <col min="16" max="16" width="12" bestFit="1" customWidth="1"/>
    <col min="18" max="18" width="9.7109375" bestFit="1" customWidth="1"/>
    <col min="19" max="19" width="1.42578125" customWidth="1"/>
    <col min="20" max="20" width="24" bestFit="1" customWidth="1"/>
    <col min="21" max="22" width="9.5703125" bestFit="1" customWidth="1"/>
    <col min="26" max="26" width="1.42578125" customWidth="1"/>
    <col min="28" max="28" width="12.140625" bestFit="1" customWidth="1"/>
    <col min="29" max="29" width="11.5703125" bestFit="1" customWidth="1"/>
    <col min="30" max="30" width="10.42578125" bestFit="1" customWidth="1"/>
    <col min="31" max="31" width="7.28515625" bestFit="1" customWidth="1"/>
    <col min="32" max="32" width="1.42578125" customWidth="1"/>
    <col min="39" max="39" width="1.42578125" customWidth="1"/>
    <col min="46" max="46" width="1.42578125" customWidth="1"/>
  </cols>
  <sheetData>
    <row r="1" spans="2:52" ht="7.5" customHeight="1" thickBot="1" x14ac:dyDescent="0.3"/>
    <row r="2" spans="2:52" ht="28.5" customHeight="1" x14ac:dyDescent="0.25">
      <c r="B2" s="154" t="s">
        <v>0</v>
      </c>
      <c r="C2" s="155"/>
      <c r="D2" s="155"/>
      <c r="E2" s="155"/>
      <c r="F2" s="155"/>
      <c r="G2" s="156"/>
      <c r="H2" s="2"/>
      <c r="I2" s="2"/>
      <c r="J2" s="160" t="s">
        <v>16</v>
      </c>
      <c r="K2" s="160"/>
      <c r="L2" s="160"/>
      <c r="M2" s="160"/>
      <c r="N2" s="160"/>
      <c r="O2" s="160"/>
      <c r="P2" s="160"/>
      <c r="Q2" s="160"/>
    </row>
    <row r="3" spans="2:52" ht="15.75" customHeight="1" thickBot="1" x14ac:dyDescent="0.3">
      <c r="B3" s="157"/>
      <c r="C3" s="158"/>
      <c r="D3" s="158"/>
      <c r="E3" s="158"/>
      <c r="F3" s="158"/>
      <c r="G3" s="159"/>
      <c r="H3" s="2"/>
      <c r="I3" s="2"/>
    </row>
    <row r="4" spans="2:52" ht="15.75" thickBot="1" x14ac:dyDescent="0.3">
      <c r="AG4" s="161" t="s">
        <v>201</v>
      </c>
      <c r="AH4" s="162"/>
      <c r="AI4" s="162"/>
      <c r="AJ4" s="162"/>
      <c r="AK4" s="162"/>
      <c r="AL4" s="164"/>
      <c r="AN4" s="161" t="s">
        <v>236</v>
      </c>
      <c r="AO4" s="162"/>
      <c r="AP4" s="162"/>
      <c r="AQ4" s="162"/>
      <c r="AR4" s="162"/>
      <c r="AS4" s="164"/>
      <c r="AU4" s="161" t="s">
        <v>59</v>
      </c>
      <c r="AV4" s="162"/>
      <c r="AW4" s="162"/>
      <c r="AX4" s="162"/>
      <c r="AY4" s="162"/>
      <c r="AZ4" s="164"/>
    </row>
    <row r="5" spans="2:52" ht="15.75" thickBot="1" x14ac:dyDescent="0.3">
      <c r="B5" s="161" t="s">
        <v>4</v>
      </c>
      <c r="C5" s="165"/>
      <c r="D5" s="164"/>
      <c r="F5" s="166" t="s">
        <v>12</v>
      </c>
      <c r="G5" s="163"/>
      <c r="H5" s="1"/>
      <c r="I5" s="161" t="s">
        <v>23</v>
      </c>
      <c r="J5" s="162"/>
      <c r="K5" s="162"/>
      <c r="L5" s="162"/>
      <c r="M5" s="163"/>
      <c r="O5" s="161" t="s">
        <v>25</v>
      </c>
      <c r="P5" s="162"/>
      <c r="Q5" s="162"/>
      <c r="R5" s="164"/>
      <c r="T5" s="161" t="s">
        <v>30</v>
      </c>
      <c r="U5" s="162"/>
      <c r="V5" s="162"/>
      <c r="W5" s="162"/>
      <c r="X5" s="164"/>
      <c r="Y5" s="83"/>
      <c r="AA5" s="72" t="s">
        <v>15</v>
      </c>
      <c r="AB5" s="92" t="s">
        <v>49</v>
      </c>
      <c r="AC5" s="92" t="s">
        <v>51</v>
      </c>
      <c r="AD5" s="94" t="s">
        <v>52</v>
      </c>
      <c r="AE5" s="93" t="s">
        <v>50</v>
      </c>
      <c r="AG5" s="14" t="s">
        <v>53</v>
      </c>
      <c r="AH5" s="5" t="s">
        <v>54</v>
      </c>
      <c r="AI5" s="14" t="s">
        <v>55</v>
      </c>
      <c r="AJ5" s="5" t="s">
        <v>56</v>
      </c>
      <c r="AK5" s="14" t="s">
        <v>57</v>
      </c>
      <c r="AL5" s="14" t="s">
        <v>58</v>
      </c>
      <c r="AN5" s="14" t="s">
        <v>53</v>
      </c>
      <c r="AO5" s="14" t="s">
        <v>54</v>
      </c>
      <c r="AP5" s="14" t="s">
        <v>55</v>
      </c>
      <c r="AQ5" s="14" t="s">
        <v>56</v>
      </c>
      <c r="AR5" s="14" t="s">
        <v>57</v>
      </c>
      <c r="AS5" s="14" t="s">
        <v>58</v>
      </c>
      <c r="AU5" s="129" t="s">
        <v>100</v>
      </c>
      <c r="AV5" s="129" t="s">
        <v>101</v>
      </c>
      <c r="AW5" s="129" t="s">
        <v>102</v>
      </c>
      <c r="AX5" s="129" t="s">
        <v>103</v>
      </c>
      <c r="AY5" s="129" t="s">
        <v>104</v>
      </c>
      <c r="AZ5" s="129" t="s">
        <v>105</v>
      </c>
    </row>
    <row r="6" spans="2:52" ht="15.75" thickBot="1" x14ac:dyDescent="0.3">
      <c r="B6" s="7" t="s">
        <v>1</v>
      </c>
      <c r="C6" s="14" t="s">
        <v>2</v>
      </c>
      <c r="D6" s="8" t="s">
        <v>3</v>
      </c>
      <c r="F6" s="9" t="s">
        <v>13</v>
      </c>
      <c r="G6" s="15">
        <v>114</v>
      </c>
      <c r="H6" s="1"/>
      <c r="I6" s="5" t="s">
        <v>24</v>
      </c>
      <c r="J6" s="5" t="s">
        <v>17</v>
      </c>
      <c r="K6" s="5" t="s">
        <v>18</v>
      </c>
      <c r="L6" s="14" t="s">
        <v>19</v>
      </c>
      <c r="M6" s="5" t="s">
        <v>20</v>
      </c>
      <c r="O6" s="14" t="s">
        <v>24</v>
      </c>
      <c r="P6" s="14" t="s">
        <v>26</v>
      </c>
      <c r="Q6" s="14" t="s">
        <v>15</v>
      </c>
      <c r="R6" s="14" t="s">
        <v>200</v>
      </c>
      <c r="T6" s="76" t="s">
        <v>1</v>
      </c>
      <c r="U6" s="77" t="s">
        <v>31</v>
      </c>
      <c r="V6" s="5" t="s">
        <v>32</v>
      </c>
      <c r="W6" s="78" t="s">
        <v>33</v>
      </c>
      <c r="X6" s="78" t="s">
        <v>3</v>
      </c>
      <c r="Y6" s="25"/>
      <c r="AA6" s="41">
        <v>5200</v>
      </c>
      <c r="AB6" s="16">
        <v>30</v>
      </c>
      <c r="AC6" s="65">
        <f t="shared" ref="AC6:AC47" si="0">0.7457*AB6</f>
        <v>22.371000000000002</v>
      </c>
      <c r="AD6" s="16">
        <f t="shared" ref="AD6:AD47" si="1">AC6*10^3</f>
        <v>22371.000000000004</v>
      </c>
      <c r="AE6" s="21">
        <f t="shared" ref="AE6:AE47" si="2">(AB6*5252)/AA6</f>
        <v>30.3</v>
      </c>
      <c r="AG6" s="15">
        <f>(((AA6/$M$8)*($C$14))/(60))</f>
        <v>10.442772048510847</v>
      </c>
      <c r="AH6" s="64">
        <f>(((AA6/$M$9)*($C$14))/(60))</f>
        <v>13.488580562659847</v>
      </c>
      <c r="AI6" s="15">
        <f>(((AA6/$M$10)*($C$14))/(60))</f>
        <v>16.186296675191816</v>
      </c>
      <c r="AJ6" s="64">
        <f>(((AA6/$M$11)*($C$14))/(60))</f>
        <v>18.676496163682863</v>
      </c>
      <c r="AK6" s="15">
        <f>(((AA6/$M$12)*($C$14))/(60))</f>
        <v>20.982236430804203</v>
      </c>
      <c r="AL6" s="15">
        <f>(((AA6/$M$13)*($C$14))/(60))</f>
        <v>23.458400978538869</v>
      </c>
      <c r="AN6" s="15">
        <f>AG6*2.237</f>
        <v>23.360481072518766</v>
      </c>
      <c r="AO6" s="15">
        <f t="shared" ref="AO6:AS6" si="3">AH6*2.237</f>
        <v>30.173954718670078</v>
      </c>
      <c r="AP6" s="15">
        <f t="shared" si="3"/>
        <v>36.208745662404091</v>
      </c>
      <c r="AQ6" s="15">
        <f t="shared" si="3"/>
        <v>41.779321918158566</v>
      </c>
      <c r="AR6" s="15">
        <f t="shared" si="3"/>
        <v>46.937262895709004</v>
      </c>
      <c r="AS6" s="15">
        <f t="shared" si="3"/>
        <v>52.476442988991451</v>
      </c>
      <c r="AU6" s="15">
        <f>AG6*3.6</f>
        <v>37.593979374639048</v>
      </c>
      <c r="AV6" s="15">
        <f t="shared" ref="AV6:AZ6" si="4">AH6*3.6</f>
        <v>48.558890025575451</v>
      </c>
      <c r="AW6" s="15">
        <f t="shared" si="4"/>
        <v>58.270668030690537</v>
      </c>
      <c r="AX6" s="15">
        <f t="shared" si="4"/>
        <v>67.235386189258307</v>
      </c>
      <c r="AY6" s="15">
        <f t="shared" si="4"/>
        <v>75.536051150895133</v>
      </c>
      <c r="AZ6" s="15">
        <f t="shared" si="4"/>
        <v>84.450243522739925</v>
      </c>
    </row>
    <row r="7" spans="2:52" ht="15.75" thickBot="1" x14ac:dyDescent="0.3">
      <c r="B7" s="106" t="s">
        <v>5</v>
      </c>
      <c r="C7" s="15">
        <v>1.38</v>
      </c>
      <c r="D7" s="32" t="s">
        <v>27</v>
      </c>
      <c r="F7" s="10" t="s">
        <v>14</v>
      </c>
      <c r="G7" s="16">
        <v>14250</v>
      </c>
      <c r="H7" s="1"/>
      <c r="I7" s="13" t="s">
        <v>21</v>
      </c>
      <c r="J7" s="24">
        <v>85</v>
      </c>
      <c r="K7" s="22">
        <v>41</v>
      </c>
      <c r="L7" s="15">
        <f>J7/K7</f>
        <v>2.0731707317073171</v>
      </c>
      <c r="M7" s="25"/>
      <c r="O7" s="152">
        <v>1</v>
      </c>
      <c r="P7" s="15">
        <v>38</v>
      </c>
      <c r="Q7" s="15">
        <v>5250</v>
      </c>
      <c r="R7" s="141"/>
      <c r="T7" s="44" t="s">
        <v>37</v>
      </c>
      <c r="U7" s="15">
        <v>123.37</v>
      </c>
      <c r="V7" s="15">
        <v>126.61</v>
      </c>
      <c r="W7" s="15">
        <v>126.61</v>
      </c>
      <c r="X7" s="32" t="s">
        <v>35</v>
      </c>
      <c r="Y7" s="84"/>
      <c r="AA7" s="41">
        <v>5300</v>
      </c>
      <c r="AB7" s="16">
        <v>31</v>
      </c>
      <c r="AC7" s="65">
        <f t="shared" si="0"/>
        <v>23.116700000000002</v>
      </c>
      <c r="AD7" s="16">
        <f t="shared" si="1"/>
        <v>23116.7</v>
      </c>
      <c r="AE7" s="21">
        <f t="shared" si="2"/>
        <v>30.719245283018868</v>
      </c>
      <c r="AG7" s="15">
        <f t="shared" ref="AG7:AG70" si="5">(((AA7/$M$8)*($C$14))/(60))</f>
        <v>10.643594587905287</v>
      </c>
      <c r="AH7" s="64">
        <f t="shared" ref="AH7:AH70" si="6">(((AA7/$M$9)*($C$14))/(60))</f>
        <v>13.747976342710997</v>
      </c>
      <c r="AI7" s="15">
        <f t="shared" ref="AI7:AI70" si="7">(((AA7/$M$10)*($C$14))/(60))</f>
        <v>16.497571611253196</v>
      </c>
      <c r="AJ7" s="64">
        <f t="shared" ref="AJ7:AJ70" si="8">(((AA7/$M$11)*($C$14))/(60))</f>
        <v>19.035659551445995</v>
      </c>
      <c r="AK7" s="15">
        <f t="shared" ref="AK7:AK70" si="9">(((AA7/$M$12)*($C$14))/(60))</f>
        <v>21.385740977550437</v>
      </c>
      <c r="AL7" s="15">
        <f t="shared" ref="AL7:AL70" si="10">(((AA7/$M$13)*($C$14))/(60))</f>
        <v>23.90952407428</v>
      </c>
      <c r="AN7" s="16">
        <f t="shared" ref="AN7:AN70" si="11">AG7*2.237</f>
        <v>23.80972109314413</v>
      </c>
      <c r="AO7" s="16">
        <f t="shared" ref="AO7:AO70" si="12">AH7*2.237</f>
        <v>30.7542230786445</v>
      </c>
      <c r="AP7" s="16">
        <f t="shared" ref="AP7:AP70" si="13">AI7*2.237</f>
        <v>36.9050676943734</v>
      </c>
      <c r="AQ7" s="16">
        <f t="shared" ref="AQ7:AQ70" si="14">AJ7*2.237</f>
        <v>42.582770416584694</v>
      </c>
      <c r="AR7" s="16">
        <f t="shared" ref="AR7:AR70" si="15">AK7*2.237</f>
        <v>47.839902566780331</v>
      </c>
      <c r="AS7" s="16">
        <f t="shared" ref="AS7:AS70" si="16">AL7*2.237</f>
        <v>53.485605354164363</v>
      </c>
      <c r="AU7" s="16">
        <f t="shared" ref="AU7:AU70" si="17">AG7*3.6</f>
        <v>38.316940516459034</v>
      </c>
      <c r="AV7" s="16">
        <f t="shared" ref="AV7:AV70" si="18">AH7*3.6</f>
        <v>49.492714833759592</v>
      </c>
      <c r="AW7" s="16">
        <f t="shared" ref="AW7:AW70" si="19">AI7*3.6</f>
        <v>59.391257800511511</v>
      </c>
      <c r="AX7" s="16">
        <f t="shared" ref="AX7:AX70" si="20">AJ7*3.6</f>
        <v>68.528374385205581</v>
      </c>
      <c r="AY7" s="16">
        <f t="shared" ref="AY7:AY70" si="21">AK7*3.6</f>
        <v>76.988667519181575</v>
      </c>
      <c r="AZ7" s="16">
        <f t="shared" ref="AZ7:AZ70" si="22">AL7*3.6</f>
        <v>86.074286667408003</v>
      </c>
    </row>
    <row r="8" spans="2:52" ht="15.75" thickBot="1" x14ac:dyDescent="0.3">
      <c r="B8" s="107" t="s">
        <v>6</v>
      </c>
      <c r="C8" s="16">
        <v>0.31496000000000002</v>
      </c>
      <c r="D8" s="23" t="s">
        <v>27</v>
      </c>
      <c r="F8" s="10" t="s">
        <v>171</v>
      </c>
      <c r="G8" s="16">
        <v>61</v>
      </c>
      <c r="H8" s="1"/>
      <c r="I8" s="13">
        <v>1</v>
      </c>
      <c r="J8" s="21">
        <v>31</v>
      </c>
      <c r="K8" s="22">
        <v>12</v>
      </c>
      <c r="L8" s="22">
        <f t="shared" ref="L8:L13" si="23">J8/K8</f>
        <v>2.5833333333333335</v>
      </c>
      <c r="M8" s="15">
        <f>$L$7*L8*$L$14</f>
        <v>16.424119241192415</v>
      </c>
      <c r="O8" s="153"/>
      <c r="P8" s="18">
        <v>100</v>
      </c>
      <c r="Q8" s="18">
        <v>13750</v>
      </c>
      <c r="R8" s="142"/>
      <c r="T8" s="41" t="s">
        <v>36</v>
      </c>
      <c r="U8" s="16">
        <v>142.83000000000001</v>
      </c>
      <c r="V8" s="16">
        <v>139.59</v>
      </c>
      <c r="W8" s="16">
        <v>139.59</v>
      </c>
      <c r="X8" s="23" t="s">
        <v>35</v>
      </c>
      <c r="Y8" s="25"/>
      <c r="AA8" s="41">
        <v>5400</v>
      </c>
      <c r="AB8" s="16">
        <v>32</v>
      </c>
      <c r="AC8" s="65">
        <f t="shared" si="0"/>
        <v>23.862400000000001</v>
      </c>
      <c r="AD8" s="16">
        <f t="shared" si="1"/>
        <v>23862.400000000001</v>
      </c>
      <c r="AE8" s="21">
        <f t="shared" si="2"/>
        <v>31.122962962962962</v>
      </c>
      <c r="AG8" s="15">
        <f t="shared" si="5"/>
        <v>10.844417127299726</v>
      </c>
      <c r="AH8" s="64">
        <f t="shared" si="6"/>
        <v>14.007372122762147</v>
      </c>
      <c r="AI8" s="15">
        <f t="shared" si="7"/>
        <v>16.808846547314577</v>
      </c>
      <c r="AJ8" s="64">
        <f t="shared" si="8"/>
        <v>19.394822939209128</v>
      </c>
      <c r="AK8" s="15">
        <f t="shared" si="9"/>
        <v>21.789245524296675</v>
      </c>
      <c r="AL8" s="15">
        <f t="shared" si="10"/>
        <v>24.360647170021132</v>
      </c>
      <c r="AN8" s="16">
        <f t="shared" si="11"/>
        <v>24.258961113769487</v>
      </c>
      <c r="AO8" s="16">
        <f t="shared" si="12"/>
        <v>31.334491438618926</v>
      </c>
      <c r="AP8" s="16">
        <f t="shared" si="13"/>
        <v>37.60138972634271</v>
      </c>
      <c r="AQ8" s="16">
        <f t="shared" si="14"/>
        <v>43.386218915010822</v>
      </c>
      <c r="AR8" s="16">
        <f t="shared" si="15"/>
        <v>48.742542237851666</v>
      </c>
      <c r="AS8" s="16">
        <f t="shared" si="16"/>
        <v>54.494767719337275</v>
      </c>
      <c r="AU8" s="16">
        <f t="shared" si="17"/>
        <v>39.039901658279014</v>
      </c>
      <c r="AV8" s="16">
        <f t="shared" si="18"/>
        <v>50.426539641943734</v>
      </c>
      <c r="AW8" s="16">
        <f t="shared" si="19"/>
        <v>60.511847570332478</v>
      </c>
      <c r="AX8" s="16">
        <f t="shared" si="20"/>
        <v>69.821362581152869</v>
      </c>
      <c r="AY8" s="16">
        <f t="shared" si="21"/>
        <v>78.441283887468032</v>
      </c>
      <c r="AZ8" s="16">
        <f t="shared" si="22"/>
        <v>87.698329812076082</v>
      </c>
    </row>
    <row r="9" spans="2:52" ht="15.75" thickBot="1" x14ac:dyDescent="0.3">
      <c r="B9" s="107" t="s">
        <v>7</v>
      </c>
      <c r="C9" s="16">
        <v>0.29984699999999997</v>
      </c>
      <c r="D9" s="23" t="s">
        <v>27</v>
      </c>
      <c r="F9" s="10" t="s">
        <v>172</v>
      </c>
      <c r="G9" s="16">
        <v>10750</v>
      </c>
      <c r="H9" s="1"/>
      <c r="I9" s="10">
        <v>2</v>
      </c>
      <c r="J9" s="23">
        <v>32</v>
      </c>
      <c r="K9" s="16">
        <v>16</v>
      </c>
      <c r="L9" s="22">
        <f t="shared" si="23"/>
        <v>2</v>
      </c>
      <c r="M9" s="22">
        <f t="shared" ref="M9:M13" si="24">$L$7*L9*$L$14</f>
        <v>12.715447154471546</v>
      </c>
      <c r="O9" s="152">
        <v>2</v>
      </c>
      <c r="P9" s="15">
        <v>100</v>
      </c>
      <c r="Q9" s="15">
        <v>10750</v>
      </c>
      <c r="R9" s="141">
        <f>Q8-Q9</f>
        <v>3000</v>
      </c>
      <c r="T9" s="79" t="s">
        <v>38</v>
      </c>
      <c r="U9" s="80">
        <v>266.2</v>
      </c>
      <c r="V9" s="80">
        <v>266.2</v>
      </c>
      <c r="W9" s="80">
        <v>266.2</v>
      </c>
      <c r="X9" s="81" t="s">
        <v>35</v>
      </c>
      <c r="Y9" s="25"/>
      <c r="AA9" s="41">
        <v>5500</v>
      </c>
      <c r="AB9" s="16">
        <v>33</v>
      </c>
      <c r="AC9" s="65">
        <f t="shared" si="0"/>
        <v>24.6081</v>
      </c>
      <c r="AD9" s="16">
        <f t="shared" si="1"/>
        <v>24608.1</v>
      </c>
      <c r="AE9" s="21">
        <f t="shared" si="2"/>
        <v>31.512</v>
      </c>
      <c r="AG9" s="15">
        <f t="shared" si="5"/>
        <v>11.045239666694165</v>
      </c>
      <c r="AH9" s="64">
        <f t="shared" si="6"/>
        <v>14.266767902813298</v>
      </c>
      <c r="AI9" s="15">
        <f t="shared" si="7"/>
        <v>17.120121483375957</v>
      </c>
      <c r="AJ9" s="64">
        <f t="shared" si="8"/>
        <v>19.75398632697226</v>
      </c>
      <c r="AK9" s="15">
        <f t="shared" si="9"/>
        <v>22.192750071042905</v>
      </c>
      <c r="AL9" s="15">
        <f t="shared" si="10"/>
        <v>24.811770265762267</v>
      </c>
      <c r="AN9" s="16">
        <f t="shared" si="11"/>
        <v>24.708201134394848</v>
      </c>
      <c r="AO9" s="16">
        <f t="shared" si="12"/>
        <v>31.914759798593348</v>
      </c>
      <c r="AP9" s="16">
        <f t="shared" si="13"/>
        <v>38.297711758312019</v>
      </c>
      <c r="AQ9" s="16">
        <f t="shared" si="14"/>
        <v>44.18966741343695</v>
      </c>
      <c r="AR9" s="16">
        <f t="shared" si="15"/>
        <v>49.645181908922979</v>
      </c>
      <c r="AS9" s="16">
        <f t="shared" si="16"/>
        <v>55.503930084510195</v>
      </c>
      <c r="AU9" s="16">
        <f t="shared" si="17"/>
        <v>39.762862800098993</v>
      </c>
      <c r="AV9" s="16">
        <f t="shared" si="18"/>
        <v>51.360364450127875</v>
      </c>
      <c r="AW9" s="16">
        <f t="shared" si="19"/>
        <v>61.632437340153444</v>
      </c>
      <c r="AX9" s="16">
        <f t="shared" si="20"/>
        <v>71.114350777100142</v>
      </c>
      <c r="AY9" s="16">
        <f t="shared" si="21"/>
        <v>79.89390025575446</v>
      </c>
      <c r="AZ9" s="16">
        <f t="shared" si="22"/>
        <v>89.322372956744161</v>
      </c>
    </row>
    <row r="10" spans="2:52" ht="15.75" thickBot="1" x14ac:dyDescent="0.3">
      <c r="B10" s="124" t="s">
        <v>205</v>
      </c>
      <c r="C10" s="16">
        <f>(C8+C9)/2</f>
        <v>0.3074035</v>
      </c>
      <c r="D10" s="16"/>
      <c r="F10" s="11" t="s">
        <v>29</v>
      </c>
      <c r="G10" s="18">
        <v>15750</v>
      </c>
      <c r="I10" s="10">
        <v>3</v>
      </c>
      <c r="J10" s="23">
        <v>30</v>
      </c>
      <c r="K10" s="16">
        <v>18</v>
      </c>
      <c r="L10" s="22">
        <f t="shared" si="23"/>
        <v>1.6666666666666667</v>
      </c>
      <c r="M10" s="22">
        <f t="shared" si="24"/>
        <v>10.596205962059623</v>
      </c>
      <c r="O10" s="153"/>
      <c r="P10" s="18">
        <v>129</v>
      </c>
      <c r="Q10" s="18">
        <v>13750</v>
      </c>
      <c r="R10" s="142"/>
      <c r="T10" s="44" t="s">
        <v>168</v>
      </c>
      <c r="U10" s="15">
        <v>135.93</v>
      </c>
      <c r="V10" s="29">
        <v>138.18</v>
      </c>
      <c r="W10" s="15">
        <v>138.18</v>
      </c>
      <c r="X10" s="15" t="s">
        <v>35</v>
      </c>
      <c r="Y10" s="25"/>
      <c r="AA10" s="41">
        <v>5600</v>
      </c>
      <c r="AB10" s="16">
        <v>34</v>
      </c>
      <c r="AC10" s="65">
        <f t="shared" si="0"/>
        <v>25.3538</v>
      </c>
      <c r="AD10" s="16">
        <f t="shared" si="1"/>
        <v>25353.8</v>
      </c>
      <c r="AE10" s="21">
        <f t="shared" si="2"/>
        <v>31.887142857142859</v>
      </c>
      <c r="AG10" s="15">
        <f t="shared" si="5"/>
        <v>11.246062206088606</v>
      </c>
      <c r="AH10" s="64">
        <f t="shared" si="6"/>
        <v>14.52616368286445</v>
      </c>
      <c r="AI10" s="15">
        <f t="shared" si="7"/>
        <v>17.431396419437341</v>
      </c>
      <c r="AJ10" s="64">
        <f t="shared" si="8"/>
        <v>20.113149714735393</v>
      </c>
      <c r="AK10" s="15">
        <f t="shared" si="9"/>
        <v>22.596254617789143</v>
      </c>
      <c r="AL10" s="15">
        <f t="shared" si="10"/>
        <v>25.262893361503398</v>
      </c>
      <c r="AN10" s="16">
        <f t="shared" si="11"/>
        <v>25.157441155020212</v>
      </c>
      <c r="AO10" s="16">
        <f t="shared" si="12"/>
        <v>32.495028158567777</v>
      </c>
      <c r="AP10" s="16">
        <f t="shared" si="13"/>
        <v>38.994033790281335</v>
      </c>
      <c r="AQ10" s="16">
        <f t="shared" si="14"/>
        <v>44.993115911863072</v>
      </c>
      <c r="AR10" s="16">
        <f t="shared" si="15"/>
        <v>50.547821579994313</v>
      </c>
      <c r="AS10" s="16">
        <f t="shared" si="16"/>
        <v>56.513092449683107</v>
      </c>
      <c r="AU10" s="16">
        <f t="shared" si="17"/>
        <v>40.48582394191898</v>
      </c>
      <c r="AV10" s="16">
        <f t="shared" si="18"/>
        <v>52.294189258312024</v>
      </c>
      <c r="AW10" s="16">
        <f t="shared" si="19"/>
        <v>62.753027109974433</v>
      </c>
      <c r="AX10" s="16">
        <f t="shared" si="20"/>
        <v>72.407338973047416</v>
      </c>
      <c r="AY10" s="16">
        <f t="shared" si="21"/>
        <v>81.346516624040916</v>
      </c>
      <c r="AZ10" s="16">
        <f t="shared" si="22"/>
        <v>90.94641610141224</v>
      </c>
    </row>
    <row r="11" spans="2:52" ht="15.75" thickBot="1" x14ac:dyDescent="0.3">
      <c r="B11" s="125" t="s">
        <v>232</v>
      </c>
      <c r="C11" s="16">
        <v>0.12</v>
      </c>
      <c r="D11" s="16" t="s">
        <v>27</v>
      </c>
      <c r="F11" s="3"/>
      <c r="G11" s="3"/>
      <c r="I11" s="10">
        <v>4</v>
      </c>
      <c r="J11" s="23">
        <v>26</v>
      </c>
      <c r="K11" s="16">
        <v>18</v>
      </c>
      <c r="L11" s="22">
        <f t="shared" si="23"/>
        <v>1.4444444444444444</v>
      </c>
      <c r="M11" s="22">
        <f t="shared" si="24"/>
        <v>9.1833785004516724</v>
      </c>
      <c r="O11" s="152">
        <v>3</v>
      </c>
      <c r="P11" s="15">
        <v>129</v>
      </c>
      <c r="Q11" s="15">
        <v>11500</v>
      </c>
      <c r="R11" s="141">
        <f>Q10-Q11</f>
        <v>2250</v>
      </c>
      <c r="T11" s="41" t="s">
        <v>39</v>
      </c>
      <c r="U11" s="16">
        <v>134.16999999999999</v>
      </c>
      <c r="V11" s="30">
        <v>131.91999999999999</v>
      </c>
      <c r="W11" s="16">
        <v>131.91999999999999</v>
      </c>
      <c r="X11" s="16" t="s">
        <v>35</v>
      </c>
      <c r="Y11" s="25"/>
      <c r="AA11" s="41">
        <v>5700</v>
      </c>
      <c r="AB11" s="16">
        <v>35</v>
      </c>
      <c r="AC11" s="65">
        <f t="shared" si="0"/>
        <v>26.099500000000003</v>
      </c>
      <c r="AD11" s="16">
        <f t="shared" si="1"/>
        <v>26099.500000000004</v>
      </c>
      <c r="AE11" s="21">
        <f t="shared" si="2"/>
        <v>32.249122807017542</v>
      </c>
      <c r="AG11" s="15">
        <f t="shared" si="5"/>
        <v>11.446884745483043</v>
      </c>
      <c r="AH11" s="64">
        <f t="shared" si="6"/>
        <v>14.785559462915602</v>
      </c>
      <c r="AI11" s="15">
        <f t="shared" si="7"/>
        <v>17.742671355498718</v>
      </c>
      <c r="AJ11" s="64">
        <f t="shared" si="8"/>
        <v>20.472313102498521</v>
      </c>
      <c r="AK11" s="15">
        <f t="shared" si="9"/>
        <v>22.999759164535376</v>
      </c>
      <c r="AL11" s="15">
        <f t="shared" si="10"/>
        <v>25.714016457244529</v>
      </c>
      <c r="AN11" s="16">
        <f t="shared" si="11"/>
        <v>25.606681175645569</v>
      </c>
      <c r="AO11" s="16">
        <f t="shared" si="12"/>
        <v>33.075296518542203</v>
      </c>
      <c r="AP11" s="16">
        <f t="shared" si="13"/>
        <v>39.690355822250638</v>
      </c>
      <c r="AQ11" s="16">
        <f t="shared" si="14"/>
        <v>45.796564410289193</v>
      </c>
      <c r="AR11" s="16">
        <f t="shared" si="15"/>
        <v>51.45046125106564</v>
      </c>
      <c r="AS11" s="16">
        <f t="shared" si="16"/>
        <v>57.522254814856012</v>
      </c>
      <c r="AU11" s="16">
        <f t="shared" si="17"/>
        <v>41.20878508373896</v>
      </c>
      <c r="AV11" s="16">
        <f t="shared" si="18"/>
        <v>53.228014066496165</v>
      </c>
      <c r="AW11" s="16">
        <f t="shared" si="19"/>
        <v>63.873616879795385</v>
      </c>
      <c r="AX11" s="16">
        <f t="shared" si="20"/>
        <v>73.700327168994676</v>
      </c>
      <c r="AY11" s="16">
        <f t="shared" si="21"/>
        <v>82.799132992327358</v>
      </c>
      <c r="AZ11" s="16">
        <f t="shared" si="22"/>
        <v>92.570459246080304</v>
      </c>
    </row>
    <row r="12" spans="2:52" ht="15.75" thickBot="1" x14ac:dyDescent="0.3">
      <c r="B12" s="125" t="s">
        <v>233</v>
      </c>
      <c r="C12" s="16">
        <v>0.18</v>
      </c>
      <c r="D12" s="16" t="s">
        <v>27</v>
      </c>
      <c r="F12" s="1"/>
      <c r="G12" s="1"/>
      <c r="I12" s="10">
        <v>5</v>
      </c>
      <c r="J12" s="23">
        <v>27</v>
      </c>
      <c r="K12" s="16">
        <v>21</v>
      </c>
      <c r="L12" s="22">
        <f t="shared" si="23"/>
        <v>1.2857142857142858</v>
      </c>
      <c r="M12" s="22">
        <f t="shared" si="24"/>
        <v>8.1742160278745661</v>
      </c>
      <c r="O12" s="153"/>
      <c r="P12" s="18">
        <v>154</v>
      </c>
      <c r="Q12" s="18">
        <v>13750</v>
      </c>
      <c r="R12" s="142"/>
      <c r="T12" s="79" t="s">
        <v>169</v>
      </c>
      <c r="U12" s="80">
        <v>270.10000000000002</v>
      </c>
      <c r="V12" s="80">
        <v>270.10000000000002</v>
      </c>
      <c r="W12" s="80">
        <v>270.10000000000002</v>
      </c>
      <c r="X12" s="80" t="s">
        <v>35</v>
      </c>
      <c r="Y12" s="85"/>
      <c r="AA12" s="41">
        <v>5800</v>
      </c>
      <c r="AB12" s="16">
        <v>36</v>
      </c>
      <c r="AC12" s="65">
        <f t="shared" si="0"/>
        <v>26.845200000000002</v>
      </c>
      <c r="AD12" s="16">
        <f t="shared" si="1"/>
        <v>26845.200000000001</v>
      </c>
      <c r="AE12" s="21">
        <f t="shared" si="2"/>
        <v>32.598620689655171</v>
      </c>
      <c r="AG12" s="15">
        <f t="shared" si="5"/>
        <v>11.647707284877486</v>
      </c>
      <c r="AH12" s="64">
        <f t="shared" si="6"/>
        <v>15.044955242966751</v>
      </c>
      <c r="AI12" s="15">
        <f t="shared" si="7"/>
        <v>18.053946291560102</v>
      </c>
      <c r="AJ12" s="64">
        <f t="shared" si="8"/>
        <v>20.831476490261657</v>
      </c>
      <c r="AK12" s="15">
        <f t="shared" si="9"/>
        <v>23.403263711281614</v>
      </c>
      <c r="AL12" s="15">
        <f t="shared" si="10"/>
        <v>26.165139552985657</v>
      </c>
      <c r="AN12" s="16">
        <f t="shared" si="11"/>
        <v>26.055921196270937</v>
      </c>
      <c r="AO12" s="16">
        <f t="shared" si="12"/>
        <v>33.655564878516621</v>
      </c>
      <c r="AP12" s="16">
        <f t="shared" si="13"/>
        <v>40.386677854219947</v>
      </c>
      <c r="AQ12" s="16">
        <f t="shared" si="14"/>
        <v>46.600012908715328</v>
      </c>
      <c r="AR12" s="16">
        <f t="shared" si="15"/>
        <v>52.353100922136974</v>
      </c>
      <c r="AS12" s="16">
        <f t="shared" si="16"/>
        <v>58.531417180028917</v>
      </c>
      <c r="AU12" s="16">
        <f t="shared" si="17"/>
        <v>41.931746225558946</v>
      </c>
      <c r="AV12" s="16">
        <f t="shared" si="18"/>
        <v>54.161838874680306</v>
      </c>
      <c r="AW12" s="16">
        <f t="shared" si="19"/>
        <v>64.994206649616373</v>
      </c>
      <c r="AX12" s="16">
        <f t="shared" si="20"/>
        <v>74.993315364941964</v>
      </c>
      <c r="AY12" s="16">
        <f t="shared" si="21"/>
        <v>84.251749360613815</v>
      </c>
      <c r="AZ12" s="16">
        <f t="shared" si="22"/>
        <v>94.194502390748369</v>
      </c>
    </row>
    <row r="13" spans="2:52" ht="15.75" thickBot="1" x14ac:dyDescent="0.3">
      <c r="B13" s="125" t="s">
        <v>234</v>
      </c>
      <c r="C13" s="16">
        <f>AVERAGE(C11:C12)</f>
        <v>0.15</v>
      </c>
      <c r="D13" s="16" t="s">
        <v>27</v>
      </c>
      <c r="F13" s="1"/>
      <c r="G13" s="1"/>
      <c r="I13" s="10">
        <v>6</v>
      </c>
      <c r="J13" s="23">
        <v>23</v>
      </c>
      <c r="K13" s="16">
        <v>20</v>
      </c>
      <c r="L13" s="22">
        <f t="shared" si="23"/>
        <v>1.1499999999999999</v>
      </c>
      <c r="M13" s="20">
        <f t="shared" si="24"/>
        <v>7.3113821138211375</v>
      </c>
      <c r="O13" s="152">
        <v>4</v>
      </c>
      <c r="P13" s="15">
        <v>154</v>
      </c>
      <c r="Q13" s="15">
        <v>11900</v>
      </c>
      <c r="R13" s="141">
        <f t="shared" ref="R13" si="25">Q12-Q13</f>
        <v>1850</v>
      </c>
      <c r="T13" s="44" t="s">
        <v>170</v>
      </c>
      <c r="U13" s="143">
        <v>3.9</v>
      </c>
      <c r="V13" s="144"/>
      <c r="W13" s="145"/>
      <c r="X13" s="15" t="s">
        <v>35</v>
      </c>
      <c r="Y13" s="25"/>
      <c r="AA13" s="41">
        <v>5900</v>
      </c>
      <c r="AB13" s="16">
        <v>37</v>
      </c>
      <c r="AC13" s="65">
        <f t="shared" si="0"/>
        <v>27.590900000000001</v>
      </c>
      <c r="AD13" s="16">
        <f t="shared" si="1"/>
        <v>27590.9</v>
      </c>
      <c r="AE13" s="21">
        <f t="shared" si="2"/>
        <v>32.936271186440678</v>
      </c>
      <c r="AG13" s="15">
        <f t="shared" si="5"/>
        <v>11.848529824271923</v>
      </c>
      <c r="AH13" s="64">
        <f t="shared" si="6"/>
        <v>15.304351023017903</v>
      </c>
      <c r="AI13" s="15">
        <f t="shared" si="7"/>
        <v>18.365221227621479</v>
      </c>
      <c r="AJ13" s="64">
        <f t="shared" si="8"/>
        <v>21.190639878024786</v>
      </c>
      <c r="AK13" s="15">
        <f t="shared" si="9"/>
        <v>23.806768258027844</v>
      </c>
      <c r="AL13" s="15">
        <f t="shared" si="10"/>
        <v>26.616262648726792</v>
      </c>
      <c r="AN13" s="16">
        <f t="shared" si="11"/>
        <v>26.505161216896294</v>
      </c>
      <c r="AO13" s="16">
        <f t="shared" si="12"/>
        <v>34.235833238491047</v>
      </c>
      <c r="AP13" s="16">
        <f t="shared" si="13"/>
        <v>41.082999886189249</v>
      </c>
      <c r="AQ13" s="16">
        <f t="shared" si="14"/>
        <v>47.40346140714145</v>
      </c>
      <c r="AR13" s="16">
        <f t="shared" si="15"/>
        <v>53.255740593208287</v>
      </c>
      <c r="AS13" s="16">
        <f t="shared" si="16"/>
        <v>59.540579545201837</v>
      </c>
      <c r="AU13" s="16">
        <f t="shared" si="17"/>
        <v>42.654707367378926</v>
      </c>
      <c r="AV13" s="16">
        <f t="shared" si="18"/>
        <v>55.095663682864448</v>
      </c>
      <c r="AW13" s="16">
        <f t="shared" si="19"/>
        <v>66.114796419437326</v>
      </c>
      <c r="AX13" s="16">
        <f t="shared" si="20"/>
        <v>76.286303560889237</v>
      </c>
      <c r="AY13" s="16">
        <f t="shared" si="21"/>
        <v>85.704365728900243</v>
      </c>
      <c r="AZ13" s="16">
        <f t="shared" si="22"/>
        <v>95.818545535416447</v>
      </c>
    </row>
    <row r="14" spans="2:52" ht="15.75" thickBot="1" x14ac:dyDescent="0.3">
      <c r="B14" s="107" t="s">
        <v>8</v>
      </c>
      <c r="C14" s="16">
        <v>1.9790000000000001</v>
      </c>
      <c r="D14" s="23" t="s">
        <v>27</v>
      </c>
      <c r="F14" s="1"/>
      <c r="G14" s="1"/>
      <c r="I14" s="11" t="s">
        <v>22</v>
      </c>
      <c r="J14" s="19">
        <v>15</v>
      </c>
      <c r="K14" s="18">
        <v>46</v>
      </c>
      <c r="L14" s="20">
        <f>K14/J14</f>
        <v>3.0666666666666669</v>
      </c>
      <c r="M14" s="25"/>
      <c r="O14" s="153"/>
      <c r="P14" s="18">
        <v>178</v>
      </c>
      <c r="Q14" s="18">
        <v>13750</v>
      </c>
      <c r="R14" s="142"/>
      <c r="T14" s="41" t="s">
        <v>40</v>
      </c>
      <c r="U14" s="146">
        <v>12.769</v>
      </c>
      <c r="V14" s="147"/>
      <c r="W14" s="148"/>
      <c r="X14" s="38" t="s">
        <v>46</v>
      </c>
      <c r="Y14" s="25"/>
      <c r="AA14" s="41">
        <v>6000</v>
      </c>
      <c r="AB14" s="16">
        <v>38</v>
      </c>
      <c r="AC14" s="65">
        <f t="shared" si="0"/>
        <v>28.336600000000001</v>
      </c>
      <c r="AD14" s="16">
        <f t="shared" si="1"/>
        <v>28336.600000000002</v>
      </c>
      <c r="AE14" s="21">
        <f t="shared" si="2"/>
        <v>33.262666666666668</v>
      </c>
      <c r="AG14" s="15">
        <f t="shared" si="5"/>
        <v>12.049352363666364</v>
      </c>
      <c r="AH14" s="64">
        <f t="shared" si="6"/>
        <v>15.563746803069051</v>
      </c>
      <c r="AI14" s="15">
        <f t="shared" si="7"/>
        <v>18.676496163682863</v>
      </c>
      <c r="AJ14" s="64">
        <f t="shared" si="8"/>
        <v>21.549803265787922</v>
      </c>
      <c r="AK14" s="15">
        <f t="shared" si="9"/>
        <v>24.210272804774082</v>
      </c>
      <c r="AL14" s="15">
        <f t="shared" si="10"/>
        <v>27.067385744467924</v>
      </c>
      <c r="AN14" s="16">
        <f t="shared" si="11"/>
        <v>26.954401237521658</v>
      </c>
      <c r="AO14" s="16">
        <f t="shared" si="12"/>
        <v>34.816101598465472</v>
      </c>
      <c r="AP14" s="16">
        <f t="shared" si="13"/>
        <v>41.779321918158566</v>
      </c>
      <c r="AQ14" s="16">
        <f t="shared" si="14"/>
        <v>48.206909905567585</v>
      </c>
      <c r="AR14" s="16">
        <f t="shared" si="15"/>
        <v>54.158380264279621</v>
      </c>
      <c r="AS14" s="16">
        <f t="shared" si="16"/>
        <v>60.549741910374749</v>
      </c>
      <c r="AU14" s="16">
        <f t="shared" si="17"/>
        <v>43.377668509198912</v>
      </c>
      <c r="AV14" s="16">
        <f t="shared" si="18"/>
        <v>56.029488491048589</v>
      </c>
      <c r="AW14" s="16">
        <f t="shared" si="19"/>
        <v>67.235386189258307</v>
      </c>
      <c r="AX14" s="16">
        <f t="shared" si="20"/>
        <v>77.579291756836525</v>
      </c>
      <c r="AY14" s="16">
        <f t="shared" si="21"/>
        <v>87.156982097186699</v>
      </c>
      <c r="AZ14" s="16">
        <f t="shared" si="22"/>
        <v>97.442588680084526</v>
      </c>
    </row>
    <row r="15" spans="2:52" ht="15.75" thickBot="1" x14ac:dyDescent="0.3">
      <c r="B15" s="108" t="s">
        <v>9</v>
      </c>
      <c r="C15" s="16">
        <v>1.2250000000000001</v>
      </c>
      <c r="D15" s="23" t="s">
        <v>28</v>
      </c>
      <c r="F15" s="1"/>
      <c r="G15" s="1"/>
      <c r="O15" s="152">
        <v>5</v>
      </c>
      <c r="P15" s="15">
        <v>178</v>
      </c>
      <c r="Q15" s="15">
        <v>12250</v>
      </c>
      <c r="R15" s="141">
        <f t="shared" ref="R15" si="26">Q14-Q15</f>
        <v>1500</v>
      </c>
      <c r="T15" s="79" t="s">
        <v>41</v>
      </c>
      <c r="U15" s="149">
        <v>0.30499999999999999</v>
      </c>
      <c r="V15" s="150"/>
      <c r="W15" s="151"/>
      <c r="X15" s="80" t="s">
        <v>27</v>
      </c>
      <c r="Y15" s="25"/>
      <c r="AA15" s="41">
        <v>6100</v>
      </c>
      <c r="AB15" s="16">
        <v>38.5</v>
      </c>
      <c r="AC15" s="65">
        <f t="shared" si="0"/>
        <v>28.70945</v>
      </c>
      <c r="AD15" s="16">
        <f t="shared" si="1"/>
        <v>28709.45</v>
      </c>
      <c r="AE15" s="21">
        <f t="shared" si="2"/>
        <v>33.14786885245902</v>
      </c>
      <c r="AG15" s="15">
        <f t="shared" si="5"/>
        <v>12.250174903060802</v>
      </c>
      <c r="AH15" s="64">
        <f t="shared" si="6"/>
        <v>15.823142583120205</v>
      </c>
      <c r="AI15" s="15">
        <f t="shared" si="7"/>
        <v>18.987771099744243</v>
      </c>
      <c r="AJ15" s="64">
        <f t="shared" si="8"/>
        <v>21.908966653551047</v>
      </c>
      <c r="AK15" s="15">
        <f t="shared" si="9"/>
        <v>24.613777351520316</v>
      </c>
      <c r="AL15" s="15">
        <f t="shared" si="10"/>
        <v>27.518508840209055</v>
      </c>
      <c r="AN15" s="16">
        <f t="shared" si="11"/>
        <v>27.403641258147015</v>
      </c>
      <c r="AO15" s="16">
        <f t="shared" si="12"/>
        <v>35.396369958439898</v>
      </c>
      <c r="AP15" s="16">
        <f t="shared" si="13"/>
        <v>42.475643950127875</v>
      </c>
      <c r="AQ15" s="16">
        <f t="shared" si="14"/>
        <v>49.010358403993692</v>
      </c>
      <c r="AR15" s="16">
        <f t="shared" si="15"/>
        <v>55.061019935350949</v>
      </c>
      <c r="AS15" s="16">
        <f t="shared" si="16"/>
        <v>61.558904275547661</v>
      </c>
      <c r="AU15" s="16">
        <f t="shared" si="17"/>
        <v>44.100629651018892</v>
      </c>
      <c r="AV15" s="16">
        <f t="shared" si="18"/>
        <v>56.963313299232738</v>
      </c>
      <c r="AW15" s="16">
        <f t="shared" si="19"/>
        <v>68.355975959079274</v>
      </c>
      <c r="AX15" s="16">
        <f t="shared" si="20"/>
        <v>78.872279952783771</v>
      </c>
      <c r="AY15" s="16">
        <f t="shared" si="21"/>
        <v>88.609598465473141</v>
      </c>
      <c r="AZ15" s="16">
        <f t="shared" si="22"/>
        <v>99.066631824752605</v>
      </c>
    </row>
    <row r="16" spans="2:52" ht="15.75" thickBot="1" x14ac:dyDescent="0.3">
      <c r="B16" s="108" t="s">
        <v>10</v>
      </c>
      <c r="C16" s="16">
        <f>0.5*C15*C20*((U20+V20+W20)/3)*((P18/3.6)^2)</f>
        <v>383.52146874999994</v>
      </c>
      <c r="D16" s="23" t="s">
        <v>153</v>
      </c>
      <c r="F16" s="1"/>
      <c r="G16" s="1"/>
      <c r="O16" s="153"/>
      <c r="P16" s="18">
        <v>200</v>
      </c>
      <c r="Q16" s="18">
        <v>13750</v>
      </c>
      <c r="R16" s="142"/>
      <c r="T16" s="35" t="s">
        <v>42</v>
      </c>
      <c r="U16" s="122">
        <f>(U8*$C$7)/U9</f>
        <v>0.74044102178812932</v>
      </c>
      <c r="V16" s="120">
        <f>(V8*$C$7)/V9</f>
        <v>0.72364462809917351</v>
      </c>
      <c r="W16" s="120">
        <f>(W8*$C$7)/W9</f>
        <v>0.72364462809917351</v>
      </c>
      <c r="X16" s="15" t="s">
        <v>27</v>
      </c>
      <c r="Y16" s="25"/>
      <c r="AA16" s="41">
        <v>6200</v>
      </c>
      <c r="AB16" s="16">
        <v>39</v>
      </c>
      <c r="AC16" s="65">
        <f t="shared" si="0"/>
        <v>29.0823</v>
      </c>
      <c r="AD16" s="16">
        <f t="shared" si="1"/>
        <v>29082.3</v>
      </c>
      <c r="AE16" s="21">
        <f t="shared" si="2"/>
        <v>33.036774193548389</v>
      </c>
      <c r="AG16" s="15">
        <f t="shared" si="5"/>
        <v>12.450997442455241</v>
      </c>
      <c r="AH16" s="64">
        <f t="shared" si="6"/>
        <v>16.082538363171356</v>
      </c>
      <c r="AI16" s="15">
        <f t="shared" si="7"/>
        <v>19.299046035805627</v>
      </c>
      <c r="AJ16" s="64">
        <f t="shared" si="8"/>
        <v>22.268130041314183</v>
      </c>
      <c r="AK16" s="15">
        <f t="shared" si="9"/>
        <v>25.01728189826655</v>
      </c>
      <c r="AL16" s="15">
        <f t="shared" si="10"/>
        <v>27.96963193595019</v>
      </c>
      <c r="AN16" s="16">
        <f t="shared" si="11"/>
        <v>27.852881278772376</v>
      </c>
      <c r="AO16" s="16">
        <f t="shared" si="12"/>
        <v>35.976638318414324</v>
      </c>
      <c r="AP16" s="16">
        <f t="shared" si="13"/>
        <v>43.171965982097191</v>
      </c>
      <c r="AQ16" s="16">
        <f t="shared" si="14"/>
        <v>49.813806902419827</v>
      </c>
      <c r="AR16" s="16">
        <f t="shared" si="15"/>
        <v>55.963659606422276</v>
      </c>
      <c r="AS16" s="16">
        <f t="shared" si="16"/>
        <v>62.568066640720581</v>
      </c>
      <c r="AU16" s="16">
        <f t="shared" si="17"/>
        <v>44.823590792838871</v>
      </c>
      <c r="AV16" s="16">
        <f t="shared" si="18"/>
        <v>57.897138107416879</v>
      </c>
      <c r="AW16" s="16">
        <f t="shared" si="19"/>
        <v>69.476565728900255</v>
      </c>
      <c r="AX16" s="16">
        <f t="shared" si="20"/>
        <v>80.165268148731059</v>
      </c>
      <c r="AY16" s="16">
        <f t="shared" si="21"/>
        <v>90.062214833759583</v>
      </c>
      <c r="AZ16" s="16">
        <f t="shared" si="22"/>
        <v>100.69067496942068</v>
      </c>
    </row>
    <row r="17" spans="2:52" ht="15.75" thickBot="1" x14ac:dyDescent="0.3">
      <c r="B17" s="109" t="s">
        <v>11</v>
      </c>
      <c r="C17" s="16">
        <v>1.5</v>
      </c>
      <c r="D17" s="23"/>
      <c r="O17" s="152">
        <v>6</v>
      </c>
      <c r="P17" s="15">
        <v>200</v>
      </c>
      <c r="Q17" s="15">
        <v>12300</v>
      </c>
      <c r="R17" s="141">
        <f t="shared" ref="R17" si="27">Q16-Q17</f>
        <v>1450</v>
      </c>
      <c r="T17" s="36" t="s">
        <v>43</v>
      </c>
      <c r="U17" s="87">
        <f>(($C$7*(U8-(U11-$U$13)))/((U9)*TAN(RADIANS($U$14))))+($C$8+$C$9/2)</f>
        <v>0.7521942453517324</v>
      </c>
      <c r="V17" s="88">
        <f>(($C$7*(V8-(V11-$U$13)))/((V9)*TAN(RADIANS($U$14))))+($C$8+$C$9/2)</f>
        <v>0.72954793660187434</v>
      </c>
      <c r="W17" s="88">
        <f>(($C$7*(W8-(W11-$U$13)))/((W9)*TAN(RADIANS($U$14))))+($C$8+$C$9/2)</f>
        <v>0.72954793660187434</v>
      </c>
      <c r="X17" s="80" t="s">
        <v>27</v>
      </c>
      <c r="Y17" s="25"/>
      <c r="AA17" s="41">
        <v>6300</v>
      </c>
      <c r="AB17" s="16">
        <v>39.5</v>
      </c>
      <c r="AC17" s="65">
        <f t="shared" si="0"/>
        <v>29.45515</v>
      </c>
      <c r="AD17" s="16">
        <f t="shared" si="1"/>
        <v>29455.15</v>
      </c>
      <c r="AE17" s="21">
        <f t="shared" si="2"/>
        <v>32.929206349206346</v>
      </c>
      <c r="AG17" s="15">
        <f t="shared" si="5"/>
        <v>12.65181998184968</v>
      </c>
      <c r="AH17" s="64">
        <f t="shared" si="6"/>
        <v>16.341934143222506</v>
      </c>
      <c r="AI17" s="15">
        <f t="shared" si="7"/>
        <v>19.610320971867004</v>
      </c>
      <c r="AJ17" s="64">
        <f t="shared" si="8"/>
        <v>22.627293429077316</v>
      </c>
      <c r="AK17" s="15">
        <f t="shared" si="9"/>
        <v>25.420786445012784</v>
      </c>
      <c r="AL17" s="15">
        <f t="shared" si="10"/>
        <v>28.420755031691321</v>
      </c>
      <c r="AN17" s="16">
        <f t="shared" si="11"/>
        <v>28.302121299397736</v>
      </c>
      <c r="AO17" s="16">
        <f t="shared" si="12"/>
        <v>36.556906678388749</v>
      </c>
      <c r="AP17" s="16">
        <f t="shared" si="13"/>
        <v>43.868288014066493</v>
      </c>
      <c r="AQ17" s="16">
        <f t="shared" si="14"/>
        <v>50.617255400845956</v>
      </c>
      <c r="AR17" s="16">
        <f t="shared" si="15"/>
        <v>56.866299277493603</v>
      </c>
      <c r="AS17" s="16">
        <f t="shared" si="16"/>
        <v>63.577229005893486</v>
      </c>
      <c r="AU17" s="16">
        <f t="shared" si="17"/>
        <v>45.546551934658851</v>
      </c>
      <c r="AV17" s="16">
        <f t="shared" si="18"/>
        <v>58.83096291560102</v>
      </c>
      <c r="AW17" s="16">
        <f t="shared" si="19"/>
        <v>70.597155498721222</v>
      </c>
      <c r="AX17" s="16">
        <f t="shared" si="20"/>
        <v>81.458256344678333</v>
      </c>
      <c r="AY17" s="16">
        <f t="shared" si="21"/>
        <v>91.514831202046025</v>
      </c>
      <c r="AZ17" s="16">
        <f t="shared" si="22"/>
        <v>102.31471811408876</v>
      </c>
    </row>
    <row r="18" spans="2:52" ht="15.75" thickBot="1" x14ac:dyDescent="0.3">
      <c r="B18" s="109" t="s">
        <v>47</v>
      </c>
      <c r="C18" s="16">
        <f>((U20+V20+W20)/3)</f>
        <v>0.28200000000000003</v>
      </c>
      <c r="D18" s="23" t="s">
        <v>48</v>
      </c>
      <c r="O18" s="153"/>
      <c r="P18" s="18">
        <v>219</v>
      </c>
      <c r="Q18" s="18">
        <v>13400</v>
      </c>
      <c r="R18" s="142"/>
      <c r="T18" s="44" t="s">
        <v>44</v>
      </c>
      <c r="U18" s="86">
        <f>U7/U9</f>
        <v>0.4634485349361383</v>
      </c>
      <c r="V18" s="86">
        <f>V7/V9</f>
        <v>0.47561983471074382</v>
      </c>
      <c r="W18" s="86">
        <f>W7/W9</f>
        <v>0.47561983471074382</v>
      </c>
      <c r="X18" s="15"/>
      <c r="Y18" s="1"/>
      <c r="AA18" s="41">
        <v>6400</v>
      </c>
      <c r="AB18" s="16">
        <v>40</v>
      </c>
      <c r="AC18" s="65">
        <f t="shared" si="0"/>
        <v>29.828000000000003</v>
      </c>
      <c r="AD18" s="16">
        <f t="shared" si="1"/>
        <v>29828.000000000004</v>
      </c>
      <c r="AE18" s="21">
        <f t="shared" si="2"/>
        <v>32.825000000000003</v>
      </c>
      <c r="AG18" s="15">
        <f t="shared" si="5"/>
        <v>12.852642521244121</v>
      </c>
      <c r="AH18" s="64">
        <f t="shared" si="6"/>
        <v>16.601329923273656</v>
      </c>
      <c r="AI18" s="15">
        <f t="shared" si="7"/>
        <v>19.921595907928388</v>
      </c>
      <c r="AJ18" s="64">
        <f t="shared" si="8"/>
        <v>22.986456816840448</v>
      </c>
      <c r="AK18" s="15">
        <f t="shared" si="9"/>
        <v>25.824290991759021</v>
      </c>
      <c r="AL18" s="15">
        <f t="shared" si="10"/>
        <v>28.871878127432453</v>
      </c>
      <c r="AN18" s="16">
        <f t="shared" si="11"/>
        <v>28.751361320023101</v>
      </c>
      <c r="AO18" s="16">
        <f t="shared" si="12"/>
        <v>37.137175038363168</v>
      </c>
      <c r="AP18" s="16">
        <f t="shared" si="13"/>
        <v>44.56461004603581</v>
      </c>
      <c r="AQ18" s="16">
        <f t="shared" si="14"/>
        <v>51.420703899272084</v>
      </c>
      <c r="AR18" s="16">
        <f t="shared" si="15"/>
        <v>57.76893894856493</v>
      </c>
      <c r="AS18" s="16">
        <f t="shared" si="16"/>
        <v>64.586391371066398</v>
      </c>
      <c r="AU18" s="16">
        <f t="shared" si="17"/>
        <v>46.269513076478837</v>
      </c>
      <c r="AV18" s="16">
        <f t="shared" si="18"/>
        <v>59.764787723785162</v>
      </c>
      <c r="AW18" s="16">
        <f t="shared" si="19"/>
        <v>71.717745268542203</v>
      </c>
      <c r="AX18" s="16">
        <f t="shared" si="20"/>
        <v>82.751244540625621</v>
      </c>
      <c r="AY18" s="16">
        <f t="shared" si="21"/>
        <v>92.967447570332482</v>
      </c>
      <c r="AZ18" s="16">
        <f t="shared" si="22"/>
        <v>103.93876125875683</v>
      </c>
    </row>
    <row r="19" spans="2:52" ht="15.75" thickBot="1" x14ac:dyDescent="0.3">
      <c r="B19" s="109" t="s">
        <v>34</v>
      </c>
      <c r="C19" s="16">
        <v>78.2</v>
      </c>
      <c r="D19" s="23" t="s">
        <v>35</v>
      </c>
      <c r="T19" s="42" t="s">
        <v>45</v>
      </c>
      <c r="U19" s="89">
        <f>U8/U9</f>
        <v>0.53655146506386187</v>
      </c>
      <c r="V19" s="89">
        <f>V8/V9</f>
        <v>0.52438016528925624</v>
      </c>
      <c r="W19" s="89">
        <f>W8/W9</f>
        <v>0.52438016528925624</v>
      </c>
      <c r="X19" s="80"/>
      <c r="AA19" s="41">
        <v>6500</v>
      </c>
      <c r="AB19" s="16">
        <v>40</v>
      </c>
      <c r="AC19" s="65">
        <f t="shared" si="0"/>
        <v>29.828000000000003</v>
      </c>
      <c r="AD19" s="16">
        <f t="shared" si="1"/>
        <v>29828.000000000004</v>
      </c>
      <c r="AE19" s="21">
        <f t="shared" si="2"/>
        <v>32.32</v>
      </c>
      <c r="AG19" s="15">
        <f t="shared" si="5"/>
        <v>13.05346506063856</v>
      </c>
      <c r="AH19" s="64">
        <f t="shared" si="6"/>
        <v>16.860725703324807</v>
      </c>
      <c r="AI19" s="15">
        <f t="shared" si="7"/>
        <v>20.232870843989765</v>
      </c>
      <c r="AJ19" s="64">
        <f t="shared" si="8"/>
        <v>23.345620204603577</v>
      </c>
      <c r="AK19" s="15">
        <f t="shared" si="9"/>
        <v>26.227795538505255</v>
      </c>
      <c r="AL19" s="15">
        <f t="shared" si="10"/>
        <v>29.323001223173584</v>
      </c>
      <c r="AN19" s="16">
        <f t="shared" si="11"/>
        <v>29.200601340648461</v>
      </c>
      <c r="AO19" s="16">
        <f t="shared" si="12"/>
        <v>37.717443398337593</v>
      </c>
      <c r="AP19" s="16">
        <f t="shared" si="13"/>
        <v>45.260932078005105</v>
      </c>
      <c r="AQ19" s="16">
        <f t="shared" si="14"/>
        <v>52.224152397698205</v>
      </c>
      <c r="AR19" s="16">
        <f t="shared" si="15"/>
        <v>58.671578619636257</v>
      </c>
      <c r="AS19" s="16">
        <f t="shared" si="16"/>
        <v>65.59555373623931</v>
      </c>
      <c r="AU19" s="16">
        <f t="shared" si="17"/>
        <v>46.992474218298817</v>
      </c>
      <c r="AV19" s="16">
        <f t="shared" si="18"/>
        <v>60.698612531969303</v>
      </c>
      <c r="AW19" s="16">
        <f t="shared" si="19"/>
        <v>72.838335038363155</v>
      </c>
      <c r="AX19" s="16">
        <f t="shared" si="20"/>
        <v>84.04423273657288</v>
      </c>
      <c r="AY19" s="16">
        <f t="shared" si="21"/>
        <v>94.420063938618924</v>
      </c>
      <c r="AZ19" s="16">
        <f t="shared" si="22"/>
        <v>105.56280440342491</v>
      </c>
    </row>
    <row r="20" spans="2:52" ht="15.75" thickBot="1" x14ac:dyDescent="0.3">
      <c r="B20" s="109" t="s">
        <v>173</v>
      </c>
      <c r="C20" s="16">
        <v>0.6</v>
      </c>
      <c r="D20" s="23"/>
      <c r="T20" s="37" t="s">
        <v>167</v>
      </c>
      <c r="U20" s="90">
        <v>0.22900000000000001</v>
      </c>
      <c r="V20" s="91">
        <v>0.32900000000000001</v>
      </c>
      <c r="W20" s="91">
        <v>0.28799999999999998</v>
      </c>
      <c r="X20" s="97" t="s">
        <v>48</v>
      </c>
      <c r="AA20" s="41">
        <v>6600</v>
      </c>
      <c r="AB20" s="16">
        <v>40.5</v>
      </c>
      <c r="AC20" s="65">
        <f t="shared" si="0"/>
        <v>30.200850000000003</v>
      </c>
      <c r="AD20" s="16">
        <f t="shared" si="1"/>
        <v>30200.850000000002</v>
      </c>
      <c r="AE20" s="21">
        <f t="shared" si="2"/>
        <v>32.228181818181817</v>
      </c>
      <c r="AG20" s="15">
        <f t="shared" si="5"/>
        <v>13.254287600032999</v>
      </c>
      <c r="AH20" s="64">
        <f t="shared" si="6"/>
        <v>17.120121483375957</v>
      </c>
      <c r="AI20" s="15">
        <f t="shared" si="7"/>
        <v>20.544145780051149</v>
      </c>
      <c r="AJ20" s="64">
        <f t="shared" si="8"/>
        <v>23.704783592366709</v>
      </c>
      <c r="AK20" s="15">
        <f t="shared" si="9"/>
        <v>26.631300085251485</v>
      </c>
      <c r="AL20" s="15">
        <f t="shared" si="10"/>
        <v>29.774124318914719</v>
      </c>
      <c r="AN20" s="16">
        <f t="shared" si="11"/>
        <v>29.649841361273818</v>
      </c>
      <c r="AO20" s="16">
        <f t="shared" si="12"/>
        <v>38.297711758312019</v>
      </c>
      <c r="AP20" s="16">
        <f t="shared" si="13"/>
        <v>45.957254109974421</v>
      </c>
      <c r="AQ20" s="16">
        <f t="shared" si="14"/>
        <v>53.027600896124333</v>
      </c>
      <c r="AR20" s="16">
        <f t="shared" si="15"/>
        <v>59.574218290707577</v>
      </c>
      <c r="AS20" s="16">
        <f t="shared" si="16"/>
        <v>66.604716101412237</v>
      </c>
      <c r="AU20" s="16">
        <f t="shared" si="17"/>
        <v>47.715435360118796</v>
      </c>
      <c r="AV20" s="16">
        <f t="shared" si="18"/>
        <v>61.632437340153444</v>
      </c>
      <c r="AW20" s="16">
        <f t="shared" si="19"/>
        <v>73.958924808184136</v>
      </c>
      <c r="AX20" s="16">
        <f t="shared" si="20"/>
        <v>85.337220932520154</v>
      </c>
      <c r="AY20" s="16">
        <f t="shared" si="21"/>
        <v>95.872680306905352</v>
      </c>
      <c r="AZ20" s="16">
        <f t="shared" si="22"/>
        <v>107.18684754809298</v>
      </c>
    </row>
    <row r="21" spans="2:52" ht="15.75" thickBot="1" x14ac:dyDescent="0.3">
      <c r="B21" s="125" t="s">
        <v>238</v>
      </c>
      <c r="C21" s="16">
        <v>24</v>
      </c>
      <c r="D21" s="130" t="s">
        <v>240</v>
      </c>
      <c r="AA21" s="41">
        <v>6700</v>
      </c>
      <c r="AB21" s="16">
        <v>41</v>
      </c>
      <c r="AC21" s="65">
        <f t="shared" si="0"/>
        <v>30.573700000000002</v>
      </c>
      <c r="AD21" s="16">
        <f t="shared" si="1"/>
        <v>30573.7</v>
      </c>
      <c r="AE21" s="21">
        <f t="shared" si="2"/>
        <v>32.139104477611937</v>
      </c>
      <c r="AG21" s="15">
        <f t="shared" si="5"/>
        <v>13.455110139427438</v>
      </c>
      <c r="AH21" s="64">
        <f t="shared" si="6"/>
        <v>17.379517263427108</v>
      </c>
      <c r="AI21" s="15">
        <f t="shared" si="7"/>
        <v>20.855420716112526</v>
      </c>
      <c r="AJ21" s="64">
        <f t="shared" si="8"/>
        <v>24.063946980129842</v>
      </c>
      <c r="AK21" s="15">
        <f t="shared" si="9"/>
        <v>27.034804631997719</v>
      </c>
      <c r="AL21" s="15">
        <f t="shared" si="10"/>
        <v>30.225247414655847</v>
      </c>
      <c r="AN21" s="16">
        <f t="shared" si="11"/>
        <v>30.099081381899179</v>
      </c>
      <c r="AO21" s="16">
        <f t="shared" si="12"/>
        <v>38.877980118286445</v>
      </c>
      <c r="AP21" s="16">
        <f t="shared" si="13"/>
        <v>46.653576141943724</v>
      </c>
      <c r="AQ21" s="16">
        <f t="shared" si="14"/>
        <v>53.831049394550462</v>
      </c>
      <c r="AR21" s="16">
        <f t="shared" si="15"/>
        <v>60.476857961778897</v>
      </c>
      <c r="AS21" s="16">
        <f t="shared" si="16"/>
        <v>67.613878466585135</v>
      </c>
      <c r="AU21" s="16">
        <f t="shared" si="17"/>
        <v>48.438396501938776</v>
      </c>
      <c r="AV21" s="16">
        <f t="shared" si="18"/>
        <v>62.566262148337586</v>
      </c>
      <c r="AW21" s="16">
        <f t="shared" si="19"/>
        <v>75.079514578005103</v>
      </c>
      <c r="AX21" s="16">
        <f t="shared" si="20"/>
        <v>86.630209128467428</v>
      </c>
      <c r="AY21" s="16">
        <f t="shared" si="21"/>
        <v>97.325296675191794</v>
      </c>
      <c r="AZ21" s="16">
        <f t="shared" si="22"/>
        <v>108.81089069276105</v>
      </c>
    </row>
    <row r="22" spans="2:52" ht="15.75" thickBot="1" x14ac:dyDescent="0.3">
      <c r="B22" s="125" t="s">
        <v>239</v>
      </c>
      <c r="C22" s="16">
        <v>6.86</v>
      </c>
      <c r="D22" s="130" t="s">
        <v>216</v>
      </c>
      <c r="AA22" s="41">
        <v>6800</v>
      </c>
      <c r="AB22" s="16">
        <v>42</v>
      </c>
      <c r="AC22" s="65">
        <f t="shared" si="0"/>
        <v>31.319400000000002</v>
      </c>
      <c r="AD22" s="16">
        <f t="shared" si="1"/>
        <v>31319.4</v>
      </c>
      <c r="AE22" s="21">
        <f t="shared" si="2"/>
        <v>32.438823529411764</v>
      </c>
      <c r="AG22" s="15">
        <f t="shared" si="5"/>
        <v>13.655932678821877</v>
      </c>
      <c r="AH22" s="64">
        <f t="shared" si="6"/>
        <v>17.638913043478261</v>
      </c>
      <c r="AI22" s="15">
        <f t="shared" si="7"/>
        <v>21.16669565217391</v>
      </c>
      <c r="AJ22" s="64">
        <f t="shared" si="8"/>
        <v>24.423110367892978</v>
      </c>
      <c r="AK22" s="15">
        <f t="shared" si="9"/>
        <v>27.438309178743957</v>
      </c>
      <c r="AL22" s="15">
        <f t="shared" si="10"/>
        <v>30.676370510396978</v>
      </c>
      <c r="AN22" s="16">
        <f t="shared" si="11"/>
        <v>30.54832140252454</v>
      </c>
      <c r="AO22" s="16">
        <f t="shared" si="12"/>
        <v>39.45824847826087</v>
      </c>
      <c r="AP22" s="16">
        <f t="shared" si="13"/>
        <v>47.34989817391304</v>
      </c>
      <c r="AQ22" s="16">
        <f t="shared" si="14"/>
        <v>54.63449789297659</v>
      </c>
      <c r="AR22" s="16">
        <f t="shared" si="15"/>
        <v>61.379497632850232</v>
      </c>
      <c r="AS22" s="16">
        <f t="shared" si="16"/>
        <v>68.623040831758047</v>
      </c>
      <c r="AU22" s="16">
        <f t="shared" si="17"/>
        <v>49.161357643758755</v>
      </c>
      <c r="AV22" s="16">
        <f t="shared" si="18"/>
        <v>63.500086956521741</v>
      </c>
      <c r="AW22" s="16">
        <f t="shared" si="19"/>
        <v>76.200104347826084</v>
      </c>
      <c r="AX22" s="16">
        <f t="shared" si="20"/>
        <v>87.923197324414716</v>
      </c>
      <c r="AY22" s="16">
        <f t="shared" si="21"/>
        <v>98.77791304347825</v>
      </c>
      <c r="AZ22" s="16">
        <f t="shared" si="22"/>
        <v>110.43493383742913</v>
      </c>
    </row>
    <row r="23" spans="2:52" ht="15.75" thickBot="1" x14ac:dyDescent="0.3">
      <c r="B23" s="125" t="s">
        <v>241</v>
      </c>
      <c r="C23" s="16">
        <f>((((2*PI()*2.1)^2)*U8)/2000)</f>
        <v>12.433338762078971</v>
      </c>
      <c r="D23" s="130" t="s">
        <v>216</v>
      </c>
      <c r="AA23" s="41">
        <v>6900</v>
      </c>
      <c r="AB23" s="16">
        <v>43</v>
      </c>
      <c r="AC23" s="65">
        <f t="shared" si="0"/>
        <v>32.065100000000001</v>
      </c>
      <c r="AD23" s="16">
        <f t="shared" si="1"/>
        <v>32065.100000000002</v>
      </c>
      <c r="AE23" s="21">
        <f t="shared" si="2"/>
        <v>32.729855072463771</v>
      </c>
      <c r="AG23" s="15">
        <f t="shared" si="5"/>
        <v>13.856755218216318</v>
      </c>
      <c r="AH23" s="64">
        <f t="shared" si="6"/>
        <v>17.898308823529412</v>
      </c>
      <c r="AI23" s="15">
        <f t="shared" si="7"/>
        <v>21.477970588235291</v>
      </c>
      <c r="AJ23" s="64">
        <f t="shared" si="8"/>
        <v>24.782273755656103</v>
      </c>
      <c r="AK23" s="15">
        <f t="shared" si="9"/>
        <v>27.841813725490187</v>
      </c>
      <c r="AL23" s="15">
        <f t="shared" si="10"/>
        <v>31.12749360613811</v>
      </c>
      <c r="AN23" s="16">
        <f t="shared" si="11"/>
        <v>30.997561423149904</v>
      </c>
      <c r="AO23" s="16">
        <f t="shared" si="12"/>
        <v>40.038516838235296</v>
      </c>
      <c r="AP23" s="16">
        <f t="shared" si="13"/>
        <v>48.046220205882349</v>
      </c>
      <c r="AQ23" s="16">
        <f t="shared" si="14"/>
        <v>55.437946391402704</v>
      </c>
      <c r="AR23" s="16">
        <f t="shared" si="15"/>
        <v>62.282137303921552</v>
      </c>
      <c r="AS23" s="16">
        <f t="shared" si="16"/>
        <v>69.632203196930959</v>
      </c>
      <c r="AU23" s="16">
        <f t="shared" si="17"/>
        <v>49.884318785578742</v>
      </c>
      <c r="AV23" s="16">
        <f t="shared" si="18"/>
        <v>64.433911764705883</v>
      </c>
      <c r="AW23" s="16">
        <f t="shared" si="19"/>
        <v>77.320694117647051</v>
      </c>
      <c r="AX23" s="16">
        <f t="shared" si="20"/>
        <v>89.216185520361975</v>
      </c>
      <c r="AY23" s="16">
        <f t="shared" si="21"/>
        <v>100.23052941176468</v>
      </c>
      <c r="AZ23" s="16">
        <f t="shared" si="22"/>
        <v>112.05897698209719</v>
      </c>
    </row>
    <row r="24" spans="2:52" ht="15.75" thickBot="1" x14ac:dyDescent="0.3">
      <c r="B24" s="125" t="s">
        <v>242</v>
      </c>
      <c r="C24" s="16">
        <f>(C23*(2.4^2))</f>
        <v>71.616031269574876</v>
      </c>
      <c r="D24" s="130" t="s">
        <v>216</v>
      </c>
      <c r="AA24" s="41">
        <v>7000</v>
      </c>
      <c r="AB24" s="16">
        <v>44</v>
      </c>
      <c r="AC24" s="65">
        <f t="shared" si="0"/>
        <v>32.8108</v>
      </c>
      <c r="AD24" s="16">
        <f t="shared" si="1"/>
        <v>32810.800000000003</v>
      </c>
      <c r="AE24" s="21">
        <f t="shared" si="2"/>
        <v>33.012571428571427</v>
      </c>
      <c r="AG24" s="15">
        <f t="shared" si="5"/>
        <v>14.057577757610755</v>
      </c>
      <c r="AH24" s="64">
        <f t="shared" si="6"/>
        <v>18.157704603580559</v>
      </c>
      <c r="AI24" s="15">
        <f t="shared" si="7"/>
        <v>21.789245524296675</v>
      </c>
      <c r="AJ24" s="64">
        <f t="shared" si="8"/>
        <v>25.141437143419239</v>
      </c>
      <c r="AK24" s="15">
        <f t="shared" si="9"/>
        <v>28.245318272236425</v>
      </c>
      <c r="AL24" s="15">
        <f t="shared" si="10"/>
        <v>31.578616701879245</v>
      </c>
      <c r="AN24" s="16">
        <f t="shared" si="11"/>
        <v>31.446801443775261</v>
      </c>
      <c r="AO24" s="16">
        <f t="shared" si="12"/>
        <v>40.618785198209714</v>
      </c>
      <c r="AP24" s="16">
        <f t="shared" si="13"/>
        <v>48.742542237851666</v>
      </c>
      <c r="AQ24" s="16">
        <f t="shared" si="14"/>
        <v>56.24139488982884</v>
      </c>
      <c r="AR24" s="16">
        <f t="shared" si="15"/>
        <v>63.184776974992886</v>
      </c>
      <c r="AS24" s="16">
        <f t="shared" si="16"/>
        <v>70.641365562103871</v>
      </c>
      <c r="AU24" s="16">
        <f t="shared" si="17"/>
        <v>50.607279927398721</v>
      </c>
      <c r="AV24" s="16">
        <f t="shared" si="18"/>
        <v>65.36773657289001</v>
      </c>
      <c r="AW24" s="16">
        <f t="shared" si="19"/>
        <v>78.441283887468032</v>
      </c>
      <c r="AX24" s="16">
        <f t="shared" si="20"/>
        <v>90.509173716309263</v>
      </c>
      <c r="AY24" s="16">
        <f t="shared" si="21"/>
        <v>101.68314578005113</v>
      </c>
      <c r="AZ24" s="16">
        <f t="shared" si="22"/>
        <v>113.68302012676529</v>
      </c>
    </row>
    <row r="25" spans="2:52" ht="15.75" thickBot="1" x14ac:dyDescent="0.3">
      <c r="B25" s="110" t="s">
        <v>166</v>
      </c>
      <c r="C25" s="18">
        <v>188</v>
      </c>
      <c r="D25" s="19" t="s">
        <v>35</v>
      </c>
      <c r="AA25" s="41">
        <v>7100</v>
      </c>
      <c r="AB25" s="16">
        <v>44.5</v>
      </c>
      <c r="AC25" s="65">
        <f t="shared" si="0"/>
        <v>33.18365</v>
      </c>
      <c r="AD25" s="16">
        <f t="shared" si="1"/>
        <v>33183.65</v>
      </c>
      <c r="AE25" s="21">
        <f t="shared" si="2"/>
        <v>32.917464788732396</v>
      </c>
      <c r="AG25" s="15">
        <f t="shared" si="5"/>
        <v>14.258400297005197</v>
      </c>
      <c r="AH25" s="64">
        <f t="shared" si="6"/>
        <v>18.417100383631709</v>
      </c>
      <c r="AI25" s="15">
        <f t="shared" si="7"/>
        <v>22.100520460358052</v>
      </c>
      <c r="AJ25" s="64">
        <f t="shared" si="8"/>
        <v>25.500600531182371</v>
      </c>
      <c r="AK25" s="15">
        <f t="shared" si="9"/>
        <v>28.648822818982659</v>
      </c>
      <c r="AL25" s="15">
        <f t="shared" si="10"/>
        <v>32.029739797620373</v>
      </c>
      <c r="AN25" s="16">
        <f t="shared" si="11"/>
        <v>31.896041464400628</v>
      </c>
      <c r="AO25" s="16">
        <f t="shared" si="12"/>
        <v>41.199053558184133</v>
      </c>
      <c r="AP25" s="16">
        <f t="shared" si="13"/>
        <v>49.438864269820961</v>
      </c>
      <c r="AQ25" s="16">
        <f t="shared" si="14"/>
        <v>57.044843388254968</v>
      </c>
      <c r="AR25" s="16">
        <f t="shared" si="15"/>
        <v>64.087416646064213</v>
      </c>
      <c r="AS25" s="16">
        <f t="shared" si="16"/>
        <v>71.650527927276784</v>
      </c>
      <c r="AU25" s="16">
        <f t="shared" si="17"/>
        <v>51.330241069218708</v>
      </c>
      <c r="AV25" s="16">
        <f t="shared" si="18"/>
        <v>66.301561381074151</v>
      </c>
      <c r="AW25" s="16">
        <f t="shared" si="19"/>
        <v>79.561873657288984</v>
      </c>
      <c r="AX25" s="16">
        <f t="shared" si="20"/>
        <v>91.802161912256537</v>
      </c>
      <c r="AY25" s="16">
        <f t="shared" si="21"/>
        <v>103.13576214833758</v>
      </c>
      <c r="AZ25" s="16">
        <f t="shared" si="22"/>
        <v>115.30706327143335</v>
      </c>
    </row>
    <row r="26" spans="2:52" ht="15.75" thickBot="1" x14ac:dyDescent="0.3">
      <c r="AA26" s="41">
        <v>7200</v>
      </c>
      <c r="AB26" s="16">
        <v>45</v>
      </c>
      <c r="AC26" s="65">
        <f t="shared" si="0"/>
        <v>33.5565</v>
      </c>
      <c r="AD26" s="16">
        <f t="shared" si="1"/>
        <v>33556.5</v>
      </c>
      <c r="AE26" s="21">
        <f t="shared" si="2"/>
        <v>32.825000000000003</v>
      </c>
      <c r="AG26" s="15">
        <f t="shared" si="5"/>
        <v>14.459222836399634</v>
      </c>
      <c r="AH26" s="64">
        <f t="shared" si="6"/>
        <v>18.676496163682863</v>
      </c>
      <c r="AI26" s="15">
        <f t="shared" si="7"/>
        <v>22.411795396419436</v>
      </c>
      <c r="AJ26" s="64">
        <f t="shared" si="8"/>
        <v>25.8597639189455</v>
      </c>
      <c r="AK26" s="15">
        <f t="shared" si="9"/>
        <v>29.052327365728896</v>
      </c>
      <c r="AL26" s="15">
        <f t="shared" si="10"/>
        <v>32.480862893361504</v>
      </c>
      <c r="AN26" s="16">
        <f t="shared" si="11"/>
        <v>32.345281485025986</v>
      </c>
      <c r="AO26" s="16">
        <f t="shared" si="12"/>
        <v>41.779321918158566</v>
      </c>
      <c r="AP26" s="16">
        <f t="shared" si="13"/>
        <v>50.135186301790277</v>
      </c>
      <c r="AQ26" s="16">
        <f t="shared" si="14"/>
        <v>57.848291886681089</v>
      </c>
      <c r="AR26" s="16">
        <f t="shared" si="15"/>
        <v>64.99005631713554</v>
      </c>
      <c r="AS26" s="16">
        <f t="shared" si="16"/>
        <v>72.659690292449682</v>
      </c>
      <c r="AU26" s="16">
        <f t="shared" si="17"/>
        <v>52.053202211038688</v>
      </c>
      <c r="AV26" s="16">
        <f t="shared" si="18"/>
        <v>67.235386189258307</v>
      </c>
      <c r="AW26" s="16">
        <f t="shared" si="19"/>
        <v>80.682463427109965</v>
      </c>
      <c r="AX26" s="16">
        <f t="shared" si="20"/>
        <v>93.095150108203796</v>
      </c>
      <c r="AY26" s="16">
        <f t="shared" si="21"/>
        <v>104.58837851662403</v>
      </c>
      <c r="AZ26" s="16">
        <f t="shared" si="22"/>
        <v>116.93110641610141</v>
      </c>
    </row>
    <row r="27" spans="2:52" ht="15.75" thickBot="1" x14ac:dyDescent="0.3">
      <c r="AA27" s="41">
        <v>7300</v>
      </c>
      <c r="AB27" s="16">
        <v>46</v>
      </c>
      <c r="AC27" s="65">
        <f t="shared" si="0"/>
        <v>34.302199999999999</v>
      </c>
      <c r="AD27" s="16">
        <f t="shared" si="1"/>
        <v>34302.199999999997</v>
      </c>
      <c r="AE27" s="21">
        <f t="shared" si="2"/>
        <v>33.094794520547943</v>
      </c>
      <c r="AG27" s="15">
        <f t="shared" si="5"/>
        <v>14.660045375794075</v>
      </c>
      <c r="AH27" s="64">
        <f t="shared" si="6"/>
        <v>18.935891943734017</v>
      </c>
      <c r="AI27" s="15">
        <f t="shared" si="7"/>
        <v>22.723070332480813</v>
      </c>
      <c r="AJ27" s="64">
        <f t="shared" si="8"/>
        <v>26.218927306708636</v>
      </c>
      <c r="AK27" s="15">
        <f t="shared" si="9"/>
        <v>29.455831912475126</v>
      </c>
      <c r="AL27" s="15">
        <f t="shared" si="10"/>
        <v>32.931985989102635</v>
      </c>
      <c r="AN27" s="16">
        <f t="shared" si="11"/>
        <v>32.794521505651346</v>
      </c>
      <c r="AO27" s="16">
        <f t="shared" si="12"/>
        <v>42.359590278132998</v>
      </c>
      <c r="AP27" s="16">
        <f t="shared" si="13"/>
        <v>50.831508333759579</v>
      </c>
      <c r="AQ27" s="16">
        <f t="shared" si="14"/>
        <v>58.651740385107225</v>
      </c>
      <c r="AR27" s="16">
        <f t="shared" si="15"/>
        <v>65.892695988206867</v>
      </c>
      <c r="AS27" s="16">
        <f t="shared" si="16"/>
        <v>73.668852657622594</v>
      </c>
      <c r="AU27" s="16">
        <f t="shared" si="17"/>
        <v>52.776163352858674</v>
      </c>
      <c r="AV27" s="16">
        <f t="shared" si="18"/>
        <v>68.169210997442462</v>
      </c>
      <c r="AW27" s="16">
        <f t="shared" si="19"/>
        <v>81.803053196930932</v>
      </c>
      <c r="AX27" s="16">
        <f t="shared" si="20"/>
        <v>94.388138304151099</v>
      </c>
      <c r="AY27" s="16">
        <f t="shared" si="21"/>
        <v>106.04099488491046</v>
      </c>
      <c r="AZ27" s="16">
        <f t="shared" si="22"/>
        <v>118.55514956076949</v>
      </c>
    </row>
    <row r="28" spans="2:52" ht="15.75" thickBot="1" x14ac:dyDescent="0.3">
      <c r="AA28" s="41">
        <v>7400</v>
      </c>
      <c r="AB28" s="16">
        <v>47</v>
      </c>
      <c r="AC28" s="65">
        <f t="shared" si="0"/>
        <v>35.047899999999998</v>
      </c>
      <c r="AD28" s="16">
        <f t="shared" si="1"/>
        <v>35047.9</v>
      </c>
      <c r="AE28" s="21">
        <f t="shared" si="2"/>
        <v>33.357297297297301</v>
      </c>
      <c r="AG28" s="15">
        <f t="shared" si="5"/>
        <v>14.860867915188516</v>
      </c>
      <c r="AH28" s="64">
        <f t="shared" si="6"/>
        <v>19.195287723785167</v>
      </c>
      <c r="AI28" s="15">
        <f t="shared" si="7"/>
        <v>23.034345268542197</v>
      </c>
      <c r="AJ28" s="64">
        <f t="shared" si="8"/>
        <v>26.578090694471765</v>
      </c>
      <c r="AK28" s="15">
        <f t="shared" si="9"/>
        <v>29.859336459221364</v>
      </c>
      <c r="AL28" s="15">
        <f t="shared" si="10"/>
        <v>33.383109084843774</v>
      </c>
      <c r="AN28" s="16">
        <f t="shared" si="11"/>
        <v>33.243761526276714</v>
      </c>
      <c r="AO28" s="16">
        <f t="shared" si="12"/>
        <v>42.939858638107424</v>
      </c>
      <c r="AP28" s="16">
        <f t="shared" si="13"/>
        <v>51.527830365728896</v>
      </c>
      <c r="AQ28" s="16">
        <f t="shared" si="14"/>
        <v>59.455188883533339</v>
      </c>
      <c r="AR28" s="16">
        <f t="shared" si="15"/>
        <v>66.795335659278194</v>
      </c>
      <c r="AS28" s="16">
        <f t="shared" si="16"/>
        <v>74.67801502279552</v>
      </c>
      <c r="AU28" s="16">
        <f t="shared" si="17"/>
        <v>53.499124494678661</v>
      </c>
      <c r="AV28" s="16">
        <f t="shared" si="18"/>
        <v>69.103035805626604</v>
      </c>
      <c r="AW28" s="16">
        <f t="shared" si="19"/>
        <v>82.923642966751913</v>
      </c>
      <c r="AX28" s="16">
        <f t="shared" si="20"/>
        <v>95.681126500098358</v>
      </c>
      <c r="AY28" s="16">
        <f t="shared" si="21"/>
        <v>107.49361125319692</v>
      </c>
      <c r="AZ28" s="16">
        <f t="shared" si="22"/>
        <v>120.17919270543759</v>
      </c>
    </row>
    <row r="29" spans="2:52" ht="15.75" thickBot="1" x14ac:dyDescent="0.3">
      <c r="AA29" s="41">
        <v>7500</v>
      </c>
      <c r="AB29" s="16">
        <v>48</v>
      </c>
      <c r="AC29" s="65">
        <f t="shared" si="0"/>
        <v>35.793599999999998</v>
      </c>
      <c r="AD29" s="16">
        <f t="shared" si="1"/>
        <v>35793.599999999999</v>
      </c>
      <c r="AE29" s="21">
        <f t="shared" si="2"/>
        <v>33.6128</v>
      </c>
      <c r="AG29" s="15">
        <f t="shared" si="5"/>
        <v>15.061690454582953</v>
      </c>
      <c r="AH29" s="64">
        <f t="shared" si="6"/>
        <v>19.454683503836314</v>
      </c>
      <c r="AI29" s="15">
        <f t="shared" si="7"/>
        <v>23.345620204603577</v>
      </c>
      <c r="AJ29" s="64">
        <f t="shared" si="8"/>
        <v>26.937254082234901</v>
      </c>
      <c r="AK29" s="15">
        <f t="shared" si="9"/>
        <v>30.262841005967598</v>
      </c>
      <c r="AL29" s="15">
        <f t="shared" si="10"/>
        <v>33.834232180584905</v>
      </c>
      <c r="AN29" s="16">
        <f t="shared" si="11"/>
        <v>33.693001546902067</v>
      </c>
      <c r="AO29" s="16">
        <f t="shared" si="12"/>
        <v>43.520126998081835</v>
      </c>
      <c r="AP29" s="16">
        <f t="shared" si="13"/>
        <v>52.224152397698205</v>
      </c>
      <c r="AQ29" s="16">
        <f t="shared" si="14"/>
        <v>60.258637381959474</v>
      </c>
      <c r="AR29" s="16">
        <f t="shared" si="15"/>
        <v>67.697975330349522</v>
      </c>
      <c r="AS29" s="16">
        <f t="shared" si="16"/>
        <v>75.687177387968433</v>
      </c>
      <c r="AU29" s="16">
        <f t="shared" si="17"/>
        <v>54.222085636498633</v>
      </c>
      <c r="AV29" s="16">
        <f t="shared" si="18"/>
        <v>70.036860613810731</v>
      </c>
      <c r="AW29" s="16">
        <f t="shared" si="19"/>
        <v>84.04423273657288</v>
      </c>
      <c r="AX29" s="16">
        <f t="shared" si="20"/>
        <v>96.974114696045646</v>
      </c>
      <c r="AY29" s="16">
        <f t="shared" si="21"/>
        <v>108.94622762148336</v>
      </c>
      <c r="AZ29" s="16">
        <f t="shared" si="22"/>
        <v>121.80323585010566</v>
      </c>
    </row>
    <row r="30" spans="2:52" ht="15.75" thickBot="1" x14ac:dyDescent="0.3">
      <c r="AA30" s="41">
        <v>7600</v>
      </c>
      <c r="AB30" s="16">
        <v>49</v>
      </c>
      <c r="AC30" s="65">
        <f t="shared" si="0"/>
        <v>36.539300000000004</v>
      </c>
      <c r="AD30" s="16">
        <f t="shared" si="1"/>
        <v>36539.300000000003</v>
      </c>
      <c r="AE30" s="21">
        <f t="shared" si="2"/>
        <v>33.861578947368422</v>
      </c>
      <c r="AG30" s="15">
        <f t="shared" si="5"/>
        <v>15.262512993977394</v>
      </c>
      <c r="AH30" s="64">
        <f t="shared" si="6"/>
        <v>19.714079283887468</v>
      </c>
      <c r="AI30" s="15">
        <f t="shared" si="7"/>
        <v>23.656895140664957</v>
      </c>
      <c r="AJ30" s="64">
        <f t="shared" si="8"/>
        <v>27.29641746999803</v>
      </c>
      <c r="AK30" s="15">
        <f t="shared" si="9"/>
        <v>30.666345552713832</v>
      </c>
      <c r="AL30" s="15">
        <f t="shared" si="10"/>
        <v>34.285355276326037</v>
      </c>
      <c r="AN30" s="16">
        <f t="shared" si="11"/>
        <v>34.142241567527428</v>
      </c>
      <c r="AO30" s="16">
        <f t="shared" si="12"/>
        <v>44.100395358056268</v>
      </c>
      <c r="AP30" s="16">
        <f t="shared" si="13"/>
        <v>52.920474429667514</v>
      </c>
      <c r="AQ30" s="16">
        <f t="shared" si="14"/>
        <v>61.062085880385595</v>
      </c>
      <c r="AR30" s="16">
        <f t="shared" si="15"/>
        <v>68.600615001420849</v>
      </c>
      <c r="AS30" s="16">
        <f t="shared" si="16"/>
        <v>76.696339753141345</v>
      </c>
      <c r="AU30" s="16">
        <f t="shared" si="17"/>
        <v>54.94504677831862</v>
      </c>
      <c r="AV30" s="16">
        <f t="shared" si="18"/>
        <v>70.970685421994887</v>
      </c>
      <c r="AW30" s="16">
        <f t="shared" si="19"/>
        <v>85.164822506393847</v>
      </c>
      <c r="AX30" s="16">
        <f t="shared" si="20"/>
        <v>98.267102891992906</v>
      </c>
      <c r="AY30" s="16">
        <f t="shared" si="21"/>
        <v>110.3988439897698</v>
      </c>
      <c r="AZ30" s="16">
        <f t="shared" si="22"/>
        <v>123.42727899477373</v>
      </c>
    </row>
    <row r="31" spans="2:52" ht="15.75" thickBot="1" x14ac:dyDescent="0.3">
      <c r="AA31" s="41">
        <v>7700</v>
      </c>
      <c r="AB31" s="16">
        <v>49.5</v>
      </c>
      <c r="AC31" s="65">
        <f t="shared" si="0"/>
        <v>36.912150000000004</v>
      </c>
      <c r="AD31" s="16">
        <f t="shared" si="1"/>
        <v>36912.15</v>
      </c>
      <c r="AE31" s="21">
        <f t="shared" si="2"/>
        <v>33.762857142857143</v>
      </c>
      <c r="AG31" s="15">
        <f t="shared" si="5"/>
        <v>15.463335533371833</v>
      </c>
      <c r="AH31" s="64">
        <f t="shared" si="6"/>
        <v>19.973475063938618</v>
      </c>
      <c r="AI31" s="15">
        <f t="shared" si="7"/>
        <v>23.968170076726341</v>
      </c>
      <c r="AJ31" s="64">
        <f t="shared" si="8"/>
        <v>27.655580857761162</v>
      </c>
      <c r="AK31" s="15">
        <f t="shared" si="9"/>
        <v>31.069850099460066</v>
      </c>
      <c r="AL31" s="15">
        <f t="shared" si="10"/>
        <v>34.736478372067168</v>
      </c>
      <c r="AN31" s="16">
        <f t="shared" si="11"/>
        <v>34.591481588152789</v>
      </c>
      <c r="AO31" s="16">
        <f t="shared" si="12"/>
        <v>44.680663718030694</v>
      </c>
      <c r="AP31" s="16">
        <f t="shared" si="13"/>
        <v>53.616796461636831</v>
      </c>
      <c r="AQ31" s="16">
        <f t="shared" si="14"/>
        <v>61.865534378811724</v>
      </c>
      <c r="AR31" s="16">
        <f t="shared" si="15"/>
        <v>69.503254672492176</v>
      </c>
      <c r="AS31" s="16">
        <f t="shared" si="16"/>
        <v>77.705502118314257</v>
      </c>
      <c r="AU31" s="16">
        <f t="shared" si="17"/>
        <v>55.668007920138599</v>
      </c>
      <c r="AV31" s="16">
        <f t="shared" si="18"/>
        <v>71.904510230179028</v>
      </c>
      <c r="AW31" s="16">
        <f t="shared" si="19"/>
        <v>86.285412276214828</v>
      </c>
      <c r="AX31" s="16">
        <f t="shared" si="20"/>
        <v>99.560091087940179</v>
      </c>
      <c r="AY31" s="16">
        <f t="shared" si="21"/>
        <v>111.85146035805624</v>
      </c>
      <c r="AZ31" s="16">
        <f t="shared" si="22"/>
        <v>125.05132213944181</v>
      </c>
    </row>
    <row r="32" spans="2:52" ht="15.75" thickBot="1" x14ac:dyDescent="0.3">
      <c r="AA32" s="41">
        <v>7800</v>
      </c>
      <c r="AB32" s="16">
        <v>50</v>
      </c>
      <c r="AC32" s="65">
        <f t="shared" si="0"/>
        <v>37.285000000000004</v>
      </c>
      <c r="AD32" s="16">
        <f t="shared" si="1"/>
        <v>37285.000000000007</v>
      </c>
      <c r="AE32" s="21">
        <f t="shared" si="2"/>
        <v>33.666666666666664</v>
      </c>
      <c r="AG32" s="15">
        <f t="shared" si="5"/>
        <v>15.664158072766272</v>
      </c>
      <c r="AH32" s="64">
        <f t="shared" si="6"/>
        <v>20.232870843989769</v>
      </c>
      <c r="AI32" s="15">
        <f t="shared" si="7"/>
        <v>24.279445012787722</v>
      </c>
      <c r="AJ32" s="64">
        <f t="shared" si="8"/>
        <v>28.014744245524295</v>
      </c>
      <c r="AK32" s="15">
        <f t="shared" si="9"/>
        <v>31.473354646206303</v>
      </c>
      <c r="AL32" s="15">
        <f t="shared" si="10"/>
        <v>35.1876014678083</v>
      </c>
      <c r="AN32" s="16">
        <f t="shared" si="11"/>
        <v>35.040721608778149</v>
      </c>
      <c r="AO32" s="16">
        <f t="shared" si="12"/>
        <v>45.260932078005112</v>
      </c>
      <c r="AP32" s="16">
        <f t="shared" si="13"/>
        <v>54.313118493606133</v>
      </c>
      <c r="AQ32" s="16">
        <f t="shared" si="14"/>
        <v>62.668982877237852</v>
      </c>
      <c r="AR32" s="16">
        <f t="shared" si="15"/>
        <v>70.405894343563503</v>
      </c>
      <c r="AS32" s="16">
        <f t="shared" si="16"/>
        <v>78.714664483487169</v>
      </c>
      <c r="AU32" s="16">
        <f t="shared" si="17"/>
        <v>56.390969061958579</v>
      </c>
      <c r="AV32" s="16">
        <f t="shared" si="18"/>
        <v>72.838335038363169</v>
      </c>
      <c r="AW32" s="16">
        <f t="shared" si="19"/>
        <v>87.406002046035795</v>
      </c>
      <c r="AX32" s="16">
        <f t="shared" si="20"/>
        <v>100.85307928388747</v>
      </c>
      <c r="AY32" s="16">
        <f t="shared" si="21"/>
        <v>113.3040767263427</v>
      </c>
      <c r="AZ32" s="16">
        <f t="shared" si="22"/>
        <v>126.67536528410989</v>
      </c>
    </row>
    <row r="33" spans="27:52" ht="15.75" thickBot="1" x14ac:dyDescent="0.3">
      <c r="AA33" s="41">
        <v>7900</v>
      </c>
      <c r="AB33" s="16">
        <v>51</v>
      </c>
      <c r="AC33" s="65">
        <f t="shared" si="0"/>
        <v>38.030700000000003</v>
      </c>
      <c r="AD33" s="16">
        <f t="shared" si="1"/>
        <v>38030.700000000004</v>
      </c>
      <c r="AE33" s="21">
        <f t="shared" si="2"/>
        <v>33.905316455696202</v>
      </c>
      <c r="AG33" s="15">
        <f t="shared" si="5"/>
        <v>15.864980612160711</v>
      </c>
      <c r="AH33" s="64">
        <f t="shared" si="6"/>
        <v>20.492266624040919</v>
      </c>
      <c r="AI33" s="15">
        <f t="shared" si="7"/>
        <v>24.590719948849102</v>
      </c>
      <c r="AJ33" s="64">
        <f t="shared" si="8"/>
        <v>28.373907633287427</v>
      </c>
      <c r="AK33" s="15">
        <f t="shared" si="9"/>
        <v>31.876859192952541</v>
      </c>
      <c r="AL33" s="15">
        <f t="shared" si="10"/>
        <v>35.638724563549438</v>
      </c>
      <c r="AN33" s="16">
        <f t="shared" si="11"/>
        <v>35.48996162940351</v>
      </c>
      <c r="AO33" s="16">
        <f t="shared" si="12"/>
        <v>45.841200437979538</v>
      </c>
      <c r="AP33" s="16">
        <f t="shared" si="13"/>
        <v>55.009440525575442</v>
      </c>
      <c r="AQ33" s="16">
        <f t="shared" si="14"/>
        <v>63.47243137566398</v>
      </c>
      <c r="AR33" s="16">
        <f t="shared" si="15"/>
        <v>71.30853401463483</v>
      </c>
      <c r="AS33" s="16">
        <f t="shared" si="16"/>
        <v>79.723826848660096</v>
      </c>
      <c r="AU33" s="16">
        <f t="shared" si="17"/>
        <v>57.113930203778558</v>
      </c>
      <c r="AV33" s="16">
        <f t="shared" si="18"/>
        <v>73.772159846547311</v>
      </c>
      <c r="AW33" s="16">
        <f t="shared" si="19"/>
        <v>88.526591815856776</v>
      </c>
      <c r="AX33" s="16">
        <f t="shared" si="20"/>
        <v>102.14606747983474</v>
      </c>
      <c r="AY33" s="16">
        <f t="shared" si="21"/>
        <v>114.75669309462914</v>
      </c>
      <c r="AZ33" s="16">
        <f t="shared" si="22"/>
        <v>128.29940842877798</v>
      </c>
    </row>
    <row r="34" spans="27:52" ht="15.75" thickBot="1" x14ac:dyDescent="0.3">
      <c r="AA34" s="41">
        <v>8000</v>
      </c>
      <c r="AB34" s="16">
        <v>52</v>
      </c>
      <c r="AC34" s="65">
        <f t="shared" si="0"/>
        <v>38.776400000000002</v>
      </c>
      <c r="AD34" s="16">
        <f t="shared" si="1"/>
        <v>38776.400000000001</v>
      </c>
      <c r="AE34" s="21">
        <f t="shared" si="2"/>
        <v>34.137999999999998</v>
      </c>
      <c r="AG34" s="15">
        <f t="shared" si="5"/>
        <v>16.065803151555151</v>
      </c>
      <c r="AH34" s="64">
        <f t="shared" si="6"/>
        <v>20.75166240409207</v>
      </c>
      <c r="AI34" s="15">
        <f t="shared" si="7"/>
        <v>24.901994884910483</v>
      </c>
      <c r="AJ34" s="64">
        <f t="shared" si="8"/>
        <v>28.733071021050556</v>
      </c>
      <c r="AK34" s="15">
        <f t="shared" si="9"/>
        <v>32.280363739698771</v>
      </c>
      <c r="AL34" s="15">
        <f t="shared" si="10"/>
        <v>36.089847659290562</v>
      </c>
      <c r="AN34" s="16">
        <f t="shared" si="11"/>
        <v>35.939201650028878</v>
      </c>
      <c r="AO34" s="16">
        <f t="shared" si="12"/>
        <v>46.421468797953963</v>
      </c>
      <c r="AP34" s="16">
        <f t="shared" si="13"/>
        <v>55.705762557544752</v>
      </c>
      <c r="AQ34" s="16">
        <f t="shared" si="14"/>
        <v>64.275879874090094</v>
      </c>
      <c r="AR34" s="16">
        <f t="shared" si="15"/>
        <v>72.211173685706157</v>
      </c>
      <c r="AS34" s="16">
        <f t="shared" si="16"/>
        <v>80.732989213832994</v>
      </c>
      <c r="AU34" s="16">
        <f t="shared" si="17"/>
        <v>57.836891345598545</v>
      </c>
      <c r="AV34" s="16">
        <f t="shared" si="18"/>
        <v>74.705984654731452</v>
      </c>
      <c r="AW34" s="16">
        <f t="shared" si="19"/>
        <v>89.647181585677743</v>
      </c>
      <c r="AX34" s="16">
        <f t="shared" si="20"/>
        <v>103.439055675782</v>
      </c>
      <c r="AY34" s="16">
        <f t="shared" si="21"/>
        <v>116.20930946291558</v>
      </c>
      <c r="AZ34" s="16">
        <f t="shared" si="22"/>
        <v>129.92345157344602</v>
      </c>
    </row>
    <row r="35" spans="27:52" ht="15.75" thickBot="1" x14ac:dyDescent="0.3">
      <c r="AA35" s="41">
        <v>8100</v>
      </c>
      <c r="AB35" s="16">
        <v>52.5</v>
      </c>
      <c r="AC35" s="65">
        <f t="shared" si="0"/>
        <v>39.149250000000002</v>
      </c>
      <c r="AD35" s="16">
        <f t="shared" si="1"/>
        <v>39149.25</v>
      </c>
      <c r="AE35" s="21">
        <f t="shared" si="2"/>
        <v>34.040740740740738</v>
      </c>
      <c r="AG35" s="15">
        <f t="shared" si="5"/>
        <v>16.266625690949589</v>
      </c>
      <c r="AH35" s="64">
        <f t="shared" si="6"/>
        <v>21.01105818414322</v>
      </c>
      <c r="AI35" s="15">
        <f t="shared" si="7"/>
        <v>25.213269820971863</v>
      </c>
      <c r="AJ35" s="64">
        <f t="shared" si="8"/>
        <v>29.092234408813692</v>
      </c>
      <c r="AK35" s="15">
        <f t="shared" si="9"/>
        <v>32.683868286445005</v>
      </c>
      <c r="AL35" s="15">
        <f t="shared" si="10"/>
        <v>36.540970755031701</v>
      </c>
      <c r="AN35" s="16">
        <f t="shared" si="11"/>
        <v>36.388441670654231</v>
      </c>
      <c r="AO35" s="16">
        <f t="shared" si="12"/>
        <v>47.001737157928382</v>
      </c>
      <c r="AP35" s="16">
        <f t="shared" si="13"/>
        <v>56.402084589514061</v>
      </c>
      <c r="AQ35" s="16">
        <f t="shared" si="14"/>
        <v>65.07932837251623</v>
      </c>
      <c r="AR35" s="16">
        <f t="shared" si="15"/>
        <v>73.113813356777484</v>
      </c>
      <c r="AS35" s="16">
        <f t="shared" si="16"/>
        <v>81.74215157900592</v>
      </c>
      <c r="AU35" s="16">
        <f t="shared" si="17"/>
        <v>58.559852487418517</v>
      </c>
      <c r="AV35" s="16">
        <f t="shared" si="18"/>
        <v>75.639809462915593</v>
      </c>
      <c r="AW35" s="16">
        <f t="shared" si="19"/>
        <v>90.767771355498709</v>
      </c>
      <c r="AX35" s="16">
        <f t="shared" si="20"/>
        <v>104.73204387172929</v>
      </c>
      <c r="AY35" s="16">
        <f t="shared" si="21"/>
        <v>117.66192583120203</v>
      </c>
      <c r="AZ35" s="16">
        <f t="shared" si="22"/>
        <v>131.54749471811414</v>
      </c>
    </row>
    <row r="36" spans="27:52" ht="15.75" thickBot="1" x14ac:dyDescent="0.3">
      <c r="AA36" s="41">
        <v>8200</v>
      </c>
      <c r="AB36" s="16">
        <v>53</v>
      </c>
      <c r="AC36" s="65">
        <f t="shared" si="0"/>
        <v>39.522100000000002</v>
      </c>
      <c r="AD36" s="16">
        <f t="shared" si="1"/>
        <v>39522.1</v>
      </c>
      <c r="AE36" s="21">
        <f t="shared" si="2"/>
        <v>33.945853658536585</v>
      </c>
      <c r="AG36" s="15">
        <f t="shared" si="5"/>
        <v>16.467448230344029</v>
      </c>
      <c r="AH36" s="64">
        <f t="shared" si="6"/>
        <v>21.27045396419437</v>
      </c>
      <c r="AI36" s="15">
        <f t="shared" si="7"/>
        <v>25.524544757033244</v>
      </c>
      <c r="AJ36" s="64">
        <f t="shared" si="8"/>
        <v>29.451397796576821</v>
      </c>
      <c r="AK36" s="15">
        <f t="shared" si="9"/>
        <v>33.087372833191246</v>
      </c>
      <c r="AL36" s="15">
        <f t="shared" si="10"/>
        <v>36.992093850772825</v>
      </c>
      <c r="AN36" s="16">
        <f t="shared" si="11"/>
        <v>36.837681691279592</v>
      </c>
      <c r="AO36" s="16">
        <f t="shared" si="12"/>
        <v>47.582005517902807</v>
      </c>
      <c r="AP36" s="16">
        <f t="shared" si="13"/>
        <v>57.09840662148337</v>
      </c>
      <c r="AQ36" s="16">
        <f t="shared" si="14"/>
        <v>65.882776870942351</v>
      </c>
      <c r="AR36" s="16">
        <f t="shared" si="15"/>
        <v>74.016453027848826</v>
      </c>
      <c r="AS36" s="16">
        <f t="shared" si="16"/>
        <v>82.751313944178818</v>
      </c>
      <c r="AU36" s="16">
        <f t="shared" si="17"/>
        <v>59.282813629238504</v>
      </c>
      <c r="AV36" s="16">
        <f t="shared" si="18"/>
        <v>76.573634271099735</v>
      </c>
      <c r="AW36" s="16">
        <f t="shared" si="19"/>
        <v>91.888361125319676</v>
      </c>
      <c r="AX36" s="16">
        <f t="shared" si="20"/>
        <v>106.02503206767656</v>
      </c>
      <c r="AY36" s="16">
        <f t="shared" si="21"/>
        <v>119.11454219948848</v>
      </c>
      <c r="AZ36" s="16">
        <f t="shared" si="22"/>
        <v>133.17153786278217</v>
      </c>
    </row>
    <row r="37" spans="27:52" ht="15.75" thickBot="1" x14ac:dyDescent="0.3">
      <c r="AA37" s="41">
        <v>8300</v>
      </c>
      <c r="AB37" s="16">
        <v>54</v>
      </c>
      <c r="AC37" s="65">
        <f t="shared" si="0"/>
        <v>40.267800000000001</v>
      </c>
      <c r="AD37" s="16">
        <f t="shared" si="1"/>
        <v>40267.800000000003</v>
      </c>
      <c r="AE37" s="21">
        <f t="shared" si="2"/>
        <v>34.169638554216867</v>
      </c>
      <c r="AG37" s="15">
        <f t="shared" si="5"/>
        <v>16.668270769738466</v>
      </c>
      <c r="AH37" s="64">
        <f t="shared" si="6"/>
        <v>21.529849744245528</v>
      </c>
      <c r="AI37" s="15">
        <f t="shared" si="7"/>
        <v>25.835819693094624</v>
      </c>
      <c r="AJ37" s="64">
        <f t="shared" si="8"/>
        <v>29.810561184339956</v>
      </c>
      <c r="AK37" s="15">
        <f t="shared" si="9"/>
        <v>33.490877379937473</v>
      </c>
      <c r="AL37" s="15">
        <f t="shared" si="10"/>
        <v>37.443216946513964</v>
      </c>
      <c r="AN37" s="16">
        <f t="shared" si="11"/>
        <v>37.286921711904952</v>
      </c>
      <c r="AO37" s="16">
        <f t="shared" si="12"/>
        <v>48.162273877877247</v>
      </c>
      <c r="AP37" s="16">
        <f t="shared" si="13"/>
        <v>57.79472865345268</v>
      </c>
      <c r="AQ37" s="16">
        <f t="shared" si="14"/>
        <v>66.686225369368486</v>
      </c>
      <c r="AR37" s="16">
        <f t="shared" si="15"/>
        <v>74.919092698920124</v>
      </c>
      <c r="AS37" s="16">
        <f t="shared" si="16"/>
        <v>83.760476309351745</v>
      </c>
      <c r="AU37" s="16">
        <f t="shared" si="17"/>
        <v>60.005774771058483</v>
      </c>
      <c r="AV37" s="16">
        <f t="shared" si="18"/>
        <v>77.507459079283905</v>
      </c>
      <c r="AW37" s="16">
        <f t="shared" si="19"/>
        <v>93.008950895140643</v>
      </c>
      <c r="AX37" s="16">
        <f t="shared" si="20"/>
        <v>107.31802026362385</v>
      </c>
      <c r="AY37" s="16">
        <f t="shared" si="21"/>
        <v>120.56715856777491</v>
      </c>
      <c r="AZ37" s="16">
        <f t="shared" si="22"/>
        <v>134.79558100745027</v>
      </c>
    </row>
    <row r="38" spans="27:52" ht="15.75" thickBot="1" x14ac:dyDescent="0.3">
      <c r="AA38" s="41">
        <v>8400</v>
      </c>
      <c r="AB38" s="16">
        <v>55</v>
      </c>
      <c r="AC38" s="65">
        <f t="shared" si="0"/>
        <v>41.013500000000001</v>
      </c>
      <c r="AD38" s="16">
        <f t="shared" si="1"/>
        <v>41013.5</v>
      </c>
      <c r="AE38" s="21">
        <f t="shared" si="2"/>
        <v>34.388095238095239</v>
      </c>
      <c r="AG38" s="15">
        <f t="shared" si="5"/>
        <v>16.869093309132907</v>
      </c>
      <c r="AH38" s="64">
        <f t="shared" si="6"/>
        <v>21.789245524296675</v>
      </c>
      <c r="AI38" s="15">
        <f t="shared" si="7"/>
        <v>26.147094629156005</v>
      </c>
      <c r="AJ38" s="64">
        <f t="shared" si="8"/>
        <v>30.169724572103085</v>
      </c>
      <c r="AK38" s="15">
        <f t="shared" si="9"/>
        <v>33.894381926683714</v>
      </c>
      <c r="AL38" s="15">
        <f t="shared" si="10"/>
        <v>37.894340042255088</v>
      </c>
      <c r="AN38" s="16">
        <f t="shared" si="11"/>
        <v>37.736161732530313</v>
      </c>
      <c r="AO38" s="16">
        <f t="shared" si="12"/>
        <v>48.742542237851666</v>
      </c>
      <c r="AP38" s="16">
        <f t="shared" si="13"/>
        <v>58.491050685421982</v>
      </c>
      <c r="AQ38" s="16">
        <f t="shared" si="14"/>
        <v>67.489673867794608</v>
      </c>
      <c r="AR38" s="16">
        <f t="shared" si="15"/>
        <v>75.821732369991466</v>
      </c>
      <c r="AS38" s="16">
        <f t="shared" si="16"/>
        <v>84.769638674524629</v>
      </c>
      <c r="AU38" s="16">
        <f t="shared" si="17"/>
        <v>60.72873591287847</v>
      </c>
      <c r="AV38" s="16">
        <f t="shared" si="18"/>
        <v>78.441283887468032</v>
      </c>
      <c r="AW38" s="16">
        <f t="shared" si="19"/>
        <v>94.129540664961624</v>
      </c>
      <c r="AX38" s="16">
        <f t="shared" si="20"/>
        <v>108.61100845957111</v>
      </c>
      <c r="AY38" s="16">
        <f t="shared" si="21"/>
        <v>122.01977493606137</v>
      </c>
      <c r="AZ38" s="16">
        <f t="shared" si="22"/>
        <v>136.41962415211833</v>
      </c>
    </row>
    <row r="39" spans="27:52" ht="15.75" thickBot="1" x14ac:dyDescent="0.3">
      <c r="AA39" s="41">
        <v>8500</v>
      </c>
      <c r="AB39" s="16">
        <v>56</v>
      </c>
      <c r="AC39" s="65">
        <f t="shared" si="0"/>
        <v>41.7592</v>
      </c>
      <c r="AD39" s="16">
        <f t="shared" si="1"/>
        <v>41759.199999999997</v>
      </c>
      <c r="AE39" s="21">
        <f t="shared" si="2"/>
        <v>34.60141176470588</v>
      </c>
      <c r="AG39" s="15">
        <f t="shared" si="5"/>
        <v>17.069915848527344</v>
      </c>
      <c r="AH39" s="64">
        <f t="shared" si="6"/>
        <v>22.048641304347825</v>
      </c>
      <c r="AI39" s="15">
        <f t="shared" si="7"/>
        <v>26.458369565217389</v>
      </c>
      <c r="AJ39" s="64">
        <f t="shared" si="8"/>
        <v>30.528887959866218</v>
      </c>
      <c r="AK39" s="15">
        <f t="shared" si="9"/>
        <v>34.297886473429948</v>
      </c>
      <c r="AL39" s="15">
        <f t="shared" si="10"/>
        <v>38.345463137996227</v>
      </c>
      <c r="AN39" s="16">
        <f t="shared" si="11"/>
        <v>38.185401753155674</v>
      </c>
      <c r="AO39" s="16">
        <f t="shared" si="12"/>
        <v>49.322810597826084</v>
      </c>
      <c r="AP39" s="16">
        <f t="shared" si="13"/>
        <v>59.187372717391298</v>
      </c>
      <c r="AQ39" s="16">
        <f t="shared" si="14"/>
        <v>68.293122366220729</v>
      </c>
      <c r="AR39" s="16">
        <f t="shared" si="15"/>
        <v>76.724372041062793</v>
      </c>
      <c r="AS39" s="16">
        <f t="shared" si="16"/>
        <v>85.778801039697569</v>
      </c>
      <c r="AU39" s="16">
        <f t="shared" si="17"/>
        <v>61.451697054698442</v>
      </c>
      <c r="AV39" s="16">
        <f t="shared" si="18"/>
        <v>79.375108695652173</v>
      </c>
      <c r="AW39" s="16">
        <f t="shared" si="19"/>
        <v>95.250130434782605</v>
      </c>
      <c r="AX39" s="16">
        <f t="shared" si="20"/>
        <v>109.90399665551838</v>
      </c>
      <c r="AY39" s="16">
        <f t="shared" si="21"/>
        <v>123.47239130434781</v>
      </c>
      <c r="AZ39" s="16">
        <f t="shared" si="22"/>
        <v>138.04366729678642</v>
      </c>
    </row>
    <row r="40" spans="27:52" ht="15.75" thickBot="1" x14ac:dyDescent="0.3">
      <c r="AA40" s="41">
        <v>8600</v>
      </c>
      <c r="AB40" s="16">
        <v>57</v>
      </c>
      <c r="AC40" s="65">
        <f t="shared" si="0"/>
        <v>42.504899999999999</v>
      </c>
      <c r="AD40" s="16">
        <f t="shared" si="1"/>
        <v>42504.9</v>
      </c>
      <c r="AE40" s="21">
        <f t="shared" si="2"/>
        <v>34.809767441860465</v>
      </c>
      <c r="AG40" s="15">
        <f t="shared" si="5"/>
        <v>17.270738387921789</v>
      </c>
      <c r="AH40" s="64">
        <f t="shared" si="6"/>
        <v>22.308037084398975</v>
      </c>
      <c r="AI40" s="15">
        <f t="shared" si="7"/>
        <v>26.769644501278769</v>
      </c>
      <c r="AJ40" s="64">
        <f t="shared" si="8"/>
        <v>30.88805134762935</v>
      </c>
      <c r="AK40" s="15">
        <f t="shared" si="9"/>
        <v>34.701391020176182</v>
      </c>
      <c r="AL40" s="15">
        <f t="shared" si="10"/>
        <v>38.796586233737351</v>
      </c>
      <c r="AN40" s="16">
        <f t="shared" si="11"/>
        <v>38.634641773781041</v>
      </c>
      <c r="AO40" s="16">
        <f t="shared" si="12"/>
        <v>49.90307895780051</v>
      </c>
      <c r="AP40" s="16">
        <f t="shared" si="13"/>
        <v>59.883694749360608</v>
      </c>
      <c r="AQ40" s="16">
        <f t="shared" si="14"/>
        <v>69.096570864646864</v>
      </c>
      <c r="AR40" s="16">
        <f t="shared" si="15"/>
        <v>77.62701171213412</v>
      </c>
      <c r="AS40" s="16">
        <f t="shared" si="16"/>
        <v>86.787963404870453</v>
      </c>
      <c r="AU40" s="16">
        <f t="shared" si="17"/>
        <v>62.174658196518443</v>
      </c>
      <c r="AV40" s="16">
        <f t="shared" si="18"/>
        <v>80.308933503836315</v>
      </c>
      <c r="AW40" s="16">
        <f t="shared" si="19"/>
        <v>96.370720204603572</v>
      </c>
      <c r="AX40" s="16">
        <f t="shared" si="20"/>
        <v>111.19698485146566</v>
      </c>
      <c r="AY40" s="16">
        <f t="shared" si="21"/>
        <v>124.92500767263425</v>
      </c>
      <c r="AZ40" s="16">
        <f t="shared" si="22"/>
        <v>139.66771044145446</v>
      </c>
    </row>
    <row r="41" spans="27:52" ht="15.75" thickBot="1" x14ac:dyDescent="0.3">
      <c r="AA41" s="41">
        <v>8700</v>
      </c>
      <c r="AB41" s="16">
        <v>58</v>
      </c>
      <c r="AC41" s="65">
        <f t="shared" si="0"/>
        <v>43.250599999999999</v>
      </c>
      <c r="AD41" s="16">
        <f t="shared" si="1"/>
        <v>43250.6</v>
      </c>
      <c r="AE41" s="21">
        <f t="shared" si="2"/>
        <v>35.013333333333335</v>
      </c>
      <c r="AG41" s="15">
        <f t="shared" si="5"/>
        <v>17.471560927316226</v>
      </c>
      <c r="AH41" s="64">
        <f t="shared" si="6"/>
        <v>22.567432864450129</v>
      </c>
      <c r="AI41" s="15">
        <f t="shared" si="7"/>
        <v>27.08091943734015</v>
      </c>
      <c r="AJ41" s="64">
        <f t="shared" si="8"/>
        <v>31.247214735392483</v>
      </c>
      <c r="AK41" s="15">
        <f t="shared" si="9"/>
        <v>35.104895566922423</v>
      </c>
      <c r="AL41" s="15">
        <f t="shared" si="10"/>
        <v>39.247709329478496</v>
      </c>
      <c r="AN41" s="16">
        <f t="shared" si="11"/>
        <v>39.083881794406402</v>
      </c>
      <c r="AO41" s="16">
        <f t="shared" si="12"/>
        <v>50.483347317774943</v>
      </c>
      <c r="AP41" s="16">
        <f t="shared" si="13"/>
        <v>60.580016781329917</v>
      </c>
      <c r="AQ41" s="16">
        <f t="shared" si="14"/>
        <v>69.900019363072985</v>
      </c>
      <c r="AR41" s="16">
        <f t="shared" si="15"/>
        <v>78.529651383205461</v>
      </c>
      <c r="AS41" s="16">
        <f t="shared" si="16"/>
        <v>87.797125770043394</v>
      </c>
      <c r="AU41" s="16">
        <f t="shared" si="17"/>
        <v>62.897619338338416</v>
      </c>
      <c r="AV41" s="16">
        <f t="shared" si="18"/>
        <v>81.24275831202047</v>
      </c>
      <c r="AW41" s="16">
        <f t="shared" si="19"/>
        <v>97.491309974424539</v>
      </c>
      <c r="AX41" s="16">
        <f t="shared" si="20"/>
        <v>112.48997304741295</v>
      </c>
      <c r="AY41" s="16">
        <f t="shared" si="21"/>
        <v>126.37762404092072</v>
      </c>
      <c r="AZ41" s="16">
        <f t="shared" si="22"/>
        <v>141.29175358612258</v>
      </c>
    </row>
    <row r="42" spans="27:52" ht="15.75" thickBot="1" x14ac:dyDescent="0.3">
      <c r="AA42" s="41">
        <v>8800</v>
      </c>
      <c r="AB42" s="16">
        <v>59</v>
      </c>
      <c r="AC42" s="65">
        <f t="shared" si="0"/>
        <v>43.996300000000005</v>
      </c>
      <c r="AD42" s="16">
        <f t="shared" si="1"/>
        <v>43996.3</v>
      </c>
      <c r="AE42" s="21">
        <f t="shared" si="2"/>
        <v>35.212272727272726</v>
      </c>
      <c r="AG42" s="15">
        <f t="shared" si="5"/>
        <v>17.672383466710663</v>
      </c>
      <c r="AH42" s="64">
        <f t="shared" si="6"/>
        <v>22.82682864450128</v>
      </c>
      <c r="AI42" s="15">
        <f t="shared" si="7"/>
        <v>27.39219437340153</v>
      </c>
      <c r="AJ42" s="64">
        <f t="shared" si="8"/>
        <v>31.606378123155611</v>
      </c>
      <c r="AK42" s="15">
        <f t="shared" si="9"/>
        <v>35.508400113668657</v>
      </c>
      <c r="AL42" s="15">
        <f t="shared" si="10"/>
        <v>39.698832425219621</v>
      </c>
      <c r="AN42" s="16">
        <f t="shared" si="11"/>
        <v>39.533121815031755</v>
      </c>
      <c r="AO42" s="16">
        <f t="shared" si="12"/>
        <v>51.063615677749368</v>
      </c>
      <c r="AP42" s="16">
        <f t="shared" si="13"/>
        <v>61.276338813299226</v>
      </c>
      <c r="AQ42" s="16">
        <f t="shared" si="14"/>
        <v>70.703467861499107</v>
      </c>
      <c r="AR42" s="16">
        <f t="shared" si="15"/>
        <v>79.432291054276789</v>
      </c>
      <c r="AS42" s="16">
        <f t="shared" si="16"/>
        <v>88.806288135216292</v>
      </c>
      <c r="AU42" s="16">
        <f t="shared" si="17"/>
        <v>63.620580480158388</v>
      </c>
      <c r="AV42" s="16">
        <f t="shared" si="18"/>
        <v>82.176583120204612</v>
      </c>
      <c r="AW42" s="16">
        <f t="shared" si="19"/>
        <v>98.611899744245505</v>
      </c>
      <c r="AX42" s="16">
        <f t="shared" si="20"/>
        <v>113.78296124336021</v>
      </c>
      <c r="AY42" s="16">
        <f t="shared" si="21"/>
        <v>127.83024040920716</v>
      </c>
      <c r="AZ42" s="16">
        <f t="shared" si="22"/>
        <v>142.91579673079065</v>
      </c>
    </row>
    <row r="43" spans="27:52" ht="15.75" thickBot="1" x14ac:dyDescent="0.3">
      <c r="AA43" s="41">
        <v>8900</v>
      </c>
      <c r="AB43" s="16">
        <v>60</v>
      </c>
      <c r="AC43" s="65">
        <f t="shared" si="0"/>
        <v>44.742000000000004</v>
      </c>
      <c r="AD43" s="16">
        <f t="shared" si="1"/>
        <v>44742.000000000007</v>
      </c>
      <c r="AE43" s="21">
        <f t="shared" si="2"/>
        <v>35.406741573033706</v>
      </c>
      <c r="AG43" s="15">
        <f t="shared" si="5"/>
        <v>17.8732060061051</v>
      </c>
      <c r="AH43" s="64">
        <f t="shared" si="6"/>
        <v>23.086224424552427</v>
      </c>
      <c r="AI43" s="15">
        <f t="shared" si="7"/>
        <v>27.703469309462911</v>
      </c>
      <c r="AJ43" s="64">
        <f t="shared" si="8"/>
        <v>31.965541510918747</v>
      </c>
      <c r="AK43" s="15">
        <f t="shared" si="9"/>
        <v>35.911904660414876</v>
      </c>
      <c r="AL43" s="15">
        <f t="shared" si="10"/>
        <v>40.149955520960752</v>
      </c>
      <c r="AN43" s="16">
        <f t="shared" si="11"/>
        <v>39.982361835657109</v>
      </c>
      <c r="AO43" s="16">
        <f t="shared" si="12"/>
        <v>51.64388403772378</v>
      </c>
      <c r="AP43" s="16">
        <f t="shared" si="13"/>
        <v>61.972660845268535</v>
      </c>
      <c r="AQ43" s="16">
        <f t="shared" si="14"/>
        <v>71.506916359925242</v>
      </c>
      <c r="AR43" s="16">
        <f t="shared" si="15"/>
        <v>80.334930725348087</v>
      </c>
      <c r="AS43" s="16">
        <f t="shared" si="16"/>
        <v>89.815450500389204</v>
      </c>
      <c r="AU43" s="16">
        <f t="shared" si="17"/>
        <v>64.34354162197836</v>
      </c>
      <c r="AV43" s="16">
        <f t="shared" si="18"/>
        <v>83.110407928388739</v>
      </c>
      <c r="AW43" s="16">
        <f t="shared" si="19"/>
        <v>99.732489514066486</v>
      </c>
      <c r="AX43" s="16">
        <f t="shared" si="20"/>
        <v>115.07594943930749</v>
      </c>
      <c r="AY43" s="16">
        <f t="shared" si="21"/>
        <v>129.28285677749355</v>
      </c>
      <c r="AZ43" s="16">
        <f t="shared" si="22"/>
        <v>144.53983987545871</v>
      </c>
    </row>
    <row r="44" spans="27:52" ht="15.75" thickBot="1" x14ac:dyDescent="0.3">
      <c r="AA44" s="41">
        <v>9000</v>
      </c>
      <c r="AB44" s="16">
        <v>61</v>
      </c>
      <c r="AC44" s="65">
        <f t="shared" si="0"/>
        <v>45.487700000000004</v>
      </c>
      <c r="AD44" s="16">
        <f t="shared" si="1"/>
        <v>45487.700000000004</v>
      </c>
      <c r="AE44" s="21">
        <f t="shared" si="2"/>
        <v>35.596888888888891</v>
      </c>
      <c r="AG44" s="15">
        <f t="shared" si="5"/>
        <v>18.074028545499548</v>
      </c>
      <c r="AH44" s="64">
        <f t="shared" si="6"/>
        <v>23.345620204603577</v>
      </c>
      <c r="AI44" s="15">
        <f t="shared" si="7"/>
        <v>28.014744245524291</v>
      </c>
      <c r="AJ44" s="64">
        <f t="shared" si="8"/>
        <v>32.32470489868188</v>
      </c>
      <c r="AK44" s="15">
        <f t="shared" si="9"/>
        <v>36.315409207161117</v>
      </c>
      <c r="AL44" s="15">
        <f t="shared" si="10"/>
        <v>40.601078616701884</v>
      </c>
      <c r="AN44" s="16">
        <f t="shared" si="11"/>
        <v>40.431601856282491</v>
      </c>
      <c r="AO44" s="16">
        <f t="shared" si="12"/>
        <v>52.224152397698205</v>
      </c>
      <c r="AP44" s="16">
        <f t="shared" si="13"/>
        <v>62.668982877237845</v>
      </c>
      <c r="AQ44" s="16">
        <f t="shared" si="14"/>
        <v>72.310364858351363</v>
      </c>
      <c r="AR44" s="16">
        <f t="shared" si="15"/>
        <v>81.237570396419429</v>
      </c>
      <c r="AS44" s="16">
        <f t="shared" si="16"/>
        <v>90.824612865562116</v>
      </c>
      <c r="AU44" s="16">
        <f t="shared" si="17"/>
        <v>65.066502763798368</v>
      </c>
      <c r="AV44" s="16">
        <f t="shared" si="18"/>
        <v>84.04423273657288</v>
      </c>
      <c r="AW44" s="16">
        <f t="shared" si="19"/>
        <v>100.85307928388745</v>
      </c>
      <c r="AX44" s="16">
        <f t="shared" si="20"/>
        <v>116.36893763525477</v>
      </c>
      <c r="AY44" s="16">
        <f t="shared" si="21"/>
        <v>130.73547314578002</v>
      </c>
      <c r="AZ44" s="16">
        <f t="shared" si="22"/>
        <v>146.16388302012678</v>
      </c>
    </row>
    <row r="45" spans="27:52" ht="15.75" thickBot="1" x14ac:dyDescent="0.3">
      <c r="AA45" s="41">
        <v>9100</v>
      </c>
      <c r="AB45" s="16">
        <v>62</v>
      </c>
      <c r="AC45" s="65">
        <f t="shared" si="0"/>
        <v>46.233400000000003</v>
      </c>
      <c r="AD45" s="16">
        <f t="shared" si="1"/>
        <v>46233.4</v>
      </c>
      <c r="AE45" s="21">
        <f t="shared" si="2"/>
        <v>35.782857142857139</v>
      </c>
      <c r="AG45" s="15">
        <f t="shared" si="5"/>
        <v>18.274851084893985</v>
      </c>
      <c r="AH45" s="64">
        <f t="shared" si="6"/>
        <v>23.605015984654731</v>
      </c>
      <c r="AI45" s="15">
        <f t="shared" si="7"/>
        <v>28.326019181585671</v>
      </c>
      <c r="AJ45" s="64">
        <f t="shared" si="8"/>
        <v>32.683868286445012</v>
      </c>
      <c r="AK45" s="15">
        <f t="shared" si="9"/>
        <v>36.718913753907351</v>
      </c>
      <c r="AL45" s="15">
        <f t="shared" si="10"/>
        <v>41.052201712443015</v>
      </c>
      <c r="AN45" s="16">
        <f t="shared" si="11"/>
        <v>40.880841876907844</v>
      </c>
      <c r="AO45" s="16">
        <f t="shared" si="12"/>
        <v>52.804420757672638</v>
      </c>
      <c r="AP45" s="16">
        <f t="shared" si="13"/>
        <v>63.365304909207147</v>
      </c>
      <c r="AQ45" s="16">
        <f t="shared" si="14"/>
        <v>73.113813356777499</v>
      </c>
      <c r="AR45" s="16">
        <f t="shared" si="15"/>
        <v>82.140210067490742</v>
      </c>
      <c r="AS45" s="16">
        <f t="shared" si="16"/>
        <v>91.833775230735029</v>
      </c>
      <c r="AU45" s="16">
        <f t="shared" si="17"/>
        <v>65.789463905618348</v>
      </c>
      <c r="AV45" s="16">
        <f t="shared" si="18"/>
        <v>84.978057544757036</v>
      </c>
      <c r="AW45" s="16">
        <f t="shared" si="19"/>
        <v>101.97366905370842</v>
      </c>
      <c r="AX45" s="16">
        <f t="shared" si="20"/>
        <v>117.66192583120204</v>
      </c>
      <c r="AY45" s="16">
        <f t="shared" si="21"/>
        <v>132.18808951406646</v>
      </c>
      <c r="AZ45" s="16">
        <f t="shared" si="22"/>
        <v>147.78792616479487</v>
      </c>
    </row>
    <row r="46" spans="27:52" ht="15.75" thickBot="1" x14ac:dyDescent="0.3">
      <c r="AA46" s="41">
        <v>9200</v>
      </c>
      <c r="AB46" s="16">
        <v>64</v>
      </c>
      <c r="AC46" s="65">
        <f t="shared" si="0"/>
        <v>47.724800000000002</v>
      </c>
      <c r="AD46" s="16">
        <f t="shared" si="1"/>
        <v>47724.800000000003</v>
      </c>
      <c r="AE46" s="21">
        <f t="shared" si="2"/>
        <v>36.535652173913043</v>
      </c>
      <c r="AG46" s="15">
        <f t="shared" si="5"/>
        <v>18.475673624288422</v>
      </c>
      <c r="AH46" s="64">
        <f t="shared" si="6"/>
        <v>23.864411764705885</v>
      </c>
      <c r="AI46" s="15">
        <f t="shared" si="7"/>
        <v>28.637294117647055</v>
      </c>
      <c r="AJ46" s="64">
        <f t="shared" si="8"/>
        <v>33.043031674208144</v>
      </c>
      <c r="AK46" s="15">
        <f t="shared" si="9"/>
        <v>37.122418300653592</v>
      </c>
      <c r="AL46" s="15">
        <f t="shared" si="10"/>
        <v>41.503324808184146</v>
      </c>
      <c r="AN46" s="16">
        <f t="shared" si="11"/>
        <v>41.330081897533205</v>
      </c>
      <c r="AO46" s="16">
        <f t="shared" si="12"/>
        <v>53.384689117647063</v>
      </c>
      <c r="AP46" s="16">
        <f t="shared" si="13"/>
        <v>64.06162694117647</v>
      </c>
      <c r="AQ46" s="16">
        <f t="shared" si="14"/>
        <v>73.91726185520362</v>
      </c>
      <c r="AR46" s="16">
        <f t="shared" si="15"/>
        <v>83.042849738562083</v>
      </c>
      <c r="AS46" s="16">
        <f t="shared" si="16"/>
        <v>92.842937595907941</v>
      </c>
      <c r="AU46" s="16">
        <f t="shared" si="17"/>
        <v>66.512425047438327</v>
      </c>
      <c r="AV46" s="16">
        <f t="shared" si="18"/>
        <v>85.911882352941191</v>
      </c>
      <c r="AW46" s="16">
        <f t="shared" si="19"/>
        <v>103.0942588235294</v>
      </c>
      <c r="AX46" s="16">
        <f t="shared" si="20"/>
        <v>118.95491402714933</v>
      </c>
      <c r="AY46" s="16">
        <f t="shared" si="21"/>
        <v>133.64070588235293</v>
      </c>
      <c r="AZ46" s="16">
        <f t="shared" si="22"/>
        <v>149.41196930946293</v>
      </c>
    </row>
    <row r="47" spans="27:52" ht="15.75" thickBot="1" x14ac:dyDescent="0.3">
      <c r="AA47" s="41">
        <v>9300</v>
      </c>
      <c r="AB47" s="16">
        <v>66</v>
      </c>
      <c r="AC47" s="65">
        <f t="shared" si="0"/>
        <v>49.216200000000001</v>
      </c>
      <c r="AD47" s="16">
        <f t="shared" si="1"/>
        <v>49216.2</v>
      </c>
      <c r="AE47" s="21">
        <f t="shared" si="2"/>
        <v>37.27225806451613</v>
      </c>
      <c r="AG47" s="15">
        <f t="shared" si="5"/>
        <v>18.676496163682863</v>
      </c>
      <c r="AH47" s="64">
        <f t="shared" si="6"/>
        <v>24.123807544757032</v>
      </c>
      <c r="AI47" s="15">
        <f t="shared" si="7"/>
        <v>28.948569053708436</v>
      </c>
      <c r="AJ47" s="64">
        <f t="shared" si="8"/>
        <v>33.402195061971277</v>
      </c>
      <c r="AK47" s="15">
        <f t="shared" si="9"/>
        <v>37.525922847399819</v>
      </c>
      <c r="AL47" s="15">
        <f t="shared" si="10"/>
        <v>41.954447903925278</v>
      </c>
      <c r="AN47" s="16">
        <f t="shared" si="11"/>
        <v>41.779321918158566</v>
      </c>
      <c r="AO47" s="16">
        <f t="shared" si="12"/>
        <v>53.964957477621482</v>
      </c>
      <c r="AP47" s="16">
        <f t="shared" si="13"/>
        <v>64.757948973145773</v>
      </c>
      <c r="AQ47" s="16">
        <f t="shared" si="14"/>
        <v>74.720710353629755</v>
      </c>
      <c r="AR47" s="16">
        <f t="shared" si="15"/>
        <v>83.945489409633396</v>
      </c>
      <c r="AS47" s="16">
        <f t="shared" si="16"/>
        <v>93.852099961080853</v>
      </c>
      <c r="AU47" s="16">
        <f t="shared" si="17"/>
        <v>67.235386189258307</v>
      </c>
      <c r="AV47" s="16">
        <f t="shared" si="18"/>
        <v>86.845707161125318</v>
      </c>
      <c r="AW47" s="16">
        <f t="shared" si="19"/>
        <v>104.21484859335037</v>
      </c>
      <c r="AX47" s="16">
        <f t="shared" si="20"/>
        <v>120.2479022230966</v>
      </c>
      <c r="AY47" s="16">
        <f t="shared" si="21"/>
        <v>135.09332225063935</v>
      </c>
      <c r="AZ47" s="16">
        <f t="shared" si="22"/>
        <v>151.036012454131</v>
      </c>
    </row>
    <row r="48" spans="27:52" ht="15.75" thickBot="1" x14ac:dyDescent="0.3">
      <c r="AA48" s="41">
        <v>9400</v>
      </c>
      <c r="AB48" s="16">
        <v>68</v>
      </c>
      <c r="AC48" s="65">
        <f t="shared" ref="AC48:AC111" si="28">0.7457*AB48</f>
        <v>50.707599999999999</v>
      </c>
      <c r="AD48" s="16">
        <f t="shared" ref="AD48:AD111" si="29">AC48*10^3</f>
        <v>50707.6</v>
      </c>
      <c r="AE48" s="21">
        <f t="shared" ref="AE48:AE111" si="30">(AB48*5252)/AA48</f>
        <v>37.993191489361699</v>
      </c>
      <c r="AG48" s="15">
        <f t="shared" si="5"/>
        <v>18.877318703077304</v>
      </c>
      <c r="AH48" s="64">
        <f t="shared" si="6"/>
        <v>24.383203324808182</v>
      </c>
      <c r="AI48" s="15">
        <f t="shared" si="7"/>
        <v>29.25984398976982</v>
      </c>
      <c r="AJ48" s="64">
        <f t="shared" si="8"/>
        <v>33.761358449734409</v>
      </c>
      <c r="AK48" s="15">
        <f t="shared" si="9"/>
        <v>37.92942739414606</v>
      </c>
      <c r="AL48" s="15">
        <f t="shared" si="10"/>
        <v>42.405570999666416</v>
      </c>
      <c r="AN48" s="16">
        <f t="shared" si="11"/>
        <v>42.228561938783933</v>
      </c>
      <c r="AO48" s="16">
        <f t="shared" si="12"/>
        <v>54.545225837595908</v>
      </c>
      <c r="AP48" s="16">
        <f t="shared" si="13"/>
        <v>65.454271005115089</v>
      </c>
      <c r="AQ48" s="16">
        <f t="shared" si="14"/>
        <v>75.524158852055876</v>
      </c>
      <c r="AR48" s="16">
        <f t="shared" si="15"/>
        <v>84.848129080704737</v>
      </c>
      <c r="AS48" s="16">
        <f t="shared" si="16"/>
        <v>94.86126232625378</v>
      </c>
      <c r="AU48" s="16">
        <f t="shared" si="17"/>
        <v>67.958347331078301</v>
      </c>
      <c r="AV48" s="16">
        <f t="shared" si="18"/>
        <v>87.77953196930946</v>
      </c>
      <c r="AW48" s="16">
        <f t="shared" si="19"/>
        <v>105.33543836317135</v>
      </c>
      <c r="AX48" s="16">
        <f t="shared" si="20"/>
        <v>121.54089041904388</v>
      </c>
      <c r="AY48" s="16">
        <f t="shared" si="21"/>
        <v>136.54593861892582</v>
      </c>
      <c r="AZ48" s="16">
        <f t="shared" si="22"/>
        <v>152.66005559879909</v>
      </c>
    </row>
    <row r="49" spans="27:52" ht="15.75" thickBot="1" x14ac:dyDescent="0.3">
      <c r="AA49" s="41">
        <v>9500</v>
      </c>
      <c r="AB49" s="16">
        <v>70</v>
      </c>
      <c r="AC49" s="65">
        <f t="shared" si="28"/>
        <v>52.199000000000005</v>
      </c>
      <c r="AD49" s="16">
        <f t="shared" si="29"/>
        <v>52199.000000000007</v>
      </c>
      <c r="AE49" s="21">
        <f t="shared" si="30"/>
        <v>38.698947368421052</v>
      </c>
      <c r="AG49" s="15">
        <f t="shared" si="5"/>
        <v>19.078141242471741</v>
      </c>
      <c r="AH49" s="64">
        <f t="shared" si="6"/>
        <v>24.642599104859336</v>
      </c>
      <c r="AI49" s="15">
        <f t="shared" si="7"/>
        <v>29.571118925831197</v>
      </c>
      <c r="AJ49" s="64">
        <f t="shared" si="8"/>
        <v>34.120521837497535</v>
      </c>
      <c r="AK49" s="15">
        <f t="shared" si="9"/>
        <v>38.332931940892294</v>
      </c>
      <c r="AL49" s="15">
        <f t="shared" si="10"/>
        <v>42.856694095407548</v>
      </c>
      <c r="AN49" s="16">
        <f t="shared" si="11"/>
        <v>42.677801959409287</v>
      </c>
      <c r="AO49" s="16">
        <f t="shared" si="12"/>
        <v>55.12549419757034</v>
      </c>
      <c r="AP49" s="16">
        <f t="shared" si="13"/>
        <v>66.150593037084391</v>
      </c>
      <c r="AQ49" s="16">
        <f t="shared" si="14"/>
        <v>76.327607350481983</v>
      </c>
      <c r="AR49" s="16">
        <f t="shared" si="15"/>
        <v>85.750768751776064</v>
      </c>
      <c r="AS49" s="16">
        <f t="shared" si="16"/>
        <v>95.870424691426692</v>
      </c>
      <c r="AU49" s="16">
        <f t="shared" si="17"/>
        <v>68.681308472898266</v>
      </c>
      <c r="AV49" s="16">
        <f t="shared" si="18"/>
        <v>88.713356777493615</v>
      </c>
      <c r="AW49" s="16">
        <f t="shared" si="19"/>
        <v>106.45602813299232</v>
      </c>
      <c r="AX49" s="16">
        <f t="shared" si="20"/>
        <v>122.83387861499112</v>
      </c>
      <c r="AY49" s="16">
        <f t="shared" si="21"/>
        <v>137.99855498721226</v>
      </c>
      <c r="AZ49" s="16">
        <f t="shared" si="22"/>
        <v>154.28409874346718</v>
      </c>
    </row>
    <row r="50" spans="27:52" ht="15.75" thickBot="1" x14ac:dyDescent="0.3">
      <c r="AA50" s="41">
        <v>9600</v>
      </c>
      <c r="AB50" s="16">
        <v>72</v>
      </c>
      <c r="AC50" s="65">
        <f t="shared" si="28"/>
        <v>53.690400000000004</v>
      </c>
      <c r="AD50" s="16">
        <f t="shared" si="29"/>
        <v>53690.400000000001</v>
      </c>
      <c r="AE50" s="21">
        <f t="shared" si="30"/>
        <v>39.39</v>
      </c>
      <c r="AG50" s="15">
        <f t="shared" si="5"/>
        <v>19.278963781866182</v>
      </c>
      <c r="AH50" s="64">
        <f t="shared" si="6"/>
        <v>24.901994884910486</v>
      </c>
      <c r="AI50" s="15">
        <f t="shared" si="7"/>
        <v>29.882393861892581</v>
      </c>
      <c r="AJ50" s="64">
        <f t="shared" si="8"/>
        <v>34.479685225260667</v>
      </c>
      <c r="AK50" s="15">
        <f t="shared" si="9"/>
        <v>38.736436487638528</v>
      </c>
      <c r="AL50" s="15">
        <f t="shared" si="10"/>
        <v>43.307817191148679</v>
      </c>
      <c r="AN50" s="16">
        <f t="shared" si="11"/>
        <v>43.127041980034647</v>
      </c>
      <c r="AO50" s="16">
        <f t="shared" si="12"/>
        <v>55.705762557544759</v>
      </c>
      <c r="AP50" s="16">
        <f t="shared" si="13"/>
        <v>66.846915069053708</v>
      </c>
      <c r="AQ50" s="16">
        <f t="shared" si="14"/>
        <v>77.131055848908119</v>
      </c>
      <c r="AR50" s="16">
        <f t="shared" si="15"/>
        <v>86.653408422847392</v>
      </c>
      <c r="AS50" s="16">
        <f t="shared" si="16"/>
        <v>96.879587056599604</v>
      </c>
      <c r="AU50" s="16">
        <f t="shared" si="17"/>
        <v>69.40426961471826</v>
      </c>
      <c r="AV50" s="16">
        <f t="shared" si="18"/>
        <v>89.647181585677757</v>
      </c>
      <c r="AW50" s="16">
        <f t="shared" si="19"/>
        <v>107.5766179028133</v>
      </c>
      <c r="AX50" s="16">
        <f t="shared" si="20"/>
        <v>124.12686681093841</v>
      </c>
      <c r="AY50" s="16">
        <f t="shared" si="21"/>
        <v>139.4511713554987</v>
      </c>
      <c r="AZ50" s="16">
        <f t="shared" si="22"/>
        <v>155.90814188813525</v>
      </c>
    </row>
    <row r="51" spans="27:52" ht="15.75" thickBot="1" x14ac:dyDescent="0.3">
      <c r="AA51" s="41">
        <v>9700</v>
      </c>
      <c r="AB51" s="16">
        <v>74</v>
      </c>
      <c r="AC51" s="65">
        <f t="shared" si="28"/>
        <v>55.181800000000003</v>
      </c>
      <c r="AD51" s="16">
        <f t="shared" si="29"/>
        <v>55181.8</v>
      </c>
      <c r="AE51" s="21">
        <f t="shared" si="30"/>
        <v>40.066804123711343</v>
      </c>
      <c r="AG51" s="15">
        <f t="shared" si="5"/>
        <v>19.479786321260622</v>
      </c>
      <c r="AH51" s="64">
        <f t="shared" si="6"/>
        <v>25.161390664961637</v>
      </c>
      <c r="AI51" s="15">
        <f t="shared" si="7"/>
        <v>30.193668797953958</v>
      </c>
      <c r="AJ51" s="64">
        <f t="shared" si="8"/>
        <v>34.838848613023806</v>
      </c>
      <c r="AK51" s="15">
        <f t="shared" si="9"/>
        <v>39.139941034384755</v>
      </c>
      <c r="AL51" s="15">
        <f t="shared" si="10"/>
        <v>43.758940286889811</v>
      </c>
      <c r="AN51" s="16">
        <f t="shared" si="11"/>
        <v>43.576282000660015</v>
      </c>
      <c r="AO51" s="16">
        <f t="shared" si="12"/>
        <v>56.286030917519184</v>
      </c>
      <c r="AP51" s="16">
        <f t="shared" si="13"/>
        <v>67.54323710102301</v>
      </c>
      <c r="AQ51" s="16">
        <f t="shared" si="14"/>
        <v>77.934504347334254</v>
      </c>
      <c r="AR51" s="16">
        <f t="shared" si="15"/>
        <v>87.556048093918704</v>
      </c>
      <c r="AS51" s="16">
        <f t="shared" si="16"/>
        <v>97.888749421772516</v>
      </c>
      <c r="AU51" s="16">
        <f t="shared" si="17"/>
        <v>70.127230756538239</v>
      </c>
      <c r="AV51" s="16">
        <f t="shared" si="18"/>
        <v>90.581006393861898</v>
      </c>
      <c r="AW51" s="16">
        <f t="shared" si="19"/>
        <v>108.69720767263425</v>
      </c>
      <c r="AX51" s="16">
        <f t="shared" si="20"/>
        <v>125.41985500688571</v>
      </c>
      <c r="AY51" s="16">
        <f t="shared" si="21"/>
        <v>140.90378772378511</v>
      </c>
      <c r="AZ51" s="16">
        <f t="shared" si="22"/>
        <v>157.53218503280331</v>
      </c>
    </row>
    <row r="52" spans="27:52" ht="15.75" thickBot="1" x14ac:dyDescent="0.3">
      <c r="AA52" s="41">
        <v>9800</v>
      </c>
      <c r="AB52" s="16">
        <v>76</v>
      </c>
      <c r="AC52" s="65">
        <f t="shared" si="28"/>
        <v>56.673200000000001</v>
      </c>
      <c r="AD52" s="16">
        <f t="shared" si="29"/>
        <v>56673.200000000004</v>
      </c>
      <c r="AE52" s="21">
        <f t="shared" si="30"/>
        <v>40.729795918367344</v>
      </c>
      <c r="AG52" s="15">
        <f t="shared" si="5"/>
        <v>19.68060886065506</v>
      </c>
      <c r="AH52" s="64">
        <f t="shared" si="6"/>
        <v>25.420786445012784</v>
      </c>
      <c r="AI52" s="15">
        <f t="shared" si="7"/>
        <v>30.504943734015342</v>
      </c>
      <c r="AJ52" s="64">
        <f t="shared" si="8"/>
        <v>35.198012000786932</v>
      </c>
      <c r="AK52" s="15">
        <f t="shared" si="9"/>
        <v>39.543445581130996</v>
      </c>
      <c r="AL52" s="15">
        <f t="shared" si="10"/>
        <v>44.210063382630935</v>
      </c>
      <c r="AN52" s="16">
        <f t="shared" si="11"/>
        <v>44.025522021285369</v>
      </c>
      <c r="AO52" s="16">
        <f t="shared" si="12"/>
        <v>56.866299277493603</v>
      </c>
      <c r="AP52" s="16">
        <f t="shared" si="13"/>
        <v>68.239559132992326</v>
      </c>
      <c r="AQ52" s="16">
        <f t="shared" si="14"/>
        <v>78.737952845760375</v>
      </c>
      <c r="AR52" s="16">
        <f t="shared" si="15"/>
        <v>88.458687764990046</v>
      </c>
      <c r="AS52" s="16">
        <f t="shared" si="16"/>
        <v>98.8979117869454</v>
      </c>
      <c r="AU52" s="16">
        <f t="shared" si="17"/>
        <v>70.850191898358219</v>
      </c>
      <c r="AV52" s="16">
        <f t="shared" si="18"/>
        <v>91.514831202046025</v>
      </c>
      <c r="AW52" s="16">
        <f t="shared" si="19"/>
        <v>109.81779744245523</v>
      </c>
      <c r="AX52" s="16">
        <f t="shared" si="20"/>
        <v>126.71284320283296</v>
      </c>
      <c r="AY52" s="16">
        <f t="shared" si="21"/>
        <v>142.35640409207159</v>
      </c>
      <c r="AZ52" s="16">
        <f t="shared" si="22"/>
        <v>159.15622817747138</v>
      </c>
    </row>
    <row r="53" spans="27:52" ht="15.75" thickBot="1" x14ac:dyDescent="0.3">
      <c r="AA53" s="41">
        <v>9900</v>
      </c>
      <c r="AB53" s="16">
        <v>78</v>
      </c>
      <c r="AC53" s="65">
        <f t="shared" si="28"/>
        <v>58.1646</v>
      </c>
      <c r="AD53" s="16">
        <f t="shared" si="29"/>
        <v>58164.6</v>
      </c>
      <c r="AE53" s="21">
        <f t="shared" si="30"/>
        <v>41.379393939393943</v>
      </c>
      <c r="AG53" s="15">
        <f t="shared" si="5"/>
        <v>19.8814314000495</v>
      </c>
      <c r="AH53" s="64">
        <f t="shared" si="6"/>
        <v>25.680182225063938</v>
      </c>
      <c r="AI53" s="15">
        <f t="shared" si="7"/>
        <v>30.816218670076719</v>
      </c>
      <c r="AJ53" s="64">
        <f t="shared" si="8"/>
        <v>35.557175388550064</v>
      </c>
      <c r="AK53" s="15">
        <f t="shared" si="9"/>
        <v>39.94695012787723</v>
      </c>
      <c r="AL53" s="15">
        <f t="shared" si="10"/>
        <v>44.661186478372073</v>
      </c>
      <c r="AN53" s="16">
        <f t="shared" si="11"/>
        <v>44.474762041910736</v>
      </c>
      <c r="AO53" s="16">
        <f t="shared" si="12"/>
        <v>57.446567637468029</v>
      </c>
      <c r="AP53" s="16">
        <f t="shared" si="13"/>
        <v>68.935881164961629</v>
      </c>
      <c r="AQ53" s="16">
        <f t="shared" si="14"/>
        <v>79.541401344186497</v>
      </c>
      <c r="AR53" s="16">
        <f t="shared" si="15"/>
        <v>89.361327436061373</v>
      </c>
      <c r="AS53" s="16">
        <f t="shared" si="16"/>
        <v>99.907074152118327</v>
      </c>
      <c r="AU53" s="16">
        <f t="shared" si="17"/>
        <v>71.573153040178198</v>
      </c>
      <c r="AV53" s="16">
        <f t="shared" si="18"/>
        <v>92.448656010230181</v>
      </c>
      <c r="AW53" s="16">
        <f t="shared" si="19"/>
        <v>110.93838721227618</v>
      </c>
      <c r="AX53" s="16">
        <f t="shared" si="20"/>
        <v>128.00583139878023</v>
      </c>
      <c r="AY53" s="16">
        <f t="shared" si="21"/>
        <v>143.80902046035803</v>
      </c>
      <c r="AZ53" s="16">
        <f t="shared" si="22"/>
        <v>160.78027132213947</v>
      </c>
    </row>
    <row r="54" spans="27:52" ht="15.75" thickBot="1" x14ac:dyDescent="0.3">
      <c r="AA54" s="41">
        <v>10000</v>
      </c>
      <c r="AB54" s="16">
        <v>81</v>
      </c>
      <c r="AC54" s="65">
        <f t="shared" si="28"/>
        <v>60.401700000000005</v>
      </c>
      <c r="AD54" s="16">
        <f t="shared" si="29"/>
        <v>60401.700000000004</v>
      </c>
      <c r="AE54" s="21">
        <f t="shared" si="30"/>
        <v>42.541200000000003</v>
      </c>
      <c r="AG54" s="15">
        <f t="shared" si="5"/>
        <v>20.082253939443937</v>
      </c>
      <c r="AH54" s="64">
        <f t="shared" si="6"/>
        <v>25.939578005115088</v>
      </c>
      <c r="AI54" s="15">
        <f t="shared" si="7"/>
        <v>31.127493606138103</v>
      </c>
      <c r="AJ54" s="64">
        <f t="shared" si="8"/>
        <v>35.916338776313196</v>
      </c>
      <c r="AK54" s="15">
        <f t="shared" si="9"/>
        <v>40.350454674623471</v>
      </c>
      <c r="AL54" s="15">
        <f t="shared" si="10"/>
        <v>45.112309574113205</v>
      </c>
      <c r="AN54" s="16">
        <f t="shared" si="11"/>
        <v>44.92400206253609</v>
      </c>
      <c r="AO54" s="16">
        <f t="shared" si="12"/>
        <v>58.026835997442454</v>
      </c>
      <c r="AP54" s="16">
        <f t="shared" si="13"/>
        <v>69.632203196930945</v>
      </c>
      <c r="AQ54" s="16">
        <f t="shared" si="14"/>
        <v>80.344849842612618</v>
      </c>
      <c r="AR54" s="16">
        <f t="shared" si="15"/>
        <v>90.263967107132714</v>
      </c>
      <c r="AS54" s="16">
        <f t="shared" si="16"/>
        <v>100.91623651729124</v>
      </c>
      <c r="AU54" s="16">
        <f t="shared" si="17"/>
        <v>72.296114181998178</v>
      </c>
      <c r="AV54" s="16">
        <f t="shared" si="18"/>
        <v>93.382480818414322</v>
      </c>
      <c r="AW54" s="16">
        <f t="shared" si="19"/>
        <v>112.05897698209718</v>
      </c>
      <c r="AX54" s="16">
        <f t="shared" si="20"/>
        <v>129.29881959472752</v>
      </c>
      <c r="AY54" s="16">
        <f t="shared" si="21"/>
        <v>145.2616368286445</v>
      </c>
      <c r="AZ54" s="16">
        <f t="shared" si="22"/>
        <v>162.40431446680753</v>
      </c>
    </row>
    <row r="55" spans="27:52" ht="15.75" thickBot="1" x14ac:dyDescent="0.3">
      <c r="AA55" s="41">
        <v>10100</v>
      </c>
      <c r="AB55" s="16">
        <v>83</v>
      </c>
      <c r="AC55" s="65">
        <f t="shared" si="28"/>
        <v>61.893100000000004</v>
      </c>
      <c r="AD55" s="16">
        <f t="shared" si="29"/>
        <v>61893.100000000006</v>
      </c>
      <c r="AE55" s="21">
        <f t="shared" si="30"/>
        <v>43.16</v>
      </c>
      <c r="AG55" s="15">
        <f t="shared" si="5"/>
        <v>20.283076478838378</v>
      </c>
      <c r="AH55" s="64">
        <f t="shared" si="6"/>
        <v>26.198973785166238</v>
      </c>
      <c r="AI55" s="15">
        <f t="shared" si="7"/>
        <v>31.438768542199487</v>
      </c>
      <c r="AJ55" s="64">
        <f t="shared" si="8"/>
        <v>36.275502164076329</v>
      </c>
      <c r="AK55" s="15">
        <f t="shared" si="9"/>
        <v>40.753959221369698</v>
      </c>
      <c r="AL55" s="15">
        <f t="shared" si="10"/>
        <v>45.563432669854336</v>
      </c>
      <c r="AN55" s="16">
        <f t="shared" si="11"/>
        <v>45.37324208316145</v>
      </c>
      <c r="AO55" s="16">
        <f t="shared" si="12"/>
        <v>58.60710435741688</v>
      </c>
      <c r="AP55" s="16">
        <f t="shared" si="13"/>
        <v>70.328525228900261</v>
      </c>
      <c r="AQ55" s="16">
        <f t="shared" si="14"/>
        <v>81.148298341038753</v>
      </c>
      <c r="AR55" s="16">
        <f t="shared" si="15"/>
        <v>91.166606778204013</v>
      </c>
      <c r="AS55" s="16">
        <f t="shared" si="16"/>
        <v>101.92539888246415</v>
      </c>
      <c r="AU55" s="16">
        <f t="shared" si="17"/>
        <v>73.019075323818157</v>
      </c>
      <c r="AV55" s="16">
        <f t="shared" si="18"/>
        <v>94.316305626598464</v>
      </c>
      <c r="AW55" s="16">
        <f t="shared" si="19"/>
        <v>113.17956675191816</v>
      </c>
      <c r="AX55" s="16">
        <f t="shared" si="20"/>
        <v>130.59180779067478</v>
      </c>
      <c r="AY55" s="16">
        <f t="shared" si="21"/>
        <v>146.71425319693091</v>
      </c>
      <c r="AZ55" s="16">
        <f t="shared" si="22"/>
        <v>164.02835761147563</v>
      </c>
    </row>
    <row r="56" spans="27:52" ht="15.75" thickBot="1" x14ac:dyDescent="0.3">
      <c r="AA56" s="41">
        <v>10200</v>
      </c>
      <c r="AB56" s="16">
        <v>85</v>
      </c>
      <c r="AC56" s="65">
        <f t="shared" si="28"/>
        <v>63.384500000000003</v>
      </c>
      <c r="AD56" s="16">
        <f t="shared" si="29"/>
        <v>63384.5</v>
      </c>
      <c r="AE56" s="21">
        <f t="shared" si="30"/>
        <v>43.766666666666666</v>
      </c>
      <c r="AG56" s="15">
        <f t="shared" si="5"/>
        <v>20.483899018232815</v>
      </c>
      <c r="AH56" s="64">
        <f t="shared" si="6"/>
        <v>26.458369565217389</v>
      </c>
      <c r="AI56" s="15">
        <f t="shared" si="7"/>
        <v>31.750043478260867</v>
      </c>
      <c r="AJ56" s="64">
        <f t="shared" si="8"/>
        <v>36.634665551839461</v>
      </c>
      <c r="AK56" s="15">
        <f t="shared" si="9"/>
        <v>41.157463768115939</v>
      </c>
      <c r="AL56" s="15">
        <f t="shared" si="10"/>
        <v>46.014555765595475</v>
      </c>
      <c r="AN56" s="16">
        <f t="shared" si="11"/>
        <v>45.822482103786811</v>
      </c>
      <c r="AO56" s="16">
        <f t="shared" si="12"/>
        <v>59.187372717391298</v>
      </c>
      <c r="AP56" s="16">
        <f t="shared" si="13"/>
        <v>71.024847260869564</v>
      </c>
      <c r="AQ56" s="16">
        <f t="shared" si="14"/>
        <v>81.951746839464874</v>
      </c>
      <c r="AR56" s="16">
        <f t="shared" si="15"/>
        <v>92.069246449275354</v>
      </c>
      <c r="AS56" s="16">
        <f t="shared" si="16"/>
        <v>102.93456124763708</v>
      </c>
      <c r="AU56" s="16">
        <f t="shared" si="17"/>
        <v>73.742036465638137</v>
      </c>
      <c r="AV56" s="16">
        <f t="shared" si="18"/>
        <v>95.250130434782605</v>
      </c>
      <c r="AW56" s="16">
        <f t="shared" si="19"/>
        <v>114.30015652173913</v>
      </c>
      <c r="AX56" s="16">
        <f t="shared" si="20"/>
        <v>131.88479598662207</v>
      </c>
      <c r="AY56" s="16">
        <f t="shared" si="21"/>
        <v>148.16686956521738</v>
      </c>
      <c r="AZ56" s="16">
        <f t="shared" si="22"/>
        <v>165.65240075614372</v>
      </c>
    </row>
    <row r="57" spans="27:52" ht="15.75" thickBot="1" x14ac:dyDescent="0.3">
      <c r="AA57" s="41">
        <v>10300</v>
      </c>
      <c r="AB57" s="16">
        <v>87</v>
      </c>
      <c r="AC57" s="65">
        <f t="shared" si="28"/>
        <v>64.875900000000001</v>
      </c>
      <c r="AD57" s="16">
        <f t="shared" si="29"/>
        <v>64875.9</v>
      </c>
      <c r="AE57" s="21">
        <f t="shared" si="30"/>
        <v>44.361553398058255</v>
      </c>
      <c r="AG57" s="15">
        <f t="shared" si="5"/>
        <v>20.684721557627256</v>
      </c>
      <c r="AH57" s="64">
        <f t="shared" si="6"/>
        <v>26.717765345268543</v>
      </c>
      <c r="AI57" s="15">
        <f t="shared" si="7"/>
        <v>32.061318414322244</v>
      </c>
      <c r="AJ57" s="64">
        <f t="shared" si="8"/>
        <v>36.993828939602601</v>
      </c>
      <c r="AK57" s="15">
        <f t="shared" si="9"/>
        <v>41.560968314862166</v>
      </c>
      <c r="AL57" s="15">
        <f t="shared" si="10"/>
        <v>46.465678861336606</v>
      </c>
      <c r="AN57" s="16">
        <f t="shared" si="11"/>
        <v>46.271722124412172</v>
      </c>
      <c r="AO57" s="16">
        <f t="shared" si="12"/>
        <v>59.767641077365731</v>
      </c>
      <c r="AP57" s="16">
        <f t="shared" si="13"/>
        <v>71.721169292838866</v>
      </c>
      <c r="AQ57" s="16">
        <f t="shared" si="14"/>
        <v>82.755195337891024</v>
      </c>
      <c r="AR57" s="16">
        <f t="shared" si="15"/>
        <v>92.971886120346667</v>
      </c>
      <c r="AS57" s="16">
        <f t="shared" si="16"/>
        <v>103.94372361280999</v>
      </c>
      <c r="AU57" s="16">
        <f t="shared" si="17"/>
        <v>74.46499760745813</v>
      </c>
      <c r="AV57" s="16">
        <f t="shared" si="18"/>
        <v>96.183955242966761</v>
      </c>
      <c r="AW57" s="16">
        <f t="shared" si="19"/>
        <v>115.42074629156008</v>
      </c>
      <c r="AX57" s="16">
        <f t="shared" si="20"/>
        <v>133.17778418256935</v>
      </c>
      <c r="AY57" s="16">
        <f t="shared" si="21"/>
        <v>149.6194859335038</v>
      </c>
      <c r="AZ57" s="16">
        <f t="shared" si="22"/>
        <v>167.27644390081178</v>
      </c>
    </row>
    <row r="58" spans="27:52" ht="15.75" thickBot="1" x14ac:dyDescent="0.3">
      <c r="AA58" s="41">
        <v>10400</v>
      </c>
      <c r="AB58" s="16">
        <v>89</v>
      </c>
      <c r="AC58" s="65">
        <f t="shared" si="28"/>
        <v>66.3673</v>
      </c>
      <c r="AD58" s="16">
        <f t="shared" si="29"/>
        <v>66367.3</v>
      </c>
      <c r="AE58" s="21">
        <f t="shared" si="30"/>
        <v>44.945</v>
      </c>
      <c r="AG58" s="15">
        <f t="shared" si="5"/>
        <v>20.885544097021693</v>
      </c>
      <c r="AH58" s="64">
        <f t="shared" si="6"/>
        <v>26.977161125319693</v>
      </c>
      <c r="AI58" s="15">
        <f t="shared" si="7"/>
        <v>32.372593350383632</v>
      </c>
      <c r="AJ58" s="64">
        <f t="shared" si="8"/>
        <v>37.352992327365726</v>
      </c>
      <c r="AK58" s="15">
        <f t="shared" si="9"/>
        <v>41.964472861608407</v>
      </c>
      <c r="AL58" s="15">
        <f t="shared" si="10"/>
        <v>46.916801957077737</v>
      </c>
      <c r="AN58" s="16">
        <f t="shared" si="11"/>
        <v>46.720962145037532</v>
      </c>
      <c r="AO58" s="16">
        <f t="shared" si="12"/>
        <v>60.347909437340157</v>
      </c>
      <c r="AP58" s="16">
        <f t="shared" si="13"/>
        <v>72.417491324808182</v>
      </c>
      <c r="AQ58" s="16">
        <f t="shared" si="14"/>
        <v>83.558643836317131</v>
      </c>
      <c r="AR58" s="16">
        <f t="shared" si="15"/>
        <v>93.874525791418009</v>
      </c>
      <c r="AS58" s="16">
        <f t="shared" si="16"/>
        <v>104.9528859779829</v>
      </c>
      <c r="AU58" s="16">
        <f t="shared" si="17"/>
        <v>75.187958749278096</v>
      </c>
      <c r="AV58" s="16">
        <f t="shared" si="18"/>
        <v>97.117780051150902</v>
      </c>
      <c r="AW58" s="16">
        <f t="shared" si="19"/>
        <v>116.54133606138107</v>
      </c>
      <c r="AX58" s="16">
        <f t="shared" si="20"/>
        <v>134.47077237851661</v>
      </c>
      <c r="AY58" s="16">
        <f t="shared" si="21"/>
        <v>151.07210230179027</v>
      </c>
      <c r="AZ58" s="16">
        <f t="shared" si="22"/>
        <v>168.90048704547985</v>
      </c>
    </row>
    <row r="59" spans="27:52" ht="15.75" thickBot="1" x14ac:dyDescent="0.3">
      <c r="AA59" s="41">
        <v>10500</v>
      </c>
      <c r="AB59" s="16">
        <v>91</v>
      </c>
      <c r="AC59" s="65">
        <f t="shared" si="28"/>
        <v>67.858699999999999</v>
      </c>
      <c r="AD59" s="16">
        <f t="shared" si="29"/>
        <v>67858.7</v>
      </c>
      <c r="AE59" s="21">
        <f t="shared" si="30"/>
        <v>45.517333333333333</v>
      </c>
      <c r="AG59" s="15">
        <f t="shared" si="5"/>
        <v>21.086366636416134</v>
      </c>
      <c r="AH59" s="64">
        <f t="shared" si="6"/>
        <v>27.236556905370843</v>
      </c>
      <c r="AI59" s="15">
        <f t="shared" si="7"/>
        <v>32.683868286445005</v>
      </c>
      <c r="AJ59" s="64">
        <f t="shared" si="8"/>
        <v>37.712155715128851</v>
      </c>
      <c r="AK59" s="15">
        <f t="shared" si="9"/>
        <v>42.367977408354633</v>
      </c>
      <c r="AL59" s="15">
        <f t="shared" si="10"/>
        <v>47.367925052818869</v>
      </c>
      <c r="AN59" s="16">
        <f t="shared" si="11"/>
        <v>47.170202165662893</v>
      </c>
      <c r="AO59" s="16">
        <f t="shared" si="12"/>
        <v>60.928177797314582</v>
      </c>
      <c r="AP59" s="16">
        <f t="shared" si="13"/>
        <v>73.113813356777484</v>
      </c>
      <c r="AQ59" s="16">
        <f t="shared" si="14"/>
        <v>84.362092334743238</v>
      </c>
      <c r="AR59" s="16">
        <f t="shared" si="15"/>
        <v>94.777165462489322</v>
      </c>
      <c r="AS59" s="16">
        <f t="shared" si="16"/>
        <v>105.96204834315581</v>
      </c>
      <c r="AU59" s="16">
        <f t="shared" si="17"/>
        <v>75.910919891098089</v>
      </c>
      <c r="AV59" s="16">
        <f t="shared" si="18"/>
        <v>98.051604859335043</v>
      </c>
      <c r="AW59" s="16">
        <f t="shared" si="19"/>
        <v>117.66192583120203</v>
      </c>
      <c r="AX59" s="16">
        <f t="shared" si="20"/>
        <v>135.76376057446387</v>
      </c>
      <c r="AY59" s="16">
        <f t="shared" si="21"/>
        <v>152.52471867007668</v>
      </c>
      <c r="AZ59" s="16">
        <f t="shared" si="22"/>
        <v>170.52453019014794</v>
      </c>
    </row>
    <row r="60" spans="27:52" ht="15.75" thickBot="1" x14ac:dyDescent="0.3">
      <c r="AA60" s="41">
        <v>10600</v>
      </c>
      <c r="AB60" s="16">
        <v>92</v>
      </c>
      <c r="AC60" s="65">
        <f t="shared" si="28"/>
        <v>68.604399999999998</v>
      </c>
      <c r="AD60" s="16">
        <f t="shared" si="29"/>
        <v>68604.399999999994</v>
      </c>
      <c r="AE60" s="21">
        <f t="shared" si="30"/>
        <v>45.583396226415097</v>
      </c>
      <c r="AG60" s="15">
        <f t="shared" si="5"/>
        <v>21.287189175810575</v>
      </c>
      <c r="AH60" s="64">
        <f t="shared" si="6"/>
        <v>27.495952685421994</v>
      </c>
      <c r="AI60" s="15">
        <f t="shared" si="7"/>
        <v>32.995143222506393</v>
      </c>
      <c r="AJ60" s="64">
        <f t="shared" si="8"/>
        <v>38.071319102891991</v>
      </c>
      <c r="AK60" s="15">
        <f t="shared" si="9"/>
        <v>42.771481955100874</v>
      </c>
      <c r="AL60" s="15">
        <f t="shared" si="10"/>
        <v>47.81904814856</v>
      </c>
      <c r="AN60" s="16">
        <f t="shared" si="11"/>
        <v>47.619442186288261</v>
      </c>
      <c r="AO60" s="16">
        <f t="shared" si="12"/>
        <v>61.508446157289001</v>
      </c>
      <c r="AP60" s="16">
        <f t="shared" si="13"/>
        <v>73.810135388746801</v>
      </c>
      <c r="AQ60" s="16">
        <f t="shared" si="14"/>
        <v>85.165540833169388</v>
      </c>
      <c r="AR60" s="16">
        <f t="shared" si="15"/>
        <v>95.679805133560663</v>
      </c>
      <c r="AS60" s="16">
        <f t="shared" si="16"/>
        <v>106.97121070832873</v>
      </c>
      <c r="AU60" s="16">
        <f t="shared" si="17"/>
        <v>76.633881032918069</v>
      </c>
      <c r="AV60" s="16">
        <f t="shared" si="18"/>
        <v>98.985429667519185</v>
      </c>
      <c r="AW60" s="16">
        <f t="shared" si="19"/>
        <v>118.78251560102302</v>
      </c>
      <c r="AX60" s="16">
        <f t="shared" si="20"/>
        <v>137.05674877041116</v>
      </c>
      <c r="AY60" s="16">
        <f t="shared" si="21"/>
        <v>153.97733503836315</v>
      </c>
      <c r="AZ60" s="16">
        <f t="shared" si="22"/>
        <v>172.14857333481601</v>
      </c>
    </row>
    <row r="61" spans="27:52" ht="15.75" thickBot="1" x14ac:dyDescent="0.3">
      <c r="AA61" s="41">
        <v>10700</v>
      </c>
      <c r="AB61" s="16">
        <v>93</v>
      </c>
      <c r="AC61" s="65">
        <f t="shared" si="28"/>
        <v>69.350099999999998</v>
      </c>
      <c r="AD61" s="16">
        <f t="shared" si="29"/>
        <v>69350.099999999991</v>
      </c>
      <c r="AE61" s="21">
        <f t="shared" si="30"/>
        <v>45.648224299065419</v>
      </c>
      <c r="AG61" s="15">
        <f t="shared" si="5"/>
        <v>21.488011715205012</v>
      </c>
      <c r="AH61" s="64">
        <f t="shared" si="6"/>
        <v>27.755348465473144</v>
      </c>
      <c r="AI61" s="15">
        <f t="shared" si="7"/>
        <v>33.306418158567766</v>
      </c>
      <c r="AJ61" s="64">
        <f t="shared" si="8"/>
        <v>38.430482490655123</v>
      </c>
      <c r="AK61" s="15">
        <f t="shared" si="9"/>
        <v>43.174986501847108</v>
      </c>
      <c r="AL61" s="15">
        <f t="shared" si="10"/>
        <v>48.270171244301125</v>
      </c>
      <c r="AN61" s="16">
        <f t="shared" si="11"/>
        <v>48.068682206913614</v>
      </c>
      <c r="AO61" s="16">
        <f t="shared" si="12"/>
        <v>62.088714517263426</v>
      </c>
      <c r="AP61" s="16">
        <f t="shared" si="13"/>
        <v>74.506457420716089</v>
      </c>
      <c r="AQ61" s="16">
        <f t="shared" si="14"/>
        <v>85.968989331595509</v>
      </c>
      <c r="AR61" s="16">
        <f t="shared" si="15"/>
        <v>96.58244480463199</v>
      </c>
      <c r="AS61" s="16">
        <f t="shared" si="16"/>
        <v>107.98037307350162</v>
      </c>
      <c r="AU61" s="16">
        <f t="shared" si="17"/>
        <v>77.356842174738048</v>
      </c>
      <c r="AV61" s="16">
        <f t="shared" si="18"/>
        <v>99.919254475703326</v>
      </c>
      <c r="AW61" s="16">
        <f t="shared" si="19"/>
        <v>119.90310537084396</v>
      </c>
      <c r="AX61" s="16">
        <f t="shared" si="20"/>
        <v>138.34973696635845</v>
      </c>
      <c r="AY61" s="16">
        <f t="shared" si="21"/>
        <v>155.42995140664959</v>
      </c>
      <c r="AZ61" s="16">
        <f t="shared" si="22"/>
        <v>173.77261647948404</v>
      </c>
    </row>
    <row r="62" spans="27:52" ht="15.75" thickBot="1" x14ac:dyDescent="0.3">
      <c r="AA62" s="41">
        <v>10800</v>
      </c>
      <c r="AB62" s="16">
        <v>94</v>
      </c>
      <c r="AC62" s="65">
        <f t="shared" si="28"/>
        <v>70.095799999999997</v>
      </c>
      <c r="AD62" s="16">
        <f t="shared" si="29"/>
        <v>70095.8</v>
      </c>
      <c r="AE62" s="21">
        <f t="shared" si="30"/>
        <v>45.711851851851854</v>
      </c>
      <c r="AG62" s="15">
        <f t="shared" si="5"/>
        <v>21.688834254599453</v>
      </c>
      <c r="AH62" s="64">
        <f t="shared" si="6"/>
        <v>28.014744245524295</v>
      </c>
      <c r="AI62" s="15">
        <f t="shared" si="7"/>
        <v>33.617693094629153</v>
      </c>
      <c r="AJ62" s="64">
        <f t="shared" si="8"/>
        <v>38.789645878418256</v>
      </c>
      <c r="AK62" s="15">
        <f t="shared" si="9"/>
        <v>43.578491048593349</v>
      </c>
      <c r="AL62" s="15">
        <f t="shared" si="10"/>
        <v>48.721294340042263</v>
      </c>
      <c r="AN62" s="16">
        <f t="shared" si="11"/>
        <v>48.517922227538975</v>
      </c>
      <c r="AO62" s="16">
        <f t="shared" si="12"/>
        <v>62.668982877237852</v>
      </c>
      <c r="AP62" s="16">
        <f t="shared" si="13"/>
        <v>75.202779452685419</v>
      </c>
      <c r="AQ62" s="16">
        <f t="shared" si="14"/>
        <v>86.772437830021644</v>
      </c>
      <c r="AR62" s="16">
        <f t="shared" si="15"/>
        <v>97.485084475703331</v>
      </c>
      <c r="AS62" s="16">
        <f t="shared" si="16"/>
        <v>108.98953543867455</v>
      </c>
      <c r="AU62" s="16">
        <f t="shared" si="17"/>
        <v>78.079803316558028</v>
      </c>
      <c r="AV62" s="16">
        <f t="shared" si="18"/>
        <v>100.85307928388747</v>
      </c>
      <c r="AW62" s="16">
        <f t="shared" si="19"/>
        <v>121.02369514066496</v>
      </c>
      <c r="AX62" s="16">
        <f t="shared" si="20"/>
        <v>139.64272516230574</v>
      </c>
      <c r="AY62" s="16">
        <f t="shared" si="21"/>
        <v>156.88256777493606</v>
      </c>
      <c r="AZ62" s="16">
        <f t="shared" si="22"/>
        <v>175.39665962415216</v>
      </c>
    </row>
    <row r="63" spans="27:52" ht="15.75" thickBot="1" x14ac:dyDescent="0.3">
      <c r="AA63" s="41">
        <v>10900</v>
      </c>
      <c r="AB63" s="16">
        <v>95</v>
      </c>
      <c r="AC63" s="65">
        <f t="shared" si="28"/>
        <v>70.841499999999996</v>
      </c>
      <c r="AD63" s="16">
        <f t="shared" si="29"/>
        <v>70841.5</v>
      </c>
      <c r="AE63" s="21">
        <f t="shared" si="30"/>
        <v>45.774311926605506</v>
      </c>
      <c r="AG63" s="15">
        <f t="shared" si="5"/>
        <v>21.889656793993893</v>
      </c>
      <c r="AH63" s="64">
        <f t="shared" si="6"/>
        <v>28.274140025575445</v>
      </c>
      <c r="AI63" s="15">
        <f t="shared" si="7"/>
        <v>33.928968030690534</v>
      </c>
      <c r="AJ63" s="64">
        <f t="shared" si="8"/>
        <v>39.148809266181381</v>
      </c>
      <c r="AK63" s="15">
        <f t="shared" si="9"/>
        <v>43.981995595339576</v>
      </c>
      <c r="AL63" s="15">
        <f t="shared" si="10"/>
        <v>49.172417435783395</v>
      </c>
      <c r="AN63" s="16">
        <f t="shared" si="11"/>
        <v>48.967162248164342</v>
      </c>
      <c r="AO63" s="16">
        <f t="shared" si="12"/>
        <v>63.24925123721227</v>
      </c>
      <c r="AP63" s="16">
        <f t="shared" si="13"/>
        <v>75.899101484654722</v>
      </c>
      <c r="AQ63" s="16">
        <f t="shared" si="14"/>
        <v>87.575886328447751</v>
      </c>
      <c r="AR63" s="16">
        <f t="shared" si="15"/>
        <v>98.38772414677463</v>
      </c>
      <c r="AS63" s="16">
        <f t="shared" si="16"/>
        <v>109.99869780384746</v>
      </c>
      <c r="AU63" s="16">
        <f t="shared" si="17"/>
        <v>78.802764458378022</v>
      </c>
      <c r="AV63" s="16">
        <f t="shared" si="18"/>
        <v>101.78690409207161</v>
      </c>
      <c r="AW63" s="16">
        <f t="shared" si="19"/>
        <v>122.14428491048592</v>
      </c>
      <c r="AX63" s="16">
        <f t="shared" si="20"/>
        <v>140.93571335825297</v>
      </c>
      <c r="AY63" s="16">
        <f t="shared" si="21"/>
        <v>158.33518414322248</v>
      </c>
      <c r="AZ63" s="16">
        <f t="shared" si="22"/>
        <v>177.02070276882023</v>
      </c>
    </row>
    <row r="64" spans="27:52" ht="15.75" thickBot="1" x14ac:dyDescent="0.3">
      <c r="AA64" s="41">
        <v>11000</v>
      </c>
      <c r="AB64" s="16">
        <v>95</v>
      </c>
      <c r="AC64" s="65">
        <f t="shared" si="28"/>
        <v>70.841499999999996</v>
      </c>
      <c r="AD64" s="16">
        <f t="shared" si="29"/>
        <v>70841.5</v>
      </c>
      <c r="AE64" s="21">
        <f t="shared" si="30"/>
        <v>45.358181818181819</v>
      </c>
      <c r="AG64" s="15">
        <f t="shared" si="5"/>
        <v>22.09047933338833</v>
      </c>
      <c r="AH64" s="64">
        <f t="shared" si="6"/>
        <v>28.533535805626595</v>
      </c>
      <c r="AI64" s="15">
        <f t="shared" si="7"/>
        <v>34.240242966751914</v>
      </c>
      <c r="AJ64" s="64">
        <f t="shared" si="8"/>
        <v>39.50797265394452</v>
      </c>
      <c r="AK64" s="15">
        <f t="shared" si="9"/>
        <v>44.38550014208581</v>
      </c>
      <c r="AL64" s="15">
        <f t="shared" si="10"/>
        <v>49.623540531524533</v>
      </c>
      <c r="AN64" s="16">
        <f t="shared" si="11"/>
        <v>49.416402268789696</v>
      </c>
      <c r="AO64" s="16">
        <f t="shared" si="12"/>
        <v>63.829519597186696</v>
      </c>
      <c r="AP64" s="16">
        <f t="shared" si="13"/>
        <v>76.595423516624038</v>
      </c>
      <c r="AQ64" s="16">
        <f t="shared" si="14"/>
        <v>88.379334826873901</v>
      </c>
      <c r="AR64" s="16">
        <f t="shared" si="15"/>
        <v>99.290363817845957</v>
      </c>
      <c r="AS64" s="16">
        <f t="shared" si="16"/>
        <v>111.00786016902039</v>
      </c>
      <c r="AU64" s="16">
        <f t="shared" si="17"/>
        <v>79.525725600197987</v>
      </c>
      <c r="AV64" s="16">
        <f t="shared" si="18"/>
        <v>102.72072890025575</v>
      </c>
      <c r="AW64" s="16">
        <f t="shared" si="19"/>
        <v>123.26487468030689</v>
      </c>
      <c r="AX64" s="16">
        <f t="shared" si="20"/>
        <v>142.22870155420028</v>
      </c>
      <c r="AY64" s="16">
        <f t="shared" si="21"/>
        <v>159.78780051150892</v>
      </c>
      <c r="AZ64" s="16">
        <f t="shared" si="22"/>
        <v>178.64474591348832</v>
      </c>
    </row>
    <row r="65" spans="27:52" ht="15.75" thickBot="1" x14ac:dyDescent="0.3">
      <c r="AA65" s="41">
        <v>11100</v>
      </c>
      <c r="AB65" s="16">
        <v>95</v>
      </c>
      <c r="AC65" s="65">
        <f t="shared" si="28"/>
        <v>70.841499999999996</v>
      </c>
      <c r="AD65" s="16">
        <f t="shared" si="29"/>
        <v>70841.5</v>
      </c>
      <c r="AE65" s="21">
        <f t="shared" si="30"/>
        <v>44.949549549549552</v>
      </c>
      <c r="AG65" s="15">
        <f t="shared" si="5"/>
        <v>22.291301872782768</v>
      </c>
      <c r="AH65" s="64">
        <f t="shared" si="6"/>
        <v>28.792931585677746</v>
      </c>
      <c r="AI65" s="15">
        <f t="shared" si="7"/>
        <v>34.551517902813295</v>
      </c>
      <c r="AJ65" s="64">
        <f t="shared" si="8"/>
        <v>39.867136041707653</v>
      </c>
      <c r="AK65" s="15">
        <f t="shared" si="9"/>
        <v>44.789004688832044</v>
      </c>
      <c r="AL65" s="15">
        <f t="shared" si="10"/>
        <v>50.074663627265657</v>
      </c>
      <c r="AN65" s="16">
        <f t="shared" si="11"/>
        <v>49.865642289415057</v>
      </c>
      <c r="AO65" s="16">
        <f t="shared" si="12"/>
        <v>64.409787957161114</v>
      </c>
      <c r="AP65" s="16">
        <f t="shared" si="13"/>
        <v>77.29174554859334</v>
      </c>
      <c r="AQ65" s="16">
        <f t="shared" si="14"/>
        <v>89.182783325300022</v>
      </c>
      <c r="AR65" s="16">
        <f t="shared" si="15"/>
        <v>100.19300348891728</v>
      </c>
      <c r="AS65" s="16">
        <f t="shared" si="16"/>
        <v>112.01702253419327</v>
      </c>
      <c r="AU65" s="16">
        <f t="shared" si="17"/>
        <v>80.248686742017966</v>
      </c>
      <c r="AV65" s="16">
        <f t="shared" si="18"/>
        <v>103.65455370843989</v>
      </c>
      <c r="AW65" s="16">
        <f t="shared" si="19"/>
        <v>124.38546445012787</v>
      </c>
      <c r="AX65" s="16">
        <f t="shared" si="20"/>
        <v>143.52168975014754</v>
      </c>
      <c r="AY65" s="16">
        <f t="shared" si="21"/>
        <v>161.24041687979536</v>
      </c>
      <c r="AZ65" s="16">
        <f t="shared" si="22"/>
        <v>180.26878905815636</v>
      </c>
    </row>
    <row r="66" spans="27:52" ht="15.75" thickBot="1" x14ac:dyDescent="0.3">
      <c r="AA66" s="41">
        <v>11200</v>
      </c>
      <c r="AB66" s="16">
        <v>95</v>
      </c>
      <c r="AC66" s="65">
        <f t="shared" si="28"/>
        <v>70.841499999999996</v>
      </c>
      <c r="AD66" s="16">
        <f t="shared" si="29"/>
        <v>70841.5</v>
      </c>
      <c r="AE66" s="21">
        <f t="shared" si="30"/>
        <v>44.548214285714288</v>
      </c>
      <c r="AG66" s="15">
        <f t="shared" si="5"/>
        <v>22.492124412177212</v>
      </c>
      <c r="AH66" s="64">
        <f t="shared" si="6"/>
        <v>29.0523273657289</v>
      </c>
      <c r="AI66" s="15">
        <f t="shared" si="7"/>
        <v>34.862792838874682</v>
      </c>
      <c r="AJ66" s="64">
        <f t="shared" si="8"/>
        <v>40.226299429470785</v>
      </c>
      <c r="AK66" s="15">
        <f t="shared" si="9"/>
        <v>45.192509235578285</v>
      </c>
      <c r="AL66" s="15">
        <f t="shared" si="10"/>
        <v>50.525786723006796</v>
      </c>
      <c r="AN66" s="16">
        <f t="shared" si="11"/>
        <v>50.314882310040424</v>
      </c>
      <c r="AO66" s="16">
        <f t="shared" si="12"/>
        <v>64.990056317135554</v>
      </c>
      <c r="AP66" s="16">
        <f t="shared" si="13"/>
        <v>77.988067580562671</v>
      </c>
      <c r="AQ66" s="16">
        <f t="shared" si="14"/>
        <v>89.986231823726143</v>
      </c>
      <c r="AR66" s="16">
        <f t="shared" si="15"/>
        <v>101.09564315998863</v>
      </c>
      <c r="AS66" s="16">
        <f t="shared" si="16"/>
        <v>113.02618489936621</v>
      </c>
      <c r="AU66" s="16">
        <f t="shared" si="17"/>
        <v>80.97164788383796</v>
      </c>
      <c r="AV66" s="16">
        <f t="shared" si="18"/>
        <v>104.58837851662405</v>
      </c>
      <c r="AW66" s="16">
        <f t="shared" si="19"/>
        <v>125.50605421994887</v>
      </c>
      <c r="AX66" s="16">
        <f t="shared" si="20"/>
        <v>144.81467794609483</v>
      </c>
      <c r="AY66" s="16">
        <f t="shared" si="21"/>
        <v>162.69303324808183</v>
      </c>
      <c r="AZ66" s="16">
        <f t="shared" si="22"/>
        <v>181.89283220282448</v>
      </c>
    </row>
    <row r="67" spans="27:52" ht="15.75" thickBot="1" x14ac:dyDescent="0.3">
      <c r="AA67" s="41">
        <v>11300</v>
      </c>
      <c r="AB67" s="16">
        <v>95</v>
      </c>
      <c r="AC67" s="65">
        <f t="shared" si="28"/>
        <v>70.841499999999996</v>
      </c>
      <c r="AD67" s="16">
        <f t="shared" si="29"/>
        <v>70841.5</v>
      </c>
      <c r="AE67" s="21">
        <f t="shared" si="30"/>
        <v>44.153982300884955</v>
      </c>
      <c r="AG67" s="15">
        <f t="shared" si="5"/>
        <v>22.692946951571649</v>
      </c>
      <c r="AH67" s="64">
        <f t="shared" si="6"/>
        <v>29.31172314578005</v>
      </c>
      <c r="AI67" s="15">
        <f t="shared" si="7"/>
        <v>35.174067774936056</v>
      </c>
      <c r="AJ67" s="64">
        <f t="shared" si="8"/>
        <v>40.58546281723391</v>
      </c>
      <c r="AK67" s="15">
        <f t="shared" si="9"/>
        <v>45.596013782324512</v>
      </c>
      <c r="AL67" s="15">
        <f t="shared" si="10"/>
        <v>50.97690981874792</v>
      </c>
      <c r="AN67" s="16">
        <f t="shared" si="11"/>
        <v>50.764122330665778</v>
      </c>
      <c r="AO67" s="16">
        <f t="shared" si="12"/>
        <v>65.57032467710998</v>
      </c>
      <c r="AP67" s="16">
        <f t="shared" si="13"/>
        <v>78.684389612531959</v>
      </c>
      <c r="AQ67" s="16">
        <f t="shared" si="14"/>
        <v>90.789680322152265</v>
      </c>
      <c r="AR67" s="16">
        <f t="shared" si="15"/>
        <v>101.99828283105994</v>
      </c>
      <c r="AS67" s="16">
        <f t="shared" si="16"/>
        <v>114.0353472645391</v>
      </c>
      <c r="AU67" s="16">
        <f t="shared" si="17"/>
        <v>81.69460902565794</v>
      </c>
      <c r="AV67" s="16">
        <f t="shared" si="18"/>
        <v>105.52220332480819</v>
      </c>
      <c r="AW67" s="16">
        <f t="shared" si="19"/>
        <v>126.6266439897698</v>
      </c>
      <c r="AX67" s="16">
        <f t="shared" si="20"/>
        <v>146.10766614204209</v>
      </c>
      <c r="AY67" s="16">
        <f t="shared" si="21"/>
        <v>164.14564961636825</v>
      </c>
      <c r="AZ67" s="16">
        <f t="shared" si="22"/>
        <v>183.51687534749252</v>
      </c>
    </row>
    <row r="68" spans="27:52" ht="15.75" thickBot="1" x14ac:dyDescent="0.3">
      <c r="AA68" s="41">
        <v>11400</v>
      </c>
      <c r="AB68" s="16">
        <v>95</v>
      </c>
      <c r="AC68" s="65">
        <f t="shared" si="28"/>
        <v>70.841499999999996</v>
      </c>
      <c r="AD68" s="16">
        <f t="shared" si="29"/>
        <v>70841.5</v>
      </c>
      <c r="AE68" s="21">
        <f t="shared" si="30"/>
        <v>43.766666666666666</v>
      </c>
      <c r="AG68" s="15">
        <f t="shared" si="5"/>
        <v>22.893769490966086</v>
      </c>
      <c r="AH68" s="64">
        <f t="shared" si="6"/>
        <v>29.571118925831204</v>
      </c>
      <c r="AI68" s="15">
        <f t="shared" si="7"/>
        <v>35.485342710997436</v>
      </c>
      <c r="AJ68" s="64">
        <f t="shared" si="8"/>
        <v>40.944626204997043</v>
      </c>
      <c r="AK68" s="15">
        <f t="shared" si="9"/>
        <v>45.999518329070753</v>
      </c>
      <c r="AL68" s="15">
        <f t="shared" si="10"/>
        <v>51.428032914489059</v>
      </c>
      <c r="AN68" s="16">
        <f t="shared" si="11"/>
        <v>51.213362351291138</v>
      </c>
      <c r="AO68" s="16">
        <f t="shared" si="12"/>
        <v>66.150593037084406</v>
      </c>
      <c r="AP68" s="16">
        <f t="shared" si="13"/>
        <v>79.380711644501275</v>
      </c>
      <c r="AQ68" s="16">
        <f t="shared" si="14"/>
        <v>91.593128820578386</v>
      </c>
      <c r="AR68" s="16">
        <f t="shared" si="15"/>
        <v>102.90092250213128</v>
      </c>
      <c r="AS68" s="16">
        <f t="shared" si="16"/>
        <v>115.04450962971202</v>
      </c>
      <c r="AU68" s="16">
        <f t="shared" si="17"/>
        <v>82.417570167477919</v>
      </c>
      <c r="AV68" s="16">
        <f t="shared" si="18"/>
        <v>106.45602813299233</v>
      </c>
      <c r="AW68" s="16">
        <f t="shared" si="19"/>
        <v>127.74723375959077</v>
      </c>
      <c r="AX68" s="16">
        <f t="shared" si="20"/>
        <v>147.40065433798935</v>
      </c>
      <c r="AY68" s="16">
        <f t="shared" si="21"/>
        <v>165.59826598465472</v>
      </c>
      <c r="AZ68" s="16">
        <f t="shared" si="22"/>
        <v>185.14091849216061</v>
      </c>
    </row>
    <row r="69" spans="27:52" ht="15.75" thickBot="1" x14ac:dyDescent="0.3">
      <c r="AA69" s="41">
        <v>11500</v>
      </c>
      <c r="AB69" s="16">
        <v>95</v>
      </c>
      <c r="AC69" s="65">
        <f t="shared" si="28"/>
        <v>70.841499999999996</v>
      </c>
      <c r="AD69" s="16">
        <f t="shared" si="29"/>
        <v>70841.5</v>
      </c>
      <c r="AE69" s="21">
        <f t="shared" si="30"/>
        <v>43.386086956521737</v>
      </c>
      <c r="AG69" s="15">
        <f t="shared" si="5"/>
        <v>23.094592030360527</v>
      </c>
      <c r="AH69" s="64">
        <f t="shared" si="6"/>
        <v>29.830514705882354</v>
      </c>
      <c r="AI69" s="15">
        <f t="shared" si="7"/>
        <v>35.796617647058817</v>
      </c>
      <c r="AJ69" s="64">
        <f t="shared" si="8"/>
        <v>41.303789592760175</v>
      </c>
      <c r="AK69" s="15">
        <f t="shared" si="9"/>
        <v>46.403022875816987</v>
      </c>
      <c r="AL69" s="15">
        <f t="shared" si="10"/>
        <v>51.879156010230183</v>
      </c>
      <c r="AN69" s="16">
        <f t="shared" si="11"/>
        <v>51.662602371916499</v>
      </c>
      <c r="AO69" s="16">
        <f t="shared" si="12"/>
        <v>66.730861397058831</v>
      </c>
      <c r="AP69" s="16">
        <f t="shared" si="13"/>
        <v>80.077033676470577</v>
      </c>
      <c r="AQ69" s="16">
        <f t="shared" si="14"/>
        <v>92.396577319004521</v>
      </c>
      <c r="AR69" s="16">
        <f t="shared" si="15"/>
        <v>103.80356217320261</v>
      </c>
      <c r="AS69" s="16">
        <f t="shared" si="16"/>
        <v>116.05367199488492</v>
      </c>
      <c r="AU69" s="16">
        <f t="shared" si="17"/>
        <v>83.140531309297899</v>
      </c>
      <c r="AV69" s="16">
        <f t="shared" si="18"/>
        <v>107.38985294117647</v>
      </c>
      <c r="AW69" s="16">
        <f t="shared" si="19"/>
        <v>128.86782352941174</v>
      </c>
      <c r="AX69" s="16">
        <f t="shared" si="20"/>
        <v>148.69364253393664</v>
      </c>
      <c r="AY69" s="16">
        <f t="shared" si="21"/>
        <v>167.05088235294116</v>
      </c>
      <c r="AZ69" s="16">
        <f t="shared" si="22"/>
        <v>186.76496163682867</v>
      </c>
    </row>
    <row r="70" spans="27:52" ht="15.75" thickBot="1" x14ac:dyDescent="0.3">
      <c r="AA70" s="41">
        <v>11600</v>
      </c>
      <c r="AB70" s="16">
        <v>96</v>
      </c>
      <c r="AC70" s="65">
        <f t="shared" si="28"/>
        <v>71.587199999999996</v>
      </c>
      <c r="AD70" s="16">
        <f t="shared" si="29"/>
        <v>71587.199999999997</v>
      </c>
      <c r="AE70" s="21">
        <f t="shared" si="30"/>
        <v>43.464827586206894</v>
      </c>
      <c r="AG70" s="15">
        <f t="shared" si="5"/>
        <v>23.295414569754971</v>
      </c>
      <c r="AH70" s="64">
        <f t="shared" si="6"/>
        <v>30.089910485933501</v>
      </c>
      <c r="AI70" s="15">
        <f t="shared" si="7"/>
        <v>36.107892583120204</v>
      </c>
      <c r="AJ70" s="64">
        <f t="shared" si="8"/>
        <v>41.662952980523315</v>
      </c>
      <c r="AK70" s="15">
        <f t="shared" si="9"/>
        <v>46.806527422563228</v>
      </c>
      <c r="AL70" s="15">
        <f t="shared" si="10"/>
        <v>52.330279105971314</v>
      </c>
      <c r="AN70" s="16">
        <f t="shared" si="11"/>
        <v>52.111842392541874</v>
      </c>
      <c r="AO70" s="16">
        <f t="shared" si="12"/>
        <v>67.311129757033243</v>
      </c>
      <c r="AP70" s="16">
        <f t="shared" si="13"/>
        <v>80.773355708439894</v>
      </c>
      <c r="AQ70" s="16">
        <f t="shared" si="14"/>
        <v>93.200025817430657</v>
      </c>
      <c r="AR70" s="16">
        <f t="shared" si="15"/>
        <v>104.70620184427395</v>
      </c>
      <c r="AS70" s="16">
        <f t="shared" si="16"/>
        <v>117.06283436005783</v>
      </c>
      <c r="AU70" s="16">
        <f t="shared" si="17"/>
        <v>83.863492451117892</v>
      </c>
      <c r="AV70" s="16">
        <f t="shared" si="18"/>
        <v>108.32367774936061</v>
      </c>
      <c r="AW70" s="16">
        <f t="shared" si="19"/>
        <v>129.98841329923275</v>
      </c>
      <c r="AX70" s="16">
        <f t="shared" si="20"/>
        <v>149.98663072988393</v>
      </c>
      <c r="AY70" s="16">
        <f t="shared" si="21"/>
        <v>168.50349872122763</v>
      </c>
      <c r="AZ70" s="16">
        <f t="shared" si="22"/>
        <v>188.38900478149674</v>
      </c>
    </row>
    <row r="71" spans="27:52" ht="15.75" thickBot="1" x14ac:dyDescent="0.3">
      <c r="AA71" s="41">
        <v>11700</v>
      </c>
      <c r="AB71" s="16">
        <v>97</v>
      </c>
      <c r="AC71" s="65">
        <f t="shared" si="28"/>
        <v>72.332900000000009</v>
      </c>
      <c r="AD71" s="16">
        <f t="shared" si="29"/>
        <v>72332.900000000009</v>
      </c>
      <c r="AE71" s="21">
        <f t="shared" si="30"/>
        <v>43.542222222222222</v>
      </c>
      <c r="AG71" s="15">
        <f t="shared" ref="AG71:AG112" si="31">(((AA71/$M$8)*($C$14))/(60))</f>
        <v>23.496237109149408</v>
      </c>
      <c r="AH71" s="64">
        <f t="shared" ref="AH71:AH112" si="32">(((AA71/$M$9)*($C$14))/(60))</f>
        <v>30.349306265984652</v>
      </c>
      <c r="AI71" s="15">
        <f t="shared" ref="AI71:AI112" si="33">(((AA71/$M$10)*($C$14))/(60))</f>
        <v>36.419167519181578</v>
      </c>
      <c r="AJ71" s="64">
        <f t="shared" ref="AJ71:AJ112" si="34">(((AA71/$M$11)*($C$14))/(60))</f>
        <v>42.02211636828644</v>
      </c>
      <c r="AK71" s="15">
        <f t="shared" ref="AK71:AK112" si="35">(((AA71/$M$12)*($C$14))/(60))</f>
        <v>47.210031969309448</v>
      </c>
      <c r="AL71" s="15">
        <f t="shared" ref="AL71:AL112" si="36">(((AA71/$M$13)*($C$14))/(60))</f>
        <v>52.781402201712453</v>
      </c>
      <c r="AN71" s="16">
        <f t="shared" ref="AN71:AN112" si="37">AG71*2.237</f>
        <v>52.561082413167227</v>
      </c>
      <c r="AO71" s="16">
        <f t="shared" ref="AO71:AO112" si="38">AH71*2.237</f>
        <v>67.891398117007668</v>
      </c>
      <c r="AP71" s="16">
        <f t="shared" ref="AP71:AP112" si="39">AI71*2.237</f>
        <v>81.469677740409196</v>
      </c>
      <c r="AQ71" s="16">
        <f t="shared" ref="AQ71:AQ112" si="40">AJ71*2.237</f>
        <v>94.003474315856764</v>
      </c>
      <c r="AR71" s="16">
        <f t="shared" ref="AR71:AR112" si="41">AK71*2.237</f>
        <v>105.60884151534523</v>
      </c>
      <c r="AS71" s="16">
        <f t="shared" ref="AS71:AS112" si="42">AL71*2.237</f>
        <v>118.07199672523076</v>
      </c>
      <c r="AU71" s="16">
        <f t="shared" ref="AU71:AU112" si="43">AG71*3.6</f>
        <v>84.586453592937872</v>
      </c>
      <c r="AV71" s="16">
        <f t="shared" ref="AV71:AV112" si="44">AH71*3.6</f>
        <v>109.25750255754475</v>
      </c>
      <c r="AW71" s="16">
        <f t="shared" ref="AW71:AW112" si="45">AI71*3.6</f>
        <v>131.10900306905367</v>
      </c>
      <c r="AX71" s="16">
        <f t="shared" ref="AX71:AX112" si="46">AJ71*3.6</f>
        <v>151.27961892583119</v>
      </c>
      <c r="AY71" s="16">
        <f t="shared" ref="AY71:AY112" si="47">AK71*3.6</f>
        <v>169.95611508951401</v>
      </c>
      <c r="AZ71" s="16">
        <f t="shared" ref="AZ71:AZ112" si="48">AL71*3.6</f>
        <v>190.01304792616483</v>
      </c>
    </row>
    <row r="72" spans="27:52" ht="15.75" thickBot="1" x14ac:dyDescent="0.3">
      <c r="AA72" s="41">
        <v>11800</v>
      </c>
      <c r="AB72" s="16">
        <v>98</v>
      </c>
      <c r="AC72" s="65">
        <f t="shared" si="28"/>
        <v>73.078600000000009</v>
      </c>
      <c r="AD72" s="16">
        <f t="shared" si="29"/>
        <v>73078.600000000006</v>
      </c>
      <c r="AE72" s="21">
        <f t="shared" si="30"/>
        <v>43.618305084745764</v>
      </c>
      <c r="AG72" s="15">
        <f t="shared" si="31"/>
        <v>23.697059648543846</v>
      </c>
      <c r="AH72" s="64">
        <f t="shared" si="32"/>
        <v>30.608702046035805</v>
      </c>
      <c r="AI72" s="15">
        <f t="shared" si="33"/>
        <v>36.730442455242958</v>
      </c>
      <c r="AJ72" s="64">
        <f t="shared" si="34"/>
        <v>42.381279756049572</v>
      </c>
      <c r="AK72" s="15">
        <f t="shared" si="35"/>
        <v>47.613536516055689</v>
      </c>
      <c r="AL72" s="15">
        <f t="shared" si="36"/>
        <v>53.232525297453584</v>
      </c>
      <c r="AN72" s="16">
        <f t="shared" si="37"/>
        <v>53.010322433792588</v>
      </c>
      <c r="AO72" s="16">
        <f t="shared" si="38"/>
        <v>68.471666476982094</v>
      </c>
      <c r="AP72" s="16">
        <f t="shared" si="39"/>
        <v>82.165999772378498</v>
      </c>
      <c r="AQ72" s="16">
        <f t="shared" si="40"/>
        <v>94.806922814282899</v>
      </c>
      <c r="AR72" s="16">
        <f t="shared" si="41"/>
        <v>106.51148118641657</v>
      </c>
      <c r="AS72" s="16">
        <f t="shared" si="42"/>
        <v>119.08115909040367</v>
      </c>
      <c r="AU72" s="16">
        <f t="shared" si="43"/>
        <v>85.309414734757851</v>
      </c>
      <c r="AV72" s="16">
        <f t="shared" si="44"/>
        <v>110.1913273657289</v>
      </c>
      <c r="AW72" s="16">
        <f t="shared" si="45"/>
        <v>132.22959283887465</v>
      </c>
      <c r="AX72" s="16">
        <f t="shared" si="46"/>
        <v>152.57260712177847</v>
      </c>
      <c r="AY72" s="16">
        <f t="shared" si="47"/>
        <v>171.40873145780049</v>
      </c>
      <c r="AZ72" s="16">
        <f t="shared" si="48"/>
        <v>191.63709107083289</v>
      </c>
    </row>
    <row r="73" spans="27:52" ht="15.75" thickBot="1" x14ac:dyDescent="0.3">
      <c r="AA73" s="41">
        <v>11900</v>
      </c>
      <c r="AB73" s="16">
        <v>99</v>
      </c>
      <c r="AC73" s="65">
        <f t="shared" si="28"/>
        <v>73.824300000000008</v>
      </c>
      <c r="AD73" s="16">
        <f t="shared" si="29"/>
        <v>73824.3</v>
      </c>
      <c r="AE73" s="21">
        <f t="shared" si="30"/>
        <v>43.693109243697478</v>
      </c>
      <c r="AG73" s="15">
        <f t="shared" si="31"/>
        <v>23.89788218793829</v>
      </c>
      <c r="AH73" s="64">
        <f t="shared" si="32"/>
        <v>30.868097826086956</v>
      </c>
      <c r="AI73" s="15">
        <f t="shared" si="33"/>
        <v>37.041717391304338</v>
      </c>
      <c r="AJ73" s="64">
        <f t="shared" si="34"/>
        <v>42.740443143812705</v>
      </c>
      <c r="AK73" s="15">
        <f t="shared" si="35"/>
        <v>48.017041062801923</v>
      </c>
      <c r="AL73" s="15">
        <f t="shared" si="36"/>
        <v>53.683648393194716</v>
      </c>
      <c r="AN73" s="16">
        <f t="shared" si="37"/>
        <v>53.459562454417956</v>
      </c>
      <c r="AO73" s="16">
        <f t="shared" si="38"/>
        <v>69.051934836956519</v>
      </c>
      <c r="AP73" s="16">
        <f t="shared" si="39"/>
        <v>82.862321804347815</v>
      </c>
      <c r="AQ73" s="16">
        <f t="shared" si="40"/>
        <v>95.61037131270902</v>
      </c>
      <c r="AR73" s="16">
        <f t="shared" si="41"/>
        <v>107.4141208574879</v>
      </c>
      <c r="AS73" s="16">
        <f t="shared" si="42"/>
        <v>120.09032145557659</v>
      </c>
      <c r="AU73" s="16">
        <f t="shared" si="43"/>
        <v>86.032375876577845</v>
      </c>
      <c r="AV73" s="16">
        <f t="shared" si="44"/>
        <v>111.12515217391304</v>
      </c>
      <c r="AW73" s="16">
        <f t="shared" si="45"/>
        <v>133.35018260869563</v>
      </c>
      <c r="AX73" s="16">
        <f t="shared" si="46"/>
        <v>153.86559531772573</v>
      </c>
      <c r="AY73" s="16">
        <f t="shared" si="47"/>
        <v>172.86134782608693</v>
      </c>
      <c r="AZ73" s="16">
        <f t="shared" si="48"/>
        <v>193.26113421550099</v>
      </c>
    </row>
    <row r="74" spans="27:52" ht="15.75" thickBot="1" x14ac:dyDescent="0.3">
      <c r="AA74" s="41">
        <v>12000</v>
      </c>
      <c r="AB74" s="16">
        <v>100</v>
      </c>
      <c r="AC74" s="65">
        <f t="shared" si="28"/>
        <v>74.570000000000007</v>
      </c>
      <c r="AD74" s="16">
        <f t="shared" si="29"/>
        <v>74570.000000000015</v>
      </c>
      <c r="AE74" s="21">
        <f t="shared" si="30"/>
        <v>43.766666666666666</v>
      </c>
      <c r="AG74" s="15">
        <f t="shared" si="31"/>
        <v>24.098704727332727</v>
      </c>
      <c r="AH74" s="64">
        <f t="shared" si="32"/>
        <v>31.127493606138103</v>
      </c>
      <c r="AI74" s="15">
        <f t="shared" si="33"/>
        <v>37.352992327365726</v>
      </c>
      <c r="AJ74" s="64">
        <f t="shared" si="34"/>
        <v>43.099606531575844</v>
      </c>
      <c r="AK74" s="15">
        <f t="shared" si="35"/>
        <v>48.420545609548164</v>
      </c>
      <c r="AL74" s="15">
        <f t="shared" si="36"/>
        <v>54.134771488935847</v>
      </c>
      <c r="AN74" s="16">
        <f t="shared" si="37"/>
        <v>53.908802475043316</v>
      </c>
      <c r="AO74" s="16">
        <f t="shared" si="38"/>
        <v>69.632203196930945</v>
      </c>
      <c r="AP74" s="16">
        <f t="shared" si="39"/>
        <v>83.558643836317131</v>
      </c>
      <c r="AQ74" s="16">
        <f t="shared" si="40"/>
        <v>96.41381981113517</v>
      </c>
      <c r="AR74" s="16">
        <f t="shared" si="41"/>
        <v>108.31676052855924</v>
      </c>
      <c r="AS74" s="16">
        <f t="shared" si="42"/>
        <v>121.0994838207495</v>
      </c>
      <c r="AU74" s="16">
        <f t="shared" si="43"/>
        <v>86.755337018397825</v>
      </c>
      <c r="AV74" s="16">
        <f t="shared" si="44"/>
        <v>112.05897698209718</v>
      </c>
      <c r="AW74" s="16">
        <f t="shared" si="45"/>
        <v>134.47077237851661</v>
      </c>
      <c r="AX74" s="16">
        <f t="shared" si="46"/>
        <v>155.15858351367305</v>
      </c>
      <c r="AY74" s="16">
        <f t="shared" si="47"/>
        <v>174.3139641943734</v>
      </c>
      <c r="AZ74" s="16">
        <f t="shared" si="48"/>
        <v>194.88517736016905</v>
      </c>
    </row>
    <row r="75" spans="27:52" ht="15.75" thickBot="1" x14ac:dyDescent="0.3">
      <c r="AA75" s="41">
        <v>12100</v>
      </c>
      <c r="AB75" s="16">
        <v>102</v>
      </c>
      <c r="AC75" s="65">
        <f t="shared" si="28"/>
        <v>76.061400000000006</v>
      </c>
      <c r="AD75" s="16">
        <f t="shared" si="29"/>
        <v>76061.400000000009</v>
      </c>
      <c r="AE75" s="21">
        <f t="shared" si="30"/>
        <v>44.27305785123967</v>
      </c>
      <c r="AG75" s="15">
        <f t="shared" si="31"/>
        <v>24.299527266727164</v>
      </c>
      <c r="AH75" s="64">
        <f t="shared" si="32"/>
        <v>31.386889386189257</v>
      </c>
      <c r="AI75" s="15">
        <f t="shared" si="33"/>
        <v>37.664267263427107</v>
      </c>
      <c r="AJ75" s="64">
        <f t="shared" si="34"/>
        <v>43.458769919338962</v>
      </c>
      <c r="AK75" s="15">
        <f t="shared" si="35"/>
        <v>48.824050156294398</v>
      </c>
      <c r="AL75" s="15">
        <f t="shared" si="36"/>
        <v>54.585894584676979</v>
      </c>
      <c r="AN75" s="16">
        <f t="shared" si="37"/>
        <v>54.35804249566867</v>
      </c>
      <c r="AO75" s="16">
        <f t="shared" si="38"/>
        <v>70.212471556905371</v>
      </c>
      <c r="AP75" s="16">
        <f t="shared" si="39"/>
        <v>84.254965868286448</v>
      </c>
      <c r="AQ75" s="16">
        <f t="shared" si="40"/>
        <v>97.217268309561263</v>
      </c>
      <c r="AR75" s="16">
        <f t="shared" si="41"/>
        <v>109.21940019963057</v>
      </c>
      <c r="AS75" s="16">
        <f t="shared" si="42"/>
        <v>122.10864618592241</v>
      </c>
      <c r="AU75" s="16">
        <f t="shared" si="43"/>
        <v>87.47829816021779</v>
      </c>
      <c r="AV75" s="16">
        <f t="shared" si="44"/>
        <v>112.99280179028132</v>
      </c>
      <c r="AW75" s="16">
        <f t="shared" si="45"/>
        <v>135.59136214833759</v>
      </c>
      <c r="AX75" s="16">
        <f t="shared" si="46"/>
        <v>156.45157170962028</v>
      </c>
      <c r="AY75" s="16">
        <f t="shared" si="47"/>
        <v>175.76658056265984</v>
      </c>
      <c r="AZ75" s="16">
        <f t="shared" si="48"/>
        <v>196.50922050483712</v>
      </c>
    </row>
    <row r="76" spans="27:52" ht="15.75" thickBot="1" x14ac:dyDescent="0.3">
      <c r="AA76" s="41">
        <v>12200</v>
      </c>
      <c r="AB76" s="16">
        <v>103</v>
      </c>
      <c r="AC76" s="65">
        <f t="shared" si="28"/>
        <v>76.807100000000005</v>
      </c>
      <c r="AD76" s="16">
        <f t="shared" si="29"/>
        <v>76807.100000000006</v>
      </c>
      <c r="AE76" s="21">
        <f t="shared" si="30"/>
        <v>44.340655737704921</v>
      </c>
      <c r="AG76" s="15">
        <f t="shared" si="31"/>
        <v>24.500349806121605</v>
      </c>
      <c r="AH76" s="64">
        <f t="shared" si="32"/>
        <v>31.646285166240411</v>
      </c>
      <c r="AI76" s="15">
        <f t="shared" si="33"/>
        <v>37.975542199488487</v>
      </c>
      <c r="AJ76" s="64">
        <f t="shared" si="34"/>
        <v>43.817933307102095</v>
      </c>
      <c r="AK76" s="15">
        <f t="shared" si="35"/>
        <v>49.227554703040632</v>
      </c>
      <c r="AL76" s="15">
        <f t="shared" si="36"/>
        <v>55.03701768041811</v>
      </c>
      <c r="AN76" s="16">
        <f t="shared" si="37"/>
        <v>54.80728251629403</v>
      </c>
      <c r="AO76" s="16">
        <f t="shared" si="38"/>
        <v>70.792739916879796</v>
      </c>
      <c r="AP76" s="16">
        <f t="shared" si="39"/>
        <v>84.95128790025575</v>
      </c>
      <c r="AQ76" s="16">
        <f t="shared" si="40"/>
        <v>98.020716807987384</v>
      </c>
      <c r="AR76" s="16">
        <f t="shared" si="41"/>
        <v>110.1220398707019</v>
      </c>
      <c r="AS76" s="16">
        <f t="shared" si="42"/>
        <v>123.11780855109532</v>
      </c>
      <c r="AU76" s="16">
        <f t="shared" si="43"/>
        <v>88.201259302037784</v>
      </c>
      <c r="AV76" s="16">
        <f t="shared" si="44"/>
        <v>113.92662659846548</v>
      </c>
      <c r="AW76" s="16">
        <f t="shared" si="45"/>
        <v>136.71195191815855</v>
      </c>
      <c r="AX76" s="16">
        <f t="shared" si="46"/>
        <v>157.74455990556754</v>
      </c>
      <c r="AY76" s="16">
        <f t="shared" si="47"/>
        <v>177.21919693094628</v>
      </c>
      <c r="AZ76" s="16">
        <f t="shared" si="48"/>
        <v>198.13326364950521</v>
      </c>
    </row>
    <row r="77" spans="27:52" ht="15.75" thickBot="1" x14ac:dyDescent="0.3">
      <c r="AA77" s="41">
        <v>12300</v>
      </c>
      <c r="AB77" s="16">
        <v>104</v>
      </c>
      <c r="AC77" s="65">
        <f t="shared" si="28"/>
        <v>77.552800000000005</v>
      </c>
      <c r="AD77" s="16">
        <f t="shared" si="29"/>
        <v>77552.800000000003</v>
      </c>
      <c r="AE77" s="21">
        <f t="shared" si="30"/>
        <v>44.407154471544715</v>
      </c>
      <c r="AG77" s="15">
        <f t="shared" si="31"/>
        <v>24.701172345516046</v>
      </c>
      <c r="AH77" s="64">
        <f t="shared" si="32"/>
        <v>31.905680946291561</v>
      </c>
      <c r="AI77" s="15">
        <f t="shared" si="33"/>
        <v>38.286817135549867</v>
      </c>
      <c r="AJ77" s="64">
        <f t="shared" si="34"/>
        <v>44.177096694865234</v>
      </c>
      <c r="AK77" s="15">
        <f t="shared" si="35"/>
        <v>49.631059249786865</v>
      </c>
      <c r="AL77" s="15">
        <f t="shared" si="36"/>
        <v>55.488140776159234</v>
      </c>
      <c r="AN77" s="16">
        <f t="shared" si="37"/>
        <v>55.256522536919398</v>
      </c>
      <c r="AO77" s="16">
        <f t="shared" si="38"/>
        <v>71.373008276854222</v>
      </c>
      <c r="AP77" s="16">
        <f t="shared" si="39"/>
        <v>85.647609932225052</v>
      </c>
      <c r="AQ77" s="16">
        <f t="shared" si="40"/>
        <v>98.824165306413533</v>
      </c>
      <c r="AR77" s="16">
        <f t="shared" si="41"/>
        <v>111.02467954177322</v>
      </c>
      <c r="AS77" s="16">
        <f t="shared" si="42"/>
        <v>124.12697091626821</v>
      </c>
      <c r="AU77" s="16">
        <f t="shared" si="43"/>
        <v>88.924220443857763</v>
      </c>
      <c r="AV77" s="16">
        <f t="shared" si="44"/>
        <v>114.86045140664962</v>
      </c>
      <c r="AW77" s="16">
        <f t="shared" si="45"/>
        <v>137.83254168797953</v>
      </c>
      <c r="AX77" s="16">
        <f t="shared" si="46"/>
        <v>159.03754810151486</v>
      </c>
      <c r="AY77" s="16">
        <f t="shared" si="47"/>
        <v>178.67181329923272</v>
      </c>
      <c r="AZ77" s="16">
        <f t="shared" si="48"/>
        <v>199.75730679417325</v>
      </c>
    </row>
    <row r="78" spans="27:52" ht="15.75" thickBot="1" x14ac:dyDescent="0.3">
      <c r="AA78" s="41">
        <v>12400</v>
      </c>
      <c r="AB78" s="16">
        <v>105</v>
      </c>
      <c r="AC78" s="65">
        <f t="shared" si="28"/>
        <v>78.298500000000004</v>
      </c>
      <c r="AD78" s="16">
        <f t="shared" si="29"/>
        <v>78298.5</v>
      </c>
      <c r="AE78" s="21">
        <f t="shared" si="30"/>
        <v>44.472580645161287</v>
      </c>
      <c r="AG78" s="15">
        <f t="shared" si="31"/>
        <v>24.901994884910483</v>
      </c>
      <c r="AH78" s="64">
        <f t="shared" si="32"/>
        <v>32.165076726342711</v>
      </c>
      <c r="AI78" s="15">
        <f t="shared" si="33"/>
        <v>38.598092071611255</v>
      </c>
      <c r="AJ78" s="64">
        <f t="shared" si="34"/>
        <v>44.536260082628367</v>
      </c>
      <c r="AK78" s="15">
        <f t="shared" si="35"/>
        <v>50.034563796533099</v>
      </c>
      <c r="AL78" s="15">
        <f t="shared" si="36"/>
        <v>55.93926387190038</v>
      </c>
      <c r="AN78" s="16">
        <f t="shared" si="37"/>
        <v>55.705762557544752</v>
      </c>
      <c r="AO78" s="16">
        <f t="shared" si="38"/>
        <v>71.953276636828647</v>
      </c>
      <c r="AP78" s="16">
        <f t="shared" si="39"/>
        <v>86.343931964194383</v>
      </c>
      <c r="AQ78" s="16">
        <f t="shared" si="40"/>
        <v>99.627613804839655</v>
      </c>
      <c r="AR78" s="16">
        <f t="shared" si="41"/>
        <v>111.92731921284455</v>
      </c>
      <c r="AS78" s="16">
        <f t="shared" si="42"/>
        <v>125.13613328144116</v>
      </c>
      <c r="AU78" s="16">
        <f t="shared" si="43"/>
        <v>89.647181585677743</v>
      </c>
      <c r="AV78" s="16">
        <f t="shared" si="44"/>
        <v>115.79427621483376</v>
      </c>
      <c r="AW78" s="16">
        <f t="shared" si="45"/>
        <v>138.95313145780051</v>
      </c>
      <c r="AX78" s="16">
        <f t="shared" si="46"/>
        <v>160.33053629746212</v>
      </c>
      <c r="AY78" s="16">
        <f t="shared" si="47"/>
        <v>180.12442966751917</v>
      </c>
      <c r="AZ78" s="16">
        <f t="shared" si="48"/>
        <v>201.38134993884137</v>
      </c>
    </row>
    <row r="79" spans="27:52" ht="15.75" thickBot="1" x14ac:dyDescent="0.3">
      <c r="AA79" s="41">
        <v>12500</v>
      </c>
      <c r="AB79" s="16">
        <v>106</v>
      </c>
      <c r="AC79" s="65">
        <f t="shared" si="28"/>
        <v>79.044200000000004</v>
      </c>
      <c r="AD79" s="16">
        <f t="shared" si="29"/>
        <v>79044.2</v>
      </c>
      <c r="AE79" s="21">
        <f t="shared" si="30"/>
        <v>44.536960000000001</v>
      </c>
      <c r="AG79" s="15">
        <f t="shared" si="31"/>
        <v>25.102817424304924</v>
      </c>
      <c r="AH79" s="64">
        <f t="shared" si="32"/>
        <v>32.424472506393862</v>
      </c>
      <c r="AI79" s="15">
        <f t="shared" si="33"/>
        <v>38.909367007672628</v>
      </c>
      <c r="AJ79" s="64">
        <f t="shared" si="34"/>
        <v>44.895423470391499</v>
      </c>
      <c r="AK79" s="15">
        <f t="shared" si="35"/>
        <v>50.438068343279333</v>
      </c>
      <c r="AL79" s="15">
        <f t="shared" si="36"/>
        <v>56.390386967641504</v>
      </c>
      <c r="AN79" s="16">
        <f t="shared" si="37"/>
        <v>56.155002578170119</v>
      </c>
      <c r="AO79" s="16">
        <f t="shared" si="38"/>
        <v>72.533544996803073</v>
      </c>
      <c r="AP79" s="16">
        <f t="shared" si="39"/>
        <v>87.040253996163671</v>
      </c>
      <c r="AQ79" s="16">
        <f t="shared" si="40"/>
        <v>100.43106230326579</v>
      </c>
      <c r="AR79" s="16">
        <f t="shared" si="41"/>
        <v>112.82995888391588</v>
      </c>
      <c r="AS79" s="16">
        <f t="shared" si="42"/>
        <v>126.14529564661404</v>
      </c>
      <c r="AU79" s="16">
        <f t="shared" si="43"/>
        <v>90.370142727497722</v>
      </c>
      <c r="AV79" s="16">
        <f t="shared" si="44"/>
        <v>116.7281010230179</v>
      </c>
      <c r="AW79" s="16">
        <f t="shared" si="45"/>
        <v>140.07372122762146</v>
      </c>
      <c r="AX79" s="16">
        <f t="shared" si="46"/>
        <v>161.62352449340941</v>
      </c>
      <c r="AY79" s="16">
        <f t="shared" si="47"/>
        <v>181.57704603580561</v>
      </c>
      <c r="AZ79" s="16">
        <f t="shared" si="48"/>
        <v>203.00539308350943</v>
      </c>
    </row>
    <row r="80" spans="27:52" ht="15.75" thickBot="1" x14ac:dyDescent="0.3">
      <c r="AA80" s="41">
        <v>12600</v>
      </c>
      <c r="AB80" s="16">
        <v>107</v>
      </c>
      <c r="AC80" s="65">
        <f t="shared" si="28"/>
        <v>79.789900000000003</v>
      </c>
      <c r="AD80" s="16">
        <f t="shared" si="29"/>
        <v>79789.900000000009</v>
      </c>
      <c r="AE80" s="21">
        <f t="shared" si="30"/>
        <v>44.600317460317463</v>
      </c>
      <c r="AG80" s="15">
        <f t="shared" si="31"/>
        <v>25.303639963699361</v>
      </c>
      <c r="AH80" s="64">
        <f t="shared" si="32"/>
        <v>32.683868286445012</v>
      </c>
      <c r="AI80" s="15">
        <f t="shared" si="33"/>
        <v>39.220641943734009</v>
      </c>
      <c r="AJ80" s="64">
        <f t="shared" si="34"/>
        <v>45.254586858154632</v>
      </c>
      <c r="AK80" s="15">
        <f t="shared" si="35"/>
        <v>50.841572890025567</v>
      </c>
      <c r="AL80" s="15">
        <f t="shared" si="36"/>
        <v>56.841510063382643</v>
      </c>
      <c r="AN80" s="16">
        <f t="shared" si="37"/>
        <v>56.604242598795473</v>
      </c>
      <c r="AO80" s="16">
        <f t="shared" si="38"/>
        <v>73.113813356777499</v>
      </c>
      <c r="AP80" s="16">
        <f t="shared" si="39"/>
        <v>87.736576028132987</v>
      </c>
      <c r="AQ80" s="16">
        <f t="shared" si="40"/>
        <v>101.23451080169191</v>
      </c>
      <c r="AR80" s="16">
        <f t="shared" si="41"/>
        <v>113.73259855498721</v>
      </c>
      <c r="AS80" s="16">
        <f t="shared" si="42"/>
        <v>127.15445801178697</v>
      </c>
      <c r="AU80" s="16">
        <f t="shared" si="43"/>
        <v>91.093103869317702</v>
      </c>
      <c r="AV80" s="16">
        <f t="shared" si="44"/>
        <v>117.66192583120204</v>
      </c>
      <c r="AW80" s="16">
        <f t="shared" si="45"/>
        <v>141.19431099744244</v>
      </c>
      <c r="AX80" s="16">
        <f t="shared" si="46"/>
        <v>162.91651268935667</v>
      </c>
      <c r="AY80" s="16">
        <f t="shared" si="47"/>
        <v>183.02966240409205</v>
      </c>
      <c r="AZ80" s="16">
        <f t="shared" si="48"/>
        <v>204.62943622817752</v>
      </c>
    </row>
    <row r="81" spans="27:52" ht="15.75" thickBot="1" x14ac:dyDescent="0.3">
      <c r="AA81" s="41">
        <v>12700</v>
      </c>
      <c r="AB81" s="16">
        <v>108</v>
      </c>
      <c r="AC81" s="65">
        <f t="shared" si="28"/>
        <v>80.535600000000002</v>
      </c>
      <c r="AD81" s="16">
        <f t="shared" si="29"/>
        <v>80535.600000000006</v>
      </c>
      <c r="AE81" s="21">
        <f t="shared" si="30"/>
        <v>44.662677165354332</v>
      </c>
      <c r="AG81" s="15">
        <f t="shared" si="31"/>
        <v>25.504462503093801</v>
      </c>
      <c r="AH81" s="64">
        <f t="shared" si="32"/>
        <v>32.943264066496162</v>
      </c>
      <c r="AI81" s="15">
        <f t="shared" si="33"/>
        <v>39.531916879795389</v>
      </c>
      <c r="AJ81" s="64">
        <f t="shared" si="34"/>
        <v>45.613750245917764</v>
      </c>
      <c r="AK81" s="15">
        <f t="shared" si="35"/>
        <v>51.245077436771801</v>
      </c>
      <c r="AL81" s="15">
        <f t="shared" si="36"/>
        <v>57.292633159123767</v>
      </c>
      <c r="AN81" s="16">
        <f t="shared" si="37"/>
        <v>57.053482619420834</v>
      </c>
      <c r="AO81" s="16">
        <f t="shared" si="38"/>
        <v>73.694081716751924</v>
      </c>
      <c r="AP81" s="16">
        <f t="shared" si="39"/>
        <v>88.432898060102289</v>
      </c>
      <c r="AQ81" s="16">
        <f t="shared" si="40"/>
        <v>102.03795930011805</v>
      </c>
      <c r="AR81" s="16">
        <f t="shared" si="41"/>
        <v>114.63523822605852</v>
      </c>
      <c r="AS81" s="16">
        <f t="shared" si="42"/>
        <v>128.16362037695987</v>
      </c>
      <c r="AU81" s="16">
        <f t="shared" si="43"/>
        <v>91.816065011137681</v>
      </c>
      <c r="AV81" s="16">
        <f t="shared" si="44"/>
        <v>118.59575063938618</v>
      </c>
      <c r="AW81" s="16">
        <f t="shared" si="45"/>
        <v>142.3149007672634</v>
      </c>
      <c r="AX81" s="16">
        <f t="shared" si="46"/>
        <v>164.20950088530395</v>
      </c>
      <c r="AY81" s="16">
        <f t="shared" si="47"/>
        <v>184.48227877237849</v>
      </c>
      <c r="AZ81" s="16">
        <f t="shared" si="48"/>
        <v>206.25347937284556</v>
      </c>
    </row>
    <row r="82" spans="27:52" ht="15.75" thickBot="1" x14ac:dyDescent="0.3">
      <c r="AA82" s="41">
        <v>12800</v>
      </c>
      <c r="AB82" s="16">
        <v>108.5</v>
      </c>
      <c r="AC82" s="65">
        <f t="shared" si="28"/>
        <v>80.908450000000002</v>
      </c>
      <c r="AD82" s="16">
        <f t="shared" si="29"/>
        <v>80908.45</v>
      </c>
      <c r="AE82" s="21">
        <f t="shared" si="30"/>
        <v>44.518906250000001</v>
      </c>
      <c r="AG82" s="15">
        <f t="shared" si="31"/>
        <v>25.705285042488242</v>
      </c>
      <c r="AH82" s="64">
        <f t="shared" si="32"/>
        <v>33.202659846547313</v>
      </c>
      <c r="AI82" s="15">
        <f t="shared" si="33"/>
        <v>39.843191815856777</v>
      </c>
      <c r="AJ82" s="64">
        <f t="shared" si="34"/>
        <v>45.972913633680896</v>
      </c>
      <c r="AK82" s="15">
        <f t="shared" si="35"/>
        <v>51.648581983518042</v>
      </c>
      <c r="AL82" s="15">
        <f t="shared" si="36"/>
        <v>57.743756254864905</v>
      </c>
      <c r="AN82" s="16">
        <f t="shared" si="37"/>
        <v>57.502722640046201</v>
      </c>
      <c r="AO82" s="16">
        <f t="shared" si="38"/>
        <v>74.274350076726336</v>
      </c>
      <c r="AP82" s="16">
        <f t="shared" si="39"/>
        <v>89.12922009207162</v>
      </c>
      <c r="AQ82" s="16">
        <f t="shared" si="40"/>
        <v>102.84140779854417</v>
      </c>
      <c r="AR82" s="16">
        <f t="shared" si="41"/>
        <v>115.53787789712986</v>
      </c>
      <c r="AS82" s="16">
        <f t="shared" si="42"/>
        <v>129.1727827421328</v>
      </c>
      <c r="AU82" s="16">
        <f t="shared" si="43"/>
        <v>92.539026152957675</v>
      </c>
      <c r="AV82" s="16">
        <f t="shared" si="44"/>
        <v>119.52957544757032</v>
      </c>
      <c r="AW82" s="16">
        <f t="shared" si="45"/>
        <v>143.43549053708441</v>
      </c>
      <c r="AX82" s="16">
        <f t="shared" si="46"/>
        <v>165.50248908125124</v>
      </c>
      <c r="AY82" s="16">
        <f t="shared" si="47"/>
        <v>185.93489514066496</v>
      </c>
      <c r="AZ82" s="16">
        <f t="shared" si="48"/>
        <v>207.87752251751365</v>
      </c>
    </row>
    <row r="83" spans="27:52" ht="15.75" thickBot="1" x14ac:dyDescent="0.3">
      <c r="AA83" s="41">
        <v>12900</v>
      </c>
      <c r="AB83" s="16">
        <v>109</v>
      </c>
      <c r="AC83" s="65">
        <f t="shared" si="28"/>
        <v>81.281300000000002</v>
      </c>
      <c r="AD83" s="16">
        <f t="shared" si="29"/>
        <v>81281.3</v>
      </c>
      <c r="AE83" s="21">
        <f t="shared" si="30"/>
        <v>44.377364341085269</v>
      </c>
      <c r="AG83" s="15">
        <f t="shared" si="31"/>
        <v>25.906107581882679</v>
      </c>
      <c r="AH83" s="64">
        <f t="shared" si="32"/>
        <v>33.462055626598463</v>
      </c>
      <c r="AI83" s="15">
        <f t="shared" si="33"/>
        <v>40.15446675191815</v>
      </c>
      <c r="AJ83" s="64">
        <f t="shared" si="34"/>
        <v>46.332077021444029</v>
      </c>
      <c r="AK83" s="15">
        <f t="shared" si="35"/>
        <v>52.052086530264276</v>
      </c>
      <c r="AL83" s="15">
        <f t="shared" si="36"/>
        <v>58.19487935060603</v>
      </c>
      <c r="AN83" s="16">
        <f t="shared" si="37"/>
        <v>57.951962660671555</v>
      </c>
      <c r="AO83" s="16">
        <f t="shared" si="38"/>
        <v>74.854618436700761</v>
      </c>
      <c r="AP83" s="16">
        <f t="shared" si="39"/>
        <v>89.825542124040908</v>
      </c>
      <c r="AQ83" s="16">
        <f t="shared" si="40"/>
        <v>103.6448562969703</v>
      </c>
      <c r="AR83" s="16">
        <f t="shared" si="41"/>
        <v>116.44051756820119</v>
      </c>
      <c r="AS83" s="16">
        <f t="shared" si="42"/>
        <v>130.18194510730569</v>
      </c>
      <c r="AU83" s="16">
        <f t="shared" si="43"/>
        <v>93.261987294777654</v>
      </c>
      <c r="AV83" s="16">
        <f t="shared" si="44"/>
        <v>120.46340025575446</v>
      </c>
      <c r="AW83" s="16">
        <f t="shared" si="45"/>
        <v>144.55608030690536</v>
      </c>
      <c r="AX83" s="16">
        <f t="shared" si="46"/>
        <v>166.7954772771985</v>
      </c>
      <c r="AY83" s="16">
        <f t="shared" si="47"/>
        <v>187.38751150895141</v>
      </c>
      <c r="AZ83" s="16">
        <f t="shared" si="48"/>
        <v>209.50156566218172</v>
      </c>
    </row>
    <row r="84" spans="27:52" ht="15.75" thickBot="1" x14ac:dyDescent="0.3">
      <c r="AA84" s="41">
        <v>13000</v>
      </c>
      <c r="AB84" s="16">
        <v>109</v>
      </c>
      <c r="AC84" s="65">
        <f t="shared" si="28"/>
        <v>81.281300000000002</v>
      </c>
      <c r="AD84" s="16">
        <f t="shared" si="29"/>
        <v>81281.3</v>
      </c>
      <c r="AE84" s="21">
        <f t="shared" si="30"/>
        <v>44.036000000000001</v>
      </c>
      <c r="AG84" s="15">
        <f t="shared" si="31"/>
        <v>26.10693012127712</v>
      </c>
      <c r="AH84" s="64">
        <f t="shared" si="32"/>
        <v>33.721451406649614</v>
      </c>
      <c r="AI84" s="15">
        <f t="shared" si="33"/>
        <v>40.465741687979531</v>
      </c>
      <c r="AJ84" s="64">
        <f t="shared" si="34"/>
        <v>46.691240409207154</v>
      </c>
      <c r="AK84" s="15">
        <f t="shared" si="35"/>
        <v>52.45559107701051</v>
      </c>
      <c r="AL84" s="15">
        <f t="shared" si="36"/>
        <v>58.646002446347168</v>
      </c>
      <c r="AN84" s="16">
        <f t="shared" si="37"/>
        <v>58.401202681296922</v>
      </c>
      <c r="AO84" s="16">
        <f t="shared" si="38"/>
        <v>75.434886796675187</v>
      </c>
      <c r="AP84" s="16">
        <f t="shared" si="39"/>
        <v>90.52186415601021</v>
      </c>
      <c r="AQ84" s="16">
        <f t="shared" si="40"/>
        <v>104.44830479539641</v>
      </c>
      <c r="AR84" s="16">
        <f t="shared" si="41"/>
        <v>117.34315723927251</v>
      </c>
      <c r="AS84" s="16">
        <f t="shared" si="42"/>
        <v>131.19110747247862</v>
      </c>
      <c r="AU84" s="16">
        <f t="shared" si="43"/>
        <v>93.984948436597634</v>
      </c>
      <c r="AV84" s="16">
        <f t="shared" si="44"/>
        <v>121.39722506393861</v>
      </c>
      <c r="AW84" s="16">
        <f t="shared" si="45"/>
        <v>145.67667007672631</v>
      </c>
      <c r="AX84" s="16">
        <f t="shared" si="46"/>
        <v>168.08846547314576</v>
      </c>
      <c r="AY84" s="16">
        <f t="shared" si="47"/>
        <v>188.84012787723785</v>
      </c>
      <c r="AZ84" s="16">
        <f t="shared" si="48"/>
        <v>211.12560880684981</v>
      </c>
    </row>
    <row r="85" spans="27:52" ht="15.75" thickBot="1" x14ac:dyDescent="0.3">
      <c r="AA85" s="41">
        <v>13100</v>
      </c>
      <c r="AB85" s="16">
        <v>109</v>
      </c>
      <c r="AC85" s="65">
        <f t="shared" si="28"/>
        <v>81.281300000000002</v>
      </c>
      <c r="AD85" s="16">
        <f t="shared" si="29"/>
        <v>81281.3</v>
      </c>
      <c r="AE85" s="21">
        <f t="shared" si="30"/>
        <v>43.699847328244275</v>
      </c>
      <c r="AG85" s="15">
        <f t="shared" si="31"/>
        <v>26.307752660671557</v>
      </c>
      <c r="AH85" s="64">
        <f t="shared" si="32"/>
        <v>33.980847186700764</v>
      </c>
      <c r="AI85" s="15">
        <f t="shared" si="33"/>
        <v>40.777016624040918</v>
      </c>
      <c r="AJ85" s="64">
        <f t="shared" si="34"/>
        <v>47.050403796970286</v>
      </c>
      <c r="AK85" s="15">
        <f t="shared" si="35"/>
        <v>52.859095623756737</v>
      </c>
      <c r="AL85" s="15">
        <f t="shared" si="36"/>
        <v>59.097125542088293</v>
      </c>
      <c r="AN85" s="16">
        <f t="shared" si="37"/>
        <v>58.850442701922276</v>
      </c>
      <c r="AO85" s="16">
        <f t="shared" si="38"/>
        <v>76.015155156649612</v>
      </c>
      <c r="AP85" s="16">
        <f t="shared" si="39"/>
        <v>91.218186187979541</v>
      </c>
      <c r="AQ85" s="16">
        <f t="shared" si="40"/>
        <v>105.25175329382253</v>
      </c>
      <c r="AR85" s="16">
        <f t="shared" si="41"/>
        <v>118.24579691034383</v>
      </c>
      <c r="AS85" s="16">
        <f t="shared" si="42"/>
        <v>132.20026983765152</v>
      </c>
      <c r="AU85" s="16">
        <f t="shared" si="43"/>
        <v>94.707909578417613</v>
      </c>
      <c r="AV85" s="16">
        <f t="shared" si="44"/>
        <v>122.33104987212275</v>
      </c>
      <c r="AW85" s="16">
        <f t="shared" si="45"/>
        <v>146.79725984654732</v>
      </c>
      <c r="AX85" s="16">
        <f t="shared" si="46"/>
        <v>169.38145366909305</v>
      </c>
      <c r="AY85" s="16">
        <f t="shared" si="47"/>
        <v>190.29274424552426</v>
      </c>
      <c r="AZ85" s="16">
        <f t="shared" si="48"/>
        <v>212.74965195151785</v>
      </c>
    </row>
    <row r="86" spans="27:52" ht="15.75" thickBot="1" x14ac:dyDescent="0.3">
      <c r="AA86" s="41">
        <v>13200</v>
      </c>
      <c r="AB86" s="16">
        <v>109</v>
      </c>
      <c r="AC86" s="65">
        <f t="shared" si="28"/>
        <v>81.281300000000002</v>
      </c>
      <c r="AD86" s="16">
        <f t="shared" si="29"/>
        <v>81281.3</v>
      </c>
      <c r="AE86" s="21">
        <f t="shared" si="30"/>
        <v>43.368787878787877</v>
      </c>
      <c r="AG86" s="15">
        <f t="shared" si="31"/>
        <v>26.508575200065998</v>
      </c>
      <c r="AH86" s="64">
        <f t="shared" si="32"/>
        <v>34.240242966751914</v>
      </c>
      <c r="AI86" s="15">
        <f t="shared" si="33"/>
        <v>41.088291560102299</v>
      </c>
      <c r="AJ86" s="64">
        <f t="shared" si="34"/>
        <v>47.409567184733419</v>
      </c>
      <c r="AK86" s="15">
        <f t="shared" si="35"/>
        <v>53.262600170502971</v>
      </c>
      <c r="AL86" s="15">
        <f t="shared" si="36"/>
        <v>59.548248637829438</v>
      </c>
      <c r="AN86" s="16">
        <f t="shared" si="37"/>
        <v>59.299682722547637</v>
      </c>
      <c r="AO86" s="16">
        <f t="shared" si="38"/>
        <v>76.595423516624038</v>
      </c>
      <c r="AP86" s="16">
        <f t="shared" si="39"/>
        <v>91.914508219948843</v>
      </c>
      <c r="AQ86" s="16">
        <f t="shared" si="40"/>
        <v>106.05520179224867</v>
      </c>
      <c r="AR86" s="16">
        <f t="shared" si="41"/>
        <v>119.14843658141515</v>
      </c>
      <c r="AS86" s="16">
        <f t="shared" si="42"/>
        <v>133.20943220282447</v>
      </c>
      <c r="AU86" s="16">
        <f t="shared" si="43"/>
        <v>95.430870720237593</v>
      </c>
      <c r="AV86" s="16">
        <f t="shared" si="44"/>
        <v>123.26487468030689</v>
      </c>
      <c r="AW86" s="16">
        <f t="shared" si="45"/>
        <v>147.91784961636827</v>
      </c>
      <c r="AX86" s="16">
        <f t="shared" si="46"/>
        <v>170.67444186504031</v>
      </c>
      <c r="AY86" s="16">
        <f t="shared" si="47"/>
        <v>191.7453606138107</v>
      </c>
      <c r="AZ86" s="16">
        <f t="shared" si="48"/>
        <v>214.37369509618597</v>
      </c>
    </row>
    <row r="87" spans="27:52" ht="15.75" thickBot="1" x14ac:dyDescent="0.3">
      <c r="AA87" s="41">
        <v>13300</v>
      </c>
      <c r="AB87" s="16">
        <v>109</v>
      </c>
      <c r="AC87" s="65">
        <f t="shared" si="28"/>
        <v>81.281300000000002</v>
      </c>
      <c r="AD87" s="16">
        <f t="shared" si="29"/>
        <v>81281.3</v>
      </c>
      <c r="AE87" s="21">
        <f t="shared" si="30"/>
        <v>43.042706766917291</v>
      </c>
      <c r="AG87" s="15">
        <f t="shared" si="31"/>
        <v>26.709397739460435</v>
      </c>
      <c r="AH87" s="64">
        <f t="shared" si="32"/>
        <v>34.499638746803065</v>
      </c>
      <c r="AI87" s="15">
        <f t="shared" si="33"/>
        <v>41.399566496163672</v>
      </c>
      <c r="AJ87" s="64">
        <f t="shared" si="34"/>
        <v>47.768730572496558</v>
      </c>
      <c r="AK87" s="15">
        <f t="shared" si="35"/>
        <v>53.666104717249212</v>
      </c>
      <c r="AL87" s="15">
        <f t="shared" si="36"/>
        <v>59.99937173357057</v>
      </c>
      <c r="AN87" s="16">
        <f t="shared" si="37"/>
        <v>59.748922743172997</v>
      </c>
      <c r="AO87" s="16">
        <f t="shared" si="38"/>
        <v>77.175691876598464</v>
      </c>
      <c r="AP87" s="16">
        <f t="shared" si="39"/>
        <v>92.610830251918145</v>
      </c>
      <c r="AQ87" s="16">
        <f t="shared" si="40"/>
        <v>106.8586502906748</v>
      </c>
      <c r="AR87" s="16">
        <f t="shared" si="41"/>
        <v>120.0510762524865</v>
      </c>
      <c r="AS87" s="16">
        <f t="shared" si="42"/>
        <v>134.21859456799737</v>
      </c>
      <c r="AU87" s="16">
        <f t="shared" si="43"/>
        <v>96.153831862057572</v>
      </c>
      <c r="AV87" s="16">
        <f t="shared" si="44"/>
        <v>124.19869948849103</v>
      </c>
      <c r="AW87" s="16">
        <f t="shared" si="45"/>
        <v>149.03843938618922</v>
      </c>
      <c r="AX87" s="16">
        <f t="shared" si="46"/>
        <v>171.96743006098762</v>
      </c>
      <c r="AY87" s="16">
        <f t="shared" si="47"/>
        <v>193.19797698209717</v>
      </c>
      <c r="AZ87" s="16">
        <f t="shared" si="48"/>
        <v>215.99773824085406</v>
      </c>
    </row>
    <row r="88" spans="27:52" ht="15.75" thickBot="1" x14ac:dyDescent="0.3">
      <c r="AA88" s="41">
        <v>13400</v>
      </c>
      <c r="AB88" s="16">
        <v>109</v>
      </c>
      <c r="AC88" s="65">
        <f t="shared" si="28"/>
        <v>81.281300000000002</v>
      </c>
      <c r="AD88" s="16">
        <f t="shared" si="29"/>
        <v>81281.3</v>
      </c>
      <c r="AE88" s="21">
        <f t="shared" si="30"/>
        <v>42.721492537313431</v>
      </c>
      <c r="AG88" s="15">
        <f t="shared" si="31"/>
        <v>26.910220278854876</v>
      </c>
      <c r="AH88" s="64">
        <f t="shared" si="32"/>
        <v>34.759034526854215</v>
      </c>
      <c r="AI88" s="15">
        <f t="shared" si="33"/>
        <v>41.710841432225052</v>
      </c>
      <c r="AJ88" s="64">
        <f t="shared" si="34"/>
        <v>48.127893960259684</v>
      </c>
      <c r="AK88" s="15">
        <f t="shared" si="35"/>
        <v>54.069609263995439</v>
      </c>
      <c r="AL88" s="15">
        <f t="shared" si="36"/>
        <v>60.450494829311694</v>
      </c>
      <c r="AN88" s="16">
        <f t="shared" si="37"/>
        <v>60.198162763798358</v>
      </c>
      <c r="AO88" s="16">
        <f t="shared" si="38"/>
        <v>77.755960236572889</v>
      </c>
      <c r="AP88" s="16">
        <f t="shared" si="39"/>
        <v>93.307152283887447</v>
      </c>
      <c r="AQ88" s="16">
        <f t="shared" si="40"/>
        <v>107.66209878910092</v>
      </c>
      <c r="AR88" s="16">
        <f t="shared" si="41"/>
        <v>120.95371592355779</v>
      </c>
      <c r="AS88" s="16">
        <f t="shared" si="42"/>
        <v>135.22775693317027</v>
      </c>
      <c r="AU88" s="16">
        <f t="shared" si="43"/>
        <v>96.876793003877552</v>
      </c>
      <c r="AV88" s="16">
        <f t="shared" si="44"/>
        <v>125.13252429667517</v>
      </c>
      <c r="AW88" s="16">
        <f t="shared" si="45"/>
        <v>150.15902915601021</v>
      </c>
      <c r="AX88" s="16">
        <f t="shared" si="46"/>
        <v>173.26041825693486</v>
      </c>
      <c r="AY88" s="16">
        <f t="shared" si="47"/>
        <v>194.65059335038359</v>
      </c>
      <c r="AZ88" s="16">
        <f t="shared" si="48"/>
        <v>217.6217813855221</v>
      </c>
    </row>
    <row r="89" spans="27:52" ht="15.75" thickBot="1" x14ac:dyDescent="0.3">
      <c r="AA89" s="41">
        <v>13500</v>
      </c>
      <c r="AB89" s="16">
        <v>109</v>
      </c>
      <c r="AC89" s="65">
        <f t="shared" si="28"/>
        <v>81.281300000000002</v>
      </c>
      <c r="AD89" s="16">
        <f t="shared" si="29"/>
        <v>81281.3</v>
      </c>
      <c r="AE89" s="21">
        <f t="shared" si="30"/>
        <v>42.40503703703704</v>
      </c>
      <c r="AG89" s="15">
        <f t="shared" si="31"/>
        <v>27.111042818249317</v>
      </c>
      <c r="AH89" s="64">
        <f t="shared" si="32"/>
        <v>35.018430306905366</v>
      </c>
      <c r="AI89" s="15">
        <f t="shared" si="33"/>
        <v>42.02211636828644</v>
      </c>
      <c r="AJ89" s="64">
        <f t="shared" si="34"/>
        <v>48.487057348022816</v>
      </c>
      <c r="AK89" s="15">
        <f t="shared" si="35"/>
        <v>54.47311381074168</v>
      </c>
      <c r="AL89" s="15">
        <f t="shared" si="36"/>
        <v>60.901617925052832</v>
      </c>
      <c r="AN89" s="16">
        <f t="shared" si="37"/>
        <v>60.647402784423726</v>
      </c>
      <c r="AO89" s="16">
        <f t="shared" si="38"/>
        <v>78.336228596547301</v>
      </c>
      <c r="AP89" s="16">
        <f t="shared" si="39"/>
        <v>94.003474315856764</v>
      </c>
      <c r="AQ89" s="16">
        <f t="shared" si="40"/>
        <v>108.46554728752704</v>
      </c>
      <c r="AR89" s="16">
        <f t="shared" si="41"/>
        <v>121.85635559462914</v>
      </c>
      <c r="AS89" s="16">
        <f t="shared" si="42"/>
        <v>136.2369192983432</v>
      </c>
      <c r="AU89" s="16">
        <f t="shared" si="43"/>
        <v>97.599754145697545</v>
      </c>
      <c r="AV89" s="16">
        <f t="shared" si="44"/>
        <v>126.06634910485931</v>
      </c>
      <c r="AW89" s="16">
        <f t="shared" si="45"/>
        <v>151.27961892583119</v>
      </c>
      <c r="AX89" s="16">
        <f t="shared" si="46"/>
        <v>174.55340645288214</v>
      </c>
      <c r="AY89" s="16">
        <f t="shared" si="47"/>
        <v>196.10320971867006</v>
      </c>
      <c r="AZ89" s="16">
        <f t="shared" si="48"/>
        <v>219.24582453019019</v>
      </c>
    </row>
    <row r="90" spans="27:52" ht="15.75" thickBot="1" x14ac:dyDescent="0.3">
      <c r="AA90" s="41">
        <v>13600</v>
      </c>
      <c r="AB90" s="16">
        <v>109</v>
      </c>
      <c r="AC90" s="65">
        <f t="shared" si="28"/>
        <v>81.281300000000002</v>
      </c>
      <c r="AD90" s="16">
        <f t="shared" si="29"/>
        <v>81281.3</v>
      </c>
      <c r="AE90" s="21">
        <f t="shared" si="30"/>
        <v>42.093235294117648</v>
      </c>
      <c r="AG90" s="15">
        <f t="shared" si="31"/>
        <v>27.311865357643754</v>
      </c>
      <c r="AH90" s="64">
        <f t="shared" si="32"/>
        <v>35.277826086956523</v>
      </c>
      <c r="AI90" s="15">
        <f t="shared" si="33"/>
        <v>42.33339130434782</v>
      </c>
      <c r="AJ90" s="64">
        <f t="shared" si="34"/>
        <v>48.846220735785955</v>
      </c>
      <c r="AK90" s="15">
        <f t="shared" si="35"/>
        <v>54.876618357487914</v>
      </c>
      <c r="AL90" s="15">
        <f t="shared" si="36"/>
        <v>61.352741020793957</v>
      </c>
      <c r="AN90" s="16">
        <f t="shared" si="37"/>
        <v>61.096642805049079</v>
      </c>
      <c r="AO90" s="16">
        <f t="shared" si="38"/>
        <v>78.91649695652174</v>
      </c>
      <c r="AP90" s="16">
        <f t="shared" si="39"/>
        <v>94.69979634782608</v>
      </c>
      <c r="AQ90" s="16">
        <f t="shared" si="40"/>
        <v>109.26899578595318</v>
      </c>
      <c r="AR90" s="16">
        <f t="shared" si="41"/>
        <v>122.75899526570046</v>
      </c>
      <c r="AS90" s="16">
        <f t="shared" si="42"/>
        <v>137.24608166351609</v>
      </c>
      <c r="AU90" s="16">
        <f t="shared" si="43"/>
        <v>98.322715287517511</v>
      </c>
      <c r="AV90" s="16">
        <f t="shared" si="44"/>
        <v>127.00017391304348</v>
      </c>
      <c r="AW90" s="16">
        <f t="shared" si="45"/>
        <v>152.40020869565217</v>
      </c>
      <c r="AX90" s="16">
        <f t="shared" si="46"/>
        <v>175.84639464882943</v>
      </c>
      <c r="AY90" s="16">
        <f t="shared" si="47"/>
        <v>197.5558260869565</v>
      </c>
      <c r="AZ90" s="16">
        <f t="shared" si="48"/>
        <v>220.86986767485826</v>
      </c>
    </row>
    <row r="91" spans="27:52" ht="15.75" thickBot="1" x14ac:dyDescent="0.3">
      <c r="AA91" s="41">
        <v>13700</v>
      </c>
      <c r="AB91" s="16">
        <v>109</v>
      </c>
      <c r="AC91" s="65">
        <f t="shared" si="28"/>
        <v>81.281300000000002</v>
      </c>
      <c r="AD91" s="16">
        <f t="shared" si="29"/>
        <v>81281.3</v>
      </c>
      <c r="AE91" s="21">
        <f t="shared" si="30"/>
        <v>41.785985401459854</v>
      </c>
      <c r="AG91" s="15">
        <f t="shared" si="31"/>
        <v>27.512687897038195</v>
      </c>
      <c r="AH91" s="64">
        <f t="shared" si="32"/>
        <v>35.537221867007673</v>
      </c>
      <c r="AI91" s="15">
        <f t="shared" si="33"/>
        <v>42.644666240409201</v>
      </c>
      <c r="AJ91" s="64">
        <f t="shared" si="34"/>
        <v>49.205384123549081</v>
      </c>
      <c r="AK91" s="15">
        <f t="shared" si="35"/>
        <v>55.280122904234155</v>
      </c>
      <c r="AL91" s="15">
        <f t="shared" si="36"/>
        <v>61.803864116535095</v>
      </c>
      <c r="AN91" s="16">
        <f t="shared" si="37"/>
        <v>61.545882825674447</v>
      </c>
      <c r="AO91" s="16">
        <f t="shared" si="38"/>
        <v>79.496765316496166</v>
      </c>
      <c r="AP91" s="16">
        <f t="shared" si="39"/>
        <v>95.396118379795382</v>
      </c>
      <c r="AQ91" s="16">
        <f t="shared" si="40"/>
        <v>110.0724442843793</v>
      </c>
      <c r="AR91" s="16">
        <f t="shared" si="41"/>
        <v>123.6616349367718</v>
      </c>
      <c r="AS91" s="16">
        <f t="shared" si="42"/>
        <v>138.25524402868902</v>
      </c>
      <c r="AU91" s="16">
        <f t="shared" si="43"/>
        <v>99.045676429337504</v>
      </c>
      <c r="AV91" s="16">
        <f t="shared" si="44"/>
        <v>127.93399872122762</v>
      </c>
      <c r="AW91" s="16">
        <f t="shared" si="45"/>
        <v>153.52079846547312</v>
      </c>
      <c r="AX91" s="16">
        <f t="shared" si="46"/>
        <v>177.13938284477669</v>
      </c>
      <c r="AY91" s="16">
        <f t="shared" si="47"/>
        <v>199.00844245524297</v>
      </c>
      <c r="AZ91" s="16">
        <f t="shared" si="48"/>
        <v>222.49391081952635</v>
      </c>
    </row>
    <row r="92" spans="27:52" ht="15.75" thickBot="1" x14ac:dyDescent="0.3">
      <c r="AA92" s="41">
        <v>13800</v>
      </c>
      <c r="AB92" s="16">
        <v>109.5</v>
      </c>
      <c r="AC92" s="65">
        <f t="shared" si="28"/>
        <v>81.654150000000001</v>
      </c>
      <c r="AD92" s="16">
        <f t="shared" si="29"/>
        <v>81654.149999999994</v>
      </c>
      <c r="AE92" s="21">
        <f t="shared" si="30"/>
        <v>41.673478260869565</v>
      </c>
      <c r="AG92" s="15">
        <f t="shared" si="31"/>
        <v>27.713510436432635</v>
      </c>
      <c r="AH92" s="64">
        <f t="shared" si="32"/>
        <v>35.796617647058824</v>
      </c>
      <c r="AI92" s="15">
        <f t="shared" si="33"/>
        <v>42.955941176470581</v>
      </c>
      <c r="AJ92" s="64">
        <f t="shared" si="34"/>
        <v>49.564547511312206</v>
      </c>
      <c r="AK92" s="15">
        <f t="shared" si="35"/>
        <v>55.683627450980374</v>
      </c>
      <c r="AL92" s="15">
        <f t="shared" si="36"/>
        <v>62.25498721227622</v>
      </c>
      <c r="AN92" s="16">
        <f t="shared" si="37"/>
        <v>61.995122846299807</v>
      </c>
      <c r="AO92" s="16">
        <f t="shared" si="38"/>
        <v>80.077033676470592</v>
      </c>
      <c r="AP92" s="16">
        <f t="shared" si="39"/>
        <v>96.092440411764699</v>
      </c>
      <c r="AQ92" s="16">
        <f t="shared" si="40"/>
        <v>110.87589278280541</v>
      </c>
      <c r="AR92" s="16">
        <f t="shared" si="41"/>
        <v>124.5642746078431</v>
      </c>
      <c r="AS92" s="16">
        <f t="shared" si="42"/>
        <v>139.26440639386192</v>
      </c>
      <c r="AU92" s="16">
        <f t="shared" si="43"/>
        <v>99.768637571157484</v>
      </c>
      <c r="AV92" s="16">
        <f t="shared" si="44"/>
        <v>128.86782352941177</v>
      </c>
      <c r="AW92" s="16">
        <f t="shared" si="45"/>
        <v>154.6413882352941</v>
      </c>
      <c r="AX92" s="16">
        <f t="shared" si="46"/>
        <v>178.43237104072395</v>
      </c>
      <c r="AY92" s="16">
        <f t="shared" si="47"/>
        <v>200.46105882352936</v>
      </c>
      <c r="AZ92" s="16">
        <f t="shared" si="48"/>
        <v>224.11795396419438</v>
      </c>
    </row>
    <row r="93" spans="27:52" ht="15.75" thickBot="1" x14ac:dyDescent="0.3">
      <c r="AA93" s="41">
        <v>13900</v>
      </c>
      <c r="AB93" s="16">
        <v>110</v>
      </c>
      <c r="AC93" s="65">
        <f t="shared" si="28"/>
        <v>82.027000000000001</v>
      </c>
      <c r="AD93" s="16">
        <f t="shared" si="29"/>
        <v>82027</v>
      </c>
      <c r="AE93" s="21">
        <f t="shared" si="30"/>
        <v>41.562589928057555</v>
      </c>
      <c r="AG93" s="15">
        <f t="shared" si="31"/>
        <v>27.914332975827072</v>
      </c>
      <c r="AH93" s="64">
        <f t="shared" si="32"/>
        <v>36.056013427109974</v>
      </c>
      <c r="AI93" s="15">
        <f t="shared" si="33"/>
        <v>43.267216112531969</v>
      </c>
      <c r="AJ93" s="64">
        <f t="shared" si="34"/>
        <v>49.923710899075346</v>
      </c>
      <c r="AK93" s="15">
        <f t="shared" si="35"/>
        <v>56.087131997726615</v>
      </c>
      <c r="AL93" s="15">
        <f t="shared" si="36"/>
        <v>62.706110308017365</v>
      </c>
      <c r="AN93" s="16">
        <f t="shared" si="37"/>
        <v>62.444362866925161</v>
      </c>
      <c r="AO93" s="16">
        <f t="shared" si="38"/>
        <v>80.657302036445017</v>
      </c>
      <c r="AP93" s="16">
        <f t="shared" si="39"/>
        <v>96.788762443734015</v>
      </c>
      <c r="AQ93" s="16">
        <f t="shared" si="40"/>
        <v>111.67934128123156</v>
      </c>
      <c r="AR93" s="16">
        <f t="shared" si="41"/>
        <v>125.46691427891444</v>
      </c>
      <c r="AS93" s="16">
        <f t="shared" si="42"/>
        <v>140.27356875903484</v>
      </c>
      <c r="AU93" s="16">
        <f t="shared" si="43"/>
        <v>100.49159871297746</v>
      </c>
      <c r="AV93" s="16">
        <f t="shared" si="44"/>
        <v>129.80164833759591</v>
      </c>
      <c r="AW93" s="16">
        <f t="shared" si="45"/>
        <v>155.76197800511508</v>
      </c>
      <c r="AX93" s="16">
        <f t="shared" si="46"/>
        <v>179.72535923667124</v>
      </c>
      <c r="AY93" s="16">
        <f t="shared" si="47"/>
        <v>201.91367519181583</v>
      </c>
      <c r="AZ93" s="16">
        <f t="shared" si="48"/>
        <v>225.74199710886251</v>
      </c>
    </row>
    <row r="94" spans="27:52" ht="15.75" thickBot="1" x14ac:dyDescent="0.3">
      <c r="AA94" s="41">
        <v>14000</v>
      </c>
      <c r="AB94" s="16">
        <v>111</v>
      </c>
      <c r="AC94" s="65">
        <f t="shared" si="28"/>
        <v>82.7727</v>
      </c>
      <c r="AD94" s="16">
        <f t="shared" si="29"/>
        <v>82772.7</v>
      </c>
      <c r="AE94" s="21">
        <f t="shared" si="30"/>
        <v>41.640857142857143</v>
      </c>
      <c r="AG94" s="15">
        <f t="shared" si="31"/>
        <v>28.11515551522151</v>
      </c>
      <c r="AH94" s="64">
        <f t="shared" si="32"/>
        <v>36.315409207161117</v>
      </c>
      <c r="AI94" s="15">
        <f t="shared" si="33"/>
        <v>43.578491048593349</v>
      </c>
      <c r="AJ94" s="64">
        <f t="shared" si="34"/>
        <v>50.282874286838478</v>
      </c>
      <c r="AK94" s="15">
        <f t="shared" si="35"/>
        <v>56.490636544472849</v>
      </c>
      <c r="AL94" s="15">
        <f t="shared" si="36"/>
        <v>63.157233403758489</v>
      </c>
      <c r="AN94" s="16">
        <f t="shared" si="37"/>
        <v>62.893602887550522</v>
      </c>
      <c r="AO94" s="16">
        <f t="shared" si="38"/>
        <v>81.237570396419429</v>
      </c>
      <c r="AP94" s="16">
        <f t="shared" si="39"/>
        <v>97.485084475703331</v>
      </c>
      <c r="AQ94" s="16">
        <f t="shared" si="40"/>
        <v>112.48278977965768</v>
      </c>
      <c r="AR94" s="16">
        <f t="shared" si="41"/>
        <v>126.36955394998577</v>
      </c>
      <c r="AS94" s="16">
        <f t="shared" si="42"/>
        <v>141.28273112420774</v>
      </c>
      <c r="AU94" s="16">
        <f t="shared" si="43"/>
        <v>101.21455985479744</v>
      </c>
      <c r="AV94" s="16">
        <f t="shared" si="44"/>
        <v>130.73547314578002</v>
      </c>
      <c r="AW94" s="16">
        <f t="shared" si="45"/>
        <v>156.88256777493606</v>
      </c>
      <c r="AX94" s="16">
        <f t="shared" si="46"/>
        <v>181.01834743261853</v>
      </c>
      <c r="AY94" s="16">
        <f t="shared" si="47"/>
        <v>203.36629156010227</v>
      </c>
      <c r="AZ94" s="16">
        <f t="shared" si="48"/>
        <v>227.36604025353057</v>
      </c>
    </row>
    <row r="95" spans="27:52" ht="15.75" thickBot="1" x14ac:dyDescent="0.3">
      <c r="AA95" s="41">
        <v>14100</v>
      </c>
      <c r="AB95" s="16">
        <v>111.5</v>
      </c>
      <c r="AC95" s="65">
        <f t="shared" si="28"/>
        <v>83.14555</v>
      </c>
      <c r="AD95" s="16">
        <f t="shared" si="29"/>
        <v>83145.55</v>
      </c>
      <c r="AE95" s="21">
        <f t="shared" si="30"/>
        <v>41.531773049645388</v>
      </c>
      <c r="AG95" s="15">
        <f t="shared" si="31"/>
        <v>28.315978054615957</v>
      </c>
      <c r="AH95" s="64">
        <f t="shared" si="32"/>
        <v>36.574804987212268</v>
      </c>
      <c r="AI95" s="15">
        <f t="shared" si="33"/>
        <v>43.889765984654723</v>
      </c>
      <c r="AJ95" s="64">
        <f t="shared" si="34"/>
        <v>50.64203767460161</v>
      </c>
      <c r="AK95" s="15">
        <f t="shared" si="35"/>
        <v>56.89414109121909</v>
      </c>
      <c r="AL95" s="15">
        <f t="shared" si="36"/>
        <v>63.608356499499628</v>
      </c>
      <c r="AN95" s="16">
        <f t="shared" si="37"/>
        <v>63.342842908175896</v>
      </c>
      <c r="AO95" s="16">
        <f t="shared" si="38"/>
        <v>81.81783875639384</v>
      </c>
      <c r="AP95" s="16">
        <f t="shared" si="39"/>
        <v>98.181406507672619</v>
      </c>
      <c r="AQ95" s="16">
        <f t="shared" si="40"/>
        <v>113.2862382780838</v>
      </c>
      <c r="AR95" s="16">
        <f t="shared" si="41"/>
        <v>127.27219362105711</v>
      </c>
      <c r="AS95" s="16">
        <f t="shared" si="42"/>
        <v>142.29189348938067</v>
      </c>
      <c r="AU95" s="16">
        <f t="shared" si="43"/>
        <v>101.93752099661745</v>
      </c>
      <c r="AV95" s="16">
        <f t="shared" si="44"/>
        <v>131.66929795396416</v>
      </c>
      <c r="AW95" s="16">
        <f t="shared" si="45"/>
        <v>158.00315754475702</v>
      </c>
      <c r="AX95" s="16">
        <f t="shared" si="46"/>
        <v>182.31133562856581</v>
      </c>
      <c r="AY95" s="16">
        <f t="shared" si="47"/>
        <v>204.81890792838874</v>
      </c>
      <c r="AZ95" s="16">
        <f t="shared" si="48"/>
        <v>228.99008339819866</v>
      </c>
    </row>
    <row r="96" spans="27:52" ht="15.75" thickBot="1" x14ac:dyDescent="0.3">
      <c r="AA96" s="41">
        <v>14200</v>
      </c>
      <c r="AB96" s="16">
        <v>112</v>
      </c>
      <c r="AC96" s="65">
        <f t="shared" si="28"/>
        <v>83.5184</v>
      </c>
      <c r="AD96" s="16">
        <f t="shared" si="29"/>
        <v>83518.399999999994</v>
      </c>
      <c r="AE96" s="21">
        <f t="shared" si="30"/>
        <v>41.424225352112678</v>
      </c>
      <c r="AG96" s="15">
        <f t="shared" si="31"/>
        <v>28.516800594010395</v>
      </c>
      <c r="AH96" s="64">
        <f t="shared" si="32"/>
        <v>36.834200767263418</v>
      </c>
      <c r="AI96" s="15">
        <f t="shared" si="33"/>
        <v>44.201040920716103</v>
      </c>
      <c r="AJ96" s="64">
        <f t="shared" si="34"/>
        <v>51.001201062364743</v>
      </c>
      <c r="AK96" s="15">
        <f t="shared" si="35"/>
        <v>57.297645637965317</v>
      </c>
      <c r="AL96" s="15">
        <f t="shared" si="36"/>
        <v>64.059479595240745</v>
      </c>
      <c r="AN96" s="16">
        <f t="shared" si="37"/>
        <v>63.792082928801257</v>
      </c>
      <c r="AO96" s="16">
        <f t="shared" si="38"/>
        <v>82.398107116368266</v>
      </c>
      <c r="AP96" s="16">
        <f t="shared" si="39"/>
        <v>98.877728539641922</v>
      </c>
      <c r="AQ96" s="16">
        <f t="shared" si="40"/>
        <v>114.08968677650994</v>
      </c>
      <c r="AR96" s="16">
        <f t="shared" si="41"/>
        <v>128.17483329212843</v>
      </c>
      <c r="AS96" s="16">
        <f t="shared" si="42"/>
        <v>143.30105585455357</v>
      </c>
      <c r="AU96" s="16">
        <f t="shared" si="43"/>
        <v>102.66048213843742</v>
      </c>
      <c r="AV96" s="16">
        <f t="shared" si="44"/>
        <v>132.6031227621483</v>
      </c>
      <c r="AW96" s="16">
        <f t="shared" si="45"/>
        <v>159.12374731457797</v>
      </c>
      <c r="AX96" s="16">
        <f t="shared" si="46"/>
        <v>183.60432382451307</v>
      </c>
      <c r="AY96" s="16">
        <f t="shared" si="47"/>
        <v>206.27152429667515</v>
      </c>
      <c r="AZ96" s="16">
        <f t="shared" si="48"/>
        <v>230.6141265428667</v>
      </c>
    </row>
    <row r="97" spans="27:52" ht="15.75" thickBot="1" x14ac:dyDescent="0.3">
      <c r="AA97" s="41">
        <v>14300</v>
      </c>
      <c r="AB97" s="16">
        <v>112</v>
      </c>
      <c r="AC97" s="65">
        <f t="shared" si="28"/>
        <v>83.5184</v>
      </c>
      <c r="AD97" s="16">
        <f t="shared" si="29"/>
        <v>83518.399999999994</v>
      </c>
      <c r="AE97" s="21">
        <f t="shared" si="30"/>
        <v>41.134545454545453</v>
      </c>
      <c r="AG97" s="15">
        <f t="shared" si="31"/>
        <v>28.717623133404832</v>
      </c>
      <c r="AH97" s="64">
        <f t="shared" si="32"/>
        <v>37.093596547314569</v>
      </c>
      <c r="AI97" s="15">
        <f t="shared" si="33"/>
        <v>44.512315856777491</v>
      </c>
      <c r="AJ97" s="64">
        <f t="shared" si="34"/>
        <v>51.360364450127875</v>
      </c>
      <c r="AK97" s="15">
        <f t="shared" si="35"/>
        <v>57.701150184711558</v>
      </c>
      <c r="AL97" s="15">
        <f t="shared" si="36"/>
        <v>64.510602690981884</v>
      </c>
      <c r="AN97" s="16">
        <f t="shared" si="37"/>
        <v>64.241322949426618</v>
      </c>
      <c r="AO97" s="16">
        <f t="shared" si="38"/>
        <v>82.978375476342691</v>
      </c>
      <c r="AP97" s="16">
        <f t="shared" si="39"/>
        <v>99.574050571611252</v>
      </c>
      <c r="AQ97" s="16">
        <f t="shared" si="40"/>
        <v>114.89313527493606</v>
      </c>
      <c r="AR97" s="16">
        <f t="shared" si="41"/>
        <v>129.07747296319977</v>
      </c>
      <c r="AS97" s="16">
        <f t="shared" si="42"/>
        <v>144.31021821972649</v>
      </c>
      <c r="AU97" s="16">
        <f t="shared" si="43"/>
        <v>103.3834432802574</v>
      </c>
      <c r="AV97" s="16">
        <f t="shared" si="44"/>
        <v>133.53694757033244</v>
      </c>
      <c r="AW97" s="16">
        <f t="shared" si="45"/>
        <v>160.24433708439898</v>
      </c>
      <c r="AX97" s="16">
        <f t="shared" si="46"/>
        <v>184.89731202046036</v>
      </c>
      <c r="AY97" s="16">
        <f t="shared" si="47"/>
        <v>207.72414066496162</v>
      </c>
      <c r="AZ97" s="16">
        <f t="shared" si="48"/>
        <v>232.23816968753479</v>
      </c>
    </row>
    <row r="98" spans="27:52" ht="15.75" thickBot="1" x14ac:dyDescent="0.3">
      <c r="AA98" s="41">
        <v>14400</v>
      </c>
      <c r="AB98" s="16">
        <v>112</v>
      </c>
      <c r="AC98" s="65">
        <f t="shared" si="28"/>
        <v>83.5184</v>
      </c>
      <c r="AD98" s="16">
        <f t="shared" si="29"/>
        <v>83518.399999999994</v>
      </c>
      <c r="AE98" s="21">
        <f t="shared" si="30"/>
        <v>40.848888888888887</v>
      </c>
      <c r="AG98" s="15">
        <f t="shared" si="31"/>
        <v>28.918445672799269</v>
      </c>
      <c r="AH98" s="64">
        <f t="shared" si="32"/>
        <v>37.352992327365726</v>
      </c>
      <c r="AI98" s="15">
        <f t="shared" si="33"/>
        <v>44.823590792838871</v>
      </c>
      <c r="AJ98" s="64">
        <f t="shared" si="34"/>
        <v>51.719527837891</v>
      </c>
      <c r="AK98" s="15">
        <f t="shared" si="35"/>
        <v>58.104654731457792</v>
      </c>
      <c r="AL98" s="15">
        <f t="shared" si="36"/>
        <v>64.961725786723008</v>
      </c>
      <c r="AN98" s="16">
        <f t="shared" si="37"/>
        <v>64.690562970051971</v>
      </c>
      <c r="AO98" s="16">
        <f t="shared" si="38"/>
        <v>83.558643836317131</v>
      </c>
      <c r="AP98" s="16">
        <f t="shared" si="39"/>
        <v>100.27037260358055</v>
      </c>
      <c r="AQ98" s="16">
        <f t="shared" si="40"/>
        <v>115.69658377336218</v>
      </c>
      <c r="AR98" s="16">
        <f t="shared" si="41"/>
        <v>129.98011263427108</v>
      </c>
      <c r="AS98" s="16">
        <f t="shared" si="42"/>
        <v>145.31938058489936</v>
      </c>
      <c r="AU98" s="16">
        <f t="shared" si="43"/>
        <v>104.10640442207738</v>
      </c>
      <c r="AV98" s="16">
        <f t="shared" si="44"/>
        <v>134.47077237851661</v>
      </c>
      <c r="AW98" s="16">
        <f t="shared" si="45"/>
        <v>161.36492685421993</v>
      </c>
      <c r="AX98" s="16">
        <f t="shared" si="46"/>
        <v>186.19030021640759</v>
      </c>
      <c r="AY98" s="16">
        <f t="shared" si="47"/>
        <v>209.17675703324807</v>
      </c>
      <c r="AZ98" s="16">
        <f t="shared" si="48"/>
        <v>233.86221283220283</v>
      </c>
    </row>
    <row r="99" spans="27:52" ht="15.75" thickBot="1" x14ac:dyDescent="0.3">
      <c r="AA99" s="41">
        <v>14500</v>
      </c>
      <c r="AB99" s="16">
        <v>112</v>
      </c>
      <c r="AC99" s="65">
        <f t="shared" si="28"/>
        <v>83.5184</v>
      </c>
      <c r="AD99" s="16">
        <f t="shared" si="29"/>
        <v>83518.399999999994</v>
      </c>
      <c r="AE99" s="21">
        <f t="shared" si="30"/>
        <v>40.567172413793102</v>
      </c>
      <c r="AG99" s="15">
        <f t="shared" si="31"/>
        <v>29.119268212193713</v>
      </c>
      <c r="AH99" s="64">
        <f t="shared" si="32"/>
        <v>37.612388107416884</v>
      </c>
      <c r="AI99" s="15">
        <f t="shared" si="33"/>
        <v>45.134865728900245</v>
      </c>
      <c r="AJ99" s="64">
        <f t="shared" si="34"/>
        <v>52.078691225654133</v>
      </c>
      <c r="AK99" s="15">
        <f t="shared" si="35"/>
        <v>58.508159278204026</v>
      </c>
      <c r="AL99" s="15">
        <f t="shared" si="36"/>
        <v>65.412848882464147</v>
      </c>
      <c r="AN99" s="16">
        <f t="shared" si="37"/>
        <v>65.139802990677339</v>
      </c>
      <c r="AO99" s="16">
        <f t="shared" si="38"/>
        <v>84.138912196291571</v>
      </c>
      <c r="AP99" s="16">
        <f t="shared" si="39"/>
        <v>100.96669463554986</v>
      </c>
      <c r="AQ99" s="16">
        <f t="shared" si="40"/>
        <v>116.5000322717883</v>
      </c>
      <c r="AR99" s="16">
        <f t="shared" si="41"/>
        <v>130.88275230534242</v>
      </c>
      <c r="AS99" s="16">
        <f t="shared" si="42"/>
        <v>146.32854295007229</v>
      </c>
      <c r="AU99" s="16">
        <f t="shared" si="43"/>
        <v>104.82936556389737</v>
      </c>
      <c r="AV99" s="16">
        <f t="shared" si="44"/>
        <v>135.40459718670078</v>
      </c>
      <c r="AW99" s="16">
        <f t="shared" si="45"/>
        <v>162.48551662404088</v>
      </c>
      <c r="AX99" s="16">
        <f t="shared" si="46"/>
        <v>187.48328841235488</v>
      </c>
      <c r="AY99" s="16">
        <f t="shared" si="47"/>
        <v>210.62937340153451</v>
      </c>
      <c r="AZ99" s="16">
        <f t="shared" si="48"/>
        <v>235.48625597687092</v>
      </c>
    </row>
    <row r="100" spans="27:52" ht="15.75" thickBot="1" x14ac:dyDescent="0.3">
      <c r="AA100" s="41">
        <v>14600</v>
      </c>
      <c r="AB100" s="16">
        <v>112</v>
      </c>
      <c r="AC100" s="65">
        <f t="shared" si="28"/>
        <v>83.5184</v>
      </c>
      <c r="AD100" s="16">
        <f t="shared" si="29"/>
        <v>83518.399999999994</v>
      </c>
      <c r="AE100" s="21">
        <f t="shared" si="30"/>
        <v>40.289315068493153</v>
      </c>
      <c r="AG100" s="15">
        <f t="shared" si="31"/>
        <v>29.32009075158815</v>
      </c>
      <c r="AH100" s="64">
        <f t="shared" si="32"/>
        <v>37.871783887468034</v>
      </c>
      <c r="AI100" s="15">
        <f t="shared" si="33"/>
        <v>45.446140664961625</v>
      </c>
      <c r="AJ100" s="64">
        <f t="shared" si="34"/>
        <v>52.437854613417272</v>
      </c>
      <c r="AK100" s="15">
        <f t="shared" si="35"/>
        <v>58.911663824950253</v>
      </c>
      <c r="AL100" s="15">
        <f t="shared" si="36"/>
        <v>65.863971978205271</v>
      </c>
      <c r="AN100" s="16">
        <f t="shared" si="37"/>
        <v>65.589043011302692</v>
      </c>
      <c r="AO100" s="16">
        <f t="shared" si="38"/>
        <v>84.719180556265997</v>
      </c>
      <c r="AP100" s="16">
        <f t="shared" si="39"/>
        <v>101.66301666751916</v>
      </c>
      <c r="AQ100" s="16">
        <f t="shared" si="40"/>
        <v>117.30348077021445</v>
      </c>
      <c r="AR100" s="16">
        <f t="shared" si="41"/>
        <v>131.78539197641373</v>
      </c>
      <c r="AS100" s="16">
        <f t="shared" si="42"/>
        <v>147.33770531524519</v>
      </c>
      <c r="AU100" s="16">
        <f t="shared" si="43"/>
        <v>105.55232670571735</v>
      </c>
      <c r="AV100" s="16">
        <f t="shared" si="44"/>
        <v>136.33842199488492</v>
      </c>
      <c r="AW100" s="16">
        <f t="shared" si="45"/>
        <v>163.60610639386186</v>
      </c>
      <c r="AX100" s="16">
        <f t="shared" si="46"/>
        <v>188.7762766083022</v>
      </c>
      <c r="AY100" s="16">
        <f t="shared" si="47"/>
        <v>212.08198976982092</v>
      </c>
      <c r="AZ100" s="16">
        <f t="shared" si="48"/>
        <v>237.11029912153899</v>
      </c>
    </row>
    <row r="101" spans="27:52" ht="15.75" thickBot="1" x14ac:dyDescent="0.3">
      <c r="AA101" s="41">
        <v>14700</v>
      </c>
      <c r="AB101" s="16">
        <v>111.5</v>
      </c>
      <c r="AC101" s="65">
        <f t="shared" si="28"/>
        <v>83.14555</v>
      </c>
      <c r="AD101" s="16">
        <f t="shared" si="29"/>
        <v>83145.55</v>
      </c>
      <c r="AE101" s="21">
        <f t="shared" si="30"/>
        <v>39.836598639455779</v>
      </c>
      <c r="AG101" s="15">
        <f t="shared" si="31"/>
        <v>29.520913290982588</v>
      </c>
      <c r="AH101" s="64">
        <f t="shared" si="32"/>
        <v>38.131179667519184</v>
      </c>
      <c r="AI101" s="15">
        <f t="shared" si="33"/>
        <v>45.757415601023013</v>
      </c>
      <c r="AJ101" s="64">
        <f t="shared" si="34"/>
        <v>52.797018001180398</v>
      </c>
      <c r="AK101" s="15">
        <f t="shared" si="35"/>
        <v>59.315168371696494</v>
      </c>
      <c r="AL101" s="15">
        <f t="shared" si="36"/>
        <v>66.315095073946424</v>
      </c>
      <c r="AN101" s="16">
        <f t="shared" si="37"/>
        <v>66.038283031928046</v>
      </c>
      <c r="AO101" s="16">
        <f t="shared" si="38"/>
        <v>85.299448916240422</v>
      </c>
      <c r="AP101" s="16">
        <f t="shared" si="39"/>
        <v>102.35933869948849</v>
      </c>
      <c r="AQ101" s="16">
        <f t="shared" si="40"/>
        <v>118.10692926864056</v>
      </c>
      <c r="AR101" s="16">
        <f t="shared" si="41"/>
        <v>132.68803164748508</v>
      </c>
      <c r="AS101" s="16">
        <f t="shared" si="42"/>
        <v>148.34686768041814</v>
      </c>
      <c r="AU101" s="16">
        <f t="shared" si="43"/>
        <v>106.27528784753731</v>
      </c>
      <c r="AV101" s="16">
        <f t="shared" si="44"/>
        <v>137.27224680306907</v>
      </c>
      <c r="AW101" s="16">
        <f t="shared" si="45"/>
        <v>164.72669616368285</v>
      </c>
      <c r="AX101" s="16">
        <f t="shared" si="46"/>
        <v>190.06926480424943</v>
      </c>
      <c r="AY101" s="16">
        <f t="shared" si="47"/>
        <v>213.53460613810739</v>
      </c>
      <c r="AZ101" s="16">
        <f t="shared" si="48"/>
        <v>238.73434226620714</v>
      </c>
    </row>
    <row r="102" spans="27:52" ht="15.75" thickBot="1" x14ac:dyDescent="0.3">
      <c r="AA102" s="41">
        <v>14800</v>
      </c>
      <c r="AB102" s="16">
        <v>111</v>
      </c>
      <c r="AC102" s="65">
        <f t="shared" si="28"/>
        <v>82.7727</v>
      </c>
      <c r="AD102" s="16">
        <f t="shared" si="29"/>
        <v>82772.7</v>
      </c>
      <c r="AE102" s="21">
        <f t="shared" si="30"/>
        <v>39.39</v>
      </c>
      <c r="AG102" s="15">
        <f t="shared" si="31"/>
        <v>29.721735830377032</v>
      </c>
      <c r="AH102" s="64">
        <f t="shared" si="32"/>
        <v>38.390575447570335</v>
      </c>
      <c r="AI102" s="15">
        <f t="shared" si="33"/>
        <v>46.068690537084393</v>
      </c>
      <c r="AJ102" s="64">
        <f t="shared" si="34"/>
        <v>53.15618138894353</v>
      </c>
      <c r="AK102" s="15">
        <f t="shared" si="35"/>
        <v>59.718672918442728</v>
      </c>
      <c r="AL102" s="15">
        <f t="shared" si="36"/>
        <v>66.766218169687548</v>
      </c>
      <c r="AN102" s="16">
        <f t="shared" si="37"/>
        <v>66.487523052553428</v>
      </c>
      <c r="AO102" s="16">
        <f t="shared" si="38"/>
        <v>85.879717276214848</v>
      </c>
      <c r="AP102" s="16">
        <f t="shared" si="39"/>
        <v>103.05566073145779</v>
      </c>
      <c r="AQ102" s="16">
        <f t="shared" si="40"/>
        <v>118.91037776706668</v>
      </c>
      <c r="AR102" s="16">
        <f t="shared" si="41"/>
        <v>133.59067131855639</v>
      </c>
      <c r="AS102" s="16">
        <f t="shared" si="42"/>
        <v>149.35603004559104</v>
      </c>
      <c r="AU102" s="16">
        <f t="shared" si="43"/>
        <v>106.99824898935732</v>
      </c>
      <c r="AV102" s="16">
        <f t="shared" si="44"/>
        <v>138.20607161125321</v>
      </c>
      <c r="AW102" s="16">
        <f t="shared" si="45"/>
        <v>165.84728593350383</v>
      </c>
      <c r="AX102" s="16">
        <f t="shared" si="46"/>
        <v>191.36225300019672</v>
      </c>
      <c r="AY102" s="16">
        <f t="shared" si="47"/>
        <v>214.98722250639383</v>
      </c>
      <c r="AZ102" s="16">
        <f t="shared" si="48"/>
        <v>240.35838541087517</v>
      </c>
    </row>
    <row r="103" spans="27:52" ht="15.75" thickBot="1" x14ac:dyDescent="0.3">
      <c r="AA103" s="41">
        <v>14900</v>
      </c>
      <c r="AB103" s="16">
        <v>110.5</v>
      </c>
      <c r="AC103" s="65">
        <f t="shared" si="28"/>
        <v>82.399850000000001</v>
      </c>
      <c r="AD103" s="16">
        <f t="shared" si="29"/>
        <v>82399.850000000006</v>
      </c>
      <c r="AE103" s="21">
        <f t="shared" si="30"/>
        <v>38.94939597315436</v>
      </c>
      <c r="AG103" s="15">
        <f t="shared" si="31"/>
        <v>29.922558369771469</v>
      </c>
      <c r="AH103" s="64">
        <f t="shared" si="32"/>
        <v>38.649971227621478</v>
      </c>
      <c r="AI103" s="15">
        <f t="shared" si="33"/>
        <v>46.379965473145766</v>
      </c>
      <c r="AJ103" s="64">
        <f t="shared" si="34"/>
        <v>53.515344776706669</v>
      </c>
      <c r="AK103" s="15">
        <f t="shared" si="35"/>
        <v>60.122177465188969</v>
      </c>
      <c r="AL103" s="15">
        <f t="shared" si="36"/>
        <v>67.217341265428686</v>
      </c>
      <c r="AN103" s="16">
        <f t="shared" si="37"/>
        <v>66.936763073178781</v>
      </c>
      <c r="AO103" s="16">
        <f t="shared" si="38"/>
        <v>86.459985636189245</v>
      </c>
      <c r="AP103" s="16">
        <f t="shared" si="39"/>
        <v>103.75198276342708</v>
      </c>
      <c r="AQ103" s="16">
        <f t="shared" si="40"/>
        <v>119.71382626549283</v>
      </c>
      <c r="AR103" s="16">
        <f t="shared" si="41"/>
        <v>134.49331098962773</v>
      </c>
      <c r="AS103" s="16">
        <f t="shared" si="42"/>
        <v>150.36519241076397</v>
      </c>
      <c r="AU103" s="16">
        <f t="shared" si="43"/>
        <v>107.72121013117729</v>
      </c>
      <c r="AV103" s="16">
        <f t="shared" si="44"/>
        <v>139.13989641943732</v>
      </c>
      <c r="AW103" s="16">
        <f t="shared" si="45"/>
        <v>166.96787570332475</v>
      </c>
      <c r="AX103" s="16">
        <f t="shared" si="46"/>
        <v>192.655241196144</v>
      </c>
      <c r="AY103" s="16">
        <f t="shared" si="47"/>
        <v>216.43983887468031</v>
      </c>
      <c r="AZ103" s="16">
        <f t="shared" si="48"/>
        <v>241.98242855554327</v>
      </c>
    </row>
    <row r="104" spans="27:52" ht="15.75" thickBot="1" x14ac:dyDescent="0.3">
      <c r="AA104" s="41">
        <v>15000</v>
      </c>
      <c r="AB104" s="16">
        <v>110</v>
      </c>
      <c r="AC104" s="65">
        <f t="shared" si="28"/>
        <v>82.027000000000001</v>
      </c>
      <c r="AD104" s="16">
        <f t="shared" si="29"/>
        <v>82027</v>
      </c>
      <c r="AE104" s="21">
        <f t="shared" si="30"/>
        <v>38.514666666666663</v>
      </c>
      <c r="AG104" s="15">
        <f t="shared" si="31"/>
        <v>30.123380909165906</v>
      </c>
      <c r="AH104" s="64">
        <f t="shared" si="32"/>
        <v>38.909367007672628</v>
      </c>
      <c r="AI104" s="15">
        <f t="shared" si="33"/>
        <v>46.691240409207154</v>
      </c>
      <c r="AJ104" s="64">
        <f t="shared" si="34"/>
        <v>53.874508164469802</v>
      </c>
      <c r="AK104" s="15">
        <f t="shared" si="35"/>
        <v>60.525682011935196</v>
      </c>
      <c r="AL104" s="15">
        <f t="shared" si="36"/>
        <v>67.668464361169811</v>
      </c>
      <c r="AN104" s="16">
        <f t="shared" si="37"/>
        <v>67.386003093804135</v>
      </c>
      <c r="AO104" s="16">
        <f t="shared" si="38"/>
        <v>87.040253996163671</v>
      </c>
      <c r="AP104" s="16">
        <f t="shared" si="39"/>
        <v>104.44830479539641</v>
      </c>
      <c r="AQ104" s="16">
        <f t="shared" si="40"/>
        <v>120.51727476391895</v>
      </c>
      <c r="AR104" s="16">
        <f t="shared" si="41"/>
        <v>135.39595066069904</v>
      </c>
      <c r="AS104" s="16">
        <f t="shared" si="42"/>
        <v>151.37435477593687</v>
      </c>
      <c r="AU104" s="16">
        <f t="shared" si="43"/>
        <v>108.44417127299727</v>
      </c>
      <c r="AV104" s="16">
        <f t="shared" si="44"/>
        <v>140.07372122762146</v>
      </c>
      <c r="AW104" s="16">
        <f t="shared" si="45"/>
        <v>168.08846547314576</v>
      </c>
      <c r="AX104" s="16">
        <f t="shared" si="46"/>
        <v>193.94822939209129</v>
      </c>
      <c r="AY104" s="16">
        <f t="shared" si="47"/>
        <v>217.89245524296672</v>
      </c>
      <c r="AZ104" s="16">
        <f t="shared" si="48"/>
        <v>243.60647170021133</v>
      </c>
    </row>
    <row r="105" spans="27:52" ht="15.75" thickBot="1" x14ac:dyDescent="0.3">
      <c r="AA105" s="41">
        <v>15100</v>
      </c>
      <c r="AB105" s="16">
        <v>109</v>
      </c>
      <c r="AC105" s="65">
        <f t="shared" si="28"/>
        <v>81.281300000000002</v>
      </c>
      <c r="AD105" s="16">
        <f t="shared" si="29"/>
        <v>81281.3</v>
      </c>
      <c r="AE105" s="21">
        <f t="shared" si="30"/>
        <v>37.911788079470199</v>
      </c>
      <c r="AG105" s="15">
        <f t="shared" si="31"/>
        <v>30.324203448560347</v>
      </c>
      <c r="AH105" s="64">
        <f t="shared" si="32"/>
        <v>39.168762787723786</v>
      </c>
      <c r="AI105" s="15">
        <f t="shared" si="33"/>
        <v>47.002515345268534</v>
      </c>
      <c r="AJ105" s="64">
        <f t="shared" si="34"/>
        <v>54.233671552232927</v>
      </c>
      <c r="AK105" s="15">
        <f t="shared" si="35"/>
        <v>60.929186558681437</v>
      </c>
      <c r="AL105" s="15">
        <f t="shared" si="36"/>
        <v>68.119587456910935</v>
      </c>
      <c r="AN105" s="16">
        <f t="shared" si="37"/>
        <v>67.835243114429502</v>
      </c>
      <c r="AO105" s="16">
        <f t="shared" si="38"/>
        <v>87.62052235613811</v>
      </c>
      <c r="AP105" s="16">
        <f t="shared" si="39"/>
        <v>105.14462682736571</v>
      </c>
      <c r="AQ105" s="16">
        <f t="shared" si="40"/>
        <v>121.32072326234507</v>
      </c>
      <c r="AR105" s="16">
        <f t="shared" si="41"/>
        <v>136.29859033177038</v>
      </c>
      <c r="AS105" s="16">
        <f t="shared" si="42"/>
        <v>152.38351714110976</v>
      </c>
      <c r="AU105" s="16">
        <f t="shared" si="43"/>
        <v>109.16713241481725</v>
      </c>
      <c r="AV105" s="16">
        <f t="shared" si="44"/>
        <v>141.00754603580563</v>
      </c>
      <c r="AW105" s="16">
        <f t="shared" si="45"/>
        <v>169.20905524296674</v>
      </c>
      <c r="AX105" s="16">
        <f t="shared" si="46"/>
        <v>195.24121758803855</v>
      </c>
      <c r="AY105" s="16">
        <f t="shared" si="47"/>
        <v>219.34507161125319</v>
      </c>
      <c r="AZ105" s="16">
        <f t="shared" si="48"/>
        <v>245.23051484487937</v>
      </c>
    </row>
    <row r="106" spans="27:52" ht="15.75" thickBot="1" x14ac:dyDescent="0.3">
      <c r="AA106" s="41">
        <v>15200</v>
      </c>
      <c r="AB106" s="16">
        <v>108</v>
      </c>
      <c r="AC106" s="65">
        <f t="shared" si="28"/>
        <v>80.535600000000002</v>
      </c>
      <c r="AD106" s="16">
        <f t="shared" si="29"/>
        <v>80535.600000000006</v>
      </c>
      <c r="AE106" s="21">
        <f t="shared" si="30"/>
        <v>37.316842105263156</v>
      </c>
      <c r="AG106" s="15">
        <f t="shared" si="31"/>
        <v>30.525025987954788</v>
      </c>
      <c r="AH106" s="64">
        <f t="shared" si="32"/>
        <v>39.428158567774936</v>
      </c>
      <c r="AI106" s="15">
        <f t="shared" si="33"/>
        <v>47.313790281329915</v>
      </c>
      <c r="AJ106" s="64">
        <f t="shared" si="34"/>
        <v>54.59283493999606</v>
      </c>
      <c r="AK106" s="15">
        <f t="shared" si="35"/>
        <v>61.332691105427664</v>
      </c>
      <c r="AL106" s="15">
        <f t="shared" si="36"/>
        <v>68.570710552652073</v>
      </c>
      <c r="AN106" s="16">
        <f t="shared" si="37"/>
        <v>68.284483135054856</v>
      </c>
      <c r="AO106" s="16">
        <f t="shared" si="38"/>
        <v>88.200790716112536</v>
      </c>
      <c r="AP106" s="16">
        <f t="shared" si="39"/>
        <v>105.84094885933503</v>
      </c>
      <c r="AQ106" s="16">
        <f t="shared" si="40"/>
        <v>122.12417176077119</v>
      </c>
      <c r="AR106" s="16">
        <f t="shared" si="41"/>
        <v>137.2012300028417</v>
      </c>
      <c r="AS106" s="16">
        <f t="shared" si="42"/>
        <v>153.39267950628269</v>
      </c>
      <c r="AU106" s="16">
        <f t="shared" si="43"/>
        <v>109.89009355663724</v>
      </c>
      <c r="AV106" s="16">
        <f t="shared" si="44"/>
        <v>141.94137084398977</v>
      </c>
      <c r="AW106" s="16">
        <f t="shared" si="45"/>
        <v>170.32964501278769</v>
      </c>
      <c r="AX106" s="16">
        <f t="shared" si="46"/>
        <v>196.53420578398581</v>
      </c>
      <c r="AY106" s="16">
        <f t="shared" si="47"/>
        <v>220.7976879795396</v>
      </c>
      <c r="AZ106" s="16">
        <f t="shared" si="48"/>
        <v>246.85455798954746</v>
      </c>
    </row>
    <row r="107" spans="27:52" ht="15.75" thickBot="1" x14ac:dyDescent="0.3">
      <c r="AA107" s="41">
        <v>15300</v>
      </c>
      <c r="AB107" s="16">
        <v>107</v>
      </c>
      <c r="AC107" s="65">
        <f t="shared" si="28"/>
        <v>79.789900000000003</v>
      </c>
      <c r="AD107" s="16">
        <f t="shared" si="29"/>
        <v>79789.900000000009</v>
      </c>
      <c r="AE107" s="21">
        <f t="shared" si="30"/>
        <v>36.729673202614379</v>
      </c>
      <c r="AG107" s="15">
        <f t="shared" si="31"/>
        <v>30.725848527349225</v>
      </c>
      <c r="AH107" s="64">
        <f t="shared" si="32"/>
        <v>39.687554347826087</v>
      </c>
      <c r="AI107" s="15">
        <f t="shared" si="33"/>
        <v>47.625065217391302</v>
      </c>
      <c r="AJ107" s="64">
        <f t="shared" si="34"/>
        <v>54.951998327759192</v>
      </c>
      <c r="AK107" s="15">
        <f t="shared" si="35"/>
        <v>61.736195652173905</v>
      </c>
      <c r="AL107" s="15">
        <f t="shared" si="36"/>
        <v>69.021833648393198</v>
      </c>
      <c r="AN107" s="16">
        <f t="shared" si="37"/>
        <v>68.733723155680224</v>
      </c>
      <c r="AO107" s="16">
        <f t="shared" si="38"/>
        <v>88.781059076086962</v>
      </c>
      <c r="AP107" s="16">
        <f t="shared" si="39"/>
        <v>106.53727089130435</v>
      </c>
      <c r="AQ107" s="16">
        <f t="shared" si="40"/>
        <v>122.92762025919731</v>
      </c>
      <c r="AR107" s="16">
        <f t="shared" si="41"/>
        <v>138.10386967391304</v>
      </c>
      <c r="AS107" s="16">
        <f t="shared" si="42"/>
        <v>154.40184187145559</v>
      </c>
      <c r="AU107" s="16">
        <f t="shared" si="43"/>
        <v>110.6130546984572</v>
      </c>
      <c r="AV107" s="16">
        <f t="shared" si="44"/>
        <v>142.87519565217391</v>
      </c>
      <c r="AW107" s="16">
        <f t="shared" si="45"/>
        <v>171.4502347826087</v>
      </c>
      <c r="AX107" s="16">
        <f t="shared" si="46"/>
        <v>197.8271939799331</v>
      </c>
      <c r="AY107" s="16">
        <f t="shared" si="47"/>
        <v>222.25030434782607</v>
      </c>
      <c r="AZ107" s="16">
        <f t="shared" si="48"/>
        <v>248.47860113421552</v>
      </c>
    </row>
    <row r="108" spans="27:52" ht="15.75" thickBot="1" x14ac:dyDescent="0.3">
      <c r="AA108" s="41">
        <v>15400</v>
      </c>
      <c r="AB108" s="16">
        <v>106.5</v>
      </c>
      <c r="AC108" s="65">
        <f t="shared" si="28"/>
        <v>79.417050000000003</v>
      </c>
      <c r="AD108" s="16">
        <f t="shared" si="29"/>
        <v>79417.05</v>
      </c>
      <c r="AE108" s="21">
        <f t="shared" si="30"/>
        <v>36.320649350649347</v>
      </c>
      <c r="AG108" s="15">
        <f t="shared" si="31"/>
        <v>30.926671066743666</v>
      </c>
      <c r="AH108" s="64">
        <f t="shared" si="32"/>
        <v>39.946950127877237</v>
      </c>
      <c r="AI108" s="15">
        <f t="shared" si="33"/>
        <v>47.936340153452683</v>
      </c>
      <c r="AJ108" s="64">
        <f t="shared" si="34"/>
        <v>55.311161715522324</v>
      </c>
      <c r="AK108" s="15">
        <f t="shared" si="35"/>
        <v>62.139700198920131</v>
      </c>
      <c r="AL108" s="15">
        <f t="shared" si="36"/>
        <v>69.472956744134336</v>
      </c>
      <c r="AN108" s="16">
        <f t="shared" si="37"/>
        <v>69.182963176305577</v>
      </c>
      <c r="AO108" s="16">
        <f t="shared" si="38"/>
        <v>89.361327436061387</v>
      </c>
      <c r="AP108" s="16">
        <f t="shared" si="39"/>
        <v>107.23359292327366</v>
      </c>
      <c r="AQ108" s="16">
        <f t="shared" si="40"/>
        <v>123.73106875762345</v>
      </c>
      <c r="AR108" s="16">
        <f t="shared" si="41"/>
        <v>139.00650934498435</v>
      </c>
      <c r="AS108" s="16">
        <f t="shared" si="42"/>
        <v>155.41100423662851</v>
      </c>
      <c r="AU108" s="16">
        <f t="shared" si="43"/>
        <v>111.3360158402772</v>
      </c>
      <c r="AV108" s="16">
        <f t="shared" si="44"/>
        <v>143.80902046035806</v>
      </c>
      <c r="AW108" s="16">
        <f t="shared" si="45"/>
        <v>172.57082455242966</v>
      </c>
      <c r="AX108" s="16">
        <f t="shared" si="46"/>
        <v>199.12018217588036</v>
      </c>
      <c r="AY108" s="16">
        <f t="shared" si="47"/>
        <v>223.70292071611249</v>
      </c>
      <c r="AZ108" s="16">
        <f t="shared" si="48"/>
        <v>250.10264427888362</v>
      </c>
    </row>
    <row r="109" spans="27:52" ht="15.75" thickBot="1" x14ac:dyDescent="0.3">
      <c r="AA109" s="41">
        <v>15500</v>
      </c>
      <c r="AB109" s="16">
        <v>106</v>
      </c>
      <c r="AC109" s="65">
        <f t="shared" si="28"/>
        <v>79.044200000000004</v>
      </c>
      <c r="AD109" s="16">
        <f t="shared" si="29"/>
        <v>79044.2</v>
      </c>
      <c r="AE109" s="21">
        <f t="shared" si="30"/>
        <v>35.91690322580645</v>
      </c>
      <c r="AG109" s="15">
        <f t="shared" si="31"/>
        <v>31.127493606138103</v>
      </c>
      <c r="AH109" s="64">
        <f t="shared" si="32"/>
        <v>40.206345907928387</v>
      </c>
      <c r="AI109" s="15">
        <f t="shared" si="33"/>
        <v>48.247615089514063</v>
      </c>
      <c r="AJ109" s="64">
        <f t="shared" si="34"/>
        <v>55.670325103285457</v>
      </c>
      <c r="AK109" s="15">
        <f t="shared" si="35"/>
        <v>62.543204745666372</v>
      </c>
      <c r="AL109" s="15">
        <f t="shared" si="36"/>
        <v>69.924079839875475</v>
      </c>
      <c r="AN109" s="16">
        <f t="shared" si="37"/>
        <v>69.632203196930945</v>
      </c>
      <c r="AO109" s="16">
        <f t="shared" si="38"/>
        <v>89.941595796035813</v>
      </c>
      <c r="AP109" s="16">
        <f t="shared" si="39"/>
        <v>107.92991495524296</v>
      </c>
      <c r="AQ109" s="16">
        <f t="shared" si="40"/>
        <v>124.53451725604957</v>
      </c>
      <c r="AR109" s="16">
        <f t="shared" si="41"/>
        <v>139.90914901605569</v>
      </c>
      <c r="AS109" s="16">
        <f t="shared" si="42"/>
        <v>156.42016660180144</v>
      </c>
      <c r="AU109" s="16">
        <f t="shared" si="43"/>
        <v>112.05897698209718</v>
      </c>
      <c r="AV109" s="16">
        <f t="shared" si="44"/>
        <v>144.7428452685422</v>
      </c>
      <c r="AW109" s="16">
        <f t="shared" si="45"/>
        <v>173.69141432225064</v>
      </c>
      <c r="AX109" s="16">
        <f t="shared" si="46"/>
        <v>200.41317037182765</v>
      </c>
      <c r="AY109" s="16">
        <f t="shared" si="47"/>
        <v>225.15553708439896</v>
      </c>
      <c r="AZ109" s="16">
        <f t="shared" si="48"/>
        <v>251.72668742355171</v>
      </c>
    </row>
    <row r="110" spans="27:52" ht="15.75" thickBot="1" x14ac:dyDescent="0.3">
      <c r="AA110" s="41">
        <v>15600</v>
      </c>
      <c r="AB110" s="16">
        <v>105.5</v>
      </c>
      <c r="AC110" s="65">
        <f t="shared" si="28"/>
        <v>78.671350000000004</v>
      </c>
      <c r="AD110" s="16">
        <f t="shared" si="29"/>
        <v>78671.350000000006</v>
      </c>
      <c r="AE110" s="21">
        <f t="shared" si="30"/>
        <v>35.518333333333331</v>
      </c>
      <c r="AG110" s="15">
        <f t="shared" si="31"/>
        <v>31.328316145532543</v>
      </c>
      <c r="AH110" s="64">
        <f t="shared" si="32"/>
        <v>40.465741687979538</v>
      </c>
      <c r="AI110" s="15">
        <f t="shared" si="33"/>
        <v>48.558890025575444</v>
      </c>
      <c r="AJ110" s="64">
        <f t="shared" si="34"/>
        <v>56.029488491048589</v>
      </c>
      <c r="AK110" s="15">
        <f t="shared" si="35"/>
        <v>62.946709292412606</v>
      </c>
      <c r="AL110" s="15">
        <f t="shared" si="36"/>
        <v>70.375202935616599</v>
      </c>
      <c r="AN110" s="16">
        <f t="shared" si="37"/>
        <v>70.081443217556298</v>
      </c>
      <c r="AO110" s="16">
        <f t="shared" si="38"/>
        <v>90.521864156010224</v>
      </c>
      <c r="AP110" s="16">
        <f t="shared" si="39"/>
        <v>108.62623698721227</v>
      </c>
      <c r="AQ110" s="16">
        <f t="shared" si="40"/>
        <v>125.3379657544757</v>
      </c>
      <c r="AR110" s="16">
        <f t="shared" si="41"/>
        <v>140.81178868712701</v>
      </c>
      <c r="AS110" s="16">
        <f t="shared" si="42"/>
        <v>157.42932896697434</v>
      </c>
      <c r="AU110" s="16">
        <f t="shared" si="43"/>
        <v>112.78193812391716</v>
      </c>
      <c r="AV110" s="16">
        <f t="shared" si="44"/>
        <v>145.67667007672634</v>
      </c>
      <c r="AW110" s="16">
        <f t="shared" si="45"/>
        <v>174.81200409207159</v>
      </c>
      <c r="AX110" s="16">
        <f t="shared" si="46"/>
        <v>201.70615856777493</v>
      </c>
      <c r="AY110" s="16">
        <f t="shared" si="47"/>
        <v>226.6081534526854</v>
      </c>
      <c r="AZ110" s="16">
        <f t="shared" si="48"/>
        <v>253.35073056821977</v>
      </c>
    </row>
    <row r="111" spans="27:52" ht="15.75" thickBot="1" x14ac:dyDescent="0.3">
      <c r="AA111" s="41">
        <v>15700</v>
      </c>
      <c r="AB111" s="80">
        <v>105</v>
      </c>
      <c r="AC111" s="65">
        <f t="shared" si="28"/>
        <v>78.298500000000004</v>
      </c>
      <c r="AD111" s="16">
        <f t="shared" si="29"/>
        <v>78298.5</v>
      </c>
      <c r="AE111" s="21">
        <f t="shared" si="30"/>
        <v>35.124840764331211</v>
      </c>
      <c r="AG111" s="15">
        <f t="shared" si="31"/>
        <v>31.529138684926981</v>
      </c>
      <c r="AH111" s="64">
        <f t="shared" si="32"/>
        <v>40.725137468030688</v>
      </c>
      <c r="AI111" s="15">
        <f t="shared" si="33"/>
        <v>48.870164961636824</v>
      </c>
      <c r="AJ111" s="64">
        <f t="shared" si="34"/>
        <v>56.388651878811721</v>
      </c>
      <c r="AK111" s="15">
        <f t="shared" si="35"/>
        <v>63.350213839158847</v>
      </c>
      <c r="AL111" s="15">
        <f t="shared" si="36"/>
        <v>70.826326031357723</v>
      </c>
      <c r="AN111" s="16">
        <f t="shared" si="37"/>
        <v>70.530683238181652</v>
      </c>
      <c r="AO111" s="16">
        <f t="shared" si="38"/>
        <v>91.10213251598465</v>
      </c>
      <c r="AP111" s="16">
        <f t="shared" si="39"/>
        <v>109.32255901918158</v>
      </c>
      <c r="AQ111" s="16">
        <f t="shared" si="40"/>
        <v>126.14141425290182</v>
      </c>
      <c r="AR111" s="16">
        <f t="shared" si="41"/>
        <v>141.71442835819835</v>
      </c>
      <c r="AS111" s="16">
        <f t="shared" si="42"/>
        <v>158.43849133214724</v>
      </c>
      <c r="AU111" s="16">
        <f t="shared" si="43"/>
        <v>113.50489926573714</v>
      </c>
      <c r="AV111" s="16">
        <f t="shared" si="44"/>
        <v>146.61049488491048</v>
      </c>
      <c r="AW111" s="16">
        <f t="shared" si="45"/>
        <v>175.93259386189257</v>
      </c>
      <c r="AX111" s="16">
        <f t="shared" si="46"/>
        <v>202.99914676372219</v>
      </c>
      <c r="AY111" s="16">
        <f t="shared" si="47"/>
        <v>228.06076982097184</v>
      </c>
      <c r="AZ111" s="16">
        <f t="shared" si="48"/>
        <v>254.97477371288781</v>
      </c>
    </row>
    <row r="112" spans="27:52" ht="15.75" thickBot="1" x14ac:dyDescent="0.3">
      <c r="AA112" s="42">
        <v>15800</v>
      </c>
      <c r="AB112" s="18">
        <v>105</v>
      </c>
      <c r="AC112" s="95">
        <f t="shared" ref="AC112" si="49">0.7457*AB112</f>
        <v>78.298500000000004</v>
      </c>
      <c r="AD112" s="18">
        <f t="shared" ref="AD112" si="50">AC112*10^3</f>
        <v>78298.5</v>
      </c>
      <c r="AE112" s="96">
        <f t="shared" ref="AE112" si="51">(AB112*5252)/AA112</f>
        <v>34.902531645569617</v>
      </c>
      <c r="AG112" s="15">
        <f t="shared" si="31"/>
        <v>31.729961224321421</v>
      </c>
      <c r="AH112" s="64">
        <f t="shared" si="32"/>
        <v>40.984533248081839</v>
      </c>
      <c r="AI112" s="15">
        <f t="shared" si="33"/>
        <v>49.181439897698205</v>
      </c>
      <c r="AJ112" s="64">
        <f t="shared" si="34"/>
        <v>56.747815266574854</v>
      </c>
      <c r="AK112" s="15">
        <f t="shared" si="35"/>
        <v>63.753718385905081</v>
      </c>
      <c r="AL112" s="15">
        <f t="shared" si="36"/>
        <v>71.277449127098876</v>
      </c>
      <c r="AN112" s="18">
        <f t="shared" si="37"/>
        <v>70.97992325880702</v>
      </c>
      <c r="AO112" s="18">
        <f t="shared" si="38"/>
        <v>91.682400875959075</v>
      </c>
      <c r="AP112" s="18">
        <f t="shared" si="39"/>
        <v>110.01888105115088</v>
      </c>
      <c r="AQ112" s="18">
        <f t="shared" si="40"/>
        <v>126.94486275132796</v>
      </c>
      <c r="AR112" s="18">
        <f t="shared" si="41"/>
        <v>142.61706802926966</v>
      </c>
      <c r="AS112" s="18">
        <f t="shared" si="42"/>
        <v>159.44765369732019</v>
      </c>
      <c r="AU112" s="18">
        <f t="shared" si="43"/>
        <v>114.22786040755712</v>
      </c>
      <c r="AV112" s="18">
        <f t="shared" si="44"/>
        <v>147.54431969309462</v>
      </c>
      <c r="AW112" s="18">
        <f t="shared" si="45"/>
        <v>177.05318363171355</v>
      </c>
      <c r="AX112" s="18">
        <f t="shared" si="46"/>
        <v>204.29213495966948</v>
      </c>
      <c r="AY112" s="18">
        <f t="shared" si="47"/>
        <v>229.51338618925828</v>
      </c>
      <c r="AZ112" s="18">
        <f t="shared" si="48"/>
        <v>256.59881685755596</v>
      </c>
    </row>
  </sheetData>
  <mergeCells count="25">
    <mergeCell ref="AN4:AS4"/>
    <mergeCell ref="AU4:AZ4"/>
    <mergeCell ref="R9:R10"/>
    <mergeCell ref="B5:D5"/>
    <mergeCell ref="F5:G5"/>
    <mergeCell ref="O7:O8"/>
    <mergeCell ref="R7:R8"/>
    <mergeCell ref="B2:G3"/>
    <mergeCell ref="J2:Q2"/>
    <mergeCell ref="I5:M5"/>
    <mergeCell ref="O5:R5"/>
    <mergeCell ref="AG4:AL4"/>
    <mergeCell ref="T5:X5"/>
    <mergeCell ref="O17:O18"/>
    <mergeCell ref="O15:O16"/>
    <mergeCell ref="O13:O14"/>
    <mergeCell ref="O11:O12"/>
    <mergeCell ref="O9:O10"/>
    <mergeCell ref="R11:R12"/>
    <mergeCell ref="U13:W13"/>
    <mergeCell ref="U14:W14"/>
    <mergeCell ref="U15:W15"/>
    <mergeCell ref="R17:R18"/>
    <mergeCell ref="R15:R16"/>
    <mergeCell ref="R13:R14"/>
  </mergeCells>
  <hyperlinks>
    <hyperlink ref="J2" r:id="rId1" xr:uid="{8A8FAF22-C185-4240-B4D1-288805832032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06488-1BF9-47E8-9600-7723A12D0BF7}">
  <sheetPr>
    <tabColor rgb="FF00B0F0"/>
  </sheetPr>
  <dimension ref="B1:BC111"/>
  <sheetViews>
    <sheetView zoomScale="90" zoomScaleNormal="90" workbookViewId="0">
      <selection activeCell="AJ4" sqref="AJ4"/>
    </sheetView>
  </sheetViews>
  <sheetFormatPr defaultRowHeight="15" x14ac:dyDescent="0.25"/>
  <cols>
    <col min="1" max="1" width="1.42578125" customWidth="1"/>
    <col min="2" max="2" width="6.7109375" bestFit="1" customWidth="1"/>
    <col min="3" max="3" width="12.140625" bestFit="1" customWidth="1"/>
    <col min="4" max="4" width="11.5703125" bestFit="1" customWidth="1"/>
    <col min="5" max="5" width="10.42578125" bestFit="1" customWidth="1"/>
    <col min="7" max="7" width="1.42578125" customWidth="1"/>
    <col min="14" max="14" width="1.42578125" customWidth="1"/>
    <col min="15" max="15" width="17.28515625" bestFit="1" customWidth="1"/>
    <col min="21" max="21" width="1.42578125" customWidth="1"/>
    <col min="28" max="28" width="1.42578125" customWidth="1"/>
    <col min="35" max="35" width="1.42578125" customWidth="1"/>
    <col min="42" max="42" width="1.42578125" customWidth="1"/>
    <col min="49" max="49" width="1.42578125" customWidth="1"/>
  </cols>
  <sheetData>
    <row r="1" spans="2:55" ht="7.5" customHeight="1" thickBot="1" x14ac:dyDescent="0.3"/>
    <row r="2" spans="2:55" ht="15.75" thickBot="1" x14ac:dyDescent="0.3">
      <c r="H2" s="161" t="s">
        <v>201</v>
      </c>
      <c r="I2" s="162"/>
      <c r="J2" s="162"/>
      <c r="K2" s="162"/>
      <c r="L2" s="162"/>
      <c r="M2" s="164"/>
      <c r="O2" s="161" t="s">
        <v>59</v>
      </c>
      <c r="P2" s="162"/>
      <c r="Q2" s="162"/>
      <c r="R2" s="162"/>
      <c r="S2" s="162"/>
      <c r="T2" s="164"/>
      <c r="V2" s="161" t="s">
        <v>60</v>
      </c>
      <c r="W2" s="162"/>
      <c r="X2" s="162"/>
      <c r="Y2" s="162"/>
      <c r="Z2" s="162"/>
      <c r="AA2" s="164"/>
      <c r="AC2" s="161" t="s">
        <v>61</v>
      </c>
      <c r="AD2" s="162"/>
      <c r="AE2" s="162"/>
      <c r="AF2" s="162"/>
      <c r="AG2" s="162"/>
      <c r="AH2" s="164"/>
      <c r="AJ2" s="161" t="s">
        <v>62</v>
      </c>
      <c r="AK2" s="162"/>
      <c r="AL2" s="162"/>
      <c r="AM2" s="162"/>
      <c r="AN2" s="162"/>
      <c r="AO2" s="164"/>
      <c r="AQ2" s="161" t="s">
        <v>63</v>
      </c>
      <c r="AR2" s="162"/>
      <c r="AS2" s="162"/>
      <c r="AT2" s="162"/>
      <c r="AU2" s="162"/>
      <c r="AV2" s="164"/>
      <c r="AX2" s="161" t="s">
        <v>64</v>
      </c>
      <c r="AY2" s="162"/>
      <c r="AZ2" s="162"/>
      <c r="BA2" s="162"/>
      <c r="BB2" s="162"/>
      <c r="BC2" s="164"/>
    </row>
    <row r="3" spans="2:55" ht="15.75" thickBot="1" x14ac:dyDescent="0.3">
      <c r="B3" s="72" t="s">
        <v>15</v>
      </c>
      <c r="C3" s="92" t="s">
        <v>49</v>
      </c>
      <c r="D3" s="92" t="s">
        <v>51</v>
      </c>
      <c r="E3" s="94" t="s">
        <v>52</v>
      </c>
      <c r="F3" s="93" t="s">
        <v>50</v>
      </c>
      <c r="H3" s="14" t="s">
        <v>53</v>
      </c>
      <c r="I3" s="5" t="s">
        <v>54</v>
      </c>
      <c r="J3" s="14" t="s">
        <v>55</v>
      </c>
      <c r="K3" s="5" t="s">
        <v>56</v>
      </c>
      <c r="L3" s="14" t="s">
        <v>57</v>
      </c>
      <c r="M3" s="14" t="s">
        <v>58</v>
      </c>
      <c r="O3" s="5" t="s">
        <v>53</v>
      </c>
      <c r="P3" s="5" t="s">
        <v>54</v>
      </c>
      <c r="Q3" s="5" t="s">
        <v>55</v>
      </c>
      <c r="R3" s="5" t="s">
        <v>56</v>
      </c>
      <c r="S3" s="5" t="s">
        <v>57</v>
      </c>
      <c r="T3" s="5" t="s">
        <v>58</v>
      </c>
      <c r="V3" s="5" t="s">
        <v>53</v>
      </c>
      <c r="W3" s="5" t="s">
        <v>54</v>
      </c>
      <c r="X3" s="5" t="s">
        <v>55</v>
      </c>
      <c r="Y3" s="5" t="s">
        <v>56</v>
      </c>
      <c r="Z3" s="5" t="s">
        <v>57</v>
      </c>
      <c r="AA3" s="5" t="s">
        <v>58</v>
      </c>
      <c r="AC3" s="5" t="s">
        <v>53</v>
      </c>
      <c r="AD3" s="5" t="s">
        <v>54</v>
      </c>
      <c r="AE3" s="5" t="s">
        <v>55</v>
      </c>
      <c r="AF3" s="5" t="s">
        <v>56</v>
      </c>
      <c r="AG3" s="5" t="s">
        <v>57</v>
      </c>
      <c r="AH3" s="5" t="s">
        <v>58</v>
      </c>
      <c r="AJ3" s="5" t="s">
        <v>53</v>
      </c>
      <c r="AK3" s="5" t="s">
        <v>54</v>
      </c>
      <c r="AL3" s="5" t="s">
        <v>55</v>
      </c>
      <c r="AM3" s="5" t="s">
        <v>56</v>
      </c>
      <c r="AN3" s="5" t="s">
        <v>57</v>
      </c>
      <c r="AO3" s="5" t="s">
        <v>58</v>
      </c>
      <c r="AQ3" s="5" t="s">
        <v>53</v>
      </c>
      <c r="AR3" s="5" t="s">
        <v>54</v>
      </c>
      <c r="AS3" s="5" t="s">
        <v>55</v>
      </c>
      <c r="AT3" s="5" t="s">
        <v>56</v>
      </c>
      <c r="AU3" s="5" t="s">
        <v>57</v>
      </c>
      <c r="AV3" s="5" t="s">
        <v>58</v>
      </c>
      <c r="AX3" s="5" t="s">
        <v>53</v>
      </c>
      <c r="AY3" s="5" t="s">
        <v>54</v>
      </c>
      <c r="AZ3" s="5" t="s">
        <v>55</v>
      </c>
      <c r="BA3" s="5" t="s">
        <v>56</v>
      </c>
      <c r="BB3" s="5" t="s">
        <v>57</v>
      </c>
      <c r="BC3" s="5" t="s">
        <v>58</v>
      </c>
    </row>
    <row r="4" spans="2:55" x14ac:dyDescent="0.25">
      <c r="B4" s="41">
        <v>5200</v>
      </c>
      <c r="C4" s="16">
        <v>30</v>
      </c>
      <c r="D4" s="65">
        <f t="shared" ref="D4:D67" si="0">0.7457*C4</f>
        <v>22.371000000000002</v>
      </c>
      <c r="E4" s="16">
        <f t="shared" ref="E4:E67" si="1">D4*10^3</f>
        <v>22371.000000000004</v>
      </c>
      <c r="F4" s="21">
        <f t="shared" ref="F4:F67" si="2">(C4*5252)/B4</f>
        <v>30.3</v>
      </c>
      <c r="H4" s="16">
        <v>10.457074469108488</v>
      </c>
      <c r="I4" s="64">
        <v>13.507054522598466</v>
      </c>
      <c r="J4" s="15">
        <v>16.20846542711816</v>
      </c>
      <c r="K4" s="64">
        <v>18.702075492828644</v>
      </c>
      <c r="L4" s="15">
        <v>21.010973701819836</v>
      </c>
      <c r="M4" s="15">
        <v>23.490529604519079</v>
      </c>
      <c r="O4" s="120">
        <f>H4*3.6</f>
        <v>37.645468088790558</v>
      </c>
      <c r="P4" s="120">
        <f t="shared" ref="P4:T4" si="3">I4*3.6</f>
        <v>48.625396281354476</v>
      </c>
      <c r="Q4" s="120">
        <f t="shared" si="3"/>
        <v>58.350475537625378</v>
      </c>
      <c r="R4" s="120">
        <f t="shared" si="3"/>
        <v>67.327471774183124</v>
      </c>
      <c r="S4" s="120">
        <f t="shared" si="3"/>
        <v>75.639505326551415</v>
      </c>
      <c r="T4" s="120">
        <f t="shared" si="3"/>
        <v>84.565906576268688</v>
      </c>
      <c r="V4" s="15">
        <f>($D4*1000/H4)</f>
        <v>2139.3172694797909</v>
      </c>
      <c r="W4" s="15">
        <f t="shared" ref="W4:AA4" si="4">($D4*1000/I4)</f>
        <v>1656.2456279843539</v>
      </c>
      <c r="X4" s="15">
        <f t="shared" si="4"/>
        <v>1380.2046899869615</v>
      </c>
      <c r="Y4" s="15">
        <f t="shared" si="4"/>
        <v>1196.1773979887</v>
      </c>
      <c r="Z4" s="15">
        <f t="shared" si="4"/>
        <v>1064.7293322756561</v>
      </c>
      <c r="AA4" s="15">
        <f t="shared" si="4"/>
        <v>952.34123609100322</v>
      </c>
      <c r="AC4" s="15">
        <f>0.5*'Gearing Calculator'!$C$15*'Gearing Calculator'!$C$20*'Gearing Calculator'!$U$20*(Forces!H4^2)</f>
        <v>9.2026568310246315</v>
      </c>
      <c r="AD4" s="15">
        <f>0.5*'Gearing Calculator'!$C$15*'Gearing Calculator'!$C$20*'Gearing Calculator'!$U$20*(Forces!I4^2)</f>
        <v>15.353738219817144</v>
      </c>
      <c r="AE4" s="15">
        <f>0.5*'Gearing Calculator'!$C$15*'Gearing Calculator'!$C$20*'Gearing Calculator'!$U$20*(Forces!J4^2)</f>
        <v>22.109383036536691</v>
      </c>
      <c r="AF4" s="15">
        <f>0.5*'Gearing Calculator'!$C$15*'Gearing Calculator'!$C$20*'Gearing Calculator'!$U$20*(Forces!K4^2)</f>
        <v>29.435569131483753</v>
      </c>
      <c r="AG4" s="15">
        <f>0.5*'Gearing Calculator'!$C$15*'Gearing Calculator'!$C$20*'Gearing Calculator'!$U$20*(Forces!L4^2)</f>
        <v>37.152255445483462</v>
      </c>
      <c r="AH4" s="15">
        <f>0.5*'Gearing Calculator'!$C$15*'Gearing Calculator'!$C$20*'Gearing Calculator'!$U$20*(Forces!M4^2)</f>
        <v>46.438527696989503</v>
      </c>
      <c r="AJ4" s="15">
        <f>V4-AC4</f>
        <v>2130.1146126487661</v>
      </c>
      <c r="AK4" s="15">
        <f t="shared" ref="AK4:AO4" si="5">W4-AD4</f>
        <v>1640.8918897645367</v>
      </c>
      <c r="AL4" s="15">
        <f t="shared" si="5"/>
        <v>1358.0953069504249</v>
      </c>
      <c r="AM4" s="15">
        <f t="shared" si="5"/>
        <v>1166.7418288572162</v>
      </c>
      <c r="AN4" s="15">
        <f t="shared" si="5"/>
        <v>1027.5770768301727</v>
      </c>
      <c r="AO4" s="15">
        <f t="shared" si="5"/>
        <v>905.90270839401376</v>
      </c>
      <c r="AQ4" s="15">
        <f>0.5*'Gearing Calculator'!$C$15*'Gearing Calculator'!$C$20*'Gearing Calculator'!$W$20*(Forces!H4^2)</f>
        <v>11.57364701893054</v>
      </c>
      <c r="AR4" s="15">
        <f>0.5*'Gearing Calculator'!$C$15*'Gearing Calculator'!$C$20*'Gearing Calculator'!$W$20*(Forces!I4^2)</f>
        <v>19.309504835403217</v>
      </c>
      <c r="AS4" s="15">
        <f>0.5*'Gearing Calculator'!$C$15*'Gearing Calculator'!$C$20*'Gearing Calculator'!$W$20*(Forces!J4^2)</f>
        <v>27.805686962980641</v>
      </c>
      <c r="AT4" s="15">
        <f>0.5*'Gearing Calculator'!$C$15*'Gearing Calculator'!$C$20*'Gearing Calculator'!$W$20*(Forces!K4^2)</f>
        <v>37.019405719944629</v>
      </c>
      <c r="AU4" s="15">
        <f>0.5*'Gearing Calculator'!$C$15*'Gearing Calculator'!$C$20*'Gearing Calculator'!$W$20*(Forces!L4^2)</f>
        <v>46.724233922704087</v>
      </c>
      <c r="AV4" s="15">
        <f>0.5*'Gearing Calculator'!$C$15*'Gearing Calculator'!$C$20*'Gearing Calculator'!$W$20*(Forces!M4^2)</f>
        <v>58.403039199707315</v>
      </c>
      <c r="AX4" s="15">
        <f>V4-AQ4</f>
        <v>2127.7436224608605</v>
      </c>
      <c r="AY4" s="15">
        <f t="shared" ref="AY4:BC5" si="6">W4-AR4</f>
        <v>1636.9361231489506</v>
      </c>
      <c r="AZ4" s="15">
        <f t="shared" si="6"/>
        <v>1352.3990030239809</v>
      </c>
      <c r="BA4" s="15">
        <f t="shared" si="6"/>
        <v>1159.1579922687554</v>
      </c>
      <c r="BB4" s="15">
        <f t="shared" si="6"/>
        <v>1018.005098352952</v>
      </c>
      <c r="BC4" s="15">
        <f t="shared" si="6"/>
        <v>893.93819689129589</v>
      </c>
    </row>
    <row r="5" spans="2:55" x14ac:dyDescent="0.25">
      <c r="B5" s="41">
        <v>5300</v>
      </c>
      <c r="C5" s="16">
        <v>31</v>
      </c>
      <c r="D5" s="65">
        <f t="shared" si="0"/>
        <v>23.116700000000002</v>
      </c>
      <c r="E5" s="16">
        <f t="shared" si="1"/>
        <v>23116.7</v>
      </c>
      <c r="F5" s="21">
        <f t="shared" si="2"/>
        <v>30.719245283018868</v>
      </c>
      <c r="H5" s="16">
        <v>10.658172055052884</v>
      </c>
      <c r="I5" s="64">
        <v>13.766805571109975</v>
      </c>
      <c r="J5" s="16">
        <v>16.520166685331969</v>
      </c>
      <c r="K5" s="64">
        <v>19.061730790767658</v>
      </c>
      <c r="L5" s="16">
        <v>21.415030888393289</v>
      </c>
      <c r="M5" s="16">
        <v>23.942270558452137</v>
      </c>
      <c r="O5" s="118">
        <f t="shared" ref="O5:O68" si="7">H5*3.6</f>
        <v>38.369419398190381</v>
      </c>
      <c r="P5" s="118">
        <f t="shared" ref="P5:P68" si="8">I5*3.6</f>
        <v>49.560500055995909</v>
      </c>
      <c r="Q5" s="118">
        <f t="shared" ref="Q5:Q68" si="9">J5*3.6</f>
        <v>59.472600067195089</v>
      </c>
      <c r="R5" s="118">
        <f t="shared" ref="R5:R68" si="10">K5*3.6</f>
        <v>68.622230846763571</v>
      </c>
      <c r="S5" s="118">
        <f t="shared" ref="S5:S68" si="11">L5*3.6</f>
        <v>77.094111198215842</v>
      </c>
      <c r="T5" s="118">
        <f t="shared" ref="T5:T68" si="12">M5*3.6</f>
        <v>86.192174010427692</v>
      </c>
      <c r="V5" s="16">
        <f t="shared" ref="V5:V68" si="13">($D5*1000/H5)</f>
        <v>2168.9178857870579</v>
      </c>
      <c r="W5" s="16">
        <f t="shared" ref="W5:W68" si="14">($D5*1000/I5)</f>
        <v>1679.162234157722</v>
      </c>
      <c r="X5" s="16">
        <f t="shared" ref="X5:X68" si="15">($D5*1000/J5)</f>
        <v>1399.3018617981018</v>
      </c>
      <c r="Y5" s="16">
        <f t="shared" ref="Y5:Y68" si="16">($D5*1000/K5)</f>
        <v>1212.7282802250215</v>
      </c>
      <c r="Z5" s="16">
        <f t="shared" ref="Z5:Z68" si="17">($D5*1000/L5)</f>
        <v>1079.4614362442501</v>
      </c>
      <c r="AA5" s="16">
        <f t="shared" ref="AA5:AA68" si="18">($D5*1000/M5)</f>
        <v>965.5182846406899</v>
      </c>
      <c r="AC5" s="16">
        <f>0.5*'Gearing Calculator'!$C$15*'Gearing Calculator'!$C$20*'Gearing Calculator'!$U$20*(Forces!H5^2)</f>
        <v>9.5600085200991867</v>
      </c>
      <c r="AD5" s="16">
        <f>0.5*'Gearing Calculator'!$C$15*'Gearing Calculator'!$C$20*'Gearing Calculator'!$U$20*(Forces!I5^2)</f>
        <v>15.949944770512706</v>
      </c>
      <c r="AE5" s="16">
        <f>0.5*'Gearing Calculator'!$C$15*'Gearing Calculator'!$C$20*'Gearing Calculator'!$U$20*(Forces!J5^2)</f>
        <v>22.967920469538292</v>
      </c>
      <c r="AF5" s="16">
        <f>0.5*'Gearing Calculator'!$C$15*'Gearing Calculator'!$C$20*'Gearing Calculator'!$U$20*(Forces!K5^2)</f>
        <v>30.578592341101288</v>
      </c>
      <c r="AG5" s="16">
        <f>0.5*'Gearing Calculator'!$C$15*'Gearing Calculator'!$C$20*'Gearing Calculator'!$U$20*(Forces!L5^2)</f>
        <v>38.594928086672702</v>
      </c>
      <c r="AH5" s="16">
        <f>0.5*'Gearing Calculator'!$C$15*'Gearing Calculator'!$C$20*'Gearing Calculator'!$U$20*(Forces!M5^2)</f>
        <v>48.241798927826736</v>
      </c>
      <c r="AJ5" s="16">
        <f t="shared" ref="AJ5:AJ68" si="19">V5-AC5</f>
        <v>2159.3578772669589</v>
      </c>
      <c r="AK5" s="16">
        <f t="shared" ref="AK5:AK68" si="20">W5-AD5</f>
        <v>1663.2122893872092</v>
      </c>
      <c r="AL5" s="16">
        <f t="shared" ref="AL5:AL68" si="21">X5-AE5</f>
        <v>1376.3339413285635</v>
      </c>
      <c r="AM5" s="16">
        <f t="shared" ref="AM5:AM68" si="22">Y5-AF5</f>
        <v>1182.1496878839203</v>
      </c>
      <c r="AN5" s="16">
        <f t="shared" ref="AN5:AN68" si="23">Z5-AG5</f>
        <v>1040.8665081575773</v>
      </c>
      <c r="AO5" s="16">
        <f t="shared" ref="AO5:AO68" si="24">AA5-AH5</f>
        <v>917.27648571286318</v>
      </c>
      <c r="AQ5" s="16">
        <f>0.5*'Gearing Calculator'!$C$15*'Gearing Calculator'!$C$20*'Gearing Calculator'!$W$20*(Forces!H5^2)</f>
        <v>12.023067483792863</v>
      </c>
      <c r="AR5" s="16">
        <f>0.5*'Gearing Calculator'!$C$15*'Gearing Calculator'!$C$20*'Gearing Calculator'!$W$20*(Forces!I5^2)</f>
        <v>20.059319187369692</v>
      </c>
      <c r="AS5" s="16">
        <f>0.5*'Gearing Calculator'!$C$15*'Gearing Calculator'!$C$20*'Gearing Calculator'!$W$20*(Forces!J5^2)</f>
        <v>28.88541962981235</v>
      </c>
      <c r="AT5" s="16">
        <f>0.5*'Gearing Calculator'!$C$15*'Gearing Calculator'!$C$20*'Gearing Calculator'!$W$20*(Forces!K5^2)</f>
        <v>38.456919625489824</v>
      </c>
      <c r="AU5" s="16">
        <f>0.5*'Gearing Calculator'!$C$15*'Gearing Calculator'!$C$20*'Gearing Calculator'!$W$20*(Forces!L5^2)</f>
        <v>48.538599515116758</v>
      </c>
      <c r="AV5" s="16">
        <f>0.5*'Gearing Calculator'!$C$15*'Gearing Calculator'!$C$20*'Gearing Calculator'!$W$20*(Forces!M5^2)</f>
        <v>60.670908695258078</v>
      </c>
      <c r="AX5" s="16">
        <f>V5-AQ5</f>
        <v>2156.8948183032649</v>
      </c>
      <c r="AY5" s="16">
        <f t="shared" si="6"/>
        <v>1659.1029149703522</v>
      </c>
      <c r="AZ5" s="16">
        <f t="shared" si="6"/>
        <v>1370.4164421682894</v>
      </c>
      <c r="BA5" s="16">
        <f t="shared" si="6"/>
        <v>1174.2713605995318</v>
      </c>
      <c r="BB5" s="16">
        <f t="shared" si="6"/>
        <v>1030.9228367291332</v>
      </c>
      <c r="BC5" s="16">
        <f t="shared" si="6"/>
        <v>904.84737594543185</v>
      </c>
    </row>
    <row r="6" spans="2:55" x14ac:dyDescent="0.25">
      <c r="B6" s="41">
        <v>5400</v>
      </c>
      <c r="C6" s="16">
        <v>32</v>
      </c>
      <c r="D6" s="65">
        <f t="shared" si="0"/>
        <v>23.862400000000001</v>
      </c>
      <c r="E6" s="16">
        <f t="shared" si="1"/>
        <v>23862.400000000001</v>
      </c>
      <c r="F6" s="21">
        <f t="shared" si="2"/>
        <v>31.122962962962962</v>
      </c>
      <c r="H6" s="16">
        <v>10.859269640997278</v>
      </c>
      <c r="I6" s="64">
        <v>14.026556619621484</v>
      </c>
      <c r="J6" s="16">
        <v>16.831867943545781</v>
      </c>
      <c r="K6" s="64">
        <v>19.421386088706669</v>
      </c>
      <c r="L6" s="16">
        <v>21.819088074966754</v>
      </c>
      <c r="M6" s="16">
        <v>24.394011512385195</v>
      </c>
      <c r="O6" s="118">
        <f t="shared" si="7"/>
        <v>39.093370707590203</v>
      </c>
      <c r="P6" s="118">
        <f t="shared" si="8"/>
        <v>50.495603830637343</v>
      </c>
      <c r="Q6" s="118">
        <f t="shared" si="9"/>
        <v>60.594724596764813</v>
      </c>
      <c r="R6" s="118">
        <f t="shared" si="10"/>
        <v>69.916989919344005</v>
      </c>
      <c r="S6" s="118">
        <f t="shared" si="11"/>
        <v>78.548717069880311</v>
      </c>
      <c r="T6" s="118">
        <f t="shared" si="12"/>
        <v>87.818441444586696</v>
      </c>
      <c r="V6" s="16">
        <f t="shared" si="13"/>
        <v>2197.422182971834</v>
      </c>
      <c r="W6" s="16">
        <f t="shared" si="14"/>
        <v>1701.2300771394844</v>
      </c>
      <c r="X6" s="16">
        <f t="shared" si="15"/>
        <v>1417.6917309495702</v>
      </c>
      <c r="Y6" s="16">
        <f t="shared" si="16"/>
        <v>1228.666166822961</v>
      </c>
      <c r="Z6" s="16">
        <f t="shared" si="17"/>
        <v>1093.6479067325256</v>
      </c>
      <c r="AA6" s="16">
        <f t="shared" si="18"/>
        <v>978.20729435520332</v>
      </c>
      <c r="AC6" s="16">
        <f>0.5*'Gearing Calculator'!$C$15*'Gearing Calculator'!$C$20*'Gearing Calculator'!$U$20*(Forces!H6^2)</f>
        <v>9.9241669080132535</v>
      </c>
      <c r="AD6" s="16">
        <f>0.5*'Gearing Calculator'!$C$15*'Gearing Calculator'!$C$20*'Gearing Calculator'!$U$20*(Forces!I6^2)</f>
        <v>16.557507636459611</v>
      </c>
      <c r="AE6" s="16">
        <f>0.5*'Gearing Calculator'!$C$15*'Gearing Calculator'!$C$20*'Gearing Calculator'!$U$20*(Forces!J6^2)</f>
        <v>23.842810996501843</v>
      </c>
      <c r="AF6" s="16">
        <f>0.5*'Gearing Calculator'!$C$15*'Gearing Calculator'!$C$20*'Gearing Calculator'!$U$20*(Forces!K6^2)</f>
        <v>31.743387421378188</v>
      </c>
      <c r="AG6" s="16">
        <f>0.5*'Gearing Calculator'!$C$15*'Gearing Calculator'!$C$20*'Gearing Calculator'!$U$20*(Forces!L6^2)</f>
        <v>40.065080206741783</v>
      </c>
      <c r="AH6" s="16">
        <f>0.5*'Gearing Calculator'!$C$15*'Gearing Calculator'!$C$20*'Gearing Calculator'!$U$20*(Forces!M6^2)</f>
        <v>50.079418182108498</v>
      </c>
      <c r="AJ6" s="16">
        <f t="shared" si="19"/>
        <v>2187.4980160638206</v>
      </c>
      <c r="AK6" s="16">
        <f t="shared" si="20"/>
        <v>1684.6725695030248</v>
      </c>
      <c r="AL6" s="16">
        <f t="shared" si="21"/>
        <v>1393.8489199530684</v>
      </c>
      <c r="AM6" s="16">
        <f t="shared" si="22"/>
        <v>1196.9227794015828</v>
      </c>
      <c r="AN6" s="16">
        <f t="shared" si="23"/>
        <v>1053.5828265257837</v>
      </c>
      <c r="AO6" s="16">
        <f t="shared" si="24"/>
        <v>928.12787617309482</v>
      </c>
      <c r="AQ6" s="16">
        <f>0.5*'Gearing Calculator'!$C$15*'Gearing Calculator'!$C$20*'Gearing Calculator'!$W$20*(Forces!H6^2)</f>
        <v>12.481048338462083</v>
      </c>
      <c r="AR6" s="16">
        <f>0.5*'Gearing Calculator'!$C$15*'Gearing Calculator'!$C$20*'Gearing Calculator'!$W$20*(Forces!I6^2)</f>
        <v>20.823415717468858</v>
      </c>
      <c r="AS6" s="16">
        <f>0.5*'Gearing Calculator'!$C$15*'Gearing Calculator'!$C$20*'Gearing Calculator'!$W$20*(Forces!J6^2)</f>
        <v>29.985718633155155</v>
      </c>
      <c r="AT6" s="16">
        <f>0.5*'Gearing Calculator'!$C$15*'Gearing Calculator'!$C$20*'Gearing Calculator'!$W$20*(Forces!K6^2)</f>
        <v>39.921814748283481</v>
      </c>
      <c r="AU6" s="16">
        <f>0.5*'Gearing Calculator'!$C$15*'Gearing Calculator'!$C$20*'Gearing Calculator'!$W$20*(Forces!L6^2)</f>
        <v>50.38752445214687</v>
      </c>
      <c r="AV6" s="16">
        <f>0.5*'Gearing Calculator'!$C$15*'Gearing Calculator'!$C$20*'Gearing Calculator'!$W$20*(Forces!M6^2)</f>
        <v>62.981975705009809</v>
      </c>
      <c r="AX6" s="16">
        <f t="shared" ref="AX6:AX69" si="25">V6-AQ6</f>
        <v>2184.9411346333718</v>
      </c>
      <c r="AY6" s="16">
        <f t="shared" ref="AY6:AY69" si="26">W6-AR6</f>
        <v>1680.4066614220155</v>
      </c>
      <c r="AZ6" s="16">
        <f t="shared" ref="AZ6:AZ69" si="27">X6-AS6</f>
        <v>1387.7060123164151</v>
      </c>
      <c r="BA6" s="16">
        <f t="shared" ref="BA6:BA69" si="28">Y6-AT6</f>
        <v>1188.7443520746776</v>
      </c>
      <c r="BB6" s="16">
        <f t="shared" ref="BB6:BB69" si="29">Z6-AU6</f>
        <v>1043.2603822803787</v>
      </c>
      <c r="BC6" s="16">
        <f t="shared" ref="BC6:BC69" si="30">AA6-AV6</f>
        <v>915.22531865019346</v>
      </c>
    </row>
    <row r="7" spans="2:55" x14ac:dyDescent="0.25">
      <c r="B7" s="41">
        <v>5500</v>
      </c>
      <c r="C7" s="16">
        <v>33</v>
      </c>
      <c r="D7" s="65">
        <f t="shared" si="0"/>
        <v>24.6081</v>
      </c>
      <c r="E7" s="16">
        <f t="shared" si="1"/>
        <v>24608.1</v>
      </c>
      <c r="F7" s="21">
        <f t="shared" si="2"/>
        <v>31.512</v>
      </c>
      <c r="H7" s="16">
        <v>11.06036722694167</v>
      </c>
      <c r="I7" s="64">
        <v>14.286307668132993</v>
      </c>
      <c r="J7" s="16">
        <v>17.14356920175959</v>
      </c>
      <c r="K7" s="64">
        <v>19.781041386645683</v>
      </c>
      <c r="L7" s="16">
        <v>22.223145261540207</v>
      </c>
      <c r="M7" s="16">
        <v>24.845752466318256</v>
      </c>
      <c r="O7" s="118">
        <f t="shared" si="7"/>
        <v>39.817322016990012</v>
      </c>
      <c r="P7" s="118">
        <f t="shared" si="8"/>
        <v>51.430707605278776</v>
      </c>
      <c r="Q7" s="118">
        <f t="shared" si="9"/>
        <v>61.716849126334523</v>
      </c>
      <c r="R7" s="118">
        <f t="shared" si="10"/>
        <v>71.211748991924466</v>
      </c>
      <c r="S7" s="118">
        <f t="shared" si="11"/>
        <v>80.003322941544752</v>
      </c>
      <c r="T7" s="118">
        <f t="shared" si="12"/>
        <v>89.444708878745729</v>
      </c>
      <c r="V7" s="16">
        <f t="shared" si="13"/>
        <v>2224.8899602589818</v>
      </c>
      <c r="W7" s="16">
        <f t="shared" si="14"/>
        <v>1722.4954531037276</v>
      </c>
      <c r="X7" s="16">
        <f t="shared" si="15"/>
        <v>1435.4128775864399</v>
      </c>
      <c r="Y7" s="16">
        <f t="shared" si="16"/>
        <v>1244.0244939082477</v>
      </c>
      <c r="Z7" s="16">
        <f t="shared" si="17"/>
        <v>1107.3185055666822</v>
      </c>
      <c r="AA7" s="16">
        <f t="shared" si="18"/>
        <v>990.43488553464306</v>
      </c>
      <c r="AC7" s="16">
        <f>0.5*'Gearing Calculator'!$C$15*'Gearing Calculator'!$C$20*'Gearing Calculator'!$U$20*(Forces!H7^2)</f>
        <v>10.295131994766834</v>
      </c>
      <c r="AD7" s="16">
        <f>0.5*'Gearing Calculator'!$C$15*'Gearing Calculator'!$C$20*'Gearing Calculator'!$U$20*(Forces!I7^2)</f>
        <v>17.176426817657863</v>
      </c>
      <c r="AE7" s="16">
        <f>0.5*'Gearing Calculator'!$C$15*'Gearing Calculator'!$C$20*'Gearing Calculator'!$U$20*(Forces!J7^2)</f>
        <v>24.734054617427319</v>
      </c>
      <c r="AF7" s="16">
        <f>0.5*'Gearing Calculator'!$C$15*'Gearing Calculator'!$C$20*'Gearing Calculator'!$U$20*(Forces!K7^2)</f>
        <v>32.929954372314484</v>
      </c>
      <c r="AG7" s="16">
        <f>0.5*'Gearing Calculator'!$C$15*'Gearing Calculator'!$C$20*'Gearing Calculator'!$U$20*(Forces!L7^2)</f>
        <v>41.562711805690618</v>
      </c>
      <c r="AH7" s="16">
        <f>0.5*'Gearing Calculator'!$C$15*'Gearing Calculator'!$C$20*'Gearing Calculator'!$U$20*(Forces!M7^2)</f>
        <v>51.951385459834782</v>
      </c>
      <c r="AJ7" s="16">
        <f t="shared" si="19"/>
        <v>2214.5948282642148</v>
      </c>
      <c r="AK7" s="16">
        <f t="shared" si="20"/>
        <v>1705.3190262860699</v>
      </c>
      <c r="AL7" s="16">
        <f t="shared" si="21"/>
        <v>1410.6788229690126</v>
      </c>
      <c r="AM7" s="16">
        <f t="shared" si="22"/>
        <v>1211.0945395359331</v>
      </c>
      <c r="AN7" s="16">
        <f t="shared" si="23"/>
        <v>1065.7557937609915</v>
      </c>
      <c r="AO7" s="16">
        <f t="shared" si="24"/>
        <v>938.48350007480826</v>
      </c>
      <c r="AQ7" s="16">
        <f>0.5*'Gearing Calculator'!$C$15*'Gearing Calculator'!$C$20*'Gearing Calculator'!$W$20*(Forces!H7^2)</f>
        <v>12.9475895829382</v>
      </c>
      <c r="AR7" s="16">
        <f>0.5*'Gearing Calculator'!$C$15*'Gearing Calculator'!$C$20*'Gearing Calculator'!$W$20*(Forces!I7^2)</f>
        <v>21.601794425700717</v>
      </c>
      <c r="AS7" s="16">
        <f>0.5*'Gearing Calculator'!$C$15*'Gearing Calculator'!$C$20*'Gearing Calculator'!$W$20*(Forces!J7^2)</f>
        <v>31.106583973009027</v>
      </c>
      <c r="AT7" s="16">
        <f>0.5*'Gearing Calculator'!$C$15*'Gearing Calculator'!$C$20*'Gearing Calculator'!$W$20*(Forces!K7^2)</f>
        <v>41.414091088325634</v>
      </c>
      <c r="AU7" s="16">
        <f>0.5*'Gearing Calculator'!$C$15*'Gearing Calculator'!$C$20*'Gearing Calculator'!$W$20*(Forces!L7^2)</f>
        <v>52.271008733794311</v>
      </c>
      <c r="AV7" s="16">
        <f>0.5*'Gearing Calculator'!$C$15*'Gearing Calculator'!$C$20*'Gearing Calculator'!$W$20*(Forces!M7^2)</f>
        <v>65.336240228962524</v>
      </c>
      <c r="AX7" s="16">
        <f t="shared" si="25"/>
        <v>2211.9423706760435</v>
      </c>
      <c r="AY7" s="16">
        <f t="shared" si="26"/>
        <v>1700.8936586780269</v>
      </c>
      <c r="AZ7" s="16">
        <f t="shared" si="27"/>
        <v>1404.3062936134309</v>
      </c>
      <c r="BA7" s="16">
        <f t="shared" si="28"/>
        <v>1202.610402819922</v>
      </c>
      <c r="BB7" s="16">
        <f t="shared" si="29"/>
        <v>1055.0474968328879</v>
      </c>
      <c r="BC7" s="16">
        <f t="shared" si="30"/>
        <v>925.09864530568052</v>
      </c>
    </row>
    <row r="8" spans="2:55" x14ac:dyDescent="0.25">
      <c r="B8" s="41">
        <v>5600</v>
      </c>
      <c r="C8" s="16">
        <v>34</v>
      </c>
      <c r="D8" s="65">
        <f t="shared" si="0"/>
        <v>25.3538</v>
      </c>
      <c r="E8" s="16">
        <f t="shared" si="1"/>
        <v>25353.8</v>
      </c>
      <c r="F8" s="21">
        <f t="shared" si="2"/>
        <v>31.887142857142859</v>
      </c>
      <c r="H8" s="16">
        <v>11.261464812886066</v>
      </c>
      <c r="I8" s="64">
        <v>14.546058716644502</v>
      </c>
      <c r="J8" s="16">
        <v>17.455270459973402</v>
      </c>
      <c r="K8" s="64">
        <v>20.140696684584693</v>
      </c>
      <c r="L8" s="16">
        <v>22.627202448113668</v>
      </c>
      <c r="M8" s="16">
        <v>25.297493420251314</v>
      </c>
      <c r="O8" s="118">
        <f t="shared" si="7"/>
        <v>40.541273326389842</v>
      </c>
      <c r="P8" s="118">
        <f t="shared" si="8"/>
        <v>52.36581137992021</v>
      </c>
      <c r="Q8" s="118">
        <f t="shared" si="9"/>
        <v>62.838973655904248</v>
      </c>
      <c r="R8" s="118">
        <f t="shared" si="10"/>
        <v>72.506508064504899</v>
      </c>
      <c r="S8" s="118">
        <f t="shared" si="11"/>
        <v>81.457928813209207</v>
      </c>
      <c r="T8" s="118">
        <f t="shared" si="12"/>
        <v>91.070976312904733</v>
      </c>
      <c r="V8" s="16">
        <f t="shared" si="13"/>
        <v>2251.3767455001598</v>
      </c>
      <c r="W8" s="16">
        <f t="shared" si="14"/>
        <v>1743.0013513549625</v>
      </c>
      <c r="X8" s="16">
        <f t="shared" si="15"/>
        <v>1452.5011261291354</v>
      </c>
      <c r="Y8" s="16">
        <f t="shared" si="16"/>
        <v>1258.8343093119174</v>
      </c>
      <c r="Z8" s="16">
        <f t="shared" si="17"/>
        <v>1120.5008687281904</v>
      </c>
      <c r="AA8" s="16">
        <f t="shared" si="18"/>
        <v>1002.2257770291033</v>
      </c>
      <c r="AC8" s="16">
        <f>0.5*'Gearing Calculator'!$C$15*'Gearing Calculator'!$C$20*'Gearing Calculator'!$U$20*(Forces!H8^2)</f>
        <v>10.672903780359933</v>
      </c>
      <c r="AD8" s="16">
        <f>0.5*'Gearing Calculator'!$C$15*'Gearing Calculator'!$C$20*'Gearing Calculator'!$U$20*(Forces!I8^2)</f>
        <v>17.806702314107458</v>
      </c>
      <c r="AE8" s="16">
        <f>0.5*'Gearing Calculator'!$C$15*'Gearing Calculator'!$C$20*'Gearing Calculator'!$U$20*(Forces!J8^2)</f>
        <v>25.641651332314737</v>
      </c>
      <c r="AF8" s="16">
        <f>0.5*'Gearing Calculator'!$C$15*'Gearing Calculator'!$C$20*'Gearing Calculator'!$U$20*(Forces!K8^2)</f>
        <v>34.138293193910151</v>
      </c>
      <c r="AG8" s="16">
        <f>0.5*'Gearing Calculator'!$C$15*'Gearing Calculator'!$C$20*'Gearing Calculator'!$U$20*(Forces!L8^2)</f>
        <v>43.087822883519273</v>
      </c>
      <c r="AH8" s="16">
        <f>0.5*'Gearing Calculator'!$C$15*'Gearing Calculator'!$C$20*'Gearing Calculator'!$U$20*(Forces!M8^2)</f>
        <v>53.857700761005574</v>
      </c>
      <c r="AJ8" s="16">
        <f t="shared" si="19"/>
        <v>2240.7038417198</v>
      </c>
      <c r="AK8" s="16">
        <f t="shared" si="20"/>
        <v>1725.194649040855</v>
      </c>
      <c r="AL8" s="16">
        <f t="shared" si="21"/>
        <v>1426.8594747968207</v>
      </c>
      <c r="AM8" s="16">
        <f t="shared" si="22"/>
        <v>1224.6960161180073</v>
      </c>
      <c r="AN8" s="16">
        <f t="shared" si="23"/>
        <v>1077.4130458446712</v>
      </c>
      <c r="AO8" s="16">
        <f t="shared" si="24"/>
        <v>948.36807626809764</v>
      </c>
      <c r="AQ8" s="16">
        <f>0.5*'Gearing Calculator'!$C$15*'Gearing Calculator'!$C$20*'Gearing Calculator'!$W$20*(Forces!H8^2)</f>
        <v>13.422691217221224</v>
      </c>
      <c r="AR8" s="16">
        <f>0.5*'Gearing Calculator'!$C$15*'Gearing Calculator'!$C$20*'Gearing Calculator'!$W$20*(Forces!I8^2)</f>
        <v>22.394455312065276</v>
      </c>
      <c r="AS8" s="16">
        <f>0.5*'Gearing Calculator'!$C$15*'Gearing Calculator'!$C$20*'Gearing Calculator'!$W$20*(Forces!J8^2)</f>
        <v>32.24801564937399</v>
      </c>
      <c r="AT8" s="16">
        <f>0.5*'Gearing Calculator'!$C$15*'Gearing Calculator'!$C$20*'Gearing Calculator'!$W$20*(Forces!K8^2)</f>
        <v>42.933748645616255</v>
      </c>
      <c r="AU8" s="16">
        <f>0.5*'Gearing Calculator'!$C$15*'Gearing Calculator'!$C$20*'Gearing Calculator'!$W$20*(Forces!L8^2)</f>
        <v>54.189052360059165</v>
      </c>
      <c r="AV8" s="16">
        <f>0.5*'Gearing Calculator'!$C$15*'Gearing Calculator'!$C$20*'Gearing Calculator'!$W$20*(Forces!M8^2)</f>
        <v>67.733702267116172</v>
      </c>
      <c r="AX8" s="16">
        <f t="shared" si="25"/>
        <v>2237.9540542829386</v>
      </c>
      <c r="AY8" s="16">
        <f t="shared" si="26"/>
        <v>1720.6068960428972</v>
      </c>
      <c r="AZ8" s="16">
        <f t="shared" si="27"/>
        <v>1420.2531104797615</v>
      </c>
      <c r="BA8" s="16">
        <f t="shared" si="28"/>
        <v>1215.9005606663011</v>
      </c>
      <c r="BB8" s="16">
        <f t="shared" si="29"/>
        <v>1066.3118163681313</v>
      </c>
      <c r="BC8" s="16">
        <f t="shared" si="30"/>
        <v>934.49207476198706</v>
      </c>
    </row>
    <row r="9" spans="2:55" x14ac:dyDescent="0.25">
      <c r="B9" s="41">
        <v>5700</v>
      </c>
      <c r="C9" s="16">
        <v>35</v>
      </c>
      <c r="D9" s="65">
        <f t="shared" si="0"/>
        <v>26.099500000000003</v>
      </c>
      <c r="E9" s="16">
        <f t="shared" si="1"/>
        <v>26099.500000000004</v>
      </c>
      <c r="F9" s="21">
        <f t="shared" si="2"/>
        <v>32.249122807017542</v>
      </c>
      <c r="H9" s="16">
        <v>11.462562398830457</v>
      </c>
      <c r="I9" s="64">
        <v>14.805809765156013</v>
      </c>
      <c r="J9" s="16">
        <v>17.766971718187211</v>
      </c>
      <c r="K9" s="64">
        <v>20.500351982523703</v>
      </c>
      <c r="L9" s="16">
        <v>23.031259634687128</v>
      </c>
      <c r="M9" s="16">
        <v>25.749234374184372</v>
      </c>
      <c r="O9" s="118">
        <f t="shared" si="7"/>
        <v>41.265224635789643</v>
      </c>
      <c r="P9" s="118">
        <f t="shared" si="8"/>
        <v>53.30091515456165</v>
      </c>
      <c r="Q9" s="118">
        <f t="shared" si="9"/>
        <v>63.961098185473958</v>
      </c>
      <c r="R9" s="118">
        <f t="shared" si="10"/>
        <v>73.801267137085333</v>
      </c>
      <c r="S9" s="118">
        <f t="shared" si="11"/>
        <v>82.912534684873663</v>
      </c>
      <c r="T9" s="118">
        <f t="shared" si="12"/>
        <v>92.697243747063737</v>
      </c>
      <c r="V9" s="16">
        <f t="shared" si="13"/>
        <v>2276.9341698556841</v>
      </c>
      <c r="W9" s="16">
        <f t="shared" si="14"/>
        <v>1762.7877444043997</v>
      </c>
      <c r="X9" s="16">
        <f t="shared" si="15"/>
        <v>1468.9897870036668</v>
      </c>
      <c r="Y9" s="16">
        <f t="shared" si="16"/>
        <v>1273.1244820698446</v>
      </c>
      <c r="Z9" s="16">
        <f t="shared" si="17"/>
        <v>1133.2206928313999</v>
      </c>
      <c r="AA9" s="16">
        <f t="shared" si="18"/>
        <v>1013.6029530325297</v>
      </c>
      <c r="AC9" s="16">
        <f>0.5*'Gearing Calculator'!$C$15*'Gearing Calculator'!$C$20*'Gearing Calculator'!$U$20*(Forces!H9^2)</f>
        <v>11.05748226479254</v>
      </c>
      <c r="AD9" s="16">
        <f>0.5*'Gearing Calculator'!$C$15*'Gearing Calculator'!$C$20*'Gearing Calculator'!$U$20*(Forces!I9^2)</f>
        <v>18.448334125808405</v>
      </c>
      <c r="AE9" s="16">
        <f>0.5*'Gearing Calculator'!$C$15*'Gearing Calculator'!$C$20*'Gearing Calculator'!$U$20*(Forces!J9^2)</f>
        <v>26.565601141164084</v>
      </c>
      <c r="AF9" s="16">
        <f>0.5*'Gearing Calculator'!$C$15*'Gearing Calculator'!$C$20*'Gearing Calculator'!$U$20*(Forces!K9^2)</f>
        <v>35.368403886165197</v>
      </c>
      <c r="AG9" s="16">
        <f>0.5*'Gearing Calculator'!$C$15*'Gearing Calculator'!$C$20*'Gearing Calculator'!$U$20*(Forces!L9^2)</f>
        <v>44.640413440227725</v>
      </c>
      <c r="AH9" s="16">
        <f>0.5*'Gearing Calculator'!$C$15*'Gearing Calculator'!$C$20*'Gearing Calculator'!$U$20*(Forces!M9^2)</f>
        <v>55.798364085620882</v>
      </c>
      <c r="AJ9" s="16">
        <f t="shared" si="19"/>
        <v>2265.8766875908914</v>
      </c>
      <c r="AK9" s="16">
        <f t="shared" si="20"/>
        <v>1744.3394102785912</v>
      </c>
      <c r="AL9" s="16">
        <f t="shared" si="21"/>
        <v>1442.4241858625028</v>
      </c>
      <c r="AM9" s="16">
        <f t="shared" si="22"/>
        <v>1237.7560781836794</v>
      </c>
      <c r="AN9" s="16">
        <f t="shared" si="23"/>
        <v>1088.5802793911721</v>
      </c>
      <c r="AO9" s="16">
        <f t="shared" si="24"/>
        <v>957.80458894690889</v>
      </c>
      <c r="AQ9" s="16">
        <f>0.5*'Gearing Calculator'!$C$15*'Gearing Calculator'!$C$20*'Gearing Calculator'!$W$20*(Forces!H9^2)</f>
        <v>13.906353241311141</v>
      </c>
      <c r="AR9" s="16">
        <f>0.5*'Gearing Calculator'!$C$15*'Gearing Calculator'!$C$20*'Gearing Calculator'!$W$20*(Forces!I9^2)</f>
        <v>23.201398376562533</v>
      </c>
      <c r="AS9" s="16">
        <f>0.5*'Gearing Calculator'!$C$15*'Gearing Calculator'!$C$20*'Gearing Calculator'!$W$20*(Forces!J9^2)</f>
        <v>33.410013662250023</v>
      </c>
      <c r="AT9" s="16">
        <f>0.5*'Gearing Calculator'!$C$15*'Gearing Calculator'!$C$20*'Gearing Calculator'!$W$20*(Forces!K9^2)</f>
        <v>44.480787420155352</v>
      </c>
      <c r="AU9" s="16">
        <f>0.5*'Gearing Calculator'!$C$15*'Gearing Calculator'!$C$20*'Gearing Calculator'!$W$20*(Forces!L9^2)</f>
        <v>56.141655330941418</v>
      </c>
      <c r="AV9" s="16">
        <f>0.5*'Gearing Calculator'!$C$15*'Gearing Calculator'!$C$20*'Gearing Calculator'!$W$20*(Forces!M9^2)</f>
        <v>70.174361819470789</v>
      </c>
      <c r="AX9" s="16">
        <f t="shared" si="25"/>
        <v>2263.027816614373</v>
      </c>
      <c r="AY9" s="16">
        <f t="shared" si="26"/>
        <v>1739.5863460278372</v>
      </c>
      <c r="AZ9" s="16">
        <f t="shared" si="27"/>
        <v>1435.5797733414167</v>
      </c>
      <c r="BA9" s="16">
        <f t="shared" si="28"/>
        <v>1228.6436946496892</v>
      </c>
      <c r="BB9" s="16">
        <f t="shared" si="29"/>
        <v>1077.0790375004585</v>
      </c>
      <c r="BC9" s="16">
        <f t="shared" si="30"/>
        <v>943.42859121305901</v>
      </c>
    </row>
    <row r="10" spans="2:55" x14ac:dyDescent="0.25">
      <c r="B10" s="41">
        <v>5800</v>
      </c>
      <c r="C10" s="16">
        <v>36</v>
      </c>
      <c r="D10" s="65">
        <f t="shared" si="0"/>
        <v>26.845200000000002</v>
      </c>
      <c r="E10" s="16">
        <f t="shared" si="1"/>
        <v>26845.200000000001</v>
      </c>
      <c r="F10" s="21">
        <f t="shared" si="2"/>
        <v>32.598620689655171</v>
      </c>
      <c r="H10" s="16">
        <v>11.663659984774856</v>
      </c>
      <c r="I10" s="64">
        <v>15.065560813667519</v>
      </c>
      <c r="J10" s="16">
        <v>18.078672976401023</v>
      </c>
      <c r="K10" s="64">
        <v>20.860007280462721</v>
      </c>
      <c r="L10" s="16">
        <v>23.435316821260589</v>
      </c>
      <c r="M10" s="16">
        <v>26.20097532811743</v>
      </c>
      <c r="O10" s="118">
        <f t="shared" si="7"/>
        <v>41.989175945189487</v>
      </c>
      <c r="P10" s="118">
        <f t="shared" si="8"/>
        <v>54.23601892920307</v>
      </c>
      <c r="Q10" s="118">
        <f t="shared" si="9"/>
        <v>65.083222715043689</v>
      </c>
      <c r="R10" s="118">
        <f t="shared" si="10"/>
        <v>75.096026209665794</v>
      </c>
      <c r="S10" s="118">
        <f t="shared" si="11"/>
        <v>84.367140556538118</v>
      </c>
      <c r="T10" s="118">
        <f t="shared" si="12"/>
        <v>94.323511181222756</v>
      </c>
      <c r="V10" s="16">
        <f t="shared" si="13"/>
        <v>2301.6103037161874</v>
      </c>
      <c r="W10" s="16">
        <f t="shared" si="14"/>
        <v>1781.8918480383393</v>
      </c>
      <c r="X10" s="16">
        <f t="shared" si="15"/>
        <v>1484.9098733652827</v>
      </c>
      <c r="Y10" s="16">
        <f t="shared" si="16"/>
        <v>1286.9218902499115</v>
      </c>
      <c r="Z10" s="16">
        <f t="shared" si="17"/>
        <v>1145.5019023103607</v>
      </c>
      <c r="AA10" s="16">
        <f t="shared" si="18"/>
        <v>1024.5878126220448</v>
      </c>
      <c r="AC10" s="16">
        <f>0.5*'Gearing Calculator'!$C$15*'Gearing Calculator'!$C$20*'Gearing Calculator'!$U$20*(Forces!H10^2)</f>
        <v>11.448867448064677</v>
      </c>
      <c r="AD10" s="16">
        <f>0.5*'Gearing Calculator'!$C$15*'Gearing Calculator'!$C$20*'Gearing Calculator'!$U$20*(Forces!I10^2)</f>
        <v>19.101322252760674</v>
      </c>
      <c r="AE10" s="16">
        <f>0.5*'Gearing Calculator'!$C$15*'Gearing Calculator'!$C$20*'Gearing Calculator'!$U$20*(Forces!J10^2)</f>
        <v>27.505904043975377</v>
      </c>
      <c r="AF10" s="16">
        <f>0.5*'Gearing Calculator'!$C$15*'Gearing Calculator'!$C$20*'Gearing Calculator'!$U$20*(Forces!K10^2)</f>
        <v>36.62028644907965</v>
      </c>
      <c r="AG10" s="16">
        <f>0.5*'Gearing Calculator'!$C$15*'Gearing Calculator'!$C$20*'Gearing Calculator'!$U$20*(Forces!L10^2)</f>
        <v>46.220483475815968</v>
      </c>
      <c r="AH10" s="16">
        <f>0.5*'Gearing Calculator'!$C$15*'Gearing Calculator'!$C$20*'Gearing Calculator'!$U$20*(Forces!M10^2)</f>
        <v>57.773375433680705</v>
      </c>
      <c r="AJ10" s="16">
        <f t="shared" si="19"/>
        <v>2290.1614362681225</v>
      </c>
      <c r="AK10" s="16">
        <f t="shared" si="20"/>
        <v>1762.7905257855787</v>
      </c>
      <c r="AL10" s="16">
        <f t="shared" si="21"/>
        <v>1457.4039693213074</v>
      </c>
      <c r="AM10" s="16">
        <f t="shared" si="22"/>
        <v>1250.3016038008318</v>
      </c>
      <c r="AN10" s="16">
        <f t="shared" si="23"/>
        <v>1099.2814188345446</v>
      </c>
      <c r="AO10" s="16">
        <f t="shared" si="24"/>
        <v>966.81443718836408</v>
      </c>
      <c r="AQ10" s="16">
        <f>0.5*'Gearing Calculator'!$C$15*'Gearing Calculator'!$C$20*'Gearing Calculator'!$W$20*(Forces!H10^2)</f>
        <v>14.398575655207978</v>
      </c>
      <c r="AR10" s="16">
        <f>0.5*'Gearing Calculator'!$C$15*'Gearing Calculator'!$C$20*'Gearing Calculator'!$W$20*(Forces!I10^2)</f>
        <v>24.022623619192466</v>
      </c>
      <c r="AS10" s="16">
        <f>0.5*'Gearing Calculator'!$C$15*'Gearing Calculator'!$C$20*'Gearing Calculator'!$W$20*(Forces!J10^2)</f>
        <v>34.592578011637151</v>
      </c>
      <c r="AT10" s="16">
        <f>0.5*'Gearing Calculator'!$C$15*'Gearing Calculator'!$C$20*'Gearing Calculator'!$W$20*(Forces!K10^2)</f>
        <v>46.055207411942959</v>
      </c>
      <c r="AU10" s="16">
        <f>0.5*'Gearing Calculator'!$C$15*'Gearing Calculator'!$C$20*'Gearing Calculator'!$W$20*(Forces!L10^2)</f>
        <v>58.128817646441043</v>
      </c>
      <c r="AV10" s="16">
        <f>0.5*'Gearing Calculator'!$C$15*'Gearing Calculator'!$C$20*'Gearing Calculator'!$W$20*(Forces!M10^2)</f>
        <v>72.65821888602639</v>
      </c>
      <c r="AX10" s="16">
        <f t="shared" si="25"/>
        <v>2287.2117280609796</v>
      </c>
      <c r="AY10" s="16">
        <f t="shared" si="26"/>
        <v>1757.8692244191468</v>
      </c>
      <c r="AZ10" s="16">
        <f t="shared" si="27"/>
        <v>1450.3172953536455</v>
      </c>
      <c r="BA10" s="16">
        <f t="shared" si="28"/>
        <v>1240.8666828379685</v>
      </c>
      <c r="BB10" s="16">
        <f t="shared" si="29"/>
        <v>1087.3730846639196</v>
      </c>
      <c r="BC10" s="16">
        <f t="shared" si="30"/>
        <v>951.92959373601843</v>
      </c>
    </row>
    <row r="11" spans="2:55" x14ac:dyDescent="0.25">
      <c r="B11" s="41">
        <v>5900</v>
      </c>
      <c r="C11" s="16">
        <v>37</v>
      </c>
      <c r="D11" s="65">
        <f t="shared" si="0"/>
        <v>27.590900000000001</v>
      </c>
      <c r="E11" s="16">
        <f t="shared" si="1"/>
        <v>27590.9</v>
      </c>
      <c r="F11" s="21">
        <f t="shared" si="2"/>
        <v>32.936271186440678</v>
      </c>
      <c r="H11" s="16">
        <v>11.864757570719245</v>
      </c>
      <c r="I11" s="64">
        <v>15.325311862179028</v>
      </c>
      <c r="J11" s="16">
        <v>18.390374234614832</v>
      </c>
      <c r="K11" s="64">
        <v>21.219662578401731</v>
      </c>
      <c r="L11" s="16">
        <v>23.839374007834039</v>
      </c>
      <c r="M11" s="16">
        <v>26.652716282050491</v>
      </c>
      <c r="O11" s="118">
        <f t="shared" si="7"/>
        <v>42.713127254589281</v>
      </c>
      <c r="P11" s="118">
        <f t="shared" si="8"/>
        <v>55.171122703844503</v>
      </c>
      <c r="Q11" s="118">
        <f t="shared" si="9"/>
        <v>66.205347244613392</v>
      </c>
      <c r="R11" s="118">
        <f t="shared" si="10"/>
        <v>76.390785282246242</v>
      </c>
      <c r="S11" s="118">
        <f t="shared" si="11"/>
        <v>85.821746428202545</v>
      </c>
      <c r="T11" s="118">
        <f t="shared" si="12"/>
        <v>95.949778615381774</v>
      </c>
      <c r="V11" s="16">
        <f t="shared" si="13"/>
        <v>2325.4499584627783</v>
      </c>
      <c r="W11" s="16">
        <f t="shared" si="14"/>
        <v>1800.3483549389248</v>
      </c>
      <c r="X11" s="16">
        <f t="shared" si="15"/>
        <v>1500.2902957824374</v>
      </c>
      <c r="Y11" s="16">
        <f t="shared" si="16"/>
        <v>1300.2515896781122</v>
      </c>
      <c r="Z11" s="16">
        <f t="shared" si="17"/>
        <v>1157.3667996035947</v>
      </c>
      <c r="AA11" s="16">
        <f t="shared" si="18"/>
        <v>1035.2003040898815</v>
      </c>
      <c r="AC11" s="16">
        <f>0.5*'Gearing Calculator'!$C$15*'Gearing Calculator'!$C$20*'Gearing Calculator'!$U$20*(Forces!H11^2)</f>
        <v>11.847059330176311</v>
      </c>
      <c r="AD11" s="16">
        <f>0.5*'Gearing Calculator'!$C$15*'Gearing Calculator'!$C$20*'Gearing Calculator'!$U$20*(Forces!I11^2)</f>
        <v>19.765666694964303</v>
      </c>
      <c r="AE11" s="16">
        <f>0.5*'Gearing Calculator'!$C$15*'Gearing Calculator'!$C$20*'Gearing Calculator'!$U$20*(Forces!J11^2)</f>
        <v>28.462560040748588</v>
      </c>
      <c r="AF11" s="16">
        <f>0.5*'Gearing Calculator'!$C$15*'Gearing Calculator'!$C$20*'Gearing Calculator'!$U$20*(Forces!K11^2)</f>
        <v>37.893940882653453</v>
      </c>
      <c r="AG11" s="16">
        <f>0.5*'Gearing Calculator'!$C$15*'Gearing Calculator'!$C$20*'Gearing Calculator'!$U$20*(Forces!L11^2)</f>
        <v>47.828032990283965</v>
      </c>
      <c r="AH11" s="16">
        <f>0.5*'Gearing Calculator'!$C$15*'Gearing Calculator'!$C$20*'Gearing Calculator'!$U$20*(Forces!M11^2)</f>
        <v>59.782734805185072</v>
      </c>
      <c r="AJ11" s="16">
        <f t="shared" si="19"/>
        <v>2313.602899132602</v>
      </c>
      <c r="AK11" s="16">
        <f t="shared" si="20"/>
        <v>1780.5826882439605</v>
      </c>
      <c r="AL11" s="16">
        <f t="shared" si="21"/>
        <v>1471.8277357416889</v>
      </c>
      <c r="AM11" s="16">
        <f t="shared" si="22"/>
        <v>1262.3576487954588</v>
      </c>
      <c r="AN11" s="16">
        <f t="shared" si="23"/>
        <v>1109.5387666133108</v>
      </c>
      <c r="AO11" s="16">
        <f t="shared" si="24"/>
        <v>975.41756928469636</v>
      </c>
      <c r="AQ11" s="16">
        <f>0.5*'Gearing Calculator'!$C$15*'Gearing Calculator'!$C$20*'Gearing Calculator'!$W$20*(Forces!H11^2)</f>
        <v>14.899358458911692</v>
      </c>
      <c r="AR11" s="16">
        <f>0.5*'Gearing Calculator'!$C$15*'Gearing Calculator'!$C$20*'Gearing Calculator'!$W$20*(Forces!I11^2)</f>
        <v>24.858131039955101</v>
      </c>
      <c r="AS11" s="16">
        <f>0.5*'Gearing Calculator'!$C$15*'Gearing Calculator'!$C$20*'Gearing Calculator'!$W$20*(Forces!J11^2)</f>
        <v>35.795708697535339</v>
      </c>
      <c r="AT11" s="16">
        <f>0.5*'Gearing Calculator'!$C$15*'Gearing Calculator'!$C$20*'Gearing Calculator'!$W$20*(Forces!K11^2)</f>
        <v>47.657008620979013</v>
      </c>
      <c r="AU11" s="16">
        <f>0.5*'Gearing Calculator'!$C$15*'Gearing Calculator'!$C$20*'Gearing Calculator'!$W$20*(Forces!L11^2)</f>
        <v>60.150539306558002</v>
      </c>
      <c r="AV11" s="16">
        <f>0.5*'Gearing Calculator'!$C$15*'Gearing Calculator'!$C$20*'Gearing Calculator'!$W$20*(Forces!M11^2)</f>
        <v>75.185273466782974</v>
      </c>
      <c r="AX11" s="16">
        <f t="shared" si="25"/>
        <v>2310.5506000038667</v>
      </c>
      <c r="AY11" s="16">
        <f t="shared" si="26"/>
        <v>1775.4902238989696</v>
      </c>
      <c r="AZ11" s="16">
        <f t="shared" si="27"/>
        <v>1464.4945870849022</v>
      </c>
      <c r="BA11" s="16">
        <f t="shared" si="28"/>
        <v>1252.5945810571332</v>
      </c>
      <c r="BB11" s="16">
        <f t="shared" si="29"/>
        <v>1097.2162602970368</v>
      </c>
      <c r="BC11" s="16">
        <f t="shared" si="30"/>
        <v>960.01503062309848</v>
      </c>
    </row>
    <row r="12" spans="2:55" x14ac:dyDescent="0.25">
      <c r="B12" s="41">
        <v>6000</v>
      </c>
      <c r="C12" s="16">
        <v>38</v>
      </c>
      <c r="D12" s="65">
        <f t="shared" si="0"/>
        <v>28.336600000000001</v>
      </c>
      <c r="E12" s="16">
        <f t="shared" si="1"/>
        <v>28336.600000000002</v>
      </c>
      <c r="F12" s="21">
        <f t="shared" si="2"/>
        <v>33.262666666666668</v>
      </c>
      <c r="H12" s="16">
        <v>12.065855156663641</v>
      </c>
      <c r="I12" s="64">
        <v>15.585062910690535</v>
      </c>
      <c r="J12" s="16">
        <v>18.702075492828644</v>
      </c>
      <c r="K12" s="64">
        <v>21.579317876340749</v>
      </c>
      <c r="L12" s="16">
        <v>24.243431194407503</v>
      </c>
      <c r="M12" s="16">
        <v>27.104457235983549</v>
      </c>
      <c r="O12" s="118">
        <f t="shared" si="7"/>
        <v>43.437078563989111</v>
      </c>
      <c r="P12" s="118">
        <f t="shared" si="8"/>
        <v>56.106226478485929</v>
      </c>
      <c r="Q12" s="118">
        <f t="shared" si="9"/>
        <v>67.327471774183124</v>
      </c>
      <c r="R12" s="118">
        <f t="shared" si="10"/>
        <v>77.685544354826703</v>
      </c>
      <c r="S12" s="118">
        <f t="shared" si="11"/>
        <v>87.276352299867014</v>
      </c>
      <c r="T12" s="118">
        <f t="shared" si="12"/>
        <v>97.576046049540778</v>
      </c>
      <c r="V12" s="16">
        <f t="shared" si="13"/>
        <v>2348.4949580511475</v>
      </c>
      <c r="W12" s="16">
        <f t="shared" si="14"/>
        <v>1818.1896449428241</v>
      </c>
      <c r="X12" s="16">
        <f t="shared" si="15"/>
        <v>1515.1580374523533</v>
      </c>
      <c r="Y12" s="16">
        <f t="shared" si="16"/>
        <v>1313.1369657920393</v>
      </c>
      <c r="Z12" s="16">
        <f t="shared" si="17"/>
        <v>1168.8362003203868</v>
      </c>
      <c r="AA12" s="16">
        <f t="shared" si="18"/>
        <v>1045.4590458421235</v>
      </c>
      <c r="AC12" s="16">
        <f>0.5*'Gearing Calculator'!$C$15*'Gearing Calculator'!$C$20*'Gearing Calculator'!$U$20*(Forces!H12^2)</f>
        <v>12.252057911127473</v>
      </c>
      <c r="AD12" s="16">
        <f>0.5*'Gearing Calculator'!$C$15*'Gearing Calculator'!$C$20*'Gearing Calculator'!$U$20*(Forces!I12^2)</f>
        <v>20.441367452419268</v>
      </c>
      <c r="AE12" s="16">
        <f>0.5*'Gearing Calculator'!$C$15*'Gearing Calculator'!$C$20*'Gearing Calculator'!$U$20*(Forces!J12^2)</f>
        <v>29.435569131483753</v>
      </c>
      <c r="AF12" s="16">
        <f>0.5*'Gearing Calculator'!$C$15*'Gearing Calculator'!$C$20*'Gearing Calculator'!$U$20*(Forces!K12^2)</f>
        <v>39.189367186886678</v>
      </c>
      <c r="AG12" s="16">
        <f>0.5*'Gearing Calculator'!$C$15*'Gearing Calculator'!$C$20*'Gearing Calculator'!$U$20*(Forces!L12^2)</f>
        <v>49.463061983631825</v>
      </c>
      <c r="AH12" s="16">
        <f>0.5*'Gearing Calculator'!$C$15*'Gearing Calculator'!$C$20*'Gearing Calculator'!$U$20*(Forces!M12^2)</f>
        <v>61.82644220013394</v>
      </c>
      <c r="AJ12" s="16">
        <f t="shared" si="19"/>
        <v>2336.2429001400201</v>
      </c>
      <c r="AK12" s="16">
        <f t="shared" si="20"/>
        <v>1797.7482774904049</v>
      </c>
      <c r="AL12" s="16">
        <f t="shared" si="21"/>
        <v>1485.7224683208694</v>
      </c>
      <c r="AM12" s="16">
        <f t="shared" si="22"/>
        <v>1273.9475986051525</v>
      </c>
      <c r="AN12" s="16">
        <f t="shared" si="23"/>
        <v>1119.3731383367549</v>
      </c>
      <c r="AO12" s="16">
        <f t="shared" si="24"/>
        <v>983.63260364198959</v>
      </c>
      <c r="AQ12" s="16">
        <f>0.5*'Gearing Calculator'!$C$15*'Gearing Calculator'!$C$20*'Gearing Calculator'!$W$20*(Forces!H12^2)</f>
        <v>15.408701652422323</v>
      </c>
      <c r="AR12" s="16">
        <f>0.5*'Gearing Calculator'!$C$15*'Gearing Calculator'!$C$20*'Gearing Calculator'!$W$20*(Forces!I12^2)</f>
        <v>25.707920638850435</v>
      </c>
      <c r="AS12" s="16">
        <f>0.5*'Gearing Calculator'!$C$15*'Gearing Calculator'!$C$20*'Gearing Calculator'!$W$20*(Forces!J12^2)</f>
        <v>37.019405719944629</v>
      </c>
      <c r="AT12" s="16">
        <f>0.5*'Gearing Calculator'!$C$15*'Gearing Calculator'!$C$20*'Gearing Calculator'!$W$20*(Forces!K12^2)</f>
        <v>49.286191047263593</v>
      </c>
      <c r="AU12" s="16">
        <f>0.5*'Gearing Calculator'!$C$15*'Gearing Calculator'!$C$20*'Gearing Calculator'!$W$20*(Forces!L12^2)</f>
        <v>62.206820311292418</v>
      </c>
      <c r="AV12" s="16">
        <f>0.5*'Gearing Calculator'!$C$15*'Gearing Calculator'!$C$20*'Gearing Calculator'!$W$20*(Forces!M12^2)</f>
        <v>77.755525561740498</v>
      </c>
      <c r="AX12" s="16">
        <f t="shared" si="25"/>
        <v>2333.0862563987253</v>
      </c>
      <c r="AY12" s="16">
        <f t="shared" si="26"/>
        <v>1792.4817243039736</v>
      </c>
      <c r="AZ12" s="16">
        <f t="shared" si="27"/>
        <v>1478.1386317324086</v>
      </c>
      <c r="BA12" s="16">
        <f t="shared" si="28"/>
        <v>1263.8507747447757</v>
      </c>
      <c r="BB12" s="16">
        <f t="shared" si="29"/>
        <v>1106.6293800090943</v>
      </c>
      <c r="BC12" s="16">
        <f t="shared" si="30"/>
        <v>967.70352028038303</v>
      </c>
    </row>
    <row r="13" spans="2:55" x14ac:dyDescent="0.25">
      <c r="B13" s="41">
        <v>6100</v>
      </c>
      <c r="C13" s="16">
        <v>38.5</v>
      </c>
      <c r="D13" s="65">
        <f t="shared" si="0"/>
        <v>28.70945</v>
      </c>
      <c r="E13" s="16">
        <f t="shared" si="1"/>
        <v>28709.45</v>
      </c>
      <c r="F13" s="21">
        <f t="shared" si="2"/>
        <v>33.14786885245902</v>
      </c>
      <c r="H13" s="16">
        <v>12.266952742608035</v>
      </c>
      <c r="I13" s="64">
        <v>15.844813959202046</v>
      </c>
      <c r="J13" s="16">
        <v>19.013776751042457</v>
      </c>
      <c r="K13" s="64">
        <v>21.938973174279752</v>
      </c>
      <c r="L13" s="16">
        <v>24.64748838098096</v>
      </c>
      <c r="M13" s="16">
        <v>27.556198189916607</v>
      </c>
      <c r="O13" s="118">
        <f t="shared" si="7"/>
        <v>44.161029873388927</v>
      </c>
      <c r="P13" s="118">
        <f t="shared" si="8"/>
        <v>57.04133025312737</v>
      </c>
      <c r="Q13" s="118">
        <f t="shared" si="9"/>
        <v>68.449596303752841</v>
      </c>
      <c r="R13" s="118">
        <f t="shared" si="10"/>
        <v>78.980303427407108</v>
      </c>
      <c r="S13" s="118">
        <f t="shared" si="11"/>
        <v>88.730958171531455</v>
      </c>
      <c r="T13" s="118">
        <f t="shared" si="12"/>
        <v>99.202313483699783</v>
      </c>
      <c r="V13" s="16">
        <f t="shared" si="13"/>
        <v>2340.3897122942844</v>
      </c>
      <c r="W13" s="16">
        <f t="shared" si="14"/>
        <v>1811.9146159697684</v>
      </c>
      <c r="X13" s="16">
        <f t="shared" si="15"/>
        <v>1509.9288466414735</v>
      </c>
      <c r="Y13" s="16">
        <f t="shared" si="16"/>
        <v>1308.6050004226108</v>
      </c>
      <c r="Z13" s="16">
        <f t="shared" si="17"/>
        <v>1164.8022531234226</v>
      </c>
      <c r="AA13" s="16">
        <f t="shared" si="18"/>
        <v>1041.8509041826167</v>
      </c>
      <c r="AC13" s="16">
        <f>0.5*'Gearing Calculator'!$C$15*'Gearing Calculator'!$C$20*'Gearing Calculator'!$U$20*(Forces!H13^2)</f>
        <v>12.663863190918146</v>
      </c>
      <c r="AD13" s="16">
        <f>0.5*'Gearing Calculator'!$C$15*'Gearing Calculator'!$C$20*'Gearing Calculator'!$U$20*(Forces!I13^2)</f>
        <v>21.128424525125588</v>
      </c>
      <c r="AE13" s="16">
        <f>0.5*'Gearing Calculator'!$C$15*'Gearing Calculator'!$C$20*'Gearing Calculator'!$U$20*(Forces!J13^2)</f>
        <v>30.424931316180849</v>
      </c>
      <c r="AF13" s="16">
        <f>0.5*'Gearing Calculator'!$C$15*'Gearing Calculator'!$C$20*'Gearing Calculator'!$U$20*(Forces!K13^2)</f>
        <v>40.506565361779217</v>
      </c>
      <c r="AG13" s="16">
        <f>0.5*'Gearing Calculator'!$C$15*'Gearing Calculator'!$C$20*'Gearing Calculator'!$U$20*(Forces!L13^2)</f>
        <v>51.125570455859439</v>
      </c>
      <c r="AH13" s="16">
        <f>0.5*'Gearing Calculator'!$C$15*'Gearing Calculator'!$C$20*'Gearing Calculator'!$U$20*(Forces!M13^2)</f>
        <v>63.904497618527316</v>
      </c>
      <c r="AJ13" s="16">
        <f t="shared" si="19"/>
        <v>2327.7258491033663</v>
      </c>
      <c r="AK13" s="16">
        <f t="shared" si="20"/>
        <v>1790.7861914446428</v>
      </c>
      <c r="AL13" s="16">
        <f t="shared" si="21"/>
        <v>1479.5039153252926</v>
      </c>
      <c r="AM13" s="16">
        <f t="shared" si="22"/>
        <v>1268.0984350608317</v>
      </c>
      <c r="AN13" s="16">
        <f t="shared" si="23"/>
        <v>1113.6766826675632</v>
      </c>
      <c r="AO13" s="16">
        <f t="shared" si="24"/>
        <v>977.94640656408933</v>
      </c>
      <c r="AQ13" s="16">
        <f>0.5*'Gearing Calculator'!$C$15*'Gearing Calculator'!$C$20*'Gearing Calculator'!$W$20*(Forces!H13^2)</f>
        <v>15.926605235739849</v>
      </c>
      <c r="AR13" s="16">
        <f>0.5*'Gearing Calculator'!$C$15*'Gearing Calculator'!$C$20*'Gearing Calculator'!$W$20*(Forces!I13^2)</f>
        <v>26.571992415878466</v>
      </c>
      <c r="AS13" s="16">
        <f>0.5*'Gearing Calculator'!$C$15*'Gearing Calculator'!$C$20*'Gearing Calculator'!$W$20*(Forces!J13^2)</f>
        <v>38.263669078864993</v>
      </c>
      <c r="AT13" s="16">
        <f>0.5*'Gearing Calculator'!$C$15*'Gearing Calculator'!$C$20*'Gearing Calculator'!$W$20*(Forces!K13^2)</f>
        <v>50.942754690796569</v>
      </c>
      <c r="AU13" s="16">
        <f>0.5*'Gearing Calculator'!$C$15*'Gearing Calculator'!$C$20*'Gearing Calculator'!$W$20*(Forces!L13^2)</f>
        <v>64.297660660644183</v>
      </c>
      <c r="AV13" s="16">
        <f>0.5*'Gearing Calculator'!$C$15*'Gearing Calculator'!$C$20*'Gearing Calculator'!$W$20*(Forces!M13^2)</f>
        <v>80.368975170898977</v>
      </c>
      <c r="AX13" s="16">
        <f t="shared" si="25"/>
        <v>2324.4631070585447</v>
      </c>
      <c r="AY13" s="16">
        <f t="shared" si="26"/>
        <v>1785.34262355389</v>
      </c>
      <c r="AZ13" s="16">
        <f t="shared" si="27"/>
        <v>1471.6651775626085</v>
      </c>
      <c r="BA13" s="16">
        <f t="shared" si="28"/>
        <v>1257.6622457318142</v>
      </c>
      <c r="BB13" s="16">
        <f t="shared" si="29"/>
        <v>1100.5045924627784</v>
      </c>
      <c r="BC13" s="16">
        <f t="shared" si="30"/>
        <v>961.48192901171774</v>
      </c>
    </row>
    <row r="14" spans="2:55" x14ac:dyDescent="0.25">
      <c r="B14" s="41">
        <v>6200</v>
      </c>
      <c r="C14" s="16">
        <v>39</v>
      </c>
      <c r="D14" s="65">
        <f t="shared" si="0"/>
        <v>29.0823</v>
      </c>
      <c r="E14" s="16">
        <f t="shared" si="1"/>
        <v>29082.3</v>
      </c>
      <c r="F14" s="21">
        <f t="shared" si="2"/>
        <v>33.036774193548389</v>
      </c>
      <c r="H14" s="16">
        <v>12.46805032855243</v>
      </c>
      <c r="I14" s="64">
        <v>16.104565007713557</v>
      </c>
      <c r="J14" s="16">
        <v>19.325478009256269</v>
      </c>
      <c r="K14" s="64">
        <v>22.29862847221877</v>
      </c>
      <c r="L14" s="16">
        <v>25.051545567554417</v>
      </c>
      <c r="M14" s="16">
        <v>28.007939143849669</v>
      </c>
      <c r="O14" s="118">
        <f t="shared" si="7"/>
        <v>44.884981182788749</v>
      </c>
      <c r="P14" s="118">
        <f t="shared" si="8"/>
        <v>57.976434027768804</v>
      </c>
      <c r="Q14" s="118">
        <f t="shared" si="9"/>
        <v>69.571720833322573</v>
      </c>
      <c r="R14" s="118">
        <f t="shared" si="10"/>
        <v>80.27506249998757</v>
      </c>
      <c r="S14" s="118">
        <f t="shared" si="11"/>
        <v>90.185564043195896</v>
      </c>
      <c r="T14" s="118">
        <f t="shared" si="12"/>
        <v>100.82858091785882</v>
      </c>
      <c r="V14" s="16">
        <f t="shared" si="13"/>
        <v>2332.5459260779649</v>
      </c>
      <c r="W14" s="16">
        <f t="shared" si="14"/>
        <v>1805.8420072861661</v>
      </c>
      <c r="X14" s="16">
        <f t="shared" si="15"/>
        <v>1504.8683394051384</v>
      </c>
      <c r="Y14" s="16">
        <f t="shared" si="16"/>
        <v>1304.2192274844533</v>
      </c>
      <c r="Z14" s="16">
        <f t="shared" si="17"/>
        <v>1160.8984332553928</v>
      </c>
      <c r="AA14" s="16">
        <f t="shared" si="18"/>
        <v>1038.3591541895453</v>
      </c>
      <c r="AC14" s="16">
        <f>0.5*'Gearing Calculator'!$C$15*'Gearing Calculator'!$C$20*'Gearing Calculator'!$U$20*(Forces!H14^2)</f>
        <v>13.082475169548333</v>
      </c>
      <c r="AD14" s="16">
        <f>0.5*'Gearing Calculator'!$C$15*'Gearing Calculator'!$C$20*'Gearing Calculator'!$U$20*(Forces!I14^2)</f>
        <v>21.826837913083253</v>
      </c>
      <c r="AE14" s="16">
        <f>0.5*'Gearing Calculator'!$C$15*'Gearing Calculator'!$C$20*'Gearing Calculator'!$U$20*(Forces!J14^2)</f>
        <v>31.430646594839882</v>
      </c>
      <c r="AF14" s="16">
        <f>0.5*'Gearing Calculator'!$C$15*'Gearing Calculator'!$C$20*'Gearing Calculator'!$U$20*(Forces!K14^2)</f>
        <v>41.845535407331198</v>
      </c>
      <c r="AG14" s="16">
        <f>0.5*'Gearing Calculator'!$C$15*'Gearing Calculator'!$C$20*'Gearing Calculator'!$U$20*(Forces!L14^2)</f>
        <v>52.815558406966858</v>
      </c>
      <c r="AH14" s="16">
        <f>0.5*'Gearing Calculator'!$C$15*'Gearing Calculator'!$C$20*'Gearing Calculator'!$U$20*(Forces!M14^2)</f>
        <v>66.016901060365242</v>
      </c>
      <c r="AJ14" s="16">
        <f t="shared" si="19"/>
        <v>2319.4634509084167</v>
      </c>
      <c r="AK14" s="16">
        <f t="shared" si="20"/>
        <v>1784.0151693730829</v>
      </c>
      <c r="AL14" s="16">
        <f t="shared" si="21"/>
        <v>1473.4376928102986</v>
      </c>
      <c r="AM14" s="16">
        <f t="shared" si="22"/>
        <v>1262.3736920771221</v>
      </c>
      <c r="AN14" s="16">
        <f t="shared" si="23"/>
        <v>1108.0828748484259</v>
      </c>
      <c r="AO14" s="16">
        <f t="shared" si="24"/>
        <v>972.34225312917999</v>
      </c>
      <c r="AQ14" s="16">
        <f>0.5*'Gearing Calculator'!$C$15*'Gearing Calculator'!$C$20*'Gearing Calculator'!$W$20*(Forces!H14^2)</f>
        <v>16.453069208864278</v>
      </c>
      <c r="AR14" s="16">
        <f>0.5*'Gearing Calculator'!$C$15*'Gearing Calculator'!$C$20*'Gearing Calculator'!$W$20*(Forces!I14^2)</f>
        <v>27.450346371039199</v>
      </c>
      <c r="AS14" s="16">
        <f>0.5*'Gearing Calculator'!$C$15*'Gearing Calculator'!$C$20*'Gearing Calculator'!$W$20*(Forces!J14^2)</f>
        <v>39.528498774296445</v>
      </c>
      <c r="AT14" s="16">
        <f>0.5*'Gearing Calculator'!$C$15*'Gearing Calculator'!$C$20*'Gearing Calculator'!$W$20*(Forces!K14^2)</f>
        <v>52.626699551578099</v>
      </c>
      <c r="AU14" s="16">
        <f>0.5*'Gearing Calculator'!$C$15*'Gearing Calculator'!$C$20*'Gearing Calculator'!$W$20*(Forces!L14^2)</f>
        <v>66.423060354613341</v>
      </c>
      <c r="AV14" s="16">
        <f>0.5*'Gearing Calculator'!$C$15*'Gearing Calculator'!$C$20*'Gearing Calculator'!$W$20*(Forces!M14^2)</f>
        <v>83.025622294258469</v>
      </c>
      <c r="AX14" s="16">
        <f t="shared" si="25"/>
        <v>2316.0928568691006</v>
      </c>
      <c r="AY14" s="16">
        <f t="shared" si="26"/>
        <v>1778.391660915127</v>
      </c>
      <c r="AZ14" s="16">
        <f t="shared" si="27"/>
        <v>1465.339840630842</v>
      </c>
      <c r="BA14" s="16">
        <f t="shared" si="28"/>
        <v>1251.5925279328753</v>
      </c>
      <c r="BB14" s="16">
        <f t="shared" si="29"/>
        <v>1094.4753729007793</v>
      </c>
      <c r="BC14" s="16">
        <f t="shared" si="30"/>
        <v>955.3335318952868</v>
      </c>
    </row>
    <row r="15" spans="2:55" x14ac:dyDescent="0.25">
      <c r="B15" s="41">
        <v>6300</v>
      </c>
      <c r="C15" s="16">
        <v>39.5</v>
      </c>
      <c r="D15" s="65">
        <f t="shared" si="0"/>
        <v>29.45515</v>
      </c>
      <c r="E15" s="16">
        <f t="shared" si="1"/>
        <v>29455.15</v>
      </c>
      <c r="F15" s="21">
        <f t="shared" si="2"/>
        <v>32.929206349206346</v>
      </c>
      <c r="H15" s="16">
        <v>12.669147914496822</v>
      </c>
      <c r="I15" s="64">
        <v>16.364316056225064</v>
      </c>
      <c r="J15" s="16">
        <v>19.637179267470074</v>
      </c>
      <c r="K15" s="64">
        <v>22.658283770157784</v>
      </c>
      <c r="L15" s="16">
        <v>25.455602754127877</v>
      </c>
      <c r="M15" s="16">
        <v>28.45968009778273</v>
      </c>
      <c r="O15" s="118">
        <f t="shared" si="7"/>
        <v>45.608932492188558</v>
      </c>
      <c r="P15" s="118">
        <f t="shared" si="8"/>
        <v>58.91153780241023</v>
      </c>
      <c r="Q15" s="118">
        <f t="shared" si="9"/>
        <v>70.693845362892276</v>
      </c>
      <c r="R15" s="118">
        <f t="shared" si="10"/>
        <v>81.569821572568017</v>
      </c>
      <c r="S15" s="118">
        <f t="shared" si="11"/>
        <v>91.640169914860365</v>
      </c>
      <c r="T15" s="118">
        <f t="shared" si="12"/>
        <v>102.45484835201783</v>
      </c>
      <c r="V15" s="16">
        <f t="shared" si="13"/>
        <v>2324.9511489478782</v>
      </c>
      <c r="W15" s="16">
        <f t="shared" si="14"/>
        <v>1799.962179830615</v>
      </c>
      <c r="X15" s="16">
        <f t="shared" si="15"/>
        <v>1499.9684831921795</v>
      </c>
      <c r="Y15" s="16">
        <f t="shared" si="16"/>
        <v>1299.9726854332218</v>
      </c>
      <c r="Z15" s="16">
        <f t="shared" si="17"/>
        <v>1157.1185441768241</v>
      </c>
      <c r="AA15" s="16">
        <f t="shared" si="18"/>
        <v>1034.9782534026033</v>
      </c>
      <c r="AC15" s="16">
        <f>0.5*'Gearing Calculator'!$C$15*'Gearing Calculator'!$C$20*'Gearing Calculator'!$U$20*(Forces!H15^2)</f>
        <v>13.507893847018035</v>
      </c>
      <c r="AD15" s="16">
        <f>0.5*'Gearing Calculator'!$C$15*'Gearing Calculator'!$C$20*'Gearing Calculator'!$U$20*(Forces!I15^2)</f>
        <v>22.536607616292248</v>
      </c>
      <c r="AE15" s="16">
        <f>0.5*'Gearing Calculator'!$C$15*'Gearing Calculator'!$C$20*'Gearing Calculator'!$U$20*(Forces!J15^2)</f>
        <v>32.452714967460828</v>
      </c>
      <c r="AF15" s="16">
        <f>0.5*'Gearing Calculator'!$C$15*'Gearing Calculator'!$C$20*'Gearing Calculator'!$U$20*(Forces!K15^2)</f>
        <v>43.206277323542544</v>
      </c>
      <c r="AG15" s="16">
        <f>0.5*'Gearing Calculator'!$C$15*'Gearing Calculator'!$C$20*'Gearing Calculator'!$U$20*(Forces!L15^2)</f>
        <v>54.533025836954081</v>
      </c>
      <c r="AH15" s="16">
        <f>0.5*'Gearing Calculator'!$C$15*'Gearing Calculator'!$C$20*'Gearing Calculator'!$U$20*(Forces!M15^2)</f>
        <v>68.163652525647677</v>
      </c>
      <c r="AJ15" s="16">
        <f t="shared" si="19"/>
        <v>2311.4432551008604</v>
      </c>
      <c r="AK15" s="16">
        <f t="shared" si="20"/>
        <v>1777.4255722143228</v>
      </c>
      <c r="AL15" s="16">
        <f t="shared" si="21"/>
        <v>1467.5157682247186</v>
      </c>
      <c r="AM15" s="16">
        <f t="shared" si="22"/>
        <v>1256.7664081096793</v>
      </c>
      <c r="AN15" s="16">
        <f t="shared" si="23"/>
        <v>1102.5855183398701</v>
      </c>
      <c r="AO15" s="16">
        <f t="shared" si="24"/>
        <v>966.81460087695564</v>
      </c>
      <c r="AQ15" s="16">
        <f>0.5*'Gearing Calculator'!$C$15*'Gearing Calculator'!$C$20*'Gearing Calculator'!$W$20*(Forces!H15^2)</f>
        <v>16.988093571795606</v>
      </c>
      <c r="AR15" s="16">
        <f>0.5*'Gearing Calculator'!$C$15*'Gearing Calculator'!$C$20*'Gearing Calculator'!$W$20*(Forces!I15^2)</f>
        <v>28.342982504332607</v>
      </c>
      <c r="AS15" s="16">
        <f>0.5*'Gearing Calculator'!$C$15*'Gearing Calculator'!$C$20*'Gearing Calculator'!$W$20*(Forces!J15^2)</f>
        <v>40.813894806238942</v>
      </c>
      <c r="AT15" s="16">
        <f>0.5*'Gearing Calculator'!$C$15*'Gearing Calculator'!$C$20*'Gearing Calculator'!$W$20*(Forces!K15^2)</f>
        <v>54.33802562960809</v>
      </c>
      <c r="AU15" s="16">
        <f>0.5*'Gearing Calculator'!$C$15*'Gearing Calculator'!$C$20*'Gearing Calculator'!$W$20*(Forces!L15^2)</f>
        <v>68.583019393199891</v>
      </c>
      <c r="AV15" s="16">
        <f>0.5*'Gearing Calculator'!$C$15*'Gearing Calculator'!$C$20*'Gearing Calculator'!$W$20*(Forces!M15^2)</f>
        <v>85.725466931818914</v>
      </c>
      <c r="AX15" s="16">
        <f t="shared" si="25"/>
        <v>2307.9630553760826</v>
      </c>
      <c r="AY15" s="16">
        <f t="shared" si="26"/>
        <v>1771.6191973262823</v>
      </c>
      <c r="AZ15" s="16">
        <f t="shared" si="27"/>
        <v>1459.1545883859405</v>
      </c>
      <c r="BA15" s="16">
        <f t="shared" si="28"/>
        <v>1245.6346598036137</v>
      </c>
      <c r="BB15" s="16">
        <f t="shared" si="29"/>
        <v>1088.5355247836242</v>
      </c>
      <c r="BC15" s="16">
        <f t="shared" si="30"/>
        <v>949.25278647078437</v>
      </c>
    </row>
    <row r="16" spans="2:55" x14ac:dyDescent="0.25">
      <c r="B16" s="41">
        <v>6400</v>
      </c>
      <c r="C16" s="16">
        <v>40</v>
      </c>
      <c r="D16" s="65">
        <f t="shared" si="0"/>
        <v>29.828000000000003</v>
      </c>
      <c r="E16" s="16">
        <f t="shared" si="1"/>
        <v>29828.000000000004</v>
      </c>
      <c r="F16" s="21">
        <f t="shared" si="2"/>
        <v>32.825000000000003</v>
      </c>
      <c r="H16" s="16">
        <v>12.870245500441218</v>
      </c>
      <c r="I16" s="64">
        <v>16.624067104736575</v>
      </c>
      <c r="J16" s="16">
        <v>19.94888052568389</v>
      </c>
      <c r="K16" s="64">
        <v>23.017939068096794</v>
      </c>
      <c r="L16" s="16">
        <v>25.859659940701338</v>
      </c>
      <c r="M16" s="16">
        <v>28.911421051715784</v>
      </c>
      <c r="O16" s="118">
        <f t="shared" si="7"/>
        <v>46.332883801588387</v>
      </c>
      <c r="P16" s="118">
        <f t="shared" si="8"/>
        <v>59.84664157705167</v>
      </c>
      <c r="Q16" s="118">
        <f t="shared" si="9"/>
        <v>71.815969892462007</v>
      </c>
      <c r="R16" s="118">
        <f t="shared" si="10"/>
        <v>82.864580645148465</v>
      </c>
      <c r="S16" s="118">
        <f t="shared" si="11"/>
        <v>93.094775786524821</v>
      </c>
      <c r="T16" s="118">
        <f t="shared" si="12"/>
        <v>104.08111578617682</v>
      </c>
      <c r="V16" s="16">
        <f t="shared" si="13"/>
        <v>2317.5937086031063</v>
      </c>
      <c r="W16" s="16">
        <f t="shared" si="14"/>
        <v>1794.2660969830497</v>
      </c>
      <c r="X16" s="16">
        <f t="shared" si="15"/>
        <v>1495.2217474858749</v>
      </c>
      <c r="Y16" s="16">
        <f t="shared" si="16"/>
        <v>1295.8588478210916</v>
      </c>
      <c r="Z16" s="16">
        <f t="shared" si="17"/>
        <v>1153.4567766319606</v>
      </c>
      <c r="AA16" s="16">
        <f t="shared" si="18"/>
        <v>1031.7030057652537</v>
      </c>
      <c r="AC16" s="16">
        <f>0.5*'Gearing Calculator'!$C$15*'Gearing Calculator'!$C$20*'Gearing Calculator'!$U$20*(Forces!H16^2)</f>
        <v>13.940119223327258</v>
      </c>
      <c r="AD16" s="16">
        <f>0.5*'Gearing Calculator'!$C$15*'Gearing Calculator'!$C$20*'Gearing Calculator'!$U$20*(Forces!I16^2)</f>
        <v>23.257733634752604</v>
      </c>
      <c r="AE16" s="16">
        <f>0.5*'Gearing Calculator'!$C$15*'Gearing Calculator'!$C$20*'Gearing Calculator'!$U$20*(Forces!J16^2)</f>
        <v>33.491136434043746</v>
      </c>
      <c r="AF16" s="16">
        <f>0.5*'Gearing Calculator'!$C$15*'Gearing Calculator'!$C$20*'Gearing Calculator'!$U$20*(Forces!K16^2)</f>
        <v>44.588791110413261</v>
      </c>
      <c r="AG16" s="16">
        <f>0.5*'Gearing Calculator'!$C$15*'Gearing Calculator'!$C$20*'Gearing Calculator'!$U$20*(Forces!L16^2)</f>
        <v>56.27797274582111</v>
      </c>
      <c r="AH16" s="16">
        <f>0.5*'Gearing Calculator'!$C$15*'Gearing Calculator'!$C$20*'Gearing Calculator'!$U$20*(Forces!M16^2)</f>
        <v>70.344752014374606</v>
      </c>
      <c r="AJ16" s="16">
        <f t="shared" si="19"/>
        <v>2303.6535893797791</v>
      </c>
      <c r="AK16" s="16">
        <f t="shared" si="20"/>
        <v>1771.0083633482971</v>
      </c>
      <c r="AL16" s="16">
        <f t="shared" si="21"/>
        <v>1461.7306110518311</v>
      </c>
      <c r="AM16" s="16">
        <f t="shared" si="22"/>
        <v>1251.2700567106783</v>
      </c>
      <c r="AN16" s="16">
        <f t="shared" si="23"/>
        <v>1097.1788038861393</v>
      </c>
      <c r="AO16" s="16">
        <f t="shared" si="24"/>
        <v>961.35825375087904</v>
      </c>
      <c r="AQ16" s="16">
        <f>0.5*'Gearing Calculator'!$C$15*'Gearing Calculator'!$C$20*'Gearing Calculator'!$W$20*(Forces!H16^2)</f>
        <v>17.531678324533843</v>
      </c>
      <c r="AR16" s="16">
        <f>0.5*'Gearing Calculator'!$C$15*'Gearing Calculator'!$C$20*'Gearing Calculator'!$W$20*(Forces!I16^2)</f>
        <v>29.249900815758732</v>
      </c>
      <c r="AS16" s="16">
        <f>0.5*'Gearing Calculator'!$C$15*'Gearing Calculator'!$C$20*'Gearing Calculator'!$W$20*(Forces!J16^2)</f>
        <v>42.119857174692569</v>
      </c>
      <c r="AT16" s="16">
        <f>0.5*'Gearing Calculator'!$C$15*'Gearing Calculator'!$C$20*'Gearing Calculator'!$W$20*(Forces!K16^2)</f>
        <v>56.076732924886542</v>
      </c>
      <c r="AU16" s="16">
        <f>0.5*'Gearing Calculator'!$C$15*'Gearing Calculator'!$C$20*'Gearing Calculator'!$W$20*(Forces!L16^2)</f>
        <v>70.777537776403832</v>
      </c>
      <c r="AV16" s="16">
        <f>0.5*'Gearing Calculator'!$C$15*'Gearing Calculator'!$C$20*'Gearing Calculator'!$W$20*(Forces!M16^2)</f>
        <v>88.468509083580287</v>
      </c>
      <c r="AX16" s="16">
        <f t="shared" si="25"/>
        <v>2300.0620302785724</v>
      </c>
      <c r="AY16" s="16">
        <f t="shared" si="26"/>
        <v>1765.0161961672909</v>
      </c>
      <c r="AZ16" s="16">
        <f t="shared" si="27"/>
        <v>1453.1018903111824</v>
      </c>
      <c r="BA16" s="16">
        <f t="shared" si="28"/>
        <v>1239.782114896205</v>
      </c>
      <c r="BB16" s="16">
        <f t="shared" si="29"/>
        <v>1082.6792388555568</v>
      </c>
      <c r="BC16" s="16">
        <f t="shared" si="30"/>
        <v>943.23449668167336</v>
      </c>
    </row>
    <row r="17" spans="2:55" x14ac:dyDescent="0.25">
      <c r="B17" s="41">
        <v>6500</v>
      </c>
      <c r="C17" s="16">
        <v>40</v>
      </c>
      <c r="D17" s="65">
        <f t="shared" si="0"/>
        <v>29.828000000000003</v>
      </c>
      <c r="E17" s="16">
        <f t="shared" si="1"/>
        <v>29828.000000000004</v>
      </c>
      <c r="F17" s="21">
        <f t="shared" si="2"/>
        <v>32.32</v>
      </c>
      <c r="H17" s="16">
        <v>13.071343086385612</v>
      </c>
      <c r="I17" s="64">
        <v>16.883818153248082</v>
      </c>
      <c r="J17" s="16">
        <v>20.260581783897695</v>
      </c>
      <c r="K17" s="64">
        <v>23.377594366035805</v>
      </c>
      <c r="L17" s="16">
        <v>26.263717127274791</v>
      </c>
      <c r="M17" s="16">
        <v>29.363162005648846</v>
      </c>
      <c r="O17" s="118">
        <f t="shared" si="7"/>
        <v>47.056835110988203</v>
      </c>
      <c r="P17" s="118">
        <f t="shared" si="8"/>
        <v>60.781745351693097</v>
      </c>
      <c r="Q17" s="118">
        <f t="shared" si="9"/>
        <v>72.93809442203171</v>
      </c>
      <c r="R17" s="118">
        <f t="shared" si="10"/>
        <v>84.159339717728898</v>
      </c>
      <c r="S17" s="118">
        <f t="shared" si="11"/>
        <v>94.549381658189247</v>
      </c>
      <c r="T17" s="118">
        <f t="shared" si="12"/>
        <v>105.70738322033584</v>
      </c>
      <c r="V17" s="16">
        <f t="shared" si="13"/>
        <v>2281.9384207784433</v>
      </c>
      <c r="W17" s="16">
        <f t="shared" si="14"/>
        <v>1766.6620031833108</v>
      </c>
      <c r="X17" s="16">
        <f t="shared" si="15"/>
        <v>1472.2183359860926</v>
      </c>
      <c r="Y17" s="16">
        <f t="shared" si="16"/>
        <v>1275.9225578546134</v>
      </c>
      <c r="Z17" s="16">
        <f t="shared" si="17"/>
        <v>1135.7112877606999</v>
      </c>
      <c r="AA17" s="16">
        <f t="shared" si="18"/>
        <v>1015.8306518304034</v>
      </c>
      <c r="AC17" s="16">
        <f>0.5*'Gearing Calculator'!$C$15*'Gearing Calculator'!$C$20*'Gearing Calculator'!$U$20*(Forces!H17^2)</f>
        <v>14.379151298475993</v>
      </c>
      <c r="AD17" s="16">
        <f>0.5*'Gearing Calculator'!$C$15*'Gearing Calculator'!$C$20*'Gearing Calculator'!$U$20*(Forces!I17^2)</f>
        <v>23.990215968464287</v>
      </c>
      <c r="AE17" s="16">
        <f>0.5*'Gearing Calculator'!$C$15*'Gearing Calculator'!$C$20*'Gearing Calculator'!$U$20*(Forces!J17^2)</f>
        <v>34.545910994588567</v>
      </c>
      <c r="AF17" s="16">
        <f>0.5*'Gearing Calculator'!$C$15*'Gearing Calculator'!$C$20*'Gearing Calculator'!$U$20*(Forces!K17^2)</f>
        <v>45.993076767943364</v>
      </c>
      <c r="AG17" s="16">
        <f>0.5*'Gearing Calculator'!$C$15*'Gearing Calculator'!$C$20*'Gearing Calculator'!$U$20*(Forces!L17^2)</f>
        <v>58.050399133567893</v>
      </c>
      <c r="AH17" s="16">
        <f>0.5*'Gearing Calculator'!$C$15*'Gearing Calculator'!$C$20*'Gearing Calculator'!$U$20*(Forces!M17^2)</f>
        <v>72.560199526546086</v>
      </c>
      <c r="AJ17" s="16">
        <f t="shared" si="19"/>
        <v>2267.5592694799675</v>
      </c>
      <c r="AK17" s="16">
        <f t="shared" si="20"/>
        <v>1742.6717872148465</v>
      </c>
      <c r="AL17" s="16">
        <f t="shared" si="21"/>
        <v>1437.6724249915039</v>
      </c>
      <c r="AM17" s="16">
        <f t="shared" si="22"/>
        <v>1229.92948108667</v>
      </c>
      <c r="AN17" s="16">
        <f t="shared" si="23"/>
        <v>1077.660888627132</v>
      </c>
      <c r="AO17" s="16">
        <f t="shared" si="24"/>
        <v>943.27045230385738</v>
      </c>
      <c r="AQ17" s="16">
        <f>0.5*'Gearing Calculator'!$C$15*'Gearing Calculator'!$C$20*'Gearing Calculator'!$W$20*(Forces!H17^2)</f>
        <v>18.083823467078979</v>
      </c>
      <c r="AR17" s="16">
        <f>0.5*'Gearing Calculator'!$C$15*'Gearing Calculator'!$C$20*'Gearing Calculator'!$W$20*(Forces!I17^2)</f>
        <v>30.171101305317531</v>
      </c>
      <c r="AS17" s="16">
        <f>0.5*'Gearing Calculator'!$C$15*'Gearing Calculator'!$C$20*'Gearing Calculator'!$W$20*(Forces!J17^2)</f>
        <v>43.446385879657235</v>
      </c>
      <c r="AT17" s="16">
        <f>0.5*'Gearing Calculator'!$C$15*'Gearing Calculator'!$C$20*'Gearing Calculator'!$W$20*(Forces!K17^2)</f>
        <v>57.842821437413484</v>
      </c>
      <c r="AU17" s="16">
        <f>0.5*'Gearing Calculator'!$C$15*'Gearing Calculator'!$C$20*'Gearing Calculator'!$W$20*(Forces!L17^2)</f>
        <v>73.006615504225124</v>
      </c>
      <c r="AV17" s="16">
        <f>0.5*'Gearing Calculator'!$C$15*'Gearing Calculator'!$C$20*'Gearing Calculator'!$W$20*(Forces!M17^2)</f>
        <v>91.254748749542671</v>
      </c>
      <c r="AX17" s="16">
        <f t="shared" si="25"/>
        <v>2263.8545973113642</v>
      </c>
      <c r="AY17" s="16">
        <f t="shared" si="26"/>
        <v>1736.4909018779933</v>
      </c>
      <c r="AZ17" s="16">
        <f t="shared" si="27"/>
        <v>1428.7719501064353</v>
      </c>
      <c r="BA17" s="16">
        <f t="shared" si="28"/>
        <v>1218.0797364171999</v>
      </c>
      <c r="BB17" s="16">
        <f t="shared" si="29"/>
        <v>1062.7046722564746</v>
      </c>
      <c r="BC17" s="16">
        <f t="shared" si="30"/>
        <v>924.57590308086083</v>
      </c>
    </row>
    <row r="18" spans="2:55" x14ac:dyDescent="0.25">
      <c r="B18" s="41">
        <v>6600</v>
      </c>
      <c r="C18" s="16">
        <v>40.5</v>
      </c>
      <c r="D18" s="65">
        <f t="shared" si="0"/>
        <v>30.200850000000003</v>
      </c>
      <c r="E18" s="16">
        <f t="shared" si="1"/>
        <v>30200.850000000002</v>
      </c>
      <c r="F18" s="21">
        <f t="shared" si="2"/>
        <v>32.228181818181817</v>
      </c>
      <c r="H18" s="16">
        <v>13.272440672330006</v>
      </c>
      <c r="I18" s="64">
        <v>17.14356920175959</v>
      </c>
      <c r="J18" s="16">
        <v>20.572283042111508</v>
      </c>
      <c r="K18" s="64">
        <v>23.737249663974819</v>
      </c>
      <c r="L18" s="16">
        <v>26.667774313848248</v>
      </c>
      <c r="M18" s="16">
        <v>29.814902959581907</v>
      </c>
      <c r="O18" s="118">
        <f t="shared" si="7"/>
        <v>47.780786420388026</v>
      </c>
      <c r="P18" s="118">
        <f t="shared" si="8"/>
        <v>61.716849126334523</v>
      </c>
      <c r="Q18" s="118">
        <f t="shared" si="9"/>
        <v>74.060218951601428</v>
      </c>
      <c r="R18" s="118">
        <f t="shared" si="10"/>
        <v>85.454098790309345</v>
      </c>
      <c r="S18" s="118">
        <f t="shared" si="11"/>
        <v>96.003987529853703</v>
      </c>
      <c r="T18" s="118">
        <f t="shared" si="12"/>
        <v>107.33365065449487</v>
      </c>
      <c r="V18" s="16">
        <f t="shared" si="13"/>
        <v>2275.4556411739586</v>
      </c>
      <c r="W18" s="16">
        <f t="shared" si="14"/>
        <v>1761.6430770379036</v>
      </c>
      <c r="X18" s="16">
        <f t="shared" si="15"/>
        <v>1468.0358975315864</v>
      </c>
      <c r="Y18" s="16">
        <f t="shared" si="16"/>
        <v>1272.297777860708</v>
      </c>
      <c r="Z18" s="16">
        <f t="shared" si="17"/>
        <v>1132.4848352386525</v>
      </c>
      <c r="AA18" s="16">
        <f t="shared" si="18"/>
        <v>1012.9447692967942</v>
      </c>
      <c r="AC18" s="16">
        <f>0.5*'Gearing Calculator'!$C$15*'Gearing Calculator'!$C$20*'Gearing Calculator'!$U$20*(Forces!H18^2)</f>
        <v>14.824990072464242</v>
      </c>
      <c r="AD18" s="16">
        <f>0.5*'Gearing Calculator'!$C$15*'Gearing Calculator'!$C$20*'Gearing Calculator'!$U$20*(Forces!I18^2)</f>
        <v>24.734054617427319</v>
      </c>
      <c r="AE18" s="16">
        <f>0.5*'Gearing Calculator'!$C$15*'Gearing Calculator'!$C$20*'Gearing Calculator'!$U$20*(Forces!J18^2)</f>
        <v>35.617038649095342</v>
      </c>
      <c r="AF18" s="16">
        <f>0.5*'Gearing Calculator'!$C$15*'Gearing Calculator'!$C$20*'Gearing Calculator'!$U$20*(Forces!K18^2)</f>
        <v>47.419134296132853</v>
      </c>
      <c r="AG18" s="16">
        <f>0.5*'Gearing Calculator'!$C$15*'Gearing Calculator'!$C$20*'Gearing Calculator'!$U$20*(Forces!L18^2)</f>
        <v>59.850305000194481</v>
      </c>
      <c r="AH18" s="16">
        <f>0.5*'Gearing Calculator'!$C$15*'Gearing Calculator'!$C$20*'Gearing Calculator'!$U$20*(Forces!M18^2)</f>
        <v>74.809995062162088</v>
      </c>
      <c r="AJ18" s="16">
        <f t="shared" si="19"/>
        <v>2260.6306511014945</v>
      </c>
      <c r="AK18" s="16">
        <f t="shared" si="20"/>
        <v>1736.9090224204763</v>
      </c>
      <c r="AL18" s="16">
        <f t="shared" si="21"/>
        <v>1432.4188588824911</v>
      </c>
      <c r="AM18" s="16">
        <f t="shared" si="22"/>
        <v>1224.8786435645752</v>
      </c>
      <c r="AN18" s="16">
        <f t="shared" si="23"/>
        <v>1072.634530238458</v>
      </c>
      <c r="AO18" s="16">
        <f t="shared" si="24"/>
        <v>938.13477423463212</v>
      </c>
      <c r="AQ18" s="16">
        <f>0.5*'Gearing Calculator'!$C$15*'Gearing Calculator'!$C$20*'Gearing Calculator'!$W$20*(Forces!H18^2)</f>
        <v>18.64452899943101</v>
      </c>
      <c r="AR18" s="16">
        <f>0.5*'Gearing Calculator'!$C$15*'Gearing Calculator'!$C$20*'Gearing Calculator'!$W$20*(Forces!I18^2)</f>
        <v>31.106583973009027</v>
      </c>
      <c r="AS18" s="16">
        <f>0.5*'Gearing Calculator'!$C$15*'Gearing Calculator'!$C$20*'Gearing Calculator'!$W$20*(Forces!J18^2)</f>
        <v>44.793480921132996</v>
      </c>
      <c r="AT18" s="16">
        <f>0.5*'Gearing Calculator'!$C$15*'Gearing Calculator'!$C$20*'Gearing Calculator'!$W$20*(Forces!K18^2)</f>
        <v>59.636291167188915</v>
      </c>
      <c r="AU18" s="16">
        <f>0.5*'Gearing Calculator'!$C$15*'Gearing Calculator'!$C$20*'Gearing Calculator'!$W$20*(Forces!L18^2)</f>
        <v>75.270252576663793</v>
      </c>
      <c r="AV18" s="16">
        <f>0.5*'Gearing Calculator'!$C$15*'Gearing Calculator'!$C$20*'Gearing Calculator'!$W$20*(Forces!M18^2)</f>
        <v>94.084185929706024</v>
      </c>
      <c r="AX18" s="16">
        <f t="shared" si="25"/>
        <v>2256.8111121745278</v>
      </c>
      <c r="AY18" s="16">
        <f t="shared" si="26"/>
        <v>1730.5364930648946</v>
      </c>
      <c r="AZ18" s="16">
        <f t="shared" si="27"/>
        <v>1423.2424166104533</v>
      </c>
      <c r="BA18" s="16">
        <f t="shared" si="28"/>
        <v>1212.6614866935192</v>
      </c>
      <c r="BB18" s="16">
        <f t="shared" si="29"/>
        <v>1057.2145826619887</v>
      </c>
      <c r="BC18" s="16">
        <f t="shared" si="30"/>
        <v>918.86058336708822</v>
      </c>
    </row>
    <row r="19" spans="2:55" x14ac:dyDescent="0.25">
      <c r="B19" s="41">
        <v>6700</v>
      </c>
      <c r="C19" s="16">
        <v>41</v>
      </c>
      <c r="D19" s="65">
        <f t="shared" si="0"/>
        <v>30.573700000000002</v>
      </c>
      <c r="E19" s="16">
        <f t="shared" si="1"/>
        <v>30573.7</v>
      </c>
      <c r="F19" s="21">
        <f t="shared" si="2"/>
        <v>32.139104477611937</v>
      </c>
      <c r="H19" s="16">
        <v>13.473538258274399</v>
      </c>
      <c r="I19" s="64">
        <v>17.403320250271097</v>
      </c>
      <c r="J19" s="16">
        <v>20.883984300325313</v>
      </c>
      <c r="K19" s="64">
        <v>24.096904961913829</v>
      </c>
      <c r="L19" s="16">
        <v>27.071831500421705</v>
      </c>
      <c r="M19" s="16">
        <v>30.266643913514965</v>
      </c>
      <c r="O19" s="118">
        <f t="shared" si="7"/>
        <v>48.504737729787834</v>
      </c>
      <c r="P19" s="118">
        <f t="shared" si="8"/>
        <v>62.651952900975949</v>
      </c>
      <c r="Q19" s="118">
        <f t="shared" si="9"/>
        <v>75.182343481171131</v>
      </c>
      <c r="R19" s="118">
        <f t="shared" si="10"/>
        <v>86.748857862889793</v>
      </c>
      <c r="S19" s="118">
        <f t="shared" si="11"/>
        <v>97.458593401518144</v>
      </c>
      <c r="T19" s="118">
        <f t="shared" si="12"/>
        <v>108.95991808865388</v>
      </c>
      <c r="V19" s="16">
        <f t="shared" si="13"/>
        <v>2269.1663773785635</v>
      </c>
      <c r="W19" s="16">
        <f t="shared" si="14"/>
        <v>1756.7739695834043</v>
      </c>
      <c r="X19" s="16">
        <f t="shared" si="15"/>
        <v>1463.9783079861704</v>
      </c>
      <c r="Y19" s="16">
        <f t="shared" si="16"/>
        <v>1268.7812002546807</v>
      </c>
      <c r="Z19" s="16">
        <f t="shared" si="17"/>
        <v>1129.3546947321886</v>
      </c>
      <c r="AA19" s="16">
        <f t="shared" si="18"/>
        <v>1010.145032510457</v>
      </c>
      <c r="AC19" s="16">
        <f>0.5*'Gearing Calculator'!$C$15*'Gearing Calculator'!$C$20*'Gearing Calculator'!$U$20*(Forces!H19^2)</f>
        <v>15.277635545292005</v>
      </c>
      <c r="AD19" s="16">
        <f>0.5*'Gearing Calculator'!$C$15*'Gearing Calculator'!$C$20*'Gearing Calculator'!$U$20*(Forces!I19^2)</f>
        <v>25.48924958164169</v>
      </c>
      <c r="AE19" s="16">
        <f>0.5*'Gearing Calculator'!$C$15*'Gearing Calculator'!$C$20*'Gearing Calculator'!$U$20*(Forces!J19^2)</f>
        <v>36.704519397564027</v>
      </c>
      <c r="AF19" s="16">
        <f>0.5*'Gearing Calculator'!$C$15*'Gearing Calculator'!$C$20*'Gearing Calculator'!$U$20*(Forces!K19^2)</f>
        <v>48.866963694981713</v>
      </c>
      <c r="AG19" s="16">
        <f>0.5*'Gearing Calculator'!$C$15*'Gearing Calculator'!$C$20*'Gearing Calculator'!$U$20*(Forces!L19^2)</f>
        <v>61.677690345700881</v>
      </c>
      <c r="AH19" s="16">
        <f>0.5*'Gearing Calculator'!$C$15*'Gearing Calculator'!$C$20*'Gearing Calculator'!$U$20*(Forces!M19^2)</f>
        <v>77.094138621222584</v>
      </c>
      <c r="AJ19" s="16">
        <f t="shared" si="19"/>
        <v>2253.8887418332715</v>
      </c>
      <c r="AK19" s="16">
        <f t="shared" si="20"/>
        <v>1731.2847200017627</v>
      </c>
      <c r="AL19" s="16">
        <f t="shared" si="21"/>
        <v>1427.2737885886063</v>
      </c>
      <c r="AM19" s="16">
        <f t="shared" si="22"/>
        <v>1219.914236559699</v>
      </c>
      <c r="AN19" s="16">
        <f t="shared" si="23"/>
        <v>1067.6770043864876</v>
      </c>
      <c r="AO19" s="16">
        <f t="shared" si="24"/>
        <v>933.05089388923443</v>
      </c>
      <c r="AQ19" s="16">
        <f>0.5*'Gearing Calculator'!$C$15*'Gearing Calculator'!$C$20*'Gearing Calculator'!$W$20*(Forces!H19^2)</f>
        <v>19.213794921589944</v>
      </c>
      <c r="AR19" s="16">
        <f>0.5*'Gearing Calculator'!$C$15*'Gearing Calculator'!$C$20*'Gearing Calculator'!$W$20*(Forces!I19^2)</f>
        <v>32.056348818833214</v>
      </c>
      <c r="AS19" s="16">
        <f>0.5*'Gearing Calculator'!$C$15*'Gearing Calculator'!$C$20*'Gearing Calculator'!$W$20*(Forces!J19^2)</f>
        <v>46.161142299119817</v>
      </c>
      <c r="AT19" s="16">
        <f>0.5*'Gearing Calculator'!$C$15*'Gearing Calculator'!$C$20*'Gearing Calculator'!$W$20*(Forces!K19^2)</f>
        <v>61.457142114212807</v>
      </c>
      <c r="AU19" s="16">
        <f>0.5*'Gearing Calculator'!$C$15*'Gearing Calculator'!$C$20*'Gearing Calculator'!$W$20*(Forces!L19^2)</f>
        <v>77.568448993719883</v>
      </c>
      <c r="AV19" s="16">
        <f>0.5*'Gearing Calculator'!$C$15*'Gearing Calculator'!$C$20*'Gearing Calculator'!$W$20*(Forces!M19^2)</f>
        <v>96.956820624070318</v>
      </c>
      <c r="AX19" s="16">
        <f t="shared" si="25"/>
        <v>2249.9525824569737</v>
      </c>
      <c r="AY19" s="16">
        <f t="shared" si="26"/>
        <v>1724.7176207645712</v>
      </c>
      <c r="AZ19" s="16">
        <f t="shared" si="27"/>
        <v>1417.8171656870506</v>
      </c>
      <c r="BA19" s="16">
        <f t="shared" si="28"/>
        <v>1207.324058140468</v>
      </c>
      <c r="BB19" s="16">
        <f t="shared" si="29"/>
        <v>1051.7862457384688</v>
      </c>
      <c r="BC19" s="16">
        <f t="shared" si="30"/>
        <v>913.18821188638663</v>
      </c>
    </row>
    <row r="20" spans="2:55" x14ac:dyDescent="0.25">
      <c r="B20" s="41">
        <v>6800</v>
      </c>
      <c r="C20" s="16">
        <v>42</v>
      </c>
      <c r="D20" s="65">
        <f t="shared" si="0"/>
        <v>31.319400000000002</v>
      </c>
      <c r="E20" s="16">
        <f t="shared" si="1"/>
        <v>31319.4</v>
      </c>
      <c r="F20" s="21">
        <f t="shared" si="2"/>
        <v>32.438823529411764</v>
      </c>
      <c r="H20" s="16">
        <v>13.674635844218793</v>
      </c>
      <c r="I20" s="64">
        <v>17.663071298782612</v>
      </c>
      <c r="J20" s="16">
        <v>21.195685558539129</v>
      </c>
      <c r="K20" s="64">
        <v>24.456560259852846</v>
      </c>
      <c r="L20" s="16">
        <v>27.475888686995166</v>
      </c>
      <c r="M20" s="16">
        <v>30.71838486744802</v>
      </c>
      <c r="O20" s="118">
        <f t="shared" si="7"/>
        <v>49.228689039187657</v>
      </c>
      <c r="P20" s="118">
        <f t="shared" si="8"/>
        <v>63.587056675617404</v>
      </c>
      <c r="Q20" s="118">
        <f t="shared" si="9"/>
        <v>76.304468010740862</v>
      </c>
      <c r="R20" s="118">
        <f t="shared" si="10"/>
        <v>88.043616935470254</v>
      </c>
      <c r="S20" s="118">
        <f t="shared" si="11"/>
        <v>98.913199273182599</v>
      </c>
      <c r="T20" s="118">
        <f t="shared" si="12"/>
        <v>110.58618552281287</v>
      </c>
      <c r="V20" s="16">
        <f t="shared" si="13"/>
        <v>2290.327900266599</v>
      </c>
      <c r="W20" s="16">
        <f t="shared" si="14"/>
        <v>1773.1570840773668</v>
      </c>
      <c r="X20" s="16">
        <f t="shared" si="15"/>
        <v>1477.6309033978059</v>
      </c>
      <c r="Y20" s="16">
        <f t="shared" si="16"/>
        <v>1280.6134496114314</v>
      </c>
      <c r="Z20" s="16">
        <f t="shared" si="17"/>
        <v>1139.8866969068788</v>
      </c>
      <c r="AA20" s="16">
        <f t="shared" si="18"/>
        <v>1019.5653233444858</v>
      </c>
      <c r="AC20" s="16">
        <f>0.5*'Gearing Calculator'!$C$15*'Gearing Calculator'!$C$20*'Gearing Calculator'!$U$20*(Forces!H20^2)</f>
        <v>15.737087716959286</v>
      </c>
      <c r="AD20" s="16">
        <f>0.5*'Gearing Calculator'!$C$15*'Gearing Calculator'!$C$20*'Gearing Calculator'!$U$20*(Forces!I20^2)</f>
        <v>26.255800861107431</v>
      </c>
      <c r="AE20" s="16">
        <f>0.5*'Gearing Calculator'!$C$15*'Gearing Calculator'!$C$20*'Gearing Calculator'!$U$20*(Forces!J20^2)</f>
        <v>37.80835323999468</v>
      </c>
      <c r="AF20" s="16">
        <f>0.5*'Gearing Calculator'!$C$15*'Gearing Calculator'!$C$20*'Gearing Calculator'!$U$20*(Forces!K20^2)</f>
        <v>50.33656496448998</v>
      </c>
      <c r="AG20" s="16">
        <f>0.5*'Gearing Calculator'!$C$15*'Gearing Calculator'!$C$20*'Gearing Calculator'!$U$20*(Forces!L20^2)</f>
        <v>63.532555170087086</v>
      </c>
      <c r="AH20" s="16">
        <f>0.5*'Gearing Calculator'!$C$15*'Gearing Calculator'!$C$20*'Gearing Calculator'!$U$20*(Forces!M20^2)</f>
        <v>79.412630203727574</v>
      </c>
      <c r="AJ20" s="16">
        <f t="shared" si="19"/>
        <v>2274.5908125496398</v>
      </c>
      <c r="AK20" s="16">
        <f t="shared" si="20"/>
        <v>1746.9012832162593</v>
      </c>
      <c r="AL20" s="16">
        <f t="shared" si="21"/>
        <v>1439.8225501578113</v>
      </c>
      <c r="AM20" s="16">
        <f t="shared" si="22"/>
        <v>1230.2768846469414</v>
      </c>
      <c r="AN20" s="16">
        <f t="shared" si="23"/>
        <v>1076.3541417367917</v>
      </c>
      <c r="AO20" s="16">
        <f t="shared" si="24"/>
        <v>940.15269314075829</v>
      </c>
      <c r="AQ20" s="16">
        <f>0.5*'Gearing Calculator'!$C$15*'Gearing Calculator'!$C$20*'Gearing Calculator'!$W$20*(Forces!H20^2)</f>
        <v>19.79162123355578</v>
      </c>
      <c r="AR20" s="16">
        <f>0.5*'Gearing Calculator'!$C$15*'Gearing Calculator'!$C$20*'Gearing Calculator'!$W$20*(Forces!I20^2)</f>
        <v>33.02039584279013</v>
      </c>
      <c r="AS20" s="16">
        <f>0.5*'Gearing Calculator'!$C$15*'Gearing Calculator'!$C$20*'Gearing Calculator'!$W$20*(Forces!J20^2)</f>
        <v>47.549370013617768</v>
      </c>
      <c r="AT20" s="16">
        <f>0.5*'Gearing Calculator'!$C$15*'Gearing Calculator'!$C$20*'Gearing Calculator'!$W$20*(Forces!K20^2)</f>
        <v>63.305374278485218</v>
      </c>
      <c r="AU20" s="16">
        <f>0.5*'Gearing Calculator'!$C$15*'Gearing Calculator'!$C$20*'Gearing Calculator'!$W$20*(Forces!L20^2)</f>
        <v>79.901204755393366</v>
      </c>
      <c r="AV20" s="16">
        <f>0.5*'Gearing Calculator'!$C$15*'Gearing Calculator'!$C$20*'Gearing Calculator'!$W$20*(Forces!M20^2)</f>
        <v>99.872652832635552</v>
      </c>
      <c r="AX20" s="16">
        <f t="shared" si="25"/>
        <v>2270.5362790330432</v>
      </c>
      <c r="AY20" s="16">
        <f t="shared" si="26"/>
        <v>1740.1366882345767</v>
      </c>
      <c r="AZ20" s="16">
        <f t="shared" si="27"/>
        <v>1430.0815333841881</v>
      </c>
      <c r="BA20" s="16">
        <f t="shared" si="28"/>
        <v>1217.3080753329461</v>
      </c>
      <c r="BB20" s="16">
        <f t="shared" si="29"/>
        <v>1059.9854921514855</v>
      </c>
      <c r="BC20" s="16">
        <f t="shared" si="30"/>
        <v>919.69267051185022</v>
      </c>
    </row>
    <row r="21" spans="2:55" x14ac:dyDescent="0.25">
      <c r="B21" s="41">
        <v>6900</v>
      </c>
      <c r="C21" s="16">
        <v>43</v>
      </c>
      <c r="D21" s="65">
        <f t="shared" si="0"/>
        <v>32.065100000000001</v>
      </c>
      <c r="E21" s="16">
        <f t="shared" si="1"/>
        <v>32065.100000000002</v>
      </c>
      <c r="F21" s="21">
        <f t="shared" si="2"/>
        <v>32.729855072463771</v>
      </c>
      <c r="H21" s="16">
        <v>13.875733430163189</v>
      </c>
      <c r="I21" s="64">
        <v>17.922822347294119</v>
      </c>
      <c r="J21" s="16">
        <v>21.507386816752941</v>
      </c>
      <c r="K21" s="64">
        <v>24.81621555779185</v>
      </c>
      <c r="L21" s="16">
        <v>27.879945873568623</v>
      </c>
      <c r="M21" s="16">
        <v>31.170125821381081</v>
      </c>
      <c r="O21" s="118">
        <f t="shared" si="7"/>
        <v>49.952640348587479</v>
      </c>
      <c r="P21" s="118">
        <f t="shared" si="8"/>
        <v>64.522160450258824</v>
      </c>
      <c r="Q21" s="118">
        <f t="shared" si="9"/>
        <v>77.426592540310594</v>
      </c>
      <c r="R21" s="118">
        <f t="shared" si="10"/>
        <v>89.338376008050659</v>
      </c>
      <c r="S21" s="118">
        <f t="shared" si="11"/>
        <v>100.36780514484704</v>
      </c>
      <c r="T21" s="118">
        <f t="shared" si="12"/>
        <v>112.21245295697189</v>
      </c>
      <c r="V21" s="16">
        <f t="shared" si="13"/>
        <v>2310.8760456796185</v>
      </c>
      <c r="W21" s="16">
        <f t="shared" si="14"/>
        <v>1789.0653256874468</v>
      </c>
      <c r="X21" s="16">
        <f t="shared" si="15"/>
        <v>1490.8877714062057</v>
      </c>
      <c r="Y21" s="16">
        <f t="shared" si="16"/>
        <v>1292.102735218712</v>
      </c>
      <c r="Z21" s="16">
        <f t="shared" si="17"/>
        <v>1150.1134236562161</v>
      </c>
      <c r="AA21" s="16">
        <f t="shared" si="18"/>
        <v>1028.7125622702818</v>
      </c>
      <c r="AC21" s="16">
        <f>0.5*'Gearing Calculator'!$C$15*'Gearing Calculator'!$C$20*'Gearing Calculator'!$U$20*(Forces!H21^2)</f>
        <v>16.203346587466086</v>
      </c>
      <c r="AD21" s="16">
        <f>0.5*'Gearing Calculator'!$C$15*'Gearing Calculator'!$C$20*'Gearing Calculator'!$U$20*(Forces!I21^2)</f>
        <v>27.033708455824492</v>
      </c>
      <c r="AE21" s="16">
        <f>0.5*'Gearing Calculator'!$C$15*'Gearing Calculator'!$C$20*'Gearing Calculator'!$U$20*(Forces!J21^2)</f>
        <v>38.928540176387266</v>
      </c>
      <c r="AF21" s="16">
        <f>0.5*'Gearing Calculator'!$C$15*'Gearing Calculator'!$C$20*'Gearing Calculator'!$U$20*(Forces!K21^2)</f>
        <v>51.827938104657584</v>
      </c>
      <c r="AG21" s="16">
        <f>0.5*'Gearing Calculator'!$C$15*'Gearing Calculator'!$C$20*'Gearing Calculator'!$U$20*(Forces!L21^2)</f>
        <v>65.41489947335306</v>
      </c>
      <c r="AH21" s="16">
        <f>0.5*'Gearing Calculator'!$C$15*'Gearing Calculator'!$C$20*'Gearing Calculator'!$U$20*(Forces!M21^2)</f>
        <v>81.765469809677128</v>
      </c>
      <c r="AJ21" s="16">
        <f t="shared" si="19"/>
        <v>2294.6726990921525</v>
      </c>
      <c r="AK21" s="16">
        <f t="shared" si="20"/>
        <v>1762.0316172316222</v>
      </c>
      <c r="AL21" s="16">
        <f t="shared" si="21"/>
        <v>1451.9592312298184</v>
      </c>
      <c r="AM21" s="16">
        <f t="shared" si="22"/>
        <v>1240.2747971140545</v>
      </c>
      <c r="AN21" s="16">
        <f t="shared" si="23"/>
        <v>1084.6985241828631</v>
      </c>
      <c r="AO21" s="16">
        <f t="shared" si="24"/>
        <v>946.94709246060461</v>
      </c>
      <c r="AQ21" s="16">
        <f>0.5*'Gearing Calculator'!$C$15*'Gearing Calculator'!$C$20*'Gearing Calculator'!$W$20*(Forces!H21^2)</f>
        <v>20.378007935328526</v>
      </c>
      <c r="AR21" s="16">
        <f>0.5*'Gearing Calculator'!$C$15*'Gearing Calculator'!$C$20*'Gearing Calculator'!$W$20*(Forces!I21^2)</f>
        <v>33.998725044879706</v>
      </c>
      <c r="AS21" s="16">
        <f>0.5*'Gearing Calculator'!$C$15*'Gearing Calculator'!$C$20*'Gearing Calculator'!$W$20*(Forces!J21^2)</f>
        <v>48.958164064626779</v>
      </c>
      <c r="AT21" s="16">
        <f>0.5*'Gearing Calculator'!$C$15*'Gearing Calculator'!$C$20*'Gearing Calculator'!$W$20*(Forces!K21^2)</f>
        <v>65.180987660006039</v>
      </c>
      <c r="AU21" s="16">
        <f>0.5*'Gearing Calculator'!$C$15*'Gearing Calculator'!$C$20*'Gearing Calculator'!$W$20*(Forces!L21^2)</f>
        <v>82.268519861684197</v>
      </c>
      <c r="AV21" s="16">
        <f>0.5*'Gearing Calculator'!$C$15*'Gearing Calculator'!$C$20*'Gearing Calculator'!$W$20*(Forces!M21^2)</f>
        <v>102.8316825554018</v>
      </c>
      <c r="AX21" s="16">
        <f t="shared" si="25"/>
        <v>2290.4980377442898</v>
      </c>
      <c r="AY21" s="16">
        <f t="shared" si="26"/>
        <v>1755.0666006425672</v>
      </c>
      <c r="AZ21" s="16">
        <f t="shared" si="27"/>
        <v>1441.929607341579</v>
      </c>
      <c r="BA21" s="16">
        <f t="shared" si="28"/>
        <v>1226.9217475587061</v>
      </c>
      <c r="BB21" s="16">
        <f t="shared" si="29"/>
        <v>1067.844903794532</v>
      </c>
      <c r="BC21" s="16">
        <f t="shared" si="30"/>
        <v>925.88087971487994</v>
      </c>
    </row>
    <row r="22" spans="2:55" x14ac:dyDescent="0.25">
      <c r="B22" s="41">
        <v>7000</v>
      </c>
      <c r="C22" s="16">
        <v>44</v>
      </c>
      <c r="D22" s="65">
        <f t="shared" si="0"/>
        <v>32.8108</v>
      </c>
      <c r="E22" s="16">
        <f t="shared" si="1"/>
        <v>32810.800000000003</v>
      </c>
      <c r="F22" s="21">
        <f t="shared" si="2"/>
        <v>33.012571428571427</v>
      </c>
      <c r="H22" s="16">
        <v>14.07683101610758</v>
      </c>
      <c r="I22" s="64">
        <v>18.182573395805626</v>
      </c>
      <c r="J22" s="16">
        <v>21.819088074966754</v>
      </c>
      <c r="K22" s="64">
        <v>25.175870855730867</v>
      </c>
      <c r="L22" s="16">
        <v>28.284003060142084</v>
      </c>
      <c r="M22" s="16">
        <v>31.621866775314142</v>
      </c>
      <c r="O22" s="118">
        <f t="shared" si="7"/>
        <v>50.676591657987288</v>
      </c>
      <c r="P22" s="118">
        <f t="shared" si="8"/>
        <v>65.457264224900257</v>
      </c>
      <c r="Q22" s="118">
        <f t="shared" si="9"/>
        <v>78.548717069880311</v>
      </c>
      <c r="R22" s="118">
        <f t="shared" si="10"/>
        <v>90.633135080631121</v>
      </c>
      <c r="S22" s="118">
        <f t="shared" si="11"/>
        <v>101.82241101651151</v>
      </c>
      <c r="T22" s="118">
        <f t="shared" si="12"/>
        <v>113.83872039113092</v>
      </c>
      <c r="V22" s="16">
        <f t="shared" si="13"/>
        <v>2330.8371012236958</v>
      </c>
      <c r="W22" s="16">
        <f t="shared" si="14"/>
        <v>1804.5190461086675</v>
      </c>
      <c r="X22" s="16">
        <f t="shared" si="15"/>
        <v>1503.7658717572228</v>
      </c>
      <c r="Y22" s="16">
        <f t="shared" si="16"/>
        <v>1303.2637555229264</v>
      </c>
      <c r="Z22" s="16">
        <f t="shared" si="17"/>
        <v>1160.0479582127148</v>
      </c>
      <c r="AA22" s="16">
        <f t="shared" si="18"/>
        <v>1037.5984515124835</v>
      </c>
      <c r="AC22" s="16">
        <f>0.5*'Gearing Calculator'!$C$15*'Gearing Calculator'!$C$20*'Gearing Calculator'!$U$20*(Forces!H22^2)</f>
        <v>16.67641215681239</v>
      </c>
      <c r="AD22" s="16">
        <f>0.5*'Gearing Calculator'!$C$15*'Gearing Calculator'!$C$20*'Gearing Calculator'!$U$20*(Forces!I22^2)</f>
        <v>27.8229723657929</v>
      </c>
      <c r="AE22" s="16">
        <f>0.5*'Gearing Calculator'!$C$15*'Gearing Calculator'!$C$20*'Gearing Calculator'!$U$20*(Forces!J22^2)</f>
        <v>40.065080206741783</v>
      </c>
      <c r="AF22" s="16">
        <f>0.5*'Gearing Calculator'!$C$15*'Gearing Calculator'!$C$20*'Gearing Calculator'!$U$20*(Forces!K22^2)</f>
        <v>53.341083115484608</v>
      </c>
      <c r="AG22" s="16">
        <f>0.5*'Gearing Calculator'!$C$15*'Gearing Calculator'!$C$20*'Gearing Calculator'!$U$20*(Forces!L22^2)</f>
        <v>67.324723255498867</v>
      </c>
      <c r="AH22" s="16">
        <f>0.5*'Gearing Calculator'!$C$15*'Gearing Calculator'!$C$20*'Gearing Calculator'!$U$20*(Forces!M22^2)</f>
        <v>84.152657439071206</v>
      </c>
      <c r="AJ22" s="16">
        <f t="shared" si="19"/>
        <v>2314.1606890668832</v>
      </c>
      <c r="AK22" s="16">
        <f t="shared" si="20"/>
        <v>1776.6960737428747</v>
      </c>
      <c r="AL22" s="16">
        <f t="shared" si="21"/>
        <v>1463.700791550481</v>
      </c>
      <c r="AM22" s="16">
        <f t="shared" si="22"/>
        <v>1249.9226724074417</v>
      </c>
      <c r="AN22" s="16">
        <f t="shared" si="23"/>
        <v>1092.7232349572159</v>
      </c>
      <c r="AO22" s="16">
        <f t="shared" si="24"/>
        <v>953.44579407341234</v>
      </c>
      <c r="AQ22" s="16">
        <f>0.5*'Gearing Calculator'!$C$15*'Gearing Calculator'!$C$20*'Gearing Calculator'!$W$20*(Forces!H22^2)</f>
        <v>20.972955026908156</v>
      </c>
      <c r="AR22" s="16">
        <f>0.5*'Gearing Calculator'!$C$15*'Gearing Calculator'!$C$20*'Gearing Calculator'!$W$20*(Forces!I22^2)</f>
        <v>34.991336425101984</v>
      </c>
      <c r="AS22" s="16">
        <f>0.5*'Gearing Calculator'!$C$15*'Gearing Calculator'!$C$20*'Gearing Calculator'!$W$20*(Forces!J22^2)</f>
        <v>50.38752445214687</v>
      </c>
      <c r="AT22" s="16">
        <f>0.5*'Gearing Calculator'!$C$15*'Gearing Calculator'!$C$20*'Gearing Calculator'!$W$20*(Forces!K22^2)</f>
        <v>67.083982258775407</v>
      </c>
      <c r="AU22" s="16">
        <f>0.5*'Gearing Calculator'!$C$15*'Gearing Calculator'!$C$20*'Gearing Calculator'!$W$20*(Forces!L22^2)</f>
        <v>84.67039431259245</v>
      </c>
      <c r="AV22" s="16">
        <f>0.5*'Gearing Calculator'!$C$15*'Gearing Calculator'!$C$20*'Gearing Calculator'!$W$20*(Forces!M22^2)</f>
        <v>105.83390979236901</v>
      </c>
      <c r="AX22" s="16">
        <f t="shared" si="25"/>
        <v>2309.8641461967877</v>
      </c>
      <c r="AY22" s="16">
        <f t="shared" si="26"/>
        <v>1769.5277096835655</v>
      </c>
      <c r="AZ22" s="16">
        <f t="shared" si="27"/>
        <v>1453.378347305076</v>
      </c>
      <c r="BA22" s="16">
        <f t="shared" si="28"/>
        <v>1236.179773264151</v>
      </c>
      <c r="BB22" s="16">
        <f t="shared" si="29"/>
        <v>1075.3775639001224</v>
      </c>
      <c r="BC22" s="16">
        <f t="shared" si="30"/>
        <v>931.76454172011449</v>
      </c>
    </row>
    <row r="23" spans="2:55" x14ac:dyDescent="0.25">
      <c r="B23" s="41">
        <v>7100</v>
      </c>
      <c r="C23" s="16">
        <v>44.5</v>
      </c>
      <c r="D23" s="65">
        <f t="shared" si="0"/>
        <v>33.18365</v>
      </c>
      <c r="E23" s="16">
        <f t="shared" si="1"/>
        <v>33183.65</v>
      </c>
      <c r="F23" s="21">
        <f t="shared" si="2"/>
        <v>32.917464788732396</v>
      </c>
      <c r="H23" s="16">
        <v>14.277928602051976</v>
      </c>
      <c r="I23" s="64">
        <v>18.44232444431713</v>
      </c>
      <c r="J23" s="16">
        <v>22.130789333180562</v>
      </c>
      <c r="K23" s="64">
        <v>25.535526153669881</v>
      </c>
      <c r="L23" s="16">
        <v>28.688060246715541</v>
      </c>
      <c r="M23" s="16">
        <v>32.073607729247193</v>
      </c>
      <c r="O23" s="118">
        <f t="shared" si="7"/>
        <v>51.400542967387111</v>
      </c>
      <c r="P23" s="118">
        <f t="shared" si="8"/>
        <v>66.392367999541676</v>
      </c>
      <c r="Q23" s="118">
        <f t="shared" si="9"/>
        <v>79.670841599450029</v>
      </c>
      <c r="R23" s="118">
        <f t="shared" si="10"/>
        <v>91.927894153211568</v>
      </c>
      <c r="S23" s="118">
        <f t="shared" si="11"/>
        <v>103.27701688817595</v>
      </c>
      <c r="T23" s="118">
        <f t="shared" si="12"/>
        <v>115.4649878252899</v>
      </c>
      <c r="V23" s="16">
        <f t="shared" si="13"/>
        <v>2324.1221415850869</v>
      </c>
      <c r="W23" s="16">
        <f t="shared" si="14"/>
        <v>1799.3203676787773</v>
      </c>
      <c r="X23" s="16">
        <f t="shared" si="15"/>
        <v>1499.4336397323141</v>
      </c>
      <c r="Y23" s="16">
        <f t="shared" si="16"/>
        <v>1299.5091544346722</v>
      </c>
      <c r="Z23" s="16">
        <f t="shared" si="17"/>
        <v>1156.7059506506423</v>
      </c>
      <c r="AA23" s="16">
        <f t="shared" si="18"/>
        <v>1034.6092114152966</v>
      </c>
      <c r="AC23" s="16">
        <f>0.5*'Gearing Calculator'!$C$15*'Gearing Calculator'!$C$20*'Gearing Calculator'!$U$20*(Forces!H23^2)</f>
        <v>17.156284424998219</v>
      </c>
      <c r="AD23" s="16">
        <f>0.5*'Gearing Calculator'!$C$15*'Gearing Calculator'!$C$20*'Gearing Calculator'!$U$20*(Forces!I23^2)</f>
        <v>28.623592591012635</v>
      </c>
      <c r="AE23" s="16">
        <f>0.5*'Gearing Calculator'!$C$15*'Gearing Calculator'!$C$20*'Gearing Calculator'!$U$20*(Forces!J23^2)</f>
        <v>41.217973331058218</v>
      </c>
      <c r="AF23" s="16">
        <f>0.5*'Gearing Calculator'!$C$15*'Gearing Calculator'!$C$20*'Gearing Calculator'!$U$20*(Forces!K23^2)</f>
        <v>54.875999996971011</v>
      </c>
      <c r="AG23" s="16">
        <f>0.5*'Gearing Calculator'!$C$15*'Gearing Calculator'!$C$20*'Gearing Calculator'!$U$20*(Forces!L23^2)</f>
        <v>69.262026516524429</v>
      </c>
      <c r="AH23" s="16">
        <f>0.5*'Gearing Calculator'!$C$15*'Gearing Calculator'!$C$20*'Gearing Calculator'!$U$20*(Forces!M23^2)</f>
        <v>86.574193091909734</v>
      </c>
      <c r="AJ23" s="16">
        <f t="shared" si="19"/>
        <v>2306.9658571600885</v>
      </c>
      <c r="AK23" s="16">
        <f t="shared" si="20"/>
        <v>1770.6967750877648</v>
      </c>
      <c r="AL23" s="16">
        <f t="shared" si="21"/>
        <v>1458.2156664012559</v>
      </c>
      <c r="AM23" s="16">
        <f t="shared" si="22"/>
        <v>1244.6331544377013</v>
      </c>
      <c r="AN23" s="16">
        <f t="shared" si="23"/>
        <v>1087.4439241341179</v>
      </c>
      <c r="AO23" s="16">
        <f t="shared" si="24"/>
        <v>948.03501832338691</v>
      </c>
      <c r="AQ23" s="16">
        <f>0.5*'Gearing Calculator'!$C$15*'Gearing Calculator'!$C$20*'Gearing Calculator'!$W$20*(Forces!H23^2)</f>
        <v>21.576462508294703</v>
      </c>
      <c r="AR23" s="16">
        <f>0.5*'Gearing Calculator'!$C$15*'Gearing Calculator'!$C$20*'Gearing Calculator'!$W$20*(Forces!I23^2)</f>
        <v>35.998229983456937</v>
      </c>
      <c r="AS23" s="16">
        <f>0.5*'Gearing Calculator'!$C$15*'Gearing Calculator'!$C$20*'Gearing Calculator'!$W$20*(Forces!J23^2)</f>
        <v>51.837451176178021</v>
      </c>
      <c r="AT23" s="16">
        <f>0.5*'Gearing Calculator'!$C$15*'Gearing Calculator'!$C$20*'Gearing Calculator'!$W$20*(Forces!K23^2)</f>
        <v>69.014358074793236</v>
      </c>
      <c r="AU23" s="16">
        <f>0.5*'Gearing Calculator'!$C$15*'Gearing Calculator'!$C$20*'Gearing Calculator'!$W$20*(Forces!L23^2)</f>
        <v>87.106828108118052</v>
      </c>
      <c r="AV23" s="16">
        <f>0.5*'Gearing Calculator'!$C$15*'Gearing Calculator'!$C$20*'Gearing Calculator'!$W$20*(Forces!M23^2)</f>
        <v>108.87933454353714</v>
      </c>
      <c r="AX23" s="16">
        <f t="shared" si="25"/>
        <v>2302.5456790767921</v>
      </c>
      <c r="AY23" s="16">
        <f t="shared" si="26"/>
        <v>1763.3221376953204</v>
      </c>
      <c r="AZ23" s="16">
        <f t="shared" si="27"/>
        <v>1447.596188556136</v>
      </c>
      <c r="BA23" s="16">
        <f t="shared" si="28"/>
        <v>1230.4947963598788</v>
      </c>
      <c r="BB23" s="16">
        <f t="shared" si="29"/>
        <v>1069.5991225425244</v>
      </c>
      <c r="BC23" s="16">
        <f t="shared" si="30"/>
        <v>925.72987687175942</v>
      </c>
    </row>
    <row r="24" spans="2:55" x14ac:dyDescent="0.25">
      <c r="B24" s="41">
        <v>7200</v>
      </c>
      <c r="C24" s="16">
        <v>45</v>
      </c>
      <c r="D24" s="65">
        <f t="shared" si="0"/>
        <v>33.5565</v>
      </c>
      <c r="E24" s="16">
        <f t="shared" si="1"/>
        <v>33556.5</v>
      </c>
      <c r="F24" s="21">
        <f t="shared" si="2"/>
        <v>32.825000000000003</v>
      </c>
      <c r="H24" s="16">
        <v>14.47902618799637</v>
      </c>
      <c r="I24" s="64">
        <v>18.702075492828644</v>
      </c>
      <c r="J24" s="16">
        <v>22.442490591394371</v>
      </c>
      <c r="K24" s="64">
        <v>25.895181451608888</v>
      </c>
      <c r="L24" s="16">
        <v>29.092117433289005</v>
      </c>
      <c r="M24" s="16">
        <v>32.525348683180255</v>
      </c>
      <c r="O24" s="118">
        <f t="shared" si="7"/>
        <v>52.124494276786933</v>
      </c>
      <c r="P24" s="118">
        <f t="shared" si="8"/>
        <v>67.327471774183124</v>
      </c>
      <c r="Q24" s="118">
        <f t="shared" si="9"/>
        <v>80.792966129019732</v>
      </c>
      <c r="R24" s="118">
        <f t="shared" si="10"/>
        <v>93.222653225792001</v>
      </c>
      <c r="S24" s="118">
        <f t="shared" si="11"/>
        <v>104.73162275984042</v>
      </c>
      <c r="T24" s="118">
        <f t="shared" si="12"/>
        <v>117.09125525944891</v>
      </c>
      <c r="V24" s="16">
        <f t="shared" si="13"/>
        <v>2317.5937086031063</v>
      </c>
      <c r="W24" s="16">
        <f t="shared" si="14"/>
        <v>1794.2660969830499</v>
      </c>
      <c r="X24" s="16">
        <f t="shared" si="15"/>
        <v>1495.2217474858751</v>
      </c>
      <c r="Y24" s="16">
        <f t="shared" si="16"/>
        <v>1295.8588478210918</v>
      </c>
      <c r="Z24" s="16">
        <f t="shared" si="17"/>
        <v>1153.4567766319606</v>
      </c>
      <c r="AA24" s="16">
        <f t="shared" si="18"/>
        <v>1031.7030057652535</v>
      </c>
      <c r="AC24" s="16">
        <f>0.5*'Gearing Calculator'!$C$15*'Gearing Calculator'!$C$20*'Gearing Calculator'!$U$20*(Forces!H24^2)</f>
        <v>17.64296339202356</v>
      </c>
      <c r="AD24" s="16">
        <f>0.5*'Gearing Calculator'!$C$15*'Gearing Calculator'!$C$20*'Gearing Calculator'!$U$20*(Forces!I24^2)</f>
        <v>29.435569131483753</v>
      </c>
      <c r="AE24" s="16">
        <f>0.5*'Gearing Calculator'!$C$15*'Gearing Calculator'!$C$20*'Gearing Calculator'!$U$20*(Forces!J24^2)</f>
        <v>42.387219549336599</v>
      </c>
      <c r="AF24" s="16">
        <f>0.5*'Gearing Calculator'!$C$15*'Gearing Calculator'!$C$20*'Gearing Calculator'!$U$20*(Forces!K24^2)</f>
        <v>56.432688749116764</v>
      </c>
      <c r="AG24" s="16">
        <f>0.5*'Gearing Calculator'!$C$15*'Gearing Calculator'!$C$20*'Gearing Calculator'!$U$20*(Forces!L24^2)</f>
        <v>71.226809256429831</v>
      </c>
      <c r="AH24" s="16">
        <f>0.5*'Gearing Calculator'!$C$15*'Gearing Calculator'!$C$20*'Gearing Calculator'!$U$20*(Forces!M24^2)</f>
        <v>89.030076768192842</v>
      </c>
      <c r="AJ24" s="16">
        <f t="shared" si="19"/>
        <v>2299.9507452110829</v>
      </c>
      <c r="AK24" s="16">
        <f t="shared" si="20"/>
        <v>1764.8305278515661</v>
      </c>
      <c r="AL24" s="16">
        <f t="shared" si="21"/>
        <v>1452.8345279365385</v>
      </c>
      <c r="AM24" s="16">
        <f t="shared" si="22"/>
        <v>1239.426159071975</v>
      </c>
      <c r="AN24" s="16">
        <f t="shared" si="23"/>
        <v>1082.2299673755308</v>
      </c>
      <c r="AO24" s="16">
        <f t="shared" si="24"/>
        <v>942.67292899706058</v>
      </c>
      <c r="AQ24" s="16">
        <f>0.5*'Gearing Calculator'!$C$15*'Gearing Calculator'!$C$20*'Gearing Calculator'!$W$20*(Forces!H24^2)</f>
        <v>22.188530379488146</v>
      </c>
      <c r="AR24" s="16">
        <f>0.5*'Gearing Calculator'!$C$15*'Gearing Calculator'!$C$20*'Gearing Calculator'!$W$20*(Forces!I24^2)</f>
        <v>37.019405719944629</v>
      </c>
      <c r="AS24" s="16">
        <f>0.5*'Gearing Calculator'!$C$15*'Gearing Calculator'!$C$20*'Gearing Calculator'!$W$20*(Forces!J24^2)</f>
        <v>53.30794423672026</v>
      </c>
      <c r="AT24" s="16">
        <f>0.5*'Gearing Calculator'!$C$15*'Gearing Calculator'!$C$20*'Gearing Calculator'!$W$20*(Forces!K24^2)</f>
        <v>70.972115108059498</v>
      </c>
      <c r="AU24" s="16">
        <f>0.5*'Gearing Calculator'!$C$15*'Gearing Calculator'!$C$20*'Gearing Calculator'!$W$20*(Forces!L24^2)</f>
        <v>89.577821248261102</v>
      </c>
      <c r="AV24" s="16">
        <f>0.5*'Gearing Calculator'!$C$15*'Gearing Calculator'!$C$20*'Gearing Calculator'!$W$20*(Forces!M24^2)</f>
        <v>111.96795680890628</v>
      </c>
      <c r="AX24" s="16">
        <f t="shared" si="25"/>
        <v>2295.4051782236183</v>
      </c>
      <c r="AY24" s="16">
        <f t="shared" si="26"/>
        <v>1757.2466912631053</v>
      </c>
      <c r="AZ24" s="16">
        <f t="shared" si="27"/>
        <v>1441.9138032491549</v>
      </c>
      <c r="BA24" s="16">
        <f t="shared" si="28"/>
        <v>1224.8867327130322</v>
      </c>
      <c r="BB24" s="16">
        <f t="shared" si="29"/>
        <v>1063.8789553836996</v>
      </c>
      <c r="BC24" s="16">
        <f t="shared" si="30"/>
        <v>919.73504895634721</v>
      </c>
    </row>
    <row r="25" spans="2:55" x14ac:dyDescent="0.25">
      <c r="B25" s="41">
        <v>7300</v>
      </c>
      <c r="C25" s="16">
        <v>46</v>
      </c>
      <c r="D25" s="65">
        <f t="shared" si="0"/>
        <v>34.302199999999999</v>
      </c>
      <c r="E25" s="16">
        <f t="shared" si="1"/>
        <v>34302.199999999997</v>
      </c>
      <c r="F25" s="21">
        <f t="shared" si="2"/>
        <v>33.094794520547943</v>
      </c>
      <c r="H25" s="16">
        <v>14.680123773940766</v>
      </c>
      <c r="I25" s="64">
        <v>18.961826541340155</v>
      </c>
      <c r="J25" s="16">
        <v>22.75419184960818</v>
      </c>
      <c r="K25" s="64">
        <v>26.254836749547906</v>
      </c>
      <c r="L25" s="16">
        <v>29.496174619862451</v>
      </c>
      <c r="M25" s="16">
        <v>32.977089637113309</v>
      </c>
      <c r="O25" s="118">
        <f t="shared" si="7"/>
        <v>52.848445586186756</v>
      </c>
      <c r="P25" s="118">
        <f t="shared" si="8"/>
        <v>68.262575548824557</v>
      </c>
      <c r="Q25" s="118">
        <f t="shared" si="9"/>
        <v>81.915090658589449</v>
      </c>
      <c r="R25" s="118">
        <f t="shared" si="10"/>
        <v>94.517412298372463</v>
      </c>
      <c r="S25" s="118">
        <f t="shared" si="11"/>
        <v>106.18622863150483</v>
      </c>
      <c r="T25" s="118">
        <f t="shared" si="12"/>
        <v>118.71752269360792</v>
      </c>
      <c r="V25" s="16">
        <f t="shared" si="13"/>
        <v>2336.6424240162819</v>
      </c>
      <c r="W25" s="16">
        <f t="shared" si="14"/>
        <v>1809.0134895609924</v>
      </c>
      <c r="X25" s="16">
        <f t="shared" si="15"/>
        <v>1507.5112413008274</v>
      </c>
      <c r="Y25" s="16">
        <f t="shared" si="16"/>
        <v>1306.5097424607168</v>
      </c>
      <c r="Z25" s="16">
        <f t="shared" si="17"/>
        <v>1162.9372432892098</v>
      </c>
      <c r="AA25" s="16">
        <f t="shared" si="18"/>
        <v>1040.1827564975708</v>
      </c>
      <c r="AC25" s="16">
        <f>0.5*'Gearing Calculator'!$C$15*'Gearing Calculator'!$C$20*'Gearing Calculator'!$U$20*(Forces!H25^2)</f>
        <v>18.136449057888424</v>
      </c>
      <c r="AD25" s="16">
        <f>0.5*'Gearing Calculator'!$C$15*'Gearing Calculator'!$C$20*'Gearing Calculator'!$U$20*(Forces!I25^2)</f>
        <v>30.258901987206201</v>
      </c>
      <c r="AE25" s="16">
        <f>0.5*'Gearing Calculator'!$C$15*'Gearing Calculator'!$C$20*'Gearing Calculator'!$U$20*(Forces!J25^2)</f>
        <v>43.572818861576913</v>
      </c>
      <c r="AF25" s="16">
        <f>0.5*'Gearing Calculator'!$C$15*'Gearing Calculator'!$C$20*'Gearing Calculator'!$U$20*(Forces!K25^2)</f>
        <v>58.011149371921938</v>
      </c>
      <c r="AG25" s="16">
        <f>0.5*'Gearing Calculator'!$C$15*'Gearing Calculator'!$C$20*'Gearing Calculator'!$U$20*(Forces!L25^2)</f>
        <v>73.219071475214946</v>
      </c>
      <c r="AH25" s="16">
        <f>0.5*'Gearing Calculator'!$C$15*'Gearing Calculator'!$C$20*'Gearing Calculator'!$U$20*(Forces!M25^2)</f>
        <v>91.52030846792043</v>
      </c>
      <c r="AJ25" s="16">
        <f t="shared" si="19"/>
        <v>2318.5059749583934</v>
      </c>
      <c r="AK25" s="16">
        <f t="shared" si="20"/>
        <v>1778.7545875737862</v>
      </c>
      <c r="AL25" s="16">
        <f t="shared" si="21"/>
        <v>1463.9384224392504</v>
      </c>
      <c r="AM25" s="16">
        <f t="shared" si="22"/>
        <v>1248.4985930887949</v>
      </c>
      <c r="AN25" s="16">
        <f t="shared" si="23"/>
        <v>1089.718171813995</v>
      </c>
      <c r="AO25" s="16">
        <f t="shared" si="24"/>
        <v>948.66244802965036</v>
      </c>
      <c r="AQ25" s="16">
        <f>0.5*'Gearing Calculator'!$C$15*'Gearing Calculator'!$C$20*'Gearing Calculator'!$W$20*(Forces!H25^2)</f>
        <v>22.809158640488494</v>
      </c>
      <c r="AR25" s="16">
        <f>0.5*'Gearing Calculator'!$C$15*'Gearing Calculator'!$C$20*'Gearing Calculator'!$W$20*(Forces!I25^2)</f>
        <v>38.054863634565002</v>
      </c>
      <c r="AS25" s="16">
        <f>0.5*'Gearing Calculator'!$C$15*'Gearing Calculator'!$C$20*'Gearing Calculator'!$W$20*(Forces!J25^2)</f>
        <v>54.79900363377358</v>
      </c>
      <c r="AT25" s="16">
        <f>0.5*'Gearing Calculator'!$C$15*'Gearing Calculator'!$C$20*'Gearing Calculator'!$W$20*(Forces!K25^2)</f>
        <v>72.95725335857432</v>
      </c>
      <c r="AU25" s="16">
        <f>0.5*'Gearing Calculator'!$C$15*'Gearing Calculator'!$C$20*'Gearing Calculator'!$W$20*(Forces!L25^2)</f>
        <v>92.083373733021403</v>
      </c>
      <c r="AV25" s="16">
        <f>0.5*'Gearing Calculator'!$C$15*'Gearing Calculator'!$C$20*'Gearing Calculator'!$W$20*(Forces!M25^2)</f>
        <v>115.09977658847635</v>
      </c>
      <c r="AX25" s="16">
        <f t="shared" si="25"/>
        <v>2313.8332653757934</v>
      </c>
      <c r="AY25" s="16">
        <f t="shared" si="26"/>
        <v>1770.9586259264274</v>
      </c>
      <c r="AZ25" s="16">
        <f t="shared" si="27"/>
        <v>1452.7122376670538</v>
      </c>
      <c r="BA25" s="16">
        <f t="shared" si="28"/>
        <v>1233.5524891021425</v>
      </c>
      <c r="BB25" s="16">
        <f t="shared" si="29"/>
        <v>1070.8538695561883</v>
      </c>
      <c r="BC25" s="16">
        <f t="shared" si="30"/>
        <v>925.08297990909455</v>
      </c>
    </row>
    <row r="26" spans="2:55" x14ac:dyDescent="0.25">
      <c r="B26" s="41">
        <v>7400</v>
      </c>
      <c r="C26" s="16">
        <v>47</v>
      </c>
      <c r="D26" s="65">
        <f t="shared" si="0"/>
        <v>35.047899999999998</v>
      </c>
      <c r="E26" s="16">
        <f t="shared" si="1"/>
        <v>35047.9</v>
      </c>
      <c r="F26" s="21">
        <f t="shared" si="2"/>
        <v>33.357297297297301</v>
      </c>
      <c r="H26" s="16">
        <v>14.88122135988516</v>
      </c>
      <c r="I26" s="64">
        <v>19.221577589851666</v>
      </c>
      <c r="J26" s="16">
        <v>23.065893107821996</v>
      </c>
      <c r="K26" s="64">
        <v>26.614492047486916</v>
      </c>
      <c r="L26" s="16">
        <v>29.900231806435912</v>
      </c>
      <c r="M26" s="16">
        <v>33.428830591046378</v>
      </c>
      <c r="O26" s="118">
        <f t="shared" si="7"/>
        <v>53.572396895586579</v>
      </c>
      <c r="P26" s="118">
        <f t="shared" si="8"/>
        <v>69.197679323466005</v>
      </c>
      <c r="Q26" s="118">
        <f t="shared" si="9"/>
        <v>83.03721518815918</v>
      </c>
      <c r="R26" s="118">
        <f t="shared" si="10"/>
        <v>95.812171370952896</v>
      </c>
      <c r="S26" s="118">
        <f t="shared" si="11"/>
        <v>107.64083450316929</v>
      </c>
      <c r="T26" s="118">
        <f t="shared" si="12"/>
        <v>120.34379012776697</v>
      </c>
      <c r="V26" s="16">
        <f t="shared" si="13"/>
        <v>2355.1763092831561</v>
      </c>
      <c r="W26" s="16">
        <f t="shared" si="14"/>
        <v>1823.362303961153</v>
      </c>
      <c r="X26" s="16">
        <f t="shared" si="15"/>
        <v>1519.4685866342945</v>
      </c>
      <c r="Y26" s="16">
        <f t="shared" si="16"/>
        <v>1316.8727750830553</v>
      </c>
      <c r="Z26" s="16">
        <f t="shared" si="17"/>
        <v>1172.1614811178847</v>
      </c>
      <c r="AA26" s="16">
        <f t="shared" si="18"/>
        <v>1048.4333247776628</v>
      </c>
      <c r="AC26" s="16">
        <f>0.5*'Gearing Calculator'!$C$15*'Gearing Calculator'!$C$20*'Gearing Calculator'!$U$20*(Forces!H26^2)</f>
        <v>18.636741422592795</v>
      </c>
      <c r="AD26" s="16">
        <f>0.5*'Gearing Calculator'!$C$15*'Gearing Calculator'!$C$20*'Gearing Calculator'!$U$20*(Forces!I26^2)</f>
        <v>31.093591158179997</v>
      </c>
      <c r="AE26" s="16">
        <f>0.5*'Gearing Calculator'!$C$15*'Gearing Calculator'!$C$20*'Gearing Calculator'!$U$20*(Forces!J26^2)</f>
        <v>44.77477126777918</v>
      </c>
      <c r="AF26" s="16">
        <f>0.5*'Gearing Calculator'!$C$15*'Gearing Calculator'!$C$20*'Gearing Calculator'!$U$20*(Forces!K26^2)</f>
        <v>59.611381865386477</v>
      </c>
      <c r="AG26" s="16">
        <f>0.5*'Gearing Calculator'!$C$15*'Gearing Calculator'!$C$20*'Gearing Calculator'!$U$20*(Forces!L26^2)</f>
        <v>75.238813172879915</v>
      </c>
      <c r="AH26" s="16">
        <f>0.5*'Gearing Calculator'!$C$15*'Gearing Calculator'!$C$20*'Gearing Calculator'!$U$20*(Forces!M26^2)</f>
        <v>94.044888191092625</v>
      </c>
      <c r="AJ26" s="16">
        <f t="shared" si="19"/>
        <v>2336.5395678605632</v>
      </c>
      <c r="AK26" s="16">
        <f t="shared" si="20"/>
        <v>1792.2687128029729</v>
      </c>
      <c r="AL26" s="16">
        <f t="shared" si="21"/>
        <v>1474.6938153665153</v>
      </c>
      <c r="AM26" s="16">
        <f t="shared" si="22"/>
        <v>1257.2613932176689</v>
      </c>
      <c r="AN26" s="16">
        <f t="shared" si="23"/>
        <v>1096.9226679450048</v>
      </c>
      <c r="AO26" s="16">
        <f t="shared" si="24"/>
        <v>954.38843658657026</v>
      </c>
      <c r="AQ26" s="16">
        <f>0.5*'Gearing Calculator'!$C$15*'Gearing Calculator'!$C$20*'Gearing Calculator'!$W$20*(Forces!H26^2)</f>
        <v>23.438347291295742</v>
      </c>
      <c r="AR26" s="16">
        <f>0.5*'Gearing Calculator'!$C$15*'Gearing Calculator'!$C$20*'Gearing Calculator'!$W$20*(Forces!I26^2)</f>
        <v>39.104603727318072</v>
      </c>
      <c r="AS26" s="16">
        <f>0.5*'Gearing Calculator'!$C$15*'Gearing Calculator'!$C$20*'Gearing Calculator'!$W$20*(Forces!J26^2)</f>
        <v>56.310629367338002</v>
      </c>
      <c r="AT26" s="16">
        <f>0.5*'Gearing Calculator'!$C$15*'Gearing Calculator'!$C$20*'Gearing Calculator'!$W$20*(Forces!K26^2)</f>
        <v>74.969772826337575</v>
      </c>
      <c r="AU26" s="16">
        <f>0.5*'Gearing Calculator'!$C$15*'Gearing Calculator'!$C$20*'Gearing Calculator'!$W$20*(Forces!L26^2)</f>
        <v>94.623485562399196</v>
      </c>
      <c r="AV26" s="16">
        <f>0.5*'Gearing Calculator'!$C$15*'Gearing Calculator'!$C$20*'Gearing Calculator'!$W$20*(Forces!M26^2)</f>
        <v>118.27479388224748</v>
      </c>
      <c r="AX26" s="16">
        <f t="shared" si="25"/>
        <v>2331.7379619918602</v>
      </c>
      <c r="AY26" s="16">
        <f t="shared" si="26"/>
        <v>1784.2577002338348</v>
      </c>
      <c r="AZ26" s="16">
        <f t="shared" si="27"/>
        <v>1463.1579572669566</v>
      </c>
      <c r="BA26" s="16">
        <f t="shared" si="28"/>
        <v>1241.9030022567179</v>
      </c>
      <c r="BB26" s="16">
        <f t="shared" si="29"/>
        <v>1077.5379955554854</v>
      </c>
      <c r="BC26" s="16">
        <f t="shared" si="30"/>
        <v>930.15853089541542</v>
      </c>
    </row>
    <row r="27" spans="2:55" x14ac:dyDescent="0.25">
      <c r="B27" s="41">
        <v>7500</v>
      </c>
      <c r="C27" s="16">
        <v>48</v>
      </c>
      <c r="D27" s="65">
        <f t="shared" si="0"/>
        <v>35.793599999999998</v>
      </c>
      <c r="E27" s="16">
        <f t="shared" si="1"/>
        <v>35793.599999999999</v>
      </c>
      <c r="F27" s="21">
        <f t="shared" si="2"/>
        <v>33.6128</v>
      </c>
      <c r="H27" s="16">
        <v>15.082318945829552</v>
      </c>
      <c r="I27" s="64">
        <v>19.48132863836317</v>
      </c>
      <c r="J27" s="16">
        <v>23.377594366035805</v>
      </c>
      <c r="K27" s="64">
        <v>26.974147345425934</v>
      </c>
      <c r="L27" s="16">
        <v>30.304288993009376</v>
      </c>
      <c r="M27" s="16">
        <v>33.880571544979432</v>
      </c>
      <c r="O27" s="118">
        <f t="shared" si="7"/>
        <v>54.296348204986387</v>
      </c>
      <c r="P27" s="118">
        <f t="shared" si="8"/>
        <v>70.13278309810741</v>
      </c>
      <c r="Q27" s="118">
        <f t="shared" si="9"/>
        <v>84.159339717728898</v>
      </c>
      <c r="R27" s="118">
        <f t="shared" si="10"/>
        <v>97.106930443533358</v>
      </c>
      <c r="S27" s="118">
        <f t="shared" si="11"/>
        <v>109.09544037483376</v>
      </c>
      <c r="T27" s="118">
        <f t="shared" si="12"/>
        <v>121.97005756192596</v>
      </c>
      <c r="V27" s="16">
        <f t="shared" si="13"/>
        <v>2373.2159576095805</v>
      </c>
      <c r="W27" s="16">
        <f t="shared" si="14"/>
        <v>1837.3284833106432</v>
      </c>
      <c r="X27" s="16">
        <f t="shared" si="15"/>
        <v>1531.1070694255359</v>
      </c>
      <c r="Y27" s="16">
        <f t="shared" si="16"/>
        <v>1326.9594601687975</v>
      </c>
      <c r="Z27" s="16">
        <f t="shared" si="17"/>
        <v>1181.1397392711276</v>
      </c>
      <c r="AA27" s="16">
        <f t="shared" si="18"/>
        <v>1056.4638779036195</v>
      </c>
      <c r="AC27" s="16">
        <f>0.5*'Gearing Calculator'!$C$15*'Gearing Calculator'!$C$20*'Gearing Calculator'!$U$20*(Forces!H27^2)</f>
        <v>19.143840486136675</v>
      </c>
      <c r="AD27" s="16">
        <f>0.5*'Gearing Calculator'!$C$15*'Gearing Calculator'!$C$20*'Gearing Calculator'!$U$20*(Forces!I27^2)</f>
        <v>31.939636644405113</v>
      </c>
      <c r="AE27" s="16">
        <f>0.5*'Gearing Calculator'!$C$15*'Gearing Calculator'!$C$20*'Gearing Calculator'!$U$20*(Forces!J27^2)</f>
        <v>45.993076767943364</v>
      </c>
      <c r="AF27" s="16">
        <f>0.5*'Gearing Calculator'!$C$15*'Gearing Calculator'!$C$20*'Gearing Calculator'!$U$20*(Forces!K27^2)</f>
        <v>61.233386229510415</v>
      </c>
      <c r="AG27" s="16">
        <f>0.5*'Gearing Calculator'!$C$15*'Gearing Calculator'!$C$20*'Gearing Calculator'!$U$20*(Forces!L27^2)</f>
        <v>77.28603434942471</v>
      </c>
      <c r="AH27" s="16">
        <f>0.5*'Gearing Calculator'!$C$15*'Gearing Calculator'!$C$20*'Gearing Calculator'!$U$20*(Forces!M27^2)</f>
        <v>96.603815937709243</v>
      </c>
      <c r="AJ27" s="16">
        <f t="shared" si="19"/>
        <v>2354.0721171234441</v>
      </c>
      <c r="AK27" s="16">
        <f t="shared" si="20"/>
        <v>1805.3888466662381</v>
      </c>
      <c r="AL27" s="16">
        <f t="shared" si="21"/>
        <v>1485.1139926575925</v>
      </c>
      <c r="AM27" s="16">
        <f t="shared" si="22"/>
        <v>1265.7260739392871</v>
      </c>
      <c r="AN27" s="16">
        <f t="shared" si="23"/>
        <v>1103.853704921703</v>
      </c>
      <c r="AO27" s="16">
        <f t="shared" si="24"/>
        <v>959.86006196591029</v>
      </c>
      <c r="AQ27" s="16">
        <f>0.5*'Gearing Calculator'!$C$15*'Gearing Calculator'!$C$20*'Gearing Calculator'!$W$20*(Forces!H27^2)</f>
        <v>24.076096331909881</v>
      </c>
      <c r="AR27" s="16">
        <f>0.5*'Gearing Calculator'!$C$15*'Gearing Calculator'!$C$20*'Gearing Calculator'!$W$20*(Forces!I27^2)</f>
        <v>40.168625998203808</v>
      </c>
      <c r="AS27" s="16">
        <f>0.5*'Gearing Calculator'!$C$15*'Gearing Calculator'!$C$20*'Gearing Calculator'!$W$20*(Forces!J27^2)</f>
        <v>57.842821437413484</v>
      </c>
      <c r="AT27" s="16">
        <f>0.5*'Gearing Calculator'!$C$15*'Gearing Calculator'!$C$20*'Gearing Calculator'!$W$20*(Forces!K27^2)</f>
        <v>77.009673511349334</v>
      </c>
      <c r="AU27" s="16">
        <f>0.5*'Gearing Calculator'!$C$15*'Gearing Calculator'!$C$20*'Gearing Calculator'!$W$20*(Forces!L27^2)</f>
        <v>97.198156736394395</v>
      </c>
      <c r="AV27" s="16">
        <f>0.5*'Gearing Calculator'!$C$15*'Gearing Calculator'!$C$20*'Gearing Calculator'!$W$20*(Forces!M27^2)</f>
        <v>121.49300869021948</v>
      </c>
      <c r="AX27" s="16">
        <f t="shared" si="25"/>
        <v>2349.1398612776707</v>
      </c>
      <c r="AY27" s="16">
        <f t="shared" si="26"/>
        <v>1797.1598573124393</v>
      </c>
      <c r="AZ27" s="16">
        <f t="shared" si="27"/>
        <v>1473.2642479881224</v>
      </c>
      <c r="BA27" s="16">
        <f t="shared" si="28"/>
        <v>1249.9497866574482</v>
      </c>
      <c r="BB27" s="16">
        <f t="shared" si="29"/>
        <v>1083.9415825347332</v>
      </c>
      <c r="BC27" s="16">
        <f t="shared" si="30"/>
        <v>934.97086921339996</v>
      </c>
    </row>
    <row r="28" spans="2:55" x14ac:dyDescent="0.25">
      <c r="B28" s="41">
        <v>7600</v>
      </c>
      <c r="C28" s="16">
        <v>49</v>
      </c>
      <c r="D28" s="65">
        <f t="shared" si="0"/>
        <v>36.539300000000004</v>
      </c>
      <c r="E28" s="16">
        <f t="shared" si="1"/>
        <v>36539.300000000003</v>
      </c>
      <c r="F28" s="21">
        <f t="shared" si="2"/>
        <v>33.861578947368422</v>
      </c>
      <c r="H28" s="16">
        <v>15.283416531773948</v>
      </c>
      <c r="I28" s="64">
        <v>19.741079686874684</v>
      </c>
      <c r="J28" s="16">
        <v>23.689295624249613</v>
      </c>
      <c r="K28" s="64">
        <v>27.33380264336494</v>
      </c>
      <c r="L28" s="16">
        <v>30.708346179582829</v>
      </c>
      <c r="M28" s="16">
        <v>34.332312498912493</v>
      </c>
      <c r="O28" s="118">
        <f t="shared" si="7"/>
        <v>55.020299514386217</v>
      </c>
      <c r="P28" s="118">
        <f t="shared" si="8"/>
        <v>71.067886872748872</v>
      </c>
      <c r="Q28" s="118">
        <f t="shared" si="9"/>
        <v>85.281464247298615</v>
      </c>
      <c r="R28" s="118">
        <f t="shared" si="10"/>
        <v>98.401689516113791</v>
      </c>
      <c r="S28" s="118">
        <f t="shared" si="11"/>
        <v>110.55004624649818</v>
      </c>
      <c r="T28" s="118">
        <f t="shared" si="12"/>
        <v>123.59632499608497</v>
      </c>
      <c r="V28" s="16">
        <f t="shared" si="13"/>
        <v>2390.780878348467</v>
      </c>
      <c r="W28" s="16">
        <f t="shared" si="14"/>
        <v>1850.9271316246195</v>
      </c>
      <c r="X28" s="16">
        <f t="shared" si="15"/>
        <v>1542.4392763538501</v>
      </c>
      <c r="Y28" s="16">
        <f t="shared" si="16"/>
        <v>1336.7807061733367</v>
      </c>
      <c r="Z28" s="16">
        <f t="shared" si="17"/>
        <v>1189.8817274729702</v>
      </c>
      <c r="AA28" s="16">
        <f t="shared" si="18"/>
        <v>1064.2831006841564</v>
      </c>
      <c r="AC28" s="16">
        <f>0.5*'Gearing Calculator'!$C$15*'Gearing Calculator'!$C$20*'Gearing Calculator'!$U$20*(Forces!H28^2)</f>
        <v>19.657746248520084</v>
      </c>
      <c r="AD28" s="16">
        <f>0.5*'Gearing Calculator'!$C$15*'Gearing Calculator'!$C$20*'Gearing Calculator'!$U$20*(Forces!I28^2)</f>
        <v>32.797038445881604</v>
      </c>
      <c r="AE28" s="16">
        <f>0.5*'Gearing Calculator'!$C$15*'Gearing Calculator'!$C$20*'Gearing Calculator'!$U$20*(Forces!J28^2)</f>
        <v>47.227735362069474</v>
      </c>
      <c r="AF28" s="16">
        <f>0.5*'Gearing Calculator'!$C$15*'Gearing Calculator'!$C$20*'Gearing Calculator'!$U$20*(Forces!K28^2)</f>
        <v>62.877162464293697</v>
      </c>
      <c r="AG28" s="16">
        <f>0.5*'Gearing Calculator'!$C$15*'Gearing Calculator'!$C$20*'Gearing Calculator'!$U$20*(Forces!L28^2)</f>
        <v>79.360735004849246</v>
      </c>
      <c r="AH28" s="16">
        <f>0.5*'Gearing Calculator'!$C$15*'Gearing Calculator'!$C$20*'Gearing Calculator'!$U$20*(Forces!M28^2)</f>
        <v>99.19709170777044</v>
      </c>
      <c r="AJ28" s="16">
        <f t="shared" si="19"/>
        <v>2371.1231320999468</v>
      </c>
      <c r="AK28" s="16">
        <f t="shared" si="20"/>
        <v>1818.130093178738</v>
      </c>
      <c r="AL28" s="16">
        <f t="shared" si="21"/>
        <v>1495.2115409917806</v>
      </c>
      <c r="AM28" s="16">
        <f t="shared" si="22"/>
        <v>1273.9035437090431</v>
      </c>
      <c r="AN28" s="16">
        <f t="shared" si="23"/>
        <v>1110.520992468121</v>
      </c>
      <c r="AO28" s="16">
        <f t="shared" si="24"/>
        <v>965.08600897638587</v>
      </c>
      <c r="AQ28" s="16">
        <f>0.5*'Gearing Calculator'!$C$15*'Gearing Calculator'!$C$20*'Gearing Calculator'!$W$20*(Forces!H28^2)</f>
        <v>24.722405762330936</v>
      </c>
      <c r="AR28" s="16">
        <f>0.5*'Gearing Calculator'!$C$15*'Gearing Calculator'!$C$20*'Gearing Calculator'!$W$20*(Forces!I28^2)</f>
        <v>41.246930447222276</v>
      </c>
      <c r="AS28" s="16">
        <f>0.5*'Gearing Calculator'!$C$15*'Gearing Calculator'!$C$20*'Gearing Calculator'!$W$20*(Forces!J28^2)</f>
        <v>59.395579844000032</v>
      </c>
      <c r="AT28" s="16">
        <f>0.5*'Gearing Calculator'!$C$15*'Gearing Calculator'!$C$20*'Gearing Calculator'!$W$20*(Forces!K28^2)</f>
        <v>79.076955413609539</v>
      </c>
      <c r="AU28" s="16">
        <f>0.5*'Gearing Calculator'!$C$15*'Gearing Calculator'!$C$20*'Gearing Calculator'!$W$20*(Forces!L28^2)</f>
        <v>99.807387255006901</v>
      </c>
      <c r="AV28" s="16">
        <f>0.5*'Gearing Calculator'!$C$15*'Gearing Calculator'!$C$20*'Gearing Calculator'!$W$20*(Forces!M28^2)</f>
        <v>124.7544210123925</v>
      </c>
      <c r="AX28" s="16">
        <f t="shared" si="25"/>
        <v>2366.0584725861363</v>
      </c>
      <c r="AY28" s="16">
        <f t="shared" si="26"/>
        <v>1809.6802011773973</v>
      </c>
      <c r="AZ28" s="16">
        <f t="shared" si="27"/>
        <v>1483.0436965098502</v>
      </c>
      <c r="BA28" s="16">
        <f t="shared" si="28"/>
        <v>1257.7037507597272</v>
      </c>
      <c r="BB28" s="16">
        <f t="shared" si="29"/>
        <v>1090.0743402179633</v>
      </c>
      <c r="BC28" s="16">
        <f t="shared" si="30"/>
        <v>939.52867967176383</v>
      </c>
    </row>
    <row r="29" spans="2:55" x14ac:dyDescent="0.25">
      <c r="B29" s="41">
        <v>7700</v>
      </c>
      <c r="C29" s="16">
        <v>49.5</v>
      </c>
      <c r="D29" s="65">
        <f t="shared" si="0"/>
        <v>36.912150000000004</v>
      </c>
      <c r="E29" s="16">
        <f t="shared" si="1"/>
        <v>36912.15</v>
      </c>
      <c r="F29" s="21">
        <f t="shared" si="2"/>
        <v>33.762857142857143</v>
      </c>
      <c r="H29" s="16">
        <v>15.484514117718341</v>
      </c>
      <c r="I29" s="64">
        <v>20.000830735386192</v>
      </c>
      <c r="J29" s="16">
        <v>24.000996882463426</v>
      </c>
      <c r="K29" s="64">
        <v>27.693457941303954</v>
      </c>
      <c r="L29" s="16">
        <v>31.11240336615629</v>
      </c>
      <c r="M29" s="16">
        <v>34.784053452845555</v>
      </c>
      <c r="O29" s="118">
        <f t="shared" si="7"/>
        <v>55.744250823786025</v>
      </c>
      <c r="P29" s="118">
        <f t="shared" si="8"/>
        <v>72.002990647390291</v>
      </c>
      <c r="Q29" s="118">
        <f t="shared" si="9"/>
        <v>86.403588776868332</v>
      </c>
      <c r="R29" s="118">
        <f t="shared" si="10"/>
        <v>99.696448588694238</v>
      </c>
      <c r="S29" s="118">
        <f t="shared" si="11"/>
        <v>112.00465211816264</v>
      </c>
      <c r="T29" s="118">
        <f t="shared" si="12"/>
        <v>125.22259243024401</v>
      </c>
      <c r="V29" s="16">
        <f t="shared" si="13"/>
        <v>2383.8106717060518</v>
      </c>
      <c r="W29" s="16">
        <f t="shared" si="14"/>
        <v>1845.5308426111369</v>
      </c>
      <c r="X29" s="16">
        <f t="shared" si="15"/>
        <v>1537.9423688426143</v>
      </c>
      <c r="Y29" s="16">
        <f t="shared" si="16"/>
        <v>1332.8833863302657</v>
      </c>
      <c r="Z29" s="16">
        <f t="shared" si="17"/>
        <v>1186.4126845357312</v>
      </c>
      <c r="AA29" s="16">
        <f t="shared" si="18"/>
        <v>1061.1802345014034</v>
      </c>
      <c r="AC29" s="16">
        <f>0.5*'Gearing Calculator'!$C$15*'Gearing Calculator'!$C$20*'Gearing Calculator'!$U$20*(Forces!H29^2)</f>
        <v>20.178458709742998</v>
      </c>
      <c r="AD29" s="16">
        <f>0.5*'Gearing Calculator'!$C$15*'Gearing Calculator'!$C$20*'Gearing Calculator'!$U$20*(Forces!I29^2)</f>
        <v>33.665796562609415</v>
      </c>
      <c r="AE29" s="16">
        <f>0.5*'Gearing Calculator'!$C$15*'Gearing Calculator'!$C$20*'Gearing Calculator'!$U$20*(Forces!J29^2)</f>
        <v>48.478747050157544</v>
      </c>
      <c r="AF29" s="16">
        <f>0.5*'Gearing Calculator'!$C$15*'Gearing Calculator'!$C$20*'Gearing Calculator'!$U$20*(Forces!K29^2)</f>
        <v>64.542710569736386</v>
      </c>
      <c r="AG29" s="16">
        <f>0.5*'Gearing Calculator'!$C$15*'Gearing Calculator'!$C$20*'Gearing Calculator'!$U$20*(Forces!L29^2)</f>
        <v>81.462915139153608</v>
      </c>
      <c r="AH29" s="16">
        <f>0.5*'Gearing Calculator'!$C$15*'Gearing Calculator'!$C$20*'Gearing Calculator'!$U$20*(Forces!M29^2)</f>
        <v>101.82471550127615</v>
      </c>
      <c r="AJ29" s="16">
        <f t="shared" si="19"/>
        <v>2363.6322129963087</v>
      </c>
      <c r="AK29" s="16">
        <f t="shared" si="20"/>
        <v>1811.8650460485276</v>
      </c>
      <c r="AL29" s="16">
        <f t="shared" si="21"/>
        <v>1489.4636217924567</v>
      </c>
      <c r="AM29" s="16">
        <f t="shared" si="22"/>
        <v>1268.3406757605294</v>
      </c>
      <c r="AN29" s="16">
        <f t="shared" si="23"/>
        <v>1104.9497693965775</v>
      </c>
      <c r="AO29" s="16">
        <f t="shared" si="24"/>
        <v>959.35551900012729</v>
      </c>
      <c r="AQ29" s="16">
        <f>0.5*'Gearing Calculator'!$C$15*'Gearing Calculator'!$C$20*'Gearing Calculator'!$W$20*(Forces!H29^2)</f>
        <v>25.37727558255888</v>
      </c>
      <c r="AR29" s="16">
        <f>0.5*'Gearing Calculator'!$C$15*'Gearing Calculator'!$C$20*'Gearing Calculator'!$W$20*(Forces!I29^2)</f>
        <v>42.339517074373411</v>
      </c>
      <c r="AS29" s="16">
        <f>0.5*'Gearing Calculator'!$C$15*'Gearing Calculator'!$C$20*'Gearing Calculator'!$W$20*(Forces!J29^2)</f>
        <v>60.96890458709769</v>
      </c>
      <c r="AT29" s="16">
        <f>0.5*'Gearing Calculator'!$C$15*'Gearing Calculator'!$C$20*'Gearing Calculator'!$W$20*(Forces!K29^2)</f>
        <v>81.171618533118234</v>
      </c>
      <c r="AU29" s="16">
        <f>0.5*'Gearing Calculator'!$C$15*'Gearing Calculator'!$C$20*'Gearing Calculator'!$W$20*(Forces!L29^2)</f>
        <v>102.45117711823684</v>
      </c>
      <c r="AV29" s="16">
        <f>0.5*'Gearing Calculator'!$C$15*'Gearing Calculator'!$C$20*'Gearing Calculator'!$W$20*(Forces!M29^2)</f>
        <v>128.0590308487665</v>
      </c>
      <c r="AX29" s="16">
        <f t="shared" si="25"/>
        <v>2358.4333961234929</v>
      </c>
      <c r="AY29" s="16">
        <f t="shared" si="26"/>
        <v>1803.1913255367635</v>
      </c>
      <c r="AZ29" s="16">
        <f t="shared" si="27"/>
        <v>1476.9734642555165</v>
      </c>
      <c r="BA29" s="16">
        <f t="shared" si="28"/>
        <v>1251.7117677971476</v>
      </c>
      <c r="BB29" s="16">
        <f t="shared" si="29"/>
        <v>1083.9615074174944</v>
      </c>
      <c r="BC29" s="16">
        <f t="shared" si="30"/>
        <v>933.12120365263695</v>
      </c>
    </row>
    <row r="30" spans="2:55" x14ac:dyDescent="0.25">
      <c r="B30" s="41">
        <v>7800</v>
      </c>
      <c r="C30" s="16">
        <v>50</v>
      </c>
      <c r="D30" s="65">
        <f t="shared" si="0"/>
        <v>37.285000000000004</v>
      </c>
      <c r="E30" s="16">
        <f t="shared" si="1"/>
        <v>37285.000000000007</v>
      </c>
      <c r="F30" s="21">
        <f t="shared" si="2"/>
        <v>33.666666666666664</v>
      </c>
      <c r="H30" s="16">
        <v>15.685611703662731</v>
      </c>
      <c r="I30" s="64">
        <v>20.260581783897699</v>
      </c>
      <c r="J30" s="16">
        <v>24.312698140677238</v>
      </c>
      <c r="K30" s="64">
        <v>28.053113239242968</v>
      </c>
      <c r="L30" s="16">
        <v>31.516460552729754</v>
      </c>
      <c r="M30" s="16">
        <v>35.235794406778616</v>
      </c>
      <c r="O30" s="118">
        <f t="shared" si="7"/>
        <v>56.468202133185834</v>
      </c>
      <c r="P30" s="118">
        <f t="shared" si="8"/>
        <v>72.938094422031725</v>
      </c>
      <c r="Q30" s="118">
        <f t="shared" si="9"/>
        <v>87.525713306438064</v>
      </c>
      <c r="R30" s="118">
        <f t="shared" si="10"/>
        <v>100.99120766127469</v>
      </c>
      <c r="S30" s="118">
        <f t="shared" si="11"/>
        <v>113.45925798982712</v>
      </c>
      <c r="T30" s="118">
        <f t="shared" si="12"/>
        <v>126.84885986440302</v>
      </c>
      <c r="V30" s="16">
        <f t="shared" si="13"/>
        <v>2377.0191883108787</v>
      </c>
      <c r="W30" s="16">
        <f t="shared" si="14"/>
        <v>1840.2729199826156</v>
      </c>
      <c r="X30" s="16">
        <f t="shared" si="15"/>
        <v>1533.5607666521796</v>
      </c>
      <c r="Y30" s="16">
        <f t="shared" si="16"/>
        <v>1329.0859977652224</v>
      </c>
      <c r="Z30" s="16">
        <f t="shared" si="17"/>
        <v>1183.0325914173957</v>
      </c>
      <c r="AA30" s="16">
        <f t="shared" si="18"/>
        <v>1058.1569289900037</v>
      </c>
      <c r="AC30" s="16">
        <f>0.5*'Gearing Calculator'!$C$15*'Gearing Calculator'!$C$20*'Gearing Calculator'!$U$20*(Forces!H30^2)</f>
        <v>20.705977869805423</v>
      </c>
      <c r="AD30" s="16">
        <f>0.5*'Gearing Calculator'!$C$15*'Gearing Calculator'!$C$20*'Gearing Calculator'!$U$20*(Forces!I30^2)</f>
        <v>34.545910994588574</v>
      </c>
      <c r="AE30" s="16">
        <f>0.5*'Gearing Calculator'!$C$15*'Gearing Calculator'!$C$20*'Gearing Calculator'!$U$20*(Forces!J30^2)</f>
        <v>49.746111832207546</v>
      </c>
      <c r="AF30" s="16">
        <f>0.5*'Gearing Calculator'!$C$15*'Gearing Calculator'!$C$20*'Gearing Calculator'!$U$20*(Forces!K30^2)</f>
        <v>66.230030545838446</v>
      </c>
      <c r="AG30" s="16">
        <f>0.5*'Gearing Calculator'!$C$15*'Gearing Calculator'!$C$20*'Gearing Calculator'!$U$20*(Forces!L30^2)</f>
        <v>83.592574752337796</v>
      </c>
      <c r="AH30" s="16">
        <f>0.5*'Gearing Calculator'!$C$15*'Gearing Calculator'!$C$20*'Gearing Calculator'!$U$20*(Forces!M30^2)</f>
        <v>104.48668731822637</v>
      </c>
      <c r="AJ30" s="16">
        <f t="shared" si="19"/>
        <v>2356.3132104410734</v>
      </c>
      <c r="AK30" s="16">
        <f t="shared" si="20"/>
        <v>1805.7270089880269</v>
      </c>
      <c r="AL30" s="16">
        <f t="shared" si="21"/>
        <v>1483.814654819972</v>
      </c>
      <c r="AM30" s="16">
        <f t="shared" si="22"/>
        <v>1262.855967219384</v>
      </c>
      <c r="AN30" s="16">
        <f t="shared" si="23"/>
        <v>1099.4400166650578</v>
      </c>
      <c r="AO30" s="16">
        <f t="shared" si="24"/>
        <v>953.67024167177738</v>
      </c>
      <c r="AQ30" s="16">
        <f>0.5*'Gearing Calculator'!$C$15*'Gearing Calculator'!$C$20*'Gearing Calculator'!$W$20*(Forces!H30^2)</f>
        <v>26.040705792593716</v>
      </c>
      <c r="AR30" s="16">
        <f>0.5*'Gearing Calculator'!$C$15*'Gearing Calculator'!$C$20*'Gearing Calculator'!$W$20*(Forces!I30^2)</f>
        <v>43.446385879657242</v>
      </c>
      <c r="AS30" s="16">
        <f>0.5*'Gearing Calculator'!$C$15*'Gearing Calculator'!$C$20*'Gearing Calculator'!$W$20*(Forces!J30^2)</f>
        <v>62.562795666706435</v>
      </c>
      <c r="AT30" s="16">
        <f>0.5*'Gearing Calculator'!$C$15*'Gearing Calculator'!$C$20*'Gearing Calculator'!$W$20*(Forces!K30^2)</f>
        <v>83.293662869875433</v>
      </c>
      <c r="AU30" s="16">
        <f>0.5*'Gearing Calculator'!$C$15*'Gearing Calculator'!$C$20*'Gearing Calculator'!$W$20*(Forces!L30^2)</f>
        <v>105.1295263260842</v>
      </c>
      <c r="AV30" s="16">
        <f>0.5*'Gearing Calculator'!$C$15*'Gearing Calculator'!$C$20*'Gearing Calculator'!$W$20*(Forces!M30^2)</f>
        <v>131.40683819934145</v>
      </c>
      <c r="AX30" s="16">
        <f t="shared" si="25"/>
        <v>2350.9784825182851</v>
      </c>
      <c r="AY30" s="16">
        <f t="shared" si="26"/>
        <v>1796.8265341029582</v>
      </c>
      <c r="AZ30" s="16">
        <f t="shared" si="27"/>
        <v>1470.9979709854731</v>
      </c>
      <c r="BA30" s="16">
        <f t="shared" si="28"/>
        <v>1245.792334895347</v>
      </c>
      <c r="BB30" s="16">
        <f t="shared" si="29"/>
        <v>1077.9030650913114</v>
      </c>
      <c r="BC30" s="16">
        <f t="shared" si="30"/>
        <v>926.75009079066228</v>
      </c>
    </row>
    <row r="31" spans="2:55" x14ac:dyDescent="0.25">
      <c r="B31" s="41">
        <v>7900</v>
      </c>
      <c r="C31" s="16">
        <v>51</v>
      </c>
      <c r="D31" s="65">
        <f t="shared" si="0"/>
        <v>38.030700000000003</v>
      </c>
      <c r="E31" s="16">
        <f t="shared" si="1"/>
        <v>38030.700000000004</v>
      </c>
      <c r="F31" s="21">
        <f t="shared" si="2"/>
        <v>33.905316455696202</v>
      </c>
      <c r="H31" s="16">
        <v>15.886709289607127</v>
      </c>
      <c r="I31" s="64">
        <v>20.520332832409206</v>
      </c>
      <c r="J31" s="16">
        <v>24.62439939889105</v>
      </c>
      <c r="K31" s="64">
        <v>28.412768537181979</v>
      </c>
      <c r="L31" s="16">
        <v>31.920517739303214</v>
      </c>
      <c r="M31" s="16">
        <v>35.687535360711678</v>
      </c>
      <c r="O31" s="118">
        <f t="shared" si="7"/>
        <v>57.192153442585656</v>
      </c>
      <c r="P31" s="118">
        <f t="shared" si="8"/>
        <v>73.873198196673144</v>
      </c>
      <c r="Q31" s="118">
        <f t="shared" si="9"/>
        <v>88.647837836007781</v>
      </c>
      <c r="R31" s="118">
        <f t="shared" si="10"/>
        <v>102.28596673385512</v>
      </c>
      <c r="S31" s="118">
        <f t="shared" si="11"/>
        <v>114.91386386149158</v>
      </c>
      <c r="T31" s="118">
        <f t="shared" si="12"/>
        <v>128.47512729856206</v>
      </c>
      <c r="V31" s="16">
        <f t="shared" si="13"/>
        <v>2393.8689445824493</v>
      </c>
      <c r="W31" s="16">
        <f t="shared" si="14"/>
        <v>1853.3178925799607</v>
      </c>
      <c r="X31" s="16">
        <f t="shared" si="15"/>
        <v>1544.4315771499671</v>
      </c>
      <c r="Y31" s="16">
        <f t="shared" si="16"/>
        <v>1338.5073668633049</v>
      </c>
      <c r="Z31" s="16">
        <f t="shared" si="17"/>
        <v>1191.4186452299746</v>
      </c>
      <c r="AA31" s="16">
        <f t="shared" si="18"/>
        <v>1065.6577882334768</v>
      </c>
      <c r="AC31" s="16">
        <f>0.5*'Gearing Calculator'!$C$15*'Gearing Calculator'!$C$20*'Gearing Calculator'!$U$20*(Forces!H31^2)</f>
        <v>21.240303728707374</v>
      </c>
      <c r="AD31" s="16">
        <f>0.5*'Gearing Calculator'!$C$15*'Gearing Calculator'!$C$20*'Gearing Calculator'!$U$20*(Forces!I31^2)</f>
        <v>35.437381741819074</v>
      </c>
      <c r="AE31" s="16">
        <f>0.5*'Gearing Calculator'!$C$15*'Gearing Calculator'!$C$20*'Gearing Calculator'!$U$20*(Forces!J31^2)</f>
        <v>51.029829708219481</v>
      </c>
      <c r="AF31" s="16">
        <f>0.5*'Gearing Calculator'!$C$15*'Gearing Calculator'!$C$20*'Gearing Calculator'!$U$20*(Forces!K31^2)</f>
        <v>67.939122392599899</v>
      </c>
      <c r="AG31" s="16">
        <f>0.5*'Gearing Calculator'!$C$15*'Gearing Calculator'!$C$20*'Gearing Calculator'!$U$20*(Forces!L31^2)</f>
        <v>85.749713844401739</v>
      </c>
      <c r="AH31" s="16">
        <f>0.5*'Gearing Calculator'!$C$15*'Gearing Calculator'!$C$20*'Gearing Calculator'!$U$20*(Forces!M31^2)</f>
        <v>107.18300715862111</v>
      </c>
      <c r="AJ31" s="16">
        <f t="shared" si="19"/>
        <v>2372.6286408537421</v>
      </c>
      <c r="AK31" s="16">
        <f t="shared" si="20"/>
        <v>1817.8805108381416</v>
      </c>
      <c r="AL31" s="16">
        <f t="shared" si="21"/>
        <v>1493.4017474417476</v>
      </c>
      <c r="AM31" s="16">
        <f t="shared" si="22"/>
        <v>1270.5682444707049</v>
      </c>
      <c r="AN31" s="16">
        <f t="shared" si="23"/>
        <v>1105.6689313855729</v>
      </c>
      <c r="AO31" s="16">
        <f t="shared" si="24"/>
        <v>958.47478107485574</v>
      </c>
      <c r="AQ31" s="16">
        <f>0.5*'Gearing Calculator'!$C$15*'Gearing Calculator'!$C$20*'Gearing Calculator'!$W$20*(Forces!H31^2)</f>
        <v>26.712696392435475</v>
      </c>
      <c r="AR31" s="16">
        <f>0.5*'Gearing Calculator'!$C$15*'Gearing Calculator'!$C$20*'Gearing Calculator'!$W$20*(Forces!I31^2)</f>
        <v>44.567536863073769</v>
      </c>
      <c r="AS31" s="16">
        <f>0.5*'Gearing Calculator'!$C$15*'Gearing Calculator'!$C$20*'Gearing Calculator'!$W$20*(Forces!J31^2)</f>
        <v>64.17725308282624</v>
      </c>
      <c r="AT31" s="16">
        <f>0.5*'Gearing Calculator'!$C$15*'Gearing Calculator'!$C$20*'Gearing Calculator'!$W$20*(Forces!K31^2)</f>
        <v>85.443088423881079</v>
      </c>
      <c r="AU31" s="16">
        <f>0.5*'Gearing Calculator'!$C$15*'Gearing Calculator'!$C$20*'Gearing Calculator'!$W$20*(Forces!L31^2)</f>
        <v>107.8424348785489</v>
      </c>
      <c r="AV31" s="16">
        <f>0.5*'Gearing Calculator'!$C$15*'Gearing Calculator'!$C$20*'Gearing Calculator'!$W$20*(Forces!M31^2)</f>
        <v>134.79784306411739</v>
      </c>
      <c r="AX31" s="16">
        <f t="shared" si="25"/>
        <v>2367.1562481900137</v>
      </c>
      <c r="AY31" s="16">
        <f t="shared" si="26"/>
        <v>1808.750355716887</v>
      </c>
      <c r="AZ31" s="16">
        <f t="shared" si="27"/>
        <v>1480.2543240671409</v>
      </c>
      <c r="BA31" s="16">
        <f t="shared" si="28"/>
        <v>1253.0642784394238</v>
      </c>
      <c r="BB31" s="16">
        <f t="shared" si="29"/>
        <v>1083.5762103514257</v>
      </c>
      <c r="BC31" s="16">
        <f t="shared" si="30"/>
        <v>930.85994516935943</v>
      </c>
    </row>
    <row r="32" spans="2:55" x14ac:dyDescent="0.25">
      <c r="B32" s="41">
        <v>8000</v>
      </c>
      <c r="C32" s="16">
        <v>52</v>
      </c>
      <c r="D32" s="65">
        <f t="shared" si="0"/>
        <v>38.776400000000002</v>
      </c>
      <c r="E32" s="16">
        <f t="shared" si="1"/>
        <v>38776.400000000001</v>
      </c>
      <c r="F32" s="21">
        <f t="shared" si="2"/>
        <v>34.137999999999998</v>
      </c>
      <c r="H32" s="16">
        <v>16.087806875551522</v>
      </c>
      <c r="I32" s="64">
        <v>20.780083880920717</v>
      </c>
      <c r="J32" s="16">
        <v>24.936100657104859</v>
      </c>
      <c r="K32" s="64">
        <v>28.772423835120989</v>
      </c>
      <c r="L32" s="16">
        <v>32.324574925876661</v>
      </c>
      <c r="M32" s="16">
        <v>36.139276314644732</v>
      </c>
      <c r="O32" s="118">
        <f t="shared" si="7"/>
        <v>57.916104751985479</v>
      </c>
      <c r="P32" s="118">
        <f t="shared" si="8"/>
        <v>74.808301971314577</v>
      </c>
      <c r="Q32" s="118">
        <f t="shared" si="9"/>
        <v>89.769962365577499</v>
      </c>
      <c r="R32" s="118">
        <f t="shared" si="10"/>
        <v>103.58072580643557</v>
      </c>
      <c r="S32" s="118">
        <f t="shared" si="11"/>
        <v>116.36846973315598</v>
      </c>
      <c r="T32" s="118">
        <f t="shared" si="12"/>
        <v>130.10139473272105</v>
      </c>
      <c r="V32" s="16">
        <f t="shared" si="13"/>
        <v>2410.2974569472303</v>
      </c>
      <c r="W32" s="16">
        <f t="shared" si="14"/>
        <v>1866.0367408623717</v>
      </c>
      <c r="X32" s="16">
        <f t="shared" si="15"/>
        <v>1555.0306173853098</v>
      </c>
      <c r="Y32" s="16">
        <f t="shared" si="16"/>
        <v>1347.6932017339354</v>
      </c>
      <c r="Z32" s="16">
        <f t="shared" si="17"/>
        <v>1199.5950476972394</v>
      </c>
      <c r="AA32" s="16">
        <f t="shared" si="18"/>
        <v>1072.9711259958635</v>
      </c>
      <c r="AC32" s="16">
        <f>0.5*'Gearing Calculator'!$C$15*'Gearing Calculator'!$C$20*'Gearing Calculator'!$U$20*(Forces!H32^2)</f>
        <v>21.781436286448841</v>
      </c>
      <c r="AD32" s="16">
        <f>0.5*'Gearing Calculator'!$C$15*'Gearing Calculator'!$C$20*'Gearing Calculator'!$U$20*(Forces!I32^2)</f>
        <v>36.340208804300936</v>
      </c>
      <c r="AE32" s="16">
        <f>0.5*'Gearing Calculator'!$C$15*'Gearing Calculator'!$C$20*'Gearing Calculator'!$U$20*(Forces!J32^2)</f>
        <v>52.329900678193333</v>
      </c>
      <c r="AF32" s="16">
        <f>0.5*'Gearing Calculator'!$C$15*'Gearing Calculator'!$C$20*'Gearing Calculator'!$U$20*(Forces!K32^2)</f>
        <v>69.669986110020702</v>
      </c>
      <c r="AG32" s="16">
        <f>0.5*'Gearing Calculator'!$C$15*'Gearing Calculator'!$C$20*'Gearing Calculator'!$U$20*(Forces!L32^2)</f>
        <v>87.934332415345409</v>
      </c>
      <c r="AH32" s="16">
        <f>0.5*'Gearing Calculator'!$C$15*'Gearing Calculator'!$C$20*'Gearing Calculator'!$U$20*(Forces!M32^2)</f>
        <v>109.91367502246034</v>
      </c>
      <c r="AJ32" s="16">
        <f t="shared" si="19"/>
        <v>2388.5160206607816</v>
      </c>
      <c r="AK32" s="16">
        <f t="shared" si="20"/>
        <v>1829.6965320580707</v>
      </c>
      <c r="AL32" s="16">
        <f t="shared" si="21"/>
        <v>1502.7007167071165</v>
      </c>
      <c r="AM32" s="16">
        <f t="shared" si="22"/>
        <v>1278.0232156239147</v>
      </c>
      <c r="AN32" s="16">
        <f t="shared" si="23"/>
        <v>1111.660715281894</v>
      </c>
      <c r="AO32" s="16">
        <f t="shared" si="24"/>
        <v>963.05745097340321</v>
      </c>
      <c r="AQ32" s="16">
        <f>0.5*'Gearing Calculator'!$C$15*'Gearing Calculator'!$C$20*'Gearing Calculator'!$W$20*(Forces!H32^2)</f>
        <v>27.39324738208413</v>
      </c>
      <c r="AR32" s="16">
        <f>0.5*'Gearing Calculator'!$C$15*'Gearing Calculator'!$C$20*'Gearing Calculator'!$W$20*(Forces!I32^2)</f>
        <v>45.702970024623006</v>
      </c>
      <c r="AS32" s="16">
        <f>0.5*'Gearing Calculator'!$C$15*'Gearing Calculator'!$C$20*'Gearing Calculator'!$W$20*(Forces!J32^2)</f>
        <v>65.812276835457112</v>
      </c>
      <c r="AT32" s="16">
        <f>0.5*'Gearing Calculator'!$C$15*'Gearing Calculator'!$C$20*'Gearing Calculator'!$W$20*(Forces!K32^2)</f>
        <v>87.6198951951352</v>
      </c>
      <c r="AU32" s="16">
        <f>0.5*'Gearing Calculator'!$C$15*'Gearing Calculator'!$C$20*'Gearing Calculator'!$W$20*(Forces!L32^2)</f>
        <v>110.5899027756309</v>
      </c>
      <c r="AV32" s="16">
        <f>0.5*'Gearing Calculator'!$C$15*'Gearing Calculator'!$C$20*'Gearing Calculator'!$W$20*(Forces!M32^2)</f>
        <v>138.23204544309422</v>
      </c>
      <c r="AX32" s="16">
        <f t="shared" si="25"/>
        <v>2382.9042095651462</v>
      </c>
      <c r="AY32" s="16">
        <f t="shared" si="26"/>
        <v>1820.3337708377487</v>
      </c>
      <c r="AZ32" s="16">
        <f t="shared" si="27"/>
        <v>1489.2183405498527</v>
      </c>
      <c r="BA32" s="16">
        <f t="shared" si="28"/>
        <v>1260.0733065388004</v>
      </c>
      <c r="BB32" s="16">
        <f t="shared" si="29"/>
        <v>1089.0051449216085</v>
      </c>
      <c r="BC32" s="16">
        <f t="shared" si="30"/>
        <v>934.73908055276934</v>
      </c>
    </row>
    <row r="33" spans="2:55" x14ac:dyDescent="0.25">
      <c r="B33" s="41">
        <v>8100</v>
      </c>
      <c r="C33" s="16">
        <v>52.5</v>
      </c>
      <c r="D33" s="65">
        <f t="shared" si="0"/>
        <v>39.149250000000002</v>
      </c>
      <c r="E33" s="16">
        <f t="shared" si="1"/>
        <v>39149.25</v>
      </c>
      <c r="F33" s="21">
        <f t="shared" si="2"/>
        <v>34.040740740740738</v>
      </c>
      <c r="H33" s="16">
        <v>16.288904461495914</v>
      </c>
      <c r="I33" s="64">
        <v>21.039834929432224</v>
      </c>
      <c r="J33" s="16">
        <v>25.247801915318668</v>
      </c>
      <c r="K33" s="64">
        <v>29.132079133060007</v>
      </c>
      <c r="L33" s="16">
        <v>32.728632112450121</v>
      </c>
      <c r="M33" s="16">
        <v>36.591017268577794</v>
      </c>
      <c r="O33" s="118">
        <f t="shared" si="7"/>
        <v>58.640056061385295</v>
      </c>
      <c r="P33" s="118">
        <f t="shared" si="8"/>
        <v>75.743405745956011</v>
      </c>
      <c r="Q33" s="118">
        <f t="shared" si="9"/>
        <v>90.892086895147202</v>
      </c>
      <c r="R33" s="118">
        <f t="shared" si="10"/>
        <v>104.87548487901603</v>
      </c>
      <c r="S33" s="118">
        <f t="shared" si="11"/>
        <v>117.82307560482045</v>
      </c>
      <c r="T33" s="118">
        <f t="shared" si="12"/>
        <v>131.72766216688007</v>
      </c>
      <c r="V33" s="16">
        <f t="shared" si="13"/>
        <v>2403.4305126254435</v>
      </c>
      <c r="W33" s="16">
        <f t="shared" si="14"/>
        <v>1860.7203968713111</v>
      </c>
      <c r="X33" s="16">
        <f t="shared" si="15"/>
        <v>1550.6003307260926</v>
      </c>
      <c r="Y33" s="16">
        <f t="shared" si="16"/>
        <v>1343.8536199626133</v>
      </c>
      <c r="Z33" s="16">
        <f t="shared" si="17"/>
        <v>1196.1773979887</v>
      </c>
      <c r="AA33" s="16">
        <f t="shared" si="18"/>
        <v>1069.9142282010034</v>
      </c>
      <c r="AC33" s="16">
        <f>0.5*'Gearing Calculator'!$C$15*'Gearing Calculator'!$C$20*'Gearing Calculator'!$U$20*(Forces!H33^2)</f>
        <v>22.329375543029812</v>
      </c>
      <c r="AD33" s="16">
        <f>0.5*'Gearing Calculator'!$C$15*'Gearing Calculator'!$C$20*'Gearing Calculator'!$U$20*(Forces!I33^2)</f>
        <v>37.254392182034124</v>
      </c>
      <c r="AE33" s="16">
        <f>0.5*'Gearing Calculator'!$C$15*'Gearing Calculator'!$C$20*'Gearing Calculator'!$U$20*(Forces!J33^2)</f>
        <v>53.646324742129131</v>
      </c>
      <c r="AF33" s="16">
        <f>0.5*'Gearing Calculator'!$C$15*'Gearing Calculator'!$C$20*'Gearing Calculator'!$U$20*(Forces!K33^2)</f>
        <v>71.42262169810094</v>
      </c>
      <c r="AG33" s="16">
        <f>0.5*'Gearing Calculator'!$C$15*'Gearing Calculator'!$C$20*'Gearing Calculator'!$U$20*(Forces!L33^2)</f>
        <v>90.146430465168962</v>
      </c>
      <c r="AH33" s="16">
        <f>0.5*'Gearing Calculator'!$C$15*'Gearing Calculator'!$C$20*'Gearing Calculator'!$U$20*(Forces!M33^2)</f>
        <v>112.67869090974412</v>
      </c>
      <c r="AJ33" s="16">
        <f t="shared" si="19"/>
        <v>2381.1011370824135</v>
      </c>
      <c r="AK33" s="16">
        <f t="shared" si="20"/>
        <v>1823.466004689277</v>
      </c>
      <c r="AL33" s="16">
        <f t="shared" si="21"/>
        <v>1496.9540059839635</v>
      </c>
      <c r="AM33" s="16">
        <f t="shared" si="22"/>
        <v>1272.4309982645123</v>
      </c>
      <c r="AN33" s="16">
        <f t="shared" si="23"/>
        <v>1106.030967523531</v>
      </c>
      <c r="AO33" s="16">
        <f t="shared" si="24"/>
        <v>957.23553729125933</v>
      </c>
      <c r="AQ33" s="16">
        <f>0.5*'Gearing Calculator'!$C$15*'Gearing Calculator'!$C$20*'Gearing Calculator'!$W$20*(Forces!H33^2)</f>
        <v>28.082358761539673</v>
      </c>
      <c r="AR33" s="16">
        <f>0.5*'Gearing Calculator'!$C$15*'Gearing Calculator'!$C$20*'Gearing Calculator'!$W$20*(Forces!I33^2)</f>
        <v>46.852685364304925</v>
      </c>
      <c r="AS33" s="16">
        <f>0.5*'Gearing Calculator'!$C$15*'Gearing Calculator'!$C$20*'Gearing Calculator'!$W$20*(Forces!J33^2)</f>
        <v>67.467866924599079</v>
      </c>
      <c r="AT33" s="16">
        <f>0.5*'Gearing Calculator'!$C$15*'Gearing Calculator'!$C$20*'Gearing Calculator'!$W$20*(Forces!K33^2)</f>
        <v>89.824083183637867</v>
      </c>
      <c r="AU33" s="16">
        <f>0.5*'Gearing Calculator'!$C$15*'Gearing Calculator'!$C$20*'Gearing Calculator'!$W$20*(Forces!L33^2)</f>
        <v>113.37193001733038</v>
      </c>
      <c r="AV33" s="16">
        <f>0.5*'Gearing Calculator'!$C$15*'Gearing Calculator'!$C$20*'Gearing Calculator'!$W$20*(Forces!M33^2)</f>
        <v>141.70944533627207</v>
      </c>
      <c r="AX33" s="16">
        <f t="shared" si="25"/>
        <v>2375.3481538639039</v>
      </c>
      <c r="AY33" s="16">
        <f t="shared" si="26"/>
        <v>1813.8677115070061</v>
      </c>
      <c r="AZ33" s="16">
        <f t="shared" si="27"/>
        <v>1483.1324638014935</v>
      </c>
      <c r="BA33" s="16">
        <f t="shared" si="28"/>
        <v>1254.0295367789754</v>
      </c>
      <c r="BB33" s="16">
        <f t="shared" si="29"/>
        <v>1082.8054679713696</v>
      </c>
      <c r="BC33" s="16">
        <f t="shared" si="30"/>
        <v>928.20478286473133</v>
      </c>
    </row>
    <row r="34" spans="2:55" x14ac:dyDescent="0.25">
      <c r="B34" s="41">
        <v>8200</v>
      </c>
      <c r="C34" s="16">
        <v>53</v>
      </c>
      <c r="D34" s="65">
        <f t="shared" si="0"/>
        <v>39.522100000000002</v>
      </c>
      <c r="E34" s="16">
        <f t="shared" si="1"/>
        <v>39522.1</v>
      </c>
      <c r="F34" s="21">
        <f t="shared" si="2"/>
        <v>33.945853658536585</v>
      </c>
      <c r="H34" s="16">
        <v>16.49000204744031</v>
      </c>
      <c r="I34" s="64">
        <v>21.299585977943735</v>
      </c>
      <c r="J34" s="16">
        <v>25.559503173532477</v>
      </c>
      <c r="K34" s="64">
        <v>29.491734430999013</v>
      </c>
      <c r="L34" s="16">
        <v>33.132689299023582</v>
      </c>
      <c r="M34" s="16">
        <v>37.042758222510841</v>
      </c>
      <c r="O34" s="118">
        <f t="shared" si="7"/>
        <v>59.364007370785117</v>
      </c>
      <c r="P34" s="118">
        <f t="shared" si="8"/>
        <v>76.678509520597444</v>
      </c>
      <c r="Q34" s="118">
        <f t="shared" si="9"/>
        <v>92.014211424716919</v>
      </c>
      <c r="R34" s="118">
        <f t="shared" si="10"/>
        <v>106.17024395159645</v>
      </c>
      <c r="S34" s="118">
        <f t="shared" si="11"/>
        <v>119.2776814764849</v>
      </c>
      <c r="T34" s="118">
        <f t="shared" si="12"/>
        <v>133.35392960103903</v>
      </c>
      <c r="V34" s="16">
        <f t="shared" si="13"/>
        <v>2396.731054750529</v>
      </c>
      <c r="W34" s="16">
        <f t="shared" si="14"/>
        <v>1855.5337198068612</v>
      </c>
      <c r="X34" s="16">
        <f t="shared" si="15"/>
        <v>1546.2780998390513</v>
      </c>
      <c r="Y34" s="16">
        <f t="shared" si="16"/>
        <v>1340.1076865271777</v>
      </c>
      <c r="Z34" s="16">
        <f t="shared" si="17"/>
        <v>1192.8431055901253</v>
      </c>
      <c r="AA34" s="16">
        <f t="shared" si="18"/>
        <v>1066.9318888889452</v>
      </c>
      <c r="AC34" s="16">
        <f>0.5*'Gearing Calculator'!$C$15*'Gearing Calculator'!$C$20*'Gearing Calculator'!$U$20*(Forces!H34^2)</f>
        <v>22.884121498450313</v>
      </c>
      <c r="AD34" s="16">
        <f>0.5*'Gearing Calculator'!$C$15*'Gearing Calculator'!$C$20*'Gearing Calculator'!$U$20*(Forces!I34^2)</f>
        <v>38.179931875018674</v>
      </c>
      <c r="AE34" s="16">
        <f>0.5*'Gearing Calculator'!$C$15*'Gearing Calculator'!$C$20*'Gearing Calculator'!$U$20*(Forces!J34^2)</f>
        <v>54.979101900026862</v>
      </c>
      <c r="AF34" s="16">
        <f>0.5*'Gearing Calculator'!$C$15*'Gearing Calculator'!$C$20*'Gearing Calculator'!$U$20*(Forces!K34^2)</f>
        <v>73.197029156840514</v>
      </c>
      <c r="AG34" s="16">
        <f>0.5*'Gearing Calculator'!$C$15*'Gearing Calculator'!$C$20*'Gearing Calculator'!$U$20*(Forces!L34^2)</f>
        <v>92.386007993872298</v>
      </c>
      <c r="AH34" s="16">
        <f>0.5*'Gearing Calculator'!$C$15*'Gearing Calculator'!$C$20*'Gearing Calculator'!$U$20*(Forces!M34^2)</f>
        <v>115.47805482047234</v>
      </c>
      <c r="AJ34" s="16">
        <f t="shared" si="19"/>
        <v>2373.8469332520785</v>
      </c>
      <c r="AK34" s="16">
        <f t="shared" si="20"/>
        <v>1817.3537879318426</v>
      </c>
      <c r="AL34" s="16">
        <f t="shared" si="21"/>
        <v>1491.2989979390245</v>
      </c>
      <c r="AM34" s="16">
        <f t="shared" si="22"/>
        <v>1266.9106573703373</v>
      </c>
      <c r="AN34" s="16">
        <f t="shared" si="23"/>
        <v>1100.4570975962531</v>
      </c>
      <c r="AO34" s="16">
        <f t="shared" si="24"/>
        <v>951.45383406847282</v>
      </c>
      <c r="AQ34" s="16">
        <f>0.5*'Gearing Calculator'!$C$15*'Gearing Calculator'!$C$20*'Gearing Calculator'!$W$20*(Forces!H34^2)</f>
        <v>28.78003053080214</v>
      </c>
      <c r="AR34" s="16">
        <f>0.5*'Gearing Calculator'!$C$15*'Gearing Calculator'!$C$20*'Gearing Calculator'!$W$20*(Forces!I34^2)</f>
        <v>48.016682882119547</v>
      </c>
      <c r="AS34" s="16">
        <f>0.5*'Gearing Calculator'!$C$15*'Gearing Calculator'!$C$20*'Gearing Calculator'!$W$20*(Forces!J34^2)</f>
        <v>69.144023350252112</v>
      </c>
      <c r="AT34" s="16">
        <f>0.5*'Gearing Calculator'!$C$15*'Gearing Calculator'!$C$20*'Gearing Calculator'!$W$20*(Forces!K34^2)</f>
        <v>92.055652389388939</v>
      </c>
      <c r="AU34" s="16">
        <f>0.5*'Gearing Calculator'!$C$15*'Gearing Calculator'!$C$20*'Gearing Calculator'!$W$20*(Forces!L34^2)</f>
        <v>116.18851660364726</v>
      </c>
      <c r="AV34" s="16">
        <f>0.5*'Gearing Calculator'!$C$15*'Gearing Calculator'!$C$20*'Gearing Calculator'!$W$20*(Forces!M34^2)</f>
        <v>145.23004274365078</v>
      </c>
      <c r="AX34" s="16">
        <f t="shared" si="25"/>
        <v>2367.9510242197271</v>
      </c>
      <c r="AY34" s="16">
        <f t="shared" si="26"/>
        <v>1807.5170369247417</v>
      </c>
      <c r="AZ34" s="16">
        <f t="shared" si="27"/>
        <v>1477.1340764887991</v>
      </c>
      <c r="BA34" s="16">
        <f t="shared" si="28"/>
        <v>1248.0520341377887</v>
      </c>
      <c r="BB34" s="16">
        <f t="shared" si="29"/>
        <v>1076.6545889864781</v>
      </c>
      <c r="BC34" s="16">
        <f t="shared" si="30"/>
        <v>921.70184614529444</v>
      </c>
    </row>
    <row r="35" spans="2:55" x14ac:dyDescent="0.25">
      <c r="B35" s="41">
        <v>8300</v>
      </c>
      <c r="C35" s="16">
        <v>54</v>
      </c>
      <c r="D35" s="65">
        <f t="shared" si="0"/>
        <v>40.267800000000001</v>
      </c>
      <c r="E35" s="16">
        <f t="shared" si="1"/>
        <v>40267.800000000003</v>
      </c>
      <c r="F35" s="21">
        <f t="shared" si="2"/>
        <v>34.169638554216867</v>
      </c>
      <c r="H35" s="16">
        <v>16.691099633384702</v>
      </c>
      <c r="I35" s="64">
        <v>21.55933702645525</v>
      </c>
      <c r="J35" s="16">
        <v>25.871204431746289</v>
      </c>
      <c r="K35" s="64">
        <v>29.851389728938027</v>
      </c>
      <c r="L35" s="16">
        <v>33.536746485597043</v>
      </c>
      <c r="M35" s="16">
        <v>37.49449917644391</v>
      </c>
      <c r="O35" s="118">
        <f t="shared" si="7"/>
        <v>60.087958680184933</v>
      </c>
      <c r="P35" s="118">
        <f t="shared" si="8"/>
        <v>77.613613295238906</v>
      </c>
      <c r="Q35" s="118">
        <f t="shared" si="9"/>
        <v>93.136335954286636</v>
      </c>
      <c r="R35" s="118">
        <f t="shared" si="10"/>
        <v>107.46500302417689</v>
      </c>
      <c r="S35" s="118">
        <f t="shared" si="11"/>
        <v>120.73228734814936</v>
      </c>
      <c r="T35" s="118">
        <f t="shared" si="12"/>
        <v>134.98019703519807</v>
      </c>
      <c r="V35" s="16">
        <f t="shared" si="13"/>
        <v>2412.5312822085348</v>
      </c>
      <c r="W35" s="16">
        <f t="shared" si="14"/>
        <v>1867.7661539678973</v>
      </c>
      <c r="X35" s="16">
        <f t="shared" si="15"/>
        <v>1556.4717949732483</v>
      </c>
      <c r="Y35" s="16">
        <f t="shared" si="16"/>
        <v>1348.9422223101485</v>
      </c>
      <c r="Z35" s="16">
        <f t="shared" si="17"/>
        <v>1200.7068132650772</v>
      </c>
      <c r="AA35" s="16">
        <f t="shared" si="18"/>
        <v>1073.9655385315409</v>
      </c>
      <c r="AC35" s="16">
        <f>0.5*'Gearing Calculator'!$C$15*'Gearing Calculator'!$C$20*'Gearing Calculator'!$U$20*(Forces!H35^2)</f>
        <v>23.445674152710318</v>
      </c>
      <c r="AD35" s="16">
        <f>0.5*'Gearing Calculator'!$C$15*'Gearing Calculator'!$C$20*'Gearing Calculator'!$U$20*(Forces!I35^2)</f>
        <v>39.116827883254572</v>
      </c>
      <c r="AE35" s="16">
        <f>0.5*'Gearing Calculator'!$C$15*'Gearing Calculator'!$C$20*'Gearing Calculator'!$U$20*(Forces!J35^2)</f>
        <v>56.328232151886539</v>
      </c>
      <c r="AF35" s="16">
        <f>0.5*'Gearing Calculator'!$C$15*'Gearing Calculator'!$C$20*'Gearing Calculator'!$U$20*(Forces!K35^2)</f>
        <v>74.993208486239482</v>
      </c>
      <c r="AG35" s="16">
        <f>0.5*'Gearing Calculator'!$C$15*'Gearing Calculator'!$C$20*'Gearing Calculator'!$U$20*(Forces!L35^2)</f>
        <v>94.653065001455431</v>
      </c>
      <c r="AH35" s="16">
        <f>0.5*'Gearing Calculator'!$C$15*'Gearing Calculator'!$C$20*'Gearing Calculator'!$U$20*(Forces!M35^2)</f>
        <v>118.31176675464521</v>
      </c>
      <c r="AJ35" s="16">
        <f t="shared" si="19"/>
        <v>2389.0856080558247</v>
      </c>
      <c r="AK35" s="16">
        <f t="shared" si="20"/>
        <v>1828.6493260846428</v>
      </c>
      <c r="AL35" s="16">
        <f t="shared" si="21"/>
        <v>1500.1435628213617</v>
      </c>
      <c r="AM35" s="16">
        <f t="shared" si="22"/>
        <v>1273.9490138239091</v>
      </c>
      <c r="AN35" s="16">
        <f t="shared" si="23"/>
        <v>1106.0537482636219</v>
      </c>
      <c r="AO35" s="16">
        <f t="shared" si="24"/>
        <v>955.65377177689572</v>
      </c>
      <c r="AQ35" s="16">
        <f>0.5*'Gearing Calculator'!$C$15*'Gearing Calculator'!$C$20*'Gearing Calculator'!$W$20*(Forces!H35^2)</f>
        <v>29.486262689871488</v>
      </c>
      <c r="AR35" s="16">
        <f>0.5*'Gearing Calculator'!$C$15*'Gearing Calculator'!$C$20*'Gearing Calculator'!$W$20*(Forces!I35^2)</f>
        <v>49.194962578066878</v>
      </c>
      <c r="AS35" s="16">
        <f>0.5*'Gearing Calculator'!$C$15*'Gearing Calculator'!$C$20*'Gearing Calculator'!$W$20*(Forces!J35^2)</f>
        <v>70.840746112416255</v>
      </c>
      <c r="AT35" s="16">
        <f>0.5*'Gearing Calculator'!$C$15*'Gearing Calculator'!$C$20*'Gearing Calculator'!$W$20*(Forces!K35^2)</f>
        <v>94.314602812388515</v>
      </c>
      <c r="AU35" s="16">
        <f>0.5*'Gearing Calculator'!$C$15*'Gearing Calculator'!$C$20*'Gearing Calculator'!$W$20*(Forces!L35^2)</f>
        <v>119.0396625345815</v>
      </c>
      <c r="AV35" s="16">
        <f>0.5*'Gearing Calculator'!$C$15*'Gearing Calculator'!$C$20*'Gearing Calculator'!$W$20*(Forces!M35^2)</f>
        <v>148.79383766523063</v>
      </c>
      <c r="AX35" s="16">
        <f t="shared" si="25"/>
        <v>2383.0450195186631</v>
      </c>
      <c r="AY35" s="16">
        <f t="shared" si="26"/>
        <v>1818.5711913898303</v>
      </c>
      <c r="AZ35" s="16">
        <f t="shared" si="27"/>
        <v>1485.6310488608319</v>
      </c>
      <c r="BA35" s="16">
        <f t="shared" si="28"/>
        <v>1254.62761949776</v>
      </c>
      <c r="BB35" s="16">
        <f t="shared" si="29"/>
        <v>1081.6671507304957</v>
      </c>
      <c r="BC35" s="16">
        <f t="shared" si="30"/>
        <v>925.17170086631029</v>
      </c>
    </row>
    <row r="36" spans="2:55" x14ac:dyDescent="0.25">
      <c r="B36" s="41">
        <v>8400</v>
      </c>
      <c r="C36" s="16">
        <v>55</v>
      </c>
      <c r="D36" s="65">
        <f t="shared" si="0"/>
        <v>41.013500000000001</v>
      </c>
      <c r="E36" s="16">
        <f t="shared" si="1"/>
        <v>41013.5</v>
      </c>
      <c r="F36" s="21">
        <f t="shared" si="2"/>
        <v>34.388095238095239</v>
      </c>
      <c r="H36" s="16">
        <v>16.892197219329098</v>
      </c>
      <c r="I36" s="64">
        <v>21.819088074966754</v>
      </c>
      <c r="J36" s="16">
        <v>26.182905689960098</v>
      </c>
      <c r="K36" s="64">
        <v>30.211045026877041</v>
      </c>
      <c r="L36" s="16">
        <v>33.940803672170503</v>
      </c>
      <c r="M36" s="16">
        <v>37.946240130376964</v>
      </c>
      <c r="O36" s="118">
        <f t="shared" si="7"/>
        <v>60.811909989584755</v>
      </c>
      <c r="P36" s="118">
        <f t="shared" si="8"/>
        <v>78.548717069880311</v>
      </c>
      <c r="Q36" s="118">
        <f t="shared" si="9"/>
        <v>94.258460483856354</v>
      </c>
      <c r="R36" s="118">
        <f t="shared" si="10"/>
        <v>108.75976209675736</v>
      </c>
      <c r="S36" s="118">
        <f t="shared" si="11"/>
        <v>122.18689321981381</v>
      </c>
      <c r="T36" s="118">
        <f t="shared" si="12"/>
        <v>136.60646446935706</v>
      </c>
      <c r="V36" s="16">
        <f t="shared" si="13"/>
        <v>2427.9553137746825</v>
      </c>
      <c r="W36" s="16">
        <f t="shared" si="14"/>
        <v>1879.7073396965282</v>
      </c>
      <c r="X36" s="16">
        <f t="shared" si="15"/>
        <v>1566.4227830804407</v>
      </c>
      <c r="Y36" s="16">
        <f t="shared" si="16"/>
        <v>1357.5664120030483</v>
      </c>
      <c r="Z36" s="16">
        <f t="shared" si="17"/>
        <v>1208.3832898049111</v>
      </c>
      <c r="AA36" s="16">
        <f t="shared" si="18"/>
        <v>1080.8317203255037</v>
      </c>
      <c r="AC36" s="16">
        <f>0.5*'Gearing Calculator'!$C$15*'Gearing Calculator'!$C$20*'Gearing Calculator'!$U$20*(Forces!H36^2)</f>
        <v>24.014033505809849</v>
      </c>
      <c r="AD36" s="16">
        <f>0.5*'Gearing Calculator'!$C$15*'Gearing Calculator'!$C$20*'Gearing Calculator'!$U$20*(Forces!I36^2)</f>
        <v>40.065080206741783</v>
      </c>
      <c r="AE36" s="16">
        <f>0.5*'Gearing Calculator'!$C$15*'Gearing Calculator'!$C$20*'Gearing Calculator'!$U$20*(Forces!J36^2)</f>
        <v>57.693715497708133</v>
      </c>
      <c r="AF36" s="16">
        <f>0.5*'Gearing Calculator'!$C$15*'Gearing Calculator'!$C$20*'Gearing Calculator'!$U$20*(Forces!K36^2)</f>
        <v>76.811159686297842</v>
      </c>
      <c r="AG36" s="16">
        <f>0.5*'Gearing Calculator'!$C$15*'Gearing Calculator'!$C$20*'Gearing Calculator'!$U$20*(Forces!L36^2)</f>
        <v>96.947601487918377</v>
      </c>
      <c r="AH36" s="16">
        <f>0.5*'Gearing Calculator'!$C$15*'Gearing Calculator'!$C$20*'Gearing Calculator'!$U$20*(Forces!M36^2)</f>
        <v>121.17982671226248</v>
      </c>
      <c r="AJ36" s="16">
        <f t="shared" si="19"/>
        <v>2403.9412802688726</v>
      </c>
      <c r="AK36" s="16">
        <f t="shared" si="20"/>
        <v>1839.6422594897863</v>
      </c>
      <c r="AL36" s="16">
        <f t="shared" si="21"/>
        <v>1508.7290675827326</v>
      </c>
      <c r="AM36" s="16">
        <f t="shared" si="22"/>
        <v>1280.7552523167506</v>
      </c>
      <c r="AN36" s="16">
        <f t="shared" si="23"/>
        <v>1111.4356883169928</v>
      </c>
      <c r="AO36" s="16">
        <f t="shared" si="24"/>
        <v>959.65189361324121</v>
      </c>
      <c r="AQ36" s="16">
        <f>0.5*'Gearing Calculator'!$C$15*'Gearing Calculator'!$C$20*'Gearing Calculator'!$W$20*(Forces!H36^2)</f>
        <v>30.201055238747756</v>
      </c>
      <c r="AR36" s="16">
        <f>0.5*'Gearing Calculator'!$C$15*'Gearing Calculator'!$C$20*'Gearing Calculator'!$W$20*(Forces!I36^2)</f>
        <v>50.38752445214687</v>
      </c>
      <c r="AS36" s="16">
        <f>0.5*'Gearing Calculator'!$C$15*'Gearing Calculator'!$C$20*'Gearing Calculator'!$W$20*(Forces!J36^2)</f>
        <v>72.55803521109145</v>
      </c>
      <c r="AT36" s="16">
        <f>0.5*'Gearing Calculator'!$C$15*'Gearing Calculator'!$C$20*'Gearing Calculator'!$W$20*(Forces!K36^2)</f>
        <v>96.600934452636579</v>
      </c>
      <c r="AU36" s="16">
        <f>0.5*'Gearing Calculator'!$C$15*'Gearing Calculator'!$C$20*'Gearing Calculator'!$W$20*(Forces!L36^2)</f>
        <v>121.92536781013315</v>
      </c>
      <c r="AV36" s="16">
        <f>0.5*'Gearing Calculator'!$C$15*'Gearing Calculator'!$C$20*'Gearing Calculator'!$W$20*(Forces!M36^2)</f>
        <v>152.40083010101134</v>
      </c>
      <c r="AX36" s="16">
        <f t="shared" si="25"/>
        <v>2397.7542585359347</v>
      </c>
      <c r="AY36" s="16">
        <f t="shared" si="26"/>
        <v>1829.3198152443813</v>
      </c>
      <c r="AZ36" s="16">
        <f t="shared" si="27"/>
        <v>1493.8647478693492</v>
      </c>
      <c r="BA36" s="16">
        <f t="shared" si="28"/>
        <v>1260.9654775504118</v>
      </c>
      <c r="BB36" s="16">
        <f t="shared" si="29"/>
        <v>1086.457921994778</v>
      </c>
      <c r="BC36" s="16">
        <f t="shared" si="30"/>
        <v>928.43089022449237</v>
      </c>
    </row>
    <row r="37" spans="2:55" x14ac:dyDescent="0.25">
      <c r="B37" s="41">
        <v>8500</v>
      </c>
      <c r="C37" s="16">
        <v>56</v>
      </c>
      <c r="D37" s="65">
        <f t="shared" si="0"/>
        <v>41.7592</v>
      </c>
      <c r="E37" s="16">
        <f t="shared" si="1"/>
        <v>41759.199999999997</v>
      </c>
      <c r="F37" s="21">
        <f t="shared" si="2"/>
        <v>34.60141176470588</v>
      </c>
      <c r="H37" s="16">
        <v>17.093294805273491</v>
      </c>
      <c r="I37" s="64">
        <v>22.078839123478261</v>
      </c>
      <c r="J37" s="16">
        <v>26.494606948173914</v>
      </c>
      <c r="K37" s="64">
        <v>30.570700324816055</v>
      </c>
      <c r="L37" s="16">
        <v>34.344860858743964</v>
      </c>
      <c r="M37" s="16">
        <v>38.397981084310032</v>
      </c>
      <c r="O37" s="118">
        <f t="shared" si="7"/>
        <v>61.535861298984571</v>
      </c>
      <c r="P37" s="118">
        <f t="shared" si="8"/>
        <v>79.483820844521745</v>
      </c>
      <c r="Q37" s="118">
        <f t="shared" si="9"/>
        <v>95.380585013426085</v>
      </c>
      <c r="R37" s="118">
        <f t="shared" si="10"/>
        <v>110.0545211693378</v>
      </c>
      <c r="S37" s="118">
        <f t="shared" si="11"/>
        <v>123.64149909147827</v>
      </c>
      <c r="T37" s="118">
        <f t="shared" si="12"/>
        <v>138.23273190351611</v>
      </c>
      <c r="V37" s="16">
        <f t="shared" si="13"/>
        <v>2443.0164269510387</v>
      </c>
      <c r="W37" s="16">
        <f t="shared" si="14"/>
        <v>1891.3675563491913</v>
      </c>
      <c r="X37" s="16">
        <f t="shared" si="15"/>
        <v>1576.1396302909927</v>
      </c>
      <c r="Y37" s="16">
        <f t="shared" si="16"/>
        <v>1365.9876795855268</v>
      </c>
      <c r="Z37" s="16">
        <f t="shared" si="17"/>
        <v>1215.8791433673371</v>
      </c>
      <c r="AA37" s="16">
        <f t="shared" si="18"/>
        <v>1087.5363449007846</v>
      </c>
      <c r="AC37" s="16">
        <f>0.5*'Gearing Calculator'!$C$15*'Gearing Calculator'!$C$20*'Gearing Calculator'!$U$20*(Forces!H37^2)</f>
        <v>24.589199557748884</v>
      </c>
      <c r="AD37" s="16">
        <f>0.5*'Gearing Calculator'!$C$15*'Gearing Calculator'!$C$20*'Gearing Calculator'!$U$20*(Forces!I37^2)</f>
        <v>41.024688845480348</v>
      </c>
      <c r="AE37" s="16">
        <f>0.5*'Gearing Calculator'!$C$15*'Gearing Calculator'!$C$20*'Gearing Calculator'!$U$20*(Forces!J37^2)</f>
        <v>59.075551937491703</v>
      </c>
      <c r="AF37" s="16">
        <f>0.5*'Gearing Calculator'!$C$15*'Gearing Calculator'!$C$20*'Gearing Calculator'!$U$20*(Forces!K37^2)</f>
        <v>78.65088275701558</v>
      </c>
      <c r="AG37" s="16">
        <f>0.5*'Gearing Calculator'!$C$15*'Gearing Calculator'!$C$20*'Gearing Calculator'!$U$20*(Forces!L37^2)</f>
        <v>99.269617453261105</v>
      </c>
      <c r="AH37" s="16">
        <f>0.5*'Gearing Calculator'!$C$15*'Gearing Calculator'!$C$20*'Gearing Calculator'!$U$20*(Forces!M37^2)</f>
        <v>124.08223469332439</v>
      </c>
      <c r="AJ37" s="16">
        <f t="shared" si="19"/>
        <v>2418.4272273932897</v>
      </c>
      <c r="AK37" s="16">
        <f t="shared" si="20"/>
        <v>1850.342867503711</v>
      </c>
      <c r="AL37" s="16">
        <f t="shared" si="21"/>
        <v>1517.0640783535009</v>
      </c>
      <c r="AM37" s="16">
        <f t="shared" si="22"/>
        <v>1287.3367968285113</v>
      </c>
      <c r="AN37" s="16">
        <f t="shared" si="23"/>
        <v>1116.6095259140759</v>
      </c>
      <c r="AO37" s="16">
        <f t="shared" si="24"/>
        <v>963.45411020746019</v>
      </c>
      <c r="AQ37" s="16">
        <f>0.5*'Gearing Calculator'!$C$15*'Gearing Calculator'!$C$20*'Gearing Calculator'!$W$20*(Forces!H37^2)</f>
        <v>30.924408177430909</v>
      </c>
      <c r="AR37" s="16">
        <f>0.5*'Gearing Calculator'!$C$15*'Gearing Calculator'!$C$20*'Gearing Calculator'!$W$20*(Forces!I37^2)</f>
        <v>51.594368504359558</v>
      </c>
      <c r="AS37" s="16">
        <f>0.5*'Gearing Calculator'!$C$15*'Gearing Calculator'!$C$20*'Gearing Calculator'!$W$20*(Forces!J37^2)</f>
        <v>74.295890646277769</v>
      </c>
      <c r="AT37" s="16">
        <f>0.5*'Gearing Calculator'!$C$15*'Gearing Calculator'!$C$20*'Gearing Calculator'!$W$20*(Forces!K37^2)</f>
        <v>98.914647310133134</v>
      </c>
      <c r="AU37" s="16">
        <f>0.5*'Gearing Calculator'!$C$15*'Gearing Calculator'!$C$20*'Gearing Calculator'!$W$20*(Forces!L37^2)</f>
        <v>124.84563243030217</v>
      </c>
      <c r="AV37" s="16">
        <f>0.5*'Gearing Calculator'!$C$15*'Gearing Calculator'!$C$20*'Gearing Calculator'!$W$20*(Forces!M37^2)</f>
        <v>156.05102005099312</v>
      </c>
      <c r="AX37" s="16">
        <f t="shared" si="25"/>
        <v>2412.0920187736078</v>
      </c>
      <c r="AY37" s="16">
        <f t="shared" si="26"/>
        <v>1839.7731878448317</v>
      </c>
      <c r="AZ37" s="16">
        <f t="shared" si="27"/>
        <v>1501.843739644715</v>
      </c>
      <c r="BA37" s="16">
        <f t="shared" si="28"/>
        <v>1267.0730322753936</v>
      </c>
      <c r="BB37" s="16">
        <f t="shared" si="29"/>
        <v>1091.0335109370349</v>
      </c>
      <c r="BC37" s="16">
        <f t="shared" si="30"/>
        <v>931.48532484979148</v>
      </c>
    </row>
    <row r="38" spans="2:55" x14ac:dyDescent="0.25">
      <c r="B38" s="41">
        <v>8600</v>
      </c>
      <c r="C38" s="16">
        <v>57</v>
      </c>
      <c r="D38" s="65">
        <f t="shared" si="0"/>
        <v>42.504899999999999</v>
      </c>
      <c r="E38" s="16">
        <f t="shared" si="1"/>
        <v>42504.9</v>
      </c>
      <c r="F38" s="21">
        <f t="shared" si="2"/>
        <v>34.809767441860465</v>
      </c>
      <c r="H38" s="16">
        <v>17.29439239121789</v>
      </c>
      <c r="I38" s="64">
        <v>22.338590171989772</v>
      </c>
      <c r="J38" s="16">
        <v>26.806308206387722</v>
      </c>
      <c r="K38" s="64">
        <v>30.930355622755069</v>
      </c>
      <c r="L38" s="16">
        <v>34.748918045317417</v>
      </c>
      <c r="M38" s="16">
        <v>38.84972203824308</v>
      </c>
      <c r="O38" s="118">
        <f t="shared" si="7"/>
        <v>62.259812608384408</v>
      </c>
      <c r="P38" s="118">
        <f t="shared" si="8"/>
        <v>80.418924619163178</v>
      </c>
      <c r="Q38" s="118">
        <f t="shared" si="9"/>
        <v>96.502709542995802</v>
      </c>
      <c r="R38" s="118">
        <f t="shared" si="10"/>
        <v>111.34928024191825</v>
      </c>
      <c r="S38" s="118">
        <f t="shared" si="11"/>
        <v>125.09610496314271</v>
      </c>
      <c r="T38" s="118">
        <f t="shared" si="12"/>
        <v>139.8589993376751</v>
      </c>
      <c r="V38" s="16">
        <f t="shared" si="13"/>
        <v>2457.7272816814329</v>
      </c>
      <c r="W38" s="16">
        <f t="shared" si="14"/>
        <v>1902.7566051727224</v>
      </c>
      <c r="X38" s="16">
        <f t="shared" si="15"/>
        <v>1585.6305043106022</v>
      </c>
      <c r="Y38" s="16">
        <f t="shared" si="16"/>
        <v>1374.2131037358552</v>
      </c>
      <c r="Z38" s="16">
        <f t="shared" si="17"/>
        <v>1223.2006747538933</v>
      </c>
      <c r="AA38" s="16">
        <f t="shared" si="18"/>
        <v>1094.0850479743156</v>
      </c>
      <c r="AC38" s="16">
        <f>0.5*'Gearing Calculator'!$C$15*'Gearing Calculator'!$C$20*'Gearing Calculator'!$U$20*(Forces!H38^2)</f>
        <v>25.171172308527453</v>
      </c>
      <c r="AD38" s="16">
        <f>0.5*'Gearing Calculator'!$C$15*'Gearing Calculator'!$C$20*'Gearing Calculator'!$U$20*(Forces!I38^2)</f>
        <v>41.995653799470276</v>
      </c>
      <c r="AE38" s="16">
        <f>0.5*'Gearing Calculator'!$C$15*'Gearing Calculator'!$C$20*'Gearing Calculator'!$U$20*(Forces!J38^2)</f>
        <v>60.473741471237169</v>
      </c>
      <c r="AF38" s="16">
        <f>0.5*'Gearing Calculator'!$C$15*'Gearing Calculator'!$C$20*'Gearing Calculator'!$U$20*(Forces!K38^2)</f>
        <v>80.512377698392712</v>
      </c>
      <c r="AG38" s="16">
        <f>0.5*'Gearing Calculator'!$C$15*'Gearing Calculator'!$C$20*'Gearing Calculator'!$U$20*(Forces!L38^2)</f>
        <v>101.61911289748357</v>
      </c>
      <c r="AH38" s="16">
        <f>0.5*'Gearing Calculator'!$C$15*'Gearing Calculator'!$C$20*'Gearing Calculator'!$U$20*(Forces!M38^2)</f>
        <v>127.01899069783067</v>
      </c>
      <c r="AJ38" s="16">
        <f t="shared" si="19"/>
        <v>2432.5561093729057</v>
      </c>
      <c r="AK38" s="16">
        <f t="shared" si="20"/>
        <v>1860.7609513732521</v>
      </c>
      <c r="AL38" s="16">
        <f t="shared" si="21"/>
        <v>1525.156762839365</v>
      </c>
      <c r="AM38" s="16">
        <f t="shared" si="22"/>
        <v>1293.7007260374623</v>
      </c>
      <c r="AN38" s="16">
        <f t="shared" si="23"/>
        <v>1121.5815618564097</v>
      </c>
      <c r="AO38" s="16">
        <f t="shared" si="24"/>
        <v>967.06605727648491</v>
      </c>
      <c r="AQ38" s="16">
        <f>0.5*'Gearing Calculator'!$C$15*'Gearing Calculator'!$C$20*'Gearing Calculator'!$W$20*(Forces!H38^2)</f>
        <v>31.656321505920985</v>
      </c>
      <c r="AR38" s="16">
        <f>0.5*'Gearing Calculator'!$C$15*'Gearing Calculator'!$C$20*'Gearing Calculator'!$W$20*(Forces!I38^2)</f>
        <v>52.81549473470497</v>
      </c>
      <c r="AS38" s="16">
        <f>0.5*'Gearing Calculator'!$C$15*'Gearing Calculator'!$C$20*'Gearing Calculator'!$W$20*(Forces!J38^2)</f>
        <v>76.054312417975126</v>
      </c>
      <c r="AT38" s="16">
        <f>0.5*'Gearing Calculator'!$C$15*'Gearing Calculator'!$C$20*'Gearing Calculator'!$W$20*(Forces!K38^2)</f>
        <v>101.25574138487816</v>
      </c>
      <c r="AU38" s="16">
        <f>0.5*'Gearing Calculator'!$C$15*'Gearing Calculator'!$C$20*'Gearing Calculator'!$W$20*(Forces!L38^2)</f>
        <v>127.80045639508852</v>
      </c>
      <c r="AV38" s="16">
        <f>0.5*'Gearing Calculator'!$C$15*'Gearing Calculator'!$C$20*'Gearing Calculator'!$W$20*(Forces!M38^2)</f>
        <v>159.74440751517568</v>
      </c>
      <c r="AX38" s="16">
        <f t="shared" si="25"/>
        <v>2426.070960175512</v>
      </c>
      <c r="AY38" s="16">
        <f t="shared" si="26"/>
        <v>1849.9411104380174</v>
      </c>
      <c r="AZ38" s="16">
        <f t="shared" si="27"/>
        <v>1509.5761918926271</v>
      </c>
      <c r="BA38" s="16">
        <f t="shared" si="28"/>
        <v>1272.9573623509771</v>
      </c>
      <c r="BB38" s="16">
        <f t="shared" si="29"/>
        <v>1095.4002183588048</v>
      </c>
      <c r="BC38" s="16">
        <f t="shared" si="30"/>
        <v>934.34064045913988</v>
      </c>
    </row>
    <row r="39" spans="2:55" x14ac:dyDescent="0.25">
      <c r="B39" s="41">
        <v>8700</v>
      </c>
      <c r="C39" s="16">
        <v>58</v>
      </c>
      <c r="D39" s="65">
        <f t="shared" si="0"/>
        <v>43.250599999999999</v>
      </c>
      <c r="E39" s="16">
        <f t="shared" si="1"/>
        <v>43250.6</v>
      </c>
      <c r="F39" s="21">
        <f t="shared" si="2"/>
        <v>35.013333333333335</v>
      </c>
      <c r="H39" s="16">
        <v>17.495489977162279</v>
      </c>
      <c r="I39" s="64">
        <v>22.598341220501283</v>
      </c>
      <c r="J39" s="16">
        <v>27.118009464601531</v>
      </c>
      <c r="K39" s="64">
        <v>31.290010920694076</v>
      </c>
      <c r="L39" s="16">
        <v>35.152975231890885</v>
      </c>
      <c r="M39" s="16">
        <v>39.301462992176155</v>
      </c>
      <c r="O39" s="118">
        <f t="shared" si="7"/>
        <v>62.983763917784209</v>
      </c>
      <c r="P39" s="118">
        <f t="shared" si="8"/>
        <v>81.354028393804626</v>
      </c>
      <c r="Q39" s="118">
        <f t="shared" si="9"/>
        <v>97.62483407256552</v>
      </c>
      <c r="R39" s="118">
        <f t="shared" si="10"/>
        <v>112.64403931449867</v>
      </c>
      <c r="S39" s="118">
        <f t="shared" si="11"/>
        <v>126.55071083480719</v>
      </c>
      <c r="T39" s="118">
        <f t="shared" si="12"/>
        <v>141.48526677183418</v>
      </c>
      <c r="V39" s="16">
        <f t="shared" si="13"/>
        <v>2472.0999558433132</v>
      </c>
      <c r="W39" s="16">
        <f t="shared" si="14"/>
        <v>1913.8838367819194</v>
      </c>
      <c r="X39" s="16">
        <f t="shared" si="15"/>
        <v>1594.9031973182666</v>
      </c>
      <c r="Y39" s="16">
        <f t="shared" si="16"/>
        <v>1382.2494376758311</v>
      </c>
      <c r="Z39" s="16">
        <f t="shared" si="17"/>
        <v>1230.353895074091</v>
      </c>
      <c r="AA39" s="16">
        <f t="shared" si="18"/>
        <v>1100.4832061496033</v>
      </c>
      <c r="AC39" s="16">
        <f>0.5*'Gearing Calculator'!$C$15*'Gearing Calculator'!$C$20*'Gearing Calculator'!$U$20*(Forces!H39^2)</f>
        <v>25.759951758145508</v>
      </c>
      <c r="AD39" s="16">
        <f>0.5*'Gearing Calculator'!$C$15*'Gearing Calculator'!$C$20*'Gearing Calculator'!$U$20*(Forces!I39^2)</f>
        <v>42.977975068711537</v>
      </c>
      <c r="AE39" s="16">
        <f>0.5*'Gearing Calculator'!$C$15*'Gearing Calculator'!$C$20*'Gearing Calculator'!$U$20*(Forces!J39^2)</f>
        <v>61.888284098944581</v>
      </c>
      <c r="AF39" s="16">
        <f>0.5*'Gearing Calculator'!$C$15*'Gearing Calculator'!$C$20*'Gearing Calculator'!$U$20*(Forces!K39^2)</f>
        <v>82.395644510429179</v>
      </c>
      <c r="AG39" s="16">
        <f>0.5*'Gearing Calculator'!$C$15*'Gearing Calculator'!$C$20*'Gearing Calculator'!$U$20*(Forces!L39^2)</f>
        <v>103.99608782058594</v>
      </c>
      <c r="AH39" s="16">
        <f>0.5*'Gearing Calculator'!$C$15*'Gearing Calculator'!$C$20*'Gearing Calculator'!$U$20*(Forces!M39^2)</f>
        <v>129.99009472578166</v>
      </c>
      <c r="AJ39" s="16">
        <f t="shared" si="19"/>
        <v>2446.3400040851675</v>
      </c>
      <c r="AK39" s="16">
        <f t="shared" si="20"/>
        <v>1870.905861713208</v>
      </c>
      <c r="AL39" s="16">
        <f t="shared" si="21"/>
        <v>1533.0149132193221</v>
      </c>
      <c r="AM39" s="16">
        <f t="shared" si="22"/>
        <v>1299.8537931654018</v>
      </c>
      <c r="AN39" s="16">
        <f t="shared" si="23"/>
        <v>1126.3578072535051</v>
      </c>
      <c r="AO39" s="16">
        <f t="shared" si="24"/>
        <v>970.49311142382169</v>
      </c>
      <c r="AQ39" s="16">
        <f>0.5*'Gearing Calculator'!$C$15*'Gearing Calculator'!$C$20*'Gearing Calculator'!$W$20*(Forces!H39^2)</f>
        <v>32.396795224217932</v>
      </c>
      <c r="AR39" s="16">
        <f>0.5*'Gearing Calculator'!$C$15*'Gearing Calculator'!$C$20*'Gearing Calculator'!$W$20*(Forces!I39^2)</f>
        <v>54.050903143183064</v>
      </c>
      <c r="AS39" s="16">
        <f>0.5*'Gearing Calculator'!$C$15*'Gearing Calculator'!$C$20*'Gearing Calculator'!$W$20*(Forces!J39^2)</f>
        <v>77.833300526183578</v>
      </c>
      <c r="AT39" s="16">
        <f>0.5*'Gearing Calculator'!$C$15*'Gearing Calculator'!$C$20*'Gearing Calculator'!$W$20*(Forces!K39^2)</f>
        <v>103.62421667687163</v>
      </c>
      <c r="AU39" s="16">
        <f>0.5*'Gearing Calculator'!$C$15*'Gearing Calculator'!$C$20*'Gearing Calculator'!$W$20*(Forces!L39^2)</f>
        <v>130.78983970449235</v>
      </c>
      <c r="AV39" s="16">
        <f>0.5*'Gearing Calculator'!$C$15*'Gearing Calculator'!$C$20*'Gearing Calculator'!$W$20*(Forces!M39^2)</f>
        <v>163.48099249355946</v>
      </c>
      <c r="AX39" s="16">
        <f t="shared" si="25"/>
        <v>2439.7031606190953</v>
      </c>
      <c r="AY39" s="16">
        <f t="shared" si="26"/>
        <v>1859.8329336387364</v>
      </c>
      <c r="AZ39" s="16">
        <f t="shared" si="27"/>
        <v>1517.069896792083</v>
      </c>
      <c r="BA39" s="16">
        <f t="shared" si="28"/>
        <v>1278.6252209989595</v>
      </c>
      <c r="BB39" s="16">
        <f t="shared" si="29"/>
        <v>1099.5640553695987</v>
      </c>
      <c r="BC39" s="16">
        <f t="shared" si="30"/>
        <v>937.00221365604386</v>
      </c>
    </row>
    <row r="40" spans="2:55" x14ac:dyDescent="0.25">
      <c r="B40" s="41">
        <v>8800</v>
      </c>
      <c r="C40" s="16">
        <v>59</v>
      </c>
      <c r="D40" s="65">
        <f t="shared" si="0"/>
        <v>43.996300000000005</v>
      </c>
      <c r="E40" s="16">
        <f t="shared" si="1"/>
        <v>43996.3</v>
      </c>
      <c r="F40" s="21">
        <f t="shared" si="2"/>
        <v>35.212272727272726</v>
      </c>
      <c r="H40" s="16">
        <v>17.696587563106672</v>
      </c>
      <c r="I40" s="64">
        <v>22.858092269012793</v>
      </c>
      <c r="J40" s="16">
        <v>27.429710722815344</v>
      </c>
      <c r="K40" s="64">
        <v>31.64966621863309</v>
      </c>
      <c r="L40" s="16">
        <v>35.557032418464338</v>
      </c>
      <c r="M40" s="16">
        <v>39.753203946109203</v>
      </c>
      <c r="O40" s="118">
        <f t="shared" si="7"/>
        <v>63.707715227184018</v>
      </c>
      <c r="P40" s="118">
        <f t="shared" si="8"/>
        <v>82.289132168446059</v>
      </c>
      <c r="Q40" s="118">
        <f t="shared" si="9"/>
        <v>98.746958602135237</v>
      </c>
      <c r="R40" s="118">
        <f t="shared" si="10"/>
        <v>113.93879838707913</v>
      </c>
      <c r="S40" s="118">
        <f t="shared" si="11"/>
        <v>128.00531670647163</v>
      </c>
      <c r="T40" s="118">
        <f t="shared" si="12"/>
        <v>143.11153420599314</v>
      </c>
      <c r="V40" s="16">
        <f t="shared" si="13"/>
        <v>2486.145978319696</v>
      </c>
      <c r="W40" s="16">
        <f t="shared" si="14"/>
        <v>1924.758176763635</v>
      </c>
      <c r="X40" s="16">
        <f t="shared" si="15"/>
        <v>1603.9651473030297</v>
      </c>
      <c r="Y40" s="16">
        <f t="shared" si="16"/>
        <v>1390.1031276626256</v>
      </c>
      <c r="Z40" s="16">
        <f t="shared" si="17"/>
        <v>1237.3445422051941</v>
      </c>
      <c r="AA40" s="16">
        <f t="shared" si="18"/>
        <v>1106.7359516390902</v>
      </c>
      <c r="AC40" s="16">
        <f>0.5*'Gearing Calculator'!$C$15*'Gearing Calculator'!$C$20*'Gearing Calculator'!$U$20*(Forces!H40^2)</f>
        <v>26.355537906603089</v>
      </c>
      <c r="AD40" s="16">
        <f>0.5*'Gearing Calculator'!$C$15*'Gearing Calculator'!$C$20*'Gearing Calculator'!$U$20*(Forces!I40^2)</f>
        <v>43.971652653204146</v>
      </c>
      <c r="AE40" s="16">
        <f>0.5*'Gearing Calculator'!$C$15*'Gearing Calculator'!$C$20*'Gearing Calculator'!$U$20*(Forces!J40^2)</f>
        <v>63.31917982061394</v>
      </c>
      <c r="AF40" s="16">
        <f>0.5*'Gearing Calculator'!$C$15*'Gearing Calculator'!$C$20*'Gearing Calculator'!$U$20*(Forces!K40^2)</f>
        <v>84.300683193125067</v>
      </c>
      <c r="AG40" s="16">
        <f>0.5*'Gearing Calculator'!$C$15*'Gearing Calculator'!$C$20*'Gearing Calculator'!$U$20*(Forces!L40^2)</f>
        <v>106.40054222256802</v>
      </c>
      <c r="AH40" s="16">
        <f>0.5*'Gearing Calculator'!$C$15*'Gearing Calculator'!$C$20*'Gearing Calculator'!$U$20*(Forces!M40^2)</f>
        <v>132.995546777177</v>
      </c>
      <c r="AJ40" s="16">
        <f t="shared" si="19"/>
        <v>2459.7904404130932</v>
      </c>
      <c r="AK40" s="16">
        <f t="shared" si="20"/>
        <v>1880.7865241104309</v>
      </c>
      <c r="AL40" s="16">
        <f t="shared" si="21"/>
        <v>1540.6459674824157</v>
      </c>
      <c r="AM40" s="16">
        <f t="shared" si="22"/>
        <v>1305.8024444695006</v>
      </c>
      <c r="AN40" s="16">
        <f t="shared" si="23"/>
        <v>1130.9439999826261</v>
      </c>
      <c r="AO40" s="16">
        <f t="shared" si="24"/>
        <v>973.74040486191325</v>
      </c>
      <c r="AQ40" s="16">
        <f>0.5*'Gearing Calculator'!$C$15*'Gearing Calculator'!$C$20*'Gearing Calculator'!$W$20*(Forces!H40^2)</f>
        <v>33.145829332321789</v>
      </c>
      <c r="AR40" s="16">
        <f>0.5*'Gearing Calculator'!$C$15*'Gearing Calculator'!$C$20*'Gearing Calculator'!$W$20*(Forces!I40^2)</f>
        <v>55.30059372979386</v>
      </c>
      <c r="AS40" s="16">
        <f>0.5*'Gearing Calculator'!$C$15*'Gearing Calculator'!$C$20*'Gearing Calculator'!$W$20*(Forces!J40^2)</f>
        <v>79.632854970903111</v>
      </c>
      <c r="AT40" s="16">
        <f>0.5*'Gearing Calculator'!$C$15*'Gearing Calculator'!$C$20*'Gearing Calculator'!$W$20*(Forces!K40^2)</f>
        <v>106.02007318611362</v>
      </c>
      <c r="AU40" s="16">
        <f>0.5*'Gearing Calculator'!$C$15*'Gearing Calculator'!$C$20*'Gearing Calculator'!$W$20*(Forces!L40^2)</f>
        <v>133.81378235851349</v>
      </c>
      <c r="AV40" s="16">
        <f>0.5*'Gearing Calculator'!$C$15*'Gearing Calculator'!$C$20*'Gearing Calculator'!$W$20*(Forces!M40^2)</f>
        <v>167.26077498614399</v>
      </c>
      <c r="AX40" s="16">
        <f t="shared" si="25"/>
        <v>2453.0001489873744</v>
      </c>
      <c r="AY40" s="16">
        <f t="shared" si="26"/>
        <v>1869.457583033841</v>
      </c>
      <c r="AZ40" s="16">
        <f t="shared" si="27"/>
        <v>1524.3322923321266</v>
      </c>
      <c r="BA40" s="16">
        <f t="shared" si="28"/>
        <v>1284.083054476512</v>
      </c>
      <c r="BB40" s="16">
        <f t="shared" si="29"/>
        <v>1103.5307598466807</v>
      </c>
      <c r="BC40" s="16">
        <f t="shared" si="30"/>
        <v>939.47517665294617</v>
      </c>
    </row>
    <row r="41" spans="2:55" x14ac:dyDescent="0.25">
      <c r="B41" s="41">
        <v>8900</v>
      </c>
      <c r="C41" s="16">
        <v>60</v>
      </c>
      <c r="D41" s="65">
        <f t="shared" si="0"/>
        <v>44.742000000000004</v>
      </c>
      <c r="E41" s="16">
        <f t="shared" si="1"/>
        <v>44742.000000000007</v>
      </c>
      <c r="F41" s="21">
        <f t="shared" si="2"/>
        <v>35.406741573033706</v>
      </c>
      <c r="H41" s="16">
        <v>17.89768514905106</v>
      </c>
      <c r="I41" s="64">
        <v>23.117843317524294</v>
      </c>
      <c r="J41" s="16">
        <v>27.741411981029152</v>
      </c>
      <c r="K41" s="64">
        <v>32.009321516572101</v>
      </c>
      <c r="L41" s="16">
        <v>35.961089605037785</v>
      </c>
      <c r="M41" s="16">
        <v>40.204944900042264</v>
      </c>
      <c r="O41" s="118">
        <f t="shared" si="7"/>
        <v>64.431666536583819</v>
      </c>
      <c r="P41" s="118">
        <f t="shared" si="8"/>
        <v>83.224235943087464</v>
      </c>
      <c r="Q41" s="118">
        <f t="shared" si="9"/>
        <v>99.869083131704954</v>
      </c>
      <c r="R41" s="118">
        <f t="shared" si="10"/>
        <v>115.23355745965956</v>
      </c>
      <c r="S41" s="118">
        <f t="shared" si="11"/>
        <v>129.45992257813603</v>
      </c>
      <c r="T41" s="118">
        <f t="shared" si="12"/>
        <v>144.73780164015216</v>
      </c>
      <c r="V41" s="16">
        <f t="shared" si="13"/>
        <v>2499.8763598415539</v>
      </c>
      <c r="W41" s="16">
        <f t="shared" si="14"/>
        <v>1935.388149554751</v>
      </c>
      <c r="X41" s="16">
        <f t="shared" si="15"/>
        <v>1612.8234579622924</v>
      </c>
      <c r="Y41" s="16">
        <f t="shared" si="16"/>
        <v>1397.7803302339867</v>
      </c>
      <c r="Z41" s="16">
        <f t="shared" si="17"/>
        <v>1244.1780961423401</v>
      </c>
      <c r="AA41" s="16">
        <f t="shared" si="18"/>
        <v>1112.8481859939814</v>
      </c>
      <c r="AC41" s="16">
        <f>0.5*'Gearing Calculator'!$C$15*'Gearing Calculator'!$C$20*'Gearing Calculator'!$U$20*(Forces!H41^2)</f>
        <v>26.957930753900172</v>
      </c>
      <c r="AD41" s="16">
        <f>0.5*'Gearing Calculator'!$C$15*'Gearing Calculator'!$C$20*'Gearing Calculator'!$U$20*(Forces!I41^2)</f>
        <v>44.97668655294806</v>
      </c>
      <c r="AE41" s="16">
        <f>0.5*'Gearing Calculator'!$C$15*'Gearing Calculator'!$C$20*'Gearing Calculator'!$U$20*(Forces!J41^2)</f>
        <v>64.766428636245209</v>
      </c>
      <c r="AF41" s="16">
        <f>0.5*'Gearing Calculator'!$C$15*'Gearing Calculator'!$C$20*'Gearing Calculator'!$U$20*(Forces!K41^2)</f>
        <v>86.227493746480306</v>
      </c>
      <c r="AG41" s="16">
        <f>0.5*'Gearing Calculator'!$C$15*'Gearing Calculator'!$C$20*'Gearing Calculator'!$U$20*(Forces!L41^2)</f>
        <v>108.83247610342984</v>
      </c>
      <c r="AH41" s="16">
        <f>0.5*'Gearing Calculator'!$C$15*'Gearing Calculator'!$C$20*'Gearing Calculator'!$U$20*(Forces!M41^2)</f>
        <v>136.03534685201691</v>
      </c>
      <c r="AJ41" s="16">
        <f t="shared" si="19"/>
        <v>2472.9184290876537</v>
      </c>
      <c r="AK41" s="16">
        <f t="shared" si="20"/>
        <v>1890.411463001803</v>
      </c>
      <c r="AL41" s="16">
        <f t="shared" si="21"/>
        <v>1548.0570293260473</v>
      </c>
      <c r="AM41" s="16">
        <f t="shared" si="22"/>
        <v>1311.5528364875063</v>
      </c>
      <c r="AN41" s="16">
        <f t="shared" si="23"/>
        <v>1135.3456200389103</v>
      </c>
      <c r="AO41" s="16">
        <f t="shared" si="24"/>
        <v>976.81283914196445</v>
      </c>
      <c r="AQ41" s="16">
        <f>0.5*'Gearing Calculator'!$C$15*'Gearing Calculator'!$C$20*'Gearing Calculator'!$W$20*(Forces!H41^2)</f>
        <v>33.903423830232526</v>
      </c>
      <c r="AR41" s="16">
        <f>0.5*'Gearing Calculator'!$C$15*'Gearing Calculator'!$C$20*'Gearing Calculator'!$W$20*(Forces!I41^2)</f>
        <v>56.564566494537296</v>
      </c>
      <c r="AS41" s="16">
        <f>0.5*'Gearing Calculator'!$C$15*'Gearing Calculator'!$C$20*'Gearing Calculator'!$W$20*(Forces!J41^2)</f>
        <v>81.45297575213371</v>
      </c>
      <c r="AT41" s="16">
        <f>0.5*'Gearing Calculator'!$C$15*'Gearing Calculator'!$C$20*'Gearing Calculator'!$W$20*(Forces!K41^2)</f>
        <v>108.44331091260405</v>
      </c>
      <c r="AU41" s="16">
        <f>0.5*'Gearing Calculator'!$C$15*'Gearing Calculator'!$C$20*'Gearing Calculator'!$W$20*(Forces!L41^2)</f>
        <v>136.87228435715193</v>
      </c>
      <c r="AV41" s="16">
        <f>0.5*'Gearing Calculator'!$C$15*'Gearing Calculator'!$C$20*'Gearing Calculator'!$W$20*(Forces!M41^2)</f>
        <v>171.08375499292956</v>
      </c>
      <c r="AX41" s="16">
        <f t="shared" si="25"/>
        <v>2465.9729360113215</v>
      </c>
      <c r="AY41" s="16">
        <f t="shared" si="26"/>
        <v>1878.8235830602137</v>
      </c>
      <c r="AZ41" s="16">
        <f t="shared" si="27"/>
        <v>1531.3704822101588</v>
      </c>
      <c r="BA41" s="16">
        <f t="shared" si="28"/>
        <v>1289.3370193213825</v>
      </c>
      <c r="BB41" s="16">
        <f t="shared" si="29"/>
        <v>1107.3058117851881</v>
      </c>
      <c r="BC41" s="16">
        <f t="shared" si="30"/>
        <v>941.76443100105178</v>
      </c>
    </row>
    <row r="42" spans="2:55" x14ac:dyDescent="0.25">
      <c r="B42" s="41">
        <v>9000</v>
      </c>
      <c r="C42" s="16">
        <v>61</v>
      </c>
      <c r="D42" s="65">
        <f t="shared" si="0"/>
        <v>45.487700000000004</v>
      </c>
      <c r="E42" s="16">
        <f t="shared" si="1"/>
        <v>45487.700000000004</v>
      </c>
      <c r="F42" s="21">
        <f t="shared" si="2"/>
        <v>35.596888888888891</v>
      </c>
      <c r="H42" s="16">
        <v>18.098782734995467</v>
      </c>
      <c r="I42" s="64">
        <v>23.377594366035805</v>
      </c>
      <c r="J42" s="16">
        <v>28.053113239242965</v>
      </c>
      <c r="K42" s="64">
        <v>32.368976814511115</v>
      </c>
      <c r="L42" s="16">
        <v>36.365146791611252</v>
      </c>
      <c r="M42" s="16">
        <v>40.656685853975318</v>
      </c>
      <c r="O42" s="118">
        <f t="shared" si="7"/>
        <v>65.155617845983684</v>
      </c>
      <c r="P42" s="118">
        <f t="shared" si="8"/>
        <v>84.159339717728898</v>
      </c>
      <c r="Q42" s="118">
        <f t="shared" si="9"/>
        <v>100.99120766127467</v>
      </c>
      <c r="R42" s="118">
        <f t="shared" si="10"/>
        <v>116.52831653224001</v>
      </c>
      <c r="S42" s="118">
        <f t="shared" si="11"/>
        <v>130.91452844980051</v>
      </c>
      <c r="T42" s="118">
        <f t="shared" si="12"/>
        <v>146.36406907431115</v>
      </c>
      <c r="V42" s="16">
        <f t="shared" si="13"/>
        <v>2513.3016217740346</v>
      </c>
      <c r="W42" s="16">
        <f t="shared" si="14"/>
        <v>1945.7819007282853</v>
      </c>
      <c r="X42" s="16">
        <f t="shared" si="15"/>
        <v>1621.4849172735712</v>
      </c>
      <c r="Y42" s="16">
        <f t="shared" si="16"/>
        <v>1405.2869283037617</v>
      </c>
      <c r="Z42" s="16">
        <f t="shared" si="17"/>
        <v>1250.8597933253263</v>
      </c>
      <c r="AA42" s="16">
        <f t="shared" si="18"/>
        <v>1118.824592918764</v>
      </c>
      <c r="AC42" s="16">
        <f>0.5*'Gearing Calculator'!$C$15*'Gearing Calculator'!$C$20*'Gearing Calculator'!$U$20*(Forces!H42^2)</f>
        <v>27.56713030003683</v>
      </c>
      <c r="AD42" s="16">
        <f>0.5*'Gearing Calculator'!$C$15*'Gearing Calculator'!$C$20*'Gearing Calculator'!$U$20*(Forces!I42^2)</f>
        <v>45.993076767943364</v>
      </c>
      <c r="AE42" s="16">
        <f>0.5*'Gearing Calculator'!$C$15*'Gearing Calculator'!$C$20*'Gearing Calculator'!$U$20*(Forces!J42^2)</f>
        <v>66.230030545838446</v>
      </c>
      <c r="AF42" s="16">
        <f>0.5*'Gearing Calculator'!$C$15*'Gearing Calculator'!$C$20*'Gearing Calculator'!$U$20*(Forces!K42^2)</f>
        <v>88.176076170494966</v>
      </c>
      <c r="AG42" s="16">
        <f>0.5*'Gearing Calculator'!$C$15*'Gearing Calculator'!$C$20*'Gearing Calculator'!$U$20*(Forces!L42^2)</f>
        <v>111.2918894631716</v>
      </c>
      <c r="AH42" s="16">
        <f>0.5*'Gearing Calculator'!$C$15*'Gearing Calculator'!$C$20*'Gearing Calculator'!$U$20*(Forces!M42^2)</f>
        <v>139.10949495030133</v>
      </c>
      <c r="AJ42" s="16">
        <f t="shared" si="19"/>
        <v>2485.7344914739979</v>
      </c>
      <c r="AK42" s="16">
        <f t="shared" si="20"/>
        <v>1899.7888239603419</v>
      </c>
      <c r="AL42" s="16">
        <f t="shared" si="21"/>
        <v>1555.2548867277328</v>
      </c>
      <c r="AM42" s="16">
        <f t="shared" si="22"/>
        <v>1317.1108521332667</v>
      </c>
      <c r="AN42" s="16">
        <f t="shared" si="23"/>
        <v>1139.5679038621547</v>
      </c>
      <c r="AO42" s="16">
        <f t="shared" si="24"/>
        <v>979.71509796846271</v>
      </c>
      <c r="AQ42" s="16">
        <f>0.5*'Gearing Calculator'!$C$15*'Gearing Calculator'!$C$20*'Gearing Calculator'!$W$20*(Forces!H42^2)</f>
        <v>34.669578717950245</v>
      </c>
      <c r="AR42" s="16">
        <f>0.5*'Gearing Calculator'!$C$15*'Gearing Calculator'!$C$20*'Gearing Calculator'!$W$20*(Forces!I42^2)</f>
        <v>57.842821437413484</v>
      </c>
      <c r="AS42" s="16">
        <f>0.5*'Gearing Calculator'!$C$15*'Gearing Calculator'!$C$20*'Gearing Calculator'!$W$20*(Forces!J42^2)</f>
        <v>83.293662869875419</v>
      </c>
      <c r="AT42" s="16">
        <f>0.5*'Gearing Calculator'!$C$15*'Gearing Calculator'!$C$20*'Gearing Calculator'!$W$20*(Forces!K42^2)</f>
        <v>110.89392985634301</v>
      </c>
      <c r="AU42" s="16">
        <f>0.5*'Gearing Calculator'!$C$15*'Gearing Calculator'!$C$20*'Gearing Calculator'!$W$20*(Forces!L42^2)</f>
        <v>139.96534570040794</v>
      </c>
      <c r="AV42" s="16">
        <f>0.5*'Gearing Calculator'!$C$15*'Gearing Calculator'!$C$20*'Gearing Calculator'!$W$20*(Forces!M42^2)</f>
        <v>174.94993251391605</v>
      </c>
      <c r="AX42" s="16">
        <f t="shared" si="25"/>
        <v>2478.6320430560845</v>
      </c>
      <c r="AY42" s="16">
        <f t="shared" si="26"/>
        <v>1887.9390792908719</v>
      </c>
      <c r="AZ42" s="16">
        <f t="shared" si="27"/>
        <v>1538.1912544036959</v>
      </c>
      <c r="BA42" s="16">
        <f t="shared" si="28"/>
        <v>1294.3929984474187</v>
      </c>
      <c r="BB42" s="16">
        <f t="shared" si="29"/>
        <v>1110.8944476249185</v>
      </c>
      <c r="BC42" s="16">
        <f t="shared" si="30"/>
        <v>943.87466040484787</v>
      </c>
    </row>
    <row r="43" spans="2:55" x14ac:dyDescent="0.25">
      <c r="B43" s="41">
        <v>9100</v>
      </c>
      <c r="C43" s="16">
        <v>62</v>
      </c>
      <c r="D43" s="65">
        <f t="shared" si="0"/>
        <v>46.233400000000003</v>
      </c>
      <c r="E43" s="16">
        <f t="shared" si="1"/>
        <v>46233.4</v>
      </c>
      <c r="F43" s="21">
        <f t="shared" si="2"/>
        <v>35.782857142857139</v>
      </c>
      <c r="H43" s="16">
        <v>18.299880320939856</v>
      </c>
      <c r="I43" s="64">
        <v>23.637345414547315</v>
      </c>
      <c r="J43" s="16">
        <v>28.364814497456774</v>
      </c>
      <c r="K43" s="64">
        <v>32.728632112450128</v>
      </c>
      <c r="L43" s="16">
        <v>36.769203978184706</v>
      </c>
      <c r="M43" s="16">
        <v>41.10842680790838</v>
      </c>
      <c r="O43" s="118">
        <f t="shared" si="7"/>
        <v>65.879569155383479</v>
      </c>
      <c r="P43" s="118">
        <f t="shared" si="8"/>
        <v>85.094443492370331</v>
      </c>
      <c r="Q43" s="118">
        <f t="shared" si="9"/>
        <v>102.11333219084439</v>
      </c>
      <c r="R43" s="118">
        <f t="shared" si="10"/>
        <v>117.82307560482046</v>
      </c>
      <c r="S43" s="118">
        <f t="shared" si="11"/>
        <v>132.36913432146494</v>
      </c>
      <c r="T43" s="118">
        <f t="shared" si="12"/>
        <v>147.99033650847016</v>
      </c>
      <c r="V43" s="16">
        <f t="shared" si="13"/>
        <v>2526.4318230047047</v>
      </c>
      <c r="W43" s="16">
        <f t="shared" si="14"/>
        <v>1955.9472178100939</v>
      </c>
      <c r="X43" s="16">
        <f t="shared" si="15"/>
        <v>1629.9560148417452</v>
      </c>
      <c r="Y43" s="16">
        <f t="shared" si="16"/>
        <v>1412.6285461961788</v>
      </c>
      <c r="Z43" s="16">
        <f t="shared" si="17"/>
        <v>1257.3946400207749</v>
      </c>
      <c r="AA43" s="16">
        <f t="shared" si="18"/>
        <v>1124.6696502408038</v>
      </c>
      <c r="AC43" s="16">
        <f>0.5*'Gearing Calculator'!$C$15*'Gearing Calculator'!$C$20*'Gearing Calculator'!$U$20*(Forces!H43^2)</f>
        <v>28.183136545012943</v>
      </c>
      <c r="AD43" s="16">
        <f>0.5*'Gearing Calculator'!$C$15*'Gearing Calculator'!$C$20*'Gearing Calculator'!$U$20*(Forces!I43^2)</f>
        <v>47.020823298190003</v>
      </c>
      <c r="AE43" s="16">
        <f>0.5*'Gearing Calculator'!$C$15*'Gearing Calculator'!$C$20*'Gearing Calculator'!$U$20*(Forces!J43^2)</f>
        <v>67.709985549393579</v>
      </c>
      <c r="AF43" s="16">
        <f>0.5*'Gearing Calculator'!$C$15*'Gearing Calculator'!$C$20*'Gearing Calculator'!$U$20*(Forces!K43^2)</f>
        <v>90.14643046516899</v>
      </c>
      <c r="AG43" s="16">
        <f>0.5*'Gearing Calculator'!$C$15*'Gearing Calculator'!$C$20*'Gearing Calculator'!$U$20*(Forces!L43^2)</f>
        <v>113.77878230179304</v>
      </c>
      <c r="AH43" s="16">
        <f>0.5*'Gearing Calculator'!$C$15*'Gearing Calculator'!$C$20*'Gearing Calculator'!$U$20*(Forces!M43^2)</f>
        <v>142.21799107203029</v>
      </c>
      <c r="AJ43" s="16">
        <f t="shared" si="19"/>
        <v>2498.2486864596917</v>
      </c>
      <c r="AK43" s="16">
        <f t="shared" si="20"/>
        <v>1908.9263945119039</v>
      </c>
      <c r="AL43" s="16">
        <f t="shared" si="21"/>
        <v>1562.2460292923515</v>
      </c>
      <c r="AM43" s="16">
        <f t="shared" si="22"/>
        <v>1322.4821157310098</v>
      </c>
      <c r="AN43" s="16">
        <f t="shared" si="23"/>
        <v>1143.6158577189819</v>
      </c>
      <c r="AO43" s="16">
        <f t="shared" si="24"/>
        <v>982.45165916877352</v>
      </c>
      <c r="AQ43" s="16">
        <f>0.5*'Gearing Calculator'!$C$15*'Gearing Calculator'!$C$20*'Gearing Calculator'!$W$20*(Forces!H43^2)</f>
        <v>35.444293995474794</v>
      </c>
      <c r="AR43" s="16">
        <f>0.5*'Gearing Calculator'!$C$15*'Gearing Calculator'!$C$20*'Gearing Calculator'!$W$20*(Forces!I43^2)</f>
        <v>59.135358558422361</v>
      </c>
      <c r="AS43" s="16">
        <f>0.5*'Gearing Calculator'!$C$15*'Gearing Calculator'!$C$20*'Gearing Calculator'!$W$20*(Forces!J43^2)</f>
        <v>85.154916324128166</v>
      </c>
      <c r="AT43" s="16">
        <f>0.5*'Gearing Calculator'!$C$15*'Gearing Calculator'!$C$20*'Gearing Calculator'!$W$20*(Forces!K43^2)</f>
        <v>113.37193001733043</v>
      </c>
      <c r="AU43" s="16">
        <f>0.5*'Gearing Calculator'!$C$15*'Gearing Calculator'!$C$20*'Gearing Calculator'!$W$20*(Forces!L43^2)</f>
        <v>143.09296638828121</v>
      </c>
      <c r="AV43" s="16">
        <f>0.5*'Gearing Calculator'!$C$15*'Gearing Calculator'!$C$20*'Gearing Calculator'!$W$20*(Forces!M43^2)</f>
        <v>178.85930754910359</v>
      </c>
      <c r="AX43" s="16">
        <f t="shared" si="25"/>
        <v>2490.98752900923</v>
      </c>
      <c r="AY43" s="16">
        <f t="shared" si="26"/>
        <v>1896.8118592516714</v>
      </c>
      <c r="AZ43" s="16">
        <f t="shared" si="27"/>
        <v>1544.801098517617</v>
      </c>
      <c r="BA43" s="16">
        <f t="shared" si="28"/>
        <v>1299.2566161788484</v>
      </c>
      <c r="BB43" s="16">
        <f t="shared" si="29"/>
        <v>1114.3016736324937</v>
      </c>
      <c r="BC43" s="16">
        <f t="shared" si="30"/>
        <v>945.81034269170016</v>
      </c>
    </row>
    <row r="44" spans="2:55" x14ac:dyDescent="0.25">
      <c r="B44" s="41">
        <v>9200</v>
      </c>
      <c r="C44" s="16">
        <v>64</v>
      </c>
      <c r="D44" s="65">
        <f t="shared" si="0"/>
        <v>47.724800000000002</v>
      </c>
      <c r="E44" s="16">
        <f t="shared" si="1"/>
        <v>47724.800000000003</v>
      </c>
      <c r="F44" s="21">
        <f t="shared" si="2"/>
        <v>36.535652173913043</v>
      </c>
      <c r="H44" s="16">
        <v>18.500977906884248</v>
      </c>
      <c r="I44" s="64">
        <v>23.897096463058826</v>
      </c>
      <c r="J44" s="16">
        <v>28.676515755670589</v>
      </c>
      <c r="K44" s="64">
        <v>33.088287410389142</v>
      </c>
      <c r="L44" s="16">
        <v>37.173261164758173</v>
      </c>
      <c r="M44" s="16">
        <v>41.560167761841441</v>
      </c>
      <c r="O44" s="118">
        <f t="shared" si="7"/>
        <v>66.603520464783301</v>
      </c>
      <c r="P44" s="118">
        <f t="shared" si="8"/>
        <v>86.029547267011779</v>
      </c>
      <c r="Q44" s="118">
        <f t="shared" si="9"/>
        <v>103.23545672041412</v>
      </c>
      <c r="R44" s="118">
        <f t="shared" si="10"/>
        <v>119.11783467740092</v>
      </c>
      <c r="S44" s="118">
        <f t="shared" si="11"/>
        <v>133.82374019312942</v>
      </c>
      <c r="T44" s="118">
        <f t="shared" si="12"/>
        <v>149.61660394262918</v>
      </c>
      <c r="V44" s="16">
        <f t="shared" si="13"/>
        <v>2579.5825626191099</v>
      </c>
      <c r="W44" s="16">
        <f t="shared" si="14"/>
        <v>1997.0961775115684</v>
      </c>
      <c r="X44" s="16">
        <f t="shared" si="15"/>
        <v>1664.2468145929738</v>
      </c>
      <c r="Y44" s="16">
        <f t="shared" si="16"/>
        <v>1442.3472393139107</v>
      </c>
      <c r="Z44" s="16">
        <f t="shared" si="17"/>
        <v>1283.8475426860082</v>
      </c>
      <c r="AA44" s="16">
        <f t="shared" si="18"/>
        <v>1148.3303020691517</v>
      </c>
      <c r="AC44" s="16">
        <f>0.5*'Gearing Calculator'!$C$15*'Gearing Calculator'!$C$20*'Gearing Calculator'!$U$20*(Forces!H44^2)</f>
        <v>28.805949488828588</v>
      </c>
      <c r="AD44" s="16">
        <f>0.5*'Gearing Calculator'!$C$15*'Gearing Calculator'!$C$20*'Gearing Calculator'!$U$20*(Forces!I44^2)</f>
        <v>48.059926143687996</v>
      </c>
      <c r="AE44" s="16">
        <f>0.5*'Gearing Calculator'!$C$15*'Gearing Calculator'!$C$20*'Gearing Calculator'!$U$20*(Forces!J44^2)</f>
        <v>69.206293646910694</v>
      </c>
      <c r="AF44" s="16">
        <f>0.5*'Gearing Calculator'!$C$15*'Gearing Calculator'!$C$20*'Gearing Calculator'!$U$20*(Forces!K44^2)</f>
        <v>92.138556630502421</v>
      </c>
      <c r="AG44" s="16">
        <f>0.5*'Gearing Calculator'!$C$15*'Gearing Calculator'!$C$20*'Gearing Calculator'!$U$20*(Forces!L44^2)</f>
        <v>116.29315461929438</v>
      </c>
      <c r="AH44" s="16">
        <f>0.5*'Gearing Calculator'!$C$15*'Gearing Calculator'!$C$20*'Gearing Calculator'!$U$20*(Forces!M44^2)</f>
        <v>145.3608352172038</v>
      </c>
      <c r="AJ44" s="16">
        <f t="shared" si="19"/>
        <v>2550.7766131302815</v>
      </c>
      <c r="AK44" s="16">
        <f t="shared" si="20"/>
        <v>1949.0362513678804</v>
      </c>
      <c r="AL44" s="16">
        <f t="shared" si="21"/>
        <v>1595.0405209460632</v>
      </c>
      <c r="AM44" s="16">
        <f t="shared" si="22"/>
        <v>1350.2086826834084</v>
      </c>
      <c r="AN44" s="16">
        <f t="shared" si="23"/>
        <v>1167.5543880667137</v>
      </c>
      <c r="AO44" s="16">
        <f t="shared" si="24"/>
        <v>1002.9694668519479</v>
      </c>
      <c r="AQ44" s="16">
        <f>0.5*'Gearing Calculator'!$C$15*'Gearing Calculator'!$C$20*'Gearing Calculator'!$W$20*(Forces!H44^2)</f>
        <v>36.227569662806253</v>
      </c>
      <c r="AR44" s="16">
        <f>0.5*'Gearing Calculator'!$C$15*'Gearing Calculator'!$C$20*'Gearing Calculator'!$W$20*(Forces!I44^2)</f>
        <v>60.442177857563934</v>
      </c>
      <c r="AS44" s="16">
        <f>0.5*'Gearing Calculator'!$C$15*'Gearing Calculator'!$C$20*'Gearing Calculator'!$W$20*(Forces!J44^2)</f>
        <v>87.036736114892051</v>
      </c>
      <c r="AT44" s="16">
        <f>0.5*'Gearing Calculator'!$C$15*'Gearing Calculator'!$C$20*'Gearing Calculator'!$W$20*(Forces!K44^2)</f>
        <v>115.87731139556635</v>
      </c>
      <c r="AU44" s="16">
        <f>0.5*'Gearing Calculator'!$C$15*'Gearing Calculator'!$C$20*'Gearing Calculator'!$W$20*(Forces!L44^2)</f>
        <v>146.25514642077198</v>
      </c>
      <c r="AV44" s="16">
        <f>0.5*'Gearing Calculator'!$C$15*'Gearing Calculator'!$C$20*'Gearing Calculator'!$W$20*(Forces!M44^2)</f>
        <v>182.81188009849211</v>
      </c>
      <c r="AX44" s="16">
        <f t="shared" si="25"/>
        <v>2543.3549929563037</v>
      </c>
      <c r="AY44" s="16">
        <f t="shared" si="26"/>
        <v>1936.6539996540046</v>
      </c>
      <c r="AZ44" s="16">
        <f t="shared" si="27"/>
        <v>1577.2100784780819</v>
      </c>
      <c r="BA44" s="16">
        <f t="shared" si="28"/>
        <v>1326.4699279183444</v>
      </c>
      <c r="BB44" s="16">
        <f t="shared" si="29"/>
        <v>1137.5923962652362</v>
      </c>
      <c r="BC44" s="16">
        <f t="shared" si="30"/>
        <v>965.51842197065957</v>
      </c>
    </row>
    <row r="45" spans="2:55" x14ac:dyDescent="0.25">
      <c r="B45" s="41">
        <v>9300</v>
      </c>
      <c r="C45" s="16">
        <v>66</v>
      </c>
      <c r="D45" s="65">
        <f t="shared" si="0"/>
        <v>49.216200000000001</v>
      </c>
      <c r="E45" s="16">
        <f t="shared" si="1"/>
        <v>49216.2</v>
      </c>
      <c r="F45" s="21">
        <f t="shared" si="2"/>
        <v>37.27225806451613</v>
      </c>
      <c r="H45" s="16">
        <v>18.702075492828644</v>
      </c>
      <c r="I45" s="64">
        <v>24.156847511570334</v>
      </c>
      <c r="J45" s="16">
        <v>28.988217013884398</v>
      </c>
      <c r="K45" s="64">
        <v>33.447942708328156</v>
      </c>
      <c r="L45" s="16">
        <v>37.57731835133162</v>
      </c>
      <c r="M45" s="16">
        <v>42.011908715774503</v>
      </c>
      <c r="O45" s="118">
        <f t="shared" si="7"/>
        <v>67.327471774183124</v>
      </c>
      <c r="P45" s="118">
        <f t="shared" si="8"/>
        <v>86.964651041653198</v>
      </c>
      <c r="Q45" s="118">
        <f t="shared" si="9"/>
        <v>104.35758124998384</v>
      </c>
      <c r="R45" s="118">
        <f t="shared" si="10"/>
        <v>120.41259374998137</v>
      </c>
      <c r="S45" s="118">
        <f t="shared" si="11"/>
        <v>135.27834606479382</v>
      </c>
      <c r="T45" s="118">
        <f t="shared" si="12"/>
        <v>151.2428713767882</v>
      </c>
      <c r="V45" s="16">
        <f t="shared" si="13"/>
        <v>2631.5902755751395</v>
      </c>
      <c r="W45" s="16">
        <f t="shared" si="14"/>
        <v>2037.3602133484951</v>
      </c>
      <c r="X45" s="16">
        <f t="shared" si="15"/>
        <v>1697.8001777904126</v>
      </c>
      <c r="Y45" s="16">
        <f t="shared" si="16"/>
        <v>1471.4268207516907</v>
      </c>
      <c r="Z45" s="16">
        <f t="shared" si="17"/>
        <v>1309.7315657240329</v>
      </c>
      <c r="AA45" s="16">
        <f t="shared" si="18"/>
        <v>1171.4821226753843</v>
      </c>
      <c r="AC45" s="16">
        <f>0.5*'Gearing Calculator'!$C$15*'Gearing Calculator'!$C$20*'Gearing Calculator'!$U$20*(Forces!H45^2)</f>
        <v>29.435569131483753</v>
      </c>
      <c r="AD45" s="16">
        <f>0.5*'Gearing Calculator'!$C$15*'Gearing Calculator'!$C$20*'Gearing Calculator'!$U$20*(Forces!I45^2)</f>
        <v>49.110385304437308</v>
      </c>
      <c r="AE45" s="16">
        <f>0.5*'Gearing Calculator'!$C$15*'Gearing Calculator'!$C$20*'Gearing Calculator'!$U$20*(Forces!J45^2)</f>
        <v>70.718954838389706</v>
      </c>
      <c r="AF45" s="16">
        <f>0.5*'Gearing Calculator'!$C$15*'Gearing Calculator'!$C$20*'Gearing Calculator'!$U$20*(Forces!K45^2)</f>
        <v>94.152454666495217</v>
      </c>
      <c r="AG45" s="16">
        <f>0.5*'Gearing Calculator'!$C$15*'Gearing Calculator'!$C$20*'Gearing Calculator'!$U$20*(Forces!L45^2)</f>
        <v>118.83500641567541</v>
      </c>
      <c r="AH45" s="16">
        <f>0.5*'Gearing Calculator'!$C$15*'Gearing Calculator'!$C$20*'Gearing Calculator'!$U$20*(Forces!M45^2)</f>
        <v>148.53802738582181</v>
      </c>
      <c r="AJ45" s="16">
        <f t="shared" si="19"/>
        <v>2602.1547064436559</v>
      </c>
      <c r="AK45" s="16">
        <f t="shared" si="20"/>
        <v>1988.2498280440577</v>
      </c>
      <c r="AL45" s="16">
        <f t="shared" si="21"/>
        <v>1627.0812229520229</v>
      </c>
      <c r="AM45" s="16">
        <f t="shared" si="22"/>
        <v>1377.2743660851954</v>
      </c>
      <c r="AN45" s="16">
        <f t="shared" si="23"/>
        <v>1190.8965593083574</v>
      </c>
      <c r="AO45" s="16">
        <f t="shared" si="24"/>
        <v>1022.9440952895625</v>
      </c>
      <c r="AQ45" s="16">
        <f>0.5*'Gearing Calculator'!$C$15*'Gearing Calculator'!$C$20*'Gearing Calculator'!$W$20*(Forces!H45^2)</f>
        <v>37.019405719944629</v>
      </c>
      <c r="AR45" s="16">
        <f>0.5*'Gearing Calculator'!$C$15*'Gearing Calculator'!$C$20*'Gearing Calculator'!$W$20*(Forces!I45^2)</f>
        <v>61.763279334838181</v>
      </c>
      <c r="AS45" s="16">
        <f>0.5*'Gearing Calculator'!$C$15*'Gearing Calculator'!$C$20*'Gearing Calculator'!$W$20*(Forces!J45^2)</f>
        <v>88.939122242166974</v>
      </c>
      <c r="AT45" s="16">
        <f>0.5*'Gearing Calculator'!$C$15*'Gearing Calculator'!$C$20*'Gearing Calculator'!$W$20*(Forces!K45^2)</f>
        <v>118.41007399105074</v>
      </c>
      <c r="AU45" s="16">
        <f>0.5*'Gearing Calculator'!$C$15*'Gearing Calculator'!$C$20*'Gearing Calculator'!$W$20*(Forces!L45^2)</f>
        <v>149.45188579787998</v>
      </c>
      <c r="AV45" s="16">
        <f>0.5*'Gearing Calculator'!$C$15*'Gearing Calculator'!$C$20*'Gearing Calculator'!$W$20*(Forces!M45^2)</f>
        <v>186.80765016208156</v>
      </c>
      <c r="AX45" s="16">
        <f t="shared" si="25"/>
        <v>2594.5708698551948</v>
      </c>
      <c r="AY45" s="16">
        <f t="shared" si="26"/>
        <v>1975.5969340136569</v>
      </c>
      <c r="AZ45" s="16">
        <f t="shared" si="27"/>
        <v>1608.8610555482455</v>
      </c>
      <c r="BA45" s="16">
        <f t="shared" si="28"/>
        <v>1353.01674676064</v>
      </c>
      <c r="BB45" s="16">
        <f t="shared" si="29"/>
        <v>1160.2796799261528</v>
      </c>
      <c r="BC45" s="16">
        <f t="shared" si="30"/>
        <v>984.6744725133027</v>
      </c>
    </row>
    <row r="46" spans="2:55" x14ac:dyDescent="0.25">
      <c r="B46" s="41">
        <v>9400</v>
      </c>
      <c r="C46" s="16">
        <v>68</v>
      </c>
      <c r="D46" s="65">
        <f t="shared" si="0"/>
        <v>50.707599999999999</v>
      </c>
      <c r="E46" s="16">
        <f t="shared" si="1"/>
        <v>50707.6</v>
      </c>
      <c r="F46" s="21">
        <f t="shared" si="2"/>
        <v>37.993191489361699</v>
      </c>
      <c r="H46" s="16">
        <v>18.90317307877304</v>
      </c>
      <c r="I46" s="64">
        <v>24.416598560081841</v>
      </c>
      <c r="J46" s="16">
        <v>29.299918272098214</v>
      </c>
      <c r="K46" s="64">
        <v>33.80759800626717</v>
      </c>
      <c r="L46" s="16">
        <v>37.98137553790508</v>
      </c>
      <c r="M46" s="16">
        <v>42.463649669707564</v>
      </c>
      <c r="O46" s="118">
        <f t="shared" si="7"/>
        <v>68.051423083582947</v>
      </c>
      <c r="P46" s="118">
        <f t="shared" si="8"/>
        <v>87.899754816294632</v>
      </c>
      <c r="Q46" s="118">
        <f t="shared" si="9"/>
        <v>105.47970577955357</v>
      </c>
      <c r="R46" s="118">
        <f t="shared" si="10"/>
        <v>121.70735282256182</v>
      </c>
      <c r="S46" s="118">
        <f t="shared" si="11"/>
        <v>136.73295193645831</v>
      </c>
      <c r="T46" s="118">
        <f t="shared" si="12"/>
        <v>152.86913881094725</v>
      </c>
      <c r="V46" s="16">
        <f t="shared" si="13"/>
        <v>2682.491441446999</v>
      </c>
      <c r="W46" s="16">
        <f t="shared" si="14"/>
        <v>2076.7675675718706</v>
      </c>
      <c r="X46" s="16">
        <f t="shared" si="15"/>
        <v>1730.6396396432251</v>
      </c>
      <c r="Y46" s="16">
        <f t="shared" si="16"/>
        <v>1499.887687690795</v>
      </c>
      <c r="Z46" s="16">
        <f t="shared" si="17"/>
        <v>1335.0648648676313</v>
      </c>
      <c r="AA46" s="16">
        <f t="shared" si="18"/>
        <v>1194.141351353825</v>
      </c>
      <c r="AC46" s="16">
        <f>0.5*'Gearing Calculator'!$C$15*'Gearing Calculator'!$C$20*'Gearing Calculator'!$U$20*(Forces!H46^2)</f>
        <v>30.07199547297844</v>
      </c>
      <c r="AD46" s="16">
        <f>0.5*'Gearing Calculator'!$C$15*'Gearing Calculator'!$C$20*'Gearing Calculator'!$U$20*(Forces!I46^2)</f>
        <v>50.172200780437969</v>
      </c>
      <c r="AE46" s="16">
        <f>0.5*'Gearing Calculator'!$C$15*'Gearing Calculator'!$C$20*'Gearing Calculator'!$U$20*(Forces!J46^2)</f>
        <v>72.2479691238307</v>
      </c>
      <c r="AF46" s="16">
        <f>0.5*'Gearing Calculator'!$C$15*'Gearing Calculator'!$C$20*'Gearing Calculator'!$U$20*(Forces!K46^2)</f>
        <v>96.188124573147391</v>
      </c>
      <c r="AG46" s="16">
        <f>0.5*'Gearing Calculator'!$C$15*'Gearing Calculator'!$C$20*'Gearing Calculator'!$U$20*(Forces!L46^2)</f>
        <v>121.40433769093629</v>
      </c>
      <c r="AH46" s="16">
        <f>0.5*'Gearing Calculator'!$C$15*'Gearing Calculator'!$C$20*'Gearing Calculator'!$U$20*(Forces!M46^2)</f>
        <v>151.74956757788433</v>
      </c>
      <c r="AJ46" s="16">
        <f t="shared" si="19"/>
        <v>2652.4194459740206</v>
      </c>
      <c r="AK46" s="16">
        <f t="shared" si="20"/>
        <v>2026.5953667914325</v>
      </c>
      <c r="AL46" s="16">
        <f t="shared" si="21"/>
        <v>1658.3916705193944</v>
      </c>
      <c r="AM46" s="16">
        <f t="shared" si="22"/>
        <v>1403.6995631176476</v>
      </c>
      <c r="AN46" s="16">
        <f t="shared" si="23"/>
        <v>1213.660527176695</v>
      </c>
      <c r="AO46" s="16">
        <f t="shared" si="24"/>
        <v>1042.3917837759407</v>
      </c>
      <c r="AQ46" s="16">
        <f>0.5*'Gearing Calculator'!$C$15*'Gearing Calculator'!$C$20*'Gearing Calculator'!$W$20*(Forces!H46^2)</f>
        <v>37.819802166889914</v>
      </c>
      <c r="AR46" s="16">
        <f>0.5*'Gearing Calculator'!$C$15*'Gearing Calculator'!$C$20*'Gearing Calculator'!$W$20*(Forces!I46^2)</f>
        <v>63.098662990245131</v>
      </c>
      <c r="AS46" s="16">
        <f>0.5*'Gearing Calculator'!$C$15*'Gearing Calculator'!$C$20*'Gearing Calculator'!$W$20*(Forces!J46^2)</f>
        <v>90.86207470595302</v>
      </c>
      <c r="AT46" s="16">
        <f>0.5*'Gearing Calculator'!$C$15*'Gearing Calculator'!$C$20*'Gearing Calculator'!$W$20*(Forces!K46^2)</f>
        <v>120.9702178037836</v>
      </c>
      <c r="AU46" s="16">
        <f>0.5*'Gearing Calculator'!$C$15*'Gearing Calculator'!$C$20*'Gearing Calculator'!$W$20*(Forces!L46^2)</f>
        <v>152.68318451960545</v>
      </c>
      <c r="AV46" s="16">
        <f>0.5*'Gearing Calculator'!$C$15*'Gearing Calculator'!$C$20*'Gearing Calculator'!$W$20*(Forces!M46^2)</f>
        <v>190.84661773987199</v>
      </c>
      <c r="AX46" s="16">
        <f t="shared" si="25"/>
        <v>2644.671639280109</v>
      </c>
      <c r="AY46" s="16">
        <f t="shared" si="26"/>
        <v>2013.6689045816254</v>
      </c>
      <c r="AZ46" s="16">
        <f t="shared" si="27"/>
        <v>1639.777564937272</v>
      </c>
      <c r="BA46" s="16">
        <f t="shared" si="28"/>
        <v>1378.9174698870115</v>
      </c>
      <c r="BB46" s="16">
        <f t="shared" si="29"/>
        <v>1182.3816803480258</v>
      </c>
      <c r="BC46" s="16">
        <f t="shared" si="30"/>
        <v>1003.294733613953</v>
      </c>
    </row>
    <row r="47" spans="2:55" x14ac:dyDescent="0.25">
      <c r="B47" s="41">
        <v>9500</v>
      </c>
      <c r="C47" s="16">
        <v>70</v>
      </c>
      <c r="D47" s="65">
        <f t="shared" si="0"/>
        <v>52.199000000000005</v>
      </c>
      <c r="E47" s="16">
        <f t="shared" si="1"/>
        <v>52199.000000000007</v>
      </c>
      <c r="F47" s="21">
        <f t="shared" si="2"/>
        <v>38.698947368421052</v>
      </c>
      <c r="H47" s="16">
        <v>19.104270664717429</v>
      </c>
      <c r="I47" s="64">
        <v>24.676349608593352</v>
      </c>
      <c r="J47" s="16">
        <v>29.611619530312016</v>
      </c>
      <c r="K47" s="64">
        <v>34.16725330420617</v>
      </c>
      <c r="L47" s="16">
        <v>38.385432724478548</v>
      </c>
      <c r="M47" s="16">
        <v>42.915390623640626</v>
      </c>
      <c r="O47" s="118">
        <f t="shared" si="7"/>
        <v>68.775374392982741</v>
      </c>
      <c r="P47" s="118">
        <f t="shared" si="8"/>
        <v>88.834858590936065</v>
      </c>
      <c r="Q47" s="118">
        <f t="shared" si="9"/>
        <v>106.60183030912326</v>
      </c>
      <c r="R47" s="118">
        <f t="shared" si="10"/>
        <v>123.00211189514222</v>
      </c>
      <c r="S47" s="118">
        <f t="shared" si="11"/>
        <v>138.18755780812279</v>
      </c>
      <c r="T47" s="118">
        <f t="shared" si="12"/>
        <v>154.49540624510627</v>
      </c>
      <c r="V47" s="16">
        <f t="shared" si="13"/>
        <v>2732.3210038268207</v>
      </c>
      <c r="W47" s="16">
        <f t="shared" si="14"/>
        <v>2115.3452932852801</v>
      </c>
      <c r="X47" s="16">
        <f t="shared" si="15"/>
        <v>1762.7877444044004</v>
      </c>
      <c r="Y47" s="16">
        <f t="shared" si="16"/>
        <v>1527.7493784838136</v>
      </c>
      <c r="Z47" s="16">
        <f t="shared" si="17"/>
        <v>1359.8648313976801</v>
      </c>
      <c r="AA47" s="16">
        <f t="shared" si="18"/>
        <v>1216.3235436390355</v>
      </c>
      <c r="AC47" s="16">
        <f>0.5*'Gearing Calculator'!$C$15*'Gearing Calculator'!$C$20*'Gearing Calculator'!$U$20*(Forces!H47^2)</f>
        <v>30.71522851331261</v>
      </c>
      <c r="AD47" s="16">
        <f>0.5*'Gearing Calculator'!$C$15*'Gearing Calculator'!$C$20*'Gearing Calculator'!$U$20*(Forces!I47^2)</f>
        <v>51.245372571689991</v>
      </c>
      <c r="AE47" s="16">
        <f>0.5*'Gearing Calculator'!$C$15*'Gearing Calculator'!$C$20*'Gearing Calculator'!$U$20*(Forces!J47^2)</f>
        <v>73.793336503233547</v>
      </c>
      <c r="AF47" s="16">
        <f>0.5*'Gearing Calculator'!$C$15*'Gearing Calculator'!$C$20*'Gearing Calculator'!$U$20*(Forces!K47^2)</f>
        <v>98.245566350458873</v>
      </c>
      <c r="AG47" s="16">
        <f>0.5*'Gearing Calculator'!$C$15*'Gearing Calculator'!$C$20*'Gearing Calculator'!$U$20*(Forces!L47^2)</f>
        <v>124.00114844507702</v>
      </c>
      <c r="AH47" s="16">
        <f>0.5*'Gearing Calculator'!$C$15*'Gearing Calculator'!$C$20*'Gearing Calculator'!$U$20*(Forces!M47^2)</f>
        <v>154.99545579339136</v>
      </c>
      <c r="AJ47" s="16">
        <f t="shared" si="19"/>
        <v>2701.6057753135083</v>
      </c>
      <c r="AK47" s="16">
        <f t="shared" si="20"/>
        <v>2064.0999207135901</v>
      </c>
      <c r="AL47" s="16">
        <f t="shared" si="21"/>
        <v>1688.9944079011668</v>
      </c>
      <c r="AM47" s="16">
        <f t="shared" si="22"/>
        <v>1429.5038121333548</v>
      </c>
      <c r="AN47" s="16">
        <f t="shared" si="23"/>
        <v>1235.8636829526031</v>
      </c>
      <c r="AO47" s="16">
        <f t="shared" si="24"/>
        <v>1061.3280878456442</v>
      </c>
      <c r="AQ47" s="16">
        <f>0.5*'Gearing Calculator'!$C$15*'Gearing Calculator'!$C$20*'Gearing Calculator'!$W$20*(Forces!H47^2)</f>
        <v>38.62875900364206</v>
      </c>
      <c r="AR47" s="16">
        <f>0.5*'Gearing Calculator'!$C$15*'Gearing Calculator'!$C$20*'Gearing Calculator'!$W$20*(Forces!I47^2)</f>
        <v>64.448328823784792</v>
      </c>
      <c r="AS47" s="16">
        <f>0.5*'Gearing Calculator'!$C$15*'Gearing Calculator'!$C$20*'Gearing Calculator'!$W$20*(Forces!J47^2)</f>
        <v>92.805593506250048</v>
      </c>
      <c r="AT47" s="16">
        <f>0.5*'Gearing Calculator'!$C$15*'Gearing Calculator'!$C$20*'Gearing Calculator'!$W$20*(Forces!K47^2)</f>
        <v>123.55774283376486</v>
      </c>
      <c r="AU47" s="16">
        <f>0.5*'Gearing Calculator'!$C$15*'Gearing Calculator'!$C$20*'Gearing Calculator'!$W$20*(Forces!L47^2)</f>
        <v>155.94904258594838</v>
      </c>
      <c r="AV47" s="16">
        <f>0.5*'Gearing Calculator'!$C$15*'Gearing Calculator'!$C$20*'Gearing Calculator'!$W$20*(Forces!M47^2)</f>
        <v>194.92878283186337</v>
      </c>
      <c r="AX47" s="16">
        <f t="shared" si="25"/>
        <v>2693.6922448231785</v>
      </c>
      <c r="AY47" s="16">
        <f t="shared" si="26"/>
        <v>2050.8969644614954</v>
      </c>
      <c r="AZ47" s="16">
        <f t="shared" si="27"/>
        <v>1669.9821508981504</v>
      </c>
      <c r="BA47" s="16">
        <f t="shared" si="28"/>
        <v>1404.1916356500487</v>
      </c>
      <c r="BB47" s="16">
        <f t="shared" si="29"/>
        <v>1203.9157888117318</v>
      </c>
      <c r="BC47" s="16">
        <f t="shared" si="30"/>
        <v>1021.3947608071721</v>
      </c>
    </row>
    <row r="48" spans="2:55" x14ac:dyDescent="0.25">
      <c r="B48" s="41">
        <v>9600</v>
      </c>
      <c r="C48" s="16">
        <v>72</v>
      </c>
      <c r="D48" s="65">
        <f t="shared" si="0"/>
        <v>53.690400000000004</v>
      </c>
      <c r="E48" s="16">
        <f t="shared" si="1"/>
        <v>53690.400000000001</v>
      </c>
      <c r="F48" s="21">
        <f t="shared" si="2"/>
        <v>39.39</v>
      </c>
      <c r="H48" s="16">
        <v>19.305368250661825</v>
      </c>
      <c r="I48" s="64">
        <v>24.936100657104863</v>
      </c>
      <c r="J48" s="16">
        <v>29.923320788525828</v>
      </c>
      <c r="K48" s="64">
        <v>34.526908602145184</v>
      </c>
      <c r="L48" s="16">
        <v>38.789489911052002</v>
      </c>
      <c r="M48" s="16">
        <v>43.36713157757368</v>
      </c>
      <c r="O48" s="118">
        <f t="shared" si="7"/>
        <v>69.499325702382578</v>
      </c>
      <c r="P48" s="118">
        <f t="shared" si="8"/>
        <v>89.769962365577513</v>
      </c>
      <c r="Q48" s="118">
        <f t="shared" si="9"/>
        <v>107.72395483869299</v>
      </c>
      <c r="R48" s="118">
        <f t="shared" si="10"/>
        <v>124.29687096772267</v>
      </c>
      <c r="S48" s="118">
        <f t="shared" si="11"/>
        <v>139.64216367978722</v>
      </c>
      <c r="T48" s="118">
        <f t="shared" si="12"/>
        <v>156.12167367926526</v>
      </c>
      <c r="V48" s="16">
        <f t="shared" si="13"/>
        <v>2781.1124503237274</v>
      </c>
      <c r="W48" s="16">
        <f t="shared" si="14"/>
        <v>2153.1193163796597</v>
      </c>
      <c r="X48" s="16">
        <f t="shared" si="15"/>
        <v>1794.2660969830501</v>
      </c>
      <c r="Y48" s="16">
        <f t="shared" si="16"/>
        <v>1555.0306173853101</v>
      </c>
      <c r="Z48" s="16">
        <f t="shared" si="17"/>
        <v>1384.1481319583529</v>
      </c>
      <c r="AA48" s="16">
        <f t="shared" si="18"/>
        <v>1238.043606918304</v>
      </c>
      <c r="AC48" s="16">
        <f>0.5*'Gearing Calculator'!$C$15*'Gearing Calculator'!$C$20*'Gearing Calculator'!$U$20*(Forces!H48^2)</f>
        <v>31.365268252486327</v>
      </c>
      <c r="AD48" s="16">
        <f>0.5*'Gearing Calculator'!$C$15*'Gearing Calculator'!$C$20*'Gearing Calculator'!$U$20*(Forces!I48^2)</f>
        <v>52.329900678193354</v>
      </c>
      <c r="AE48" s="16">
        <f>0.5*'Gearing Calculator'!$C$15*'Gearing Calculator'!$C$20*'Gearing Calculator'!$U$20*(Forces!J48^2)</f>
        <v>75.355056976598391</v>
      </c>
      <c r="AF48" s="16">
        <f>0.5*'Gearing Calculator'!$C$15*'Gearing Calculator'!$C$20*'Gearing Calculator'!$U$20*(Forces!K48^2)</f>
        <v>100.3247799984298</v>
      </c>
      <c r="AG48" s="16">
        <f>0.5*'Gearing Calculator'!$C$15*'Gearing Calculator'!$C$20*'Gearing Calculator'!$U$20*(Forces!L48^2)</f>
        <v>126.62543867809745</v>
      </c>
      <c r="AH48" s="16">
        <f>0.5*'Gearing Calculator'!$C$15*'Gearing Calculator'!$C$20*'Gearing Calculator'!$U$20*(Forces!M48^2)</f>
        <v>158.2756920323429</v>
      </c>
      <c r="AJ48" s="16">
        <f t="shared" si="19"/>
        <v>2749.7471820712412</v>
      </c>
      <c r="AK48" s="16">
        <f t="shared" si="20"/>
        <v>2100.7894157014662</v>
      </c>
      <c r="AL48" s="16">
        <f t="shared" si="21"/>
        <v>1718.9110400064517</v>
      </c>
      <c r="AM48" s="16">
        <f t="shared" si="22"/>
        <v>1454.7058373868801</v>
      </c>
      <c r="AN48" s="16">
        <f t="shared" si="23"/>
        <v>1257.5226932802555</v>
      </c>
      <c r="AO48" s="16">
        <f t="shared" si="24"/>
        <v>1079.7679148859611</v>
      </c>
      <c r="AQ48" s="16">
        <f>0.5*'Gearing Calculator'!$C$15*'Gearing Calculator'!$C$20*'Gearing Calculator'!$W$20*(Forces!H48^2)</f>
        <v>39.446276230201143</v>
      </c>
      <c r="AR48" s="16">
        <f>0.5*'Gearing Calculator'!$C$15*'Gearing Calculator'!$C$20*'Gearing Calculator'!$W$20*(Forces!I48^2)</f>
        <v>65.812276835457141</v>
      </c>
      <c r="AS48" s="16">
        <f>0.5*'Gearing Calculator'!$C$15*'Gearing Calculator'!$C$20*'Gearing Calculator'!$W$20*(Forces!J48^2)</f>
        <v>94.769678643058242</v>
      </c>
      <c r="AT48" s="16">
        <f>0.5*'Gearing Calculator'!$C$15*'Gearing Calculator'!$C$20*'Gearing Calculator'!$W$20*(Forces!K48^2)</f>
        <v>126.17264908099469</v>
      </c>
      <c r="AU48" s="16">
        <f>0.5*'Gearing Calculator'!$C$15*'Gearing Calculator'!$C$20*'Gearing Calculator'!$W$20*(Forces!L48^2)</f>
        <v>159.24945999690857</v>
      </c>
      <c r="AV48" s="16">
        <f>0.5*'Gearing Calculator'!$C$15*'Gearing Calculator'!$C$20*'Gearing Calculator'!$W$20*(Forces!M48^2)</f>
        <v>199.05414543805568</v>
      </c>
      <c r="AX48" s="16">
        <f t="shared" si="25"/>
        <v>2741.6661740935265</v>
      </c>
      <c r="AY48" s="16">
        <f t="shared" si="26"/>
        <v>2087.3070395442028</v>
      </c>
      <c r="AZ48" s="16">
        <f t="shared" si="27"/>
        <v>1699.4964183399918</v>
      </c>
      <c r="BA48" s="16">
        <f t="shared" si="28"/>
        <v>1428.8579683043154</v>
      </c>
      <c r="BB48" s="16">
        <f t="shared" si="29"/>
        <v>1224.8986719614443</v>
      </c>
      <c r="BC48" s="16">
        <f t="shared" si="30"/>
        <v>1038.9894614802483</v>
      </c>
    </row>
    <row r="49" spans="2:55" x14ac:dyDescent="0.25">
      <c r="B49" s="41">
        <v>9700</v>
      </c>
      <c r="C49" s="16">
        <v>74</v>
      </c>
      <c r="D49" s="65">
        <f t="shared" si="0"/>
        <v>55.181800000000003</v>
      </c>
      <c r="E49" s="16">
        <f t="shared" si="1"/>
        <v>55181.8</v>
      </c>
      <c r="F49" s="21">
        <f t="shared" si="2"/>
        <v>40.066804123711343</v>
      </c>
      <c r="H49" s="16">
        <v>19.506465836606221</v>
      </c>
      <c r="I49" s="64">
        <v>25.19585170561637</v>
      </c>
      <c r="J49" s="16">
        <v>30.235022046739637</v>
      </c>
      <c r="K49" s="64">
        <v>34.886563900084205</v>
      </c>
      <c r="L49" s="16">
        <v>39.193547097625448</v>
      </c>
      <c r="M49" s="16">
        <v>43.818872531506734</v>
      </c>
      <c r="O49" s="118">
        <f t="shared" si="7"/>
        <v>70.2232770117824</v>
      </c>
      <c r="P49" s="118">
        <f t="shared" si="8"/>
        <v>90.705066140218932</v>
      </c>
      <c r="Q49" s="118">
        <f t="shared" si="9"/>
        <v>108.84607936826269</v>
      </c>
      <c r="R49" s="118">
        <f t="shared" si="10"/>
        <v>125.59163004030314</v>
      </c>
      <c r="S49" s="118">
        <f t="shared" si="11"/>
        <v>141.09676955145162</v>
      </c>
      <c r="T49" s="118">
        <f t="shared" si="12"/>
        <v>157.74794111342425</v>
      </c>
      <c r="V49" s="16">
        <f t="shared" si="13"/>
        <v>2828.8978876145129</v>
      </c>
      <c r="W49" s="16">
        <f t="shared" si="14"/>
        <v>2190.1144936370424</v>
      </c>
      <c r="X49" s="16">
        <f t="shared" si="15"/>
        <v>1825.0954113642024</v>
      </c>
      <c r="Y49" s="16">
        <f t="shared" si="16"/>
        <v>1581.7493565156417</v>
      </c>
      <c r="Z49" s="16">
        <f t="shared" si="17"/>
        <v>1407.9307459095278</v>
      </c>
      <c r="AA49" s="16">
        <f t="shared" si="18"/>
        <v>1259.3158338412991</v>
      </c>
      <c r="AC49" s="16">
        <f>0.5*'Gearing Calculator'!$C$15*'Gearing Calculator'!$C$20*'Gearing Calculator'!$U$20*(Forces!H49^2)</f>
        <v>32.022114690499556</v>
      </c>
      <c r="AD49" s="16">
        <f>0.5*'Gearing Calculator'!$C$15*'Gearing Calculator'!$C$20*'Gearing Calculator'!$U$20*(Forces!I49^2)</f>
        <v>53.425785099948051</v>
      </c>
      <c r="AE49" s="16">
        <f>0.5*'Gearing Calculator'!$C$15*'Gearing Calculator'!$C$20*'Gearing Calculator'!$U$20*(Forces!J49^2)</f>
        <v>76.933130543925159</v>
      </c>
      <c r="AF49" s="16">
        <f>0.5*'Gearing Calculator'!$C$15*'Gearing Calculator'!$C$20*'Gearing Calculator'!$U$20*(Forces!K49^2)</f>
        <v>102.42576551706016</v>
      </c>
      <c r="AG49" s="16">
        <f>0.5*'Gearing Calculator'!$C$15*'Gearing Calculator'!$C$20*'Gearing Calculator'!$U$20*(Forces!L49^2)</f>
        <v>129.27720838999764</v>
      </c>
      <c r="AH49" s="16">
        <f>0.5*'Gearing Calculator'!$C$15*'Gearing Calculator'!$C$20*'Gearing Calculator'!$U$20*(Forces!M49^2)</f>
        <v>161.59027629473891</v>
      </c>
      <c r="AJ49" s="16">
        <f t="shared" si="19"/>
        <v>2796.8757729240133</v>
      </c>
      <c r="AK49" s="16">
        <f t="shared" si="20"/>
        <v>2136.6887085370945</v>
      </c>
      <c r="AL49" s="16">
        <f t="shared" si="21"/>
        <v>1748.1622808202771</v>
      </c>
      <c r="AM49" s="16">
        <f t="shared" si="22"/>
        <v>1479.3235909985815</v>
      </c>
      <c r="AN49" s="16">
        <f t="shared" si="23"/>
        <v>1278.6535375195301</v>
      </c>
      <c r="AO49" s="16">
        <f t="shared" si="24"/>
        <v>1097.7255575465601</v>
      </c>
      <c r="AQ49" s="16">
        <f>0.5*'Gearing Calculator'!$C$15*'Gearing Calculator'!$C$20*'Gearing Calculator'!$W$20*(Forces!H49^2)</f>
        <v>40.272353846567128</v>
      </c>
      <c r="AR49" s="16">
        <f>0.5*'Gearing Calculator'!$C$15*'Gearing Calculator'!$C$20*'Gearing Calculator'!$W$20*(Forces!I49^2)</f>
        <v>67.190507025262178</v>
      </c>
      <c r="AS49" s="16">
        <f>0.5*'Gearing Calculator'!$C$15*'Gearing Calculator'!$C$20*'Gearing Calculator'!$W$20*(Forces!J49^2)</f>
        <v>96.754330116377488</v>
      </c>
      <c r="AT49" s="16">
        <f>0.5*'Gearing Calculator'!$C$15*'Gearing Calculator'!$C$20*'Gearing Calculator'!$W$20*(Forces!K49^2)</f>
        <v>128.81493654547305</v>
      </c>
      <c r="AU49" s="16">
        <f>0.5*'Gearing Calculator'!$C$15*'Gearing Calculator'!$C$20*'Gearing Calculator'!$W$20*(Forces!L49^2)</f>
        <v>162.58443675248611</v>
      </c>
      <c r="AV49" s="16">
        <f>0.5*'Gearing Calculator'!$C$15*'Gearing Calculator'!$C$20*'Gearing Calculator'!$W$20*(Forces!M49^2)</f>
        <v>203.22270555844895</v>
      </c>
      <c r="AX49" s="16">
        <f t="shared" si="25"/>
        <v>2788.6255337679459</v>
      </c>
      <c r="AY49" s="16">
        <f t="shared" si="26"/>
        <v>2122.92398661178</v>
      </c>
      <c r="AZ49" s="16">
        <f t="shared" si="27"/>
        <v>1728.3410812478248</v>
      </c>
      <c r="BA49" s="16">
        <f t="shared" si="28"/>
        <v>1452.9344199701686</v>
      </c>
      <c r="BB49" s="16">
        <f t="shared" si="29"/>
        <v>1245.3463091570416</v>
      </c>
      <c r="BC49" s="16">
        <f t="shared" si="30"/>
        <v>1056.0931282828501</v>
      </c>
    </row>
    <row r="50" spans="2:55" x14ac:dyDescent="0.25">
      <c r="B50" s="41">
        <v>9800</v>
      </c>
      <c r="C50" s="16">
        <v>76</v>
      </c>
      <c r="D50" s="65">
        <f t="shared" si="0"/>
        <v>56.673200000000001</v>
      </c>
      <c r="E50" s="16">
        <f t="shared" si="1"/>
        <v>56673.200000000004</v>
      </c>
      <c r="F50" s="21">
        <f t="shared" si="2"/>
        <v>40.729795918367344</v>
      </c>
      <c r="H50" s="16">
        <v>19.707563422550614</v>
      </c>
      <c r="I50" s="64">
        <v>25.455602754127877</v>
      </c>
      <c r="J50" s="16">
        <v>30.546723304953453</v>
      </c>
      <c r="K50" s="64">
        <v>35.246219198023212</v>
      </c>
      <c r="L50" s="16">
        <v>39.597604284198916</v>
      </c>
      <c r="M50" s="16">
        <v>44.270613485439789</v>
      </c>
      <c r="O50" s="118">
        <f t="shared" si="7"/>
        <v>70.947228321182209</v>
      </c>
      <c r="P50" s="118">
        <f t="shared" si="8"/>
        <v>91.640169914860365</v>
      </c>
      <c r="Q50" s="118">
        <f t="shared" si="9"/>
        <v>109.96820389783244</v>
      </c>
      <c r="R50" s="118">
        <f t="shared" si="10"/>
        <v>126.88638911288356</v>
      </c>
      <c r="S50" s="118">
        <f t="shared" si="11"/>
        <v>142.5513754231161</v>
      </c>
      <c r="T50" s="118">
        <f t="shared" si="12"/>
        <v>159.37420854758324</v>
      </c>
      <c r="V50" s="16">
        <f t="shared" si="13"/>
        <v>2875.7081118993647</v>
      </c>
      <c r="W50" s="16">
        <f t="shared" si="14"/>
        <v>2226.3546672769271</v>
      </c>
      <c r="X50" s="16">
        <f t="shared" si="15"/>
        <v>1855.295556064106</v>
      </c>
      <c r="Y50" s="16">
        <f t="shared" si="16"/>
        <v>1607.9228152555588</v>
      </c>
      <c r="Z50" s="16">
        <f t="shared" si="17"/>
        <v>1431.2280003923106</v>
      </c>
      <c r="AA50" s="16">
        <f t="shared" si="18"/>
        <v>1280.1539336842332</v>
      </c>
      <c r="AC50" s="16">
        <f>0.5*'Gearing Calculator'!$C$15*'Gearing Calculator'!$C$20*'Gearing Calculator'!$U$20*(Forces!H50^2)</f>
        <v>32.685767827352286</v>
      </c>
      <c r="AD50" s="16">
        <f>0.5*'Gearing Calculator'!$C$15*'Gearing Calculator'!$C$20*'Gearing Calculator'!$U$20*(Forces!I50^2)</f>
        <v>54.533025836954081</v>
      </c>
      <c r="AE50" s="16">
        <f>0.5*'Gearing Calculator'!$C$15*'Gearing Calculator'!$C$20*'Gearing Calculator'!$U$20*(Forces!J50^2)</f>
        <v>78.527557205213881</v>
      </c>
      <c r="AF50" s="16">
        <f>0.5*'Gearing Calculator'!$C$15*'Gearing Calculator'!$C$20*'Gearing Calculator'!$U$20*(Forces!K50^2)</f>
        <v>104.54852290634983</v>
      </c>
      <c r="AG50" s="16">
        <f>0.5*'Gearing Calculator'!$C$15*'Gearing Calculator'!$C$20*'Gearing Calculator'!$U$20*(Forces!L50^2)</f>
        <v>131.95645758077774</v>
      </c>
      <c r="AH50" s="16">
        <f>0.5*'Gearing Calculator'!$C$15*'Gearing Calculator'!$C$20*'Gearing Calculator'!$U$20*(Forces!M50^2)</f>
        <v>164.93920858057947</v>
      </c>
      <c r="AJ50" s="16">
        <f t="shared" si="19"/>
        <v>2843.0223440720124</v>
      </c>
      <c r="AK50" s="16">
        <f t="shared" si="20"/>
        <v>2171.8216414399731</v>
      </c>
      <c r="AL50" s="16">
        <f t="shared" si="21"/>
        <v>1776.767998858892</v>
      </c>
      <c r="AM50" s="16">
        <f t="shared" si="22"/>
        <v>1503.3742923492091</v>
      </c>
      <c r="AN50" s="16">
        <f t="shared" si="23"/>
        <v>1299.271542811533</v>
      </c>
      <c r="AO50" s="16">
        <f t="shared" si="24"/>
        <v>1115.2147251036536</v>
      </c>
      <c r="AQ50" s="16">
        <f>0.5*'Gearing Calculator'!$C$15*'Gearing Calculator'!$C$20*'Gearing Calculator'!$W$20*(Forces!H50^2)</f>
        <v>41.106991852739988</v>
      </c>
      <c r="AR50" s="16">
        <f>0.5*'Gearing Calculator'!$C$15*'Gearing Calculator'!$C$20*'Gearing Calculator'!$W$20*(Forces!I50^2)</f>
        <v>68.583019393199891</v>
      </c>
      <c r="AS50" s="16">
        <f>0.5*'Gearing Calculator'!$C$15*'Gearing Calculator'!$C$20*'Gearing Calculator'!$W$20*(Forces!J50^2)</f>
        <v>98.759547926207844</v>
      </c>
      <c r="AT50" s="16">
        <f>0.5*'Gearing Calculator'!$C$15*'Gearing Calculator'!$C$20*'Gearing Calculator'!$W$20*(Forces!K50^2)</f>
        <v>131.48460522719978</v>
      </c>
      <c r="AU50" s="16">
        <f>0.5*'Gearing Calculator'!$C$15*'Gearing Calculator'!$C$20*'Gearing Calculator'!$W$20*(Forces!L50^2)</f>
        <v>165.95397285268118</v>
      </c>
      <c r="AV50" s="16">
        <f>0.5*'Gearing Calculator'!$C$15*'Gearing Calculator'!$C$20*'Gearing Calculator'!$W$20*(Forces!M50^2)</f>
        <v>207.43446319304317</v>
      </c>
      <c r="AX50" s="16">
        <f t="shared" si="25"/>
        <v>2834.6011200466246</v>
      </c>
      <c r="AY50" s="16">
        <f t="shared" si="26"/>
        <v>2157.7716478837274</v>
      </c>
      <c r="AZ50" s="16">
        <f t="shared" si="27"/>
        <v>1756.5360081378981</v>
      </c>
      <c r="BA50" s="16">
        <f t="shared" si="28"/>
        <v>1476.438210028359</v>
      </c>
      <c r="BB50" s="16">
        <f t="shared" si="29"/>
        <v>1265.2740275396295</v>
      </c>
      <c r="BC50" s="16">
        <f t="shared" si="30"/>
        <v>1072.7194704911899</v>
      </c>
    </row>
    <row r="51" spans="2:55" x14ac:dyDescent="0.25">
      <c r="B51" s="41">
        <v>9900</v>
      </c>
      <c r="C51" s="16">
        <v>78</v>
      </c>
      <c r="D51" s="65">
        <f t="shared" si="0"/>
        <v>58.1646</v>
      </c>
      <c r="E51" s="16">
        <f t="shared" si="1"/>
        <v>58164.6</v>
      </c>
      <c r="F51" s="21">
        <f t="shared" si="2"/>
        <v>41.379393939393943</v>
      </c>
      <c r="H51" s="16">
        <v>19.90866100849501</v>
      </c>
      <c r="I51" s="64">
        <v>25.715353802639388</v>
      </c>
      <c r="J51" s="16">
        <v>30.858424563167262</v>
      </c>
      <c r="K51" s="64">
        <v>35.605874495962226</v>
      </c>
      <c r="L51" s="16">
        <v>40.001661470772369</v>
      </c>
      <c r="M51" s="16">
        <v>44.72235443937285</v>
      </c>
      <c r="O51" s="118">
        <f t="shared" si="7"/>
        <v>71.671179630582031</v>
      </c>
      <c r="P51" s="118">
        <f t="shared" si="8"/>
        <v>92.575273689501799</v>
      </c>
      <c r="Q51" s="118">
        <f t="shared" si="9"/>
        <v>111.09032842740214</v>
      </c>
      <c r="R51" s="118">
        <f t="shared" si="10"/>
        <v>128.18114818546402</v>
      </c>
      <c r="S51" s="118">
        <f t="shared" si="11"/>
        <v>144.00598129478053</v>
      </c>
      <c r="T51" s="118">
        <f t="shared" si="12"/>
        <v>161.00047598174226</v>
      </c>
      <c r="V51" s="16">
        <f t="shared" si="13"/>
        <v>2921.5726750875515</v>
      </c>
      <c r="W51" s="16">
        <f t="shared" si="14"/>
        <v>2261.8627161968143</v>
      </c>
      <c r="X51" s="16">
        <f t="shared" si="15"/>
        <v>1884.8855968306787</v>
      </c>
      <c r="Y51" s="16">
        <f t="shared" si="16"/>
        <v>1633.5675172532549</v>
      </c>
      <c r="Z51" s="16">
        <f t="shared" si="17"/>
        <v>1454.054603269381</v>
      </c>
      <c r="AA51" s="16">
        <f t="shared" si="18"/>
        <v>1300.5710618131682</v>
      </c>
      <c r="AC51" s="16">
        <f>0.5*'Gearing Calculator'!$C$15*'Gearing Calculator'!$C$20*'Gearing Calculator'!$U$20*(Forces!H51^2)</f>
        <v>33.35622766304455</v>
      </c>
      <c r="AD51" s="16">
        <f>0.5*'Gearing Calculator'!$C$15*'Gearing Calculator'!$C$20*'Gearing Calculator'!$U$20*(Forces!I51^2)</f>
        <v>55.651622889211481</v>
      </c>
      <c r="AE51" s="16">
        <f>0.5*'Gearing Calculator'!$C$15*'Gearing Calculator'!$C$20*'Gearing Calculator'!$U$20*(Forces!J51^2)</f>
        <v>80.138336960464514</v>
      </c>
      <c r="AF51" s="16">
        <f>0.5*'Gearing Calculator'!$C$15*'Gearing Calculator'!$C$20*'Gearing Calculator'!$U$20*(Forces!K51^2)</f>
        <v>106.69305216629891</v>
      </c>
      <c r="AG51" s="16">
        <f>0.5*'Gearing Calculator'!$C$15*'Gearing Calculator'!$C$20*'Gearing Calculator'!$U$20*(Forces!L51^2)</f>
        <v>134.66318625043758</v>
      </c>
      <c r="AH51" s="16">
        <f>0.5*'Gearing Calculator'!$C$15*'Gearing Calculator'!$C$20*'Gearing Calculator'!$U$20*(Forces!M51^2)</f>
        <v>168.32248888986459</v>
      </c>
      <c r="AJ51" s="16">
        <f t="shared" si="19"/>
        <v>2888.2164474245069</v>
      </c>
      <c r="AK51" s="16">
        <f t="shared" si="20"/>
        <v>2206.2110933076028</v>
      </c>
      <c r="AL51" s="16">
        <f t="shared" si="21"/>
        <v>1804.7472598702141</v>
      </c>
      <c r="AM51" s="16">
        <f t="shared" si="22"/>
        <v>1526.874465086956</v>
      </c>
      <c r="AN51" s="16">
        <f t="shared" si="23"/>
        <v>1319.3914170189435</v>
      </c>
      <c r="AO51" s="16">
        <f t="shared" si="24"/>
        <v>1132.2485729233035</v>
      </c>
      <c r="AQ51" s="16">
        <f>0.5*'Gearing Calculator'!$C$15*'Gearing Calculator'!$C$20*'Gearing Calculator'!$W$20*(Forces!H51^2)</f>
        <v>41.950190248719778</v>
      </c>
      <c r="AR51" s="16">
        <f>0.5*'Gearing Calculator'!$C$15*'Gearing Calculator'!$C$20*'Gearing Calculator'!$W$20*(Forces!I51^2)</f>
        <v>69.989813939270334</v>
      </c>
      <c r="AS51" s="16">
        <f>0.5*'Gearing Calculator'!$C$15*'Gearing Calculator'!$C$20*'Gearing Calculator'!$W$20*(Forces!J51^2)</f>
        <v>100.78533207254925</v>
      </c>
      <c r="AT51" s="16">
        <f>0.5*'Gearing Calculator'!$C$15*'Gearing Calculator'!$C$20*'Gearing Calculator'!$W$20*(Forces!K51^2)</f>
        <v>134.18165512617503</v>
      </c>
      <c r="AU51" s="16">
        <f>0.5*'Gearing Calculator'!$C$15*'Gearing Calculator'!$C$20*'Gearing Calculator'!$W$20*(Forces!L51^2)</f>
        <v>169.35806829749353</v>
      </c>
      <c r="AV51" s="16">
        <f>0.5*'Gearing Calculator'!$C$15*'Gearing Calculator'!$C$20*'Gearing Calculator'!$W$20*(Forces!M51^2)</f>
        <v>211.68941834183843</v>
      </c>
      <c r="AX51" s="16">
        <f t="shared" si="25"/>
        <v>2879.6224848388315</v>
      </c>
      <c r="AY51" s="16">
        <f t="shared" si="26"/>
        <v>2191.872902257544</v>
      </c>
      <c r="AZ51" s="16">
        <f t="shared" si="27"/>
        <v>1784.1002647581295</v>
      </c>
      <c r="BA51" s="16">
        <f t="shared" si="28"/>
        <v>1499.3858621270799</v>
      </c>
      <c r="BB51" s="16">
        <f t="shared" si="29"/>
        <v>1284.6965349718876</v>
      </c>
      <c r="BC51" s="16">
        <f t="shared" si="30"/>
        <v>1088.8816434713297</v>
      </c>
    </row>
    <row r="52" spans="2:55" x14ac:dyDescent="0.25">
      <c r="B52" s="41">
        <v>10000</v>
      </c>
      <c r="C52" s="16">
        <v>81</v>
      </c>
      <c r="D52" s="65">
        <f t="shared" si="0"/>
        <v>60.401700000000005</v>
      </c>
      <c r="E52" s="16">
        <f t="shared" si="1"/>
        <v>60401.700000000004</v>
      </c>
      <c r="F52" s="21">
        <f t="shared" si="2"/>
        <v>42.541200000000003</v>
      </c>
      <c r="H52" s="16">
        <v>20.109758594439402</v>
      </c>
      <c r="I52" s="64">
        <v>25.975104851150896</v>
      </c>
      <c r="J52" s="16">
        <v>31.17012582138107</v>
      </c>
      <c r="K52" s="64">
        <v>35.96552979390124</v>
      </c>
      <c r="L52" s="16">
        <v>40.405718657345837</v>
      </c>
      <c r="M52" s="16">
        <v>45.174095393305919</v>
      </c>
      <c r="O52" s="118">
        <f t="shared" si="7"/>
        <v>72.395130939981854</v>
      </c>
      <c r="P52" s="118">
        <f t="shared" si="8"/>
        <v>93.510377464143232</v>
      </c>
      <c r="Q52" s="118">
        <f t="shared" si="9"/>
        <v>112.21245295697186</v>
      </c>
      <c r="R52" s="118">
        <f t="shared" si="10"/>
        <v>129.47590725804446</v>
      </c>
      <c r="S52" s="118">
        <f t="shared" si="11"/>
        <v>145.46058716644501</v>
      </c>
      <c r="T52" s="118">
        <f t="shared" si="12"/>
        <v>162.6267434159013</v>
      </c>
      <c r="V52" s="16">
        <f t="shared" si="13"/>
        <v>3003.6014463496258</v>
      </c>
      <c r="W52" s="16">
        <f t="shared" si="14"/>
        <v>2325.3688616900326</v>
      </c>
      <c r="X52" s="16">
        <f t="shared" si="15"/>
        <v>1937.8073847416942</v>
      </c>
      <c r="Y52" s="16">
        <f t="shared" si="16"/>
        <v>1679.4330667761346</v>
      </c>
      <c r="Z52" s="16">
        <f t="shared" si="17"/>
        <v>1494.8799825150211</v>
      </c>
      <c r="AA52" s="16">
        <f t="shared" si="18"/>
        <v>1337.0870954717684</v>
      </c>
      <c r="AC52" s="16">
        <f>0.5*'Gearing Calculator'!$C$15*'Gearing Calculator'!$C$20*'Gearing Calculator'!$U$20*(Forces!H52^2)</f>
        <v>34.03349419757631</v>
      </c>
      <c r="AD52" s="16">
        <f>0.5*'Gearing Calculator'!$C$15*'Gearing Calculator'!$C$20*'Gearing Calculator'!$U$20*(Forces!I52^2)</f>
        <v>56.7815762567202</v>
      </c>
      <c r="AE52" s="16">
        <f>0.5*'Gearing Calculator'!$C$15*'Gearing Calculator'!$C$20*'Gearing Calculator'!$U$20*(Forces!J52^2)</f>
        <v>81.765469809677072</v>
      </c>
      <c r="AF52" s="16">
        <f>0.5*'Gearing Calculator'!$C$15*'Gearing Calculator'!$C$20*'Gearing Calculator'!$U$20*(Forces!K52^2)</f>
        <v>108.85935329690737</v>
      </c>
      <c r="AG52" s="16">
        <f>0.5*'Gearing Calculator'!$C$15*'Gearing Calculator'!$C$20*'Gearing Calculator'!$U$20*(Forces!L52^2)</f>
        <v>137.3973943989773</v>
      </c>
      <c r="AH52" s="16">
        <f>0.5*'Gearing Calculator'!$C$15*'Gearing Calculator'!$C$20*'Gearing Calculator'!$U$20*(Forces!M52^2)</f>
        <v>171.74011722259431</v>
      </c>
      <c r="AJ52" s="16">
        <f t="shared" si="19"/>
        <v>2969.5679521520497</v>
      </c>
      <c r="AK52" s="16">
        <f t="shared" si="20"/>
        <v>2268.5872854333124</v>
      </c>
      <c r="AL52" s="16">
        <f t="shared" si="21"/>
        <v>1856.0419149320171</v>
      </c>
      <c r="AM52" s="16">
        <f t="shared" si="22"/>
        <v>1570.5737134792273</v>
      </c>
      <c r="AN52" s="16">
        <f t="shared" si="23"/>
        <v>1357.4825881160439</v>
      </c>
      <c r="AO52" s="16">
        <f t="shared" si="24"/>
        <v>1165.3469782491741</v>
      </c>
      <c r="AQ52" s="16">
        <f>0.5*'Gearing Calculator'!$C$15*'Gearing Calculator'!$C$20*'Gearing Calculator'!$W$20*(Forces!H52^2)</f>
        <v>42.80194903450645</v>
      </c>
      <c r="AR52" s="16">
        <f>0.5*'Gearing Calculator'!$C$15*'Gearing Calculator'!$C$20*'Gearing Calculator'!$W$20*(Forces!I52^2)</f>
        <v>71.410890663473438</v>
      </c>
      <c r="AS52" s="16">
        <f>0.5*'Gearing Calculator'!$C$15*'Gearing Calculator'!$C$20*'Gearing Calculator'!$W$20*(Forces!J52^2)</f>
        <v>102.83168255540174</v>
      </c>
      <c r="AT52" s="16">
        <f>0.5*'Gearing Calculator'!$C$15*'Gearing Calculator'!$C$20*'Gearing Calculator'!$W$20*(Forces!K52^2)</f>
        <v>136.9060862423988</v>
      </c>
      <c r="AU52" s="16">
        <f>0.5*'Gearing Calculator'!$C$15*'Gearing Calculator'!$C$20*'Gearing Calculator'!$W$20*(Forces!L52^2)</f>
        <v>172.79672308692341</v>
      </c>
      <c r="AV52" s="16">
        <f>0.5*'Gearing Calculator'!$C$15*'Gearing Calculator'!$C$20*'Gearing Calculator'!$W$20*(Forces!M52^2)</f>
        <v>215.98757100483473</v>
      </c>
      <c r="AX52" s="16">
        <f t="shared" si="25"/>
        <v>2960.7994973151194</v>
      </c>
      <c r="AY52" s="16">
        <f t="shared" si="26"/>
        <v>2253.9579710265593</v>
      </c>
      <c r="AZ52" s="16">
        <f t="shared" si="27"/>
        <v>1834.9757021862924</v>
      </c>
      <c r="BA52" s="16">
        <f t="shared" si="28"/>
        <v>1542.5269805337359</v>
      </c>
      <c r="BB52" s="16">
        <f t="shared" si="29"/>
        <v>1322.0832594280978</v>
      </c>
      <c r="BC52" s="16">
        <f t="shared" si="30"/>
        <v>1121.0995244669336</v>
      </c>
    </row>
    <row r="53" spans="2:55" x14ac:dyDescent="0.25">
      <c r="B53" s="41">
        <v>10100</v>
      </c>
      <c r="C53" s="16">
        <v>83</v>
      </c>
      <c r="D53" s="65">
        <f t="shared" si="0"/>
        <v>61.893100000000004</v>
      </c>
      <c r="E53" s="16">
        <f t="shared" si="1"/>
        <v>61893.100000000006</v>
      </c>
      <c r="F53" s="21">
        <f t="shared" si="2"/>
        <v>43.16</v>
      </c>
      <c r="H53" s="16">
        <v>20.310856180383798</v>
      </c>
      <c r="I53" s="64">
        <v>26.234855899662403</v>
      </c>
      <c r="J53" s="16">
        <v>31.481827079594883</v>
      </c>
      <c r="K53" s="64">
        <v>36.325185091840254</v>
      </c>
      <c r="L53" s="16">
        <v>40.80977584391929</v>
      </c>
      <c r="M53" s="16">
        <v>45.625836347238973</v>
      </c>
      <c r="O53" s="118">
        <f t="shared" si="7"/>
        <v>73.119082249381677</v>
      </c>
      <c r="P53" s="118">
        <f t="shared" si="8"/>
        <v>94.445481238784652</v>
      </c>
      <c r="Q53" s="118">
        <f t="shared" si="9"/>
        <v>113.33457748654158</v>
      </c>
      <c r="R53" s="118">
        <f t="shared" si="10"/>
        <v>130.77066633062492</v>
      </c>
      <c r="S53" s="118">
        <f t="shared" si="11"/>
        <v>146.91519303810944</v>
      </c>
      <c r="T53" s="118">
        <f t="shared" si="12"/>
        <v>164.25301085006032</v>
      </c>
      <c r="V53" s="16">
        <f t="shared" si="13"/>
        <v>3047.2915297276486</v>
      </c>
      <c r="W53" s="16">
        <f t="shared" si="14"/>
        <v>2359.1934423697926</v>
      </c>
      <c r="X53" s="16">
        <f t="shared" si="15"/>
        <v>1965.9945353081605</v>
      </c>
      <c r="Y53" s="16">
        <f t="shared" si="16"/>
        <v>1703.8619306004057</v>
      </c>
      <c r="Z53" s="16">
        <f t="shared" si="17"/>
        <v>1516.6243558091526</v>
      </c>
      <c r="AA53" s="16">
        <f t="shared" si="18"/>
        <v>1356.5362293626304</v>
      </c>
      <c r="AC53" s="16">
        <f>0.5*'Gearing Calculator'!$C$15*'Gearing Calculator'!$C$20*'Gearing Calculator'!$U$20*(Forces!H53^2)</f>
        <v>34.717567430947604</v>
      </c>
      <c r="AD53" s="16">
        <f>0.5*'Gearing Calculator'!$C$15*'Gearing Calculator'!$C$20*'Gearing Calculator'!$U$20*(Forces!I53^2)</f>
        <v>57.922885939480281</v>
      </c>
      <c r="AE53" s="16">
        <f>0.5*'Gearing Calculator'!$C$15*'Gearing Calculator'!$C$20*'Gearing Calculator'!$U$20*(Forces!J53^2)</f>
        <v>83.408955752851597</v>
      </c>
      <c r="AF53" s="16">
        <f>0.5*'Gearing Calculator'!$C$15*'Gearing Calculator'!$C$20*'Gearing Calculator'!$U$20*(Forces!K53^2)</f>
        <v>111.04742629817522</v>
      </c>
      <c r="AG53" s="16">
        <f>0.5*'Gearing Calculator'!$C$15*'Gearing Calculator'!$C$20*'Gearing Calculator'!$U$20*(Forces!L53^2)</f>
        <v>140.1590820263967</v>
      </c>
      <c r="AH53" s="16">
        <f>0.5*'Gearing Calculator'!$C$15*'Gearing Calculator'!$C$20*'Gearing Calculator'!$U$20*(Forces!M53^2)</f>
        <v>175.19209357876838</v>
      </c>
      <c r="AJ53" s="16">
        <f t="shared" si="19"/>
        <v>3012.5739622967012</v>
      </c>
      <c r="AK53" s="16">
        <f t="shared" si="20"/>
        <v>2301.2705564303124</v>
      </c>
      <c r="AL53" s="16">
        <f t="shared" si="21"/>
        <v>1882.5855795553089</v>
      </c>
      <c r="AM53" s="16">
        <f t="shared" si="22"/>
        <v>1592.8145043022305</v>
      </c>
      <c r="AN53" s="16">
        <f t="shared" si="23"/>
        <v>1376.465273782756</v>
      </c>
      <c r="AO53" s="16">
        <f t="shared" si="24"/>
        <v>1181.3441357838619</v>
      </c>
      <c r="AQ53" s="16">
        <f>0.5*'Gearing Calculator'!$C$15*'Gearing Calculator'!$C$20*'Gearing Calculator'!$W$20*(Forces!H53^2)</f>
        <v>43.662268210100038</v>
      </c>
      <c r="AR53" s="16">
        <f>0.5*'Gearing Calculator'!$C$15*'Gearing Calculator'!$C$20*'Gearing Calculator'!$W$20*(Forces!I53^2)</f>
        <v>72.846249565809259</v>
      </c>
      <c r="AS53" s="16">
        <f>0.5*'Gearing Calculator'!$C$15*'Gearing Calculator'!$C$20*'Gearing Calculator'!$W$20*(Forces!J53^2)</f>
        <v>104.89859937476533</v>
      </c>
      <c r="AT53" s="16">
        <f>0.5*'Gearing Calculator'!$C$15*'Gearing Calculator'!$C$20*'Gearing Calculator'!$W$20*(Forces!K53^2)</f>
        <v>139.65789857587103</v>
      </c>
      <c r="AU53" s="16">
        <f>0.5*'Gearing Calculator'!$C$15*'Gearing Calculator'!$C$20*'Gearing Calculator'!$W$20*(Forces!L53^2)</f>
        <v>176.26993722097052</v>
      </c>
      <c r="AV53" s="16">
        <f>0.5*'Gearing Calculator'!$C$15*'Gearing Calculator'!$C$20*'Gearing Calculator'!$W$20*(Forces!M53^2)</f>
        <v>220.32892118203185</v>
      </c>
      <c r="AX53" s="16">
        <f t="shared" si="25"/>
        <v>3003.6292615175485</v>
      </c>
      <c r="AY53" s="16">
        <f t="shared" si="26"/>
        <v>2286.3471928039835</v>
      </c>
      <c r="AZ53" s="16">
        <f t="shared" si="27"/>
        <v>1861.0959359333951</v>
      </c>
      <c r="BA53" s="16">
        <f t="shared" si="28"/>
        <v>1564.2040320245346</v>
      </c>
      <c r="BB53" s="16">
        <f t="shared" si="29"/>
        <v>1340.3544185881819</v>
      </c>
      <c r="BC53" s="16">
        <f t="shared" si="30"/>
        <v>1136.2073081805986</v>
      </c>
    </row>
    <row r="54" spans="2:55" x14ac:dyDescent="0.25">
      <c r="B54" s="41">
        <v>10200</v>
      </c>
      <c r="C54" s="16">
        <v>85</v>
      </c>
      <c r="D54" s="65">
        <f t="shared" si="0"/>
        <v>63.384500000000003</v>
      </c>
      <c r="E54" s="16">
        <f t="shared" si="1"/>
        <v>63384.5</v>
      </c>
      <c r="F54" s="21">
        <f t="shared" si="2"/>
        <v>43.766666666666666</v>
      </c>
      <c r="H54" s="16">
        <v>20.51195376632819</v>
      </c>
      <c r="I54" s="64">
        <v>26.494606948173914</v>
      </c>
      <c r="J54" s="16">
        <v>31.793528337808699</v>
      </c>
      <c r="K54" s="64">
        <v>36.684840389779268</v>
      </c>
      <c r="L54" s="16">
        <v>41.213833030492758</v>
      </c>
      <c r="M54" s="16">
        <v>46.077577301172042</v>
      </c>
      <c r="O54" s="118">
        <f t="shared" si="7"/>
        <v>73.843033558781485</v>
      </c>
      <c r="P54" s="118">
        <f t="shared" si="8"/>
        <v>95.380585013426085</v>
      </c>
      <c r="Q54" s="118">
        <f t="shared" si="9"/>
        <v>114.45670201611132</v>
      </c>
      <c r="R54" s="118">
        <f t="shared" si="10"/>
        <v>132.06542540320538</v>
      </c>
      <c r="S54" s="118">
        <f t="shared" si="11"/>
        <v>148.36979890977392</v>
      </c>
      <c r="T54" s="118">
        <f t="shared" si="12"/>
        <v>165.87927828421937</v>
      </c>
      <c r="V54" s="16">
        <f t="shared" si="13"/>
        <v>3090.1249448041413</v>
      </c>
      <c r="W54" s="16">
        <f t="shared" si="14"/>
        <v>2392.3547959773996</v>
      </c>
      <c r="X54" s="16">
        <f t="shared" si="15"/>
        <v>1993.628996647833</v>
      </c>
      <c r="Y54" s="16">
        <f t="shared" si="16"/>
        <v>1727.8117970947885</v>
      </c>
      <c r="Z54" s="16">
        <f t="shared" si="17"/>
        <v>1537.9423688426141</v>
      </c>
      <c r="AA54" s="16">
        <f t="shared" si="18"/>
        <v>1375.6040076870042</v>
      </c>
      <c r="AC54" s="16">
        <f>0.5*'Gearing Calculator'!$C$15*'Gearing Calculator'!$C$20*'Gearing Calculator'!$U$20*(Forces!H54^2)</f>
        <v>35.408447363158395</v>
      </c>
      <c r="AD54" s="16">
        <f>0.5*'Gearing Calculator'!$C$15*'Gearing Calculator'!$C$20*'Gearing Calculator'!$U$20*(Forces!I54^2)</f>
        <v>59.075551937491703</v>
      </c>
      <c r="AE54" s="16">
        <f>0.5*'Gearing Calculator'!$C$15*'Gearing Calculator'!$C$20*'Gearing Calculator'!$U$20*(Forces!J54^2)</f>
        <v>85.068794789988061</v>
      </c>
      <c r="AF54" s="16">
        <f>0.5*'Gearing Calculator'!$C$15*'Gearing Calculator'!$C$20*'Gearing Calculator'!$U$20*(Forces!K54^2)</f>
        <v>113.25727117010244</v>
      </c>
      <c r="AG54" s="16">
        <f>0.5*'Gearing Calculator'!$C$15*'Gearing Calculator'!$C$20*'Gearing Calculator'!$U$20*(Forces!L54^2)</f>
        <v>142.94824913269599</v>
      </c>
      <c r="AH54" s="16">
        <f>0.5*'Gearing Calculator'!$C$15*'Gearing Calculator'!$C$20*'Gearing Calculator'!$U$20*(Forces!M54^2)</f>
        <v>178.67841795838714</v>
      </c>
      <c r="AJ54" s="16">
        <f t="shared" si="19"/>
        <v>3054.7164974409829</v>
      </c>
      <c r="AK54" s="16">
        <f t="shared" si="20"/>
        <v>2333.279244039908</v>
      </c>
      <c r="AL54" s="16">
        <f t="shared" si="21"/>
        <v>1908.560201857845</v>
      </c>
      <c r="AM54" s="16">
        <f t="shared" si="22"/>
        <v>1614.554525924686</v>
      </c>
      <c r="AN54" s="16">
        <f t="shared" si="23"/>
        <v>1394.9941197099181</v>
      </c>
      <c r="AO54" s="16">
        <f t="shared" si="24"/>
        <v>1196.9255897286171</v>
      </c>
      <c r="AQ54" s="16">
        <f>0.5*'Gearing Calculator'!$C$15*'Gearing Calculator'!$C$20*'Gearing Calculator'!$W$20*(Forces!H54^2)</f>
        <v>44.531147775500514</v>
      </c>
      <c r="AR54" s="16">
        <f>0.5*'Gearing Calculator'!$C$15*'Gearing Calculator'!$C$20*'Gearing Calculator'!$W$20*(Forces!I54^2)</f>
        <v>74.295890646277769</v>
      </c>
      <c r="AS54" s="16">
        <f>0.5*'Gearing Calculator'!$C$15*'Gearing Calculator'!$C$20*'Gearing Calculator'!$W$20*(Forces!J54^2)</f>
        <v>106.98608253064</v>
      </c>
      <c r="AT54" s="16">
        <f>0.5*'Gearing Calculator'!$C$15*'Gearing Calculator'!$C$20*'Gearing Calculator'!$W$20*(Forces!K54^2)</f>
        <v>142.43709212659172</v>
      </c>
      <c r="AU54" s="16">
        <f>0.5*'Gearing Calculator'!$C$15*'Gearing Calculator'!$C$20*'Gearing Calculator'!$W$20*(Forces!L54^2)</f>
        <v>179.77771069963512</v>
      </c>
      <c r="AV54" s="16">
        <f>0.5*'Gearing Calculator'!$C$15*'Gearing Calculator'!$C$20*'Gearing Calculator'!$W$20*(Forces!M54^2)</f>
        <v>224.71346887343009</v>
      </c>
      <c r="AX54" s="16">
        <f t="shared" si="25"/>
        <v>3045.5937970286409</v>
      </c>
      <c r="AY54" s="16">
        <f t="shared" si="26"/>
        <v>2318.0589053311219</v>
      </c>
      <c r="AZ54" s="16">
        <f t="shared" si="27"/>
        <v>1886.642914117193</v>
      </c>
      <c r="BA54" s="16">
        <f t="shared" si="28"/>
        <v>1585.3747049681967</v>
      </c>
      <c r="BB54" s="16">
        <f t="shared" si="29"/>
        <v>1358.1646581429791</v>
      </c>
      <c r="BC54" s="16">
        <f t="shared" si="30"/>
        <v>1150.890538813574</v>
      </c>
    </row>
    <row r="55" spans="2:55" x14ac:dyDescent="0.25">
      <c r="B55" s="41">
        <v>10300</v>
      </c>
      <c r="C55" s="16">
        <v>87</v>
      </c>
      <c r="D55" s="65">
        <f t="shared" si="0"/>
        <v>64.875900000000001</v>
      </c>
      <c r="E55" s="16">
        <f t="shared" si="1"/>
        <v>64875.9</v>
      </c>
      <c r="F55" s="21">
        <f t="shared" si="2"/>
        <v>44.361553398058255</v>
      </c>
      <c r="H55" s="16">
        <v>20.713051352272583</v>
      </c>
      <c r="I55" s="64">
        <v>26.754357996685425</v>
      </c>
      <c r="J55" s="16">
        <v>32.105229596022504</v>
      </c>
      <c r="K55" s="64">
        <v>37.044495687718289</v>
      </c>
      <c r="L55" s="16">
        <v>41.617890217066204</v>
      </c>
      <c r="M55" s="16">
        <v>46.529318255105096</v>
      </c>
      <c r="O55" s="118">
        <f t="shared" si="7"/>
        <v>74.566984868181294</v>
      </c>
      <c r="P55" s="118">
        <f t="shared" si="8"/>
        <v>96.315688788067533</v>
      </c>
      <c r="Q55" s="118">
        <f t="shared" si="9"/>
        <v>115.57882654568101</v>
      </c>
      <c r="R55" s="118">
        <f t="shared" si="10"/>
        <v>133.36018447578584</v>
      </c>
      <c r="S55" s="118">
        <f t="shared" si="11"/>
        <v>149.82440478143835</v>
      </c>
      <c r="T55" s="118">
        <f t="shared" si="12"/>
        <v>167.50554571837836</v>
      </c>
      <c r="V55" s="16">
        <f t="shared" si="13"/>
        <v>3132.1266430830328</v>
      </c>
      <c r="W55" s="16">
        <f t="shared" si="14"/>
        <v>2424.8722398062187</v>
      </c>
      <c r="X55" s="16">
        <f t="shared" si="15"/>
        <v>2020.7268665051824</v>
      </c>
      <c r="Y55" s="16">
        <f t="shared" si="16"/>
        <v>1751.2966176378241</v>
      </c>
      <c r="Z55" s="16">
        <f t="shared" si="17"/>
        <v>1558.8464398754268</v>
      </c>
      <c r="AA55" s="16">
        <f t="shared" si="18"/>
        <v>1394.3015378885755</v>
      </c>
      <c r="AC55" s="16">
        <f>0.5*'Gearing Calculator'!$C$15*'Gearing Calculator'!$C$20*'Gearing Calculator'!$U$20*(Forces!H55^2)</f>
        <v>36.106133994208705</v>
      </c>
      <c r="AD55" s="16">
        <f>0.5*'Gearing Calculator'!$C$15*'Gearing Calculator'!$C$20*'Gearing Calculator'!$U$20*(Forces!I55^2)</f>
        <v>60.23957425075448</v>
      </c>
      <c r="AE55" s="16">
        <f>0.5*'Gearing Calculator'!$C$15*'Gearing Calculator'!$C$20*'Gearing Calculator'!$U$20*(Forces!J55^2)</f>
        <v>86.744986921086408</v>
      </c>
      <c r="AF55" s="16">
        <f>0.5*'Gearing Calculator'!$C$15*'Gearing Calculator'!$C$20*'Gearing Calculator'!$U$20*(Forces!K55^2)</f>
        <v>115.48888791268912</v>
      </c>
      <c r="AG55" s="16">
        <f>0.5*'Gearing Calculator'!$C$15*'Gearing Calculator'!$C$20*'Gearing Calculator'!$U$20*(Forces!L55^2)</f>
        <v>145.76489571787494</v>
      </c>
      <c r="AH55" s="16">
        <f>0.5*'Gearing Calculator'!$C$15*'Gearing Calculator'!$C$20*'Gearing Calculator'!$U$20*(Forces!M55^2)</f>
        <v>182.19909036145029</v>
      </c>
      <c r="AJ55" s="16">
        <f t="shared" si="19"/>
        <v>3096.0205090888239</v>
      </c>
      <c r="AK55" s="16">
        <f t="shared" si="20"/>
        <v>2364.632665555464</v>
      </c>
      <c r="AL55" s="16">
        <f t="shared" si="21"/>
        <v>1933.9818795840961</v>
      </c>
      <c r="AM55" s="16">
        <f t="shared" si="22"/>
        <v>1635.807729725135</v>
      </c>
      <c r="AN55" s="16">
        <f t="shared" si="23"/>
        <v>1413.0815441575519</v>
      </c>
      <c r="AO55" s="16">
        <f t="shared" si="24"/>
        <v>1212.1024475271252</v>
      </c>
      <c r="AQ55" s="16">
        <f>0.5*'Gearing Calculator'!$C$15*'Gearing Calculator'!$C$20*'Gearing Calculator'!$W$20*(Forces!H55^2)</f>
        <v>45.408587730707886</v>
      </c>
      <c r="AR55" s="16">
        <f>0.5*'Gearing Calculator'!$C$15*'Gearing Calculator'!$C$20*'Gearing Calculator'!$W$20*(Forces!I55^2)</f>
        <v>75.759813904878996</v>
      </c>
      <c r="AS55" s="16">
        <f>0.5*'Gearing Calculator'!$C$15*'Gearing Calculator'!$C$20*'Gearing Calculator'!$W$20*(Forces!J55^2)</f>
        <v>109.09413202302571</v>
      </c>
      <c r="AT55" s="16">
        <f>0.5*'Gearing Calculator'!$C$15*'Gearing Calculator'!$C$20*'Gearing Calculator'!$W$20*(Forces!K55^2)</f>
        <v>145.24366689456099</v>
      </c>
      <c r="AU55" s="16">
        <f>0.5*'Gearing Calculator'!$C$15*'Gearing Calculator'!$C$20*'Gearing Calculator'!$W$20*(Forces!L55^2)</f>
        <v>183.32004352291696</v>
      </c>
      <c r="AV55" s="16">
        <f>0.5*'Gearing Calculator'!$C$15*'Gearing Calculator'!$C$20*'Gearing Calculator'!$W$20*(Forces!M55^2)</f>
        <v>229.14121407902917</v>
      </c>
      <c r="AX55" s="16">
        <f t="shared" si="25"/>
        <v>3086.7180553523249</v>
      </c>
      <c r="AY55" s="16">
        <f t="shared" si="26"/>
        <v>2349.1124259013395</v>
      </c>
      <c r="AZ55" s="16">
        <f t="shared" si="27"/>
        <v>1911.6327344821568</v>
      </c>
      <c r="BA55" s="16">
        <f t="shared" si="28"/>
        <v>1606.052950743263</v>
      </c>
      <c r="BB55" s="16">
        <f t="shared" si="29"/>
        <v>1375.5263963525099</v>
      </c>
      <c r="BC55" s="16">
        <f t="shared" si="30"/>
        <v>1165.1603238095463</v>
      </c>
    </row>
    <row r="56" spans="2:55" x14ac:dyDescent="0.25">
      <c r="B56" s="41">
        <v>10400</v>
      </c>
      <c r="C56" s="16">
        <v>89</v>
      </c>
      <c r="D56" s="65">
        <f t="shared" si="0"/>
        <v>66.3673</v>
      </c>
      <c r="E56" s="16">
        <f t="shared" si="1"/>
        <v>66367.3</v>
      </c>
      <c r="F56" s="21">
        <f t="shared" si="2"/>
        <v>44.945</v>
      </c>
      <c r="H56" s="16">
        <v>20.914148938216975</v>
      </c>
      <c r="I56" s="64">
        <v>27.014109045196932</v>
      </c>
      <c r="J56" s="16">
        <v>32.41693085423632</v>
      </c>
      <c r="K56" s="64">
        <v>37.404150985657289</v>
      </c>
      <c r="L56" s="16">
        <v>42.021947403639672</v>
      </c>
      <c r="M56" s="16">
        <v>46.981059209038158</v>
      </c>
      <c r="O56" s="118">
        <f t="shared" si="7"/>
        <v>75.290936177581116</v>
      </c>
      <c r="P56" s="118">
        <f t="shared" si="8"/>
        <v>97.250792562708952</v>
      </c>
      <c r="Q56" s="118">
        <f t="shared" si="9"/>
        <v>116.70095107525076</v>
      </c>
      <c r="R56" s="118">
        <f t="shared" si="10"/>
        <v>134.65494354836625</v>
      </c>
      <c r="S56" s="118">
        <f t="shared" si="11"/>
        <v>151.27901065310283</v>
      </c>
      <c r="T56" s="118">
        <f t="shared" si="12"/>
        <v>169.13181315253738</v>
      </c>
      <c r="V56" s="16">
        <f t="shared" si="13"/>
        <v>3173.3206163950226</v>
      </c>
      <c r="W56" s="16">
        <f t="shared" si="14"/>
        <v>2456.7643481767914</v>
      </c>
      <c r="X56" s="16">
        <f t="shared" si="15"/>
        <v>2047.3036234806593</v>
      </c>
      <c r="Y56" s="16">
        <f t="shared" si="16"/>
        <v>1774.3298070165715</v>
      </c>
      <c r="Z56" s="16">
        <f t="shared" si="17"/>
        <v>1579.3485095422229</v>
      </c>
      <c r="AA56" s="16">
        <f t="shared" si="18"/>
        <v>1412.6395002016545</v>
      </c>
      <c r="AC56" s="16">
        <f>0.5*'Gearing Calculator'!$C$15*'Gearing Calculator'!$C$20*'Gearing Calculator'!$U$20*(Forces!H56^2)</f>
        <v>36.810627324098526</v>
      </c>
      <c r="AD56" s="16">
        <f>0.5*'Gearing Calculator'!$C$15*'Gearing Calculator'!$C$20*'Gearing Calculator'!$U$20*(Forces!I56^2)</f>
        <v>61.414952879268576</v>
      </c>
      <c r="AE56" s="16">
        <f>0.5*'Gearing Calculator'!$C$15*'Gearing Calculator'!$C$20*'Gearing Calculator'!$U$20*(Forces!J56^2)</f>
        <v>88.437532146146765</v>
      </c>
      <c r="AF56" s="16">
        <f>0.5*'Gearing Calculator'!$C$15*'Gearing Calculator'!$C$20*'Gearing Calculator'!$U$20*(Forces!K56^2)</f>
        <v>117.74227652593501</v>
      </c>
      <c r="AG56" s="16">
        <f>0.5*'Gearing Calculator'!$C$15*'Gearing Calculator'!$C$20*'Gearing Calculator'!$U$20*(Forces!L56^2)</f>
        <v>148.60902178193385</v>
      </c>
      <c r="AH56" s="16">
        <f>0.5*'Gearing Calculator'!$C$15*'Gearing Calculator'!$C$20*'Gearing Calculator'!$U$20*(Forces!M56^2)</f>
        <v>185.75411078795801</v>
      </c>
      <c r="AJ56" s="16">
        <f t="shared" si="19"/>
        <v>3136.5099890709239</v>
      </c>
      <c r="AK56" s="16">
        <f t="shared" si="20"/>
        <v>2395.3493952975227</v>
      </c>
      <c r="AL56" s="16">
        <f t="shared" si="21"/>
        <v>1958.8660913345125</v>
      </c>
      <c r="AM56" s="16">
        <f t="shared" si="22"/>
        <v>1656.5875304906365</v>
      </c>
      <c r="AN56" s="16">
        <f t="shared" si="23"/>
        <v>1430.7394877602892</v>
      </c>
      <c r="AO56" s="16">
        <f t="shared" si="24"/>
        <v>1226.8853894136964</v>
      </c>
      <c r="AQ56" s="16">
        <f>0.5*'Gearing Calculator'!$C$15*'Gearing Calculator'!$C$20*'Gearing Calculator'!$W$20*(Forces!H56^2)</f>
        <v>46.29458807572216</v>
      </c>
      <c r="AR56" s="16">
        <f>0.5*'Gearing Calculator'!$C$15*'Gearing Calculator'!$C$20*'Gearing Calculator'!$W$20*(Forces!I56^2)</f>
        <v>77.238019341612869</v>
      </c>
      <c r="AS56" s="16">
        <f>0.5*'Gearing Calculator'!$C$15*'Gearing Calculator'!$C$20*'Gearing Calculator'!$W$20*(Forces!J56^2)</f>
        <v>111.22274785192256</v>
      </c>
      <c r="AT56" s="16">
        <f>0.5*'Gearing Calculator'!$C$15*'Gearing Calculator'!$C$20*'Gearing Calculator'!$W$20*(Forces!K56^2)</f>
        <v>148.07762287977852</v>
      </c>
      <c r="AU56" s="16">
        <f>0.5*'Gearing Calculator'!$C$15*'Gearing Calculator'!$C$20*'Gearing Calculator'!$W$20*(Forces!L56^2)</f>
        <v>186.89693569081635</v>
      </c>
      <c r="AV56" s="16">
        <f>0.5*'Gearing Calculator'!$C$15*'Gearing Calculator'!$C$20*'Gearing Calculator'!$W$20*(Forces!M56^2)</f>
        <v>233.61215679882926</v>
      </c>
      <c r="AX56" s="16">
        <f t="shared" si="25"/>
        <v>3127.0260283193006</v>
      </c>
      <c r="AY56" s="16">
        <f t="shared" si="26"/>
        <v>2379.5263288351784</v>
      </c>
      <c r="AZ56" s="16">
        <f t="shared" si="27"/>
        <v>1936.0808756287367</v>
      </c>
      <c r="BA56" s="16">
        <f t="shared" si="28"/>
        <v>1626.2521841367929</v>
      </c>
      <c r="BB56" s="16">
        <f t="shared" si="29"/>
        <v>1392.4515738514065</v>
      </c>
      <c r="BC56" s="16">
        <f t="shared" si="30"/>
        <v>1179.0273434028252</v>
      </c>
    </row>
    <row r="57" spans="2:55" x14ac:dyDescent="0.25">
      <c r="B57" s="41">
        <v>10500</v>
      </c>
      <c r="C57" s="16">
        <v>91</v>
      </c>
      <c r="D57" s="65">
        <f t="shared" si="0"/>
        <v>67.858699999999999</v>
      </c>
      <c r="E57" s="16">
        <f t="shared" si="1"/>
        <v>67858.7</v>
      </c>
      <c r="F57" s="21">
        <f t="shared" si="2"/>
        <v>45.517333333333333</v>
      </c>
      <c r="H57" s="16">
        <v>21.115246524161371</v>
      </c>
      <c r="I57" s="64">
        <v>27.273860093708443</v>
      </c>
      <c r="J57" s="16">
        <v>32.728632112450121</v>
      </c>
      <c r="K57" s="64">
        <v>37.763806283596296</v>
      </c>
      <c r="L57" s="16">
        <v>42.426004590213118</v>
      </c>
      <c r="M57" s="16">
        <v>47.432800162971212</v>
      </c>
      <c r="O57" s="118">
        <f t="shared" si="7"/>
        <v>76.014887486980939</v>
      </c>
      <c r="P57" s="118">
        <f t="shared" si="8"/>
        <v>98.1858963373504</v>
      </c>
      <c r="Q57" s="118">
        <f t="shared" si="9"/>
        <v>117.82307560482045</v>
      </c>
      <c r="R57" s="118">
        <f t="shared" si="10"/>
        <v>135.94970262094668</v>
      </c>
      <c r="S57" s="118">
        <f t="shared" si="11"/>
        <v>152.73361652476723</v>
      </c>
      <c r="T57" s="118">
        <f t="shared" si="12"/>
        <v>170.75808058669637</v>
      </c>
      <c r="V57" s="16">
        <f t="shared" si="13"/>
        <v>3213.729942596307</v>
      </c>
      <c r="W57" s="16">
        <f t="shared" si="14"/>
        <v>2488.0489878164954</v>
      </c>
      <c r="X57" s="16">
        <f t="shared" si="15"/>
        <v>2073.3741565137466</v>
      </c>
      <c r="Y57" s="16">
        <f t="shared" si="16"/>
        <v>1796.9242689785804</v>
      </c>
      <c r="Z57" s="16">
        <f t="shared" si="17"/>
        <v>1599.4600635963191</v>
      </c>
      <c r="AA57" s="16">
        <f t="shared" si="18"/>
        <v>1430.6281679944846</v>
      </c>
      <c r="AC57" s="16">
        <f>0.5*'Gearing Calculator'!$C$15*'Gearing Calculator'!$C$20*'Gearing Calculator'!$U$20*(Forces!H57^2)</f>
        <v>37.52192735282788</v>
      </c>
      <c r="AD57" s="16">
        <f>0.5*'Gearing Calculator'!$C$15*'Gearing Calculator'!$C$20*'Gearing Calculator'!$U$20*(Forces!I57^2)</f>
        <v>62.601687823034041</v>
      </c>
      <c r="AE57" s="16">
        <f>0.5*'Gearing Calculator'!$C$15*'Gearing Calculator'!$C$20*'Gearing Calculator'!$U$20*(Forces!J57^2)</f>
        <v>90.146430465168962</v>
      </c>
      <c r="AF57" s="16">
        <f>0.5*'Gearing Calculator'!$C$15*'Gearing Calculator'!$C$20*'Gearing Calculator'!$U$20*(Forces!K57^2)</f>
        <v>120.01743700984034</v>
      </c>
      <c r="AG57" s="16">
        <f>0.5*'Gearing Calculator'!$C$15*'Gearing Calculator'!$C$20*'Gearing Calculator'!$U$20*(Forces!L57^2)</f>
        <v>151.48062732487239</v>
      </c>
      <c r="AH57" s="16">
        <f>0.5*'Gearing Calculator'!$C$15*'Gearing Calculator'!$C$20*'Gearing Calculator'!$U$20*(Forces!M57^2)</f>
        <v>189.3434792379102</v>
      </c>
      <c r="AJ57" s="16">
        <f t="shared" si="19"/>
        <v>3176.2080152434792</v>
      </c>
      <c r="AK57" s="16">
        <f t="shared" si="20"/>
        <v>2425.4472999934615</v>
      </c>
      <c r="AL57" s="16">
        <f t="shared" si="21"/>
        <v>1983.2277260485776</v>
      </c>
      <c r="AM57" s="16">
        <f t="shared" si="22"/>
        <v>1676.9068319687401</v>
      </c>
      <c r="AN57" s="16">
        <f t="shared" si="23"/>
        <v>1447.9794362714467</v>
      </c>
      <c r="AO57" s="16">
        <f t="shared" si="24"/>
        <v>1241.2846887565743</v>
      </c>
      <c r="AQ57" s="16">
        <f>0.5*'Gearing Calculator'!$C$15*'Gearing Calculator'!$C$20*'Gearing Calculator'!$W$20*(Forces!H57^2)</f>
        <v>47.189148810543358</v>
      </c>
      <c r="AR57" s="16">
        <f>0.5*'Gearing Calculator'!$C$15*'Gearing Calculator'!$C$20*'Gearing Calculator'!$W$20*(Forces!I57^2)</f>
        <v>78.730506956479488</v>
      </c>
      <c r="AS57" s="16">
        <f>0.5*'Gearing Calculator'!$C$15*'Gearing Calculator'!$C$20*'Gearing Calculator'!$W$20*(Forces!J57^2)</f>
        <v>113.37193001733038</v>
      </c>
      <c r="AT57" s="16">
        <f>0.5*'Gearing Calculator'!$C$15*'Gearing Calculator'!$C$20*'Gearing Calculator'!$W$20*(Forces!K57^2)</f>
        <v>150.93896008224462</v>
      </c>
      <c r="AU57" s="16">
        <f>0.5*'Gearing Calculator'!$C$15*'Gearing Calculator'!$C$20*'Gearing Calculator'!$W$20*(Forces!L57^2)</f>
        <v>190.50838720333294</v>
      </c>
      <c r="AV57" s="16">
        <f>0.5*'Gearing Calculator'!$C$15*'Gearing Calculator'!$C$20*'Gearing Calculator'!$W$20*(Forces!M57^2)</f>
        <v>238.12629703283028</v>
      </c>
      <c r="AX57" s="16">
        <f t="shared" si="25"/>
        <v>3166.5407937857635</v>
      </c>
      <c r="AY57" s="16">
        <f t="shared" si="26"/>
        <v>2409.3184808600158</v>
      </c>
      <c r="AZ57" s="16">
        <f t="shared" si="27"/>
        <v>1960.0022264964161</v>
      </c>
      <c r="BA57" s="16">
        <f t="shared" si="28"/>
        <v>1645.9853088963357</v>
      </c>
      <c r="BB57" s="16">
        <f t="shared" si="29"/>
        <v>1408.9516763929862</v>
      </c>
      <c r="BC57" s="16">
        <f t="shared" si="30"/>
        <v>1192.5018709616543</v>
      </c>
    </row>
    <row r="58" spans="2:55" x14ac:dyDescent="0.25">
      <c r="B58" s="41">
        <v>10600</v>
      </c>
      <c r="C58" s="16">
        <v>92</v>
      </c>
      <c r="D58" s="65">
        <f t="shared" si="0"/>
        <v>68.604399999999998</v>
      </c>
      <c r="E58" s="16">
        <f t="shared" si="1"/>
        <v>68604.399999999994</v>
      </c>
      <c r="F58" s="21">
        <f t="shared" si="2"/>
        <v>45.583396226415097</v>
      </c>
      <c r="H58" s="16">
        <v>21.316344110105767</v>
      </c>
      <c r="I58" s="64">
        <v>27.53361114221995</v>
      </c>
      <c r="J58" s="16">
        <v>33.040333370663937</v>
      </c>
      <c r="K58" s="64">
        <v>38.123461581535317</v>
      </c>
      <c r="L58" s="16">
        <v>42.830061776786579</v>
      </c>
      <c r="M58" s="16">
        <v>47.884541116904273</v>
      </c>
      <c r="O58" s="118">
        <f t="shared" si="7"/>
        <v>76.738838796380762</v>
      </c>
      <c r="P58" s="118">
        <f t="shared" si="8"/>
        <v>99.121000111991819</v>
      </c>
      <c r="Q58" s="118">
        <f t="shared" si="9"/>
        <v>118.94520013439018</v>
      </c>
      <c r="R58" s="118">
        <f t="shared" si="10"/>
        <v>137.24446169352714</v>
      </c>
      <c r="S58" s="118">
        <f t="shared" si="11"/>
        <v>154.18822239643168</v>
      </c>
      <c r="T58" s="118">
        <f t="shared" si="12"/>
        <v>172.38434802085538</v>
      </c>
      <c r="V58" s="16">
        <f t="shared" si="13"/>
        <v>3218.3942821356336</v>
      </c>
      <c r="W58" s="16">
        <f t="shared" si="14"/>
        <v>2491.6600893953291</v>
      </c>
      <c r="X58" s="16">
        <f t="shared" si="15"/>
        <v>2076.3834078294412</v>
      </c>
      <c r="Y58" s="16">
        <f t="shared" si="16"/>
        <v>1799.5322867855155</v>
      </c>
      <c r="Z58" s="16">
        <f t="shared" si="17"/>
        <v>1601.7814860398548</v>
      </c>
      <c r="AA58" s="16">
        <f t="shared" si="18"/>
        <v>1432.7045514023139</v>
      </c>
      <c r="AC58" s="16">
        <f>0.5*'Gearing Calculator'!$C$15*'Gearing Calculator'!$C$20*'Gearing Calculator'!$U$20*(Forces!H58^2)</f>
        <v>38.240034080396747</v>
      </c>
      <c r="AD58" s="16">
        <f>0.5*'Gearing Calculator'!$C$15*'Gearing Calculator'!$C$20*'Gearing Calculator'!$U$20*(Forces!I58^2)</f>
        <v>63.799779082050826</v>
      </c>
      <c r="AE58" s="16">
        <f>0.5*'Gearing Calculator'!$C$15*'Gearing Calculator'!$C$20*'Gearing Calculator'!$U$20*(Forces!J58^2)</f>
        <v>91.871681878153169</v>
      </c>
      <c r="AF58" s="16">
        <f>0.5*'Gearing Calculator'!$C$15*'Gearing Calculator'!$C$20*'Gearing Calculator'!$U$20*(Forces!K58^2)</f>
        <v>122.31436936440515</v>
      </c>
      <c r="AG58" s="16">
        <f>0.5*'Gearing Calculator'!$C$15*'Gearing Calculator'!$C$20*'Gearing Calculator'!$U$20*(Forces!L58^2)</f>
        <v>154.37971234669081</v>
      </c>
      <c r="AH58" s="16">
        <f>0.5*'Gearing Calculator'!$C$15*'Gearing Calculator'!$C$20*'Gearing Calculator'!$U$20*(Forces!M58^2)</f>
        <v>192.96719571130694</v>
      </c>
      <c r="AJ58" s="16">
        <f t="shared" si="19"/>
        <v>3180.1542480552371</v>
      </c>
      <c r="AK58" s="16">
        <f t="shared" si="20"/>
        <v>2427.8603103132782</v>
      </c>
      <c r="AL58" s="16">
        <f t="shared" si="21"/>
        <v>1984.5117259512881</v>
      </c>
      <c r="AM58" s="16">
        <f t="shared" si="22"/>
        <v>1677.2179174211103</v>
      </c>
      <c r="AN58" s="16">
        <f t="shared" si="23"/>
        <v>1447.4017736931639</v>
      </c>
      <c r="AO58" s="16">
        <f t="shared" si="24"/>
        <v>1239.737355691007</v>
      </c>
      <c r="AQ58" s="16">
        <f>0.5*'Gearing Calculator'!$C$15*'Gearing Calculator'!$C$20*'Gearing Calculator'!$W$20*(Forces!H58^2)</f>
        <v>48.092269935171451</v>
      </c>
      <c r="AR58" s="16">
        <f>0.5*'Gearing Calculator'!$C$15*'Gearing Calculator'!$C$20*'Gearing Calculator'!$W$20*(Forces!I58^2)</f>
        <v>80.237276749478767</v>
      </c>
      <c r="AS58" s="16">
        <f>0.5*'Gearing Calculator'!$C$15*'Gearing Calculator'!$C$20*'Gearing Calculator'!$W$20*(Forces!J58^2)</f>
        <v>115.5416785192494</v>
      </c>
      <c r="AT58" s="16">
        <f>0.5*'Gearing Calculator'!$C$15*'Gearing Calculator'!$C$20*'Gearing Calculator'!$W$20*(Forces!K58^2)</f>
        <v>153.8276785019593</v>
      </c>
      <c r="AU58" s="16">
        <f>0.5*'Gearing Calculator'!$C$15*'Gearing Calculator'!$C$20*'Gearing Calculator'!$W$20*(Forces!L58^2)</f>
        <v>194.15439806046703</v>
      </c>
      <c r="AV58" s="16">
        <f>0.5*'Gearing Calculator'!$C$15*'Gearing Calculator'!$C$20*'Gearing Calculator'!$W$20*(Forces!M58^2)</f>
        <v>242.68363478103231</v>
      </c>
      <c r="AX58" s="16">
        <f t="shared" si="25"/>
        <v>3170.3020122004623</v>
      </c>
      <c r="AY58" s="16">
        <f t="shared" si="26"/>
        <v>2411.4228126458502</v>
      </c>
      <c r="AZ58" s="16">
        <f t="shared" si="27"/>
        <v>1960.8417293101918</v>
      </c>
      <c r="BA58" s="16">
        <f t="shared" si="28"/>
        <v>1645.7046082835561</v>
      </c>
      <c r="BB58" s="16">
        <f t="shared" si="29"/>
        <v>1407.6270879793879</v>
      </c>
      <c r="BC58" s="16">
        <f t="shared" si="30"/>
        <v>1190.0209166212817</v>
      </c>
    </row>
    <row r="59" spans="2:55" x14ac:dyDescent="0.25">
      <c r="B59" s="41">
        <v>10700</v>
      </c>
      <c r="C59" s="16">
        <v>93</v>
      </c>
      <c r="D59" s="65">
        <f t="shared" si="0"/>
        <v>69.350099999999998</v>
      </c>
      <c r="E59" s="16">
        <f t="shared" si="1"/>
        <v>69350.099999999991</v>
      </c>
      <c r="F59" s="21">
        <f t="shared" si="2"/>
        <v>45.648224299065419</v>
      </c>
      <c r="H59" s="16">
        <v>21.51744169605016</v>
      </c>
      <c r="I59" s="64">
        <v>27.793362190731457</v>
      </c>
      <c r="J59" s="16">
        <v>33.352034628877739</v>
      </c>
      <c r="K59" s="64">
        <v>38.483116879474331</v>
      </c>
      <c r="L59" s="16">
        <v>43.234118963360046</v>
      </c>
      <c r="M59" s="16">
        <v>48.336282070837321</v>
      </c>
      <c r="O59" s="118">
        <f t="shared" si="7"/>
        <v>77.46279010578057</v>
      </c>
      <c r="P59" s="118">
        <f t="shared" si="8"/>
        <v>100.05610388663325</v>
      </c>
      <c r="Q59" s="118">
        <f t="shared" si="9"/>
        <v>120.06732466395987</v>
      </c>
      <c r="R59" s="118">
        <f t="shared" si="10"/>
        <v>138.5392207661076</v>
      </c>
      <c r="S59" s="118">
        <f t="shared" si="11"/>
        <v>155.64282826809617</v>
      </c>
      <c r="T59" s="118">
        <f t="shared" si="12"/>
        <v>174.01061545501435</v>
      </c>
      <c r="V59" s="16">
        <f t="shared" si="13"/>
        <v>3222.9714377583377</v>
      </c>
      <c r="W59" s="16">
        <f t="shared" si="14"/>
        <v>2495.2036937483904</v>
      </c>
      <c r="X59" s="16">
        <f t="shared" si="15"/>
        <v>2079.3364114569927</v>
      </c>
      <c r="Y59" s="16">
        <f t="shared" si="16"/>
        <v>1802.0915565960595</v>
      </c>
      <c r="Z59" s="16">
        <f t="shared" si="17"/>
        <v>1604.0595174096795</v>
      </c>
      <c r="AA59" s="16">
        <f t="shared" si="18"/>
        <v>1434.7421239053244</v>
      </c>
      <c r="AC59" s="16">
        <f>0.5*'Gearing Calculator'!$C$15*'Gearing Calculator'!$C$20*'Gearing Calculator'!$U$20*(Forces!H59^2)</f>
        <v>38.964947506805117</v>
      </c>
      <c r="AD59" s="16">
        <f>0.5*'Gearing Calculator'!$C$15*'Gearing Calculator'!$C$20*'Gearing Calculator'!$U$20*(Forces!I59^2)</f>
        <v>65.009226656318958</v>
      </c>
      <c r="AE59" s="16">
        <f>0.5*'Gearing Calculator'!$C$15*'Gearing Calculator'!$C$20*'Gearing Calculator'!$U$20*(Forces!J59^2)</f>
        <v>93.613286385099244</v>
      </c>
      <c r="AF59" s="16">
        <f>0.5*'Gearing Calculator'!$C$15*'Gearing Calculator'!$C$20*'Gearing Calculator'!$U$20*(Forces!K59^2)</f>
        <v>124.63307358962928</v>
      </c>
      <c r="AG59" s="16">
        <f>0.5*'Gearing Calculator'!$C$15*'Gearing Calculator'!$C$20*'Gearing Calculator'!$U$20*(Forces!L59^2)</f>
        <v>157.30627684738911</v>
      </c>
      <c r="AH59" s="16">
        <f>0.5*'Gearing Calculator'!$C$15*'Gearing Calculator'!$C$20*'Gearing Calculator'!$U$20*(Forces!M59^2)</f>
        <v>196.62526020814812</v>
      </c>
      <c r="AJ59" s="16">
        <f t="shared" si="19"/>
        <v>3184.0064902515328</v>
      </c>
      <c r="AK59" s="16">
        <f t="shared" si="20"/>
        <v>2430.1944670920716</v>
      </c>
      <c r="AL59" s="16">
        <f t="shared" si="21"/>
        <v>1985.7231250718935</v>
      </c>
      <c r="AM59" s="16">
        <f t="shared" si="22"/>
        <v>1677.4584830064302</v>
      </c>
      <c r="AN59" s="16">
        <f t="shared" si="23"/>
        <v>1446.7532405622903</v>
      </c>
      <c r="AO59" s="16">
        <f t="shared" si="24"/>
        <v>1238.1168636971763</v>
      </c>
      <c r="AQ59" s="16">
        <f>0.5*'Gearing Calculator'!$C$15*'Gearing Calculator'!$C$20*'Gearing Calculator'!$W$20*(Forces!H59^2)</f>
        <v>49.003951449606433</v>
      </c>
      <c r="AR59" s="16">
        <f>0.5*'Gearing Calculator'!$C$15*'Gearing Calculator'!$C$20*'Gearing Calculator'!$W$20*(Forces!I59^2)</f>
        <v>81.758328720610734</v>
      </c>
      <c r="AS59" s="16">
        <f>0.5*'Gearing Calculator'!$C$15*'Gearing Calculator'!$C$20*'Gearing Calculator'!$W$20*(Forces!J59^2)</f>
        <v>117.7319933576794</v>
      </c>
      <c r="AT59" s="16">
        <f>0.5*'Gearing Calculator'!$C$15*'Gearing Calculator'!$C$20*'Gearing Calculator'!$W$20*(Forces!K59^2)</f>
        <v>156.74377813892241</v>
      </c>
      <c r="AU59" s="16">
        <f>0.5*'Gearing Calculator'!$C$15*'Gearing Calculator'!$C$20*'Gearing Calculator'!$W$20*(Forces!L59^2)</f>
        <v>197.83496826221861</v>
      </c>
      <c r="AV59" s="16">
        <f>0.5*'Gearing Calculator'!$C$15*'Gearing Calculator'!$C$20*'Gearing Calculator'!$W$20*(Forces!M59^2)</f>
        <v>247.28417004343518</v>
      </c>
      <c r="AX59" s="16">
        <f t="shared" si="25"/>
        <v>3173.9674863087312</v>
      </c>
      <c r="AY59" s="16">
        <f t="shared" si="26"/>
        <v>2413.4453650277796</v>
      </c>
      <c r="AZ59" s="16">
        <f t="shared" si="27"/>
        <v>1961.6044180993133</v>
      </c>
      <c r="BA59" s="16">
        <f t="shared" si="28"/>
        <v>1645.3477784571371</v>
      </c>
      <c r="BB59" s="16">
        <f t="shared" si="29"/>
        <v>1406.2245491474609</v>
      </c>
      <c r="BC59" s="16">
        <f t="shared" si="30"/>
        <v>1187.4579538618893</v>
      </c>
    </row>
    <row r="60" spans="2:55" x14ac:dyDescent="0.25">
      <c r="B60" s="41">
        <v>10800</v>
      </c>
      <c r="C60" s="16">
        <v>94</v>
      </c>
      <c r="D60" s="65">
        <f t="shared" si="0"/>
        <v>70.095799999999997</v>
      </c>
      <c r="E60" s="16">
        <f t="shared" si="1"/>
        <v>70095.8</v>
      </c>
      <c r="F60" s="21">
        <f t="shared" si="2"/>
        <v>45.711851851851854</v>
      </c>
      <c r="H60" s="16">
        <v>21.718539281994556</v>
      </c>
      <c r="I60" s="64">
        <v>28.053113239242968</v>
      </c>
      <c r="J60" s="16">
        <v>33.663735887091562</v>
      </c>
      <c r="K60" s="64">
        <v>38.842772177413337</v>
      </c>
      <c r="L60" s="16">
        <v>43.638176149933507</v>
      </c>
      <c r="M60" s="16">
        <v>48.788023024770389</v>
      </c>
      <c r="O60" s="118">
        <f t="shared" si="7"/>
        <v>78.186741415180407</v>
      </c>
      <c r="P60" s="118">
        <f t="shared" si="8"/>
        <v>100.99120766127469</v>
      </c>
      <c r="Q60" s="118">
        <f t="shared" si="9"/>
        <v>121.18944919352963</v>
      </c>
      <c r="R60" s="118">
        <f t="shared" si="10"/>
        <v>139.83397983868801</v>
      </c>
      <c r="S60" s="118">
        <f t="shared" si="11"/>
        <v>157.09743413976062</v>
      </c>
      <c r="T60" s="118">
        <f t="shared" si="12"/>
        <v>175.63688288917339</v>
      </c>
      <c r="V60" s="16">
        <f t="shared" si="13"/>
        <v>3227.4638312398811</v>
      </c>
      <c r="W60" s="16">
        <f t="shared" si="14"/>
        <v>2498.6816757986176</v>
      </c>
      <c r="X60" s="16">
        <f t="shared" si="15"/>
        <v>2082.2347298321811</v>
      </c>
      <c r="Y60" s="16">
        <f t="shared" si="16"/>
        <v>1804.6034325212238</v>
      </c>
      <c r="Z60" s="16">
        <f t="shared" si="17"/>
        <v>1606.295363013397</v>
      </c>
      <c r="AA60" s="16">
        <f t="shared" si="18"/>
        <v>1436.7419635842048</v>
      </c>
      <c r="AC60" s="16">
        <f>0.5*'Gearing Calculator'!$C$15*'Gearing Calculator'!$C$20*'Gearing Calculator'!$U$20*(Forces!H60^2)</f>
        <v>39.696667632053014</v>
      </c>
      <c r="AD60" s="16">
        <f>0.5*'Gearing Calculator'!$C$15*'Gearing Calculator'!$C$20*'Gearing Calculator'!$U$20*(Forces!I60^2)</f>
        <v>66.230030545838446</v>
      </c>
      <c r="AE60" s="16">
        <f>0.5*'Gearing Calculator'!$C$15*'Gearing Calculator'!$C$20*'Gearing Calculator'!$U$20*(Forces!J60^2)</f>
        <v>95.371243986007372</v>
      </c>
      <c r="AF60" s="16">
        <f>0.5*'Gearing Calculator'!$C$15*'Gearing Calculator'!$C$20*'Gearing Calculator'!$U$20*(Forces!K60^2)</f>
        <v>126.97354968551275</v>
      </c>
      <c r="AG60" s="16">
        <f>0.5*'Gearing Calculator'!$C$15*'Gearing Calculator'!$C$20*'Gearing Calculator'!$U$20*(Forces!L60^2)</f>
        <v>160.26032082696713</v>
      </c>
      <c r="AH60" s="16">
        <f>0.5*'Gearing Calculator'!$C$15*'Gearing Calculator'!$C$20*'Gearing Calculator'!$U$20*(Forces!M60^2)</f>
        <v>200.31767272843399</v>
      </c>
      <c r="AJ60" s="16">
        <f t="shared" si="19"/>
        <v>3187.767163607828</v>
      </c>
      <c r="AK60" s="16">
        <f t="shared" si="20"/>
        <v>2432.4516452527791</v>
      </c>
      <c r="AL60" s="16">
        <f t="shared" si="21"/>
        <v>1986.8634858461737</v>
      </c>
      <c r="AM60" s="16">
        <f t="shared" si="22"/>
        <v>1677.629882835711</v>
      </c>
      <c r="AN60" s="16">
        <f t="shared" si="23"/>
        <v>1446.03504218643</v>
      </c>
      <c r="AO60" s="16">
        <f t="shared" si="24"/>
        <v>1236.4242908557708</v>
      </c>
      <c r="AQ60" s="16">
        <f>0.5*'Gearing Calculator'!$C$15*'Gearing Calculator'!$C$20*'Gearing Calculator'!$W$20*(Forces!H60^2)</f>
        <v>49.924193353848331</v>
      </c>
      <c r="AR60" s="16">
        <f>0.5*'Gearing Calculator'!$C$15*'Gearing Calculator'!$C$20*'Gearing Calculator'!$W$20*(Forces!I60^2)</f>
        <v>83.293662869875433</v>
      </c>
      <c r="AS60" s="16">
        <f>0.5*'Gearing Calculator'!$C$15*'Gearing Calculator'!$C$20*'Gearing Calculator'!$W$20*(Forces!J60^2)</f>
        <v>119.94287453262062</v>
      </c>
      <c r="AT60" s="16">
        <f>0.5*'Gearing Calculator'!$C$15*'Gearing Calculator'!$C$20*'Gearing Calculator'!$W$20*(Forces!K60^2)</f>
        <v>159.68725899313392</v>
      </c>
      <c r="AU60" s="16">
        <f>0.5*'Gearing Calculator'!$C$15*'Gearing Calculator'!$C$20*'Gearing Calculator'!$W$20*(Forces!L60^2)</f>
        <v>201.55009780858748</v>
      </c>
      <c r="AV60" s="16">
        <f>0.5*'Gearing Calculator'!$C$15*'Gearing Calculator'!$C$20*'Gearing Calculator'!$W$20*(Forces!M60^2)</f>
        <v>251.92790282003924</v>
      </c>
      <c r="AX60" s="16">
        <f t="shared" si="25"/>
        <v>3177.5396378860328</v>
      </c>
      <c r="AY60" s="16">
        <f t="shared" si="26"/>
        <v>2415.3880129287422</v>
      </c>
      <c r="AZ60" s="16">
        <f t="shared" si="27"/>
        <v>1962.2918552995604</v>
      </c>
      <c r="BA60" s="16">
        <f t="shared" si="28"/>
        <v>1644.91617352809</v>
      </c>
      <c r="BB60" s="16">
        <f t="shared" si="29"/>
        <v>1404.7452652048096</v>
      </c>
      <c r="BC60" s="16">
        <f t="shared" si="30"/>
        <v>1184.8140607641656</v>
      </c>
    </row>
    <row r="61" spans="2:55" x14ac:dyDescent="0.25">
      <c r="B61" s="41">
        <v>10900</v>
      </c>
      <c r="C61" s="16">
        <v>95</v>
      </c>
      <c r="D61" s="65">
        <f t="shared" si="0"/>
        <v>70.841499999999996</v>
      </c>
      <c r="E61" s="16">
        <f t="shared" si="1"/>
        <v>70841.5</v>
      </c>
      <c r="F61" s="21">
        <f t="shared" si="2"/>
        <v>45.774311926605506</v>
      </c>
      <c r="H61" s="16">
        <v>21.919636867938951</v>
      </c>
      <c r="I61" s="64">
        <v>28.312864287754476</v>
      </c>
      <c r="J61" s="16">
        <v>33.975437145305371</v>
      </c>
      <c r="K61" s="64">
        <v>39.202427475352351</v>
      </c>
      <c r="L61" s="16">
        <v>44.04223333650696</v>
      </c>
      <c r="M61" s="16">
        <v>49.239763978703451</v>
      </c>
      <c r="O61" s="118">
        <f t="shared" si="7"/>
        <v>78.91069272458023</v>
      </c>
      <c r="P61" s="118">
        <f t="shared" si="8"/>
        <v>101.92631143591612</v>
      </c>
      <c r="Q61" s="118">
        <f t="shared" si="9"/>
        <v>122.31157372309934</v>
      </c>
      <c r="R61" s="118">
        <f t="shared" si="10"/>
        <v>141.12873891126847</v>
      </c>
      <c r="S61" s="118">
        <f t="shared" si="11"/>
        <v>158.55204001142505</v>
      </c>
      <c r="T61" s="118">
        <f t="shared" si="12"/>
        <v>177.26315032333244</v>
      </c>
      <c r="V61" s="16">
        <f t="shared" si="13"/>
        <v>3231.87379548323</v>
      </c>
      <c r="W61" s="16">
        <f t="shared" si="14"/>
        <v>2502.0958416644366</v>
      </c>
      <c r="X61" s="16">
        <f t="shared" si="15"/>
        <v>2085.0798680536968</v>
      </c>
      <c r="Y61" s="16">
        <f t="shared" si="16"/>
        <v>1807.0692189798708</v>
      </c>
      <c r="Z61" s="16">
        <f t="shared" si="17"/>
        <v>1608.4901839271379</v>
      </c>
      <c r="AA61" s="16">
        <f t="shared" si="18"/>
        <v>1438.7051089570505</v>
      </c>
      <c r="AC61" s="16">
        <f>0.5*'Gearing Calculator'!$C$15*'Gearing Calculator'!$C$20*'Gearing Calculator'!$U$20*(Forces!H61^2)</f>
        <v>40.43519445614043</v>
      </c>
      <c r="AD61" s="16">
        <f>0.5*'Gearing Calculator'!$C$15*'Gearing Calculator'!$C$20*'Gearing Calculator'!$U$20*(Forces!I61^2)</f>
        <v>67.462190750609267</v>
      </c>
      <c r="AE61" s="16">
        <f>0.5*'Gearing Calculator'!$C$15*'Gearing Calculator'!$C$20*'Gearing Calculator'!$U$20*(Forces!J61^2)</f>
        <v>97.145554680877339</v>
      </c>
      <c r="AF61" s="16">
        <f>0.5*'Gearing Calculator'!$C$15*'Gearing Calculator'!$C$20*'Gearing Calculator'!$U$20*(Forces!K61^2)</f>
        <v>129.33579765205567</v>
      </c>
      <c r="AG61" s="16">
        <f>0.5*'Gearing Calculator'!$C$15*'Gearing Calculator'!$C$20*'Gearing Calculator'!$U$20*(Forces!L61^2)</f>
        <v>163.24184428542492</v>
      </c>
      <c r="AH61" s="16">
        <f>0.5*'Gearing Calculator'!$C$15*'Gearing Calculator'!$C$20*'Gearing Calculator'!$U$20*(Forces!M61^2)</f>
        <v>204.04443327216427</v>
      </c>
      <c r="AJ61" s="16">
        <f t="shared" si="19"/>
        <v>3191.4386010270896</v>
      </c>
      <c r="AK61" s="16">
        <f t="shared" si="20"/>
        <v>2434.6336509138273</v>
      </c>
      <c r="AL61" s="16">
        <f t="shared" si="21"/>
        <v>1987.9343133728196</v>
      </c>
      <c r="AM61" s="16">
        <f t="shared" si="22"/>
        <v>1677.7334213278152</v>
      </c>
      <c r="AN61" s="16">
        <f t="shared" si="23"/>
        <v>1445.2483396417128</v>
      </c>
      <c r="AO61" s="16">
        <f t="shared" si="24"/>
        <v>1234.6606756848862</v>
      </c>
      <c r="AQ61" s="16">
        <f>0.5*'Gearing Calculator'!$C$15*'Gearing Calculator'!$C$20*'Gearing Calculator'!$W$20*(Forces!H61^2)</f>
        <v>50.852995647897131</v>
      </c>
      <c r="AR61" s="16">
        <f>0.5*'Gearing Calculator'!$C$15*'Gearing Calculator'!$C$20*'Gearing Calculator'!$W$20*(Forces!I61^2)</f>
        <v>84.843279197272793</v>
      </c>
      <c r="AS61" s="16">
        <f>0.5*'Gearing Calculator'!$C$15*'Gearing Calculator'!$C$20*'Gearing Calculator'!$W$20*(Forces!J61^2)</f>
        <v>122.17432204407281</v>
      </c>
      <c r="AT61" s="16">
        <f>0.5*'Gearing Calculator'!$C$15*'Gearing Calculator'!$C$20*'Gearing Calculator'!$W$20*(Forces!K61^2)</f>
        <v>162.65812106459401</v>
      </c>
      <c r="AU61" s="16">
        <f>0.5*'Gearing Calculator'!$C$15*'Gearing Calculator'!$C$20*'Gearing Calculator'!$W$20*(Forces!L61^2)</f>
        <v>205.29978669957367</v>
      </c>
      <c r="AV61" s="16">
        <f>0.5*'Gearing Calculator'!$C$15*'Gearing Calculator'!$C$20*'Gearing Calculator'!$W$20*(Forces!M61^2)</f>
        <v>256.61483311084413</v>
      </c>
      <c r="AX61" s="16">
        <f t="shared" si="25"/>
        <v>3181.020799835333</v>
      </c>
      <c r="AY61" s="16">
        <f t="shared" si="26"/>
        <v>2417.2525624671639</v>
      </c>
      <c r="AZ61" s="16">
        <f t="shared" si="27"/>
        <v>1962.905546009624</v>
      </c>
      <c r="BA61" s="16">
        <f t="shared" si="28"/>
        <v>1644.4110979152767</v>
      </c>
      <c r="BB61" s="16">
        <f t="shared" si="29"/>
        <v>1403.1903972275643</v>
      </c>
      <c r="BC61" s="16">
        <f t="shared" si="30"/>
        <v>1182.0902758462064</v>
      </c>
    </row>
    <row r="62" spans="2:55" x14ac:dyDescent="0.25">
      <c r="B62" s="41">
        <v>11000</v>
      </c>
      <c r="C62" s="16">
        <v>95</v>
      </c>
      <c r="D62" s="65">
        <f t="shared" si="0"/>
        <v>70.841499999999996</v>
      </c>
      <c r="E62" s="16">
        <f t="shared" si="1"/>
        <v>70841.5</v>
      </c>
      <c r="F62" s="21">
        <f t="shared" si="2"/>
        <v>45.358181818181819</v>
      </c>
      <c r="H62" s="16">
        <v>22.12073445388334</v>
      </c>
      <c r="I62" s="64">
        <v>28.572615336265986</v>
      </c>
      <c r="J62" s="16">
        <v>34.28713840351918</v>
      </c>
      <c r="K62" s="64">
        <v>39.562082773291365</v>
      </c>
      <c r="L62" s="16">
        <v>44.446290523080414</v>
      </c>
      <c r="M62" s="16">
        <v>49.691504932636512</v>
      </c>
      <c r="O62" s="118">
        <f t="shared" si="7"/>
        <v>79.634644033980024</v>
      </c>
      <c r="P62" s="118">
        <f t="shared" si="8"/>
        <v>102.86141521055755</v>
      </c>
      <c r="Q62" s="118">
        <f t="shared" si="9"/>
        <v>123.43369825266905</v>
      </c>
      <c r="R62" s="118">
        <f t="shared" si="10"/>
        <v>142.42349798384893</v>
      </c>
      <c r="S62" s="118">
        <f t="shared" si="11"/>
        <v>160.0066458830895</v>
      </c>
      <c r="T62" s="118">
        <f t="shared" si="12"/>
        <v>178.88941775749146</v>
      </c>
      <c r="V62" s="16">
        <f t="shared" si="13"/>
        <v>3202.4931246152014</v>
      </c>
      <c r="W62" s="16">
        <f t="shared" si="14"/>
        <v>2479.3495158311234</v>
      </c>
      <c r="X62" s="16">
        <f t="shared" si="15"/>
        <v>2066.1245965259363</v>
      </c>
      <c r="Y62" s="16">
        <f t="shared" si="16"/>
        <v>1790.6413169891446</v>
      </c>
      <c r="Z62" s="16">
        <f t="shared" si="17"/>
        <v>1593.8675458914367</v>
      </c>
      <c r="AA62" s="16">
        <f t="shared" si="18"/>
        <v>1425.6259716028956</v>
      </c>
      <c r="AC62" s="16">
        <f>0.5*'Gearing Calculator'!$C$15*'Gearing Calculator'!$C$20*'Gearing Calculator'!$U$20*(Forces!H62^2)</f>
        <v>41.180527979067335</v>
      </c>
      <c r="AD62" s="16">
        <f>0.5*'Gearing Calculator'!$C$15*'Gearing Calculator'!$C$20*'Gearing Calculator'!$U$20*(Forces!I62^2)</f>
        <v>68.70570727063145</v>
      </c>
      <c r="AE62" s="16">
        <f>0.5*'Gearing Calculator'!$C$15*'Gearing Calculator'!$C$20*'Gearing Calculator'!$U$20*(Forces!J62^2)</f>
        <v>98.936218469709274</v>
      </c>
      <c r="AF62" s="16">
        <f>0.5*'Gearing Calculator'!$C$15*'Gearing Calculator'!$C$20*'Gearing Calculator'!$U$20*(Forces!K62^2)</f>
        <v>131.71981748925793</v>
      </c>
      <c r="AG62" s="16">
        <f>0.5*'Gearing Calculator'!$C$15*'Gearing Calculator'!$C$20*'Gearing Calculator'!$U$20*(Forces!L62^2)</f>
        <v>166.25084722276247</v>
      </c>
      <c r="AH62" s="16">
        <f>0.5*'Gearing Calculator'!$C$15*'Gearing Calculator'!$C$20*'Gearing Calculator'!$U$20*(Forces!M62^2)</f>
        <v>207.80554183933913</v>
      </c>
      <c r="AJ62" s="16">
        <f t="shared" si="19"/>
        <v>3161.312596636134</v>
      </c>
      <c r="AK62" s="16">
        <f t="shared" si="20"/>
        <v>2410.6438085604918</v>
      </c>
      <c r="AL62" s="16">
        <f t="shared" si="21"/>
        <v>1967.1883780562271</v>
      </c>
      <c r="AM62" s="16">
        <f t="shared" si="22"/>
        <v>1658.9214994998865</v>
      </c>
      <c r="AN62" s="16">
        <f t="shared" si="23"/>
        <v>1427.6166986686742</v>
      </c>
      <c r="AO62" s="16">
        <f t="shared" si="24"/>
        <v>1217.8204297635564</v>
      </c>
      <c r="AQ62" s="16">
        <f>0.5*'Gearing Calculator'!$C$15*'Gearing Calculator'!$C$20*'Gearing Calculator'!$W$20*(Forces!H62^2)</f>
        <v>51.790358331752799</v>
      </c>
      <c r="AR62" s="16">
        <f>0.5*'Gearing Calculator'!$C$15*'Gearing Calculator'!$C$20*'Gearing Calculator'!$W$20*(Forces!I62^2)</f>
        <v>86.407177702802869</v>
      </c>
      <c r="AS62" s="16">
        <f>0.5*'Gearing Calculator'!$C$15*'Gearing Calculator'!$C$20*'Gearing Calculator'!$W$20*(Forces!J62^2)</f>
        <v>124.42633589203611</v>
      </c>
      <c r="AT62" s="16">
        <f>0.5*'Gearing Calculator'!$C$15*'Gearing Calculator'!$C$20*'Gearing Calculator'!$W$20*(Forces!K62^2)</f>
        <v>165.65636435330254</v>
      </c>
      <c r="AU62" s="16">
        <f>0.5*'Gearing Calculator'!$C$15*'Gearing Calculator'!$C$20*'Gearing Calculator'!$W$20*(Forces!L62^2)</f>
        <v>209.08403493517724</v>
      </c>
      <c r="AV62" s="16">
        <f>0.5*'Gearing Calculator'!$C$15*'Gearing Calculator'!$C$20*'Gearing Calculator'!$W$20*(Forces!M62^2)</f>
        <v>261.34496091585009</v>
      </c>
      <c r="AX62" s="16">
        <f t="shared" si="25"/>
        <v>3150.7027662834485</v>
      </c>
      <c r="AY62" s="16">
        <f t="shared" si="26"/>
        <v>2392.9423381283204</v>
      </c>
      <c r="AZ62" s="16">
        <f t="shared" si="27"/>
        <v>1941.6982606339002</v>
      </c>
      <c r="BA62" s="16">
        <f t="shared" si="28"/>
        <v>1624.9849526358421</v>
      </c>
      <c r="BB62" s="16">
        <f t="shared" si="29"/>
        <v>1384.7835109562595</v>
      </c>
      <c r="BC62" s="16">
        <f t="shared" si="30"/>
        <v>1164.2810106870454</v>
      </c>
    </row>
    <row r="63" spans="2:55" x14ac:dyDescent="0.25">
      <c r="B63" s="41">
        <v>11100</v>
      </c>
      <c r="C63" s="16">
        <v>95</v>
      </c>
      <c r="D63" s="65">
        <f t="shared" si="0"/>
        <v>70.841499999999996</v>
      </c>
      <c r="E63" s="16">
        <f t="shared" si="1"/>
        <v>70841.5</v>
      </c>
      <c r="F63" s="21">
        <f t="shared" si="2"/>
        <v>44.949549549549552</v>
      </c>
      <c r="H63" s="16">
        <v>22.321832039827733</v>
      </c>
      <c r="I63" s="64">
        <v>28.83236638477749</v>
      </c>
      <c r="J63" s="16">
        <v>34.598839661732995</v>
      </c>
      <c r="K63" s="64">
        <v>39.921738071230379</v>
      </c>
      <c r="L63" s="16">
        <v>44.850347709653867</v>
      </c>
      <c r="M63" s="16">
        <v>50.143245886569566</v>
      </c>
      <c r="O63" s="118">
        <f t="shared" si="7"/>
        <v>80.358595343379847</v>
      </c>
      <c r="P63" s="118">
        <f t="shared" si="8"/>
        <v>103.79651898519897</v>
      </c>
      <c r="Q63" s="118">
        <f t="shared" si="9"/>
        <v>124.55582278223879</v>
      </c>
      <c r="R63" s="118">
        <f t="shared" si="10"/>
        <v>143.71825705642937</v>
      </c>
      <c r="S63" s="118">
        <f t="shared" si="11"/>
        <v>161.46125175475393</v>
      </c>
      <c r="T63" s="118">
        <f t="shared" si="12"/>
        <v>180.51568519165045</v>
      </c>
      <c r="V63" s="16">
        <f t="shared" si="13"/>
        <v>3173.6418352042538</v>
      </c>
      <c r="W63" s="16">
        <f t="shared" si="14"/>
        <v>2457.0130337065189</v>
      </c>
      <c r="X63" s="16">
        <f t="shared" si="15"/>
        <v>2047.5108614220987</v>
      </c>
      <c r="Y63" s="16">
        <f t="shared" si="16"/>
        <v>1774.5094132324855</v>
      </c>
      <c r="Z63" s="16">
        <f t="shared" si="17"/>
        <v>1579.5083788113338</v>
      </c>
      <c r="AA63" s="16">
        <f t="shared" si="18"/>
        <v>1412.7824943812479</v>
      </c>
      <c r="AC63" s="16">
        <f>0.5*'Gearing Calculator'!$C$15*'Gearing Calculator'!$C$20*'Gearing Calculator'!$U$20*(Forces!H63^2)</f>
        <v>41.93266820083376</v>
      </c>
      <c r="AD63" s="16">
        <f>0.5*'Gearing Calculator'!$C$15*'Gearing Calculator'!$C$20*'Gearing Calculator'!$U$20*(Forces!I63^2)</f>
        <v>69.960580105904953</v>
      </c>
      <c r="AE63" s="16">
        <f>0.5*'Gearing Calculator'!$C$15*'Gearing Calculator'!$C$20*'Gearing Calculator'!$U$20*(Forces!J63^2)</f>
        <v>100.74323535250318</v>
      </c>
      <c r="AF63" s="16">
        <f>0.5*'Gearing Calculator'!$C$15*'Gearing Calculator'!$C$20*'Gearing Calculator'!$U$20*(Forces!K63^2)</f>
        <v>134.12560919711959</v>
      </c>
      <c r="AG63" s="16">
        <f>0.5*'Gearing Calculator'!$C$15*'Gearing Calculator'!$C$20*'Gearing Calculator'!$U$20*(Forces!L63^2)</f>
        <v>169.28732963897983</v>
      </c>
      <c r="AH63" s="16">
        <f>0.5*'Gearing Calculator'!$C$15*'Gearing Calculator'!$C$20*'Gearing Calculator'!$U$20*(Forces!M63^2)</f>
        <v>211.60099842995842</v>
      </c>
      <c r="AJ63" s="16">
        <f t="shared" si="19"/>
        <v>3131.7091670034201</v>
      </c>
      <c r="AK63" s="16">
        <f t="shared" si="20"/>
        <v>2387.0524536006137</v>
      </c>
      <c r="AL63" s="16">
        <f t="shared" si="21"/>
        <v>1946.7676260695955</v>
      </c>
      <c r="AM63" s="16">
        <f t="shared" si="22"/>
        <v>1640.383804035366</v>
      </c>
      <c r="AN63" s="16">
        <f t="shared" si="23"/>
        <v>1410.221049172354</v>
      </c>
      <c r="AO63" s="16">
        <f t="shared" si="24"/>
        <v>1201.1814959512894</v>
      </c>
      <c r="AQ63" s="16">
        <f>0.5*'Gearing Calculator'!$C$15*'Gearing Calculator'!$C$20*'Gearing Calculator'!$W$20*(Forces!H63^2)</f>
        <v>52.736281405415383</v>
      </c>
      <c r="AR63" s="16">
        <f>0.5*'Gearing Calculator'!$C$15*'Gearing Calculator'!$C$20*'Gearing Calculator'!$W$20*(Forces!I63^2)</f>
        <v>87.985358386465606</v>
      </c>
      <c r="AS63" s="16">
        <f>0.5*'Gearing Calculator'!$C$15*'Gearing Calculator'!$C$20*'Gearing Calculator'!$W$20*(Forces!J63^2)</f>
        <v>126.69891607651054</v>
      </c>
      <c r="AT63" s="16">
        <f>0.5*'Gearing Calculator'!$C$15*'Gearing Calculator'!$C$20*'Gearing Calculator'!$W$20*(Forces!K63^2)</f>
        <v>168.68198885925958</v>
      </c>
      <c r="AU63" s="16">
        <f>0.5*'Gearing Calculator'!$C$15*'Gearing Calculator'!$C$20*'Gearing Calculator'!$W$20*(Forces!L63^2)</f>
        <v>212.90284251539822</v>
      </c>
      <c r="AV63" s="16">
        <f>0.5*'Gearing Calculator'!$C$15*'Gearing Calculator'!$C$20*'Gearing Calculator'!$W$20*(Forces!M63^2)</f>
        <v>266.11828623505687</v>
      </c>
      <c r="AX63" s="16">
        <f t="shared" si="25"/>
        <v>3120.9055537988384</v>
      </c>
      <c r="AY63" s="16">
        <f t="shared" si="26"/>
        <v>2369.0276753200533</v>
      </c>
      <c r="AZ63" s="16">
        <f t="shared" si="27"/>
        <v>1920.8119453455881</v>
      </c>
      <c r="BA63" s="16">
        <f t="shared" si="28"/>
        <v>1605.827424373226</v>
      </c>
      <c r="BB63" s="16">
        <f t="shared" si="29"/>
        <v>1366.6055362959355</v>
      </c>
      <c r="BC63" s="16">
        <f t="shared" si="30"/>
        <v>1146.664208146191</v>
      </c>
    </row>
    <row r="64" spans="2:55" x14ac:dyDescent="0.25">
      <c r="B64" s="41">
        <v>11200</v>
      </c>
      <c r="C64" s="16">
        <v>95</v>
      </c>
      <c r="D64" s="65">
        <f t="shared" si="0"/>
        <v>70.841499999999996</v>
      </c>
      <c r="E64" s="16">
        <f t="shared" si="1"/>
        <v>70841.5</v>
      </c>
      <c r="F64" s="21">
        <f t="shared" si="2"/>
        <v>44.548214285714288</v>
      </c>
      <c r="H64" s="16">
        <v>22.522929625772132</v>
      </c>
      <c r="I64" s="64">
        <v>29.092117433289005</v>
      </c>
      <c r="J64" s="16">
        <v>34.910540919946804</v>
      </c>
      <c r="K64" s="64">
        <v>40.281393369169386</v>
      </c>
      <c r="L64" s="16">
        <v>45.254404896227335</v>
      </c>
      <c r="M64" s="16">
        <v>50.594986840502628</v>
      </c>
      <c r="O64" s="118">
        <f t="shared" si="7"/>
        <v>81.082546652779683</v>
      </c>
      <c r="P64" s="118">
        <f t="shared" si="8"/>
        <v>104.73162275984042</v>
      </c>
      <c r="Q64" s="118">
        <f t="shared" si="9"/>
        <v>125.6779473118085</v>
      </c>
      <c r="R64" s="118">
        <f t="shared" si="10"/>
        <v>145.0130161290098</v>
      </c>
      <c r="S64" s="118">
        <f t="shared" si="11"/>
        <v>162.91585762641841</v>
      </c>
      <c r="T64" s="118">
        <f t="shared" si="12"/>
        <v>182.14195262580947</v>
      </c>
      <c r="V64" s="16">
        <f t="shared" si="13"/>
        <v>3145.3057473899294</v>
      </c>
      <c r="W64" s="16">
        <f t="shared" si="14"/>
        <v>2435.0754173341388</v>
      </c>
      <c r="X64" s="16">
        <f t="shared" si="15"/>
        <v>2029.2295144451159</v>
      </c>
      <c r="Y64" s="16">
        <f t="shared" si="16"/>
        <v>1758.6655791857672</v>
      </c>
      <c r="Z64" s="16">
        <f t="shared" si="17"/>
        <v>1565.4056254290895</v>
      </c>
      <c r="AA64" s="16">
        <f t="shared" si="18"/>
        <v>1400.1683649671295</v>
      </c>
      <c r="AC64" s="16">
        <f>0.5*'Gearing Calculator'!$C$15*'Gearing Calculator'!$C$20*'Gearing Calculator'!$U$20*(Forces!H64^2)</f>
        <v>42.691615121439732</v>
      </c>
      <c r="AD64" s="16">
        <f>0.5*'Gearing Calculator'!$C$15*'Gearing Calculator'!$C$20*'Gearing Calculator'!$U$20*(Forces!I64^2)</f>
        <v>71.226809256429831</v>
      </c>
      <c r="AE64" s="16">
        <f>0.5*'Gearing Calculator'!$C$15*'Gearing Calculator'!$C$20*'Gearing Calculator'!$U$20*(Forces!J64^2)</f>
        <v>102.56660532925895</v>
      </c>
      <c r="AF64" s="16">
        <f>0.5*'Gearing Calculator'!$C$15*'Gearing Calculator'!$C$20*'Gearing Calculator'!$U$20*(Forces!K64^2)</f>
        <v>136.5531727756406</v>
      </c>
      <c r="AG64" s="16">
        <f>0.5*'Gearing Calculator'!$C$15*'Gearing Calculator'!$C$20*'Gearing Calculator'!$U$20*(Forces!L64^2)</f>
        <v>172.35129153407709</v>
      </c>
      <c r="AH64" s="16">
        <f>0.5*'Gearing Calculator'!$C$15*'Gearing Calculator'!$C$20*'Gearing Calculator'!$U$20*(Forces!M64^2)</f>
        <v>215.4308030440223</v>
      </c>
      <c r="AJ64" s="16">
        <f t="shared" si="19"/>
        <v>3102.6141322684898</v>
      </c>
      <c r="AK64" s="16">
        <f t="shared" si="20"/>
        <v>2363.8486080777088</v>
      </c>
      <c r="AL64" s="16">
        <f t="shared" si="21"/>
        <v>1926.662909115857</v>
      </c>
      <c r="AM64" s="16">
        <f t="shared" si="22"/>
        <v>1622.1124064101266</v>
      </c>
      <c r="AN64" s="16">
        <f t="shared" si="23"/>
        <v>1393.0543338950124</v>
      </c>
      <c r="AO64" s="16">
        <f t="shared" si="24"/>
        <v>1184.7375619231073</v>
      </c>
      <c r="AQ64" s="16">
        <f>0.5*'Gearing Calculator'!$C$15*'Gearing Calculator'!$C$20*'Gearing Calculator'!$W$20*(Forces!H64^2)</f>
        <v>53.690764868884898</v>
      </c>
      <c r="AR64" s="16">
        <f>0.5*'Gearing Calculator'!$C$15*'Gearing Calculator'!$C$20*'Gearing Calculator'!$W$20*(Forces!I64^2)</f>
        <v>89.577821248261102</v>
      </c>
      <c r="AS64" s="16">
        <f>0.5*'Gearing Calculator'!$C$15*'Gearing Calculator'!$C$20*'Gearing Calculator'!$W$20*(Forces!J64^2)</f>
        <v>128.99206259749596</v>
      </c>
      <c r="AT64" s="16">
        <f>0.5*'Gearing Calculator'!$C$15*'Gearing Calculator'!$C$20*'Gearing Calculator'!$W$20*(Forces!K64^2)</f>
        <v>171.73499458246502</v>
      </c>
      <c r="AU64" s="16">
        <f>0.5*'Gearing Calculator'!$C$15*'Gearing Calculator'!$C$20*'Gearing Calculator'!$W$20*(Forces!L64^2)</f>
        <v>216.75620944023666</v>
      </c>
      <c r="AV64" s="16">
        <f>0.5*'Gearing Calculator'!$C$15*'Gearing Calculator'!$C$20*'Gearing Calculator'!$W$20*(Forces!M64^2)</f>
        <v>270.93480906846469</v>
      </c>
      <c r="AX64" s="16">
        <f t="shared" si="25"/>
        <v>3091.6149825210446</v>
      </c>
      <c r="AY64" s="16">
        <f t="shared" si="26"/>
        <v>2345.4975960858778</v>
      </c>
      <c r="AZ64" s="16">
        <f t="shared" si="27"/>
        <v>1900.2374518476199</v>
      </c>
      <c r="BA64" s="16">
        <f t="shared" si="28"/>
        <v>1586.9305846033021</v>
      </c>
      <c r="BB64" s="16">
        <f t="shared" si="29"/>
        <v>1348.6494159888528</v>
      </c>
      <c r="BC64" s="16">
        <f t="shared" si="30"/>
        <v>1129.2335558986647</v>
      </c>
    </row>
    <row r="65" spans="2:55" x14ac:dyDescent="0.25">
      <c r="B65" s="41">
        <v>11300</v>
      </c>
      <c r="C65" s="16">
        <v>95</v>
      </c>
      <c r="D65" s="65">
        <f t="shared" si="0"/>
        <v>70.841499999999996</v>
      </c>
      <c r="E65" s="16">
        <f t="shared" si="1"/>
        <v>70841.5</v>
      </c>
      <c r="F65" s="21">
        <f t="shared" si="2"/>
        <v>44.153982300884955</v>
      </c>
      <c r="H65" s="16">
        <v>22.724027211716525</v>
      </c>
      <c r="I65" s="64">
        <v>29.351868481800516</v>
      </c>
      <c r="J65" s="16">
        <v>35.222242178160606</v>
      </c>
      <c r="K65" s="64">
        <v>40.641048667108393</v>
      </c>
      <c r="L65" s="16">
        <v>45.658462082800789</v>
      </c>
      <c r="M65" s="16">
        <v>51.046727794435682</v>
      </c>
      <c r="O65" s="118">
        <f t="shared" si="7"/>
        <v>81.806497962179492</v>
      </c>
      <c r="P65" s="118">
        <f t="shared" si="8"/>
        <v>105.66672653448185</v>
      </c>
      <c r="Q65" s="118">
        <f t="shared" si="9"/>
        <v>126.80007184137818</v>
      </c>
      <c r="R65" s="118">
        <f t="shared" si="10"/>
        <v>146.30777520159023</v>
      </c>
      <c r="S65" s="118">
        <f t="shared" si="11"/>
        <v>164.37046349808284</v>
      </c>
      <c r="T65" s="118">
        <f t="shared" si="12"/>
        <v>183.76822005996846</v>
      </c>
      <c r="V65" s="16">
        <f t="shared" si="13"/>
        <v>3117.4711832537355</v>
      </c>
      <c r="W65" s="16">
        <f t="shared" si="14"/>
        <v>2413.5260773577306</v>
      </c>
      <c r="X65" s="16">
        <f t="shared" si="15"/>
        <v>2011.2717311314427</v>
      </c>
      <c r="Y65" s="16">
        <f t="shared" si="16"/>
        <v>1743.1021669805837</v>
      </c>
      <c r="Z65" s="16">
        <f t="shared" si="17"/>
        <v>1551.5524783013987</v>
      </c>
      <c r="AA65" s="16">
        <f t="shared" si="18"/>
        <v>1387.7774944806949</v>
      </c>
      <c r="AC65" s="16">
        <f>0.5*'Gearing Calculator'!$C$15*'Gearing Calculator'!$C$20*'Gearing Calculator'!$U$20*(Forces!H65^2)</f>
        <v>43.457368740885194</v>
      </c>
      <c r="AD65" s="16">
        <f>0.5*'Gearing Calculator'!$C$15*'Gearing Calculator'!$C$20*'Gearing Calculator'!$U$20*(Forces!I65^2)</f>
        <v>72.504394722206044</v>
      </c>
      <c r="AE65" s="16">
        <f>0.5*'Gearing Calculator'!$C$15*'Gearing Calculator'!$C$20*'Gearing Calculator'!$U$20*(Forces!J65^2)</f>
        <v>104.40632839997664</v>
      </c>
      <c r="AF65" s="16">
        <f>0.5*'Gearing Calculator'!$C$15*'Gearing Calculator'!$C$20*'Gearing Calculator'!$U$20*(Forces!K65^2)</f>
        <v>139.00250822482099</v>
      </c>
      <c r="AG65" s="16">
        <f>0.5*'Gearing Calculator'!$C$15*'Gearing Calculator'!$C$20*'Gearing Calculator'!$U$20*(Forces!L65^2)</f>
        <v>175.44273290805404</v>
      </c>
      <c r="AH65" s="16">
        <f>0.5*'Gearing Calculator'!$C$15*'Gearing Calculator'!$C$20*'Gearing Calculator'!$U$20*(Forces!M65^2)</f>
        <v>219.29495568153061</v>
      </c>
      <c r="AJ65" s="16">
        <f t="shared" si="19"/>
        <v>3074.0138145128503</v>
      </c>
      <c r="AK65" s="16">
        <f t="shared" si="20"/>
        <v>2341.0216826355245</v>
      </c>
      <c r="AL65" s="16">
        <f t="shared" si="21"/>
        <v>1906.865402731466</v>
      </c>
      <c r="AM65" s="16">
        <f t="shared" si="22"/>
        <v>1604.0996587557627</v>
      </c>
      <c r="AN65" s="16">
        <f t="shared" si="23"/>
        <v>1376.1097453933446</v>
      </c>
      <c r="AO65" s="16">
        <f t="shared" si="24"/>
        <v>1168.4825387991643</v>
      </c>
      <c r="AQ65" s="16">
        <f>0.5*'Gearing Calculator'!$C$15*'Gearing Calculator'!$C$20*'Gearing Calculator'!$W$20*(Forces!H65^2)</f>
        <v>54.653808722161287</v>
      </c>
      <c r="AR65" s="16">
        <f>0.5*'Gearing Calculator'!$C$15*'Gearing Calculator'!$C$20*'Gearing Calculator'!$W$20*(Forces!I65^2)</f>
        <v>91.184566288189259</v>
      </c>
      <c r="AS65" s="16">
        <f>0.5*'Gearing Calculator'!$C$15*'Gearing Calculator'!$C$20*'Gearing Calculator'!$W$20*(Forces!J65^2)</f>
        <v>131.30577545499244</v>
      </c>
      <c r="AT65" s="16">
        <f>0.5*'Gearing Calculator'!$C$15*'Gearing Calculator'!$C$20*'Gearing Calculator'!$W$20*(Forces!K65^2)</f>
        <v>174.81538152291895</v>
      </c>
      <c r="AU65" s="16">
        <f>0.5*'Gearing Calculator'!$C$15*'Gearing Calculator'!$C$20*'Gearing Calculator'!$W$20*(Forces!L65^2)</f>
        <v>220.64413570969242</v>
      </c>
      <c r="AV65" s="16">
        <f>0.5*'Gearing Calculator'!$C$15*'Gearing Calculator'!$C$20*'Gearing Calculator'!$W$20*(Forces!M65^2)</f>
        <v>275.79452941607343</v>
      </c>
      <c r="AX65" s="16">
        <f t="shared" si="25"/>
        <v>3062.8173745315744</v>
      </c>
      <c r="AY65" s="16">
        <f t="shared" si="26"/>
        <v>2322.3415110695414</v>
      </c>
      <c r="AZ65" s="16">
        <f t="shared" si="27"/>
        <v>1879.9659556764502</v>
      </c>
      <c r="BA65" s="16">
        <f t="shared" si="28"/>
        <v>1568.2867854576648</v>
      </c>
      <c r="BB65" s="16">
        <f t="shared" si="29"/>
        <v>1330.9083425917063</v>
      </c>
      <c r="BC65" s="16">
        <f t="shared" si="30"/>
        <v>1111.9829650646216</v>
      </c>
    </row>
    <row r="66" spans="2:55" x14ac:dyDescent="0.25">
      <c r="B66" s="41">
        <v>11400</v>
      </c>
      <c r="C66" s="16">
        <v>95</v>
      </c>
      <c r="D66" s="65">
        <f t="shared" si="0"/>
        <v>70.841499999999996</v>
      </c>
      <c r="E66" s="16">
        <f t="shared" si="1"/>
        <v>70841.5</v>
      </c>
      <c r="F66" s="21">
        <f t="shared" si="2"/>
        <v>43.766666666666666</v>
      </c>
      <c r="H66" s="16">
        <v>22.925124797660914</v>
      </c>
      <c r="I66" s="64">
        <v>29.611619530312026</v>
      </c>
      <c r="J66" s="16">
        <v>35.533943436374422</v>
      </c>
      <c r="K66" s="64">
        <v>41.000703965047407</v>
      </c>
      <c r="L66" s="16">
        <v>46.062519269374256</v>
      </c>
      <c r="M66" s="16">
        <v>51.498468748368744</v>
      </c>
      <c r="O66" s="118">
        <f t="shared" si="7"/>
        <v>82.530449271579286</v>
      </c>
      <c r="P66" s="118">
        <f t="shared" si="8"/>
        <v>106.6018303091233</v>
      </c>
      <c r="Q66" s="118">
        <f t="shared" si="9"/>
        <v>127.92219637094792</v>
      </c>
      <c r="R66" s="118">
        <f t="shared" si="10"/>
        <v>147.60253427417067</v>
      </c>
      <c r="S66" s="118">
        <f t="shared" si="11"/>
        <v>165.82506936974733</v>
      </c>
      <c r="T66" s="118">
        <f t="shared" si="12"/>
        <v>185.39448749412747</v>
      </c>
      <c r="V66" s="16">
        <f t="shared" si="13"/>
        <v>3090.1249448041422</v>
      </c>
      <c r="W66" s="16">
        <f t="shared" si="14"/>
        <v>2392.3547959773991</v>
      </c>
      <c r="X66" s="16">
        <f t="shared" si="15"/>
        <v>1993.6289966478332</v>
      </c>
      <c r="Y66" s="16">
        <f t="shared" si="16"/>
        <v>1727.811797094789</v>
      </c>
      <c r="Z66" s="16">
        <f t="shared" si="17"/>
        <v>1537.9423688426141</v>
      </c>
      <c r="AA66" s="16">
        <f t="shared" si="18"/>
        <v>1375.6040076870045</v>
      </c>
      <c r="AC66" s="16">
        <f>0.5*'Gearing Calculator'!$C$15*'Gearing Calculator'!$C$20*'Gearing Calculator'!$U$20*(Forces!H66^2)</f>
        <v>44.229929059170161</v>
      </c>
      <c r="AD66" s="16">
        <f>0.5*'Gearing Calculator'!$C$15*'Gearing Calculator'!$C$20*'Gearing Calculator'!$U$20*(Forces!I66^2)</f>
        <v>73.793336503233618</v>
      </c>
      <c r="AE66" s="16">
        <f>0.5*'Gearing Calculator'!$C$15*'Gearing Calculator'!$C$20*'Gearing Calculator'!$U$20*(Forces!J66^2)</f>
        <v>106.26240456465634</v>
      </c>
      <c r="AF66" s="16">
        <f>0.5*'Gearing Calculator'!$C$15*'Gearing Calculator'!$C$20*'Gearing Calculator'!$U$20*(Forces!K66^2)</f>
        <v>141.47361554466079</v>
      </c>
      <c r="AG66" s="16">
        <f>0.5*'Gearing Calculator'!$C$15*'Gearing Calculator'!$C$20*'Gearing Calculator'!$U$20*(Forces!L66^2)</f>
        <v>178.5616537609109</v>
      </c>
      <c r="AH66" s="16">
        <f>0.5*'Gearing Calculator'!$C$15*'Gearing Calculator'!$C$20*'Gearing Calculator'!$U$20*(Forces!M66^2)</f>
        <v>223.19345634248353</v>
      </c>
      <c r="AJ66" s="16">
        <f t="shared" si="19"/>
        <v>3045.8950157449722</v>
      </c>
      <c r="AK66" s="16">
        <f t="shared" si="20"/>
        <v>2318.5614594741655</v>
      </c>
      <c r="AL66" s="16">
        <f t="shared" si="21"/>
        <v>1887.3665920831768</v>
      </c>
      <c r="AM66" s="16">
        <f t="shared" si="22"/>
        <v>1586.3381815501282</v>
      </c>
      <c r="AN66" s="16">
        <f t="shared" si="23"/>
        <v>1359.3807150817031</v>
      </c>
      <c r="AO66" s="16">
        <f t="shared" si="24"/>
        <v>1152.4105513445209</v>
      </c>
      <c r="AQ66" s="16">
        <f>0.5*'Gearing Calculator'!$C$15*'Gearing Calculator'!$C$20*'Gearing Calculator'!$W$20*(Forces!H66^2)</f>
        <v>55.625412965244564</v>
      </c>
      <c r="AR66" s="16">
        <f>0.5*'Gearing Calculator'!$C$15*'Gearing Calculator'!$C$20*'Gearing Calculator'!$W$20*(Forces!I66^2)</f>
        <v>92.805593506250133</v>
      </c>
      <c r="AS66" s="16">
        <f>0.5*'Gearing Calculator'!$C$15*'Gearing Calculator'!$C$20*'Gearing Calculator'!$W$20*(Forces!J66^2)</f>
        <v>133.64005464900009</v>
      </c>
      <c r="AT66" s="16">
        <f>0.5*'Gearing Calculator'!$C$15*'Gearing Calculator'!$C$20*'Gearing Calculator'!$W$20*(Forces!K66^2)</f>
        <v>177.92314968062141</v>
      </c>
      <c r="AU66" s="16">
        <f>0.5*'Gearing Calculator'!$C$15*'Gearing Calculator'!$C$20*'Gearing Calculator'!$W$20*(Forces!L66^2)</f>
        <v>224.56662132376567</v>
      </c>
      <c r="AV66" s="16">
        <f>0.5*'Gearing Calculator'!$C$15*'Gearing Calculator'!$C$20*'Gearing Calculator'!$W$20*(Forces!M66^2)</f>
        <v>280.69744727788316</v>
      </c>
      <c r="AX66" s="16">
        <f t="shared" si="25"/>
        <v>3034.4995318388974</v>
      </c>
      <c r="AY66" s="16">
        <f t="shared" si="26"/>
        <v>2299.5492024711489</v>
      </c>
      <c r="AZ66" s="16">
        <f t="shared" si="27"/>
        <v>1859.9889419988331</v>
      </c>
      <c r="BA66" s="16">
        <f t="shared" si="28"/>
        <v>1549.8886474141675</v>
      </c>
      <c r="BB66" s="16">
        <f t="shared" si="29"/>
        <v>1313.3757475188484</v>
      </c>
      <c r="BC66" s="16">
        <f t="shared" si="30"/>
        <v>1094.9065604091213</v>
      </c>
    </row>
    <row r="67" spans="2:55" x14ac:dyDescent="0.25">
      <c r="B67" s="41">
        <v>11500</v>
      </c>
      <c r="C67" s="16">
        <v>95</v>
      </c>
      <c r="D67" s="65">
        <f t="shared" si="0"/>
        <v>70.841499999999996</v>
      </c>
      <c r="E67" s="16">
        <f t="shared" si="1"/>
        <v>70841.5</v>
      </c>
      <c r="F67" s="21">
        <f t="shared" si="2"/>
        <v>43.386086956521737</v>
      </c>
      <c r="H67" s="16">
        <v>23.12622238360531</v>
      </c>
      <c r="I67" s="64">
        <v>29.871370578823534</v>
      </c>
      <c r="J67" s="16">
        <v>35.845644694588231</v>
      </c>
      <c r="K67" s="64">
        <v>41.360359262986421</v>
      </c>
      <c r="L67" s="16">
        <v>46.46657645594771</v>
      </c>
      <c r="M67" s="16">
        <v>51.950209702301798</v>
      </c>
      <c r="O67" s="118">
        <f t="shared" si="7"/>
        <v>83.254400580979123</v>
      </c>
      <c r="P67" s="118">
        <f t="shared" si="8"/>
        <v>107.53693408376472</v>
      </c>
      <c r="Q67" s="118">
        <f t="shared" si="9"/>
        <v>129.04432090051765</v>
      </c>
      <c r="R67" s="118">
        <f t="shared" si="10"/>
        <v>148.89729334675113</v>
      </c>
      <c r="S67" s="118">
        <f t="shared" si="11"/>
        <v>167.27967524141175</v>
      </c>
      <c r="T67" s="118">
        <f t="shared" si="12"/>
        <v>187.02075492828646</v>
      </c>
      <c r="V67" s="16">
        <f t="shared" si="13"/>
        <v>3063.254293110193</v>
      </c>
      <c r="W67" s="16">
        <f t="shared" si="14"/>
        <v>2371.5517107949872</v>
      </c>
      <c r="X67" s="16">
        <f t="shared" si="15"/>
        <v>1976.2930923291565</v>
      </c>
      <c r="Y67" s="16">
        <f t="shared" si="16"/>
        <v>1712.7873466852691</v>
      </c>
      <c r="Z67" s="16">
        <f t="shared" si="17"/>
        <v>1524.568956939635</v>
      </c>
      <c r="AA67" s="16">
        <f t="shared" si="18"/>
        <v>1363.6422337071176</v>
      </c>
      <c r="AC67" s="16">
        <f>0.5*'Gearing Calculator'!$C$15*'Gearing Calculator'!$C$20*'Gearing Calculator'!$U$20*(Forces!H67^2)</f>
        <v>45.00929607629466</v>
      </c>
      <c r="AD67" s="16">
        <f>0.5*'Gearing Calculator'!$C$15*'Gearing Calculator'!$C$20*'Gearing Calculator'!$U$20*(Forces!I67^2)</f>
        <v>75.093634599512498</v>
      </c>
      <c r="AE67" s="16">
        <f>0.5*'Gearing Calculator'!$C$15*'Gearing Calculator'!$C$20*'Gearing Calculator'!$U$20*(Forces!J67^2)</f>
        <v>108.13483382329792</v>
      </c>
      <c r="AF67" s="16">
        <f>0.5*'Gearing Calculator'!$C$15*'Gearing Calculator'!$C$20*'Gearing Calculator'!$U$20*(Forces!K67^2)</f>
        <v>143.96649473515998</v>
      </c>
      <c r="AG67" s="16">
        <f>0.5*'Gearing Calculator'!$C$15*'Gearing Calculator'!$C$20*'Gearing Calculator'!$U$20*(Forces!L67^2)</f>
        <v>181.70805409264744</v>
      </c>
      <c r="AH67" s="16">
        <f>0.5*'Gearing Calculator'!$C$15*'Gearing Calculator'!$C$20*'Gearing Calculator'!$U$20*(Forces!M67^2)</f>
        <v>227.12630502688089</v>
      </c>
      <c r="AJ67" s="16">
        <f t="shared" si="19"/>
        <v>3018.2449970338985</v>
      </c>
      <c r="AK67" s="16">
        <f t="shared" si="20"/>
        <v>2296.4580761954749</v>
      </c>
      <c r="AL67" s="16">
        <f t="shared" si="21"/>
        <v>1868.1582585058586</v>
      </c>
      <c r="AM67" s="16">
        <f t="shared" si="22"/>
        <v>1568.820851950109</v>
      </c>
      <c r="AN67" s="16">
        <f t="shared" si="23"/>
        <v>1342.8609028469875</v>
      </c>
      <c r="AO67" s="16">
        <f t="shared" si="24"/>
        <v>1136.5159286802368</v>
      </c>
      <c r="AQ67" s="16">
        <f>0.5*'Gearing Calculator'!$C$15*'Gearing Calculator'!$C$20*'Gearing Calculator'!$W$20*(Forces!H67^2)</f>
        <v>56.605577598134772</v>
      </c>
      <c r="AR67" s="16">
        <f>0.5*'Gearing Calculator'!$C$15*'Gearing Calculator'!$C$20*'Gearing Calculator'!$W$20*(Forces!I67^2)</f>
        <v>94.440902902443653</v>
      </c>
      <c r="AS67" s="16">
        <f>0.5*'Gearing Calculator'!$C$15*'Gearing Calculator'!$C$20*'Gearing Calculator'!$W$20*(Forces!J67^2)</f>
        <v>135.99490017951879</v>
      </c>
      <c r="AT67" s="16">
        <f>0.5*'Gearing Calculator'!$C$15*'Gearing Calculator'!$C$20*'Gearing Calculator'!$W$20*(Forces!K67^2)</f>
        <v>181.05829905557238</v>
      </c>
      <c r="AU67" s="16">
        <f>0.5*'Gearing Calculator'!$C$15*'Gearing Calculator'!$C$20*'Gearing Calculator'!$W$20*(Forces!L67^2)</f>
        <v>228.52366628245616</v>
      </c>
      <c r="AV67" s="16">
        <f>0.5*'Gearing Calculator'!$C$15*'Gearing Calculator'!$C$20*'Gearing Calculator'!$W$20*(Forces!M67^2)</f>
        <v>285.64356265389387</v>
      </c>
      <c r="AX67" s="16">
        <f t="shared" si="25"/>
        <v>3006.6487155120581</v>
      </c>
      <c r="AY67" s="16">
        <f t="shared" si="26"/>
        <v>2277.1108078925436</v>
      </c>
      <c r="AZ67" s="16">
        <f t="shared" si="27"/>
        <v>1840.2981921496378</v>
      </c>
      <c r="BA67" s="16">
        <f t="shared" si="28"/>
        <v>1531.7290476296967</v>
      </c>
      <c r="BB67" s="16">
        <f t="shared" si="29"/>
        <v>1296.0452906571788</v>
      </c>
      <c r="BC67" s="16">
        <f t="shared" si="30"/>
        <v>1077.9986710532237</v>
      </c>
    </row>
    <row r="68" spans="2:55" x14ac:dyDescent="0.25">
      <c r="B68" s="41">
        <v>11600</v>
      </c>
      <c r="C68" s="16">
        <v>96</v>
      </c>
      <c r="D68" s="65">
        <f t="shared" ref="D68:D110" si="31">0.7457*C68</f>
        <v>71.587199999999996</v>
      </c>
      <c r="E68" s="16">
        <f t="shared" ref="E68:E110" si="32">D68*10^3</f>
        <v>71587.199999999997</v>
      </c>
      <c r="F68" s="21">
        <f t="shared" ref="F68:F110" si="33">(C68*5252)/B68</f>
        <v>43.464827586206894</v>
      </c>
      <c r="H68" s="16">
        <v>23.327319969549713</v>
      </c>
      <c r="I68" s="64">
        <v>30.131121627335038</v>
      </c>
      <c r="J68" s="16">
        <v>36.157345952802046</v>
      </c>
      <c r="K68" s="64">
        <v>41.720014560925442</v>
      </c>
      <c r="L68" s="16">
        <v>46.870633642521177</v>
      </c>
      <c r="M68" s="16">
        <v>52.40195065623486</v>
      </c>
      <c r="O68" s="118">
        <f t="shared" si="7"/>
        <v>83.978351890378974</v>
      </c>
      <c r="P68" s="118">
        <f t="shared" si="8"/>
        <v>108.47203785840614</v>
      </c>
      <c r="Q68" s="118">
        <f t="shared" si="9"/>
        <v>130.16644543008738</v>
      </c>
      <c r="R68" s="118">
        <f t="shared" si="10"/>
        <v>150.19205241933159</v>
      </c>
      <c r="S68" s="118">
        <f t="shared" si="11"/>
        <v>168.73428111307624</v>
      </c>
      <c r="T68" s="118">
        <f t="shared" si="12"/>
        <v>188.64702236244551</v>
      </c>
      <c r="V68" s="16">
        <f t="shared" si="13"/>
        <v>3068.8137382882501</v>
      </c>
      <c r="W68" s="16">
        <f t="shared" si="14"/>
        <v>2375.8557973844522</v>
      </c>
      <c r="X68" s="16">
        <f t="shared" si="15"/>
        <v>1979.87983115371</v>
      </c>
      <c r="Y68" s="16">
        <f t="shared" si="16"/>
        <v>1715.8958536665486</v>
      </c>
      <c r="Z68" s="16">
        <f t="shared" si="17"/>
        <v>1527.3358697471476</v>
      </c>
      <c r="AA68" s="16">
        <f t="shared" si="18"/>
        <v>1366.1170834960596</v>
      </c>
      <c r="AC68" s="16">
        <f>0.5*'Gearing Calculator'!$C$15*'Gearing Calculator'!$C$20*'Gearing Calculator'!$U$20*(Forces!H68^2)</f>
        <v>45.795469792258707</v>
      </c>
      <c r="AD68" s="16">
        <f>0.5*'Gearing Calculator'!$C$15*'Gearing Calculator'!$C$20*'Gearing Calculator'!$U$20*(Forces!I68^2)</f>
        <v>76.405289011042697</v>
      </c>
      <c r="AE68" s="16">
        <f>0.5*'Gearing Calculator'!$C$15*'Gearing Calculator'!$C$20*'Gearing Calculator'!$U$20*(Forces!J68^2)</f>
        <v>110.02361617590151</v>
      </c>
      <c r="AF68" s="16">
        <f>0.5*'Gearing Calculator'!$C$15*'Gearing Calculator'!$C$20*'Gearing Calculator'!$U$20*(Forces!K68^2)</f>
        <v>146.4811457963186</v>
      </c>
      <c r="AG68" s="16">
        <f>0.5*'Gearing Calculator'!$C$15*'Gearing Calculator'!$C$20*'Gearing Calculator'!$U$20*(Forces!L68^2)</f>
        <v>184.88193390326387</v>
      </c>
      <c r="AH68" s="16">
        <f>0.5*'Gearing Calculator'!$C$15*'Gearing Calculator'!$C$20*'Gearing Calculator'!$U$20*(Forces!M68^2)</f>
        <v>231.09350173472282</v>
      </c>
      <c r="AJ68" s="16">
        <f t="shared" si="19"/>
        <v>3023.0182684959914</v>
      </c>
      <c r="AK68" s="16">
        <f t="shared" si="20"/>
        <v>2299.4505083734093</v>
      </c>
      <c r="AL68" s="16">
        <f t="shared" si="21"/>
        <v>1869.8562149778086</v>
      </c>
      <c r="AM68" s="16">
        <f t="shared" si="22"/>
        <v>1569.4147078702301</v>
      </c>
      <c r="AN68" s="16">
        <f t="shared" si="23"/>
        <v>1342.4539358438838</v>
      </c>
      <c r="AO68" s="16">
        <f t="shared" si="24"/>
        <v>1135.0235817613368</v>
      </c>
      <c r="AQ68" s="16">
        <f>0.5*'Gearing Calculator'!$C$15*'Gearing Calculator'!$C$20*'Gearing Calculator'!$W$20*(Forces!H68^2)</f>
        <v>57.594302620831911</v>
      </c>
      <c r="AR68" s="16">
        <f>0.5*'Gearing Calculator'!$C$15*'Gearing Calculator'!$C$20*'Gearing Calculator'!$W$20*(Forces!I68^2)</f>
        <v>96.090494476769862</v>
      </c>
      <c r="AS68" s="16">
        <f>0.5*'Gearing Calculator'!$C$15*'Gearing Calculator'!$C$20*'Gearing Calculator'!$W$20*(Forces!J68^2)</f>
        <v>138.37031204654861</v>
      </c>
      <c r="AT68" s="16">
        <f>0.5*'Gearing Calculator'!$C$15*'Gearing Calculator'!$C$20*'Gearing Calculator'!$W$20*(Forces!K68^2)</f>
        <v>184.22082964777184</v>
      </c>
      <c r="AU68" s="16">
        <f>0.5*'Gearing Calculator'!$C$15*'Gearing Calculator'!$C$20*'Gearing Calculator'!$W$20*(Forces!L68^2)</f>
        <v>232.51527058576417</v>
      </c>
      <c r="AV68" s="16">
        <f>0.5*'Gearing Calculator'!$C$15*'Gearing Calculator'!$C$20*'Gearing Calculator'!$W$20*(Forces!M68^2)</f>
        <v>290.63287554410556</v>
      </c>
      <c r="AX68" s="16">
        <f t="shared" si="25"/>
        <v>3011.2194356674181</v>
      </c>
      <c r="AY68" s="16">
        <f t="shared" si="26"/>
        <v>2279.7653029076823</v>
      </c>
      <c r="AZ68" s="16">
        <f t="shared" si="27"/>
        <v>1841.5095191071614</v>
      </c>
      <c r="BA68" s="16">
        <f t="shared" si="28"/>
        <v>1531.6750240187769</v>
      </c>
      <c r="BB68" s="16">
        <f t="shared" si="29"/>
        <v>1294.8205991613834</v>
      </c>
      <c r="BC68" s="16">
        <f t="shared" si="30"/>
        <v>1075.484207951954</v>
      </c>
    </row>
    <row r="69" spans="2:55" x14ac:dyDescent="0.25">
      <c r="B69" s="41">
        <v>11700</v>
      </c>
      <c r="C69" s="16">
        <v>97</v>
      </c>
      <c r="D69" s="65">
        <f t="shared" si="31"/>
        <v>72.332900000000009</v>
      </c>
      <c r="E69" s="16">
        <f t="shared" si="32"/>
        <v>72332.900000000009</v>
      </c>
      <c r="F69" s="21">
        <f t="shared" si="33"/>
        <v>43.542222222222222</v>
      </c>
      <c r="H69" s="16">
        <v>23.528417555494102</v>
      </c>
      <c r="I69" s="64">
        <v>30.390872675846545</v>
      </c>
      <c r="J69" s="16">
        <v>36.469047211015848</v>
      </c>
      <c r="K69" s="64">
        <v>42.079669858864449</v>
      </c>
      <c r="L69" s="16">
        <v>47.274690829094617</v>
      </c>
      <c r="M69" s="16">
        <v>52.853691610167928</v>
      </c>
      <c r="O69" s="118">
        <f t="shared" ref="O69:O110" si="34">H69*3.6</f>
        <v>84.702303199778768</v>
      </c>
      <c r="P69" s="118">
        <f t="shared" ref="P69:P110" si="35">I69*3.6</f>
        <v>109.40714163304756</v>
      </c>
      <c r="Q69" s="118">
        <f t="shared" ref="Q69:Q110" si="36">J69*3.6</f>
        <v>131.28856995965705</v>
      </c>
      <c r="R69" s="118">
        <f t="shared" ref="R69:R110" si="37">K69*3.6</f>
        <v>151.48681149191202</v>
      </c>
      <c r="S69" s="118">
        <f t="shared" ref="S69:S110" si="38">L69*3.6</f>
        <v>170.18888698474063</v>
      </c>
      <c r="T69" s="118">
        <f t="shared" ref="T69:T110" si="39">M69*3.6</f>
        <v>190.27328979660456</v>
      </c>
      <c r="V69" s="16">
        <f t="shared" ref="V69:V110" si="40">($D69*1000/H69)</f>
        <v>3074.2781502154025</v>
      </c>
      <c r="W69" s="16">
        <f t="shared" ref="W69:W110" si="41">($D69*1000/I69)</f>
        <v>2380.0863098441828</v>
      </c>
      <c r="X69" s="16">
        <f t="shared" ref="X69:X110" si="42">($D69*1000/J69)</f>
        <v>1983.405258203486</v>
      </c>
      <c r="Y69" s="16">
        <f t="shared" ref="Y69:Y110" si="43">($D69*1000/K69)</f>
        <v>1718.9512237763543</v>
      </c>
      <c r="Z69" s="16">
        <f t="shared" ref="Z69:Z110" si="44">($D69*1000/L69)</f>
        <v>1530.055484899832</v>
      </c>
      <c r="AA69" s="16">
        <f t="shared" ref="AA69:AA110" si="45">($D69*1000/M69)</f>
        <v>1368.5496281604044</v>
      </c>
      <c r="AC69" s="16">
        <f>0.5*'Gearing Calculator'!$C$15*'Gearing Calculator'!$C$20*'Gearing Calculator'!$U$20*(Forces!H69^2)</f>
        <v>46.588450207062216</v>
      </c>
      <c r="AD69" s="16">
        <f>0.5*'Gearing Calculator'!$C$15*'Gearing Calculator'!$C$20*'Gearing Calculator'!$U$20*(Forces!I69^2)</f>
        <v>77.728299737824273</v>
      </c>
      <c r="AE69" s="16">
        <f>0.5*'Gearing Calculator'!$C$15*'Gearing Calculator'!$C$20*'Gearing Calculator'!$U$20*(Forces!J69^2)</f>
        <v>111.92875162246693</v>
      </c>
      <c r="AF69" s="16">
        <f>0.5*'Gearing Calculator'!$C$15*'Gearing Calculator'!$C$20*'Gearing Calculator'!$U$20*(Forces!K69^2)</f>
        <v>149.0175687281365</v>
      </c>
      <c r="AG69" s="16">
        <f>0.5*'Gearing Calculator'!$C$15*'Gearing Calculator'!$C$20*'Gearing Calculator'!$U$20*(Forces!L69^2)</f>
        <v>188.0832931927599</v>
      </c>
      <c r="AH69" s="16">
        <f>0.5*'Gearing Calculator'!$C$15*'Gearing Calculator'!$C$20*'Gearing Calculator'!$U$20*(Forces!M69^2)</f>
        <v>235.09504646600934</v>
      </c>
      <c r="AJ69" s="16">
        <f t="shared" ref="AJ69:AJ110" si="46">V69-AC69</f>
        <v>3027.6897000083404</v>
      </c>
      <c r="AK69" s="16">
        <f t="shared" ref="AK69:AK110" si="47">W69-AD69</f>
        <v>2302.3580101063585</v>
      </c>
      <c r="AL69" s="16">
        <f t="shared" ref="AL69:AL110" si="48">X69-AE69</f>
        <v>1871.4765065810191</v>
      </c>
      <c r="AM69" s="16">
        <f t="shared" ref="AM69:AM110" si="49">Y69-AF69</f>
        <v>1569.9336550482178</v>
      </c>
      <c r="AN69" s="16">
        <f t="shared" ref="AN69:AN110" si="50">Z69-AG69</f>
        <v>1341.9721917070722</v>
      </c>
      <c r="AO69" s="16">
        <f t="shared" ref="AO69:AO110" si="51">AA69-AH69</f>
        <v>1133.4545816943951</v>
      </c>
      <c r="AQ69" s="16">
        <f>0.5*'Gearing Calculator'!$C$15*'Gearing Calculator'!$C$20*'Gearing Calculator'!$W$20*(Forces!H69^2)</f>
        <v>58.591588033335881</v>
      </c>
      <c r="AR69" s="16">
        <f>0.5*'Gearing Calculator'!$C$15*'Gearing Calculator'!$C$20*'Gearing Calculator'!$W$20*(Forces!I69^2)</f>
        <v>97.754368229228774</v>
      </c>
      <c r="AS69" s="16">
        <f>0.5*'Gearing Calculator'!$C$15*'Gearing Calculator'!$C$20*'Gearing Calculator'!$W$20*(Forces!J69^2)</f>
        <v>140.76629025008941</v>
      </c>
      <c r="AT69" s="16">
        <f>0.5*'Gearing Calculator'!$C$15*'Gearing Calculator'!$C$20*'Gearing Calculator'!$W$20*(Forces!K69^2)</f>
        <v>187.4107414572197</v>
      </c>
      <c r="AU69" s="16">
        <f>0.5*'Gearing Calculator'!$C$15*'Gearing Calculator'!$C$20*'Gearing Calculator'!$W$20*(Forces!L69^2)</f>
        <v>236.5414342336893</v>
      </c>
      <c r="AV69" s="16">
        <f>0.5*'Gearing Calculator'!$C$15*'Gearing Calculator'!$C$20*'Gearing Calculator'!$W$20*(Forces!M69^2)</f>
        <v>295.66538594851829</v>
      </c>
      <c r="AX69" s="16">
        <f t="shared" si="25"/>
        <v>3015.6865621820666</v>
      </c>
      <c r="AY69" s="16">
        <f t="shared" si="26"/>
        <v>2282.3319416149538</v>
      </c>
      <c r="AZ69" s="16">
        <f t="shared" si="27"/>
        <v>1842.6389679533966</v>
      </c>
      <c r="BA69" s="16">
        <f t="shared" si="28"/>
        <v>1531.5404823191345</v>
      </c>
      <c r="BB69" s="16">
        <f t="shared" si="29"/>
        <v>1293.5140506661428</v>
      </c>
      <c r="BC69" s="16">
        <f t="shared" si="30"/>
        <v>1072.884242211886</v>
      </c>
    </row>
    <row r="70" spans="2:55" x14ac:dyDescent="0.25">
      <c r="B70" s="41">
        <v>11800</v>
      </c>
      <c r="C70" s="16">
        <v>98</v>
      </c>
      <c r="D70" s="65">
        <f t="shared" si="31"/>
        <v>73.078600000000009</v>
      </c>
      <c r="E70" s="16">
        <f t="shared" si="32"/>
        <v>73078.600000000006</v>
      </c>
      <c r="F70" s="21">
        <f t="shared" si="33"/>
        <v>43.618305084745764</v>
      </c>
      <c r="H70" s="16">
        <v>23.72951514143849</v>
      </c>
      <c r="I70" s="64">
        <v>30.650623724358056</v>
      </c>
      <c r="J70" s="16">
        <v>36.780748469229664</v>
      </c>
      <c r="K70" s="64">
        <v>42.439325156803463</v>
      </c>
      <c r="L70" s="16">
        <v>47.678748015668077</v>
      </c>
      <c r="M70" s="16">
        <v>53.305432564100983</v>
      </c>
      <c r="O70" s="118">
        <f t="shared" si="34"/>
        <v>85.426254509178563</v>
      </c>
      <c r="P70" s="118">
        <f t="shared" si="35"/>
        <v>110.34224540768901</v>
      </c>
      <c r="Q70" s="118">
        <f t="shared" si="36"/>
        <v>132.41069448922678</v>
      </c>
      <c r="R70" s="118">
        <f t="shared" si="37"/>
        <v>152.78157056449248</v>
      </c>
      <c r="S70" s="118">
        <f t="shared" si="38"/>
        <v>171.64349285640509</v>
      </c>
      <c r="T70" s="118">
        <f t="shared" si="39"/>
        <v>191.89955723076355</v>
      </c>
      <c r="V70" s="16">
        <f t="shared" si="40"/>
        <v>3079.6499449912467</v>
      </c>
      <c r="W70" s="16">
        <f t="shared" si="41"/>
        <v>2384.2451187029005</v>
      </c>
      <c r="X70" s="16">
        <f t="shared" si="42"/>
        <v>1986.8709322524171</v>
      </c>
      <c r="Y70" s="16">
        <f t="shared" si="43"/>
        <v>1721.9548079520946</v>
      </c>
      <c r="Z70" s="16">
        <f t="shared" si="44"/>
        <v>1532.7290048804362</v>
      </c>
      <c r="AA70" s="16">
        <f t="shared" si="45"/>
        <v>1370.9409432541672</v>
      </c>
      <c r="AC70" s="16">
        <f>0.5*'Gearing Calculator'!$C$15*'Gearing Calculator'!$C$20*'Gearing Calculator'!$U$20*(Forces!H70^2)</f>
        <v>47.388237320705244</v>
      </c>
      <c r="AD70" s="16">
        <f>0.5*'Gearing Calculator'!$C$15*'Gearing Calculator'!$C$20*'Gearing Calculator'!$U$20*(Forces!I70^2)</f>
        <v>79.06266677985721</v>
      </c>
      <c r="AE70" s="16">
        <f>0.5*'Gearing Calculator'!$C$15*'Gearing Calculator'!$C$20*'Gearing Calculator'!$U$20*(Forces!J70^2)</f>
        <v>113.85024016299435</v>
      </c>
      <c r="AF70" s="16">
        <f>0.5*'Gearing Calculator'!$C$15*'Gearing Calculator'!$C$20*'Gearing Calculator'!$U$20*(Forces!K70^2)</f>
        <v>151.57576353061381</v>
      </c>
      <c r="AG70" s="16">
        <f>0.5*'Gearing Calculator'!$C$15*'Gearing Calculator'!$C$20*'Gearing Calculator'!$U$20*(Forces!L70^2)</f>
        <v>191.31213196113586</v>
      </c>
      <c r="AH70" s="16">
        <f>0.5*'Gearing Calculator'!$C$15*'Gearing Calculator'!$C$20*'Gearing Calculator'!$U$20*(Forces!M70^2)</f>
        <v>239.13093922074029</v>
      </c>
      <c r="AJ70" s="16">
        <f t="shared" si="46"/>
        <v>3032.2617076705415</v>
      </c>
      <c r="AK70" s="16">
        <f t="shared" si="47"/>
        <v>2305.1824519230431</v>
      </c>
      <c r="AL70" s="16">
        <f t="shared" si="48"/>
        <v>1873.0206920894227</v>
      </c>
      <c r="AM70" s="16">
        <f t="shared" si="49"/>
        <v>1570.3790444214808</v>
      </c>
      <c r="AN70" s="16">
        <f t="shared" si="50"/>
        <v>1341.4168729193002</v>
      </c>
      <c r="AO70" s="16">
        <f t="shared" si="51"/>
        <v>1131.810004033427</v>
      </c>
      <c r="AQ70" s="16">
        <f>0.5*'Gearing Calculator'!$C$15*'Gearing Calculator'!$C$20*'Gearing Calculator'!$W$20*(Forces!H70^2)</f>
        <v>59.597433835646768</v>
      </c>
      <c r="AR70" s="16">
        <f>0.5*'Gearing Calculator'!$C$15*'Gearing Calculator'!$C$20*'Gearing Calculator'!$W$20*(Forces!I70^2)</f>
        <v>99.432524159820403</v>
      </c>
      <c r="AS70" s="16">
        <f>0.5*'Gearing Calculator'!$C$15*'Gearing Calculator'!$C$20*'Gearing Calculator'!$W$20*(Forces!J70^2)</f>
        <v>143.18283479014136</v>
      </c>
      <c r="AT70" s="16">
        <f>0.5*'Gearing Calculator'!$C$15*'Gearing Calculator'!$C$20*'Gearing Calculator'!$W$20*(Forces!K70^2)</f>
        <v>190.62803448391605</v>
      </c>
      <c r="AU70" s="16">
        <f>0.5*'Gearing Calculator'!$C$15*'Gearing Calculator'!$C$20*'Gearing Calculator'!$W$20*(Forces!L70^2)</f>
        <v>240.60215722623201</v>
      </c>
      <c r="AV70" s="16">
        <f>0.5*'Gearing Calculator'!$C$15*'Gearing Calculator'!$C$20*'Gearing Calculator'!$W$20*(Forces!M70^2)</f>
        <v>300.74109386713189</v>
      </c>
      <c r="AX70" s="16">
        <f t="shared" ref="AX70:AX110" si="52">V70-AQ70</f>
        <v>3020.0525111555999</v>
      </c>
      <c r="AY70" s="16">
        <f t="shared" ref="AY70:AY110" si="53">W70-AR70</f>
        <v>2284.8125945430802</v>
      </c>
      <c r="AZ70" s="16">
        <f t="shared" ref="AZ70:AZ110" si="54">X70-AS70</f>
        <v>1843.6880974622757</v>
      </c>
      <c r="BA70" s="16">
        <f t="shared" ref="BA70:BA110" si="55">Y70-AT70</f>
        <v>1531.3267734681785</v>
      </c>
      <c r="BB70" s="16">
        <f t="shared" ref="BB70:BB110" si="56">Z70-AU70</f>
        <v>1292.1268476542041</v>
      </c>
      <c r="BC70" s="16">
        <f t="shared" ref="BC70:BC110" si="57">AA70-AV70</f>
        <v>1070.1998493870353</v>
      </c>
    </row>
    <row r="71" spans="2:55" x14ac:dyDescent="0.25">
      <c r="B71" s="41">
        <v>11900</v>
      </c>
      <c r="C71" s="16">
        <v>99</v>
      </c>
      <c r="D71" s="65">
        <f t="shared" si="31"/>
        <v>73.824300000000008</v>
      </c>
      <c r="E71" s="16">
        <f t="shared" si="32"/>
        <v>73824.3</v>
      </c>
      <c r="F71" s="21">
        <f t="shared" si="33"/>
        <v>43.693109243697478</v>
      </c>
      <c r="H71" s="16">
        <v>23.93061272738289</v>
      </c>
      <c r="I71" s="64">
        <v>30.91037477286957</v>
      </c>
      <c r="J71" s="16">
        <v>37.092449727443473</v>
      </c>
      <c r="K71" s="64">
        <v>42.798980454742477</v>
      </c>
      <c r="L71" s="16">
        <v>48.082805202241545</v>
      </c>
      <c r="M71" s="16">
        <v>53.757173518034037</v>
      </c>
      <c r="O71" s="118">
        <f t="shared" si="34"/>
        <v>86.150205818578399</v>
      </c>
      <c r="P71" s="118">
        <f t="shared" si="35"/>
        <v>111.27734918233045</v>
      </c>
      <c r="Q71" s="118">
        <f t="shared" si="36"/>
        <v>133.53281901879652</v>
      </c>
      <c r="R71" s="118">
        <f t="shared" si="37"/>
        <v>154.07632963707292</v>
      </c>
      <c r="S71" s="118">
        <f t="shared" si="38"/>
        <v>173.09809872806957</v>
      </c>
      <c r="T71" s="118">
        <f t="shared" si="39"/>
        <v>193.52582466492254</v>
      </c>
      <c r="V71" s="16">
        <f t="shared" si="40"/>
        <v>3084.9314575019494</v>
      </c>
      <c r="W71" s="16">
        <f t="shared" si="41"/>
        <v>2388.3340316144122</v>
      </c>
      <c r="X71" s="16">
        <f t="shared" si="42"/>
        <v>1990.2783596786776</v>
      </c>
      <c r="Y71" s="16">
        <f t="shared" si="43"/>
        <v>1724.9079117215201</v>
      </c>
      <c r="Z71" s="16">
        <f t="shared" si="44"/>
        <v>1535.3575917521225</v>
      </c>
      <c r="AA71" s="16">
        <f t="shared" si="45"/>
        <v>1373.2920681782871</v>
      </c>
      <c r="AC71" s="16">
        <f>0.5*'Gearing Calculator'!$C$15*'Gearing Calculator'!$C$20*'Gearing Calculator'!$U$20*(Forces!H71^2)</f>
        <v>48.194831133187819</v>
      </c>
      <c r="AD71" s="16">
        <f>0.5*'Gearing Calculator'!$C$15*'Gearing Calculator'!$C$20*'Gearing Calculator'!$U$20*(Forces!I71^2)</f>
        <v>80.40839013714151</v>
      </c>
      <c r="AE71" s="16">
        <f>0.5*'Gearing Calculator'!$C$15*'Gearing Calculator'!$C$20*'Gearing Calculator'!$U$20*(Forces!J71^2)</f>
        <v>115.7880817974837</v>
      </c>
      <c r="AF71" s="16">
        <f>0.5*'Gearing Calculator'!$C$15*'Gearing Calculator'!$C$20*'Gearing Calculator'!$U$20*(Forces!K71^2)</f>
        <v>154.15573020375055</v>
      </c>
      <c r="AG71" s="16">
        <f>0.5*'Gearing Calculator'!$C$15*'Gearing Calculator'!$C$20*'Gearing Calculator'!$U$20*(Forces!L71^2)</f>
        <v>194.56845020839171</v>
      </c>
      <c r="AH71" s="16">
        <f>0.5*'Gearing Calculator'!$C$15*'Gearing Calculator'!$C$20*'Gearing Calculator'!$U$20*(Forces!M71^2)</f>
        <v>243.20117999891573</v>
      </c>
      <c r="AJ71" s="16">
        <f t="shared" si="46"/>
        <v>3036.7366263687613</v>
      </c>
      <c r="AK71" s="16">
        <f t="shared" si="47"/>
        <v>2307.9256414772708</v>
      </c>
      <c r="AL71" s="16">
        <f t="shared" si="48"/>
        <v>1874.4902778811938</v>
      </c>
      <c r="AM71" s="16">
        <f t="shared" si="49"/>
        <v>1570.7521815177695</v>
      </c>
      <c r="AN71" s="16">
        <f t="shared" si="50"/>
        <v>1340.7891415437307</v>
      </c>
      <c r="AO71" s="16">
        <f t="shared" si="51"/>
        <v>1130.0908881793714</v>
      </c>
      <c r="AQ71" s="16">
        <f>0.5*'Gearing Calculator'!$C$15*'Gearing Calculator'!$C$20*'Gearing Calculator'!$W$20*(Forces!H71^2)</f>
        <v>60.611840027764593</v>
      </c>
      <c r="AR71" s="16">
        <f>0.5*'Gearing Calculator'!$C$15*'Gearing Calculator'!$C$20*'Gearing Calculator'!$W$20*(Forces!I71^2)</f>
        <v>101.12496226854478</v>
      </c>
      <c r="AS71" s="16">
        <f>0.5*'Gearing Calculator'!$C$15*'Gearing Calculator'!$C$20*'Gearing Calculator'!$W$20*(Forces!J71^2)</f>
        <v>145.61994566670438</v>
      </c>
      <c r="AT71" s="16">
        <f>0.5*'Gearing Calculator'!$C$15*'Gearing Calculator'!$C$20*'Gearing Calculator'!$W$20*(Forces!K71^2)</f>
        <v>193.87270872786092</v>
      </c>
      <c r="AU71" s="16">
        <f>0.5*'Gearing Calculator'!$C$15*'Gearing Calculator'!$C$20*'Gearing Calculator'!$W$20*(Forces!L71^2)</f>
        <v>244.69743956339221</v>
      </c>
      <c r="AV71" s="16">
        <f>0.5*'Gearing Calculator'!$C$15*'Gearing Calculator'!$C$20*'Gearing Calculator'!$W$20*(Forces!M71^2)</f>
        <v>305.85999929994642</v>
      </c>
      <c r="AX71" s="16">
        <f t="shared" si="52"/>
        <v>3024.3196174741847</v>
      </c>
      <c r="AY71" s="16">
        <f t="shared" si="53"/>
        <v>2287.2090693458676</v>
      </c>
      <c r="AZ71" s="16">
        <f t="shared" si="54"/>
        <v>1844.6584140119733</v>
      </c>
      <c r="BA71" s="16">
        <f t="shared" si="55"/>
        <v>1531.0352029936591</v>
      </c>
      <c r="BB71" s="16">
        <f t="shared" si="56"/>
        <v>1290.6601521887303</v>
      </c>
      <c r="BC71" s="16">
        <f t="shared" si="57"/>
        <v>1067.4320688783407</v>
      </c>
    </row>
    <row r="72" spans="2:55" x14ac:dyDescent="0.25">
      <c r="B72" s="41">
        <v>12000</v>
      </c>
      <c r="C72" s="16">
        <v>100</v>
      </c>
      <c r="D72" s="65">
        <f t="shared" si="31"/>
        <v>74.570000000000007</v>
      </c>
      <c r="E72" s="16">
        <f t="shared" si="32"/>
        <v>74570.000000000015</v>
      </c>
      <c r="F72" s="21">
        <f t="shared" si="33"/>
        <v>43.766666666666666</v>
      </c>
      <c r="H72" s="16">
        <v>24.131710313327282</v>
      </c>
      <c r="I72" s="64">
        <v>31.17012582138107</v>
      </c>
      <c r="J72" s="16">
        <v>37.404150985657289</v>
      </c>
      <c r="K72" s="64">
        <v>43.158635752681498</v>
      </c>
      <c r="L72" s="16">
        <v>48.486862388815005</v>
      </c>
      <c r="M72" s="16">
        <v>54.208914471967098</v>
      </c>
      <c r="O72" s="118">
        <f t="shared" si="34"/>
        <v>86.874157127978222</v>
      </c>
      <c r="P72" s="118">
        <f t="shared" si="35"/>
        <v>112.21245295697186</v>
      </c>
      <c r="Q72" s="118">
        <f t="shared" si="36"/>
        <v>134.65494354836625</v>
      </c>
      <c r="R72" s="118">
        <f t="shared" si="37"/>
        <v>155.37108870965341</v>
      </c>
      <c r="S72" s="118">
        <f t="shared" si="38"/>
        <v>174.55270459973403</v>
      </c>
      <c r="T72" s="118">
        <f t="shared" si="39"/>
        <v>195.15209209908156</v>
      </c>
      <c r="V72" s="16">
        <f t="shared" si="40"/>
        <v>3090.1249448041422</v>
      </c>
      <c r="W72" s="16">
        <f t="shared" si="41"/>
        <v>2392.3547959774005</v>
      </c>
      <c r="X72" s="16">
        <f t="shared" si="42"/>
        <v>1993.6289966478334</v>
      </c>
      <c r="Y72" s="16">
        <f t="shared" si="43"/>
        <v>1727.8117970947887</v>
      </c>
      <c r="Z72" s="16">
        <f t="shared" si="44"/>
        <v>1537.9423688426143</v>
      </c>
      <c r="AA72" s="16">
        <f t="shared" si="45"/>
        <v>1375.6040076870047</v>
      </c>
      <c r="AC72" s="16">
        <f>0.5*'Gearing Calculator'!$C$15*'Gearing Calculator'!$C$20*'Gearing Calculator'!$U$20*(Forces!H72^2)</f>
        <v>49.008231644509891</v>
      </c>
      <c r="AD72" s="16">
        <f>0.5*'Gearing Calculator'!$C$15*'Gearing Calculator'!$C$20*'Gearing Calculator'!$U$20*(Forces!I72^2)</f>
        <v>81.765469809677072</v>
      </c>
      <c r="AE72" s="16">
        <f>0.5*'Gearing Calculator'!$C$15*'Gearing Calculator'!$C$20*'Gearing Calculator'!$U$20*(Forces!J72^2)</f>
        <v>117.74227652593501</v>
      </c>
      <c r="AF72" s="16">
        <f>0.5*'Gearing Calculator'!$C$15*'Gearing Calculator'!$C$20*'Gearing Calculator'!$U$20*(Forces!K72^2)</f>
        <v>156.75746874754671</v>
      </c>
      <c r="AG72" s="16">
        <f>0.5*'Gearing Calculator'!$C$15*'Gearing Calculator'!$C$20*'Gearing Calculator'!$U$20*(Forces!L72^2)</f>
        <v>197.8522479345273</v>
      </c>
      <c r="AH72" s="16">
        <f>0.5*'Gearing Calculator'!$C$15*'Gearing Calculator'!$C$20*'Gearing Calculator'!$U$20*(Forces!M72^2)</f>
        <v>247.30576880053576</v>
      </c>
      <c r="AJ72" s="16">
        <f t="shared" si="46"/>
        <v>3041.1167131596321</v>
      </c>
      <c r="AK72" s="16">
        <f t="shared" si="47"/>
        <v>2310.5893261677234</v>
      </c>
      <c r="AL72" s="16">
        <f t="shared" si="48"/>
        <v>1875.8867201218984</v>
      </c>
      <c r="AM72" s="16">
        <f t="shared" si="49"/>
        <v>1571.0543283472421</v>
      </c>
      <c r="AN72" s="16">
        <f t="shared" si="50"/>
        <v>1340.0901209080871</v>
      </c>
      <c r="AO72" s="16">
        <f t="shared" si="51"/>
        <v>1128.2982388864689</v>
      </c>
      <c r="AQ72" s="16">
        <f>0.5*'Gearing Calculator'!$C$15*'Gearing Calculator'!$C$20*'Gearing Calculator'!$W$20*(Forces!H72^2)</f>
        <v>61.634806609689292</v>
      </c>
      <c r="AR72" s="16">
        <f>0.5*'Gearing Calculator'!$C$15*'Gearing Calculator'!$C$20*'Gearing Calculator'!$W$20*(Forces!I72^2)</f>
        <v>102.83168255540174</v>
      </c>
      <c r="AS72" s="16">
        <f>0.5*'Gearing Calculator'!$C$15*'Gearing Calculator'!$C$20*'Gearing Calculator'!$W$20*(Forces!J72^2)</f>
        <v>148.07762287977852</v>
      </c>
      <c r="AT72" s="16">
        <f>0.5*'Gearing Calculator'!$C$15*'Gearing Calculator'!$C$20*'Gearing Calculator'!$W$20*(Forces!K72^2)</f>
        <v>197.14476418905437</v>
      </c>
      <c r="AU72" s="16">
        <f>0.5*'Gearing Calculator'!$C$15*'Gearing Calculator'!$C$20*'Gearing Calculator'!$W$20*(Forces!L72^2)</f>
        <v>248.82728124516967</v>
      </c>
      <c r="AV72" s="16">
        <f>0.5*'Gearing Calculator'!$C$15*'Gearing Calculator'!$C$20*'Gearing Calculator'!$W$20*(Forces!M72^2)</f>
        <v>311.02210224696199</v>
      </c>
      <c r="AX72" s="16">
        <f t="shared" si="52"/>
        <v>3028.4901381944528</v>
      </c>
      <c r="AY72" s="16">
        <f t="shared" si="53"/>
        <v>2289.5231134219989</v>
      </c>
      <c r="AZ72" s="16">
        <f t="shared" si="54"/>
        <v>1845.5513737680549</v>
      </c>
      <c r="BA72" s="16">
        <f t="shared" si="55"/>
        <v>1530.6670329057345</v>
      </c>
      <c r="BB72" s="16">
        <f t="shared" si="56"/>
        <v>1289.1150875974447</v>
      </c>
      <c r="BC72" s="16">
        <f t="shared" si="57"/>
        <v>1064.5819054400426</v>
      </c>
    </row>
    <row r="73" spans="2:55" x14ac:dyDescent="0.25">
      <c r="B73" s="41">
        <v>12100</v>
      </c>
      <c r="C73" s="16">
        <v>102</v>
      </c>
      <c r="D73" s="65">
        <f t="shared" si="31"/>
        <v>76.061400000000006</v>
      </c>
      <c r="E73" s="16">
        <f t="shared" si="32"/>
        <v>76061.400000000009</v>
      </c>
      <c r="F73" s="21">
        <f t="shared" si="33"/>
        <v>44.27305785123967</v>
      </c>
      <c r="H73" s="16">
        <v>24.332807899271675</v>
      </c>
      <c r="I73" s="64">
        <v>31.429876869892581</v>
      </c>
      <c r="J73" s="16">
        <v>37.715852243871105</v>
      </c>
      <c r="K73" s="64">
        <v>43.518291050620491</v>
      </c>
      <c r="L73" s="16">
        <v>48.890919575388466</v>
      </c>
      <c r="M73" s="16">
        <v>54.660655425900153</v>
      </c>
      <c r="O73" s="118">
        <f t="shared" si="34"/>
        <v>87.598108437378031</v>
      </c>
      <c r="P73" s="118">
        <f t="shared" si="35"/>
        <v>113.14755673161329</v>
      </c>
      <c r="Q73" s="118">
        <f t="shared" si="36"/>
        <v>135.77706807793598</v>
      </c>
      <c r="R73" s="118">
        <f t="shared" si="37"/>
        <v>156.66584778223378</v>
      </c>
      <c r="S73" s="118">
        <f t="shared" si="38"/>
        <v>176.00731047139848</v>
      </c>
      <c r="T73" s="118">
        <f t="shared" si="39"/>
        <v>196.77835953324055</v>
      </c>
      <c r="V73" s="16">
        <f t="shared" si="40"/>
        <v>3125.8784565622063</v>
      </c>
      <c r="W73" s="16">
        <f t="shared" si="41"/>
        <v>2420.0349341126757</v>
      </c>
      <c r="X73" s="16">
        <f t="shared" si="42"/>
        <v>2016.6957784272295</v>
      </c>
      <c r="Y73" s="16">
        <f t="shared" si="43"/>
        <v>1747.8030079702662</v>
      </c>
      <c r="Z73" s="16">
        <f t="shared" si="44"/>
        <v>1555.7367433581485</v>
      </c>
      <c r="AA73" s="16">
        <f t="shared" si="45"/>
        <v>1391.5200871147883</v>
      </c>
      <c r="AC73" s="16">
        <f>0.5*'Gearing Calculator'!$C$15*'Gearing Calculator'!$C$20*'Gearing Calculator'!$U$20*(Forces!H73^2)</f>
        <v>49.828438854671468</v>
      </c>
      <c r="AD73" s="16">
        <f>0.5*'Gearing Calculator'!$C$15*'Gearing Calculator'!$C$20*'Gearing Calculator'!$U$20*(Forces!I73^2)</f>
        <v>83.133905797464038</v>
      </c>
      <c r="AE73" s="16">
        <f>0.5*'Gearing Calculator'!$C$15*'Gearing Calculator'!$C$20*'Gearing Calculator'!$U$20*(Forces!J73^2)</f>
        <v>119.71282434834826</v>
      </c>
      <c r="AF73" s="16">
        <f>0.5*'Gearing Calculator'!$C$15*'Gearing Calculator'!$C$20*'Gearing Calculator'!$U$20*(Forces!K73^2)</f>
        <v>159.38097916200201</v>
      </c>
      <c r="AG73" s="16">
        <f>0.5*'Gearing Calculator'!$C$15*'Gearing Calculator'!$C$20*'Gearing Calculator'!$U$20*(Forces!L73^2)</f>
        <v>201.16352513954266</v>
      </c>
      <c r="AH73" s="16">
        <f>0.5*'Gearing Calculator'!$C$15*'Gearing Calculator'!$C$20*'Gearing Calculator'!$U$20*(Forces!M73^2)</f>
        <v>251.44470562560022</v>
      </c>
      <c r="AJ73" s="16">
        <f t="shared" si="46"/>
        <v>3076.0500177075351</v>
      </c>
      <c r="AK73" s="16">
        <f t="shared" si="47"/>
        <v>2336.9010283152115</v>
      </c>
      <c r="AL73" s="16">
        <f t="shared" si="48"/>
        <v>1896.9829540788812</v>
      </c>
      <c r="AM73" s="16">
        <f t="shared" si="49"/>
        <v>1588.4220288082643</v>
      </c>
      <c r="AN73" s="16">
        <f t="shared" si="50"/>
        <v>1354.5732182186059</v>
      </c>
      <c r="AO73" s="16">
        <f t="shared" si="51"/>
        <v>1140.0753814891882</v>
      </c>
      <c r="AQ73" s="16">
        <f>0.5*'Gearing Calculator'!$C$15*'Gearing Calculator'!$C$20*'Gearing Calculator'!$W$20*(Forces!H73^2)</f>
        <v>62.666333581420886</v>
      </c>
      <c r="AR73" s="16">
        <f>0.5*'Gearing Calculator'!$C$15*'Gearing Calculator'!$C$20*'Gearing Calculator'!$W$20*(Forces!I73^2)</f>
        <v>104.55268502039145</v>
      </c>
      <c r="AS73" s="16">
        <f>0.5*'Gearing Calculator'!$C$15*'Gearing Calculator'!$C$20*'Gearing Calculator'!$W$20*(Forces!J73^2)</f>
        <v>150.55586642936373</v>
      </c>
      <c r="AT73" s="16">
        <f>0.5*'Gearing Calculator'!$C$15*'Gearing Calculator'!$C$20*'Gearing Calculator'!$W$20*(Forces!K73^2)</f>
        <v>200.44420086749597</v>
      </c>
      <c r="AU73" s="16">
        <f>0.5*'Gearing Calculator'!$C$15*'Gearing Calculator'!$C$20*'Gearing Calculator'!$W$20*(Forces!L73^2)</f>
        <v>252.99168227156457</v>
      </c>
      <c r="AV73" s="16">
        <f>0.5*'Gearing Calculator'!$C$15*'Gearing Calculator'!$C$20*'Gearing Calculator'!$W$20*(Forces!M73^2)</f>
        <v>316.22740270817843</v>
      </c>
      <c r="AX73" s="16">
        <f t="shared" si="52"/>
        <v>3063.2121229807854</v>
      </c>
      <c r="AY73" s="16">
        <f t="shared" si="53"/>
        <v>2315.4822490922843</v>
      </c>
      <c r="AZ73" s="16">
        <f t="shared" si="54"/>
        <v>1866.1399119978657</v>
      </c>
      <c r="BA73" s="16">
        <f t="shared" si="55"/>
        <v>1547.3588071027702</v>
      </c>
      <c r="BB73" s="16">
        <f t="shared" si="56"/>
        <v>1302.745061086584</v>
      </c>
      <c r="BC73" s="16">
        <f t="shared" si="57"/>
        <v>1075.2926844066099</v>
      </c>
    </row>
    <row r="74" spans="2:55" x14ac:dyDescent="0.25">
      <c r="B74" s="41">
        <v>12200</v>
      </c>
      <c r="C74" s="16">
        <v>103</v>
      </c>
      <c r="D74" s="65">
        <f t="shared" si="31"/>
        <v>76.807100000000005</v>
      </c>
      <c r="E74" s="16">
        <f t="shared" si="32"/>
        <v>76807.100000000006</v>
      </c>
      <c r="F74" s="21">
        <f t="shared" si="33"/>
        <v>44.340655737704921</v>
      </c>
      <c r="H74" s="16">
        <v>24.533905485216071</v>
      </c>
      <c r="I74" s="64">
        <v>31.689627918404092</v>
      </c>
      <c r="J74" s="16">
        <v>38.027553502084913</v>
      </c>
      <c r="K74" s="64">
        <v>43.877946348559504</v>
      </c>
      <c r="L74" s="16">
        <v>49.294976761961919</v>
      </c>
      <c r="M74" s="16">
        <v>55.112396379833214</v>
      </c>
      <c r="O74" s="118">
        <f t="shared" si="34"/>
        <v>88.322059746777853</v>
      </c>
      <c r="P74" s="118">
        <f t="shared" si="35"/>
        <v>114.08266050625474</v>
      </c>
      <c r="Q74" s="118">
        <f t="shared" si="36"/>
        <v>136.89919260750568</v>
      </c>
      <c r="R74" s="118">
        <f t="shared" si="37"/>
        <v>157.96060685481422</v>
      </c>
      <c r="S74" s="118">
        <f t="shared" si="38"/>
        <v>177.46191634306291</v>
      </c>
      <c r="T74" s="118">
        <f t="shared" si="39"/>
        <v>198.40462696739957</v>
      </c>
      <c r="V74" s="16">
        <f t="shared" si="40"/>
        <v>3130.6511735884583</v>
      </c>
      <c r="W74" s="16">
        <f t="shared" si="41"/>
        <v>2423.7299408426775</v>
      </c>
      <c r="X74" s="16">
        <f t="shared" si="42"/>
        <v>2019.7749507022309</v>
      </c>
      <c r="Y74" s="16">
        <f t="shared" si="43"/>
        <v>1750.471623941934</v>
      </c>
      <c r="Z74" s="16">
        <f t="shared" si="44"/>
        <v>1558.1121048274354</v>
      </c>
      <c r="AA74" s="16">
        <f t="shared" si="45"/>
        <v>1393.6447159845393</v>
      </c>
      <c r="AC74" s="16">
        <f>0.5*'Gearing Calculator'!$C$15*'Gearing Calculator'!$C$20*'Gearing Calculator'!$U$20*(Forces!H74^2)</f>
        <v>50.655452763672585</v>
      </c>
      <c r="AD74" s="16">
        <f>0.5*'Gearing Calculator'!$C$15*'Gearing Calculator'!$C$20*'Gearing Calculator'!$U$20*(Forces!I74^2)</f>
        <v>84.513698100502353</v>
      </c>
      <c r="AE74" s="16">
        <f>0.5*'Gearing Calculator'!$C$15*'Gearing Calculator'!$C$20*'Gearing Calculator'!$U$20*(Forces!J74^2)</f>
        <v>121.6997252647234</v>
      </c>
      <c r="AF74" s="16">
        <f>0.5*'Gearing Calculator'!$C$15*'Gearing Calculator'!$C$20*'Gearing Calculator'!$U$20*(Forces!K74^2)</f>
        <v>162.02626144711687</v>
      </c>
      <c r="AG74" s="16">
        <f>0.5*'Gearing Calculator'!$C$15*'Gearing Calculator'!$C$20*'Gearing Calculator'!$U$20*(Forces!L74^2)</f>
        <v>204.50228182343776</v>
      </c>
      <c r="AH74" s="16">
        <f>0.5*'Gearing Calculator'!$C$15*'Gearing Calculator'!$C$20*'Gearing Calculator'!$U$20*(Forces!M74^2)</f>
        <v>255.61799047410926</v>
      </c>
      <c r="AJ74" s="16">
        <f t="shared" si="46"/>
        <v>3079.9957208247856</v>
      </c>
      <c r="AK74" s="16">
        <f t="shared" si="47"/>
        <v>2339.2162427421749</v>
      </c>
      <c r="AL74" s="16">
        <f t="shared" si="48"/>
        <v>1898.0752254375075</v>
      </c>
      <c r="AM74" s="16">
        <f t="shared" si="49"/>
        <v>1588.4453624948171</v>
      </c>
      <c r="AN74" s="16">
        <f t="shared" si="50"/>
        <v>1353.6098230039977</v>
      </c>
      <c r="AO74" s="16">
        <f t="shared" si="51"/>
        <v>1138.02672551043</v>
      </c>
      <c r="AQ74" s="16">
        <f>0.5*'Gearing Calculator'!$C$15*'Gearing Calculator'!$C$20*'Gearing Calculator'!$W$20*(Forces!H74^2)</f>
        <v>63.706420942959397</v>
      </c>
      <c r="AR74" s="16">
        <f>0.5*'Gearing Calculator'!$C$15*'Gearing Calculator'!$C$20*'Gearing Calculator'!$W$20*(Forces!I74^2)</f>
        <v>106.28796966351386</v>
      </c>
      <c r="AS74" s="16">
        <f>0.5*'Gearing Calculator'!$C$15*'Gearing Calculator'!$C$20*'Gearing Calculator'!$W$20*(Forces!J74^2)</f>
        <v>153.05467631545997</v>
      </c>
      <c r="AT74" s="16">
        <f>0.5*'Gearing Calculator'!$C$15*'Gearing Calculator'!$C$20*'Gearing Calculator'!$W$20*(Forces!K74^2)</f>
        <v>203.77101876318628</v>
      </c>
      <c r="AU74" s="16">
        <f>0.5*'Gearing Calculator'!$C$15*'Gearing Calculator'!$C$20*'Gearing Calculator'!$W$20*(Forces!L74^2)</f>
        <v>257.19064264257673</v>
      </c>
      <c r="AV74" s="16">
        <f>0.5*'Gearing Calculator'!$C$15*'Gearing Calculator'!$C$20*'Gearing Calculator'!$W$20*(Forces!M74^2)</f>
        <v>321.47590068359591</v>
      </c>
      <c r="AX74" s="16">
        <f t="shared" si="52"/>
        <v>3066.9447526454987</v>
      </c>
      <c r="AY74" s="16">
        <f t="shared" si="53"/>
        <v>2317.4419711791638</v>
      </c>
      <c r="AZ74" s="16">
        <f t="shared" si="54"/>
        <v>1866.7202743867708</v>
      </c>
      <c r="BA74" s="16">
        <f t="shared" si="55"/>
        <v>1546.7006051787478</v>
      </c>
      <c r="BB74" s="16">
        <f t="shared" si="56"/>
        <v>1300.9214621848587</v>
      </c>
      <c r="BC74" s="16">
        <f t="shared" si="57"/>
        <v>1072.1688153009434</v>
      </c>
    </row>
    <row r="75" spans="2:55" x14ac:dyDescent="0.25">
      <c r="B75" s="41">
        <v>12300</v>
      </c>
      <c r="C75" s="16">
        <v>104</v>
      </c>
      <c r="D75" s="65">
        <f t="shared" si="31"/>
        <v>77.552800000000005</v>
      </c>
      <c r="E75" s="16">
        <f t="shared" si="32"/>
        <v>77552.800000000003</v>
      </c>
      <c r="F75" s="21">
        <f t="shared" si="33"/>
        <v>44.407154471544715</v>
      </c>
      <c r="H75" s="16">
        <v>24.735003071160467</v>
      </c>
      <c r="I75" s="64">
        <v>31.949378966915607</v>
      </c>
      <c r="J75" s="16">
        <v>38.339254760298715</v>
      </c>
      <c r="K75" s="64">
        <v>44.237601646498526</v>
      </c>
      <c r="L75" s="16">
        <v>49.69903394853538</v>
      </c>
      <c r="M75" s="16">
        <v>55.564137333766269</v>
      </c>
      <c r="O75" s="118">
        <f t="shared" si="34"/>
        <v>89.046011056177676</v>
      </c>
      <c r="P75" s="118">
        <f t="shared" si="35"/>
        <v>115.01776428089619</v>
      </c>
      <c r="Q75" s="118">
        <f t="shared" si="36"/>
        <v>138.02131713707539</v>
      </c>
      <c r="R75" s="118">
        <f t="shared" si="37"/>
        <v>159.25536592739471</v>
      </c>
      <c r="S75" s="118">
        <f t="shared" si="38"/>
        <v>178.91652221472737</v>
      </c>
      <c r="T75" s="118">
        <f t="shared" si="39"/>
        <v>200.03089440155858</v>
      </c>
      <c r="V75" s="16">
        <f t="shared" si="40"/>
        <v>3135.3462854598115</v>
      </c>
      <c r="W75" s="16">
        <f t="shared" si="41"/>
        <v>2427.3648661624347</v>
      </c>
      <c r="X75" s="16">
        <f t="shared" si="42"/>
        <v>2022.8040551353629</v>
      </c>
      <c r="Y75" s="16">
        <f t="shared" si="43"/>
        <v>1753.0968477839808</v>
      </c>
      <c r="Z75" s="16">
        <f t="shared" si="44"/>
        <v>1560.4488425329939</v>
      </c>
      <c r="AA75" s="16">
        <f t="shared" si="45"/>
        <v>1395.7347980433999</v>
      </c>
      <c r="AC75" s="16">
        <f>0.5*'Gearing Calculator'!$C$15*'Gearing Calculator'!$C$20*'Gearing Calculator'!$U$20*(Forces!H75^2)</f>
        <v>51.489273371513207</v>
      </c>
      <c r="AD75" s="16">
        <f>0.5*'Gearing Calculator'!$C$15*'Gearing Calculator'!$C$20*'Gearing Calculator'!$U$20*(Forces!I75^2)</f>
        <v>85.904846718792029</v>
      </c>
      <c r="AE75" s="16">
        <f>0.5*'Gearing Calculator'!$C$15*'Gearing Calculator'!$C$20*'Gearing Calculator'!$U$20*(Forces!J75^2)</f>
        <v>123.70297927506043</v>
      </c>
      <c r="AF75" s="16">
        <f>0.5*'Gearing Calculator'!$C$15*'Gearing Calculator'!$C$20*'Gearing Calculator'!$U$20*(Forces!K75^2)</f>
        <v>164.69331560289118</v>
      </c>
      <c r="AG75" s="16">
        <f>0.5*'Gearing Calculator'!$C$15*'Gearing Calculator'!$C$20*'Gearing Calculator'!$U$20*(Forces!L75^2)</f>
        <v>207.86851798621274</v>
      </c>
      <c r="AH75" s="16">
        <f>0.5*'Gearing Calculator'!$C$15*'Gearing Calculator'!$C$20*'Gearing Calculator'!$U$20*(Forces!M75^2)</f>
        <v>259.8256233460628</v>
      </c>
      <c r="AJ75" s="16">
        <f t="shared" si="46"/>
        <v>3083.8570120882982</v>
      </c>
      <c r="AK75" s="16">
        <f t="shared" si="47"/>
        <v>2341.4600194436425</v>
      </c>
      <c r="AL75" s="16">
        <f t="shared" si="48"/>
        <v>1899.1010758603024</v>
      </c>
      <c r="AM75" s="16">
        <f t="shared" si="49"/>
        <v>1588.4035321810898</v>
      </c>
      <c r="AN75" s="16">
        <f t="shared" si="50"/>
        <v>1352.5803245467812</v>
      </c>
      <c r="AO75" s="16">
        <f t="shared" si="51"/>
        <v>1135.9091746973372</v>
      </c>
      <c r="AQ75" s="16">
        <f>0.5*'Gearing Calculator'!$C$15*'Gearing Calculator'!$C$20*'Gearing Calculator'!$W$20*(Forces!H75^2)</f>
        <v>64.755068694304825</v>
      </c>
      <c r="AR75" s="16">
        <f>0.5*'Gearing Calculator'!$C$15*'Gearing Calculator'!$C$20*'Gearing Calculator'!$W$20*(Forces!I75^2)</f>
        <v>108.03753648476901</v>
      </c>
      <c r="AS75" s="16">
        <f>0.5*'Gearing Calculator'!$C$15*'Gearing Calculator'!$C$20*'Gearing Calculator'!$W$20*(Forces!J75^2)</f>
        <v>155.57405253806726</v>
      </c>
      <c r="AT75" s="16">
        <f>0.5*'Gearing Calculator'!$C$15*'Gearing Calculator'!$C$20*'Gearing Calculator'!$W$20*(Forces!K75^2)</f>
        <v>207.12521787612513</v>
      </c>
      <c r="AU75" s="16">
        <f>0.5*'Gearing Calculator'!$C$15*'Gearing Calculator'!$C$20*'Gearing Calculator'!$W$20*(Forces!L75^2)</f>
        <v>261.42416235820639</v>
      </c>
      <c r="AV75" s="16">
        <f>0.5*'Gearing Calculator'!$C$15*'Gearing Calculator'!$C$20*'Gearing Calculator'!$W$20*(Forces!M75^2)</f>
        <v>326.76759617321432</v>
      </c>
      <c r="AX75" s="16">
        <f t="shared" si="52"/>
        <v>3070.5912167655065</v>
      </c>
      <c r="AY75" s="16">
        <f t="shared" si="53"/>
        <v>2319.3273296776656</v>
      </c>
      <c r="AZ75" s="16">
        <f t="shared" si="54"/>
        <v>1867.2300025972957</v>
      </c>
      <c r="BA75" s="16">
        <f t="shared" si="55"/>
        <v>1545.9716299078557</v>
      </c>
      <c r="BB75" s="16">
        <f t="shared" si="56"/>
        <v>1299.0246801747876</v>
      </c>
      <c r="BC75" s="16">
        <f t="shared" si="57"/>
        <v>1068.9672018701856</v>
      </c>
    </row>
    <row r="76" spans="2:55" x14ac:dyDescent="0.25">
      <c r="B76" s="41">
        <v>12400</v>
      </c>
      <c r="C76" s="16">
        <v>105</v>
      </c>
      <c r="D76" s="65">
        <f t="shared" si="31"/>
        <v>78.298500000000004</v>
      </c>
      <c r="E76" s="16">
        <f t="shared" si="32"/>
        <v>78298.5</v>
      </c>
      <c r="F76" s="21">
        <f t="shared" si="33"/>
        <v>44.472580645161287</v>
      </c>
      <c r="H76" s="16">
        <v>24.936100657104859</v>
      </c>
      <c r="I76" s="64">
        <v>32.209130015427114</v>
      </c>
      <c r="J76" s="16">
        <v>38.650956018512538</v>
      </c>
      <c r="K76" s="64">
        <v>44.59725694443754</v>
      </c>
      <c r="L76" s="16">
        <v>50.103091135108833</v>
      </c>
      <c r="M76" s="16">
        <v>56.015878287699337</v>
      </c>
      <c r="O76" s="118">
        <f t="shared" si="34"/>
        <v>89.769962365577499</v>
      </c>
      <c r="P76" s="118">
        <f t="shared" si="35"/>
        <v>115.95286805553761</v>
      </c>
      <c r="Q76" s="118">
        <f t="shared" si="36"/>
        <v>139.14344166664515</v>
      </c>
      <c r="R76" s="118">
        <f t="shared" si="37"/>
        <v>160.55012499997514</v>
      </c>
      <c r="S76" s="118">
        <f t="shared" si="38"/>
        <v>180.37112808639179</v>
      </c>
      <c r="T76" s="118">
        <f t="shared" si="39"/>
        <v>201.65716183571763</v>
      </c>
      <c r="V76" s="16">
        <f t="shared" si="40"/>
        <v>3139.9656697203372</v>
      </c>
      <c r="W76" s="16">
        <f t="shared" si="41"/>
        <v>2430.9411636544542</v>
      </c>
      <c r="X76" s="16">
        <f t="shared" si="42"/>
        <v>2025.7843030453785</v>
      </c>
      <c r="Y76" s="16">
        <f t="shared" si="43"/>
        <v>1755.6797293059949</v>
      </c>
      <c r="Z76" s="16">
        <f t="shared" si="44"/>
        <v>1562.7478909207209</v>
      </c>
      <c r="AA76" s="16">
        <f t="shared" si="45"/>
        <v>1397.791169101311</v>
      </c>
      <c r="AC76" s="16">
        <f>0.5*'Gearing Calculator'!$C$15*'Gearing Calculator'!$C$20*'Gearing Calculator'!$U$20*(Forces!H76^2)</f>
        <v>52.329900678193333</v>
      </c>
      <c r="AD76" s="16">
        <f>0.5*'Gearing Calculator'!$C$15*'Gearing Calculator'!$C$20*'Gearing Calculator'!$U$20*(Forces!I76^2)</f>
        <v>87.307351652333011</v>
      </c>
      <c r="AE76" s="16">
        <f>0.5*'Gearing Calculator'!$C$15*'Gearing Calculator'!$C$20*'Gearing Calculator'!$U$20*(Forces!J76^2)</f>
        <v>125.72258637935953</v>
      </c>
      <c r="AF76" s="16">
        <f>0.5*'Gearing Calculator'!$C$15*'Gearing Calculator'!$C$20*'Gearing Calculator'!$U$20*(Forces!K76^2)</f>
        <v>167.38214162932479</v>
      </c>
      <c r="AG76" s="16">
        <f>0.5*'Gearing Calculator'!$C$15*'Gearing Calculator'!$C$20*'Gearing Calculator'!$U$20*(Forces!L76^2)</f>
        <v>211.26223362786743</v>
      </c>
      <c r="AH76" s="16">
        <f>0.5*'Gearing Calculator'!$C$15*'Gearing Calculator'!$C$20*'Gearing Calculator'!$U$20*(Forces!M76^2)</f>
        <v>264.06760424146097</v>
      </c>
      <c r="AJ76" s="16">
        <f t="shared" si="46"/>
        <v>3087.6357690421437</v>
      </c>
      <c r="AK76" s="16">
        <f t="shared" si="47"/>
        <v>2343.633812002121</v>
      </c>
      <c r="AL76" s="16">
        <f t="shared" si="48"/>
        <v>1900.061716666019</v>
      </c>
      <c r="AM76" s="16">
        <f t="shared" si="49"/>
        <v>1588.29758767667</v>
      </c>
      <c r="AN76" s="16">
        <f t="shared" si="50"/>
        <v>1351.4856572928534</v>
      </c>
      <c r="AO76" s="16">
        <f t="shared" si="51"/>
        <v>1133.7235648598501</v>
      </c>
      <c r="AQ76" s="16">
        <f>0.5*'Gearing Calculator'!$C$15*'Gearing Calculator'!$C$20*'Gearing Calculator'!$W$20*(Forces!H76^2)</f>
        <v>65.812276835457112</v>
      </c>
      <c r="AR76" s="16">
        <f>0.5*'Gearing Calculator'!$C$15*'Gearing Calculator'!$C$20*'Gearing Calculator'!$W$20*(Forces!I76^2)</f>
        <v>109.8013854841568</v>
      </c>
      <c r="AS76" s="16">
        <f>0.5*'Gearing Calculator'!$C$15*'Gearing Calculator'!$C$20*'Gearing Calculator'!$W$20*(Forces!J76^2)</f>
        <v>158.11399509718578</v>
      </c>
      <c r="AT76" s="16">
        <f>0.5*'Gearing Calculator'!$C$15*'Gearing Calculator'!$C$20*'Gearing Calculator'!$W$20*(Forces!K76^2)</f>
        <v>210.5067982063124</v>
      </c>
      <c r="AU76" s="16">
        <f>0.5*'Gearing Calculator'!$C$15*'Gearing Calculator'!$C$20*'Gearing Calculator'!$W$20*(Forces!L76^2)</f>
        <v>265.69224141845336</v>
      </c>
      <c r="AV76" s="16">
        <f>0.5*'Gearing Calculator'!$C$15*'Gearing Calculator'!$C$20*'Gearing Calculator'!$W$20*(Forces!M76^2)</f>
        <v>332.10248917703387</v>
      </c>
      <c r="AX76" s="16">
        <f t="shared" si="52"/>
        <v>3074.1533928848803</v>
      </c>
      <c r="AY76" s="16">
        <f t="shared" si="53"/>
        <v>2321.1397781702972</v>
      </c>
      <c r="AZ76" s="16">
        <f t="shared" si="54"/>
        <v>1867.6703079481927</v>
      </c>
      <c r="BA76" s="16">
        <f t="shared" si="55"/>
        <v>1545.1729310996825</v>
      </c>
      <c r="BB76" s="16">
        <f t="shared" si="56"/>
        <v>1297.0556495022674</v>
      </c>
      <c r="BC76" s="16">
        <f t="shared" si="57"/>
        <v>1065.688679924277</v>
      </c>
    </row>
    <row r="77" spans="2:55" x14ac:dyDescent="0.25">
      <c r="B77" s="41">
        <v>12500</v>
      </c>
      <c r="C77" s="16">
        <v>106</v>
      </c>
      <c r="D77" s="65">
        <f t="shared" si="31"/>
        <v>79.044200000000004</v>
      </c>
      <c r="E77" s="16">
        <f t="shared" si="32"/>
        <v>79044.2</v>
      </c>
      <c r="F77" s="21">
        <f t="shared" si="33"/>
        <v>44.536960000000001</v>
      </c>
      <c r="H77" s="16">
        <v>25.137198243049252</v>
      </c>
      <c r="I77" s="64">
        <v>32.468881063938625</v>
      </c>
      <c r="J77" s="16">
        <v>38.96265727672634</v>
      </c>
      <c r="K77" s="64">
        <v>44.956912242376553</v>
      </c>
      <c r="L77" s="16">
        <v>50.507148321682294</v>
      </c>
      <c r="M77" s="16">
        <v>56.467619241632391</v>
      </c>
      <c r="O77" s="118">
        <f t="shared" si="34"/>
        <v>90.493913674977307</v>
      </c>
      <c r="P77" s="118">
        <f t="shared" si="35"/>
        <v>116.88797183017905</v>
      </c>
      <c r="Q77" s="118">
        <f t="shared" si="36"/>
        <v>140.26556619621482</v>
      </c>
      <c r="R77" s="118">
        <f t="shared" si="37"/>
        <v>161.8448840725556</v>
      </c>
      <c r="S77" s="118">
        <f t="shared" si="38"/>
        <v>181.82573395805628</v>
      </c>
      <c r="T77" s="118">
        <f t="shared" si="39"/>
        <v>203.28342926987662</v>
      </c>
      <c r="V77" s="16">
        <f t="shared" si="40"/>
        <v>3144.5111438326944</v>
      </c>
      <c r="W77" s="16">
        <f t="shared" si="41"/>
        <v>2434.4602403866015</v>
      </c>
      <c r="X77" s="16">
        <f t="shared" si="42"/>
        <v>2028.7168669888351</v>
      </c>
      <c r="Y77" s="16">
        <f t="shared" si="43"/>
        <v>1758.2212847236567</v>
      </c>
      <c r="Z77" s="16">
        <f t="shared" si="44"/>
        <v>1565.0101545342441</v>
      </c>
      <c r="AA77" s="16">
        <f t="shared" si="45"/>
        <v>1399.8146382222958</v>
      </c>
      <c r="AC77" s="16">
        <f>0.5*'Gearing Calculator'!$C$15*'Gearing Calculator'!$C$20*'Gearing Calculator'!$U$20*(Forces!H77^2)</f>
        <v>53.177334683712985</v>
      </c>
      <c r="AD77" s="16">
        <f>0.5*'Gearing Calculator'!$C$15*'Gearing Calculator'!$C$20*'Gearing Calculator'!$U$20*(Forces!I77^2)</f>
        <v>88.721212901125341</v>
      </c>
      <c r="AE77" s="16">
        <f>0.5*'Gearing Calculator'!$C$15*'Gearing Calculator'!$C$20*'Gearing Calculator'!$U$20*(Forces!J77^2)</f>
        <v>127.75854657762045</v>
      </c>
      <c r="AF77" s="16">
        <f>0.5*'Gearing Calculator'!$C$15*'Gearing Calculator'!$C$20*'Gearing Calculator'!$U$20*(Forces!K77^2)</f>
        <v>170.0927395264178</v>
      </c>
      <c r="AG77" s="16">
        <f>0.5*'Gearing Calculator'!$C$15*'Gearing Calculator'!$C$20*'Gearing Calculator'!$U$20*(Forces!L77^2)</f>
        <v>214.68342874840201</v>
      </c>
      <c r="AH77" s="16">
        <f>0.5*'Gearing Calculator'!$C$15*'Gearing Calculator'!$C$20*'Gearing Calculator'!$U$20*(Forces!M77^2)</f>
        <v>268.34393316030349</v>
      </c>
      <c r="AJ77" s="16">
        <f t="shared" si="46"/>
        <v>3091.3338091489813</v>
      </c>
      <c r="AK77" s="16">
        <f t="shared" si="47"/>
        <v>2345.7390274854761</v>
      </c>
      <c r="AL77" s="16">
        <f t="shared" si="48"/>
        <v>1900.9583204112146</v>
      </c>
      <c r="AM77" s="16">
        <f t="shared" si="49"/>
        <v>1588.128545197239</v>
      </c>
      <c r="AN77" s="16">
        <f t="shared" si="50"/>
        <v>1350.326725785842</v>
      </c>
      <c r="AO77" s="16">
        <f t="shared" si="51"/>
        <v>1131.4707050619922</v>
      </c>
      <c r="AQ77" s="16">
        <f>0.5*'Gearing Calculator'!$C$15*'Gearing Calculator'!$C$20*'Gearing Calculator'!$W$20*(Forces!H77^2)</f>
        <v>66.87804536641633</v>
      </c>
      <c r="AR77" s="16">
        <f>0.5*'Gearing Calculator'!$C$15*'Gearing Calculator'!$C$20*'Gearing Calculator'!$W$20*(Forces!I77^2)</f>
        <v>111.57951666167727</v>
      </c>
      <c r="AS77" s="16">
        <f>0.5*'Gearing Calculator'!$C$15*'Gearing Calculator'!$C$20*'Gearing Calculator'!$W$20*(Forces!J77^2)</f>
        <v>160.67450399281523</v>
      </c>
      <c r="AT77" s="16">
        <f>0.5*'Gearing Calculator'!$C$15*'Gearing Calculator'!$C$20*'Gearing Calculator'!$W$20*(Forces!K77^2)</f>
        <v>213.91575975374815</v>
      </c>
      <c r="AU77" s="16">
        <f>0.5*'Gearing Calculator'!$C$15*'Gearing Calculator'!$C$20*'Gearing Calculator'!$W$20*(Forces!L77^2)</f>
        <v>269.99487982331777</v>
      </c>
      <c r="AV77" s="16">
        <f>0.5*'Gearing Calculator'!$C$15*'Gearing Calculator'!$C$20*'Gearing Calculator'!$W$20*(Forces!M77^2)</f>
        <v>337.48057969505419</v>
      </c>
      <c r="AX77" s="16">
        <f t="shared" si="52"/>
        <v>3077.6330984662782</v>
      </c>
      <c r="AY77" s="16">
        <f t="shared" si="53"/>
        <v>2322.8807237249243</v>
      </c>
      <c r="AZ77" s="16">
        <f t="shared" si="54"/>
        <v>1868.0423629960198</v>
      </c>
      <c r="BA77" s="16">
        <f t="shared" si="55"/>
        <v>1544.3055249699087</v>
      </c>
      <c r="BB77" s="16">
        <f t="shared" si="56"/>
        <v>1295.0152747109264</v>
      </c>
      <c r="BC77" s="16">
        <f t="shared" si="57"/>
        <v>1062.3340585272417</v>
      </c>
    </row>
    <row r="78" spans="2:55" x14ac:dyDescent="0.25">
      <c r="B78" s="41">
        <v>12600</v>
      </c>
      <c r="C78" s="16">
        <v>107</v>
      </c>
      <c r="D78" s="65">
        <f t="shared" si="31"/>
        <v>79.789900000000003</v>
      </c>
      <c r="E78" s="16">
        <f t="shared" si="32"/>
        <v>79789.900000000009</v>
      </c>
      <c r="F78" s="21">
        <f t="shared" si="33"/>
        <v>44.600317460317463</v>
      </c>
      <c r="H78" s="16">
        <v>25.338295828993644</v>
      </c>
      <c r="I78" s="64">
        <v>32.728632112450128</v>
      </c>
      <c r="J78" s="16">
        <v>39.274358534940149</v>
      </c>
      <c r="K78" s="64">
        <v>45.316567540315567</v>
      </c>
      <c r="L78" s="16">
        <v>50.911205508255755</v>
      </c>
      <c r="M78" s="16">
        <v>56.91936019556546</v>
      </c>
      <c r="O78" s="118">
        <f t="shared" si="34"/>
        <v>91.217864984377115</v>
      </c>
      <c r="P78" s="118">
        <f t="shared" si="35"/>
        <v>117.82307560482046</v>
      </c>
      <c r="Q78" s="118">
        <f t="shared" si="36"/>
        <v>141.38769072578455</v>
      </c>
      <c r="R78" s="118">
        <f t="shared" si="37"/>
        <v>163.13964314513603</v>
      </c>
      <c r="S78" s="118">
        <f t="shared" si="38"/>
        <v>183.28033982972073</v>
      </c>
      <c r="T78" s="118">
        <f t="shared" si="39"/>
        <v>204.90969670403567</v>
      </c>
      <c r="V78" s="16">
        <f t="shared" si="40"/>
        <v>3148.9844675623162</v>
      </c>
      <c r="W78" s="16">
        <f t="shared" si="41"/>
        <v>2437.9234587579217</v>
      </c>
      <c r="X78" s="16">
        <f t="shared" si="42"/>
        <v>2031.6028822982685</v>
      </c>
      <c r="Y78" s="16">
        <f t="shared" si="43"/>
        <v>1760.7224979918324</v>
      </c>
      <c r="Z78" s="16">
        <f t="shared" si="44"/>
        <v>1567.2365092015211</v>
      </c>
      <c r="AA78" s="16">
        <f t="shared" si="45"/>
        <v>1401.8059887858046</v>
      </c>
      <c r="AC78" s="16">
        <f>0.5*'Gearing Calculator'!$C$15*'Gearing Calculator'!$C$20*'Gearing Calculator'!$U$20*(Forces!H78^2)</f>
        <v>54.031575388072142</v>
      </c>
      <c r="AD78" s="16">
        <f>0.5*'Gearing Calculator'!$C$15*'Gearing Calculator'!$C$20*'Gearing Calculator'!$U$20*(Forces!I78^2)</f>
        <v>90.14643046516899</v>
      </c>
      <c r="AE78" s="16">
        <f>0.5*'Gearing Calculator'!$C$15*'Gearing Calculator'!$C$20*'Gearing Calculator'!$U$20*(Forces!J78^2)</f>
        <v>129.81085986984331</v>
      </c>
      <c r="AF78" s="16">
        <f>0.5*'Gearing Calculator'!$C$15*'Gearing Calculator'!$C$20*'Gearing Calculator'!$U$20*(Forces!K78^2)</f>
        <v>172.82510929417018</v>
      </c>
      <c r="AG78" s="16">
        <f>0.5*'Gearing Calculator'!$C$15*'Gearing Calculator'!$C$20*'Gearing Calculator'!$U$20*(Forces!L78^2)</f>
        <v>218.13210334781633</v>
      </c>
      <c r="AH78" s="16">
        <f>0.5*'Gearing Calculator'!$C$15*'Gearing Calculator'!$C$20*'Gearing Calculator'!$U$20*(Forces!M78^2)</f>
        <v>272.65461010259071</v>
      </c>
      <c r="AJ78" s="16">
        <f t="shared" si="46"/>
        <v>3094.952892174244</v>
      </c>
      <c r="AK78" s="16">
        <f t="shared" si="47"/>
        <v>2347.7770282927527</v>
      </c>
      <c r="AL78" s="16">
        <f t="shared" si="48"/>
        <v>1901.7920224284251</v>
      </c>
      <c r="AM78" s="16">
        <f t="shared" si="49"/>
        <v>1587.8973886976621</v>
      </c>
      <c r="AN78" s="16">
        <f t="shared" si="50"/>
        <v>1349.1044058537047</v>
      </c>
      <c r="AO78" s="16">
        <f t="shared" si="51"/>
        <v>1129.1513786832138</v>
      </c>
      <c r="AQ78" s="16">
        <f>0.5*'Gearing Calculator'!$C$15*'Gearing Calculator'!$C$20*'Gearing Calculator'!$W$20*(Forces!H78^2)</f>
        <v>67.952374287182423</v>
      </c>
      <c r="AR78" s="16">
        <f>0.5*'Gearing Calculator'!$C$15*'Gearing Calculator'!$C$20*'Gearing Calculator'!$W$20*(Forces!I78^2)</f>
        <v>113.37193001733043</v>
      </c>
      <c r="AS78" s="16">
        <f>0.5*'Gearing Calculator'!$C$15*'Gearing Calculator'!$C$20*'Gearing Calculator'!$W$20*(Forces!J78^2)</f>
        <v>163.25557922495577</v>
      </c>
      <c r="AT78" s="16">
        <f>0.5*'Gearing Calculator'!$C$15*'Gearing Calculator'!$C$20*'Gearing Calculator'!$W$20*(Forces!K78^2)</f>
        <v>217.35210251843236</v>
      </c>
      <c r="AU78" s="16">
        <f>0.5*'Gearing Calculator'!$C$15*'Gearing Calculator'!$C$20*'Gearing Calculator'!$W$20*(Forces!L78^2)</f>
        <v>274.33207757279956</v>
      </c>
      <c r="AV78" s="16">
        <f>0.5*'Gearing Calculator'!$C$15*'Gearing Calculator'!$C$20*'Gearing Calculator'!$W$20*(Forces!M78^2)</f>
        <v>342.90186772727566</v>
      </c>
      <c r="AX78" s="16">
        <f t="shared" si="52"/>
        <v>3081.0320932751338</v>
      </c>
      <c r="AY78" s="16">
        <f t="shared" si="53"/>
        <v>2324.5515287405915</v>
      </c>
      <c r="AZ78" s="16">
        <f t="shared" si="54"/>
        <v>1868.3473030733128</v>
      </c>
      <c r="BA78" s="16">
        <f t="shared" si="55"/>
        <v>1543.3703954734001</v>
      </c>
      <c r="BB78" s="16">
        <f t="shared" si="56"/>
        <v>1292.9044316287216</v>
      </c>
      <c r="BC78" s="16">
        <f t="shared" si="57"/>
        <v>1058.904121058529</v>
      </c>
    </row>
    <row r="79" spans="2:55" x14ac:dyDescent="0.25">
      <c r="B79" s="41">
        <v>12700</v>
      </c>
      <c r="C79" s="16">
        <v>108</v>
      </c>
      <c r="D79" s="65">
        <f t="shared" si="31"/>
        <v>80.535600000000002</v>
      </c>
      <c r="E79" s="16">
        <f t="shared" si="32"/>
        <v>80535.600000000006</v>
      </c>
      <c r="F79" s="21">
        <f t="shared" si="33"/>
        <v>44.662677165354332</v>
      </c>
      <c r="H79" s="16">
        <v>25.53939341493804</v>
      </c>
      <c r="I79" s="64">
        <v>32.988383160961639</v>
      </c>
      <c r="J79" s="16">
        <v>39.586059793153957</v>
      </c>
      <c r="K79" s="64">
        <v>45.676222838254581</v>
      </c>
      <c r="L79" s="16">
        <v>51.315262694829208</v>
      </c>
      <c r="M79" s="16">
        <v>57.371101149498507</v>
      </c>
      <c r="O79" s="118">
        <f t="shared" si="34"/>
        <v>91.941816293776952</v>
      </c>
      <c r="P79" s="118">
        <f t="shared" si="35"/>
        <v>118.75817937946191</v>
      </c>
      <c r="Q79" s="118">
        <f t="shared" si="36"/>
        <v>142.50981525535425</v>
      </c>
      <c r="R79" s="118">
        <f t="shared" si="37"/>
        <v>164.4344022177165</v>
      </c>
      <c r="S79" s="118">
        <f t="shared" si="38"/>
        <v>184.73494570138516</v>
      </c>
      <c r="T79" s="118">
        <f t="shared" si="39"/>
        <v>206.53596413819463</v>
      </c>
      <c r="V79" s="16">
        <f t="shared" si="40"/>
        <v>3153.3873452489511</v>
      </c>
      <c r="W79" s="16">
        <f t="shared" si="41"/>
        <v>2441.3321382572522</v>
      </c>
      <c r="X79" s="16">
        <f t="shared" si="42"/>
        <v>2034.4434485477104</v>
      </c>
      <c r="Y79" s="16">
        <f t="shared" si="43"/>
        <v>1763.1843220746819</v>
      </c>
      <c r="Z79" s="16">
        <f t="shared" si="44"/>
        <v>1569.4278031653766</v>
      </c>
      <c r="AA79" s="16">
        <f t="shared" si="45"/>
        <v>1403.7659794979197</v>
      </c>
      <c r="AC79" s="16">
        <f>0.5*'Gearing Calculator'!$C$15*'Gearing Calculator'!$C$20*'Gearing Calculator'!$U$20*(Forces!H79^2)</f>
        <v>54.892622791270831</v>
      </c>
      <c r="AD79" s="16">
        <f>0.5*'Gearing Calculator'!$C$15*'Gearing Calculator'!$C$20*'Gearing Calculator'!$U$20*(Forces!I79^2)</f>
        <v>91.58300434446403</v>
      </c>
      <c r="AE79" s="16">
        <f>0.5*'Gearing Calculator'!$C$15*'Gearing Calculator'!$C$20*'Gearing Calculator'!$U$20*(Forces!J79^2)</f>
        <v>131.87952625602813</v>
      </c>
      <c r="AF79" s="16">
        <f>0.5*'Gearing Calculator'!$C$15*'Gearing Calculator'!$C$20*'Gearing Calculator'!$U$20*(Forces!K79^2)</f>
        <v>175.57925093258197</v>
      </c>
      <c r="AG79" s="16">
        <f>0.5*'Gearing Calculator'!$C$15*'Gearing Calculator'!$C$20*'Gearing Calculator'!$U$20*(Forces!L79^2)</f>
        <v>221.60825742611041</v>
      </c>
      <c r="AH79" s="16">
        <f>0.5*'Gearing Calculator'!$C$15*'Gearing Calculator'!$C$20*'Gearing Calculator'!$U$20*(Forces!M79^2)</f>
        <v>276.99963506832228</v>
      </c>
      <c r="AJ79" s="16">
        <f t="shared" si="46"/>
        <v>3098.4947224576804</v>
      </c>
      <c r="AK79" s="16">
        <f t="shared" si="47"/>
        <v>2349.7491339127882</v>
      </c>
      <c r="AL79" s="16">
        <f t="shared" si="48"/>
        <v>1902.5639222916823</v>
      </c>
      <c r="AM79" s="16">
        <f t="shared" si="49"/>
        <v>1587.6050711420999</v>
      </c>
      <c r="AN79" s="16">
        <f t="shared" si="50"/>
        <v>1347.8195457392662</v>
      </c>
      <c r="AO79" s="16">
        <f t="shared" si="51"/>
        <v>1126.7663444295974</v>
      </c>
      <c r="AQ79" s="16">
        <f>0.5*'Gearing Calculator'!$C$15*'Gearing Calculator'!$C$20*'Gearing Calculator'!$W$20*(Forces!H79^2)</f>
        <v>69.03526359775546</v>
      </c>
      <c r="AR79" s="16">
        <f>0.5*'Gearing Calculator'!$C$15*'Gearing Calculator'!$C$20*'Gearing Calculator'!$W$20*(Forces!I79^2)</f>
        <v>115.17862555111633</v>
      </c>
      <c r="AS79" s="16">
        <f>0.5*'Gearing Calculator'!$C$15*'Gearing Calculator'!$C$20*'Gearing Calculator'!$W$20*(Forces!J79^2)</f>
        <v>165.85722079360744</v>
      </c>
      <c r="AT79" s="16">
        <f>0.5*'Gearing Calculator'!$C$15*'Gearing Calculator'!$C$20*'Gearing Calculator'!$W$20*(Forces!K79^2)</f>
        <v>220.81582650036509</v>
      </c>
      <c r="AU79" s="16">
        <f>0.5*'Gearing Calculator'!$C$15*'Gearing Calculator'!$C$20*'Gearing Calculator'!$W$20*(Forces!L79^2)</f>
        <v>278.70383466689867</v>
      </c>
      <c r="AV79" s="16">
        <f>0.5*'Gearing Calculator'!$C$15*'Gearing Calculator'!$C$20*'Gearing Calculator'!$W$20*(Forces!M79^2)</f>
        <v>348.36635327369783</v>
      </c>
      <c r="AX79" s="16">
        <f t="shared" si="52"/>
        <v>3084.3520816511955</v>
      </c>
      <c r="AY79" s="16">
        <f t="shared" si="53"/>
        <v>2326.1535127061356</v>
      </c>
      <c r="AZ79" s="16">
        <f t="shared" si="54"/>
        <v>1868.586227754103</v>
      </c>
      <c r="BA79" s="16">
        <f t="shared" si="55"/>
        <v>1542.3684955743167</v>
      </c>
      <c r="BB79" s="16">
        <f t="shared" si="56"/>
        <v>1290.7239684984779</v>
      </c>
      <c r="BC79" s="16">
        <f t="shared" si="57"/>
        <v>1055.3996262242219</v>
      </c>
    </row>
    <row r="80" spans="2:55" x14ac:dyDescent="0.25">
      <c r="B80" s="41">
        <v>12800</v>
      </c>
      <c r="C80" s="16">
        <v>108.5</v>
      </c>
      <c r="D80" s="65">
        <f t="shared" si="31"/>
        <v>80.908450000000002</v>
      </c>
      <c r="E80" s="16">
        <f t="shared" si="32"/>
        <v>80908.45</v>
      </c>
      <c r="F80" s="21">
        <f t="shared" si="33"/>
        <v>44.518906250000001</v>
      </c>
      <c r="H80" s="16">
        <v>25.740491000882436</v>
      </c>
      <c r="I80" s="64">
        <v>33.24813420947315</v>
      </c>
      <c r="J80" s="16">
        <v>39.89776105136778</v>
      </c>
      <c r="K80" s="64">
        <v>46.035878136193588</v>
      </c>
      <c r="L80" s="16">
        <v>51.719319881402676</v>
      </c>
      <c r="M80" s="16">
        <v>57.822842103431569</v>
      </c>
      <c r="O80" s="118">
        <f t="shared" si="34"/>
        <v>92.665767603176775</v>
      </c>
      <c r="P80" s="118">
        <f t="shared" si="35"/>
        <v>119.69328315410334</v>
      </c>
      <c r="Q80" s="118">
        <f t="shared" si="36"/>
        <v>143.63193978492401</v>
      </c>
      <c r="R80" s="118">
        <f t="shared" si="37"/>
        <v>165.72916129029693</v>
      </c>
      <c r="S80" s="118">
        <f t="shared" si="38"/>
        <v>186.18955157304964</v>
      </c>
      <c r="T80" s="118">
        <f t="shared" si="39"/>
        <v>208.16223157235365</v>
      </c>
      <c r="V80" s="16">
        <f t="shared" si="40"/>
        <v>3143.2364672929625</v>
      </c>
      <c r="W80" s="16">
        <f t="shared" si="41"/>
        <v>2433.4733940332608</v>
      </c>
      <c r="X80" s="16">
        <f t="shared" si="42"/>
        <v>2027.8944950277175</v>
      </c>
      <c r="Y80" s="16">
        <f t="shared" si="43"/>
        <v>1757.5085623573552</v>
      </c>
      <c r="Z80" s="16">
        <f t="shared" si="44"/>
        <v>1564.3757533070964</v>
      </c>
      <c r="AA80" s="16">
        <f t="shared" si="45"/>
        <v>1399.2472015691249</v>
      </c>
      <c r="AC80" s="16">
        <f>0.5*'Gearing Calculator'!$C$15*'Gearing Calculator'!$C$20*'Gearing Calculator'!$U$20*(Forces!H80^2)</f>
        <v>55.760476893309033</v>
      </c>
      <c r="AD80" s="16">
        <f>0.5*'Gearing Calculator'!$C$15*'Gearing Calculator'!$C$20*'Gearing Calculator'!$U$20*(Forces!I80^2)</f>
        <v>93.030934539010417</v>
      </c>
      <c r="AE80" s="16">
        <f>0.5*'Gearing Calculator'!$C$15*'Gearing Calculator'!$C$20*'Gearing Calculator'!$U$20*(Forces!J80^2)</f>
        <v>133.96454573617498</v>
      </c>
      <c r="AF80" s="16">
        <f>0.5*'Gearing Calculator'!$C$15*'Gearing Calculator'!$C$20*'Gearing Calculator'!$U$20*(Forces!K80^2)</f>
        <v>178.35516444165305</v>
      </c>
      <c r="AG80" s="16">
        <f>0.5*'Gearing Calculator'!$C$15*'Gearing Calculator'!$C$20*'Gearing Calculator'!$U$20*(Forces!L80^2)</f>
        <v>225.11189098328444</v>
      </c>
      <c r="AH80" s="16">
        <f>0.5*'Gearing Calculator'!$C$15*'Gearing Calculator'!$C$20*'Gearing Calculator'!$U$20*(Forces!M80^2)</f>
        <v>281.37900805749842</v>
      </c>
      <c r="AJ80" s="16">
        <f t="shared" si="46"/>
        <v>3087.4759903996537</v>
      </c>
      <c r="AK80" s="16">
        <f t="shared" si="47"/>
        <v>2340.4424594942502</v>
      </c>
      <c r="AL80" s="16">
        <f t="shared" si="48"/>
        <v>1893.9299492915425</v>
      </c>
      <c r="AM80" s="16">
        <f t="shared" si="49"/>
        <v>1579.1533979157023</v>
      </c>
      <c r="AN80" s="16">
        <f t="shared" si="50"/>
        <v>1339.263862323812</v>
      </c>
      <c r="AO80" s="16">
        <f t="shared" si="51"/>
        <v>1117.8681935116265</v>
      </c>
      <c r="AQ80" s="16">
        <f>0.5*'Gearing Calculator'!$C$15*'Gearing Calculator'!$C$20*'Gearing Calculator'!$W$20*(Forces!H80^2)</f>
        <v>70.126713298135371</v>
      </c>
      <c r="AR80" s="16">
        <f>0.5*'Gearing Calculator'!$C$15*'Gearing Calculator'!$C$20*'Gearing Calculator'!$W$20*(Forces!I80^2)</f>
        <v>116.99960326303493</v>
      </c>
      <c r="AS80" s="16">
        <f>0.5*'Gearing Calculator'!$C$15*'Gearing Calculator'!$C$20*'Gearing Calculator'!$W$20*(Forces!J80^2)</f>
        <v>168.47942869877028</v>
      </c>
      <c r="AT80" s="16">
        <f>0.5*'Gearing Calculator'!$C$15*'Gearing Calculator'!$C$20*'Gearing Calculator'!$W$20*(Forces!K80^2)</f>
        <v>224.30693169954617</v>
      </c>
      <c r="AU80" s="16">
        <f>0.5*'Gearing Calculator'!$C$15*'Gearing Calculator'!$C$20*'Gearing Calculator'!$W$20*(Forces!L80^2)</f>
        <v>283.11015110561533</v>
      </c>
      <c r="AV80" s="16">
        <f>0.5*'Gearing Calculator'!$C$15*'Gearing Calculator'!$C$20*'Gearing Calculator'!$W$20*(Forces!M80^2)</f>
        <v>353.87403633432115</v>
      </c>
      <c r="AX80" s="16">
        <f t="shared" si="52"/>
        <v>3073.1097539948273</v>
      </c>
      <c r="AY80" s="16">
        <f t="shared" si="53"/>
        <v>2316.4737907702261</v>
      </c>
      <c r="AZ80" s="16">
        <f t="shared" si="54"/>
        <v>1859.4150663289472</v>
      </c>
      <c r="BA80" s="16">
        <f t="shared" si="55"/>
        <v>1533.2016306578091</v>
      </c>
      <c r="BB80" s="16">
        <f t="shared" si="56"/>
        <v>1281.265602201481</v>
      </c>
      <c r="BC80" s="16">
        <f t="shared" si="57"/>
        <v>1045.3731652348038</v>
      </c>
    </row>
    <row r="81" spans="2:55" x14ac:dyDescent="0.25">
      <c r="B81" s="41">
        <v>12900</v>
      </c>
      <c r="C81" s="16">
        <v>109</v>
      </c>
      <c r="D81" s="65">
        <f t="shared" si="31"/>
        <v>81.281300000000002</v>
      </c>
      <c r="E81" s="16">
        <f t="shared" si="32"/>
        <v>81281.3</v>
      </c>
      <c r="F81" s="21">
        <f t="shared" si="33"/>
        <v>44.377364341085269</v>
      </c>
      <c r="H81" s="16">
        <v>25.941588586826828</v>
      </c>
      <c r="I81" s="64">
        <v>33.507885257984654</v>
      </c>
      <c r="J81" s="16">
        <v>40.209462309581582</v>
      </c>
      <c r="K81" s="64">
        <v>46.395533434132602</v>
      </c>
      <c r="L81" s="16">
        <v>52.123377067976129</v>
      </c>
      <c r="M81" s="16">
        <v>58.274583057364616</v>
      </c>
      <c r="O81" s="118">
        <f t="shared" si="34"/>
        <v>93.389718912576583</v>
      </c>
      <c r="P81" s="118">
        <f t="shared" si="35"/>
        <v>120.62838692874476</v>
      </c>
      <c r="Q81" s="118">
        <f t="shared" si="36"/>
        <v>144.75406431449369</v>
      </c>
      <c r="R81" s="118">
        <f t="shared" si="37"/>
        <v>167.02392036287736</v>
      </c>
      <c r="S81" s="118">
        <f t="shared" si="38"/>
        <v>187.64415744471407</v>
      </c>
      <c r="T81" s="118">
        <f t="shared" si="39"/>
        <v>209.78849900651261</v>
      </c>
      <c r="V81" s="16">
        <f t="shared" si="40"/>
        <v>3133.2429672897806</v>
      </c>
      <c r="W81" s="16">
        <f t="shared" si="41"/>
        <v>2425.7364908049917</v>
      </c>
      <c r="X81" s="16">
        <f t="shared" si="42"/>
        <v>2021.4470756708265</v>
      </c>
      <c r="Y81" s="16">
        <f t="shared" si="43"/>
        <v>1751.920798914716</v>
      </c>
      <c r="Z81" s="16">
        <f t="shared" si="44"/>
        <v>1559.4020298032087</v>
      </c>
      <c r="AA81" s="16">
        <f t="shared" si="45"/>
        <v>1394.7984822128701</v>
      </c>
      <c r="AC81" s="16">
        <f>0.5*'Gearing Calculator'!$C$15*'Gearing Calculator'!$C$20*'Gearing Calculator'!$U$20*(Forces!H81^2)</f>
        <v>56.635137694186739</v>
      </c>
      <c r="AD81" s="16">
        <f>0.5*'Gearing Calculator'!$C$15*'Gearing Calculator'!$C$20*'Gearing Calculator'!$U$20*(Forces!I81^2)</f>
        <v>94.490221048808081</v>
      </c>
      <c r="AE81" s="16">
        <f>0.5*'Gearing Calculator'!$C$15*'Gearing Calculator'!$C$20*'Gearing Calculator'!$U$20*(Forces!J81^2)</f>
        <v>136.06591831028362</v>
      </c>
      <c r="AF81" s="16">
        <f>0.5*'Gearing Calculator'!$C$15*'Gearing Calculator'!$C$20*'Gearing Calculator'!$U$20*(Forces!K81^2)</f>
        <v>181.1528498213836</v>
      </c>
      <c r="AG81" s="16">
        <f>0.5*'Gearing Calculator'!$C$15*'Gearing Calculator'!$C$20*'Gearing Calculator'!$U$20*(Forces!L81^2)</f>
        <v>228.64300401933809</v>
      </c>
      <c r="AH81" s="16">
        <f>0.5*'Gearing Calculator'!$C$15*'Gearing Calculator'!$C$20*'Gearing Calculator'!$U$20*(Forces!M81^2)</f>
        <v>285.79272907011898</v>
      </c>
      <c r="AJ81" s="16">
        <f t="shared" si="46"/>
        <v>3076.607829595594</v>
      </c>
      <c r="AK81" s="16">
        <f t="shared" si="47"/>
        <v>2331.2462697561837</v>
      </c>
      <c r="AL81" s="16">
        <f t="shared" si="48"/>
        <v>1885.3811573605428</v>
      </c>
      <c r="AM81" s="16">
        <f t="shared" si="49"/>
        <v>1570.7679490933324</v>
      </c>
      <c r="AN81" s="16">
        <f t="shared" si="50"/>
        <v>1330.7590257838706</v>
      </c>
      <c r="AO81" s="16">
        <f t="shared" si="51"/>
        <v>1109.005753142751</v>
      </c>
      <c r="AQ81" s="16">
        <f>0.5*'Gearing Calculator'!$C$15*'Gearing Calculator'!$C$20*'Gearing Calculator'!$W$20*(Forces!H81^2)</f>
        <v>71.226723388322185</v>
      </c>
      <c r="AR81" s="16">
        <f>0.5*'Gearing Calculator'!$C$15*'Gearing Calculator'!$C$20*'Gearing Calculator'!$W$20*(Forces!I81^2)</f>
        <v>118.83486315308613</v>
      </c>
      <c r="AS81" s="16">
        <f>0.5*'Gearing Calculator'!$C$15*'Gearing Calculator'!$C$20*'Gearing Calculator'!$W$20*(Forces!J81^2)</f>
        <v>171.12220294044403</v>
      </c>
      <c r="AT81" s="16">
        <f>0.5*'Gearing Calculator'!$C$15*'Gearing Calculator'!$C$20*'Gearing Calculator'!$W$20*(Forces!K81^2)</f>
        <v>227.82541811597585</v>
      </c>
      <c r="AU81" s="16">
        <f>0.5*'Gearing Calculator'!$C$15*'Gearing Calculator'!$C$20*'Gearing Calculator'!$W$20*(Forces!L81^2)</f>
        <v>287.5510268889492</v>
      </c>
      <c r="AV81" s="16">
        <f>0.5*'Gearing Calculator'!$C$15*'Gearing Calculator'!$C$20*'Gearing Calculator'!$W$20*(Forces!M81^2)</f>
        <v>359.42491690914522</v>
      </c>
      <c r="AX81" s="16">
        <f t="shared" si="52"/>
        <v>3062.0162439014584</v>
      </c>
      <c r="AY81" s="16">
        <f t="shared" si="53"/>
        <v>2306.9016276519055</v>
      </c>
      <c r="AZ81" s="16">
        <f t="shared" si="54"/>
        <v>1850.3248727303826</v>
      </c>
      <c r="BA81" s="16">
        <f t="shared" si="55"/>
        <v>1524.0953807987401</v>
      </c>
      <c r="BB81" s="16">
        <f t="shared" si="56"/>
        <v>1271.8510029142594</v>
      </c>
      <c r="BC81" s="16">
        <f t="shared" si="57"/>
        <v>1035.3735653037249</v>
      </c>
    </row>
    <row r="82" spans="2:55" x14ac:dyDescent="0.25">
      <c r="B82" s="41">
        <v>13000</v>
      </c>
      <c r="C82" s="16">
        <v>109</v>
      </c>
      <c r="D82" s="65">
        <f t="shared" si="31"/>
        <v>81.281300000000002</v>
      </c>
      <c r="E82" s="16">
        <f t="shared" si="32"/>
        <v>81281.3</v>
      </c>
      <c r="F82" s="21">
        <f t="shared" si="33"/>
        <v>44.036000000000001</v>
      </c>
      <c r="H82" s="16">
        <v>26.142686172771224</v>
      </c>
      <c r="I82" s="64">
        <v>33.767636306496165</v>
      </c>
      <c r="J82" s="16">
        <v>40.521163567795391</v>
      </c>
      <c r="K82" s="64">
        <v>46.755188732071609</v>
      </c>
      <c r="L82" s="16">
        <v>52.527434254549583</v>
      </c>
      <c r="M82" s="16">
        <v>58.726324011297692</v>
      </c>
      <c r="O82" s="118">
        <f t="shared" si="34"/>
        <v>94.113670221976406</v>
      </c>
      <c r="P82" s="118">
        <f t="shared" si="35"/>
        <v>121.56349070338619</v>
      </c>
      <c r="Q82" s="118">
        <f t="shared" si="36"/>
        <v>145.87618884406342</v>
      </c>
      <c r="R82" s="118">
        <f t="shared" si="37"/>
        <v>168.3186794354578</v>
      </c>
      <c r="S82" s="118">
        <f t="shared" si="38"/>
        <v>189.09876331637849</v>
      </c>
      <c r="T82" s="118">
        <f t="shared" si="39"/>
        <v>211.41476644067168</v>
      </c>
      <c r="V82" s="16">
        <f t="shared" si="40"/>
        <v>3109.1410983106284</v>
      </c>
      <c r="W82" s="16">
        <f t="shared" si="41"/>
        <v>2407.0769793372606</v>
      </c>
      <c r="X82" s="16">
        <f t="shared" si="42"/>
        <v>2005.8974827810509</v>
      </c>
      <c r="Y82" s="16">
        <f t="shared" si="43"/>
        <v>1738.4444850769107</v>
      </c>
      <c r="Z82" s="16">
        <f t="shared" si="44"/>
        <v>1547.4066295739535</v>
      </c>
      <c r="AA82" s="16">
        <f t="shared" si="45"/>
        <v>1384.0692631189245</v>
      </c>
      <c r="AC82" s="16">
        <f>0.5*'Gearing Calculator'!$C$15*'Gearing Calculator'!$C$20*'Gearing Calculator'!$U$20*(Forces!H82^2)</f>
        <v>57.51660519390397</v>
      </c>
      <c r="AD82" s="16">
        <f>0.5*'Gearing Calculator'!$C$15*'Gearing Calculator'!$C$20*'Gearing Calculator'!$U$20*(Forces!I82^2)</f>
        <v>95.96086387385715</v>
      </c>
      <c r="AE82" s="16">
        <f>0.5*'Gearing Calculator'!$C$15*'Gearing Calculator'!$C$20*'Gearing Calculator'!$U$20*(Forces!J82^2)</f>
        <v>138.18364397835427</v>
      </c>
      <c r="AF82" s="16">
        <f>0.5*'Gearing Calculator'!$C$15*'Gearing Calculator'!$C$20*'Gearing Calculator'!$U$20*(Forces!K82^2)</f>
        <v>183.97230707177346</v>
      </c>
      <c r="AG82" s="16">
        <f>0.5*'Gearing Calculator'!$C$15*'Gearing Calculator'!$C$20*'Gearing Calculator'!$U$20*(Forces!L82^2)</f>
        <v>232.20159653427157</v>
      </c>
      <c r="AH82" s="16">
        <f>0.5*'Gearing Calculator'!$C$15*'Gearing Calculator'!$C$20*'Gearing Calculator'!$U$20*(Forces!M82^2)</f>
        <v>290.24079810618434</v>
      </c>
      <c r="AJ82" s="16">
        <f t="shared" si="46"/>
        <v>3051.6244931167244</v>
      </c>
      <c r="AK82" s="16">
        <f t="shared" si="47"/>
        <v>2311.1161154634033</v>
      </c>
      <c r="AL82" s="16">
        <f t="shared" si="48"/>
        <v>1867.7138388026967</v>
      </c>
      <c r="AM82" s="16">
        <f t="shared" si="49"/>
        <v>1554.4721780051373</v>
      </c>
      <c r="AN82" s="16">
        <f t="shared" si="50"/>
        <v>1315.2050330396819</v>
      </c>
      <c r="AO82" s="16">
        <f t="shared" si="51"/>
        <v>1093.8284650127403</v>
      </c>
      <c r="AQ82" s="16">
        <f>0.5*'Gearing Calculator'!$C$15*'Gearing Calculator'!$C$20*'Gearing Calculator'!$W$20*(Forces!H82^2)</f>
        <v>72.335293868315915</v>
      </c>
      <c r="AR82" s="16">
        <f>0.5*'Gearing Calculator'!$C$15*'Gearing Calculator'!$C$20*'Gearing Calculator'!$W$20*(Forces!I82^2)</f>
        <v>120.68440522127013</v>
      </c>
      <c r="AS82" s="16">
        <f>0.5*'Gearing Calculator'!$C$15*'Gearing Calculator'!$C$20*'Gearing Calculator'!$W$20*(Forces!J82^2)</f>
        <v>173.78554351862894</v>
      </c>
      <c r="AT82" s="16">
        <f>0.5*'Gearing Calculator'!$C$15*'Gearing Calculator'!$C$20*'Gearing Calculator'!$W$20*(Forces!K82^2)</f>
        <v>231.37128574965394</v>
      </c>
      <c r="AU82" s="16">
        <f>0.5*'Gearing Calculator'!$C$15*'Gearing Calculator'!$C$20*'Gearing Calculator'!$W$20*(Forces!L82^2)</f>
        <v>292.0264620169005</v>
      </c>
      <c r="AV82" s="16">
        <f>0.5*'Gearing Calculator'!$C$15*'Gearing Calculator'!$C$20*'Gearing Calculator'!$W$20*(Forces!M82^2)</f>
        <v>365.01899499817068</v>
      </c>
      <c r="AX82" s="16">
        <f t="shared" si="52"/>
        <v>3036.8058044423124</v>
      </c>
      <c r="AY82" s="16">
        <f t="shared" si="53"/>
        <v>2286.3925741159906</v>
      </c>
      <c r="AZ82" s="16">
        <f t="shared" si="54"/>
        <v>1832.1119392624221</v>
      </c>
      <c r="BA82" s="16">
        <f t="shared" si="55"/>
        <v>1507.0731993272568</v>
      </c>
      <c r="BB82" s="16">
        <f t="shared" si="56"/>
        <v>1255.380167557053</v>
      </c>
      <c r="BC82" s="16">
        <f t="shared" si="57"/>
        <v>1019.0502681207538</v>
      </c>
    </row>
    <row r="83" spans="2:55" x14ac:dyDescent="0.25">
      <c r="B83" s="41">
        <v>13100</v>
      </c>
      <c r="C83" s="16">
        <v>109</v>
      </c>
      <c r="D83" s="65">
        <f t="shared" si="31"/>
        <v>81.281300000000002</v>
      </c>
      <c r="E83" s="16">
        <f t="shared" si="32"/>
        <v>81281.3</v>
      </c>
      <c r="F83" s="21">
        <f t="shared" si="33"/>
        <v>43.699847328244275</v>
      </c>
      <c r="H83" s="16">
        <v>26.343783758715617</v>
      </c>
      <c r="I83" s="64">
        <v>34.027387355007669</v>
      </c>
      <c r="J83" s="16">
        <v>40.832864826009214</v>
      </c>
      <c r="K83" s="64">
        <v>47.114844030010623</v>
      </c>
      <c r="L83" s="16">
        <v>52.931491441123043</v>
      </c>
      <c r="M83" s="16">
        <v>59.178064965230739</v>
      </c>
      <c r="O83" s="118">
        <f t="shared" si="34"/>
        <v>94.837621531376229</v>
      </c>
      <c r="P83" s="118">
        <f t="shared" si="35"/>
        <v>122.49859447802761</v>
      </c>
      <c r="Q83" s="118">
        <f t="shared" si="36"/>
        <v>146.99831337363318</v>
      </c>
      <c r="R83" s="118">
        <f t="shared" si="37"/>
        <v>169.61343850803826</v>
      </c>
      <c r="S83" s="118">
        <f t="shared" si="38"/>
        <v>190.55336918804295</v>
      </c>
      <c r="T83" s="118">
        <f t="shared" si="39"/>
        <v>213.04103387483067</v>
      </c>
      <c r="V83" s="16">
        <f t="shared" si="40"/>
        <v>3085.4071967968071</v>
      </c>
      <c r="W83" s="16">
        <f t="shared" si="41"/>
        <v>2388.7023459072057</v>
      </c>
      <c r="X83" s="16">
        <f t="shared" si="42"/>
        <v>1990.5852882560041</v>
      </c>
      <c r="Y83" s="16">
        <f t="shared" si="43"/>
        <v>1725.1739164885373</v>
      </c>
      <c r="Z83" s="16">
        <f t="shared" si="44"/>
        <v>1535.5943652260607</v>
      </c>
      <c r="AA83" s="16">
        <f t="shared" si="45"/>
        <v>1373.5038488966429</v>
      </c>
      <c r="AC83" s="16">
        <f>0.5*'Gearing Calculator'!$C$15*'Gearing Calculator'!$C$20*'Gearing Calculator'!$U$20*(Forces!H83^2)</f>
        <v>58.404879392460707</v>
      </c>
      <c r="AD83" s="16">
        <f>0.5*'Gearing Calculator'!$C$15*'Gearing Calculator'!$C$20*'Gearing Calculator'!$U$20*(Forces!I83^2)</f>
        <v>97.44286301415751</v>
      </c>
      <c r="AE83" s="16">
        <f>0.5*'Gearing Calculator'!$C$15*'Gearing Calculator'!$C$20*'Gearing Calculator'!$U$20*(Forces!J83^2)</f>
        <v>140.3177227403869</v>
      </c>
      <c r="AF83" s="16">
        <f>0.5*'Gearing Calculator'!$C$15*'Gearing Calculator'!$C$20*'Gearing Calculator'!$U$20*(Forces!K83^2)</f>
        <v>186.81353619282274</v>
      </c>
      <c r="AG83" s="16">
        <f>0.5*'Gearing Calculator'!$C$15*'Gearing Calculator'!$C$20*'Gearing Calculator'!$U$20*(Forces!L83^2)</f>
        <v>235.78766852808488</v>
      </c>
      <c r="AH83" s="16">
        <f>0.5*'Gearing Calculator'!$C$15*'Gearing Calculator'!$C$20*'Gearing Calculator'!$U$20*(Forces!M83^2)</f>
        <v>294.72321516569394</v>
      </c>
      <c r="AJ83" s="16">
        <f t="shared" si="46"/>
        <v>3027.0023174043463</v>
      </c>
      <c r="AK83" s="16">
        <f t="shared" si="47"/>
        <v>2291.2594828930482</v>
      </c>
      <c r="AL83" s="16">
        <f t="shared" si="48"/>
        <v>1850.2675655156172</v>
      </c>
      <c r="AM83" s="16">
        <f t="shared" si="49"/>
        <v>1538.3603802957145</v>
      </c>
      <c r="AN83" s="16">
        <f t="shared" si="50"/>
        <v>1299.8066966979759</v>
      </c>
      <c r="AO83" s="16">
        <f t="shared" si="51"/>
        <v>1078.7806337309489</v>
      </c>
      <c r="AQ83" s="16">
        <f>0.5*'Gearing Calculator'!$C$15*'Gearing Calculator'!$C$20*'Gearing Calculator'!$W$20*(Forces!H83^2)</f>
        <v>73.45242473811652</v>
      </c>
      <c r="AR83" s="16">
        <f>0.5*'Gearing Calculator'!$C$15*'Gearing Calculator'!$C$20*'Gearing Calculator'!$W$20*(Forces!I83^2)</f>
        <v>122.54822946758674</v>
      </c>
      <c r="AS83" s="16">
        <f>0.5*'Gearing Calculator'!$C$15*'Gearing Calculator'!$C$20*'Gearing Calculator'!$W$20*(Forces!J83^2)</f>
        <v>176.46945043332502</v>
      </c>
      <c r="AT83" s="16">
        <f>0.5*'Gearing Calculator'!$C$15*'Gearing Calculator'!$C$20*'Gearing Calculator'!$W$20*(Forces!K83^2)</f>
        <v>234.94453460058057</v>
      </c>
      <c r="AU83" s="16">
        <f>0.5*'Gearing Calculator'!$C$15*'Gearing Calculator'!$C$20*'Gearing Calculator'!$W$20*(Forces!L83^2)</f>
        <v>296.53645648946917</v>
      </c>
      <c r="AV83" s="16">
        <f>0.5*'Gearing Calculator'!$C$15*'Gearing Calculator'!$C$20*'Gearing Calculator'!$W$20*(Forces!M83^2)</f>
        <v>370.65627060139673</v>
      </c>
      <c r="AX83" s="16">
        <f t="shared" si="52"/>
        <v>3011.9547720586907</v>
      </c>
      <c r="AY83" s="16">
        <f t="shared" si="53"/>
        <v>2266.154116439619</v>
      </c>
      <c r="AZ83" s="16">
        <f t="shared" si="54"/>
        <v>1814.1158378226792</v>
      </c>
      <c r="BA83" s="16">
        <f t="shared" si="55"/>
        <v>1490.2293818879568</v>
      </c>
      <c r="BB83" s="16">
        <f t="shared" si="56"/>
        <v>1239.0579087365916</v>
      </c>
      <c r="BC83" s="16">
        <f t="shared" si="57"/>
        <v>1002.8475782952462</v>
      </c>
    </row>
    <row r="84" spans="2:55" x14ac:dyDescent="0.25">
      <c r="B84" s="41">
        <v>13200</v>
      </c>
      <c r="C84" s="16">
        <v>109</v>
      </c>
      <c r="D84" s="65">
        <f t="shared" si="31"/>
        <v>81.281300000000002</v>
      </c>
      <c r="E84" s="16">
        <f t="shared" si="32"/>
        <v>81281.3</v>
      </c>
      <c r="F84" s="21">
        <f t="shared" si="33"/>
        <v>43.368787878787877</v>
      </c>
      <c r="H84" s="16">
        <v>26.544881344660013</v>
      </c>
      <c r="I84" s="64">
        <v>34.28713840351918</v>
      </c>
      <c r="J84" s="16">
        <v>41.144566084223015</v>
      </c>
      <c r="K84" s="64">
        <v>47.474499327949637</v>
      </c>
      <c r="L84" s="16">
        <v>53.335548627696497</v>
      </c>
      <c r="M84" s="16">
        <v>59.629805919163815</v>
      </c>
      <c r="O84" s="118">
        <f t="shared" si="34"/>
        <v>95.561572840776051</v>
      </c>
      <c r="P84" s="118">
        <f t="shared" si="35"/>
        <v>123.43369825266905</v>
      </c>
      <c r="Q84" s="118">
        <f t="shared" si="36"/>
        <v>148.12043790320286</v>
      </c>
      <c r="R84" s="118">
        <f t="shared" si="37"/>
        <v>170.90819758061869</v>
      </c>
      <c r="S84" s="118">
        <f t="shared" si="38"/>
        <v>192.00797505970741</v>
      </c>
      <c r="T84" s="118">
        <f t="shared" si="39"/>
        <v>214.66730130898975</v>
      </c>
      <c r="V84" s="16">
        <f t="shared" si="40"/>
        <v>3062.0328998513764</v>
      </c>
      <c r="W84" s="16">
        <f t="shared" si="41"/>
        <v>2370.6061160139693</v>
      </c>
      <c r="X84" s="16">
        <f t="shared" si="42"/>
        <v>1975.5050966783076</v>
      </c>
      <c r="Y84" s="16">
        <f t="shared" si="43"/>
        <v>1712.1044171211997</v>
      </c>
      <c r="Z84" s="16">
        <f t="shared" si="44"/>
        <v>1523.9610745804089</v>
      </c>
      <c r="AA84" s="16">
        <f t="shared" si="45"/>
        <v>1363.0985167080316</v>
      </c>
      <c r="AC84" s="16">
        <f>0.5*'Gearing Calculator'!$C$15*'Gearing Calculator'!$C$20*'Gearing Calculator'!$U$20*(Forces!H84^2)</f>
        <v>59.299960289856969</v>
      </c>
      <c r="AD84" s="16">
        <f>0.5*'Gearing Calculator'!$C$15*'Gearing Calculator'!$C$20*'Gearing Calculator'!$U$20*(Forces!I84^2)</f>
        <v>98.936218469709274</v>
      </c>
      <c r="AE84" s="16">
        <f>0.5*'Gearing Calculator'!$C$15*'Gearing Calculator'!$C$20*'Gearing Calculator'!$U$20*(Forces!J84^2)</f>
        <v>142.46815459638137</v>
      </c>
      <c r="AF84" s="16">
        <f>0.5*'Gearing Calculator'!$C$15*'Gearing Calculator'!$C$20*'Gearing Calculator'!$U$20*(Forces!K84^2)</f>
        <v>189.67653718453141</v>
      </c>
      <c r="AG84" s="16">
        <f>0.5*'Gearing Calculator'!$C$15*'Gearing Calculator'!$C$20*'Gearing Calculator'!$U$20*(Forces!L84^2)</f>
        <v>239.40122000077793</v>
      </c>
      <c r="AH84" s="16">
        <f>0.5*'Gearing Calculator'!$C$15*'Gearing Calculator'!$C$20*'Gearing Calculator'!$U$20*(Forces!M84^2)</f>
        <v>299.23998024864835</v>
      </c>
      <c r="AJ84" s="16">
        <f t="shared" si="46"/>
        <v>3002.7329395615193</v>
      </c>
      <c r="AK84" s="16">
        <f t="shared" si="47"/>
        <v>2271.66989754426</v>
      </c>
      <c r="AL84" s="16">
        <f t="shared" si="48"/>
        <v>1833.0369420819263</v>
      </c>
      <c r="AM84" s="16">
        <f t="shared" si="49"/>
        <v>1522.4278799366684</v>
      </c>
      <c r="AN84" s="16">
        <f t="shared" si="50"/>
        <v>1284.5598545796311</v>
      </c>
      <c r="AO84" s="16">
        <f t="shared" si="51"/>
        <v>1063.8585364593832</v>
      </c>
      <c r="AQ84" s="16">
        <f>0.5*'Gearing Calculator'!$C$15*'Gearing Calculator'!$C$20*'Gearing Calculator'!$W$20*(Forces!H84^2)</f>
        <v>74.578115997724041</v>
      </c>
      <c r="AR84" s="16">
        <f>0.5*'Gearing Calculator'!$C$15*'Gearing Calculator'!$C$20*'Gearing Calculator'!$W$20*(Forces!I84^2)</f>
        <v>124.42633589203611</v>
      </c>
      <c r="AS84" s="16">
        <f>0.5*'Gearing Calculator'!$C$15*'Gearing Calculator'!$C$20*'Gearing Calculator'!$W$20*(Forces!J84^2)</f>
        <v>179.17392368453199</v>
      </c>
      <c r="AT84" s="16">
        <f>0.5*'Gearing Calculator'!$C$15*'Gearing Calculator'!$C$20*'Gearing Calculator'!$W$20*(Forces!K84^2)</f>
        <v>238.54516466875566</v>
      </c>
      <c r="AU84" s="16">
        <f>0.5*'Gearing Calculator'!$C$15*'Gearing Calculator'!$C$20*'Gearing Calculator'!$W$20*(Forces!L84^2)</f>
        <v>301.08101030665517</v>
      </c>
      <c r="AV84" s="16">
        <f>0.5*'Gearing Calculator'!$C$15*'Gearing Calculator'!$C$20*'Gearing Calculator'!$W$20*(Forces!M84^2)</f>
        <v>376.3367437188241</v>
      </c>
      <c r="AX84" s="16">
        <f t="shared" si="52"/>
        <v>2987.4547838536523</v>
      </c>
      <c r="AY84" s="16">
        <f t="shared" si="53"/>
        <v>2246.1797801219332</v>
      </c>
      <c r="AZ84" s="16">
        <f t="shared" si="54"/>
        <v>1796.3311729937757</v>
      </c>
      <c r="BA84" s="16">
        <f t="shared" si="55"/>
        <v>1473.5592524524441</v>
      </c>
      <c r="BB84" s="16">
        <f t="shared" si="56"/>
        <v>1222.8800642737538</v>
      </c>
      <c r="BC84" s="16">
        <f t="shared" si="57"/>
        <v>986.76177298920754</v>
      </c>
    </row>
    <row r="85" spans="2:55" x14ac:dyDescent="0.25">
      <c r="B85" s="41">
        <v>13300</v>
      </c>
      <c r="C85" s="16">
        <v>109</v>
      </c>
      <c r="D85" s="65">
        <f t="shared" si="31"/>
        <v>81.281300000000002</v>
      </c>
      <c r="E85" s="16">
        <f t="shared" si="32"/>
        <v>81281.3</v>
      </c>
      <c r="F85" s="21">
        <f t="shared" si="33"/>
        <v>43.042706766917291</v>
      </c>
      <c r="H85" s="16">
        <v>26.745978930604402</v>
      </c>
      <c r="I85" s="64">
        <v>34.54688945203069</v>
      </c>
      <c r="J85" s="16">
        <v>41.456267342436824</v>
      </c>
      <c r="K85" s="64">
        <v>47.834154625888651</v>
      </c>
      <c r="L85" s="16">
        <v>53.739605814269964</v>
      </c>
      <c r="M85" s="16">
        <v>60.081546873096869</v>
      </c>
      <c r="O85" s="118">
        <f t="shared" si="34"/>
        <v>96.285524150175846</v>
      </c>
      <c r="P85" s="118">
        <f t="shared" si="35"/>
        <v>124.36880202731049</v>
      </c>
      <c r="Q85" s="118">
        <f t="shared" si="36"/>
        <v>149.24256243277256</v>
      </c>
      <c r="R85" s="118">
        <f t="shared" si="37"/>
        <v>172.20295665319915</v>
      </c>
      <c r="S85" s="118">
        <f t="shared" si="38"/>
        <v>193.46258093137189</v>
      </c>
      <c r="T85" s="118">
        <f t="shared" si="39"/>
        <v>216.29356874314874</v>
      </c>
      <c r="V85" s="16">
        <f t="shared" si="40"/>
        <v>3039.0100960930959</v>
      </c>
      <c r="W85" s="16">
        <f t="shared" si="41"/>
        <v>2352.7820098785255</v>
      </c>
      <c r="X85" s="16">
        <f t="shared" si="42"/>
        <v>1960.6516748987715</v>
      </c>
      <c r="Y85" s="16">
        <f t="shared" si="43"/>
        <v>1699.2314515789351</v>
      </c>
      <c r="Z85" s="16">
        <f t="shared" si="44"/>
        <v>1512.5027206361949</v>
      </c>
      <c r="AA85" s="16">
        <f t="shared" si="45"/>
        <v>1352.849655680152</v>
      </c>
      <c r="AC85" s="16">
        <f>0.5*'Gearing Calculator'!$C$15*'Gearing Calculator'!$C$20*'Gearing Calculator'!$U$20*(Forces!H85^2)</f>
        <v>60.201847886092729</v>
      </c>
      <c r="AD85" s="16">
        <f>0.5*'Gearing Calculator'!$C$15*'Gearing Calculator'!$C$20*'Gearing Calculator'!$U$20*(Forces!I85^2)</f>
        <v>100.44093024051236</v>
      </c>
      <c r="AE85" s="16">
        <f>0.5*'Gearing Calculator'!$C$15*'Gearing Calculator'!$C$20*'Gearing Calculator'!$U$20*(Forces!J85^2)</f>
        <v>144.63493954633776</v>
      </c>
      <c r="AF85" s="16">
        <f>0.5*'Gearing Calculator'!$C$15*'Gearing Calculator'!$C$20*'Gearing Calculator'!$U$20*(Forces!K85^2)</f>
        <v>192.56131004689948</v>
      </c>
      <c r="AG85" s="16">
        <f>0.5*'Gearing Calculator'!$C$15*'Gearing Calculator'!$C$20*'Gearing Calculator'!$U$20*(Forces!L85^2)</f>
        <v>243.04225095235094</v>
      </c>
      <c r="AH85" s="16">
        <f>0.5*'Gearing Calculator'!$C$15*'Gearing Calculator'!$C$20*'Gearing Calculator'!$U$20*(Forces!M85^2)</f>
        <v>303.791093355047</v>
      </c>
      <c r="AJ85" s="16">
        <f t="shared" si="46"/>
        <v>2978.8082482070031</v>
      </c>
      <c r="AK85" s="16">
        <f t="shared" si="47"/>
        <v>2252.3410796380131</v>
      </c>
      <c r="AL85" s="16">
        <f t="shared" si="48"/>
        <v>1816.0167353524337</v>
      </c>
      <c r="AM85" s="16">
        <f t="shared" si="49"/>
        <v>1506.6701415320356</v>
      </c>
      <c r="AN85" s="16">
        <f t="shared" si="50"/>
        <v>1269.4604696838439</v>
      </c>
      <c r="AO85" s="16">
        <f t="shared" si="51"/>
        <v>1049.058562325105</v>
      </c>
      <c r="AQ85" s="16">
        <f>0.5*'Gearing Calculator'!$C$15*'Gearing Calculator'!$C$20*'Gearing Calculator'!$W$20*(Forces!H85^2)</f>
        <v>75.71236764713845</v>
      </c>
      <c r="AR85" s="16">
        <f>0.5*'Gearing Calculator'!$C$15*'Gearing Calculator'!$C$20*'Gearing Calculator'!$W$20*(Forces!I85^2)</f>
        <v>126.31872449461817</v>
      </c>
      <c r="AS85" s="16">
        <f>0.5*'Gearing Calculator'!$C$15*'Gearing Calculator'!$C$20*'Gearing Calculator'!$W$20*(Forces!J85^2)</f>
        <v>181.89896327225011</v>
      </c>
      <c r="AT85" s="16">
        <f>0.5*'Gearing Calculator'!$C$15*'Gearing Calculator'!$C$20*'Gearing Calculator'!$W$20*(Forces!K85^2)</f>
        <v>242.17317595417924</v>
      </c>
      <c r="AU85" s="16">
        <f>0.5*'Gearing Calculator'!$C$15*'Gearing Calculator'!$C$20*'Gearing Calculator'!$W$20*(Forces!L85^2)</f>
        <v>305.66012346845883</v>
      </c>
      <c r="AV85" s="16">
        <f>0.5*'Gearing Calculator'!$C$15*'Gearing Calculator'!$C$20*'Gearing Calculator'!$W$20*(Forces!M85^2)</f>
        <v>382.06041435045211</v>
      </c>
      <c r="AX85" s="16">
        <f t="shared" si="52"/>
        <v>2963.2977284459575</v>
      </c>
      <c r="AY85" s="16">
        <f t="shared" si="53"/>
        <v>2226.4632853839075</v>
      </c>
      <c r="AZ85" s="16">
        <f t="shared" si="54"/>
        <v>1778.7527116265214</v>
      </c>
      <c r="BA85" s="16">
        <f t="shared" si="55"/>
        <v>1457.0582756247559</v>
      </c>
      <c r="BB85" s="16">
        <f t="shared" si="56"/>
        <v>1206.8425971677361</v>
      </c>
      <c r="BC85" s="16">
        <f t="shared" si="57"/>
        <v>970.78924132969985</v>
      </c>
    </row>
    <row r="86" spans="2:55" x14ac:dyDescent="0.25">
      <c r="B86" s="41">
        <v>13400</v>
      </c>
      <c r="C86" s="16">
        <v>109</v>
      </c>
      <c r="D86" s="65">
        <f t="shared" si="31"/>
        <v>81.281300000000002</v>
      </c>
      <c r="E86" s="16">
        <f t="shared" si="32"/>
        <v>81281.3</v>
      </c>
      <c r="F86" s="21">
        <f t="shared" si="33"/>
        <v>42.721492537313431</v>
      </c>
      <c r="H86" s="16">
        <v>26.947076516548798</v>
      </c>
      <c r="I86" s="64">
        <v>34.806640500542194</v>
      </c>
      <c r="J86" s="16">
        <v>41.767968600650626</v>
      </c>
      <c r="K86" s="64">
        <v>48.193809923827658</v>
      </c>
      <c r="L86" s="16">
        <v>54.143663000843411</v>
      </c>
      <c r="M86" s="16">
        <v>60.53328782702993</v>
      </c>
      <c r="O86" s="118">
        <f t="shared" si="34"/>
        <v>97.009475459575668</v>
      </c>
      <c r="P86" s="118">
        <f t="shared" si="35"/>
        <v>125.3039058019519</v>
      </c>
      <c r="Q86" s="118">
        <f t="shared" si="36"/>
        <v>150.36468696234226</v>
      </c>
      <c r="R86" s="118">
        <f t="shared" si="37"/>
        <v>173.49771572577959</v>
      </c>
      <c r="S86" s="118">
        <f t="shared" si="38"/>
        <v>194.91718680303629</v>
      </c>
      <c r="T86" s="118">
        <f t="shared" si="39"/>
        <v>217.91983617730776</v>
      </c>
      <c r="V86" s="16">
        <f t="shared" si="40"/>
        <v>3016.3309162715054</v>
      </c>
      <c r="W86" s="16">
        <f t="shared" si="41"/>
        <v>2335.2239351779399</v>
      </c>
      <c r="X86" s="16">
        <f t="shared" si="42"/>
        <v>1946.019945981617</v>
      </c>
      <c r="Y86" s="16">
        <f t="shared" si="43"/>
        <v>1686.5506198507342</v>
      </c>
      <c r="Z86" s="16">
        <f t="shared" si="44"/>
        <v>1501.2153869001042</v>
      </c>
      <c r="AA86" s="16">
        <f t="shared" si="45"/>
        <v>1342.7537627273148</v>
      </c>
      <c r="AC86" s="16">
        <f>0.5*'Gearing Calculator'!$C$15*'Gearing Calculator'!$C$20*'Gearing Calculator'!$U$20*(Forces!H86^2)</f>
        <v>61.110542181168022</v>
      </c>
      <c r="AD86" s="16">
        <f>0.5*'Gearing Calculator'!$C$15*'Gearing Calculator'!$C$20*'Gearing Calculator'!$U$20*(Forces!I86^2)</f>
        <v>101.95699832656676</v>
      </c>
      <c r="AE86" s="16">
        <f>0.5*'Gearing Calculator'!$C$15*'Gearing Calculator'!$C$20*'Gearing Calculator'!$U$20*(Forces!J86^2)</f>
        <v>146.81807759025611</v>
      </c>
      <c r="AF86" s="16">
        <f>0.5*'Gearing Calculator'!$C$15*'Gearing Calculator'!$C$20*'Gearing Calculator'!$U$20*(Forces!K86^2)</f>
        <v>195.46785477992685</v>
      </c>
      <c r="AG86" s="16">
        <f>0.5*'Gearing Calculator'!$C$15*'Gearing Calculator'!$C$20*'Gearing Calculator'!$U$20*(Forces!L86^2)</f>
        <v>246.71076138280353</v>
      </c>
      <c r="AH86" s="16">
        <f>0.5*'Gearing Calculator'!$C$15*'Gearing Calculator'!$C$20*'Gearing Calculator'!$U$20*(Forces!M86^2)</f>
        <v>308.37655448489033</v>
      </c>
      <c r="AJ86" s="16">
        <f t="shared" si="46"/>
        <v>2955.2203740903374</v>
      </c>
      <c r="AK86" s="16">
        <f t="shared" si="47"/>
        <v>2233.266936851373</v>
      </c>
      <c r="AL86" s="16">
        <f t="shared" si="48"/>
        <v>1799.2018683913609</v>
      </c>
      <c r="AM86" s="16">
        <f t="shared" si="49"/>
        <v>1491.0827650708072</v>
      </c>
      <c r="AN86" s="16">
        <f t="shared" si="50"/>
        <v>1254.5046255173006</v>
      </c>
      <c r="AO86" s="16">
        <f t="shared" si="51"/>
        <v>1034.3772082424243</v>
      </c>
      <c r="AQ86" s="16">
        <f>0.5*'Gearing Calculator'!$C$15*'Gearing Calculator'!$C$20*'Gearing Calculator'!$W$20*(Forces!H86^2)</f>
        <v>76.855179686359776</v>
      </c>
      <c r="AR86" s="16">
        <f>0.5*'Gearing Calculator'!$C$15*'Gearing Calculator'!$C$20*'Gearing Calculator'!$W$20*(Forces!I86^2)</f>
        <v>128.22539527533286</v>
      </c>
      <c r="AS86" s="16">
        <f>0.5*'Gearing Calculator'!$C$15*'Gearing Calculator'!$C$20*'Gearing Calculator'!$W$20*(Forces!J86^2)</f>
        <v>184.64456919647927</v>
      </c>
      <c r="AT86" s="16">
        <f>0.5*'Gearing Calculator'!$C$15*'Gearing Calculator'!$C$20*'Gearing Calculator'!$W$20*(Forces!K86^2)</f>
        <v>245.82856845685123</v>
      </c>
      <c r="AU86" s="16">
        <f>0.5*'Gearing Calculator'!$C$15*'Gearing Calculator'!$C$20*'Gearing Calculator'!$W$20*(Forces!L86^2)</f>
        <v>310.27379597487953</v>
      </c>
      <c r="AV86" s="16">
        <f>0.5*'Gearing Calculator'!$C$15*'Gearing Calculator'!$C$20*'Gearing Calculator'!$W$20*(Forces!M86^2)</f>
        <v>387.82728249628127</v>
      </c>
      <c r="AX86" s="16">
        <f t="shared" si="52"/>
        <v>2939.4757365851456</v>
      </c>
      <c r="AY86" s="16">
        <f t="shared" si="53"/>
        <v>2206.9985399026073</v>
      </c>
      <c r="AZ86" s="16">
        <f t="shared" si="54"/>
        <v>1761.3753767851376</v>
      </c>
      <c r="BA86" s="16">
        <f t="shared" si="55"/>
        <v>1440.722051393883</v>
      </c>
      <c r="BB86" s="16">
        <f t="shared" si="56"/>
        <v>1190.9415909252248</v>
      </c>
      <c r="BC86" s="16">
        <f t="shared" si="57"/>
        <v>954.92648023103357</v>
      </c>
    </row>
    <row r="87" spans="2:55" x14ac:dyDescent="0.25">
      <c r="B87" s="41">
        <v>13500</v>
      </c>
      <c r="C87" s="16">
        <v>109</v>
      </c>
      <c r="D87" s="65">
        <f t="shared" si="31"/>
        <v>81.281300000000002</v>
      </c>
      <c r="E87" s="16">
        <f t="shared" si="32"/>
        <v>81281.3</v>
      </c>
      <c r="F87" s="21">
        <f t="shared" si="33"/>
        <v>42.40503703703704</v>
      </c>
      <c r="H87" s="16">
        <v>27.148174102493194</v>
      </c>
      <c r="I87" s="64">
        <v>35.066391549053705</v>
      </c>
      <c r="J87" s="16">
        <v>42.079669858864449</v>
      </c>
      <c r="K87" s="64">
        <v>48.553465221766672</v>
      </c>
      <c r="L87" s="16">
        <v>54.547720187416871</v>
      </c>
      <c r="M87" s="16">
        <v>60.985028780962992</v>
      </c>
      <c r="O87" s="118">
        <f t="shared" si="34"/>
        <v>97.733426768975505</v>
      </c>
      <c r="P87" s="118">
        <f t="shared" si="35"/>
        <v>126.23900957659335</v>
      </c>
      <c r="Q87" s="118">
        <f t="shared" si="36"/>
        <v>151.48681149191202</v>
      </c>
      <c r="R87" s="118">
        <f t="shared" si="37"/>
        <v>174.79247479836002</v>
      </c>
      <c r="S87" s="118">
        <f t="shared" si="38"/>
        <v>196.37179267470074</v>
      </c>
      <c r="T87" s="118">
        <f t="shared" si="39"/>
        <v>219.54610361146678</v>
      </c>
      <c r="V87" s="16">
        <f t="shared" si="40"/>
        <v>2993.9877242991238</v>
      </c>
      <c r="W87" s="16">
        <f t="shared" si="41"/>
        <v>2317.9259801025478</v>
      </c>
      <c r="X87" s="16">
        <f t="shared" si="42"/>
        <v>1931.6049834187895</v>
      </c>
      <c r="Y87" s="16">
        <f t="shared" si="43"/>
        <v>1674.0576522962842</v>
      </c>
      <c r="Z87" s="16">
        <f t="shared" si="44"/>
        <v>1490.0952729230664</v>
      </c>
      <c r="AA87" s="16">
        <f t="shared" si="45"/>
        <v>1332.8074385589643</v>
      </c>
      <c r="AC87" s="16">
        <f>0.5*'Gearing Calculator'!$C$15*'Gearing Calculator'!$C$20*'Gearing Calculator'!$U$20*(Forces!H87^2)</f>
        <v>62.026043175082826</v>
      </c>
      <c r="AD87" s="16">
        <f>0.5*'Gearing Calculator'!$C$15*'Gearing Calculator'!$C$20*'Gearing Calculator'!$U$20*(Forces!I87^2)</f>
        <v>103.48442272787256</v>
      </c>
      <c r="AE87" s="16">
        <f>0.5*'Gearing Calculator'!$C$15*'Gearing Calculator'!$C$20*'Gearing Calculator'!$U$20*(Forces!J87^2)</f>
        <v>149.0175687281365</v>
      </c>
      <c r="AF87" s="16">
        <f>0.5*'Gearing Calculator'!$C$15*'Gearing Calculator'!$C$20*'Gearing Calculator'!$U$20*(Forces!K87^2)</f>
        <v>198.39617138361368</v>
      </c>
      <c r="AG87" s="16">
        <f>0.5*'Gearing Calculator'!$C$15*'Gearing Calculator'!$C$20*'Gearing Calculator'!$U$20*(Forces!L87^2)</f>
        <v>250.40675129213602</v>
      </c>
      <c r="AH87" s="16">
        <f>0.5*'Gearing Calculator'!$C$15*'Gearing Calculator'!$C$20*'Gearing Calculator'!$U$20*(Forces!M87^2)</f>
        <v>312.99636363817814</v>
      </c>
      <c r="AJ87" s="16">
        <f t="shared" si="46"/>
        <v>2931.9616811240408</v>
      </c>
      <c r="AK87" s="16">
        <f t="shared" si="47"/>
        <v>2214.4415573746751</v>
      </c>
      <c r="AL87" s="16">
        <f t="shared" si="48"/>
        <v>1782.5874146906531</v>
      </c>
      <c r="AM87" s="16">
        <f t="shared" si="49"/>
        <v>1475.6614809126706</v>
      </c>
      <c r="AN87" s="16">
        <f t="shared" si="50"/>
        <v>1239.6885216309304</v>
      </c>
      <c r="AO87" s="16">
        <f t="shared" si="51"/>
        <v>1019.8110749207863</v>
      </c>
      <c r="AQ87" s="16">
        <f>0.5*'Gearing Calculator'!$C$15*'Gearing Calculator'!$C$20*'Gearing Calculator'!$W$20*(Forces!H87^2)</f>
        <v>78.006552115388004</v>
      </c>
      <c r="AR87" s="16">
        <f>0.5*'Gearing Calculator'!$C$15*'Gearing Calculator'!$C$20*'Gearing Calculator'!$W$20*(Forces!I87^2)</f>
        <v>130.14634823418032</v>
      </c>
      <c r="AS87" s="16">
        <f>0.5*'Gearing Calculator'!$C$15*'Gearing Calculator'!$C$20*'Gearing Calculator'!$W$20*(Forces!J87^2)</f>
        <v>187.4107414572197</v>
      </c>
      <c r="AT87" s="16">
        <f>0.5*'Gearing Calculator'!$C$15*'Gearing Calculator'!$C$20*'Gearing Calculator'!$W$20*(Forces!K87^2)</f>
        <v>249.51134217677179</v>
      </c>
      <c r="AU87" s="16">
        <f>0.5*'Gearing Calculator'!$C$15*'Gearing Calculator'!$C$20*'Gearing Calculator'!$W$20*(Forces!L87^2)</f>
        <v>314.92202782591778</v>
      </c>
      <c r="AV87" s="16">
        <f>0.5*'Gearing Calculator'!$C$15*'Gearing Calculator'!$C$20*'Gearing Calculator'!$W$20*(Forces!M87^2)</f>
        <v>393.63734815631136</v>
      </c>
      <c r="AX87" s="16">
        <f t="shared" si="52"/>
        <v>2915.9811721837359</v>
      </c>
      <c r="AY87" s="16">
        <f t="shared" si="53"/>
        <v>2187.7796318683677</v>
      </c>
      <c r="AZ87" s="16">
        <f t="shared" si="54"/>
        <v>1744.1942419615698</v>
      </c>
      <c r="BA87" s="16">
        <f t="shared" si="55"/>
        <v>1424.5463101195123</v>
      </c>
      <c r="BB87" s="16">
        <f t="shared" si="56"/>
        <v>1175.1732450971485</v>
      </c>
      <c r="BC87" s="16">
        <f t="shared" si="57"/>
        <v>939.17009040265293</v>
      </c>
    </row>
    <row r="88" spans="2:55" x14ac:dyDescent="0.25">
      <c r="B88" s="41">
        <v>13600</v>
      </c>
      <c r="C88" s="16">
        <v>109</v>
      </c>
      <c r="D88" s="65">
        <f t="shared" si="31"/>
        <v>81.281300000000002</v>
      </c>
      <c r="E88" s="16">
        <f t="shared" si="32"/>
        <v>81281.3</v>
      </c>
      <c r="F88" s="21">
        <f t="shared" si="33"/>
        <v>42.093235294117648</v>
      </c>
      <c r="H88" s="16">
        <v>27.349271688437586</v>
      </c>
      <c r="I88" s="64">
        <v>35.326142597565223</v>
      </c>
      <c r="J88" s="16">
        <v>42.391371117078258</v>
      </c>
      <c r="K88" s="64">
        <v>48.913120519705693</v>
      </c>
      <c r="L88" s="16">
        <v>54.951777373990332</v>
      </c>
      <c r="M88" s="16">
        <v>61.436769734896039</v>
      </c>
      <c r="O88" s="118">
        <f t="shared" si="34"/>
        <v>98.457378078375314</v>
      </c>
      <c r="P88" s="118">
        <f t="shared" si="35"/>
        <v>127.17411335123481</v>
      </c>
      <c r="Q88" s="118">
        <f t="shared" si="36"/>
        <v>152.60893602148172</v>
      </c>
      <c r="R88" s="118">
        <f t="shared" si="37"/>
        <v>176.08723387094051</v>
      </c>
      <c r="S88" s="118">
        <f t="shared" si="38"/>
        <v>197.8263985463652</v>
      </c>
      <c r="T88" s="118">
        <f t="shared" si="39"/>
        <v>221.17237104562574</v>
      </c>
      <c r="V88" s="16">
        <f t="shared" si="40"/>
        <v>2971.9731086792776</v>
      </c>
      <c r="W88" s="16">
        <f t="shared" si="41"/>
        <v>2300.88240671944</v>
      </c>
      <c r="X88" s="16">
        <f t="shared" si="42"/>
        <v>1917.4020055995338</v>
      </c>
      <c r="Y88" s="16">
        <f t="shared" si="43"/>
        <v>1661.7484048529291</v>
      </c>
      <c r="Z88" s="16">
        <f t="shared" si="44"/>
        <v>1479.1386900339262</v>
      </c>
      <c r="AA88" s="16">
        <f t="shared" si="45"/>
        <v>1323.0073838636781</v>
      </c>
      <c r="AC88" s="16">
        <f>0.5*'Gearing Calculator'!$C$15*'Gearing Calculator'!$C$20*'Gearing Calculator'!$U$20*(Forces!H88^2)</f>
        <v>62.948350867837142</v>
      </c>
      <c r="AD88" s="16">
        <f>0.5*'Gearing Calculator'!$C$15*'Gearing Calculator'!$C$20*'Gearing Calculator'!$U$20*(Forces!I88^2)</f>
        <v>105.02320344442973</v>
      </c>
      <c r="AE88" s="16">
        <f>0.5*'Gearing Calculator'!$C$15*'Gearing Calculator'!$C$20*'Gearing Calculator'!$U$20*(Forces!J88^2)</f>
        <v>151.23341295997872</v>
      </c>
      <c r="AF88" s="16">
        <f>0.5*'Gearing Calculator'!$C$15*'Gearing Calculator'!$C$20*'Gearing Calculator'!$U$20*(Forces!K88^2)</f>
        <v>201.34625985795992</v>
      </c>
      <c r="AG88" s="16">
        <f>0.5*'Gearing Calculator'!$C$15*'Gearing Calculator'!$C$20*'Gearing Calculator'!$U$20*(Forces!L88^2)</f>
        <v>254.13022068034834</v>
      </c>
      <c r="AH88" s="16">
        <f>0.5*'Gearing Calculator'!$C$15*'Gearing Calculator'!$C$20*'Gearing Calculator'!$U$20*(Forces!M88^2)</f>
        <v>317.65052081491029</v>
      </c>
      <c r="AJ88" s="16">
        <f t="shared" si="46"/>
        <v>2909.0247578114404</v>
      </c>
      <c r="AK88" s="16">
        <f t="shared" si="47"/>
        <v>2195.8592032750103</v>
      </c>
      <c r="AL88" s="16">
        <f t="shared" si="48"/>
        <v>1766.1685926395551</v>
      </c>
      <c r="AM88" s="16">
        <f t="shared" si="49"/>
        <v>1460.4021449949691</v>
      </c>
      <c r="AN88" s="16">
        <f t="shared" si="50"/>
        <v>1225.0084693535778</v>
      </c>
      <c r="AO88" s="16">
        <f t="shared" si="51"/>
        <v>1005.3568630487678</v>
      </c>
      <c r="AQ88" s="16">
        <f>0.5*'Gearing Calculator'!$C$15*'Gearing Calculator'!$C$20*'Gearing Calculator'!$W$20*(Forces!H88^2)</f>
        <v>79.166484934223121</v>
      </c>
      <c r="AR88" s="16">
        <f>0.5*'Gearing Calculator'!$C$15*'Gearing Calculator'!$C$20*'Gearing Calculator'!$W$20*(Forces!I88^2)</f>
        <v>132.08158337116052</v>
      </c>
      <c r="AS88" s="16">
        <f>0.5*'Gearing Calculator'!$C$15*'Gearing Calculator'!$C$20*'Gearing Calculator'!$W$20*(Forces!J88^2)</f>
        <v>190.19748005447107</v>
      </c>
      <c r="AT88" s="16">
        <f>0.5*'Gearing Calculator'!$C$15*'Gearing Calculator'!$C$20*'Gearing Calculator'!$W$20*(Forces!K88^2)</f>
        <v>253.22149711394087</v>
      </c>
      <c r="AU88" s="16">
        <f>0.5*'Gearing Calculator'!$C$15*'Gearing Calculator'!$C$20*'Gearing Calculator'!$W$20*(Forces!L88^2)</f>
        <v>319.60481902157346</v>
      </c>
      <c r="AV88" s="16">
        <f>0.5*'Gearing Calculator'!$C$15*'Gearing Calculator'!$C$20*'Gearing Calculator'!$W$20*(Forces!M88^2)</f>
        <v>399.49061133054221</v>
      </c>
      <c r="AX88" s="16">
        <f t="shared" si="52"/>
        <v>2892.8066237450544</v>
      </c>
      <c r="AY88" s="16">
        <f t="shared" si="53"/>
        <v>2168.8008233482797</v>
      </c>
      <c r="AZ88" s="16">
        <f t="shared" si="54"/>
        <v>1727.2045255450628</v>
      </c>
      <c r="BA88" s="16">
        <f t="shared" si="55"/>
        <v>1408.5269077389883</v>
      </c>
      <c r="BB88" s="16">
        <f t="shared" si="56"/>
        <v>1159.5338710123528</v>
      </c>
      <c r="BC88" s="16">
        <f t="shared" si="57"/>
        <v>923.51677253313596</v>
      </c>
    </row>
    <row r="89" spans="2:55" x14ac:dyDescent="0.25">
      <c r="B89" s="41">
        <v>13700</v>
      </c>
      <c r="C89" s="16">
        <v>109</v>
      </c>
      <c r="D89" s="65">
        <f t="shared" si="31"/>
        <v>81.281300000000002</v>
      </c>
      <c r="E89" s="16">
        <f t="shared" si="32"/>
        <v>81281.3</v>
      </c>
      <c r="F89" s="21">
        <f t="shared" si="33"/>
        <v>41.785985401459854</v>
      </c>
      <c r="H89" s="16">
        <v>27.550369274381982</v>
      </c>
      <c r="I89" s="64">
        <v>35.585893646076734</v>
      </c>
      <c r="J89" s="16">
        <v>42.703072375292066</v>
      </c>
      <c r="K89" s="64">
        <v>49.272775817644693</v>
      </c>
      <c r="L89" s="16">
        <v>55.355834560563792</v>
      </c>
      <c r="M89" s="16">
        <v>61.888510688829101</v>
      </c>
      <c r="O89" s="118">
        <f t="shared" si="34"/>
        <v>99.181329387775136</v>
      </c>
      <c r="P89" s="118">
        <f t="shared" si="35"/>
        <v>128.10921712587626</v>
      </c>
      <c r="Q89" s="118">
        <f t="shared" si="36"/>
        <v>153.73106055105146</v>
      </c>
      <c r="R89" s="118">
        <f t="shared" si="37"/>
        <v>177.38199294352088</v>
      </c>
      <c r="S89" s="118">
        <f t="shared" si="38"/>
        <v>199.28100441802965</v>
      </c>
      <c r="T89" s="118">
        <f t="shared" si="39"/>
        <v>222.79863847978476</v>
      </c>
      <c r="V89" s="16">
        <f t="shared" si="40"/>
        <v>2950.2798743093554</v>
      </c>
      <c r="W89" s="16">
        <f t="shared" si="41"/>
        <v>2284.0876446265975</v>
      </c>
      <c r="X89" s="16">
        <f t="shared" si="42"/>
        <v>1903.4063705221652</v>
      </c>
      <c r="Y89" s="16">
        <f t="shared" si="43"/>
        <v>1649.618854452543</v>
      </c>
      <c r="Z89" s="16">
        <f t="shared" si="44"/>
        <v>1468.3420572599559</v>
      </c>
      <c r="AA89" s="16">
        <f t="shared" si="45"/>
        <v>1313.3503956602935</v>
      </c>
      <c r="AC89" s="16">
        <f>0.5*'Gearing Calculator'!$C$15*'Gearing Calculator'!$C$20*'Gearing Calculator'!$U$20*(Forces!H89^2)</f>
        <v>63.877465259430984</v>
      </c>
      <c r="AD89" s="16">
        <f>0.5*'Gearing Calculator'!$C$15*'Gearing Calculator'!$C$20*'Gearing Calculator'!$U$20*(Forces!I89^2)</f>
        <v>106.57334047623819</v>
      </c>
      <c r="AE89" s="16">
        <f>0.5*'Gearing Calculator'!$C$15*'Gearing Calculator'!$C$20*'Gearing Calculator'!$U$20*(Forces!J89^2)</f>
        <v>153.4656102857829</v>
      </c>
      <c r="AF89" s="16">
        <f>0.5*'Gearing Calculator'!$C$15*'Gearing Calculator'!$C$20*'Gearing Calculator'!$U$20*(Forces!K89^2)</f>
        <v>204.31812020296542</v>
      </c>
      <c r="AG89" s="16">
        <f>0.5*'Gearing Calculator'!$C$15*'Gearing Calculator'!$C$20*'Gearing Calculator'!$U$20*(Forces!L89^2)</f>
        <v>257.88116954744044</v>
      </c>
      <c r="AH89" s="16">
        <f>0.5*'Gearing Calculator'!$C$15*'Gearing Calculator'!$C$20*'Gearing Calculator'!$U$20*(Forces!M89^2)</f>
        <v>322.33902601508714</v>
      </c>
      <c r="AJ89" s="16">
        <f t="shared" si="46"/>
        <v>2886.4024090499242</v>
      </c>
      <c r="AK89" s="16">
        <f t="shared" si="47"/>
        <v>2177.5143041503593</v>
      </c>
      <c r="AL89" s="16">
        <f t="shared" si="48"/>
        <v>1749.9407602363822</v>
      </c>
      <c r="AM89" s="16">
        <f t="shared" si="49"/>
        <v>1445.3007342495775</v>
      </c>
      <c r="AN89" s="16">
        <f t="shared" si="50"/>
        <v>1210.4608877125156</v>
      </c>
      <c r="AO89" s="16">
        <f t="shared" si="51"/>
        <v>991.0113696452064</v>
      </c>
      <c r="AQ89" s="16">
        <f>0.5*'Gearing Calculator'!$C$15*'Gearing Calculator'!$C$20*'Gearing Calculator'!$W$20*(Forces!H89^2)</f>
        <v>80.334978142865154</v>
      </c>
      <c r="AR89" s="16">
        <f>0.5*'Gearing Calculator'!$C$15*'Gearing Calculator'!$C$20*'Gearing Calculator'!$W$20*(Forces!I89^2)</f>
        <v>134.03110068627336</v>
      </c>
      <c r="AS89" s="16">
        <f>0.5*'Gearing Calculator'!$C$15*'Gearing Calculator'!$C$20*'Gearing Calculator'!$W$20*(Forces!J89^2)</f>
        <v>193.0047849882335</v>
      </c>
      <c r="AT89" s="16">
        <f>0.5*'Gearing Calculator'!$C$15*'Gearing Calculator'!$C$20*'Gearing Calculator'!$W$20*(Forces!K89^2)</f>
        <v>256.95903326835821</v>
      </c>
      <c r="AU89" s="16">
        <f>0.5*'Gearing Calculator'!$C$15*'Gearing Calculator'!$C$20*'Gearing Calculator'!$W$20*(Forces!L89^2)</f>
        <v>324.32216956184647</v>
      </c>
      <c r="AV89" s="16">
        <f>0.5*'Gearing Calculator'!$C$15*'Gearing Calculator'!$C$20*'Gearing Calculator'!$W$20*(Forces!M89^2)</f>
        <v>405.38707201897421</v>
      </c>
      <c r="AX89" s="16">
        <f t="shared" si="52"/>
        <v>2869.9448961664903</v>
      </c>
      <c r="AY89" s="16">
        <f t="shared" si="53"/>
        <v>2150.056543940324</v>
      </c>
      <c r="AZ89" s="16">
        <f t="shared" si="54"/>
        <v>1710.4015855339317</v>
      </c>
      <c r="BA89" s="16">
        <f t="shared" si="55"/>
        <v>1392.6598211841847</v>
      </c>
      <c r="BB89" s="16">
        <f t="shared" si="56"/>
        <v>1144.0198876981094</v>
      </c>
      <c r="BC89" s="16">
        <f t="shared" si="57"/>
        <v>907.96332364131933</v>
      </c>
    </row>
    <row r="90" spans="2:55" x14ac:dyDescent="0.25">
      <c r="B90" s="41">
        <v>13800</v>
      </c>
      <c r="C90" s="16">
        <v>109.5</v>
      </c>
      <c r="D90" s="65">
        <f t="shared" si="31"/>
        <v>81.654150000000001</v>
      </c>
      <c r="E90" s="16">
        <f t="shared" si="32"/>
        <v>81654.149999999994</v>
      </c>
      <c r="F90" s="21">
        <f t="shared" si="33"/>
        <v>41.673478260869565</v>
      </c>
      <c r="H90" s="16">
        <v>27.751466860326378</v>
      </c>
      <c r="I90" s="64">
        <v>35.845644694588238</v>
      </c>
      <c r="J90" s="16">
        <v>43.014773633505882</v>
      </c>
      <c r="K90" s="64">
        <v>49.632431115583699</v>
      </c>
      <c r="L90" s="16">
        <v>55.759891747137246</v>
      </c>
      <c r="M90" s="16">
        <v>62.340251642762162</v>
      </c>
      <c r="O90" s="118">
        <f t="shared" si="34"/>
        <v>99.905280697174959</v>
      </c>
      <c r="P90" s="118">
        <f t="shared" si="35"/>
        <v>129.04432090051765</v>
      </c>
      <c r="Q90" s="118">
        <f t="shared" si="36"/>
        <v>154.85318508062119</v>
      </c>
      <c r="R90" s="118">
        <f t="shared" si="37"/>
        <v>178.67675201610132</v>
      </c>
      <c r="S90" s="118">
        <f t="shared" si="38"/>
        <v>200.73561028969408</v>
      </c>
      <c r="T90" s="118">
        <f t="shared" si="39"/>
        <v>224.42490591394377</v>
      </c>
      <c r="V90" s="16">
        <f t="shared" si="40"/>
        <v>2942.3363604874212</v>
      </c>
      <c r="W90" s="16">
        <f t="shared" si="41"/>
        <v>2277.9378274741325</v>
      </c>
      <c r="X90" s="16">
        <f t="shared" si="42"/>
        <v>1898.2815228951106</v>
      </c>
      <c r="Y90" s="16">
        <f t="shared" si="43"/>
        <v>1645.1773198424296</v>
      </c>
      <c r="Z90" s="16">
        <f t="shared" si="44"/>
        <v>1464.3886033762283</v>
      </c>
      <c r="AA90" s="16">
        <f t="shared" si="45"/>
        <v>1309.8142507976261</v>
      </c>
      <c r="AC90" s="16">
        <f>0.5*'Gearing Calculator'!$C$15*'Gearing Calculator'!$C$20*'Gearing Calculator'!$U$20*(Forces!H90^2)</f>
        <v>64.813386349864345</v>
      </c>
      <c r="AD90" s="16">
        <f>0.5*'Gearing Calculator'!$C$15*'Gearing Calculator'!$C$20*'Gearing Calculator'!$U$20*(Forces!I90^2)</f>
        <v>108.13483382329797</v>
      </c>
      <c r="AE90" s="16">
        <f>0.5*'Gearing Calculator'!$C$15*'Gearing Calculator'!$C$20*'Gearing Calculator'!$U$20*(Forces!J90^2)</f>
        <v>155.71416070554906</v>
      </c>
      <c r="AF90" s="16">
        <f>0.5*'Gearing Calculator'!$C$15*'Gearing Calculator'!$C$20*'Gearing Calculator'!$U$20*(Forces!K90^2)</f>
        <v>207.31175241863033</v>
      </c>
      <c r="AG90" s="16">
        <f>0.5*'Gearing Calculator'!$C$15*'Gearing Calculator'!$C$20*'Gearing Calculator'!$U$20*(Forces!L90^2)</f>
        <v>261.65959789341224</v>
      </c>
      <c r="AH90" s="16">
        <f>0.5*'Gearing Calculator'!$C$15*'Gearing Calculator'!$C$20*'Gearing Calculator'!$U$20*(Forces!M90^2)</f>
        <v>327.06187923870851</v>
      </c>
      <c r="AJ90" s="16">
        <f t="shared" si="46"/>
        <v>2877.522974137557</v>
      </c>
      <c r="AK90" s="16">
        <f t="shared" si="47"/>
        <v>2169.8029936508347</v>
      </c>
      <c r="AL90" s="16">
        <f t="shared" si="48"/>
        <v>1742.5673621895614</v>
      </c>
      <c r="AM90" s="16">
        <f t="shared" si="49"/>
        <v>1437.8655674237993</v>
      </c>
      <c r="AN90" s="16">
        <f t="shared" si="50"/>
        <v>1202.7290054828161</v>
      </c>
      <c r="AO90" s="16">
        <f t="shared" si="51"/>
        <v>982.7523715589175</v>
      </c>
      <c r="AQ90" s="16">
        <f>0.5*'Gearing Calculator'!$C$15*'Gearing Calculator'!$C$20*'Gearing Calculator'!$W$20*(Forces!H90^2)</f>
        <v>81.512031741314104</v>
      </c>
      <c r="AR90" s="16">
        <f>0.5*'Gearing Calculator'!$C$15*'Gearing Calculator'!$C$20*'Gearing Calculator'!$W$20*(Forces!I90^2)</f>
        <v>135.99490017951882</v>
      </c>
      <c r="AS90" s="16">
        <f>0.5*'Gearing Calculator'!$C$15*'Gearing Calculator'!$C$20*'Gearing Calculator'!$W$20*(Forces!J90^2)</f>
        <v>195.83265625850711</v>
      </c>
      <c r="AT90" s="16">
        <f>0.5*'Gearing Calculator'!$C$15*'Gearing Calculator'!$C$20*'Gearing Calculator'!$W$20*(Forces!K90^2)</f>
        <v>260.72395064002416</v>
      </c>
      <c r="AU90" s="16">
        <f>0.5*'Gearing Calculator'!$C$15*'Gearing Calculator'!$C$20*'Gearing Calculator'!$W$20*(Forces!L90^2)</f>
        <v>329.07407944673679</v>
      </c>
      <c r="AV90" s="16">
        <f>0.5*'Gearing Calculator'!$C$15*'Gearing Calculator'!$C$20*'Gearing Calculator'!$W$20*(Forces!M90^2)</f>
        <v>411.32673022160719</v>
      </c>
      <c r="AX90" s="16">
        <f t="shared" si="52"/>
        <v>2860.8243287461073</v>
      </c>
      <c r="AY90" s="16">
        <f t="shared" si="53"/>
        <v>2141.9429272946136</v>
      </c>
      <c r="AZ90" s="16">
        <f t="shared" si="54"/>
        <v>1702.4488666366035</v>
      </c>
      <c r="BA90" s="16">
        <f t="shared" si="55"/>
        <v>1384.4533692024054</v>
      </c>
      <c r="BB90" s="16">
        <f t="shared" si="56"/>
        <v>1135.3145239294915</v>
      </c>
      <c r="BC90" s="16">
        <f t="shared" si="57"/>
        <v>898.48752057601882</v>
      </c>
    </row>
    <row r="91" spans="2:55" x14ac:dyDescent="0.25">
      <c r="B91" s="41">
        <v>13900</v>
      </c>
      <c r="C91" s="16">
        <v>110</v>
      </c>
      <c r="D91" s="65">
        <f t="shared" si="31"/>
        <v>82.027000000000001</v>
      </c>
      <c r="E91" s="16">
        <f t="shared" si="32"/>
        <v>82027</v>
      </c>
      <c r="F91" s="21">
        <f t="shared" si="33"/>
        <v>41.562589928057555</v>
      </c>
      <c r="H91" s="16">
        <v>27.952564446270767</v>
      </c>
      <c r="I91" s="64">
        <v>36.105395743099741</v>
      </c>
      <c r="J91" s="16">
        <v>43.326474891719698</v>
      </c>
      <c r="K91" s="64">
        <v>49.992086413522721</v>
      </c>
      <c r="L91" s="16">
        <v>56.163948933710707</v>
      </c>
      <c r="M91" s="16">
        <v>62.791992596695223</v>
      </c>
      <c r="O91" s="118">
        <f t="shared" si="34"/>
        <v>100.62923200657477</v>
      </c>
      <c r="P91" s="118">
        <f t="shared" si="35"/>
        <v>129.97942467515907</v>
      </c>
      <c r="Q91" s="118">
        <f t="shared" si="36"/>
        <v>155.97530961019092</v>
      </c>
      <c r="R91" s="118">
        <f t="shared" si="37"/>
        <v>179.97151108868181</v>
      </c>
      <c r="S91" s="118">
        <f t="shared" si="38"/>
        <v>202.19021616135853</v>
      </c>
      <c r="T91" s="118">
        <f t="shared" si="39"/>
        <v>226.05117334810282</v>
      </c>
      <c r="V91" s="16">
        <f t="shared" si="40"/>
        <v>2934.5071418283937</v>
      </c>
      <c r="W91" s="16">
        <f t="shared" si="41"/>
        <v>2271.8764968994014</v>
      </c>
      <c r="X91" s="16">
        <f t="shared" si="42"/>
        <v>1893.2304140828342</v>
      </c>
      <c r="Y91" s="16">
        <f t="shared" si="43"/>
        <v>1640.7996922051232</v>
      </c>
      <c r="Z91" s="16">
        <f t="shared" si="44"/>
        <v>1460.4920337210438</v>
      </c>
      <c r="AA91" s="16">
        <f t="shared" si="45"/>
        <v>1306.3289857171553</v>
      </c>
      <c r="AC91" s="16">
        <f>0.5*'Gearing Calculator'!$C$15*'Gearing Calculator'!$C$20*'Gearing Calculator'!$U$20*(Forces!H91^2)</f>
        <v>65.756114139137182</v>
      </c>
      <c r="AD91" s="16">
        <f>0.5*'Gearing Calculator'!$C$15*'Gearing Calculator'!$C$20*'Gearing Calculator'!$U$20*(Forces!I91^2)</f>
        <v>109.70768348560908</v>
      </c>
      <c r="AE91" s="16">
        <f>0.5*'Gearing Calculator'!$C$15*'Gearing Calculator'!$C$20*'Gearing Calculator'!$U$20*(Forces!J91^2)</f>
        <v>157.97906421927715</v>
      </c>
      <c r="AF91" s="16">
        <f>0.5*'Gearing Calculator'!$C$15*'Gearing Calculator'!$C$20*'Gearing Calculator'!$U$20*(Forces!K91^2)</f>
        <v>210.32715650495473</v>
      </c>
      <c r="AG91" s="16">
        <f>0.5*'Gearing Calculator'!$C$15*'Gearing Calculator'!$C$20*'Gearing Calculator'!$U$20*(Forces!L91^2)</f>
        <v>265.46550571826396</v>
      </c>
      <c r="AH91" s="16">
        <f>0.5*'Gearing Calculator'!$C$15*'Gearing Calculator'!$C$20*'Gearing Calculator'!$U$20*(Forces!M91^2)</f>
        <v>331.81908048577441</v>
      </c>
      <c r="AJ91" s="16">
        <f t="shared" si="46"/>
        <v>2868.7510276892567</v>
      </c>
      <c r="AK91" s="16">
        <f t="shared" si="47"/>
        <v>2162.1688134137926</v>
      </c>
      <c r="AL91" s="16">
        <f t="shared" si="48"/>
        <v>1735.2513498635569</v>
      </c>
      <c r="AM91" s="16">
        <f t="shared" si="49"/>
        <v>1430.4725357001685</v>
      </c>
      <c r="AN91" s="16">
        <f t="shared" si="50"/>
        <v>1195.0265280027797</v>
      </c>
      <c r="AO91" s="16">
        <f t="shared" si="51"/>
        <v>974.50990523138091</v>
      </c>
      <c r="AQ91" s="16">
        <f>0.5*'Gearing Calculator'!$C$15*'Gearing Calculator'!$C$20*'Gearing Calculator'!$W$20*(Forces!H91^2)</f>
        <v>82.697645729569899</v>
      </c>
      <c r="AR91" s="16">
        <f>0.5*'Gearing Calculator'!$C$15*'Gearing Calculator'!$C$20*'Gearing Calculator'!$W$20*(Forces!I91^2)</f>
        <v>137.97298185089701</v>
      </c>
      <c r="AS91" s="16">
        <f>0.5*'Gearing Calculator'!$C$15*'Gearing Calculator'!$C$20*'Gearing Calculator'!$W$20*(Forces!J91^2)</f>
        <v>198.68109386529179</v>
      </c>
      <c r="AT91" s="16">
        <f>0.5*'Gearing Calculator'!$C$15*'Gearing Calculator'!$C$20*'Gearing Calculator'!$W$20*(Forces!K91^2)</f>
        <v>264.5162492289387</v>
      </c>
      <c r="AU91" s="16">
        <f>0.5*'Gearing Calculator'!$C$15*'Gearing Calculator'!$C$20*'Gearing Calculator'!$W$20*(Forces!L91^2)</f>
        <v>333.8605486762446</v>
      </c>
      <c r="AV91" s="16">
        <f>0.5*'Gearing Calculator'!$C$15*'Gearing Calculator'!$C$20*'Gearing Calculator'!$W$20*(Forces!M91^2)</f>
        <v>417.3095859384411</v>
      </c>
      <c r="AX91" s="16">
        <f t="shared" si="52"/>
        <v>2851.8094960988237</v>
      </c>
      <c r="AY91" s="16">
        <f t="shared" si="53"/>
        <v>2133.9035150485042</v>
      </c>
      <c r="AZ91" s="16">
        <f t="shared" si="54"/>
        <v>1694.5493202175423</v>
      </c>
      <c r="BA91" s="16">
        <f t="shared" si="55"/>
        <v>1376.2834429761845</v>
      </c>
      <c r="BB91" s="16">
        <f t="shared" si="56"/>
        <v>1126.6314850447991</v>
      </c>
      <c r="BC91" s="16">
        <f t="shared" si="57"/>
        <v>889.01939977871416</v>
      </c>
    </row>
    <row r="92" spans="2:55" x14ac:dyDescent="0.25">
      <c r="B92" s="41">
        <v>14000</v>
      </c>
      <c r="C92" s="16">
        <v>111</v>
      </c>
      <c r="D92" s="65">
        <f t="shared" si="31"/>
        <v>82.7727</v>
      </c>
      <c r="E92" s="16">
        <f t="shared" si="32"/>
        <v>82772.7</v>
      </c>
      <c r="F92" s="21">
        <f t="shared" si="33"/>
        <v>41.640857142857143</v>
      </c>
      <c r="H92" s="16">
        <v>28.153662032215159</v>
      </c>
      <c r="I92" s="64">
        <v>36.365146791611252</v>
      </c>
      <c r="J92" s="16">
        <v>43.638176149933507</v>
      </c>
      <c r="K92" s="64">
        <v>50.351741711461734</v>
      </c>
      <c r="L92" s="16">
        <v>56.568006120284167</v>
      </c>
      <c r="M92" s="16">
        <v>63.243733550628285</v>
      </c>
      <c r="O92" s="118">
        <f t="shared" si="34"/>
        <v>101.35318331597458</v>
      </c>
      <c r="P92" s="118">
        <f t="shared" si="35"/>
        <v>130.91452844980051</v>
      </c>
      <c r="Q92" s="118">
        <f t="shared" si="36"/>
        <v>157.09743413976062</v>
      </c>
      <c r="R92" s="118">
        <f t="shared" si="37"/>
        <v>181.26627016126224</v>
      </c>
      <c r="S92" s="118">
        <f t="shared" si="38"/>
        <v>203.64482203302302</v>
      </c>
      <c r="T92" s="118">
        <f t="shared" si="39"/>
        <v>227.67744078226184</v>
      </c>
      <c r="V92" s="16">
        <f t="shared" si="40"/>
        <v>2940.0331617707975</v>
      </c>
      <c r="W92" s="16">
        <f t="shared" si="41"/>
        <v>2276.1547058870688</v>
      </c>
      <c r="X92" s="16">
        <f t="shared" si="42"/>
        <v>1896.7955882392239</v>
      </c>
      <c r="Y92" s="16">
        <f t="shared" si="43"/>
        <v>1643.8895098073276</v>
      </c>
      <c r="Z92" s="16">
        <f t="shared" si="44"/>
        <v>1463.2423109274016</v>
      </c>
      <c r="AA92" s="16">
        <f t="shared" si="45"/>
        <v>1308.7889558850643</v>
      </c>
      <c r="AC92" s="16">
        <f>0.5*'Gearing Calculator'!$C$15*'Gearing Calculator'!$C$20*'Gearing Calculator'!$U$20*(Forces!H92^2)</f>
        <v>66.705648627249559</v>
      </c>
      <c r="AD92" s="16">
        <f>0.5*'Gearing Calculator'!$C$15*'Gearing Calculator'!$C$20*'Gearing Calculator'!$U$20*(Forces!I92^2)</f>
        <v>111.2918894631716</v>
      </c>
      <c r="AE92" s="16">
        <f>0.5*'Gearing Calculator'!$C$15*'Gearing Calculator'!$C$20*'Gearing Calculator'!$U$20*(Forces!J92^2)</f>
        <v>160.26032082696713</v>
      </c>
      <c r="AF92" s="16">
        <f>0.5*'Gearing Calculator'!$C$15*'Gearing Calculator'!$C$20*'Gearing Calculator'!$U$20*(Forces!K92^2)</f>
        <v>213.36433246193843</v>
      </c>
      <c r="AG92" s="16">
        <f>0.5*'Gearing Calculator'!$C$15*'Gearing Calculator'!$C$20*'Gearing Calculator'!$U$20*(Forces!L92^2)</f>
        <v>269.29889302199547</v>
      </c>
      <c r="AH92" s="16">
        <f>0.5*'Gearing Calculator'!$C$15*'Gearing Calculator'!$C$20*'Gearing Calculator'!$U$20*(Forces!M92^2)</f>
        <v>336.61062975628482</v>
      </c>
      <c r="AJ92" s="16">
        <f t="shared" si="46"/>
        <v>2873.327513143548</v>
      </c>
      <c r="AK92" s="16">
        <f t="shared" si="47"/>
        <v>2164.8628164238971</v>
      </c>
      <c r="AL92" s="16">
        <f t="shared" si="48"/>
        <v>1736.5352674122569</v>
      </c>
      <c r="AM92" s="16">
        <f t="shared" si="49"/>
        <v>1430.5251773453892</v>
      </c>
      <c r="AN92" s="16">
        <f t="shared" si="50"/>
        <v>1193.943417905406</v>
      </c>
      <c r="AO92" s="16">
        <f t="shared" si="51"/>
        <v>972.17832612877942</v>
      </c>
      <c r="AQ92" s="16">
        <f>0.5*'Gearing Calculator'!$C$15*'Gearing Calculator'!$C$20*'Gearing Calculator'!$W$20*(Forces!H92^2)</f>
        <v>83.891820107632626</v>
      </c>
      <c r="AR92" s="16">
        <f>0.5*'Gearing Calculator'!$C$15*'Gearing Calculator'!$C$20*'Gearing Calculator'!$W$20*(Forces!I92^2)</f>
        <v>139.96534570040794</v>
      </c>
      <c r="AS92" s="16">
        <f>0.5*'Gearing Calculator'!$C$15*'Gearing Calculator'!$C$20*'Gearing Calculator'!$W$20*(Forces!J92^2)</f>
        <v>201.55009780858748</v>
      </c>
      <c r="AT92" s="16">
        <f>0.5*'Gearing Calculator'!$C$15*'Gearing Calculator'!$C$20*'Gearing Calculator'!$W$20*(Forces!K92^2)</f>
        <v>268.33592903510163</v>
      </c>
      <c r="AU92" s="16">
        <f>0.5*'Gearing Calculator'!$C$15*'Gearing Calculator'!$C$20*'Gearing Calculator'!$W$20*(Forces!L92^2)</f>
        <v>338.6815772503698</v>
      </c>
      <c r="AV92" s="16">
        <f>0.5*'Gearing Calculator'!$C$15*'Gearing Calculator'!$C$20*'Gearing Calculator'!$W$20*(Forces!M92^2)</f>
        <v>423.33563916947605</v>
      </c>
      <c r="AX92" s="16">
        <f t="shared" si="52"/>
        <v>2856.1413416631649</v>
      </c>
      <c r="AY92" s="16">
        <f t="shared" si="53"/>
        <v>2136.1893601866609</v>
      </c>
      <c r="AZ92" s="16">
        <f t="shared" si="54"/>
        <v>1695.2454904306364</v>
      </c>
      <c r="BA92" s="16">
        <f t="shared" si="55"/>
        <v>1375.553580772226</v>
      </c>
      <c r="BB92" s="16">
        <f t="shared" si="56"/>
        <v>1124.5607336770317</v>
      </c>
      <c r="BC92" s="16">
        <f t="shared" si="57"/>
        <v>885.45331671558824</v>
      </c>
    </row>
    <row r="93" spans="2:55" x14ac:dyDescent="0.25">
      <c r="B93" s="41">
        <v>14100</v>
      </c>
      <c r="C93" s="16">
        <v>111.5</v>
      </c>
      <c r="D93" s="65">
        <f t="shared" si="31"/>
        <v>83.14555</v>
      </c>
      <c r="E93" s="16">
        <f t="shared" si="32"/>
        <v>83145.55</v>
      </c>
      <c r="F93" s="21">
        <f t="shared" si="33"/>
        <v>41.531773049645388</v>
      </c>
      <c r="H93" s="16">
        <v>28.354759618159562</v>
      </c>
      <c r="I93" s="64">
        <v>36.624897840122756</v>
      </c>
      <c r="J93" s="16">
        <v>43.949877408147309</v>
      </c>
      <c r="K93" s="64">
        <v>50.711397009400748</v>
      </c>
      <c r="L93" s="16">
        <v>56.972063306857628</v>
      </c>
      <c r="M93" s="16">
        <v>63.695474504561346</v>
      </c>
      <c r="O93" s="118">
        <f t="shared" si="34"/>
        <v>102.07713462537443</v>
      </c>
      <c r="P93" s="118">
        <f t="shared" si="35"/>
        <v>131.84963222444193</v>
      </c>
      <c r="Q93" s="118">
        <f t="shared" si="36"/>
        <v>158.21955866933033</v>
      </c>
      <c r="R93" s="118">
        <f t="shared" si="37"/>
        <v>182.5610292338427</v>
      </c>
      <c r="S93" s="118">
        <f t="shared" si="38"/>
        <v>205.09942790468747</v>
      </c>
      <c r="T93" s="118">
        <f t="shared" si="39"/>
        <v>229.30370821642086</v>
      </c>
      <c r="V93" s="16">
        <f t="shared" si="40"/>
        <v>2932.3313306013765</v>
      </c>
      <c r="W93" s="16">
        <f t="shared" si="41"/>
        <v>2270.1919978849373</v>
      </c>
      <c r="X93" s="16">
        <f t="shared" si="42"/>
        <v>1891.8266649041143</v>
      </c>
      <c r="Y93" s="16">
        <f t="shared" si="43"/>
        <v>1639.5831095835656</v>
      </c>
      <c r="Z93" s="16">
        <f t="shared" si="44"/>
        <v>1459.4091414974596</v>
      </c>
      <c r="AA93" s="16">
        <f t="shared" si="45"/>
        <v>1305.3603987838383</v>
      </c>
      <c r="AC93" s="16">
        <f>0.5*'Gearing Calculator'!$C$15*'Gearing Calculator'!$C$20*'Gearing Calculator'!$U$20*(Forces!H93^2)</f>
        <v>67.66198981420149</v>
      </c>
      <c r="AD93" s="16">
        <f>0.5*'Gearing Calculator'!$C$15*'Gearing Calculator'!$C$20*'Gearing Calculator'!$U$20*(Forces!I93^2)</f>
        <v>112.88745175598541</v>
      </c>
      <c r="AE93" s="16">
        <f>0.5*'Gearing Calculator'!$C$15*'Gearing Calculator'!$C$20*'Gearing Calculator'!$U$20*(Forces!J93^2)</f>
        <v>162.55793052861898</v>
      </c>
      <c r="AF93" s="16">
        <f>0.5*'Gearing Calculator'!$C$15*'Gearing Calculator'!$C$20*'Gearing Calculator'!$U$20*(Forces!K93^2)</f>
        <v>216.42328028958156</v>
      </c>
      <c r="AG93" s="16">
        <f>0.5*'Gearing Calculator'!$C$15*'Gearing Calculator'!$C$20*'Gearing Calculator'!$U$20*(Forces!L93^2)</f>
        <v>273.15975980460672</v>
      </c>
      <c r="AH93" s="16">
        <f>0.5*'Gearing Calculator'!$C$15*'Gearing Calculator'!$C$20*'Gearing Calculator'!$U$20*(Forces!M93^2)</f>
        <v>341.43652705023976</v>
      </c>
      <c r="AJ93" s="16">
        <f t="shared" si="46"/>
        <v>2864.6693407871749</v>
      </c>
      <c r="AK93" s="16">
        <f t="shared" si="47"/>
        <v>2157.3045461289521</v>
      </c>
      <c r="AL93" s="16">
        <f t="shared" si="48"/>
        <v>1729.2687343754953</v>
      </c>
      <c r="AM93" s="16">
        <f t="shared" si="49"/>
        <v>1423.1598292939841</v>
      </c>
      <c r="AN93" s="16">
        <f t="shared" si="50"/>
        <v>1186.2493816928529</v>
      </c>
      <c r="AO93" s="16">
        <f t="shared" si="51"/>
        <v>963.9238717335985</v>
      </c>
      <c r="AQ93" s="16">
        <f>0.5*'Gearing Calculator'!$C$15*'Gearing Calculator'!$C$20*'Gearing Calculator'!$W$20*(Forces!H93^2)</f>
        <v>85.094554875502297</v>
      </c>
      <c r="AR93" s="16">
        <f>0.5*'Gearing Calculator'!$C$15*'Gearing Calculator'!$C$20*'Gearing Calculator'!$W$20*(Forces!I93^2)</f>
        <v>141.97199172805151</v>
      </c>
      <c r="AS93" s="16">
        <f>0.5*'Gearing Calculator'!$C$15*'Gearing Calculator'!$C$20*'Gearing Calculator'!$W$20*(Forces!J93^2)</f>
        <v>204.43966808839417</v>
      </c>
      <c r="AT93" s="16">
        <f>0.5*'Gearing Calculator'!$C$15*'Gearing Calculator'!$C$20*'Gearing Calculator'!$W$20*(Forces!K93^2)</f>
        <v>272.18299005851304</v>
      </c>
      <c r="AU93" s="16">
        <f>0.5*'Gearing Calculator'!$C$15*'Gearing Calculator'!$C$20*'Gearing Calculator'!$W$20*(Forces!L93^2)</f>
        <v>343.53716516911237</v>
      </c>
      <c r="AV93" s="16">
        <f>0.5*'Gearing Calculator'!$C$15*'Gearing Calculator'!$C$20*'Gearing Calculator'!$W$20*(Forces!M93^2)</f>
        <v>429.40488991471193</v>
      </c>
      <c r="AX93" s="16">
        <f t="shared" si="52"/>
        <v>2847.2367757258744</v>
      </c>
      <c r="AY93" s="16">
        <f t="shared" si="53"/>
        <v>2128.220006156886</v>
      </c>
      <c r="AZ93" s="16">
        <f t="shared" si="54"/>
        <v>1687.3869968157201</v>
      </c>
      <c r="BA93" s="16">
        <f t="shared" si="55"/>
        <v>1367.4001195250526</v>
      </c>
      <c r="BB93" s="16">
        <f t="shared" si="56"/>
        <v>1115.8719763283473</v>
      </c>
      <c r="BC93" s="16">
        <f t="shared" si="57"/>
        <v>875.95550886912633</v>
      </c>
    </row>
    <row r="94" spans="2:55" x14ac:dyDescent="0.25">
      <c r="B94" s="41">
        <v>14200</v>
      </c>
      <c r="C94" s="16">
        <v>112</v>
      </c>
      <c r="D94" s="65">
        <f t="shared" si="31"/>
        <v>83.5184</v>
      </c>
      <c r="E94" s="16">
        <f t="shared" si="32"/>
        <v>83518.399999999994</v>
      </c>
      <c r="F94" s="21">
        <f t="shared" si="33"/>
        <v>41.424225352112678</v>
      </c>
      <c r="H94" s="16">
        <v>28.555857204103951</v>
      </c>
      <c r="I94" s="64">
        <v>36.88464888863426</v>
      </c>
      <c r="J94" s="16">
        <v>44.261578666361125</v>
      </c>
      <c r="K94" s="64">
        <v>51.071052307339762</v>
      </c>
      <c r="L94" s="16">
        <v>57.376120493431081</v>
      </c>
      <c r="M94" s="16">
        <v>64.147215458494387</v>
      </c>
      <c r="O94" s="118">
        <f t="shared" si="34"/>
        <v>102.80108593477422</v>
      </c>
      <c r="P94" s="118">
        <f t="shared" si="35"/>
        <v>132.78473599908335</v>
      </c>
      <c r="Q94" s="118">
        <f t="shared" si="36"/>
        <v>159.34168319890006</v>
      </c>
      <c r="R94" s="118">
        <f t="shared" si="37"/>
        <v>183.85578830642314</v>
      </c>
      <c r="S94" s="118">
        <f t="shared" si="38"/>
        <v>206.5540337763519</v>
      </c>
      <c r="T94" s="118">
        <f t="shared" si="39"/>
        <v>230.92997565057979</v>
      </c>
      <c r="V94" s="16">
        <f t="shared" si="40"/>
        <v>2924.7379759272999</v>
      </c>
      <c r="W94" s="16">
        <f t="shared" si="41"/>
        <v>2264.3132716856521</v>
      </c>
      <c r="X94" s="16">
        <f t="shared" si="42"/>
        <v>1886.9277264047096</v>
      </c>
      <c r="Y94" s="16">
        <f t="shared" si="43"/>
        <v>1635.3373628840816</v>
      </c>
      <c r="Z94" s="16">
        <f t="shared" si="44"/>
        <v>1455.6299603693476</v>
      </c>
      <c r="AA94" s="16">
        <f t="shared" si="45"/>
        <v>1301.9801312192496</v>
      </c>
      <c r="AC94" s="16">
        <f>0.5*'Gearing Calculator'!$C$15*'Gearing Calculator'!$C$20*'Gearing Calculator'!$U$20*(Forces!H94^2)</f>
        <v>68.625137699992877</v>
      </c>
      <c r="AD94" s="16">
        <f>0.5*'Gearing Calculator'!$C$15*'Gearing Calculator'!$C$20*'Gearing Calculator'!$U$20*(Forces!I94^2)</f>
        <v>114.49437036405054</v>
      </c>
      <c r="AE94" s="16">
        <f>0.5*'Gearing Calculator'!$C$15*'Gearing Calculator'!$C$20*'Gearing Calculator'!$U$20*(Forces!J94^2)</f>
        <v>164.87189332423287</v>
      </c>
      <c r="AF94" s="16">
        <f>0.5*'Gearing Calculator'!$C$15*'Gearing Calculator'!$C$20*'Gearing Calculator'!$U$20*(Forces!K94^2)</f>
        <v>219.50399998788404</v>
      </c>
      <c r="AG94" s="16">
        <f>0.5*'Gearing Calculator'!$C$15*'Gearing Calculator'!$C$20*'Gearing Calculator'!$U$20*(Forces!L94^2)</f>
        <v>277.04810606609772</v>
      </c>
      <c r="AH94" s="16">
        <f>0.5*'Gearing Calculator'!$C$15*'Gearing Calculator'!$C$20*'Gearing Calculator'!$U$20*(Forces!M94^2)</f>
        <v>346.29677236763894</v>
      </c>
      <c r="AJ94" s="16">
        <f t="shared" si="46"/>
        <v>2856.1128382273068</v>
      </c>
      <c r="AK94" s="16">
        <f t="shared" si="47"/>
        <v>2149.8189013216015</v>
      </c>
      <c r="AL94" s="16">
        <f t="shared" si="48"/>
        <v>1722.0558330804768</v>
      </c>
      <c r="AM94" s="16">
        <f t="shared" si="49"/>
        <v>1415.8333628961975</v>
      </c>
      <c r="AN94" s="16">
        <f t="shared" si="50"/>
        <v>1178.5818543032499</v>
      </c>
      <c r="AO94" s="16">
        <f t="shared" si="51"/>
        <v>955.68335885161071</v>
      </c>
      <c r="AQ94" s="16">
        <f>0.5*'Gearing Calculator'!$C$15*'Gearing Calculator'!$C$20*'Gearing Calculator'!$W$20*(Forces!H94^2)</f>
        <v>86.305850033178814</v>
      </c>
      <c r="AR94" s="16">
        <f>0.5*'Gearing Calculator'!$C$15*'Gearing Calculator'!$C$20*'Gearing Calculator'!$W$20*(Forces!I94^2)</f>
        <v>143.99291993382775</v>
      </c>
      <c r="AS94" s="16">
        <f>0.5*'Gearing Calculator'!$C$15*'Gearing Calculator'!$C$20*'Gearing Calculator'!$W$20*(Forces!J94^2)</f>
        <v>207.34980470471208</v>
      </c>
      <c r="AT94" s="16">
        <f>0.5*'Gearing Calculator'!$C$15*'Gearing Calculator'!$C$20*'Gearing Calculator'!$W$20*(Forces!K94^2)</f>
        <v>276.05743229917294</v>
      </c>
      <c r="AU94" s="16">
        <f>0.5*'Gearing Calculator'!$C$15*'Gearing Calculator'!$C$20*'Gearing Calculator'!$W$20*(Forces!L94^2)</f>
        <v>348.42731243247221</v>
      </c>
      <c r="AV94" s="16">
        <f>0.5*'Gearing Calculator'!$C$15*'Gearing Calculator'!$C$20*'Gearing Calculator'!$W$20*(Forces!M94^2)</f>
        <v>435.51733817414856</v>
      </c>
      <c r="AX94" s="16">
        <f t="shared" si="52"/>
        <v>2838.4321258941209</v>
      </c>
      <c r="AY94" s="16">
        <f t="shared" si="53"/>
        <v>2120.3203517518245</v>
      </c>
      <c r="AZ94" s="16">
        <f t="shared" si="54"/>
        <v>1679.5779216999974</v>
      </c>
      <c r="BA94" s="16">
        <f t="shared" si="55"/>
        <v>1359.2799305849087</v>
      </c>
      <c r="BB94" s="16">
        <f t="shared" si="56"/>
        <v>1107.2026479368753</v>
      </c>
      <c r="BC94" s="16">
        <f t="shared" si="57"/>
        <v>866.46279304510108</v>
      </c>
    </row>
    <row r="95" spans="2:55" x14ac:dyDescent="0.25">
      <c r="B95" s="41">
        <v>14300</v>
      </c>
      <c r="C95" s="16">
        <v>112</v>
      </c>
      <c r="D95" s="65">
        <f t="shared" si="31"/>
        <v>83.5184</v>
      </c>
      <c r="E95" s="16">
        <f t="shared" si="32"/>
        <v>83518.399999999994</v>
      </c>
      <c r="F95" s="21">
        <f t="shared" si="33"/>
        <v>41.134545454545453</v>
      </c>
      <c r="H95" s="16">
        <v>28.756954790048344</v>
      </c>
      <c r="I95" s="64">
        <v>37.144399937145778</v>
      </c>
      <c r="J95" s="16">
        <v>44.573279924574933</v>
      </c>
      <c r="K95" s="64">
        <v>51.430707605278776</v>
      </c>
      <c r="L95" s="16">
        <v>57.780177680004542</v>
      </c>
      <c r="M95" s="16">
        <v>64.598956412427455</v>
      </c>
      <c r="O95" s="118">
        <f t="shared" si="34"/>
        <v>103.52503724417404</v>
      </c>
      <c r="P95" s="118">
        <f t="shared" si="35"/>
        <v>133.7198397737248</v>
      </c>
      <c r="Q95" s="118">
        <f t="shared" si="36"/>
        <v>160.46380772846976</v>
      </c>
      <c r="R95" s="118">
        <f t="shared" si="37"/>
        <v>185.1505473790036</v>
      </c>
      <c r="S95" s="118">
        <f t="shared" si="38"/>
        <v>208.00863964801636</v>
      </c>
      <c r="T95" s="118">
        <f t="shared" si="39"/>
        <v>232.55624308473884</v>
      </c>
      <c r="V95" s="16">
        <f t="shared" si="40"/>
        <v>2904.2852628089272</v>
      </c>
      <c r="W95" s="16">
        <f t="shared" si="41"/>
        <v>2248.4789131423954</v>
      </c>
      <c r="X95" s="16">
        <f t="shared" si="42"/>
        <v>1873.7324276186628</v>
      </c>
      <c r="Y95" s="16">
        <f t="shared" si="43"/>
        <v>1623.9014372695074</v>
      </c>
      <c r="Z95" s="16">
        <f t="shared" si="44"/>
        <v>1445.4507298772542</v>
      </c>
      <c r="AA95" s="16">
        <f t="shared" si="45"/>
        <v>1292.8753750568769</v>
      </c>
      <c r="AC95" s="16">
        <f>0.5*'Gearing Calculator'!$C$15*'Gearing Calculator'!$C$20*'Gearing Calculator'!$U$20*(Forces!H95^2)</f>
        <v>69.595092284623789</v>
      </c>
      <c r="AD95" s="16">
        <f>0.5*'Gearing Calculator'!$C$15*'Gearing Calculator'!$C$20*'Gearing Calculator'!$U$20*(Forces!I95^2)</f>
        <v>116.11264528736713</v>
      </c>
      <c r="AE95" s="16">
        <f>0.5*'Gearing Calculator'!$C$15*'Gearing Calculator'!$C$20*'Gearing Calculator'!$U$20*(Forces!J95^2)</f>
        <v>167.20220921380866</v>
      </c>
      <c r="AF95" s="16">
        <f>0.5*'Gearing Calculator'!$C$15*'Gearing Calculator'!$C$20*'Gearing Calculator'!$U$20*(Forces!K95^2)</f>
        <v>222.60649155684592</v>
      </c>
      <c r="AG95" s="16">
        <f>0.5*'Gearing Calculator'!$C$15*'Gearing Calculator'!$C$20*'Gearing Calculator'!$U$20*(Forces!L95^2)</f>
        <v>280.96393180646862</v>
      </c>
      <c r="AH95" s="16">
        <f>0.5*'Gearing Calculator'!$C$15*'Gearing Calculator'!$C$20*'Gearing Calculator'!$U$20*(Forces!M95^2)</f>
        <v>351.19136570848298</v>
      </c>
      <c r="AJ95" s="16">
        <f t="shared" si="46"/>
        <v>2834.6901705243035</v>
      </c>
      <c r="AK95" s="16">
        <f t="shared" si="47"/>
        <v>2132.3662678550281</v>
      </c>
      <c r="AL95" s="16">
        <f t="shared" si="48"/>
        <v>1706.5302184048542</v>
      </c>
      <c r="AM95" s="16">
        <f t="shared" si="49"/>
        <v>1401.2949457126615</v>
      </c>
      <c r="AN95" s="16">
        <f t="shared" si="50"/>
        <v>1164.4867980707854</v>
      </c>
      <c r="AO95" s="16">
        <f t="shared" si="51"/>
        <v>941.68400934839394</v>
      </c>
      <c r="AQ95" s="16">
        <f>0.5*'Gearing Calculator'!$C$15*'Gearing Calculator'!$C$20*'Gearing Calculator'!$W$20*(Forces!H95^2)</f>
        <v>87.525705580662233</v>
      </c>
      <c r="AR95" s="16">
        <f>0.5*'Gearing Calculator'!$C$15*'Gearing Calculator'!$C$20*'Gearing Calculator'!$W$20*(Forces!I95^2)</f>
        <v>146.02813031773681</v>
      </c>
      <c r="AS95" s="16">
        <f>0.5*'Gearing Calculator'!$C$15*'Gearing Calculator'!$C$20*'Gearing Calculator'!$W$20*(Forces!J95^2)</f>
        <v>210.28050765754102</v>
      </c>
      <c r="AT95" s="16">
        <f>0.5*'Gearing Calculator'!$C$15*'Gearing Calculator'!$C$20*'Gearing Calculator'!$W$20*(Forces!K95^2)</f>
        <v>279.95925575708134</v>
      </c>
      <c r="AU95" s="16">
        <f>0.5*'Gearing Calculator'!$C$15*'Gearing Calculator'!$C$20*'Gearing Calculator'!$W$20*(Forces!L95^2)</f>
        <v>353.35201904044959</v>
      </c>
      <c r="AV95" s="16">
        <f>0.5*'Gearing Calculator'!$C$15*'Gearing Calculator'!$C$20*'Gearing Calculator'!$W$20*(Forces!M95^2)</f>
        <v>441.67298394778641</v>
      </c>
      <c r="AX95" s="16">
        <f t="shared" si="52"/>
        <v>2816.7595572282648</v>
      </c>
      <c r="AY95" s="16">
        <f t="shared" si="53"/>
        <v>2102.4507828246587</v>
      </c>
      <c r="AZ95" s="16">
        <f t="shared" si="54"/>
        <v>1663.4519199611218</v>
      </c>
      <c r="BA95" s="16">
        <f t="shared" si="55"/>
        <v>1343.942181512426</v>
      </c>
      <c r="BB95" s="16">
        <f t="shared" si="56"/>
        <v>1092.0987108368045</v>
      </c>
      <c r="BC95" s="16">
        <f t="shared" si="57"/>
        <v>851.20239110909051</v>
      </c>
    </row>
    <row r="96" spans="2:55" x14ac:dyDescent="0.25">
      <c r="B96" s="41">
        <v>14400</v>
      </c>
      <c r="C96" s="16">
        <v>112</v>
      </c>
      <c r="D96" s="65">
        <f t="shared" si="31"/>
        <v>83.5184</v>
      </c>
      <c r="E96" s="16">
        <f t="shared" si="32"/>
        <v>83518.399999999994</v>
      </c>
      <c r="F96" s="21">
        <f t="shared" si="33"/>
        <v>40.848888888888887</v>
      </c>
      <c r="H96" s="16">
        <v>28.95805237599274</v>
      </c>
      <c r="I96" s="64">
        <v>37.404150985657289</v>
      </c>
      <c r="J96" s="16">
        <v>44.884981182788742</v>
      </c>
      <c r="K96" s="64">
        <v>51.790362903217776</v>
      </c>
      <c r="L96" s="16">
        <v>58.184234866578009</v>
      </c>
      <c r="M96" s="16">
        <v>65.050697366360509</v>
      </c>
      <c r="O96" s="118">
        <f t="shared" si="34"/>
        <v>104.24898855357387</v>
      </c>
      <c r="P96" s="118">
        <f t="shared" si="35"/>
        <v>134.65494354836625</v>
      </c>
      <c r="Q96" s="118">
        <f t="shared" si="36"/>
        <v>161.58593225803946</v>
      </c>
      <c r="R96" s="118">
        <f t="shared" si="37"/>
        <v>186.445306451584</v>
      </c>
      <c r="S96" s="118">
        <f t="shared" si="38"/>
        <v>209.46324551968084</v>
      </c>
      <c r="T96" s="118">
        <f t="shared" si="39"/>
        <v>234.18251051889783</v>
      </c>
      <c r="V96" s="16">
        <f t="shared" si="40"/>
        <v>2884.1166151505317</v>
      </c>
      <c r="W96" s="16">
        <f t="shared" si="41"/>
        <v>2232.8644762455729</v>
      </c>
      <c r="X96" s="16">
        <f t="shared" si="42"/>
        <v>1860.7203968713111</v>
      </c>
      <c r="Y96" s="16">
        <f t="shared" si="43"/>
        <v>1612.6243439551363</v>
      </c>
      <c r="Z96" s="16">
        <f t="shared" si="44"/>
        <v>1435.4128775864397</v>
      </c>
      <c r="AA96" s="16">
        <f t="shared" si="45"/>
        <v>1283.8970738412042</v>
      </c>
      <c r="AC96" s="16">
        <f>0.5*'Gearing Calculator'!$C$15*'Gearing Calculator'!$C$20*'Gearing Calculator'!$U$20*(Forces!H96^2)</f>
        <v>70.571853568094241</v>
      </c>
      <c r="AD96" s="16">
        <f>0.5*'Gearing Calculator'!$C$15*'Gearing Calculator'!$C$20*'Gearing Calculator'!$U$20*(Forces!I96^2)</f>
        <v>117.74227652593501</v>
      </c>
      <c r="AE96" s="16">
        <f>0.5*'Gearing Calculator'!$C$15*'Gearing Calculator'!$C$20*'Gearing Calculator'!$U$20*(Forces!J96^2)</f>
        <v>169.5488781973464</v>
      </c>
      <c r="AF96" s="16">
        <f>0.5*'Gearing Calculator'!$C$15*'Gearing Calculator'!$C$20*'Gearing Calculator'!$U$20*(Forces!K96^2)</f>
        <v>225.73075499646706</v>
      </c>
      <c r="AG96" s="16">
        <f>0.5*'Gearing Calculator'!$C$15*'Gearing Calculator'!$C$20*'Gearing Calculator'!$U$20*(Forces!L96^2)</f>
        <v>284.90723702571933</v>
      </c>
      <c r="AH96" s="16">
        <f>0.5*'Gearing Calculator'!$C$15*'Gearing Calculator'!$C$20*'Gearing Calculator'!$U$20*(Forces!M96^2)</f>
        <v>356.12030707277137</v>
      </c>
      <c r="AJ96" s="16">
        <f t="shared" si="46"/>
        <v>2813.5447615824373</v>
      </c>
      <c r="AK96" s="16">
        <f t="shared" si="47"/>
        <v>2115.122199719638</v>
      </c>
      <c r="AL96" s="16">
        <f t="shared" si="48"/>
        <v>1691.1715186739648</v>
      </c>
      <c r="AM96" s="16">
        <f t="shared" si="49"/>
        <v>1386.8935889586692</v>
      </c>
      <c r="AN96" s="16">
        <f t="shared" si="50"/>
        <v>1150.5056405607204</v>
      </c>
      <c r="AO96" s="16">
        <f t="shared" si="51"/>
        <v>927.77676676843294</v>
      </c>
      <c r="AQ96" s="16">
        <f>0.5*'Gearing Calculator'!$C$15*'Gearing Calculator'!$C$20*'Gearing Calculator'!$W$20*(Forces!H96^2)</f>
        <v>88.754121517952584</v>
      </c>
      <c r="AR96" s="16">
        <f>0.5*'Gearing Calculator'!$C$15*'Gearing Calculator'!$C$20*'Gearing Calculator'!$W$20*(Forces!I96^2)</f>
        <v>148.07762287977852</v>
      </c>
      <c r="AS96" s="16">
        <f>0.5*'Gearing Calculator'!$C$15*'Gearing Calculator'!$C$20*'Gearing Calculator'!$W$20*(Forces!J96^2)</f>
        <v>213.23177694688104</v>
      </c>
      <c r="AT96" s="16">
        <f>0.5*'Gearing Calculator'!$C$15*'Gearing Calculator'!$C$20*'Gearing Calculator'!$W$20*(Forces!K96^2)</f>
        <v>283.88846043223799</v>
      </c>
      <c r="AU96" s="16">
        <f>0.5*'Gearing Calculator'!$C$15*'Gearing Calculator'!$C$20*'Gearing Calculator'!$W$20*(Forces!L96^2)</f>
        <v>358.31128499304441</v>
      </c>
      <c r="AV96" s="16">
        <f>0.5*'Gearing Calculator'!$C$15*'Gearing Calculator'!$C$20*'Gearing Calculator'!$W$20*(Forces!M96^2)</f>
        <v>447.87182723562512</v>
      </c>
      <c r="AX96" s="16">
        <f t="shared" si="52"/>
        <v>2795.3624936325791</v>
      </c>
      <c r="AY96" s="16">
        <f t="shared" si="53"/>
        <v>2084.7868533657943</v>
      </c>
      <c r="AZ96" s="16">
        <f t="shared" si="54"/>
        <v>1647.4886199244302</v>
      </c>
      <c r="BA96" s="16">
        <f t="shared" si="55"/>
        <v>1328.7358835228983</v>
      </c>
      <c r="BB96" s="16">
        <f t="shared" si="56"/>
        <v>1077.1015925933953</v>
      </c>
      <c r="BC96" s="16">
        <f t="shared" si="57"/>
        <v>836.02524660557913</v>
      </c>
    </row>
    <row r="97" spans="2:55" x14ac:dyDescent="0.25">
      <c r="B97" s="41">
        <v>14500</v>
      </c>
      <c r="C97" s="16">
        <v>112</v>
      </c>
      <c r="D97" s="65">
        <f t="shared" si="31"/>
        <v>83.5184</v>
      </c>
      <c r="E97" s="16">
        <f t="shared" si="32"/>
        <v>83518.399999999994</v>
      </c>
      <c r="F97" s="21">
        <f t="shared" si="33"/>
        <v>40.567172413793102</v>
      </c>
      <c r="H97" s="16">
        <v>29.159149961937135</v>
      </c>
      <c r="I97" s="64">
        <v>37.663902034168807</v>
      </c>
      <c r="J97" s="16">
        <v>45.196682441002551</v>
      </c>
      <c r="K97" s="64">
        <v>52.15001820115679</v>
      </c>
      <c r="L97" s="16">
        <v>58.588292053151463</v>
      </c>
      <c r="M97" s="16">
        <v>65.502438320293578</v>
      </c>
      <c r="O97" s="118">
        <f t="shared" si="34"/>
        <v>104.97293986297369</v>
      </c>
      <c r="P97" s="118">
        <f t="shared" si="35"/>
        <v>135.5900473230077</v>
      </c>
      <c r="Q97" s="118">
        <f t="shared" si="36"/>
        <v>162.70805678760919</v>
      </c>
      <c r="R97" s="118">
        <f t="shared" si="37"/>
        <v>187.74006552416444</v>
      </c>
      <c r="S97" s="118">
        <f t="shared" si="38"/>
        <v>210.91785139134527</v>
      </c>
      <c r="T97" s="118">
        <f t="shared" si="39"/>
        <v>235.80877795305688</v>
      </c>
      <c r="V97" s="16">
        <f t="shared" si="40"/>
        <v>2864.2261557357001</v>
      </c>
      <c r="W97" s="16">
        <f t="shared" si="41"/>
        <v>2217.4654108921545</v>
      </c>
      <c r="X97" s="16">
        <f t="shared" si="42"/>
        <v>1847.8878424101297</v>
      </c>
      <c r="Y97" s="16">
        <f t="shared" si="43"/>
        <v>1601.5027967554456</v>
      </c>
      <c r="Z97" s="16">
        <f t="shared" si="44"/>
        <v>1425.5134784306713</v>
      </c>
      <c r="AA97" s="16">
        <f t="shared" si="45"/>
        <v>1275.0426112629889</v>
      </c>
      <c r="AC97" s="16">
        <f>0.5*'Gearing Calculator'!$C$15*'Gearing Calculator'!$C$20*'Gearing Calculator'!$U$20*(Forces!H97^2)</f>
        <v>71.555421550404205</v>
      </c>
      <c r="AD97" s="16">
        <f>0.5*'Gearing Calculator'!$C$15*'Gearing Calculator'!$C$20*'Gearing Calculator'!$U$20*(Forces!I97^2)</f>
        <v>119.38326407975428</v>
      </c>
      <c r="AE97" s="16">
        <f>0.5*'Gearing Calculator'!$C$15*'Gearing Calculator'!$C$20*'Gearing Calculator'!$U$20*(Forces!J97^2)</f>
        <v>171.91190027484603</v>
      </c>
      <c r="AF97" s="16">
        <f>0.5*'Gearing Calculator'!$C$15*'Gearing Calculator'!$C$20*'Gearing Calculator'!$U$20*(Forces!K97^2)</f>
        <v>228.87679030674769</v>
      </c>
      <c r="AG97" s="16">
        <f>0.5*'Gearing Calculator'!$C$15*'Gearing Calculator'!$C$20*'Gearing Calculator'!$U$20*(Forces!L97^2)</f>
        <v>288.87802172384977</v>
      </c>
      <c r="AH97" s="16">
        <f>0.5*'Gearing Calculator'!$C$15*'Gearing Calculator'!$C$20*'Gearing Calculator'!$U$20*(Forces!M97^2)</f>
        <v>361.08359646050445</v>
      </c>
      <c r="AJ97" s="16">
        <f t="shared" si="46"/>
        <v>2792.6707341852957</v>
      </c>
      <c r="AK97" s="16">
        <f t="shared" si="47"/>
        <v>2098.0821468124004</v>
      </c>
      <c r="AL97" s="16">
        <f t="shared" si="48"/>
        <v>1675.9759421352837</v>
      </c>
      <c r="AM97" s="16">
        <f t="shared" si="49"/>
        <v>1372.6260064486978</v>
      </c>
      <c r="AN97" s="16">
        <f t="shared" si="50"/>
        <v>1136.6354567068215</v>
      </c>
      <c r="AO97" s="16">
        <f t="shared" si="51"/>
        <v>913.95901480248449</v>
      </c>
      <c r="AQ97" s="16">
        <f>0.5*'Gearing Calculator'!$C$15*'Gearing Calculator'!$C$20*'Gearing Calculator'!$W$20*(Forces!H97^2)</f>
        <v>89.991097845049822</v>
      </c>
      <c r="AR97" s="16">
        <f>0.5*'Gearing Calculator'!$C$15*'Gearing Calculator'!$C$20*'Gearing Calculator'!$W$20*(Forces!I97^2)</f>
        <v>150.14139761995298</v>
      </c>
      <c r="AS97" s="16">
        <f>0.5*'Gearing Calculator'!$C$15*'Gearing Calculator'!$C$20*'Gearing Calculator'!$W$20*(Forces!J97^2)</f>
        <v>216.20361257273214</v>
      </c>
      <c r="AT97" s="16">
        <f>0.5*'Gearing Calculator'!$C$15*'Gearing Calculator'!$C$20*'Gearing Calculator'!$W$20*(Forces!K97^2)</f>
        <v>287.84504632464336</v>
      </c>
      <c r="AU97" s="16">
        <f>0.5*'Gearing Calculator'!$C$15*'Gearing Calculator'!$C$20*'Gearing Calculator'!$W$20*(Forces!L97^2)</f>
        <v>363.30511029025644</v>
      </c>
      <c r="AV97" s="16">
        <f>0.5*'Gearing Calculator'!$C$15*'Gearing Calculator'!$C$20*'Gearing Calculator'!$W$20*(Forces!M97^2)</f>
        <v>454.11386803766499</v>
      </c>
      <c r="AX97" s="16">
        <f t="shared" si="52"/>
        <v>2774.2350578906503</v>
      </c>
      <c r="AY97" s="16">
        <f t="shared" si="53"/>
        <v>2067.3240132722017</v>
      </c>
      <c r="AZ97" s="16">
        <f t="shared" si="54"/>
        <v>1631.6842298373977</v>
      </c>
      <c r="BA97" s="16">
        <f t="shared" si="55"/>
        <v>1313.6577504308023</v>
      </c>
      <c r="BB97" s="16">
        <f t="shared" si="56"/>
        <v>1062.2083681404149</v>
      </c>
      <c r="BC97" s="16">
        <f t="shared" si="57"/>
        <v>820.92874322532384</v>
      </c>
    </row>
    <row r="98" spans="2:55" x14ac:dyDescent="0.25">
      <c r="B98" s="41">
        <v>14600</v>
      </c>
      <c r="C98" s="16">
        <v>112</v>
      </c>
      <c r="D98" s="65">
        <f t="shared" si="31"/>
        <v>83.5184</v>
      </c>
      <c r="E98" s="16">
        <f t="shared" si="32"/>
        <v>83518.399999999994</v>
      </c>
      <c r="F98" s="21">
        <f t="shared" si="33"/>
        <v>40.289315068493153</v>
      </c>
      <c r="H98" s="16">
        <v>29.360247547881531</v>
      </c>
      <c r="I98" s="64">
        <v>37.92365308268031</v>
      </c>
      <c r="J98" s="16">
        <v>45.50838369921636</v>
      </c>
      <c r="K98" s="64">
        <v>52.509673499095811</v>
      </c>
      <c r="L98" s="16">
        <v>58.992349239724902</v>
      </c>
      <c r="M98" s="16">
        <v>65.954179274226618</v>
      </c>
      <c r="O98" s="118">
        <f t="shared" si="34"/>
        <v>105.69689117237351</v>
      </c>
      <c r="P98" s="118">
        <f t="shared" si="35"/>
        <v>136.52515109764911</v>
      </c>
      <c r="Q98" s="118">
        <f t="shared" si="36"/>
        <v>163.8301813171789</v>
      </c>
      <c r="R98" s="118">
        <f t="shared" si="37"/>
        <v>189.03482459674493</v>
      </c>
      <c r="S98" s="118">
        <f t="shared" si="38"/>
        <v>212.37245726300966</v>
      </c>
      <c r="T98" s="118">
        <f t="shared" si="39"/>
        <v>237.43504538721584</v>
      </c>
      <c r="V98" s="16">
        <f t="shared" si="40"/>
        <v>2844.6081683676475</v>
      </c>
      <c r="W98" s="16">
        <f t="shared" si="41"/>
        <v>2202.2772916394692</v>
      </c>
      <c r="X98" s="16">
        <f t="shared" si="42"/>
        <v>1835.2310763662247</v>
      </c>
      <c r="Y98" s="16">
        <f t="shared" si="43"/>
        <v>1590.5335995173944</v>
      </c>
      <c r="Z98" s="16">
        <f t="shared" si="44"/>
        <v>1415.7496874825165</v>
      </c>
      <c r="AA98" s="16">
        <f t="shared" si="45"/>
        <v>1266.3094426926948</v>
      </c>
      <c r="AC98" s="16">
        <f>0.5*'Gearing Calculator'!$C$15*'Gearing Calculator'!$C$20*'Gearing Calculator'!$U$20*(Forces!H98^2)</f>
        <v>72.545796231553695</v>
      </c>
      <c r="AD98" s="16">
        <f>0.5*'Gearing Calculator'!$C$15*'Gearing Calculator'!$C$20*'Gearing Calculator'!$U$20*(Forces!I98^2)</f>
        <v>121.0356079488248</v>
      </c>
      <c r="AE98" s="16">
        <f>0.5*'Gearing Calculator'!$C$15*'Gearing Calculator'!$C$20*'Gearing Calculator'!$U$20*(Forces!J98^2)</f>
        <v>174.29127544630765</v>
      </c>
      <c r="AF98" s="16">
        <f>0.5*'Gearing Calculator'!$C$15*'Gearing Calculator'!$C$20*'Gearing Calculator'!$U$20*(Forces!K98^2)</f>
        <v>232.04459748768775</v>
      </c>
      <c r="AG98" s="16">
        <f>0.5*'Gearing Calculator'!$C$15*'Gearing Calculator'!$C$20*'Gearing Calculator'!$U$20*(Forces!L98^2)</f>
        <v>292.87628590085978</v>
      </c>
      <c r="AH98" s="16">
        <f>0.5*'Gearing Calculator'!$C$15*'Gearing Calculator'!$C$20*'Gearing Calculator'!$U$20*(Forces!M98^2)</f>
        <v>366.08123387168172</v>
      </c>
      <c r="AJ98" s="16">
        <f t="shared" si="46"/>
        <v>2772.0623721360939</v>
      </c>
      <c r="AK98" s="16">
        <f t="shared" si="47"/>
        <v>2081.2416836906445</v>
      </c>
      <c r="AL98" s="16">
        <f t="shared" si="48"/>
        <v>1660.9398009199169</v>
      </c>
      <c r="AM98" s="16">
        <f t="shared" si="49"/>
        <v>1358.4890020297066</v>
      </c>
      <c r="AN98" s="16">
        <f t="shared" si="50"/>
        <v>1122.8734015816567</v>
      </c>
      <c r="AO98" s="16">
        <f t="shared" si="51"/>
        <v>900.22820882101314</v>
      </c>
      <c r="AQ98" s="16">
        <f>0.5*'Gearing Calculator'!$C$15*'Gearing Calculator'!$C$20*'Gearing Calculator'!$W$20*(Forces!H98^2)</f>
        <v>91.236634561953977</v>
      </c>
      <c r="AR98" s="16">
        <f>0.5*'Gearing Calculator'!$C$15*'Gearing Calculator'!$C$20*'Gearing Calculator'!$W$20*(Forces!I98^2)</f>
        <v>152.21945453826001</v>
      </c>
      <c r="AS98" s="16">
        <f>0.5*'Gearing Calculator'!$C$15*'Gearing Calculator'!$C$20*'Gearing Calculator'!$W$20*(Forces!J98^2)</f>
        <v>219.19601453509432</v>
      </c>
      <c r="AT98" s="16">
        <f>0.5*'Gearing Calculator'!$C$15*'Gearing Calculator'!$C$20*'Gearing Calculator'!$W$20*(Forces!K98^2)</f>
        <v>291.82901343429728</v>
      </c>
      <c r="AU98" s="16">
        <f>0.5*'Gearing Calculator'!$C$15*'Gearing Calculator'!$C$20*'Gearing Calculator'!$W$20*(Forces!L98^2)</f>
        <v>368.33349493208561</v>
      </c>
      <c r="AV98" s="16">
        <f>0.5*'Gearing Calculator'!$C$15*'Gearing Calculator'!$C$20*'Gearing Calculator'!$W$20*(Forces!M98^2)</f>
        <v>460.39910635390538</v>
      </c>
      <c r="AX98" s="16">
        <f t="shared" si="52"/>
        <v>2753.3715338056936</v>
      </c>
      <c r="AY98" s="16">
        <f t="shared" si="53"/>
        <v>2050.0578371012093</v>
      </c>
      <c r="AZ98" s="16">
        <f t="shared" si="54"/>
        <v>1616.0350618311304</v>
      </c>
      <c r="BA98" s="16">
        <f t="shared" si="55"/>
        <v>1298.7045860830972</v>
      </c>
      <c r="BB98" s="16">
        <f t="shared" si="56"/>
        <v>1047.4161925504309</v>
      </c>
      <c r="BC98" s="16">
        <f t="shared" si="57"/>
        <v>805.91033633878942</v>
      </c>
    </row>
    <row r="99" spans="2:55" x14ac:dyDescent="0.25">
      <c r="B99" s="41">
        <v>14700</v>
      </c>
      <c r="C99" s="16">
        <v>111.5</v>
      </c>
      <c r="D99" s="65">
        <f t="shared" si="31"/>
        <v>83.14555</v>
      </c>
      <c r="E99" s="16">
        <f t="shared" si="32"/>
        <v>83145.55</v>
      </c>
      <c r="F99" s="21">
        <f t="shared" si="33"/>
        <v>39.836598639455779</v>
      </c>
      <c r="H99" s="16">
        <v>29.56134513382592</v>
      </c>
      <c r="I99" s="64">
        <v>38.183404131191821</v>
      </c>
      <c r="J99" s="16">
        <v>45.820084957430176</v>
      </c>
      <c r="K99" s="64">
        <v>52.869328797034818</v>
      </c>
      <c r="L99" s="16">
        <v>59.39640642629837</v>
      </c>
      <c r="M99" s="16">
        <v>66.405920228159715</v>
      </c>
      <c r="O99" s="118">
        <f t="shared" si="34"/>
        <v>106.42084248177332</v>
      </c>
      <c r="P99" s="118">
        <f t="shared" si="35"/>
        <v>137.46025487229056</v>
      </c>
      <c r="Q99" s="118">
        <f t="shared" si="36"/>
        <v>164.95230584674863</v>
      </c>
      <c r="R99" s="118">
        <f t="shared" si="37"/>
        <v>190.32958366932536</v>
      </c>
      <c r="S99" s="118">
        <f t="shared" si="38"/>
        <v>213.82706313467415</v>
      </c>
      <c r="T99" s="118">
        <f t="shared" si="39"/>
        <v>239.06131282137497</v>
      </c>
      <c r="V99" s="16">
        <f t="shared" si="40"/>
        <v>2812.6443375156064</v>
      </c>
      <c r="W99" s="16">
        <f t="shared" si="41"/>
        <v>2177.5311000120819</v>
      </c>
      <c r="X99" s="16">
        <f t="shared" si="42"/>
        <v>1814.6092500100688</v>
      </c>
      <c r="Y99" s="16">
        <f t="shared" si="43"/>
        <v>1572.6613500087262</v>
      </c>
      <c r="Z99" s="16">
        <f t="shared" si="44"/>
        <v>1399.8414214363388</v>
      </c>
      <c r="AA99" s="16">
        <f t="shared" si="45"/>
        <v>1252.0803825069468</v>
      </c>
      <c r="AC99" s="16">
        <f>0.5*'Gearing Calculator'!$C$15*'Gearing Calculator'!$C$20*'Gearing Calculator'!$U$20*(Forces!H99^2)</f>
        <v>73.542977611542653</v>
      </c>
      <c r="AD99" s="16">
        <f>0.5*'Gearing Calculator'!$C$15*'Gearing Calculator'!$C$20*'Gearing Calculator'!$U$20*(Forces!I99^2)</f>
        <v>122.69930813314673</v>
      </c>
      <c r="AE99" s="16">
        <f>0.5*'Gearing Calculator'!$C$15*'Gearing Calculator'!$C$20*'Gearing Calculator'!$U$20*(Forces!J99^2)</f>
        <v>176.68700371173122</v>
      </c>
      <c r="AF99" s="16">
        <f>0.5*'Gearing Calculator'!$C$15*'Gearing Calculator'!$C$20*'Gearing Calculator'!$U$20*(Forces!K99^2)</f>
        <v>235.23417653928712</v>
      </c>
      <c r="AG99" s="16">
        <f>0.5*'Gearing Calculator'!$C$15*'Gearing Calculator'!$C$20*'Gearing Calculator'!$U$20*(Forces!L99^2)</f>
        <v>296.90202955674988</v>
      </c>
      <c r="AH99" s="16">
        <f>0.5*'Gearing Calculator'!$C$15*'Gearing Calculator'!$C$20*'Gearing Calculator'!$U$20*(Forces!M99^2)</f>
        <v>371.11321930630419</v>
      </c>
      <c r="AJ99" s="16">
        <f t="shared" si="46"/>
        <v>2739.1013599040639</v>
      </c>
      <c r="AK99" s="16">
        <f t="shared" si="47"/>
        <v>2054.8317918789353</v>
      </c>
      <c r="AL99" s="16">
        <f t="shared" si="48"/>
        <v>1637.9222462983375</v>
      </c>
      <c r="AM99" s="16">
        <f t="shared" si="49"/>
        <v>1337.4271734694391</v>
      </c>
      <c r="AN99" s="16">
        <f t="shared" si="50"/>
        <v>1102.939391879589</v>
      </c>
      <c r="AO99" s="16">
        <f t="shared" si="51"/>
        <v>880.96716320064252</v>
      </c>
      <c r="AQ99" s="16">
        <f>0.5*'Gearing Calculator'!$C$15*'Gearing Calculator'!$C$20*'Gearing Calculator'!$W$20*(Forces!H99^2)</f>
        <v>92.490731668664992</v>
      </c>
      <c r="AR99" s="16">
        <f>0.5*'Gearing Calculator'!$C$15*'Gearing Calculator'!$C$20*'Gearing Calculator'!$W$20*(Forces!I99^2)</f>
        <v>154.3117936346998</v>
      </c>
      <c r="AS99" s="16">
        <f>0.5*'Gearing Calculator'!$C$15*'Gearing Calculator'!$C$20*'Gearing Calculator'!$W$20*(Forces!J99^2)</f>
        <v>222.20898283396764</v>
      </c>
      <c r="AT99" s="16">
        <f>0.5*'Gearing Calculator'!$C$15*'Gearing Calculator'!$C$20*'Gearing Calculator'!$W$20*(Forces!K99^2)</f>
        <v>295.84036176119952</v>
      </c>
      <c r="AU99" s="16">
        <f>0.5*'Gearing Calculator'!$C$15*'Gearing Calculator'!$C$20*'Gearing Calculator'!$W$20*(Forces!L99^2)</f>
        <v>373.39643891853262</v>
      </c>
      <c r="AV99" s="16">
        <f>0.5*'Gearing Calculator'!$C$15*'Gearing Calculator'!$C$20*'Gearing Calculator'!$W$20*(Forces!M99^2)</f>
        <v>466.72754218434761</v>
      </c>
      <c r="AX99" s="16">
        <f t="shared" si="52"/>
        <v>2720.1536058469414</v>
      </c>
      <c r="AY99" s="16">
        <f t="shared" si="53"/>
        <v>2023.2193063773821</v>
      </c>
      <c r="AZ99" s="16">
        <f t="shared" si="54"/>
        <v>1592.4002671761011</v>
      </c>
      <c r="BA99" s="16">
        <f t="shared" si="55"/>
        <v>1276.8209882475267</v>
      </c>
      <c r="BB99" s="16">
        <f t="shared" si="56"/>
        <v>1026.4449825178062</v>
      </c>
      <c r="BC99" s="16">
        <f t="shared" si="57"/>
        <v>785.35284032259915</v>
      </c>
    </row>
    <row r="100" spans="2:55" x14ac:dyDescent="0.25">
      <c r="B100" s="41">
        <v>14800</v>
      </c>
      <c r="C100" s="16">
        <v>111</v>
      </c>
      <c r="D100" s="65">
        <f t="shared" si="31"/>
        <v>82.7727</v>
      </c>
      <c r="E100" s="16">
        <f t="shared" si="32"/>
        <v>82772.7</v>
      </c>
      <c r="F100" s="21">
        <f t="shared" si="33"/>
        <v>39.39</v>
      </c>
      <c r="H100" s="16">
        <v>29.76244271977032</v>
      </c>
      <c r="I100" s="64">
        <v>38.443155179703332</v>
      </c>
      <c r="J100" s="16">
        <v>46.131786215643992</v>
      </c>
      <c r="K100" s="64">
        <v>53.228984094973832</v>
      </c>
      <c r="L100" s="16">
        <v>59.800463612871823</v>
      </c>
      <c r="M100" s="16">
        <v>66.857661182092755</v>
      </c>
      <c r="O100" s="118">
        <f t="shared" si="34"/>
        <v>107.14479379117316</v>
      </c>
      <c r="P100" s="118">
        <f t="shared" si="35"/>
        <v>138.39535864693201</v>
      </c>
      <c r="Q100" s="118">
        <f t="shared" si="36"/>
        <v>166.07443037631836</v>
      </c>
      <c r="R100" s="118">
        <f t="shared" si="37"/>
        <v>191.62434274190579</v>
      </c>
      <c r="S100" s="118">
        <f t="shared" si="38"/>
        <v>215.28166900633857</v>
      </c>
      <c r="T100" s="118">
        <f t="shared" si="39"/>
        <v>240.68758025553393</v>
      </c>
      <c r="V100" s="16">
        <f t="shared" si="40"/>
        <v>2781.112450323727</v>
      </c>
      <c r="W100" s="16">
        <f t="shared" si="41"/>
        <v>2153.1193163796593</v>
      </c>
      <c r="X100" s="16">
        <f t="shared" si="42"/>
        <v>1794.2660969830497</v>
      </c>
      <c r="Y100" s="16">
        <f t="shared" si="43"/>
        <v>1555.0306173853098</v>
      </c>
      <c r="Z100" s="16">
        <f t="shared" si="44"/>
        <v>1384.1481319583531</v>
      </c>
      <c r="AA100" s="16">
        <f t="shared" si="45"/>
        <v>1238.043606918304</v>
      </c>
      <c r="AC100" s="16">
        <f>0.5*'Gearing Calculator'!$C$15*'Gearing Calculator'!$C$20*'Gearing Calculator'!$U$20*(Forces!H100^2)</f>
        <v>74.546965690371181</v>
      </c>
      <c r="AD100" s="16">
        <f>0.5*'Gearing Calculator'!$C$15*'Gearing Calculator'!$C$20*'Gearing Calculator'!$U$20*(Forces!I100^2)</f>
        <v>124.37436463271999</v>
      </c>
      <c r="AE100" s="16">
        <f>0.5*'Gearing Calculator'!$C$15*'Gearing Calculator'!$C$20*'Gearing Calculator'!$U$20*(Forces!J100^2)</f>
        <v>179.09908507111672</v>
      </c>
      <c r="AF100" s="16">
        <f>0.5*'Gearing Calculator'!$C$15*'Gearing Calculator'!$C$20*'Gearing Calculator'!$U$20*(Forces!K100^2)</f>
        <v>238.44552746154591</v>
      </c>
      <c r="AG100" s="16">
        <f>0.5*'Gearing Calculator'!$C$15*'Gearing Calculator'!$C$20*'Gearing Calculator'!$U$20*(Forces!L100^2)</f>
        <v>300.95525269151966</v>
      </c>
      <c r="AH100" s="16">
        <f>0.5*'Gearing Calculator'!$C$15*'Gearing Calculator'!$C$20*'Gearing Calculator'!$U$20*(Forces!M100^2)</f>
        <v>376.1795527643705</v>
      </c>
      <c r="AJ100" s="16">
        <f t="shared" si="46"/>
        <v>2706.5654846333559</v>
      </c>
      <c r="AK100" s="16">
        <f t="shared" si="47"/>
        <v>2028.7449517469393</v>
      </c>
      <c r="AL100" s="16">
        <f t="shared" si="48"/>
        <v>1615.1670119119331</v>
      </c>
      <c r="AM100" s="16">
        <f t="shared" si="49"/>
        <v>1316.5850899237639</v>
      </c>
      <c r="AN100" s="16">
        <f t="shared" si="50"/>
        <v>1083.1928792668334</v>
      </c>
      <c r="AO100" s="16">
        <f t="shared" si="51"/>
        <v>861.86405415393347</v>
      </c>
      <c r="AQ100" s="16">
        <f>0.5*'Gearing Calculator'!$C$15*'Gearing Calculator'!$C$20*'Gearing Calculator'!$W$20*(Forces!H100^2)</f>
        <v>93.753389165182966</v>
      </c>
      <c r="AR100" s="16">
        <f>0.5*'Gearing Calculator'!$C$15*'Gearing Calculator'!$C$20*'Gearing Calculator'!$W$20*(Forces!I100^2)</f>
        <v>156.41841490927229</v>
      </c>
      <c r="AS100" s="16">
        <f>0.5*'Gearing Calculator'!$C$15*'Gearing Calculator'!$C$20*'Gearing Calculator'!$W$20*(Forces!J100^2)</f>
        <v>225.24251746935201</v>
      </c>
      <c r="AT100" s="16">
        <f>0.5*'Gearing Calculator'!$C$15*'Gearing Calculator'!$C$20*'Gearing Calculator'!$W$20*(Forces!K100^2)</f>
        <v>299.8790913053503</v>
      </c>
      <c r="AU100" s="16">
        <f>0.5*'Gearing Calculator'!$C$15*'Gearing Calculator'!$C$20*'Gearing Calculator'!$W$20*(Forces!L100^2)</f>
        <v>378.49394224959678</v>
      </c>
      <c r="AV100" s="16">
        <f>0.5*'Gearing Calculator'!$C$15*'Gearing Calculator'!$C$20*'Gearing Calculator'!$W$20*(Forces!M100^2)</f>
        <v>473.09917552898992</v>
      </c>
      <c r="AX100" s="16">
        <f t="shared" si="52"/>
        <v>2687.3590611585441</v>
      </c>
      <c r="AY100" s="16">
        <f t="shared" si="53"/>
        <v>1996.700901470387</v>
      </c>
      <c r="AZ100" s="16">
        <f t="shared" si="54"/>
        <v>1569.0235795136978</v>
      </c>
      <c r="BA100" s="16">
        <f t="shared" si="55"/>
        <v>1255.1515260799595</v>
      </c>
      <c r="BB100" s="16">
        <f t="shared" si="56"/>
        <v>1005.6541897087563</v>
      </c>
      <c r="BC100" s="16">
        <f t="shared" si="57"/>
        <v>764.9444313893141</v>
      </c>
    </row>
    <row r="101" spans="2:55" x14ac:dyDescent="0.25">
      <c r="B101" s="41">
        <v>14900</v>
      </c>
      <c r="C101" s="16">
        <v>110.5</v>
      </c>
      <c r="D101" s="65">
        <f t="shared" si="31"/>
        <v>82.399850000000001</v>
      </c>
      <c r="E101" s="16">
        <f t="shared" si="32"/>
        <v>82399.850000000006</v>
      </c>
      <c r="F101" s="21">
        <f t="shared" si="33"/>
        <v>38.94939597315436</v>
      </c>
      <c r="H101" s="16">
        <v>29.963540305714709</v>
      </c>
      <c r="I101" s="64">
        <v>38.702906228214829</v>
      </c>
      <c r="J101" s="16">
        <v>46.443487473857793</v>
      </c>
      <c r="K101" s="64">
        <v>53.588639392912853</v>
      </c>
      <c r="L101" s="16">
        <v>60.204520799445291</v>
      </c>
      <c r="M101" s="16">
        <v>67.309402136025824</v>
      </c>
      <c r="O101" s="118">
        <f t="shared" si="34"/>
        <v>107.86874510057295</v>
      </c>
      <c r="P101" s="118">
        <f t="shared" si="35"/>
        <v>139.3304624215734</v>
      </c>
      <c r="Q101" s="118">
        <f t="shared" si="36"/>
        <v>167.19655490588806</v>
      </c>
      <c r="R101" s="118">
        <f t="shared" si="37"/>
        <v>192.91910181448628</v>
      </c>
      <c r="S101" s="118">
        <f t="shared" si="38"/>
        <v>216.73627487800306</v>
      </c>
      <c r="T101" s="118">
        <f t="shared" si="39"/>
        <v>242.31384768969298</v>
      </c>
      <c r="V101" s="16">
        <f t="shared" si="40"/>
        <v>2750.0038099397934</v>
      </c>
      <c r="W101" s="16">
        <f t="shared" si="41"/>
        <v>2129.0352076953241</v>
      </c>
      <c r="X101" s="16">
        <f t="shared" si="42"/>
        <v>1774.19600641277</v>
      </c>
      <c r="Y101" s="16">
        <f t="shared" si="43"/>
        <v>1537.6365388910669</v>
      </c>
      <c r="Z101" s="16">
        <f t="shared" si="44"/>
        <v>1368.6654906612796</v>
      </c>
      <c r="AA101" s="16">
        <f t="shared" si="45"/>
        <v>1224.1952444248107</v>
      </c>
      <c r="AC101" s="16">
        <f>0.5*'Gearing Calculator'!$C$15*'Gearing Calculator'!$C$20*'Gearing Calculator'!$U$20*(Forces!H101^2)</f>
        <v>75.557760468039177</v>
      </c>
      <c r="AD101" s="16">
        <f>0.5*'Gearing Calculator'!$C$15*'Gearing Calculator'!$C$20*'Gearing Calculator'!$U$20*(Forces!I101^2)</f>
        <v>126.0607774475445</v>
      </c>
      <c r="AE101" s="16">
        <f>0.5*'Gearing Calculator'!$C$15*'Gearing Calculator'!$C$20*'Gearing Calculator'!$U$20*(Forces!J101^2)</f>
        <v>181.52751952446408</v>
      </c>
      <c r="AF101" s="16">
        <f>0.5*'Gearing Calculator'!$C$15*'Gearing Calculator'!$C$20*'Gearing Calculator'!$U$20*(Forces!K101^2)</f>
        <v>241.67865025446412</v>
      </c>
      <c r="AG101" s="16">
        <f>0.5*'Gearing Calculator'!$C$15*'Gearing Calculator'!$C$20*'Gearing Calculator'!$U$20*(Forces!L101^2)</f>
        <v>305.03595530516941</v>
      </c>
      <c r="AH101" s="16">
        <f>0.5*'Gearing Calculator'!$C$15*'Gearing Calculator'!$C$20*'Gearing Calculator'!$U$20*(Forces!M101^2)</f>
        <v>381.28023424588162</v>
      </c>
      <c r="AJ101" s="16">
        <f t="shared" si="46"/>
        <v>2674.4460494717541</v>
      </c>
      <c r="AK101" s="16">
        <f t="shared" si="47"/>
        <v>2002.9744302477795</v>
      </c>
      <c r="AL101" s="16">
        <f t="shared" si="48"/>
        <v>1592.6684868883058</v>
      </c>
      <c r="AM101" s="16">
        <f t="shared" si="49"/>
        <v>1295.9578886366028</v>
      </c>
      <c r="AN101" s="16">
        <f t="shared" si="50"/>
        <v>1063.6295353561102</v>
      </c>
      <c r="AO101" s="16">
        <f t="shared" si="51"/>
        <v>842.91501017892904</v>
      </c>
      <c r="AQ101" s="16">
        <f>0.5*'Gearing Calculator'!$C$15*'Gearing Calculator'!$C$20*'Gearing Calculator'!$W$20*(Forces!H101^2)</f>
        <v>95.024607051507772</v>
      </c>
      <c r="AR101" s="16">
        <f>0.5*'Gearing Calculator'!$C$15*'Gearing Calculator'!$C$20*'Gearing Calculator'!$W$20*(Forces!I101^2)</f>
        <v>158.53931836197734</v>
      </c>
      <c r="AS101" s="16">
        <f>0.5*'Gearing Calculator'!$C$15*'Gearing Calculator'!$C$20*'Gearing Calculator'!$W$20*(Forces!J101^2)</f>
        <v>228.29661844124738</v>
      </c>
      <c r="AT101" s="16">
        <f>0.5*'Gearing Calculator'!$C$15*'Gearing Calculator'!$C$20*'Gearing Calculator'!$W$20*(Forces!K101^2)</f>
        <v>303.94520206674963</v>
      </c>
      <c r="AU101" s="16">
        <f>0.5*'Gearing Calculator'!$C$15*'Gearing Calculator'!$C$20*'Gearing Calculator'!$W$20*(Forces!L101^2)</f>
        <v>383.62600492527855</v>
      </c>
      <c r="AV101" s="16">
        <f>0.5*'Gearing Calculator'!$C$15*'Gearing Calculator'!$C$20*'Gearing Calculator'!$W$20*(Forces!M101^2)</f>
        <v>479.51400638783366</v>
      </c>
      <c r="AX101" s="16">
        <f t="shared" si="52"/>
        <v>2654.9792028882857</v>
      </c>
      <c r="AY101" s="16">
        <f t="shared" si="53"/>
        <v>1970.4958893333467</v>
      </c>
      <c r="AZ101" s="16">
        <f t="shared" si="54"/>
        <v>1545.8993879715226</v>
      </c>
      <c r="BA101" s="16">
        <f t="shared" si="55"/>
        <v>1233.6913368243172</v>
      </c>
      <c r="BB101" s="16">
        <f t="shared" si="56"/>
        <v>985.0394857360011</v>
      </c>
      <c r="BC101" s="16">
        <f t="shared" si="57"/>
        <v>744.68123803697699</v>
      </c>
    </row>
    <row r="102" spans="2:55" x14ac:dyDescent="0.25">
      <c r="B102" s="41">
        <v>15000</v>
      </c>
      <c r="C102" s="16">
        <v>110</v>
      </c>
      <c r="D102" s="65">
        <f t="shared" si="31"/>
        <v>82.027000000000001</v>
      </c>
      <c r="E102" s="16">
        <f t="shared" si="32"/>
        <v>82027</v>
      </c>
      <c r="F102" s="21">
        <f t="shared" si="33"/>
        <v>38.514666666666663</v>
      </c>
      <c r="H102" s="16">
        <v>30.164637891659105</v>
      </c>
      <c r="I102" s="64">
        <v>38.96265727672634</v>
      </c>
      <c r="J102" s="16">
        <v>46.755188732071609</v>
      </c>
      <c r="K102" s="64">
        <v>53.948294690851867</v>
      </c>
      <c r="L102" s="16">
        <v>60.608577986018751</v>
      </c>
      <c r="M102" s="16">
        <v>67.761143089958864</v>
      </c>
      <c r="O102" s="118">
        <f t="shared" si="34"/>
        <v>108.59269640997277</v>
      </c>
      <c r="P102" s="118">
        <f t="shared" si="35"/>
        <v>140.26556619621482</v>
      </c>
      <c r="Q102" s="118">
        <f t="shared" si="36"/>
        <v>168.3186794354578</v>
      </c>
      <c r="R102" s="118">
        <f t="shared" si="37"/>
        <v>194.21386088706672</v>
      </c>
      <c r="S102" s="118">
        <f t="shared" si="38"/>
        <v>218.19088074966751</v>
      </c>
      <c r="T102" s="118">
        <f t="shared" si="39"/>
        <v>243.94011512385191</v>
      </c>
      <c r="V102" s="16">
        <f t="shared" si="40"/>
        <v>2719.3099514276441</v>
      </c>
      <c r="W102" s="16">
        <f t="shared" si="41"/>
        <v>2105.2722204601118</v>
      </c>
      <c r="X102" s="16">
        <f t="shared" si="42"/>
        <v>1754.3935170500934</v>
      </c>
      <c r="Y102" s="16">
        <f t="shared" si="43"/>
        <v>1520.4743814434139</v>
      </c>
      <c r="Z102" s="16">
        <f t="shared" si="44"/>
        <v>1353.3892845815005</v>
      </c>
      <c r="AA102" s="16">
        <f t="shared" si="45"/>
        <v>1210.5315267645642</v>
      </c>
      <c r="AC102" s="16">
        <f>0.5*'Gearing Calculator'!$C$15*'Gearing Calculator'!$C$20*'Gearing Calculator'!$U$20*(Forces!H102^2)</f>
        <v>76.5753619445467</v>
      </c>
      <c r="AD102" s="16">
        <f>0.5*'Gearing Calculator'!$C$15*'Gearing Calculator'!$C$20*'Gearing Calculator'!$U$20*(Forces!I102^2)</f>
        <v>127.75854657762045</v>
      </c>
      <c r="AE102" s="16">
        <f>0.5*'Gearing Calculator'!$C$15*'Gearing Calculator'!$C$20*'Gearing Calculator'!$U$20*(Forces!J102^2)</f>
        <v>183.97230707177346</v>
      </c>
      <c r="AF102" s="16">
        <f>0.5*'Gearing Calculator'!$C$15*'Gearing Calculator'!$C$20*'Gearing Calculator'!$U$20*(Forces!K102^2)</f>
        <v>244.93354491804166</v>
      </c>
      <c r="AG102" s="16">
        <f>0.5*'Gearing Calculator'!$C$15*'Gearing Calculator'!$C$20*'Gearing Calculator'!$U$20*(Forces!L102^2)</f>
        <v>309.14413739769884</v>
      </c>
      <c r="AH102" s="16">
        <f>0.5*'Gearing Calculator'!$C$15*'Gearing Calculator'!$C$20*'Gearing Calculator'!$U$20*(Forces!M102^2)</f>
        <v>386.41526375083697</v>
      </c>
      <c r="AJ102" s="16">
        <f t="shared" si="46"/>
        <v>2642.7345894830974</v>
      </c>
      <c r="AK102" s="16">
        <f t="shared" si="47"/>
        <v>1977.5136738824913</v>
      </c>
      <c r="AL102" s="16">
        <f t="shared" si="48"/>
        <v>1570.4212099783199</v>
      </c>
      <c r="AM102" s="16">
        <f t="shared" si="49"/>
        <v>1275.5408365253722</v>
      </c>
      <c r="AN102" s="16">
        <f t="shared" si="50"/>
        <v>1044.2451471838017</v>
      </c>
      <c r="AO102" s="16">
        <f t="shared" si="51"/>
        <v>824.11626301372723</v>
      </c>
      <c r="AQ102" s="16">
        <f>0.5*'Gearing Calculator'!$C$15*'Gearing Calculator'!$C$20*'Gearing Calculator'!$W$20*(Forces!H102^2)</f>
        <v>96.304385327639523</v>
      </c>
      <c r="AR102" s="16">
        <f>0.5*'Gearing Calculator'!$C$15*'Gearing Calculator'!$C$20*'Gearing Calculator'!$W$20*(Forces!I102^2)</f>
        <v>160.67450399281523</v>
      </c>
      <c r="AS102" s="16">
        <f>0.5*'Gearing Calculator'!$C$15*'Gearing Calculator'!$C$20*'Gearing Calculator'!$W$20*(Forces!J102^2)</f>
        <v>231.37128574965394</v>
      </c>
      <c r="AT102" s="16">
        <f>0.5*'Gearing Calculator'!$C$15*'Gearing Calculator'!$C$20*'Gearing Calculator'!$W$20*(Forces!K102^2)</f>
        <v>308.03869404539734</v>
      </c>
      <c r="AU102" s="16">
        <f>0.5*'Gearing Calculator'!$C$15*'Gearing Calculator'!$C$20*'Gearing Calculator'!$W$20*(Forces!L102^2)</f>
        <v>388.79262694557758</v>
      </c>
      <c r="AV102" s="16">
        <f>0.5*'Gearing Calculator'!$C$15*'Gearing Calculator'!$C$20*'Gearing Calculator'!$W$20*(Forces!M102^2)</f>
        <v>485.97203476087793</v>
      </c>
      <c r="AX102" s="16">
        <f t="shared" si="52"/>
        <v>2623.0055661000047</v>
      </c>
      <c r="AY102" s="16">
        <f t="shared" si="53"/>
        <v>1944.5977164672966</v>
      </c>
      <c r="AZ102" s="16">
        <f t="shared" si="54"/>
        <v>1523.0222313004394</v>
      </c>
      <c r="BA102" s="16">
        <f t="shared" si="55"/>
        <v>1212.4356873980166</v>
      </c>
      <c r="BB102" s="16">
        <f t="shared" si="56"/>
        <v>964.59665763592295</v>
      </c>
      <c r="BC102" s="16">
        <f t="shared" si="57"/>
        <v>724.55949200368627</v>
      </c>
    </row>
    <row r="103" spans="2:55" x14ac:dyDescent="0.25">
      <c r="B103" s="41">
        <v>15100</v>
      </c>
      <c r="C103" s="16">
        <v>109</v>
      </c>
      <c r="D103" s="65">
        <f t="shared" si="31"/>
        <v>81.281300000000002</v>
      </c>
      <c r="E103" s="16">
        <f t="shared" si="32"/>
        <v>81281.3</v>
      </c>
      <c r="F103" s="21">
        <f t="shared" si="33"/>
        <v>37.911788079470199</v>
      </c>
      <c r="H103" s="16">
        <v>30.365735477603501</v>
      </c>
      <c r="I103" s="64">
        <v>39.222408325237851</v>
      </c>
      <c r="J103" s="16">
        <v>47.066889990285418</v>
      </c>
      <c r="K103" s="64">
        <v>54.307949988790874</v>
      </c>
      <c r="L103" s="16">
        <v>61.012635172592219</v>
      </c>
      <c r="M103" s="16">
        <v>68.212884043891933</v>
      </c>
      <c r="O103" s="118">
        <f t="shared" si="34"/>
        <v>109.31664771937261</v>
      </c>
      <c r="P103" s="118">
        <f t="shared" si="35"/>
        <v>141.20066997085627</v>
      </c>
      <c r="Q103" s="118">
        <f t="shared" si="36"/>
        <v>169.4408039650275</v>
      </c>
      <c r="R103" s="118">
        <f t="shared" si="37"/>
        <v>195.50861995964715</v>
      </c>
      <c r="S103" s="118">
        <f t="shared" si="38"/>
        <v>219.645486621332</v>
      </c>
      <c r="T103" s="118">
        <f t="shared" si="39"/>
        <v>245.56638255801096</v>
      </c>
      <c r="U103" s="1"/>
      <c r="V103" s="16">
        <f t="shared" si="40"/>
        <v>2676.7439919230574</v>
      </c>
      <c r="W103" s="16">
        <f t="shared" si="41"/>
        <v>2072.3179292307545</v>
      </c>
      <c r="X103" s="16">
        <f t="shared" si="42"/>
        <v>1726.9316076922953</v>
      </c>
      <c r="Y103" s="16">
        <f t="shared" si="43"/>
        <v>1496.6740599999891</v>
      </c>
      <c r="Z103" s="16">
        <f t="shared" si="44"/>
        <v>1332.2043830769135</v>
      </c>
      <c r="AA103" s="16">
        <f t="shared" si="45"/>
        <v>1191.5828093076834</v>
      </c>
      <c r="AB103" s="1"/>
      <c r="AC103" s="16">
        <f>0.5*'Gearing Calculator'!$C$15*'Gearing Calculator'!$C$20*'Gearing Calculator'!$U$20*(Forces!H103^2)</f>
        <v>77.599770119893762</v>
      </c>
      <c r="AD103" s="16">
        <f>0.5*'Gearing Calculator'!$C$15*'Gearing Calculator'!$C$20*'Gearing Calculator'!$U$20*(Forces!I103^2)</f>
        <v>129.46767202294774</v>
      </c>
      <c r="AE103" s="16">
        <f>0.5*'Gearing Calculator'!$C$15*'Gearing Calculator'!$C$20*'Gearing Calculator'!$U$20*(Forces!J103^2)</f>
        <v>186.4334477130447</v>
      </c>
      <c r="AF103" s="16">
        <f>0.5*'Gearing Calculator'!$C$15*'Gearing Calculator'!$C$20*'Gearing Calculator'!$U$20*(Forces!K103^2)</f>
        <v>248.21021145227851</v>
      </c>
      <c r="AG103" s="16">
        <f>0.5*'Gearing Calculator'!$C$15*'Gearing Calculator'!$C$20*'Gearing Calculator'!$U$20*(Forces!L103^2)</f>
        <v>313.27979896910819</v>
      </c>
      <c r="AH103" s="16">
        <f>0.5*'Gearing Calculator'!$C$15*'Gearing Calculator'!$C$20*'Gearing Calculator'!$U$20*(Forces!M103^2)</f>
        <v>391.58464127923725</v>
      </c>
      <c r="AI103" s="1"/>
      <c r="AJ103" s="16">
        <f t="shared" si="46"/>
        <v>2599.1442218031634</v>
      </c>
      <c r="AK103" s="16">
        <f t="shared" si="47"/>
        <v>1942.8502572078069</v>
      </c>
      <c r="AL103" s="16">
        <f t="shared" si="48"/>
        <v>1540.4981599792507</v>
      </c>
      <c r="AM103" s="16">
        <f t="shared" si="49"/>
        <v>1248.4638485477105</v>
      </c>
      <c r="AN103" s="16">
        <f t="shared" si="50"/>
        <v>1018.9245841078052</v>
      </c>
      <c r="AO103" s="16">
        <f t="shared" si="51"/>
        <v>799.99816802844612</v>
      </c>
      <c r="AP103" s="1"/>
      <c r="AQ103" s="16">
        <f>0.5*'Gearing Calculator'!$C$15*'Gearing Calculator'!$C$20*'Gearing Calculator'!$W$20*(Forces!H103^2)</f>
        <v>97.592723993578176</v>
      </c>
      <c r="AR103" s="16">
        <f>0.5*'Gearing Calculator'!$C$15*'Gearing Calculator'!$C$20*'Gearing Calculator'!$W$20*(Forces!I103^2)</f>
        <v>162.82397180178577</v>
      </c>
      <c r="AS103" s="16">
        <f>0.5*'Gearing Calculator'!$C$15*'Gearing Calculator'!$C$20*'Gearing Calculator'!$W$20*(Forces!J103^2)</f>
        <v>234.46651939457149</v>
      </c>
      <c r="AT103" s="16">
        <f>0.5*'Gearing Calculator'!$C$15*'Gearing Calculator'!$C$20*'Gearing Calculator'!$W$20*(Forces!K103^2)</f>
        <v>312.15956724129347</v>
      </c>
      <c r="AU103" s="16">
        <f>0.5*'Gearing Calculator'!$C$15*'Gearing Calculator'!$C$20*'Gearing Calculator'!$W$20*(Forces!L103^2)</f>
        <v>393.9938083104941</v>
      </c>
      <c r="AV103" s="16">
        <f>0.5*'Gearing Calculator'!$C$15*'Gearing Calculator'!$C$20*'Gearing Calculator'!$W$20*(Forces!M103^2)</f>
        <v>492.47326064812364</v>
      </c>
      <c r="AW103" s="1"/>
      <c r="AX103" s="16">
        <f t="shared" si="52"/>
        <v>2579.1512679294792</v>
      </c>
      <c r="AY103" s="16">
        <f t="shared" si="53"/>
        <v>1909.4939574289688</v>
      </c>
      <c r="AZ103" s="16">
        <f t="shared" si="54"/>
        <v>1492.4650882977239</v>
      </c>
      <c r="BA103" s="16">
        <f t="shared" si="55"/>
        <v>1184.5144927586957</v>
      </c>
      <c r="BB103" s="16">
        <f t="shared" si="56"/>
        <v>938.21057476641931</v>
      </c>
      <c r="BC103" s="16">
        <f t="shared" si="57"/>
        <v>699.10954865955978</v>
      </c>
    </row>
    <row r="104" spans="2:55" x14ac:dyDescent="0.25">
      <c r="B104" s="41">
        <v>15200</v>
      </c>
      <c r="C104" s="16">
        <v>108</v>
      </c>
      <c r="D104" s="65">
        <f t="shared" si="31"/>
        <v>80.535600000000002</v>
      </c>
      <c r="E104" s="16">
        <f t="shared" si="32"/>
        <v>80535.600000000006</v>
      </c>
      <c r="F104" s="21">
        <f t="shared" si="33"/>
        <v>37.316842105263156</v>
      </c>
      <c r="H104" s="16">
        <v>30.566833063547897</v>
      </c>
      <c r="I104" s="64">
        <v>39.482159373749369</v>
      </c>
      <c r="J104" s="16">
        <v>47.378591248499227</v>
      </c>
      <c r="K104" s="64">
        <v>54.667605286729881</v>
      </c>
      <c r="L104" s="16">
        <v>61.416692359165658</v>
      </c>
      <c r="M104" s="16">
        <v>68.664624997824987</v>
      </c>
      <c r="O104" s="118">
        <f t="shared" si="34"/>
        <v>110.04059902877243</v>
      </c>
      <c r="P104" s="118">
        <f t="shared" si="35"/>
        <v>142.13577374549774</v>
      </c>
      <c r="Q104" s="118">
        <f t="shared" si="36"/>
        <v>170.56292849459723</v>
      </c>
      <c r="R104" s="118">
        <f t="shared" si="37"/>
        <v>196.80337903222758</v>
      </c>
      <c r="S104" s="118">
        <f t="shared" si="38"/>
        <v>221.10009249299637</v>
      </c>
      <c r="T104" s="118">
        <f t="shared" si="39"/>
        <v>247.19264999216995</v>
      </c>
      <c r="U104" s="1"/>
      <c r="V104" s="16">
        <f t="shared" si="40"/>
        <v>2634.7381108330046</v>
      </c>
      <c r="W104" s="16">
        <f t="shared" si="41"/>
        <v>2039.7972470965196</v>
      </c>
      <c r="X104" s="16">
        <f t="shared" si="42"/>
        <v>1699.8310392471001</v>
      </c>
      <c r="Y104" s="16">
        <f t="shared" si="43"/>
        <v>1473.1869006808201</v>
      </c>
      <c r="Z104" s="16">
        <f t="shared" si="44"/>
        <v>1311.2982302763346</v>
      </c>
      <c r="AA104" s="16">
        <f t="shared" si="45"/>
        <v>1172.8834170804987</v>
      </c>
      <c r="AB104" s="1"/>
      <c r="AC104" s="16">
        <f>0.5*'Gearing Calculator'!$C$15*'Gearing Calculator'!$C$20*'Gearing Calculator'!$U$20*(Forces!H104^2)</f>
        <v>78.630984994080336</v>
      </c>
      <c r="AD104" s="16">
        <f>0.5*'Gearing Calculator'!$C$15*'Gearing Calculator'!$C$20*'Gearing Calculator'!$U$20*(Forces!I104^2)</f>
        <v>131.18815378352642</v>
      </c>
      <c r="AE104" s="16">
        <f>0.5*'Gearing Calculator'!$C$15*'Gearing Calculator'!$C$20*'Gearing Calculator'!$U$20*(Forces!J104^2)</f>
        <v>188.9109414482779</v>
      </c>
      <c r="AF104" s="16">
        <f>0.5*'Gearing Calculator'!$C$15*'Gearing Calculator'!$C$20*'Gearing Calculator'!$U$20*(Forces!K104^2)</f>
        <v>251.50864985717479</v>
      </c>
      <c r="AG104" s="16">
        <f>0.5*'Gearing Calculator'!$C$15*'Gearing Calculator'!$C$20*'Gearing Calculator'!$U$20*(Forces!L104^2)</f>
        <v>317.44294001939699</v>
      </c>
      <c r="AH104" s="16">
        <f>0.5*'Gearing Calculator'!$C$15*'Gearing Calculator'!$C$20*'Gearing Calculator'!$U$20*(Forces!M104^2)</f>
        <v>396.78836683108176</v>
      </c>
      <c r="AI104" s="1"/>
      <c r="AJ104" s="16">
        <f t="shared" si="46"/>
        <v>2556.1071258389243</v>
      </c>
      <c r="AK104" s="16">
        <f t="shared" si="47"/>
        <v>1908.6090933129933</v>
      </c>
      <c r="AL104" s="16">
        <f t="shared" si="48"/>
        <v>1510.9200977988221</v>
      </c>
      <c r="AM104" s="16">
        <f t="shared" si="49"/>
        <v>1221.6782508236454</v>
      </c>
      <c r="AN104" s="16">
        <f t="shared" si="50"/>
        <v>993.85529025693768</v>
      </c>
      <c r="AO104" s="16">
        <f t="shared" si="51"/>
        <v>776.095050249417</v>
      </c>
      <c r="AP104" s="1"/>
      <c r="AQ104" s="16">
        <f>0.5*'Gearing Calculator'!$C$15*'Gearing Calculator'!$C$20*'Gearing Calculator'!$W$20*(Forces!H104^2)</f>
        <v>98.889623049323745</v>
      </c>
      <c r="AR104" s="16">
        <f>0.5*'Gearing Calculator'!$C$15*'Gearing Calculator'!$C$20*'Gearing Calculator'!$W$20*(Forces!I104^2)</f>
        <v>164.9877217888891</v>
      </c>
      <c r="AS104" s="16">
        <f>0.5*'Gearing Calculator'!$C$15*'Gearing Calculator'!$C$20*'Gearing Calculator'!$W$20*(Forces!J104^2)</f>
        <v>237.58231937600013</v>
      </c>
      <c r="AT104" s="16">
        <f>0.5*'Gearing Calculator'!$C$15*'Gearing Calculator'!$C$20*'Gearing Calculator'!$W$20*(Forces!K104^2)</f>
        <v>316.30782165443816</v>
      </c>
      <c r="AU104" s="16">
        <f>0.5*'Gearing Calculator'!$C$15*'Gearing Calculator'!$C$20*'Gearing Calculator'!$W$20*(Forces!L104^2)</f>
        <v>399.2295490200276</v>
      </c>
      <c r="AV104" s="16">
        <f>0.5*'Gearing Calculator'!$C$15*'Gearing Calculator'!$C$20*'Gearing Calculator'!$W$20*(Forces!M104^2)</f>
        <v>499.01768404956999</v>
      </c>
      <c r="AW104" s="1"/>
      <c r="AX104" s="16">
        <f t="shared" si="52"/>
        <v>2535.8484877836809</v>
      </c>
      <c r="AY104" s="16">
        <f t="shared" si="53"/>
        <v>1874.8095253076306</v>
      </c>
      <c r="AZ104" s="16">
        <f t="shared" si="54"/>
        <v>1462.2487198710999</v>
      </c>
      <c r="BA104" s="16">
        <f t="shared" si="55"/>
        <v>1156.879079026382</v>
      </c>
      <c r="BB104" s="16">
        <f t="shared" si="56"/>
        <v>912.06868125630695</v>
      </c>
      <c r="BC104" s="16">
        <f t="shared" si="57"/>
        <v>673.86573303092871</v>
      </c>
    </row>
    <row r="105" spans="2:55" x14ac:dyDescent="0.25">
      <c r="B105" s="41">
        <v>15300</v>
      </c>
      <c r="C105" s="16">
        <v>107</v>
      </c>
      <c r="D105" s="65">
        <f t="shared" si="31"/>
        <v>79.789900000000003</v>
      </c>
      <c r="E105" s="16">
        <f t="shared" si="32"/>
        <v>79789.900000000009</v>
      </c>
      <c r="F105" s="21">
        <f t="shared" si="33"/>
        <v>36.729673202614379</v>
      </c>
      <c r="H105" s="16">
        <v>30.767930649492286</v>
      </c>
      <c r="I105" s="64">
        <v>39.741910422260872</v>
      </c>
      <c r="J105" s="16">
        <v>47.690292506713043</v>
      </c>
      <c r="K105" s="64">
        <v>55.027260584668895</v>
      </c>
      <c r="L105" s="16">
        <v>61.820749545739126</v>
      </c>
      <c r="M105" s="16">
        <v>69.116365951758041</v>
      </c>
      <c r="O105" s="118">
        <f t="shared" si="34"/>
        <v>110.76455033817223</v>
      </c>
      <c r="P105" s="118">
        <f t="shared" si="35"/>
        <v>143.07087752013913</v>
      </c>
      <c r="Q105" s="118">
        <f t="shared" si="36"/>
        <v>171.68505302416696</v>
      </c>
      <c r="R105" s="118">
        <f t="shared" si="37"/>
        <v>198.09813810480802</v>
      </c>
      <c r="S105" s="118">
        <f t="shared" si="38"/>
        <v>222.55469836466085</v>
      </c>
      <c r="T105" s="118">
        <f t="shared" si="39"/>
        <v>248.81891742632897</v>
      </c>
      <c r="U105" s="1"/>
      <c r="V105" s="16">
        <f t="shared" si="40"/>
        <v>2593.2813262277896</v>
      </c>
      <c r="W105" s="16">
        <f t="shared" si="41"/>
        <v>2007.7016719182884</v>
      </c>
      <c r="X105" s="16">
        <f t="shared" si="42"/>
        <v>1673.084726598574</v>
      </c>
      <c r="Y105" s="16">
        <f t="shared" si="43"/>
        <v>1450.0067630520973</v>
      </c>
      <c r="Z105" s="16">
        <f t="shared" si="44"/>
        <v>1290.6653605188999</v>
      </c>
      <c r="AA105" s="16">
        <f t="shared" si="45"/>
        <v>1154.4284613530158</v>
      </c>
      <c r="AB105" s="1"/>
      <c r="AC105" s="16">
        <f>0.5*'Gearing Calculator'!$C$15*'Gearing Calculator'!$C$20*'Gearing Calculator'!$U$20*(Forces!H105^2)</f>
        <v>79.669006567106379</v>
      </c>
      <c r="AD105" s="16">
        <f>0.5*'Gearing Calculator'!$C$15*'Gearing Calculator'!$C$20*'Gearing Calculator'!$U$20*(Forces!I105^2)</f>
        <v>132.91999185935634</v>
      </c>
      <c r="AE105" s="16">
        <f>0.5*'Gearing Calculator'!$C$15*'Gearing Calculator'!$C$20*'Gearing Calculator'!$U$20*(Forces!J105^2)</f>
        <v>191.4047882774731</v>
      </c>
      <c r="AF105" s="16">
        <f>0.5*'Gearing Calculator'!$C$15*'Gearing Calculator'!$C$20*'Gearing Calculator'!$U$20*(Forces!K105^2)</f>
        <v>254.82886013273045</v>
      </c>
      <c r="AG105" s="16">
        <f>0.5*'Gearing Calculator'!$C$15*'Gearing Calculator'!$C$20*'Gearing Calculator'!$U$20*(Forces!L105^2)</f>
        <v>321.63356054856587</v>
      </c>
      <c r="AH105" s="16">
        <f>0.5*'Gearing Calculator'!$C$15*'Gearing Calculator'!$C$20*'Gearing Calculator'!$U$20*(Forces!M105^2)</f>
        <v>402.0264404063708</v>
      </c>
      <c r="AI105" s="1"/>
      <c r="AJ105" s="16">
        <f t="shared" si="46"/>
        <v>2513.6123196606832</v>
      </c>
      <c r="AK105" s="16">
        <f t="shared" si="47"/>
        <v>1874.7816800589321</v>
      </c>
      <c r="AL105" s="16">
        <f t="shared" si="48"/>
        <v>1481.679938321101</v>
      </c>
      <c r="AM105" s="16">
        <f t="shared" si="49"/>
        <v>1195.1779029193669</v>
      </c>
      <c r="AN105" s="16">
        <f t="shared" si="50"/>
        <v>969.03179997033408</v>
      </c>
      <c r="AO105" s="16">
        <f t="shared" si="51"/>
        <v>752.40202094664505</v>
      </c>
      <c r="AP105" s="1"/>
      <c r="AQ105" s="16">
        <f>0.5*'Gearing Calculator'!$C$15*'Gearing Calculator'!$C$20*'Gearing Calculator'!$W$20*(Forces!H105^2)</f>
        <v>100.19508249487615</v>
      </c>
      <c r="AR105" s="16">
        <f>0.5*'Gearing Calculator'!$C$15*'Gearing Calculator'!$C$20*'Gearing Calculator'!$W$20*(Forces!I105^2)</f>
        <v>167.16575395412499</v>
      </c>
      <c r="AS105" s="16">
        <f>0.5*'Gearing Calculator'!$C$15*'Gearing Calculator'!$C$20*'Gearing Calculator'!$W$20*(Forces!J105^2)</f>
        <v>240.71868569393996</v>
      </c>
      <c r="AT105" s="16">
        <f>0.5*'Gearing Calculator'!$C$15*'Gearing Calculator'!$C$20*'Gearing Calculator'!$W$20*(Forces!K105^2)</f>
        <v>320.48345728483133</v>
      </c>
      <c r="AU105" s="16">
        <f>0.5*'Gearing Calculator'!$C$15*'Gearing Calculator'!$C$20*'Gearing Calculator'!$W$20*(Forces!L105^2)</f>
        <v>404.49984907417888</v>
      </c>
      <c r="AV105" s="16">
        <f>0.5*'Gearing Calculator'!$C$15*'Gearing Calculator'!$C$20*'Gearing Calculator'!$W$20*(Forces!M105^2)</f>
        <v>505.60530496521744</v>
      </c>
      <c r="AW105" s="1"/>
      <c r="AX105" s="16">
        <f t="shared" si="52"/>
        <v>2493.0862437329133</v>
      </c>
      <c r="AY105" s="16">
        <f t="shared" si="53"/>
        <v>1840.5359179641634</v>
      </c>
      <c r="AZ105" s="16">
        <f t="shared" si="54"/>
        <v>1432.366040904634</v>
      </c>
      <c r="BA105" s="16">
        <f t="shared" si="55"/>
        <v>1129.523305767266</v>
      </c>
      <c r="BB105" s="16">
        <f t="shared" si="56"/>
        <v>886.16551144472101</v>
      </c>
      <c r="BC105" s="16">
        <f t="shared" si="57"/>
        <v>648.82315638779835</v>
      </c>
    </row>
    <row r="106" spans="2:55" x14ac:dyDescent="0.25">
      <c r="B106" s="41">
        <v>15400</v>
      </c>
      <c r="C106" s="16">
        <v>106.5</v>
      </c>
      <c r="D106" s="65">
        <f t="shared" si="31"/>
        <v>79.417050000000003</v>
      </c>
      <c r="E106" s="16">
        <f t="shared" si="32"/>
        <v>79417.05</v>
      </c>
      <c r="F106" s="21">
        <f t="shared" si="33"/>
        <v>36.320649350649347</v>
      </c>
      <c r="H106" s="16">
        <v>30.969028235436681</v>
      </c>
      <c r="I106" s="64">
        <v>40.001661470772383</v>
      </c>
      <c r="J106" s="16">
        <v>48.001993764926851</v>
      </c>
      <c r="K106" s="64">
        <v>55.386915882607909</v>
      </c>
      <c r="L106" s="16">
        <v>62.22480673231258</v>
      </c>
      <c r="M106" s="16">
        <v>69.56810690569111</v>
      </c>
      <c r="O106" s="118">
        <f t="shared" si="34"/>
        <v>111.48850164757205</v>
      </c>
      <c r="P106" s="118">
        <f t="shared" si="35"/>
        <v>144.00598129478058</v>
      </c>
      <c r="Q106" s="118">
        <f t="shared" si="36"/>
        <v>172.80717755373666</v>
      </c>
      <c r="R106" s="118">
        <f t="shared" si="37"/>
        <v>199.39289717738848</v>
      </c>
      <c r="S106" s="118">
        <f t="shared" si="38"/>
        <v>224.00930423632528</v>
      </c>
      <c r="T106" s="118">
        <f t="shared" si="39"/>
        <v>250.44518486048801</v>
      </c>
      <c r="U106" s="1"/>
      <c r="V106" s="16">
        <f t="shared" si="40"/>
        <v>2564.4023892595405</v>
      </c>
      <c r="W106" s="16">
        <f t="shared" si="41"/>
        <v>1985.3437852331926</v>
      </c>
      <c r="X106" s="16">
        <f t="shared" si="42"/>
        <v>1654.4531543609942</v>
      </c>
      <c r="Y106" s="16">
        <f t="shared" si="43"/>
        <v>1433.8594004461947</v>
      </c>
      <c r="Z106" s="16">
        <f t="shared" si="44"/>
        <v>1276.2924333641956</v>
      </c>
      <c r="AA106" s="16">
        <f t="shared" si="45"/>
        <v>1141.5726765090856</v>
      </c>
      <c r="AB106" s="1"/>
      <c r="AC106" s="16">
        <f>0.5*'Gearing Calculator'!$C$15*'Gearing Calculator'!$C$20*'Gearing Calculator'!$U$20*(Forces!H106^2)</f>
        <v>80.713834838971991</v>
      </c>
      <c r="AD106" s="16">
        <f>0.5*'Gearing Calculator'!$C$15*'Gearing Calculator'!$C$20*'Gearing Calculator'!$U$20*(Forces!I106^2)</f>
        <v>134.66318625043766</v>
      </c>
      <c r="AE106" s="16">
        <f>0.5*'Gearing Calculator'!$C$15*'Gearing Calculator'!$C$20*'Gearing Calculator'!$U$20*(Forces!J106^2)</f>
        <v>193.91498820063018</v>
      </c>
      <c r="AF106" s="16">
        <f>0.5*'Gearing Calculator'!$C$15*'Gearing Calculator'!$C$20*'Gearing Calculator'!$U$20*(Forces!K106^2)</f>
        <v>258.17084227894554</v>
      </c>
      <c r="AG106" s="16">
        <f>0.5*'Gearing Calculator'!$C$15*'Gearing Calculator'!$C$20*'Gearing Calculator'!$U$20*(Forces!L106^2)</f>
        <v>325.85166055661443</v>
      </c>
      <c r="AH106" s="16">
        <f>0.5*'Gearing Calculator'!$C$15*'Gearing Calculator'!$C$20*'Gearing Calculator'!$U$20*(Forces!M106^2)</f>
        <v>407.29886200510458</v>
      </c>
      <c r="AI106" s="1"/>
      <c r="AJ106" s="16">
        <f t="shared" si="46"/>
        <v>2483.6885544205684</v>
      </c>
      <c r="AK106" s="16">
        <f t="shared" si="47"/>
        <v>1850.6805989827549</v>
      </c>
      <c r="AL106" s="16">
        <f t="shared" si="48"/>
        <v>1460.538166160364</v>
      </c>
      <c r="AM106" s="16">
        <f t="shared" si="49"/>
        <v>1175.6885581672491</v>
      </c>
      <c r="AN106" s="16">
        <f t="shared" si="50"/>
        <v>950.4407728075812</v>
      </c>
      <c r="AO106" s="16">
        <f t="shared" si="51"/>
        <v>734.27381450398093</v>
      </c>
      <c r="AP106" s="1"/>
      <c r="AQ106" s="16">
        <f>0.5*'Gearing Calculator'!$C$15*'Gearing Calculator'!$C$20*'Gearing Calculator'!$W$20*(Forces!H106^2)</f>
        <v>101.50910233023552</v>
      </c>
      <c r="AR106" s="16">
        <f>0.5*'Gearing Calculator'!$C$15*'Gearing Calculator'!$C$20*'Gearing Calculator'!$W$20*(Forces!I106^2)</f>
        <v>169.35806829749365</v>
      </c>
      <c r="AS106" s="16">
        <f>0.5*'Gearing Calculator'!$C$15*'Gearing Calculator'!$C$20*'Gearing Calculator'!$W$20*(Forces!J106^2)</f>
        <v>243.87561834839076</v>
      </c>
      <c r="AT106" s="16">
        <f>0.5*'Gearing Calculator'!$C$15*'Gearing Calculator'!$C$20*'Gearing Calculator'!$W$20*(Forces!K106^2)</f>
        <v>324.68647413247294</v>
      </c>
      <c r="AU106" s="16">
        <f>0.5*'Gearing Calculator'!$C$15*'Gearing Calculator'!$C$20*'Gearing Calculator'!$W$20*(Forces!L106^2)</f>
        <v>409.80470847294737</v>
      </c>
      <c r="AV106" s="16">
        <f>0.5*'Gearing Calculator'!$C$15*'Gearing Calculator'!$C$20*'Gearing Calculator'!$W$20*(Forces!M106^2)</f>
        <v>512.23612339506599</v>
      </c>
      <c r="AW106" s="1"/>
      <c r="AX106" s="16">
        <f t="shared" si="52"/>
        <v>2462.8932869293048</v>
      </c>
      <c r="AY106" s="16">
        <f t="shared" si="53"/>
        <v>1815.985716935699</v>
      </c>
      <c r="AZ106" s="16">
        <f t="shared" si="54"/>
        <v>1410.5775360126033</v>
      </c>
      <c r="BA106" s="16">
        <f t="shared" si="55"/>
        <v>1109.1729263137217</v>
      </c>
      <c r="BB106" s="16">
        <f t="shared" si="56"/>
        <v>866.48772489124826</v>
      </c>
      <c r="BC106" s="16">
        <f t="shared" si="57"/>
        <v>629.33655311401958</v>
      </c>
    </row>
    <row r="107" spans="2:55" x14ac:dyDescent="0.25">
      <c r="B107" s="41">
        <v>15500</v>
      </c>
      <c r="C107" s="16">
        <v>106</v>
      </c>
      <c r="D107" s="65">
        <f t="shared" si="31"/>
        <v>79.044200000000004</v>
      </c>
      <c r="E107" s="16">
        <f t="shared" si="32"/>
        <v>79044.2</v>
      </c>
      <c r="F107" s="21">
        <f t="shared" si="33"/>
        <v>35.91690322580645</v>
      </c>
      <c r="H107" s="16">
        <v>31.17012582138107</v>
      </c>
      <c r="I107" s="64">
        <v>40.261412519283887</v>
      </c>
      <c r="J107" s="16">
        <v>48.313695023140667</v>
      </c>
      <c r="K107" s="64">
        <v>55.746571180546923</v>
      </c>
      <c r="L107" s="16">
        <v>62.62886391888604</v>
      </c>
      <c r="M107" s="16">
        <v>70.019847859624178</v>
      </c>
      <c r="O107" s="118">
        <f t="shared" si="34"/>
        <v>112.21245295697186</v>
      </c>
      <c r="P107" s="118">
        <f t="shared" si="35"/>
        <v>144.941085069422</v>
      </c>
      <c r="Q107" s="118">
        <f t="shared" si="36"/>
        <v>173.9293020833064</v>
      </c>
      <c r="R107" s="118">
        <f t="shared" si="37"/>
        <v>200.68765624996894</v>
      </c>
      <c r="S107" s="118">
        <f t="shared" si="38"/>
        <v>225.46391010798976</v>
      </c>
      <c r="T107" s="118">
        <f t="shared" si="39"/>
        <v>252.07145229464706</v>
      </c>
      <c r="U107" s="1"/>
      <c r="V107" s="16">
        <f t="shared" si="40"/>
        <v>2535.8960837360441</v>
      </c>
      <c r="W107" s="16">
        <f t="shared" si="41"/>
        <v>1963.27438740855</v>
      </c>
      <c r="X107" s="16">
        <f t="shared" si="42"/>
        <v>1636.061989507125</v>
      </c>
      <c r="Y107" s="16">
        <f t="shared" si="43"/>
        <v>1417.9203909061748</v>
      </c>
      <c r="Z107" s="16">
        <f t="shared" si="44"/>
        <v>1262.1049633340679</v>
      </c>
      <c r="AA107" s="16">
        <f t="shared" si="45"/>
        <v>1128.8827727599157</v>
      </c>
      <c r="AB107" s="1"/>
      <c r="AC107" s="16">
        <f>0.5*'Gearing Calculator'!$C$15*'Gearing Calculator'!$C$20*'Gearing Calculator'!$U$20*(Forces!H107^2)</f>
        <v>81.765469809677072</v>
      </c>
      <c r="AD107" s="16">
        <f>0.5*'Gearing Calculator'!$C$15*'Gearing Calculator'!$C$20*'Gearing Calculator'!$U$20*(Forces!I107^2)</f>
        <v>136.41773695677028</v>
      </c>
      <c r="AE107" s="16">
        <f>0.5*'Gearing Calculator'!$C$15*'Gearing Calculator'!$C$20*'Gearing Calculator'!$U$20*(Forces!J107^2)</f>
        <v>196.44154121774923</v>
      </c>
      <c r="AF107" s="16">
        <f>0.5*'Gearing Calculator'!$C$15*'Gearing Calculator'!$C$20*'Gearing Calculator'!$U$20*(Forces!K107^2)</f>
        <v>261.53459629581999</v>
      </c>
      <c r="AG107" s="16">
        <f>0.5*'Gearing Calculator'!$C$15*'Gearing Calculator'!$C$20*'Gearing Calculator'!$U$20*(Forces!L107^2)</f>
        <v>330.09724004354285</v>
      </c>
      <c r="AH107" s="16">
        <f>0.5*'Gearing Calculator'!$C$15*'Gearing Calculator'!$C$20*'Gearing Calculator'!$U$20*(Forces!M107^2)</f>
        <v>412.60563162728289</v>
      </c>
      <c r="AI107" s="1"/>
      <c r="AJ107" s="16">
        <f t="shared" si="46"/>
        <v>2454.130613926367</v>
      </c>
      <c r="AK107" s="16">
        <f t="shared" si="47"/>
        <v>1826.8566504517796</v>
      </c>
      <c r="AL107" s="16">
        <f t="shared" si="48"/>
        <v>1439.6204482893756</v>
      </c>
      <c r="AM107" s="16">
        <f t="shared" si="49"/>
        <v>1156.3857946103549</v>
      </c>
      <c r="AN107" s="16">
        <f t="shared" si="50"/>
        <v>932.00772329052506</v>
      </c>
      <c r="AO107" s="16">
        <f t="shared" si="51"/>
        <v>716.27714113263278</v>
      </c>
      <c r="AP107" s="1"/>
      <c r="AQ107" s="16">
        <f>0.5*'Gearing Calculator'!$C$15*'Gearing Calculator'!$C$20*'Gearing Calculator'!$W$20*(Forces!H107^2)</f>
        <v>102.83168255540174</v>
      </c>
      <c r="AR107" s="16">
        <f>0.5*'Gearing Calculator'!$C$15*'Gearing Calculator'!$C$20*'Gearing Calculator'!$W$20*(Forces!I107^2)</f>
        <v>171.56466481899494</v>
      </c>
      <c r="AS107" s="16">
        <f>0.5*'Gearing Calculator'!$C$15*'Gearing Calculator'!$C$20*'Gearing Calculator'!$W$20*(Forces!J107^2)</f>
        <v>247.05311733935272</v>
      </c>
      <c r="AT107" s="16">
        <f>0.5*'Gearing Calculator'!$C$15*'Gearing Calculator'!$C$20*'Gearing Calculator'!$W$20*(Forces!K107^2)</f>
        <v>328.91687219736315</v>
      </c>
      <c r="AU107" s="16">
        <f>0.5*'Gearing Calculator'!$C$15*'Gearing Calculator'!$C$20*'Gearing Calculator'!$W$20*(Forces!L107^2)</f>
        <v>415.14412721633335</v>
      </c>
      <c r="AV107" s="16">
        <f>0.5*'Gearing Calculator'!$C$15*'Gearing Calculator'!$C$20*'Gearing Calculator'!$W$20*(Forces!M107^2)</f>
        <v>518.91013933911552</v>
      </c>
      <c r="AW107" s="1"/>
      <c r="AX107" s="16">
        <f t="shared" si="52"/>
        <v>2433.0644011806426</v>
      </c>
      <c r="AY107" s="16">
        <f t="shared" si="53"/>
        <v>1791.709722589555</v>
      </c>
      <c r="AZ107" s="16">
        <f t="shared" si="54"/>
        <v>1389.0088721677723</v>
      </c>
      <c r="BA107" s="16">
        <f t="shared" si="55"/>
        <v>1089.0035187088117</v>
      </c>
      <c r="BB107" s="16">
        <f t="shared" si="56"/>
        <v>846.96083611773452</v>
      </c>
      <c r="BC107" s="16">
        <f t="shared" si="57"/>
        <v>609.97263342080021</v>
      </c>
    </row>
    <row r="108" spans="2:55" x14ac:dyDescent="0.25">
      <c r="B108" s="41">
        <v>15600</v>
      </c>
      <c r="C108" s="16">
        <v>105.5</v>
      </c>
      <c r="D108" s="65">
        <f t="shared" si="31"/>
        <v>78.671350000000004</v>
      </c>
      <c r="E108" s="16">
        <f t="shared" si="32"/>
        <v>78671.350000000006</v>
      </c>
      <c r="F108" s="21">
        <f t="shared" si="33"/>
        <v>35.518333333333331</v>
      </c>
      <c r="H108" s="16">
        <v>31.371223407325463</v>
      </c>
      <c r="I108" s="64">
        <v>40.521163567795398</v>
      </c>
      <c r="J108" s="16">
        <v>48.625396281354476</v>
      </c>
      <c r="K108" s="64">
        <v>56.106226478485937</v>
      </c>
      <c r="L108" s="16">
        <v>63.032921105459508</v>
      </c>
      <c r="M108" s="16">
        <v>70.471588813557233</v>
      </c>
      <c r="O108" s="118">
        <f t="shared" si="34"/>
        <v>112.93640426637167</v>
      </c>
      <c r="P108" s="118">
        <f t="shared" si="35"/>
        <v>145.87618884406345</v>
      </c>
      <c r="Q108" s="118">
        <f t="shared" si="36"/>
        <v>175.05142661287613</v>
      </c>
      <c r="R108" s="118">
        <f t="shared" si="37"/>
        <v>201.98241532254937</v>
      </c>
      <c r="S108" s="118">
        <f t="shared" si="38"/>
        <v>226.91851597965425</v>
      </c>
      <c r="T108" s="118">
        <f t="shared" si="39"/>
        <v>253.69771972880605</v>
      </c>
      <c r="U108" s="1"/>
      <c r="V108" s="16">
        <f t="shared" si="40"/>
        <v>2507.7552436679771</v>
      </c>
      <c r="W108" s="16">
        <f t="shared" si="41"/>
        <v>1941.4879305816592</v>
      </c>
      <c r="X108" s="16">
        <f t="shared" si="42"/>
        <v>1617.9066088180493</v>
      </c>
      <c r="Y108" s="16">
        <f t="shared" si="43"/>
        <v>1402.1857276423093</v>
      </c>
      <c r="Z108" s="16">
        <f t="shared" si="44"/>
        <v>1248.0993839453522</v>
      </c>
      <c r="AA108" s="16">
        <f t="shared" si="45"/>
        <v>1116.3555600844536</v>
      </c>
      <c r="AB108" s="1"/>
      <c r="AC108" s="16">
        <f>0.5*'Gearing Calculator'!$C$15*'Gearing Calculator'!$C$20*'Gearing Calculator'!$U$20*(Forces!H108^2)</f>
        <v>82.823911479221692</v>
      </c>
      <c r="AD108" s="16">
        <f>0.5*'Gearing Calculator'!$C$15*'Gearing Calculator'!$C$20*'Gearing Calculator'!$U$20*(Forces!I108^2)</f>
        <v>138.1836439783543</v>
      </c>
      <c r="AE108" s="16">
        <f>0.5*'Gearing Calculator'!$C$15*'Gearing Calculator'!$C$20*'Gearing Calculator'!$U$20*(Forces!J108^2)</f>
        <v>198.98444732883019</v>
      </c>
      <c r="AF108" s="16">
        <f>0.5*'Gearing Calculator'!$C$15*'Gearing Calculator'!$C$20*'Gearing Calculator'!$U$20*(Forces!K108^2)</f>
        <v>264.92012218335378</v>
      </c>
      <c r="AG108" s="16">
        <f>0.5*'Gearing Calculator'!$C$15*'Gearing Calculator'!$C$20*'Gearing Calculator'!$U$20*(Forces!L108^2)</f>
        <v>334.37029900935119</v>
      </c>
      <c r="AH108" s="16">
        <f>0.5*'Gearing Calculator'!$C$15*'Gearing Calculator'!$C$20*'Gearing Calculator'!$U$20*(Forces!M108^2)</f>
        <v>417.94674927290549</v>
      </c>
      <c r="AI108" s="1"/>
      <c r="AJ108" s="16">
        <f t="shared" si="46"/>
        <v>2424.9313321887553</v>
      </c>
      <c r="AK108" s="16">
        <f t="shared" si="47"/>
        <v>1803.3042866033049</v>
      </c>
      <c r="AL108" s="16">
        <f t="shared" si="48"/>
        <v>1418.9221614892192</v>
      </c>
      <c r="AM108" s="16">
        <f t="shared" si="49"/>
        <v>1137.2656054589556</v>
      </c>
      <c r="AN108" s="16">
        <f t="shared" si="50"/>
        <v>913.72908493600107</v>
      </c>
      <c r="AO108" s="16">
        <f t="shared" si="51"/>
        <v>698.40881081154816</v>
      </c>
      <c r="AP108" s="1"/>
      <c r="AQ108" s="16">
        <f>0.5*'Gearing Calculator'!$C$15*'Gearing Calculator'!$C$20*'Gearing Calculator'!$W$20*(Forces!H108^2)</f>
        <v>104.16282317037486</v>
      </c>
      <c r="AR108" s="16">
        <f>0.5*'Gearing Calculator'!$C$15*'Gearing Calculator'!$C$20*'Gearing Calculator'!$W$20*(Forces!I108^2)</f>
        <v>173.78554351862897</v>
      </c>
      <c r="AS108" s="16">
        <f>0.5*'Gearing Calculator'!$C$15*'Gearing Calculator'!$C$20*'Gearing Calculator'!$W$20*(Forces!J108^2)</f>
        <v>250.25118266682574</v>
      </c>
      <c r="AT108" s="16">
        <f>0.5*'Gearing Calculator'!$C$15*'Gearing Calculator'!$C$20*'Gearing Calculator'!$W$20*(Forces!K108^2)</f>
        <v>333.17465147950173</v>
      </c>
      <c r="AU108" s="16">
        <f>0.5*'Gearing Calculator'!$C$15*'Gearing Calculator'!$C$20*'Gearing Calculator'!$W$20*(Forces!L108^2)</f>
        <v>420.51810530433681</v>
      </c>
      <c r="AV108" s="16">
        <f>0.5*'Gearing Calculator'!$C$15*'Gearing Calculator'!$C$20*'Gearing Calculator'!$W$20*(Forces!M108^2)</f>
        <v>525.6273527973658</v>
      </c>
      <c r="AW108" s="1"/>
      <c r="AX108" s="16">
        <f t="shared" si="52"/>
        <v>2403.5924204976022</v>
      </c>
      <c r="AY108" s="16">
        <f t="shared" si="53"/>
        <v>1767.7023870630301</v>
      </c>
      <c r="AZ108" s="16">
        <f t="shared" si="54"/>
        <v>1367.6554261512235</v>
      </c>
      <c r="BA108" s="16">
        <f t="shared" si="55"/>
        <v>1069.0110761628075</v>
      </c>
      <c r="BB108" s="16">
        <f t="shared" si="56"/>
        <v>827.58127864101539</v>
      </c>
      <c r="BC108" s="16">
        <f t="shared" si="57"/>
        <v>590.7282072870878</v>
      </c>
    </row>
    <row r="109" spans="2:55" ht="15.75" thickBot="1" x14ac:dyDescent="0.3">
      <c r="B109" s="41">
        <v>15700</v>
      </c>
      <c r="C109" s="18">
        <v>105</v>
      </c>
      <c r="D109" s="65">
        <f t="shared" si="31"/>
        <v>78.298500000000004</v>
      </c>
      <c r="E109" s="16">
        <f t="shared" si="32"/>
        <v>78298.5</v>
      </c>
      <c r="F109" s="21">
        <f t="shared" si="33"/>
        <v>35.124840764331211</v>
      </c>
      <c r="H109" s="16">
        <v>31.572320993269859</v>
      </c>
      <c r="I109" s="82">
        <v>40.780914616306909</v>
      </c>
      <c r="J109" s="16">
        <v>48.937097539568285</v>
      </c>
      <c r="K109" s="82">
        <v>56.465881776424943</v>
      </c>
      <c r="L109" s="80">
        <v>63.436978292032961</v>
      </c>
      <c r="M109" s="16">
        <v>70.923329767490273</v>
      </c>
      <c r="O109" s="118">
        <f t="shared" si="34"/>
        <v>113.66035557577149</v>
      </c>
      <c r="P109" s="118">
        <f t="shared" si="35"/>
        <v>146.81129261870487</v>
      </c>
      <c r="Q109" s="118">
        <f t="shared" si="36"/>
        <v>176.17355114244583</v>
      </c>
      <c r="R109" s="118">
        <f t="shared" si="37"/>
        <v>203.2771743951298</v>
      </c>
      <c r="S109" s="118">
        <f t="shared" si="38"/>
        <v>228.37312185131867</v>
      </c>
      <c r="T109" s="118">
        <f t="shared" si="39"/>
        <v>255.32398716296498</v>
      </c>
      <c r="U109" s="1"/>
      <c r="V109" s="16">
        <f t="shared" si="40"/>
        <v>2479.9728856389929</v>
      </c>
      <c r="W109" s="16">
        <f t="shared" si="41"/>
        <v>1919.9790082366392</v>
      </c>
      <c r="X109" s="16">
        <f t="shared" si="42"/>
        <v>1599.9825068638661</v>
      </c>
      <c r="Y109" s="16">
        <f t="shared" si="43"/>
        <v>1386.651505948684</v>
      </c>
      <c r="Z109" s="16">
        <f t="shared" si="44"/>
        <v>1234.2722195806969</v>
      </c>
      <c r="AA109" s="16">
        <f t="shared" si="45"/>
        <v>1103.9879297360676</v>
      </c>
      <c r="AB109" s="1"/>
      <c r="AC109" s="16">
        <f>0.5*'Gearing Calculator'!$C$15*'Gearing Calculator'!$C$20*'Gearing Calculator'!$U$20*(Forces!H109^2)</f>
        <v>83.889159847605839</v>
      </c>
      <c r="AD109" s="16">
        <f>0.5*'Gearing Calculator'!$C$15*'Gearing Calculator'!$C$20*'Gearing Calculator'!$U$20*(Forces!I109^2)</f>
        <v>139.96090731518964</v>
      </c>
      <c r="AE109" s="16">
        <f>0.5*'Gearing Calculator'!$C$15*'Gearing Calculator'!$C$20*'Gearing Calculator'!$U$20*(Forces!J109^2)</f>
        <v>201.54370653387306</v>
      </c>
      <c r="AF109" s="16">
        <f>0.5*'Gearing Calculator'!$C$15*'Gearing Calculator'!$C$20*'Gearing Calculator'!$U$20*(Forces!K109^2)</f>
        <v>268.32741994154696</v>
      </c>
      <c r="AG109" s="16">
        <f>0.5*'Gearing Calculator'!$C$15*'Gearing Calculator'!$C$20*'Gearing Calculator'!$U$20*(Forces!L109^2)</f>
        <v>338.67083745403909</v>
      </c>
      <c r="AH109" s="16">
        <f>0.5*'Gearing Calculator'!$C$15*'Gearing Calculator'!$C$20*'Gearing Calculator'!$U$20*(Forces!M109^2)</f>
        <v>423.3222149419725</v>
      </c>
      <c r="AI109" s="1"/>
      <c r="AJ109" s="16">
        <f t="shared" si="46"/>
        <v>2396.0837257913872</v>
      </c>
      <c r="AK109" s="16">
        <f t="shared" si="47"/>
        <v>1780.0181009214496</v>
      </c>
      <c r="AL109" s="16">
        <f t="shared" si="48"/>
        <v>1398.438800329993</v>
      </c>
      <c r="AM109" s="16">
        <f t="shared" si="49"/>
        <v>1118.3240860071369</v>
      </c>
      <c r="AN109" s="16">
        <f t="shared" si="50"/>
        <v>895.60138212665777</v>
      </c>
      <c r="AO109" s="16">
        <f t="shared" si="51"/>
        <v>680.66571479409504</v>
      </c>
      <c r="AP109" s="1"/>
      <c r="AQ109" s="16">
        <f>0.5*'Gearing Calculator'!$C$15*'Gearing Calculator'!$C$20*'Gearing Calculator'!$W$20*(Forces!H109^2)</f>
        <v>105.50252417515493</v>
      </c>
      <c r="AR109" s="16">
        <f>0.5*'Gearing Calculator'!$C$15*'Gearing Calculator'!$C$20*'Gearing Calculator'!$W$20*(Forces!I109^2)</f>
        <v>176.0207043963957</v>
      </c>
      <c r="AS109" s="16">
        <f>0.5*'Gearing Calculator'!$C$15*'Gearing Calculator'!$C$20*'Gearing Calculator'!$W$20*(Forces!J109^2)</f>
        <v>253.46981433080978</v>
      </c>
      <c r="AT109" s="16">
        <f>0.5*'Gearing Calculator'!$C$15*'Gearing Calculator'!$C$20*'Gearing Calculator'!$W$20*(Forces!K109^2)</f>
        <v>337.45981197888869</v>
      </c>
      <c r="AU109" s="16">
        <f>0.5*'Gearing Calculator'!$C$15*'Gearing Calculator'!$C$20*'Gearing Calculator'!$W$20*(Forces!L109^2)</f>
        <v>425.92664273695743</v>
      </c>
      <c r="AV109" s="16">
        <f>0.5*'Gearing Calculator'!$C$15*'Gearing Calculator'!$C$20*'Gearing Calculator'!$W$20*(Forces!M109^2)</f>
        <v>532.38776376981684</v>
      </c>
      <c r="AW109" s="1"/>
      <c r="AX109" s="16">
        <f t="shared" si="52"/>
        <v>2374.4703614638379</v>
      </c>
      <c r="AY109" s="16">
        <f t="shared" si="53"/>
        <v>1743.9583038402434</v>
      </c>
      <c r="AZ109" s="16">
        <f t="shared" si="54"/>
        <v>1346.5126925330562</v>
      </c>
      <c r="BA109" s="16">
        <f t="shared" si="55"/>
        <v>1049.1916939697953</v>
      </c>
      <c r="BB109" s="16">
        <f t="shared" si="56"/>
        <v>808.34557684373942</v>
      </c>
      <c r="BC109" s="16">
        <f t="shared" si="57"/>
        <v>571.60016596625076</v>
      </c>
    </row>
    <row r="110" spans="2:55" ht="15.75" thickBot="1" x14ac:dyDescent="0.3">
      <c r="B110" s="42">
        <v>15800</v>
      </c>
      <c r="C110" s="18">
        <v>105</v>
      </c>
      <c r="D110" s="95">
        <f t="shared" si="31"/>
        <v>78.298500000000004</v>
      </c>
      <c r="E110" s="18">
        <f t="shared" si="32"/>
        <v>78298.5</v>
      </c>
      <c r="F110" s="96">
        <f t="shared" si="33"/>
        <v>34.902531645569617</v>
      </c>
      <c r="H110" s="17">
        <v>31.773418579214255</v>
      </c>
      <c r="I110" s="18">
        <v>41.040665664818412</v>
      </c>
      <c r="J110" s="31">
        <v>49.248798797782101</v>
      </c>
      <c r="K110" s="18">
        <v>56.825537074363957</v>
      </c>
      <c r="L110" s="18">
        <v>63.841035478606429</v>
      </c>
      <c r="M110" s="19">
        <v>71.375070721423356</v>
      </c>
      <c r="O110" s="116">
        <f t="shared" si="34"/>
        <v>114.38430688517131</v>
      </c>
      <c r="P110" s="116">
        <f t="shared" si="35"/>
        <v>147.74639639334629</v>
      </c>
      <c r="Q110" s="116">
        <f t="shared" si="36"/>
        <v>177.29567567201556</v>
      </c>
      <c r="R110" s="116">
        <f t="shared" si="37"/>
        <v>204.57193346771024</v>
      </c>
      <c r="S110" s="116">
        <f t="shared" si="38"/>
        <v>229.82772772298316</v>
      </c>
      <c r="T110" s="116">
        <f t="shared" si="39"/>
        <v>256.95025459712411</v>
      </c>
      <c r="U110" s="1"/>
      <c r="V110" s="18">
        <f t="shared" si="40"/>
        <v>2464.2768547172268</v>
      </c>
      <c r="W110" s="18">
        <f t="shared" si="41"/>
        <v>1907.8272423617238</v>
      </c>
      <c r="X110" s="18">
        <f t="shared" si="42"/>
        <v>1589.8560353014363</v>
      </c>
      <c r="Y110" s="18">
        <f t="shared" si="43"/>
        <v>1377.8752305945784</v>
      </c>
      <c r="Z110" s="18">
        <f t="shared" si="44"/>
        <v>1226.4603700896796</v>
      </c>
      <c r="AA110" s="18">
        <f t="shared" si="45"/>
        <v>1097.0006643579909</v>
      </c>
      <c r="AB110" s="1"/>
      <c r="AC110" s="18">
        <f>0.5*'Gearing Calculator'!$C$15*'Gearing Calculator'!$C$20*'Gearing Calculator'!$U$20*(Forces!H110^2)</f>
        <v>84.961214914829498</v>
      </c>
      <c r="AD110" s="18">
        <f>0.5*'Gearing Calculator'!$C$15*'Gearing Calculator'!$C$20*'Gearing Calculator'!$U$20*(Forces!I110^2)</f>
        <v>141.7495269672763</v>
      </c>
      <c r="AE110" s="18">
        <f>0.5*'Gearing Calculator'!$C$15*'Gearing Calculator'!$C$20*'Gearing Calculator'!$U$20*(Forces!J110^2)</f>
        <v>204.11931883287792</v>
      </c>
      <c r="AF110" s="18">
        <f>0.5*'Gearing Calculator'!$C$15*'Gearing Calculator'!$C$20*'Gearing Calculator'!$U$20*(Forces!K110^2)</f>
        <v>271.75648957039959</v>
      </c>
      <c r="AG110" s="18">
        <f>0.5*'Gearing Calculator'!$C$15*'Gearing Calculator'!$C$20*'Gearing Calculator'!$U$20*(Forces!L110^2)</f>
        <v>342.99885537760696</v>
      </c>
      <c r="AH110" s="18">
        <f>0.5*'Gearing Calculator'!$C$15*'Gearing Calculator'!$C$20*'Gearing Calculator'!$U$20*(Forces!M110^2)</f>
        <v>428.73202863448444</v>
      </c>
      <c r="AI110" s="1"/>
      <c r="AJ110" s="18">
        <f t="shared" si="46"/>
        <v>2379.3156398023975</v>
      </c>
      <c r="AK110" s="18">
        <f t="shared" si="47"/>
        <v>1766.0777153944475</v>
      </c>
      <c r="AL110" s="18">
        <f t="shared" si="48"/>
        <v>1385.7367164685584</v>
      </c>
      <c r="AM110" s="18">
        <f t="shared" si="49"/>
        <v>1106.1187410241787</v>
      </c>
      <c r="AN110" s="18">
        <f t="shared" si="50"/>
        <v>883.46151471207259</v>
      </c>
      <c r="AO110" s="18">
        <f t="shared" si="51"/>
        <v>668.26863572350646</v>
      </c>
      <c r="AP110" s="1"/>
      <c r="AQ110" s="18">
        <f>0.5*'Gearing Calculator'!$C$15*'Gearing Calculator'!$C$20*'Gearing Calculator'!$W$20*(Forces!H110^2)</f>
        <v>106.8507855697419</v>
      </c>
      <c r="AR110" s="18">
        <f>0.5*'Gearing Calculator'!$C$15*'Gearing Calculator'!$C$20*'Gearing Calculator'!$W$20*(Forces!I110^2)</f>
        <v>178.27014745229508</v>
      </c>
      <c r="AS110" s="18">
        <f>0.5*'Gearing Calculator'!$C$15*'Gearing Calculator'!$C$20*'Gearing Calculator'!$W$20*(Forces!J110^2)</f>
        <v>256.70901233130496</v>
      </c>
      <c r="AT110" s="18">
        <f>0.5*'Gearing Calculator'!$C$15*'Gearing Calculator'!$C$20*'Gearing Calculator'!$W$20*(Forces!K110^2)</f>
        <v>341.77235369552432</v>
      </c>
      <c r="AU110" s="18">
        <f>0.5*'Gearing Calculator'!$C$15*'Gearing Calculator'!$C$20*'Gearing Calculator'!$W$20*(Forces!L110^2)</f>
        <v>431.3697395141956</v>
      </c>
      <c r="AV110" s="18">
        <f>0.5*'Gearing Calculator'!$C$15*'Gearing Calculator'!$C$20*'Gearing Calculator'!$W$20*(Forces!M110^2)</f>
        <v>539.19137225646955</v>
      </c>
      <c r="AW110" s="1"/>
      <c r="AX110" s="18">
        <f t="shared" si="52"/>
        <v>2357.4260691474847</v>
      </c>
      <c r="AY110" s="18">
        <f t="shared" si="53"/>
        <v>1729.5570949094288</v>
      </c>
      <c r="AZ110" s="18">
        <f t="shared" si="54"/>
        <v>1333.1470229701313</v>
      </c>
      <c r="BA110" s="18">
        <f t="shared" si="55"/>
        <v>1036.1028768990541</v>
      </c>
      <c r="BB110" s="18">
        <f t="shared" si="56"/>
        <v>795.09063057548406</v>
      </c>
      <c r="BC110" s="18">
        <f t="shared" si="57"/>
        <v>557.80929210152135</v>
      </c>
    </row>
    <row r="111" spans="2:55" x14ac:dyDescent="0.25">
      <c r="B111" s="25"/>
      <c r="C111" s="25"/>
      <c r="D111" s="25"/>
      <c r="E111" s="25"/>
      <c r="F111" s="25"/>
    </row>
  </sheetData>
  <mergeCells count="7">
    <mergeCell ref="H2:M2"/>
    <mergeCell ref="AX2:BC2"/>
    <mergeCell ref="AQ2:AV2"/>
    <mergeCell ref="AJ2:AO2"/>
    <mergeCell ref="AC2:AH2"/>
    <mergeCell ref="V2:AA2"/>
    <mergeCell ref="O2:T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F70E5-04D6-4E22-8DF3-EFE89658E864}">
  <sheetPr>
    <tabColor rgb="FF0070C0"/>
  </sheetPr>
  <dimension ref="B1:P18"/>
  <sheetViews>
    <sheetView workbookViewId="0">
      <selection activeCell="G20" sqref="G20"/>
    </sheetView>
  </sheetViews>
  <sheetFormatPr defaultRowHeight="15" x14ac:dyDescent="0.25"/>
  <cols>
    <col min="1" max="1" width="1.42578125" customWidth="1"/>
    <col min="2" max="2" width="20" bestFit="1" customWidth="1"/>
    <col min="3" max="3" width="24" bestFit="1" customWidth="1"/>
    <col min="4" max="4" width="11.28515625" bestFit="1" customWidth="1"/>
    <col min="6" max="6" width="1.42578125" customWidth="1"/>
    <col min="9" max="9" width="1.42578125" customWidth="1"/>
    <col min="10" max="10" width="29.85546875" bestFit="1" customWidth="1"/>
    <col min="11" max="11" width="9.5703125" bestFit="1" customWidth="1"/>
    <col min="13" max="13" width="1.42578125" customWidth="1"/>
  </cols>
  <sheetData>
    <row r="1" spans="2:16" ht="7.5" customHeight="1" thickBot="1" x14ac:dyDescent="0.3"/>
    <row r="2" spans="2:16" ht="15.75" thickBot="1" x14ac:dyDescent="0.3">
      <c r="B2" s="4" t="s">
        <v>97</v>
      </c>
      <c r="C2" s="5" t="s">
        <v>98</v>
      </c>
      <c r="D2" s="5" t="s">
        <v>99</v>
      </c>
      <c r="E2" s="6" t="s">
        <v>3</v>
      </c>
      <c r="G2" s="161" t="s">
        <v>106</v>
      </c>
      <c r="H2" s="164"/>
      <c r="J2" s="4" t="s">
        <v>1</v>
      </c>
      <c r="K2" s="5" t="s">
        <v>2</v>
      </c>
      <c r="L2" s="6" t="s">
        <v>3</v>
      </c>
      <c r="N2" s="161" t="s">
        <v>107</v>
      </c>
      <c r="O2" s="162"/>
      <c r="P2" s="164"/>
    </row>
    <row r="3" spans="2:16" ht="15.75" thickBot="1" x14ac:dyDescent="0.3">
      <c r="B3" s="40" t="s">
        <v>65</v>
      </c>
      <c r="C3" s="16">
        <v>0.29984699999999997</v>
      </c>
      <c r="D3" s="16">
        <v>0.31496000000000002</v>
      </c>
      <c r="E3" s="21" t="s">
        <v>27</v>
      </c>
      <c r="G3" s="5" t="s">
        <v>24</v>
      </c>
      <c r="H3" s="5" t="s">
        <v>19</v>
      </c>
      <c r="J3" s="40" t="s">
        <v>81</v>
      </c>
      <c r="K3" s="15">
        <f>'Gearing Calculator'!U9</f>
        <v>266.2</v>
      </c>
      <c r="L3" s="46" t="s">
        <v>108</v>
      </c>
      <c r="N3" s="4" t="s">
        <v>24</v>
      </c>
      <c r="O3" s="5" t="s">
        <v>2</v>
      </c>
      <c r="P3" s="6" t="s">
        <v>3</v>
      </c>
    </row>
    <row r="4" spans="2:16" x14ac:dyDescent="0.25">
      <c r="B4" s="41" t="s">
        <v>66</v>
      </c>
      <c r="C4" s="16">
        <v>7.0000000000000001E-3</v>
      </c>
      <c r="D4" s="16">
        <v>8.0000000000000002E-3</v>
      </c>
      <c r="E4" s="23" t="s">
        <v>27</v>
      </c>
      <c r="G4" s="35" t="s">
        <v>100</v>
      </c>
      <c r="H4" s="15">
        <v>2.5833333333333299</v>
      </c>
      <c r="J4" s="41" t="s">
        <v>82</v>
      </c>
      <c r="K4" s="16">
        <v>0.8</v>
      </c>
      <c r="L4" s="46" t="s">
        <v>109</v>
      </c>
      <c r="N4" s="44" t="s">
        <v>100</v>
      </c>
      <c r="O4" s="15">
        <v>434.78</v>
      </c>
      <c r="P4" s="15" t="s">
        <v>35</v>
      </c>
    </row>
    <row r="5" spans="2:16" x14ac:dyDescent="0.25">
      <c r="B5" s="41" t="s">
        <v>67</v>
      </c>
      <c r="C5" s="16">
        <v>7.3</v>
      </c>
      <c r="D5" s="16">
        <v>7.6</v>
      </c>
      <c r="E5" s="23" t="s">
        <v>35</v>
      </c>
      <c r="G5" s="39" t="s">
        <v>101</v>
      </c>
      <c r="H5" s="16">
        <v>2</v>
      </c>
      <c r="J5" s="41" t="s">
        <v>83</v>
      </c>
      <c r="K5" s="16">
        <v>0.6</v>
      </c>
      <c r="L5" s="46" t="s">
        <v>109</v>
      </c>
      <c r="N5" s="40" t="s">
        <v>101</v>
      </c>
      <c r="O5" s="16">
        <v>373.41300000000001</v>
      </c>
      <c r="P5" s="22" t="s">
        <v>35</v>
      </c>
    </row>
    <row r="6" spans="2:16" x14ac:dyDescent="0.25">
      <c r="B6" s="41" t="s">
        <v>68</v>
      </c>
      <c r="C6" s="146">
        <v>0.14779999999999999</v>
      </c>
      <c r="D6" s="148"/>
      <c r="E6" s="23" t="s">
        <v>27</v>
      </c>
      <c r="G6" s="39" t="s">
        <v>102</v>
      </c>
      <c r="H6" s="16">
        <v>1.6666666666666667</v>
      </c>
      <c r="J6" s="41" t="s">
        <v>84</v>
      </c>
      <c r="K6" s="16">
        <v>0.05</v>
      </c>
      <c r="L6" s="46" t="s">
        <v>109</v>
      </c>
      <c r="N6" s="40" t="s">
        <v>102</v>
      </c>
      <c r="O6" s="16">
        <v>345.36</v>
      </c>
      <c r="P6" s="22" t="s">
        <v>35</v>
      </c>
    </row>
    <row r="7" spans="2:16" x14ac:dyDescent="0.25">
      <c r="B7" s="41" t="s">
        <v>69</v>
      </c>
      <c r="C7" s="146">
        <v>1</v>
      </c>
      <c r="D7" s="148"/>
      <c r="E7" s="23" t="s">
        <v>27</v>
      </c>
      <c r="G7" s="39" t="s">
        <v>103</v>
      </c>
      <c r="H7" s="16">
        <v>1.4444444444444444</v>
      </c>
      <c r="J7" s="41" t="s">
        <v>85</v>
      </c>
      <c r="K7" s="16">
        <v>5.0000000000000001E-3</v>
      </c>
      <c r="L7" s="46" t="s">
        <v>109</v>
      </c>
      <c r="N7" s="40" t="s">
        <v>103</v>
      </c>
      <c r="O7" s="16">
        <v>329.49099999999999</v>
      </c>
      <c r="P7" s="22" t="s">
        <v>35</v>
      </c>
    </row>
    <row r="8" spans="2:16" x14ac:dyDescent="0.25">
      <c r="B8" s="41" t="s">
        <v>70</v>
      </c>
      <c r="C8" s="16">
        <v>45.1</v>
      </c>
      <c r="D8" s="16">
        <v>44.5</v>
      </c>
      <c r="E8" s="23" t="s">
        <v>77</v>
      </c>
      <c r="G8" s="39" t="s">
        <v>104</v>
      </c>
      <c r="H8" s="16">
        <v>1.2857142857142858</v>
      </c>
      <c r="J8" s="41" t="s">
        <v>86</v>
      </c>
      <c r="K8" s="16">
        <v>7.0000000000000001E-3</v>
      </c>
      <c r="L8" s="46" t="s">
        <v>109</v>
      </c>
      <c r="N8" s="40" t="s">
        <v>104</v>
      </c>
      <c r="O8" s="16">
        <v>319.54399999999998</v>
      </c>
      <c r="P8" s="22" t="s">
        <v>35</v>
      </c>
    </row>
    <row r="9" spans="2:16" ht="15.75" thickBot="1" x14ac:dyDescent="0.3">
      <c r="B9" s="41" t="s">
        <v>71</v>
      </c>
      <c r="C9" s="16">
        <v>44.9</v>
      </c>
      <c r="D9" s="16">
        <v>43.95</v>
      </c>
      <c r="E9" s="23" t="s">
        <v>77</v>
      </c>
      <c r="G9" s="43" t="s">
        <v>105</v>
      </c>
      <c r="H9" s="18">
        <v>1.1499999999999999</v>
      </c>
      <c r="J9" s="41" t="s">
        <v>87</v>
      </c>
      <c r="K9" s="16">
        <f>1/'Gearing Calculator'!C8</f>
        <v>3.1750063500126999</v>
      </c>
      <c r="L9" s="46" t="s">
        <v>110</v>
      </c>
      <c r="N9" s="45" t="s">
        <v>105</v>
      </c>
      <c r="O9" s="18">
        <v>311.95699999999999</v>
      </c>
      <c r="P9" s="20" t="s">
        <v>35</v>
      </c>
    </row>
    <row r="10" spans="2:16" x14ac:dyDescent="0.25">
      <c r="B10" s="41" t="s">
        <v>72</v>
      </c>
      <c r="C10" s="16">
        <v>45.15</v>
      </c>
      <c r="D10" s="16">
        <v>44.2</v>
      </c>
      <c r="E10" s="23" t="s">
        <v>77</v>
      </c>
      <c r="J10" s="41" t="s">
        <v>88</v>
      </c>
      <c r="K10" s="16">
        <f>1/'Gearing Calculator'!C9</f>
        <v>3.3350342007757292</v>
      </c>
      <c r="L10" s="46" t="s">
        <v>110</v>
      </c>
    </row>
    <row r="11" spans="2:16" x14ac:dyDescent="0.25">
      <c r="B11" s="41" t="s">
        <v>73</v>
      </c>
      <c r="C11" s="119">
        <f>AVERAGE(C8:C10)</f>
        <v>45.050000000000004</v>
      </c>
      <c r="D11" s="119">
        <f>AVERAGE(D8:D10)</f>
        <v>44.216666666666669</v>
      </c>
      <c r="E11" s="23" t="s">
        <v>77</v>
      </c>
      <c r="G11" s="25"/>
      <c r="H11" s="25"/>
      <c r="J11" s="41" t="s">
        <v>89</v>
      </c>
      <c r="K11" s="16">
        <f>VLOOKUP(L11,G4:H9,2,FALSE)</f>
        <v>1.1499999999999999</v>
      </c>
      <c r="L11" s="46" t="s">
        <v>105</v>
      </c>
    </row>
    <row r="12" spans="2:16" x14ac:dyDescent="0.25">
      <c r="B12" s="41" t="s">
        <v>74</v>
      </c>
      <c r="C12" s="16">
        <f>(C5*C4^2)*(((4905*$C$6*C11^2)/$C$7^2)-1)/1000</f>
        <v>0.5262858353064358</v>
      </c>
      <c r="D12" s="16">
        <f>(D5*D4^2)*(((4905*$C$6*D11^2)/$C$7^2)-1)/1000</f>
        <v>0.68941178776454393</v>
      </c>
      <c r="E12" s="23" t="s">
        <v>80</v>
      </c>
      <c r="G12" s="25"/>
      <c r="H12" s="25"/>
      <c r="J12" s="41" t="s">
        <v>90</v>
      </c>
      <c r="K12" s="16">
        <f>'Gearing Calculator'!L14</f>
        <v>3.0666666666666669</v>
      </c>
      <c r="L12" s="46" t="s">
        <v>110</v>
      </c>
    </row>
    <row r="13" spans="2:16" x14ac:dyDescent="0.25">
      <c r="B13" s="41" t="s">
        <v>75</v>
      </c>
      <c r="C13" s="16">
        <f>C12/C3^2</f>
        <v>5.853589531096814</v>
      </c>
      <c r="D13" s="16">
        <f>D12/D3^2</f>
        <v>6.9497295019241632</v>
      </c>
      <c r="E13" s="23" t="s">
        <v>78</v>
      </c>
      <c r="J13" s="41" t="s">
        <v>91</v>
      </c>
      <c r="K13" s="16">
        <f>'Gearing Calculator'!L7</f>
        <v>2.0731707317073171</v>
      </c>
      <c r="L13" s="46" t="s">
        <v>110</v>
      </c>
    </row>
    <row r="14" spans="2:16" ht="15.75" thickBot="1" x14ac:dyDescent="0.3">
      <c r="B14" s="42" t="s">
        <v>76</v>
      </c>
      <c r="C14" s="18">
        <f>C5+C13</f>
        <v>13.153589531096813</v>
      </c>
      <c r="D14" s="18">
        <f>D5+D13</f>
        <v>14.549729501924162</v>
      </c>
      <c r="E14" s="19" t="s">
        <v>79</v>
      </c>
      <c r="J14" s="41" t="s">
        <v>92</v>
      </c>
      <c r="K14" s="16">
        <f>K13*K11*K12*(1/C3)</f>
        <v>24.383709404533437</v>
      </c>
      <c r="L14" s="46" t="s">
        <v>110</v>
      </c>
    </row>
    <row r="15" spans="2:16" x14ac:dyDescent="0.25">
      <c r="J15" s="41" t="s">
        <v>93</v>
      </c>
      <c r="K15" s="16">
        <f>K11*K12*(1/D3)</f>
        <v>11.197189061044789</v>
      </c>
      <c r="L15" s="46" t="s">
        <v>110</v>
      </c>
    </row>
    <row r="16" spans="2:16" x14ac:dyDescent="0.25">
      <c r="J16" s="41" t="s">
        <v>94</v>
      </c>
      <c r="K16" s="16">
        <f>K12*(1/D3)</f>
        <v>9.7366861400389464</v>
      </c>
      <c r="L16" s="46" t="s">
        <v>110</v>
      </c>
    </row>
    <row r="17" spans="10:12" ht="15.75" thickBot="1" x14ac:dyDescent="0.3">
      <c r="J17" s="42" t="s">
        <v>95</v>
      </c>
      <c r="K17" s="116">
        <f>K3+(K4*(K9^2))+(K5*(K10^2))+(K6*(K14^2))+(K7*(K15^2))+(K8*(K16^2))</f>
        <v>311.95677495981096</v>
      </c>
      <c r="L17" s="47" t="s">
        <v>78</v>
      </c>
    </row>
    <row r="18" spans="10:12" x14ac:dyDescent="0.25">
      <c r="J18" s="1"/>
      <c r="K18" s="1"/>
      <c r="L18" s="1"/>
    </row>
  </sheetData>
  <mergeCells count="4">
    <mergeCell ref="G2:H2"/>
    <mergeCell ref="N2:P2"/>
    <mergeCell ref="C7:D7"/>
    <mergeCell ref="C6:D6"/>
  </mergeCells>
  <dataValidations count="1">
    <dataValidation type="list" allowBlank="1" showInputMessage="1" showErrorMessage="1" sqref="L11" xr:uid="{FA8AA20E-5CF6-4344-B2FE-BB42C218C80B}">
      <formula1>$N$4:$N$9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41C75-349C-4F49-B182-024946B68253}">
  <sheetPr>
    <tabColor rgb="FF00B0F0"/>
  </sheetPr>
  <dimension ref="A1:AC110"/>
  <sheetViews>
    <sheetView topLeftCell="B1" workbookViewId="0">
      <selection activeCell="G10" sqref="G10"/>
    </sheetView>
  </sheetViews>
  <sheetFormatPr defaultRowHeight="15" x14ac:dyDescent="0.25"/>
  <cols>
    <col min="1" max="1" width="7" style="49" customWidth="1"/>
    <col min="2" max="2" width="19.28515625" bestFit="1" customWidth="1"/>
    <col min="5" max="5" width="1.42578125" customWidth="1"/>
    <col min="6" max="6" width="32.140625" bestFit="1" customWidth="1"/>
    <col min="10" max="10" width="1.42578125" customWidth="1"/>
    <col min="11" max="11" width="6" bestFit="1" customWidth="1"/>
    <col min="12" max="12" width="12.140625" bestFit="1" customWidth="1"/>
    <col min="13" max="13" width="11.5703125" bestFit="1" customWidth="1"/>
    <col min="14" max="14" width="10.42578125" bestFit="1" customWidth="1"/>
    <col min="15" max="15" width="7.28515625" bestFit="1" customWidth="1"/>
    <col min="16" max="16" width="1.42578125" customWidth="1"/>
    <col min="23" max="23" width="1.42578125" customWidth="1"/>
  </cols>
  <sheetData>
    <row r="1" spans="1:29" ht="7.5" customHeight="1" thickBot="1" x14ac:dyDescent="0.3"/>
    <row r="2" spans="1:29" ht="15.75" thickBot="1" x14ac:dyDescent="0.3">
      <c r="A2" s="48">
        <v>1</v>
      </c>
      <c r="B2" s="4" t="s">
        <v>112</v>
      </c>
      <c r="C2" s="5" t="s">
        <v>2</v>
      </c>
      <c r="D2" s="6" t="s">
        <v>120</v>
      </c>
      <c r="F2" s="51" t="s">
        <v>1</v>
      </c>
      <c r="G2" s="52" t="s">
        <v>31</v>
      </c>
      <c r="H2" s="52" t="s">
        <v>33</v>
      </c>
      <c r="I2" s="53" t="s">
        <v>3</v>
      </c>
      <c r="Q2" s="169" t="s">
        <v>141</v>
      </c>
      <c r="R2" s="170"/>
      <c r="S2" s="170"/>
      <c r="T2" s="170"/>
      <c r="U2" s="170"/>
      <c r="V2" s="171"/>
      <c r="X2" s="169" t="s">
        <v>142</v>
      </c>
      <c r="Y2" s="170"/>
      <c r="Z2" s="170"/>
      <c r="AA2" s="170"/>
      <c r="AB2" s="170"/>
      <c r="AC2" s="171"/>
    </row>
    <row r="3" spans="1:29" ht="15.75" thickBot="1" x14ac:dyDescent="0.3">
      <c r="A3" s="48">
        <v>2</v>
      </c>
      <c r="B3" s="40" t="s">
        <v>113</v>
      </c>
      <c r="C3" s="15">
        <f>'Dyno Data'!E93</f>
        <v>83518.399999999994</v>
      </c>
      <c r="D3" s="21" t="s">
        <v>121</v>
      </c>
      <c r="F3" s="54" t="s">
        <v>42</v>
      </c>
      <c r="G3" s="59">
        <v>0.74044102178812932</v>
      </c>
      <c r="H3" s="59">
        <v>0.72364462809917351</v>
      </c>
      <c r="I3" s="60" t="s">
        <v>27</v>
      </c>
      <c r="K3" s="57" t="s">
        <v>15</v>
      </c>
      <c r="L3" s="37" t="s">
        <v>49</v>
      </c>
      <c r="M3" s="58" t="s">
        <v>51</v>
      </c>
      <c r="N3" s="37" t="s">
        <v>52</v>
      </c>
      <c r="O3" s="50" t="s">
        <v>50</v>
      </c>
      <c r="Q3" s="4" t="s">
        <v>100</v>
      </c>
      <c r="R3" s="5" t="s">
        <v>101</v>
      </c>
      <c r="S3" s="12" t="s">
        <v>102</v>
      </c>
      <c r="T3" s="5" t="s">
        <v>103</v>
      </c>
      <c r="U3" s="12" t="s">
        <v>104</v>
      </c>
      <c r="V3" s="5" t="s">
        <v>105</v>
      </c>
      <c r="X3" s="4" t="s">
        <v>100</v>
      </c>
      <c r="Y3" s="5" t="s">
        <v>101</v>
      </c>
      <c r="Z3" s="4" t="s">
        <v>102</v>
      </c>
      <c r="AA3" s="5" t="s">
        <v>103</v>
      </c>
      <c r="AB3" s="4" t="s">
        <v>104</v>
      </c>
      <c r="AC3" s="5" t="s">
        <v>105</v>
      </c>
    </row>
    <row r="4" spans="1:29" x14ac:dyDescent="0.25">
      <c r="A4" s="48">
        <v>3</v>
      </c>
      <c r="B4" s="41" t="s">
        <v>38</v>
      </c>
      <c r="C4" s="16">
        <f>266.2</f>
        <v>266.2</v>
      </c>
      <c r="D4" s="23" t="s">
        <v>78</v>
      </c>
      <c r="F4" s="55" t="s">
        <v>43</v>
      </c>
      <c r="G4" s="34">
        <v>0.7521942453517324</v>
      </c>
      <c r="H4" s="34">
        <v>0.72954793660187434</v>
      </c>
      <c r="I4" s="61" t="s">
        <v>27</v>
      </c>
      <c r="K4" s="40">
        <v>5200</v>
      </c>
      <c r="L4" s="22">
        <v>30</v>
      </c>
      <c r="M4" s="64">
        <v>22.371000000000002</v>
      </c>
      <c r="N4" s="22">
        <v>22371.000000000004</v>
      </c>
      <c r="O4" s="21">
        <v>30.3</v>
      </c>
      <c r="Q4" s="15">
        <f>Forces!AJ4/'Reduced Mass'!$O$4</f>
        <v>4.8992930048501915</v>
      </c>
      <c r="R4" s="15">
        <f>Forces!AK4/'Reduced Mass'!$O$5</f>
        <v>4.3943084192691115</v>
      </c>
      <c r="S4" s="15">
        <f>Forces!AL4/'Reduced Mass'!$O$6</f>
        <v>3.9324047572110978</v>
      </c>
      <c r="T4" s="15">
        <f>Forces!AM4/'Reduced Mass'!$O$7</f>
        <v>3.5410430902732282</v>
      </c>
      <c r="U4" s="15">
        <f>Forces!AN4/'Reduced Mass'!$O$8</f>
        <v>3.2157608242688731</v>
      </c>
      <c r="V4" s="15">
        <f>Forces!AO4/'Reduced Mass'!$O$9</f>
        <v>2.903934543523671</v>
      </c>
      <c r="X4" s="15">
        <f>Forces!AX4/'Reduced Mass'!$O$4</f>
        <v>4.8938396946981477</v>
      </c>
      <c r="Y4" s="15">
        <f>Forces!AY4/'Reduced Mass'!$O$5</f>
        <v>4.3837148764208811</v>
      </c>
      <c r="Z4" s="15">
        <f>Forces!AZ4/'Reduced Mass'!$O$6</f>
        <v>3.9159109422746723</v>
      </c>
      <c r="AA4" s="15">
        <f>Forces!BA4/'Reduced Mass'!$O$7</f>
        <v>3.5180262655694858</v>
      </c>
      <c r="AB4" s="15">
        <f>Forces!BB4/'Reduced Mass'!$O$8</f>
        <v>3.1858057054832889</v>
      </c>
      <c r="AC4" s="15">
        <f>Forces!BC4/'Reduced Mass'!$O$9</f>
        <v>2.8655814644046966</v>
      </c>
    </row>
    <row r="5" spans="1:29" x14ac:dyDescent="0.25">
      <c r="A5" s="48">
        <v>4</v>
      </c>
      <c r="B5" s="41" t="s">
        <v>119</v>
      </c>
      <c r="C5" s="16">
        <f>VLOOKUP(C13,A42:C47,3,FALSE)</f>
        <v>311.95699999999999</v>
      </c>
      <c r="D5" s="23" t="s">
        <v>78</v>
      </c>
      <c r="F5" s="55" t="s">
        <v>129</v>
      </c>
      <c r="G5" s="34">
        <v>0.22900000000000001</v>
      </c>
      <c r="H5" s="34">
        <v>0.28799999999999998</v>
      </c>
      <c r="I5" s="61" t="s">
        <v>202</v>
      </c>
      <c r="K5" s="41">
        <v>5300</v>
      </c>
      <c r="L5" s="16">
        <v>31</v>
      </c>
      <c r="M5" s="30">
        <v>23.116700000000002</v>
      </c>
      <c r="N5" s="16">
        <v>23116.7</v>
      </c>
      <c r="O5" s="23">
        <v>30.719245283018868</v>
      </c>
      <c r="Q5" s="16">
        <f>Forces!AJ5/'Reduced Mass'!$O$4</f>
        <v>4.9665529170315077</v>
      </c>
      <c r="R5" s="16">
        <f>Forces!AK5/'Reduced Mass'!$O$5</f>
        <v>4.4540824486217918</v>
      </c>
      <c r="S5" s="16">
        <f>Forces!AL5/'Reduced Mass'!$O$6</f>
        <v>3.9852152574952613</v>
      </c>
      <c r="T5" s="16">
        <f>Forces!AM5/'Reduced Mass'!$O$7</f>
        <v>3.587805699955144</v>
      </c>
      <c r="U5" s="16">
        <f>Forces!AN5/'Reduced Mass'!$O$8</f>
        <v>3.2573495611170209</v>
      </c>
      <c r="V5" s="16">
        <f>Forces!AO5/'Reduced Mass'!$O$9</f>
        <v>2.9403939828657899</v>
      </c>
      <c r="X5" s="16">
        <f>Forces!AX5/'Reduced Mass'!$O$4</f>
        <v>4.9608878474245941</v>
      </c>
      <c r="Y5" s="16">
        <f>Forces!AY5/'Reduced Mass'!$O$5</f>
        <v>4.4430775440875179</v>
      </c>
      <c r="Z5" s="16">
        <f>Forces!AZ5/'Reduced Mass'!$O$6</f>
        <v>3.9680809652776508</v>
      </c>
      <c r="AA5" s="16">
        <f>Forces!BA5/'Reduced Mass'!$O$7</f>
        <v>3.5638951006234825</v>
      </c>
      <c r="AB5" s="16">
        <f>Forces!BB5/'Reduced Mass'!$O$8</f>
        <v>3.2262312443016712</v>
      </c>
      <c r="AC5" s="16">
        <f>Forces!BC5/'Reduced Mass'!$O$9</f>
        <v>2.9005516014881279</v>
      </c>
    </row>
    <row r="6" spans="1:29" x14ac:dyDescent="0.25">
      <c r="A6" s="48">
        <v>5</v>
      </c>
      <c r="B6" s="41" t="s">
        <v>114</v>
      </c>
      <c r="C6" s="16">
        <f>'Gearing Calculator'!C20</f>
        <v>0.6</v>
      </c>
      <c r="D6" s="23"/>
      <c r="F6" s="55" t="s">
        <v>130</v>
      </c>
      <c r="G6" s="172">
        <v>1.5</v>
      </c>
      <c r="H6" s="173"/>
      <c r="I6" s="61"/>
      <c r="K6" s="41">
        <v>5400</v>
      </c>
      <c r="L6" s="16">
        <v>32</v>
      </c>
      <c r="M6" s="30">
        <v>23.862400000000001</v>
      </c>
      <c r="N6" s="16">
        <v>23862.400000000001</v>
      </c>
      <c r="O6" s="23">
        <v>31.122962962962962</v>
      </c>
      <c r="Q6" s="16">
        <f>Forces!AJ6/'Reduced Mass'!$O$4</f>
        <v>5.0312756246005357</v>
      </c>
      <c r="R6" s="16">
        <f>Forces!AK6/'Reduced Mass'!$O$5</f>
        <v>4.5115530779673572</v>
      </c>
      <c r="S6" s="16">
        <f>Forces!AL6/'Reduced Mass'!$O$6</f>
        <v>4.0359303913396696</v>
      </c>
      <c r="T6" s="16">
        <f>Forces!AM6/'Reduced Mass'!$O$7</f>
        <v>3.6326418002360699</v>
      </c>
      <c r="U6" s="16">
        <f>Forces!AN6/'Reduced Mass'!$O$8</f>
        <v>3.2971447641820339</v>
      </c>
      <c r="V6" s="16">
        <f>Forces!AO6/'Reduced Mass'!$O$9</f>
        <v>2.9751788745663501</v>
      </c>
      <c r="X6" s="16">
        <f>Forces!AX6/'Reduced Mass'!$O$4</f>
        <v>5.0253947620253276</v>
      </c>
      <c r="Y6" s="16">
        <f>Forces!AY6/'Reduced Mass'!$O$5</f>
        <v>4.5001289762863514</v>
      </c>
      <c r="Z6" s="16">
        <f>Forces!AZ6/'Reduced Mass'!$O$6</f>
        <v>4.0181434222736137</v>
      </c>
      <c r="AA6" s="16">
        <f>Forces!BA6/'Reduced Mass'!$O$7</f>
        <v>3.6078204019978624</v>
      </c>
      <c r="AB6" s="16">
        <f>Forces!BB6/'Reduced Mass'!$O$8</f>
        <v>3.2648410931839709</v>
      </c>
      <c r="AC6" s="16">
        <f>Forces!BC6/'Reduced Mass'!$O$9</f>
        <v>2.9338188232679294</v>
      </c>
    </row>
    <row r="7" spans="1:29" x14ac:dyDescent="0.25">
      <c r="A7" s="48">
        <v>6</v>
      </c>
      <c r="B7" s="41" t="s">
        <v>115</v>
      </c>
      <c r="C7" s="16">
        <f>'Gearing Calculator'!C7</f>
        <v>1.38</v>
      </c>
      <c r="D7" s="23" t="s">
        <v>122</v>
      </c>
      <c r="F7" s="55" t="s">
        <v>131</v>
      </c>
      <c r="G7" s="34">
        <f>ATAN($G$4/$C$7)</f>
        <v>0.49904898889735344</v>
      </c>
      <c r="H7" s="34">
        <f>ATAN($G$4/$C$7)</f>
        <v>0.49904898889735344</v>
      </c>
      <c r="I7" s="61" t="s">
        <v>46</v>
      </c>
      <c r="K7" s="41">
        <v>5500</v>
      </c>
      <c r="L7" s="16">
        <v>33</v>
      </c>
      <c r="M7" s="30">
        <v>24.6081</v>
      </c>
      <c r="N7" s="16">
        <v>24608.1</v>
      </c>
      <c r="O7" s="23">
        <v>31.512</v>
      </c>
      <c r="Q7" s="16">
        <f>Forces!AJ7/'Reduced Mass'!$O$4</f>
        <v>5.0935986665996937</v>
      </c>
      <c r="R7" s="16">
        <f>Forces!AK7/'Reduced Mass'!$O$5</f>
        <v>4.5668442884582747</v>
      </c>
      <c r="S7" s="16">
        <f>Forces!AL7/'Reduced Mass'!$O$6</f>
        <v>4.0846618686848872</v>
      </c>
      <c r="T7" s="16">
        <f>Forces!AM7/'Reduced Mass'!$O$7</f>
        <v>3.6756528692314303</v>
      </c>
      <c r="U7" s="16">
        <f>Forces!AN7/'Reduced Mass'!$O$8</f>
        <v>3.3352395718930463</v>
      </c>
      <c r="V7" s="16">
        <f>Forces!AO7/'Reduced Mass'!$O$9</f>
        <v>3.0083745518606997</v>
      </c>
      <c r="X7" s="16">
        <f>Forces!AX7/'Reduced Mass'!$O$4</f>
        <v>5.0874979775427658</v>
      </c>
      <c r="Y7" s="16">
        <f>Forces!AY7/'Reduced Mass'!$O$5</f>
        <v>4.5549931541698516</v>
      </c>
      <c r="Z7" s="16">
        <f>Forces!AZ7/'Reduced Mass'!$O$6</f>
        <v>4.0662100232031237</v>
      </c>
      <c r="AA7" s="16">
        <f>Forces!BA7/'Reduced Mass'!$O$7</f>
        <v>3.6499036478080495</v>
      </c>
      <c r="AB7" s="16">
        <f>Forces!BB7/'Reduced Mass'!$O$8</f>
        <v>3.301728390559322</v>
      </c>
      <c r="AC7" s="16">
        <f>Forces!BC7/'Reduced Mass'!$O$9</f>
        <v>2.9654684629794508</v>
      </c>
    </row>
    <row r="8" spans="1:29" x14ac:dyDescent="0.25">
      <c r="A8" s="48">
        <v>7</v>
      </c>
      <c r="B8" s="41" t="s">
        <v>116</v>
      </c>
      <c r="C8" s="16">
        <v>9.81</v>
      </c>
      <c r="D8" s="23" t="s">
        <v>123</v>
      </c>
      <c r="F8" s="55" t="s">
        <v>132</v>
      </c>
      <c r="G8" s="34">
        <f>0.5*'Gearing Calculator'!$C$15*Acceleration!$C$6*Acceleration!G5*(Acceleration!$B$18^2)</f>
        <v>345.35014145094453</v>
      </c>
      <c r="H8" s="34">
        <f>0.5*'Gearing Calculator'!$C$15*Acceleration!$C$6*Acceleration!H5*(Acceleration!$B$18^2)</f>
        <v>434.32681544922281</v>
      </c>
      <c r="I8" s="61" t="s">
        <v>153</v>
      </c>
      <c r="K8" s="41">
        <v>5600</v>
      </c>
      <c r="L8" s="16">
        <v>34</v>
      </c>
      <c r="M8" s="30">
        <v>25.3538</v>
      </c>
      <c r="N8" s="16">
        <v>25353.8</v>
      </c>
      <c r="O8" s="23">
        <v>31.887142857142859</v>
      </c>
      <c r="Q8" s="16">
        <f>Forces!AJ8/'Reduced Mass'!$O$4</f>
        <v>5.1536497578540876</v>
      </c>
      <c r="R8" s="16">
        <f>Forces!AK8/'Reduced Mass'!$O$5</f>
        <v>4.6200712054504125</v>
      </c>
      <c r="S8" s="16">
        <f>Forces!AL8/'Reduced Mass'!$O$6</f>
        <v>4.1315134201900063</v>
      </c>
      <c r="T8" s="16">
        <f>Forces!AM8/'Reduced Mass'!$O$7</f>
        <v>3.716933136619839</v>
      </c>
      <c r="U8" s="16">
        <f>Forces!AN8/'Reduced Mass'!$O$8</f>
        <v>3.371720469934254</v>
      </c>
      <c r="V8" s="16">
        <f>Forces!AO8/'Reduced Mass'!$O$9</f>
        <v>3.0400602527530962</v>
      </c>
      <c r="X8" s="16">
        <f>Forces!AX8/'Reduced Mass'!$O$4</f>
        <v>5.1473252088020116</v>
      </c>
      <c r="Y8" s="16">
        <f>Forces!AY8/'Reduced Mass'!$O$5</f>
        <v>4.6077852030938855</v>
      </c>
      <c r="Z8" s="16">
        <f>Forces!AZ8/'Reduced Mass'!$O$6</f>
        <v>4.1123844987252767</v>
      </c>
      <c r="AA8" s="16">
        <f>Forces!BA8/'Reduced Mass'!$O$7</f>
        <v>3.6902390677326578</v>
      </c>
      <c r="AB8" s="16">
        <f>Forces!BB8/'Reduced Mass'!$O$8</f>
        <v>3.3369796221119201</v>
      </c>
      <c r="AC8" s="16">
        <f>Forces!BC8/'Reduced Mass'!$O$9</f>
        <v>2.995579758626949</v>
      </c>
    </row>
    <row r="9" spans="1:29" x14ac:dyDescent="0.25">
      <c r="A9" s="48">
        <v>8</v>
      </c>
      <c r="B9" s="41" t="s">
        <v>117</v>
      </c>
      <c r="C9" s="16">
        <f>266.2*C8</f>
        <v>2611.422</v>
      </c>
      <c r="D9" s="23"/>
      <c r="F9" s="55" t="s">
        <v>133</v>
      </c>
      <c r="G9" s="34">
        <f>($C$4*$G$15)+G8</f>
        <v>239.81020131334839</v>
      </c>
      <c r="H9" s="34">
        <f>($C$4*$G$15)+H8</f>
        <v>328.78687531162666</v>
      </c>
      <c r="I9" s="61" t="s">
        <v>153</v>
      </c>
      <c r="K9" s="41">
        <v>5700</v>
      </c>
      <c r="L9" s="16">
        <v>35</v>
      </c>
      <c r="M9" s="30">
        <v>26.099500000000003</v>
      </c>
      <c r="N9" s="16">
        <v>26099.500000000004</v>
      </c>
      <c r="O9" s="23">
        <v>32.249122807017542</v>
      </c>
      <c r="Q9" s="16">
        <f>Forces!AJ9/'Reduced Mass'!$O$4</f>
        <v>5.2115476507449552</v>
      </c>
      <c r="R9" s="16">
        <f>Forces!AK9/'Reduced Mass'!$O$5</f>
        <v>4.6713408753272949</v>
      </c>
      <c r="S9" s="16">
        <f>Forces!AL9/'Reduced Mass'!$O$6</f>
        <v>4.1765814971696278</v>
      </c>
      <c r="T9" s="16">
        <f>Forces!AM9/'Reduced Mass'!$O$7</f>
        <v>3.7565702194708792</v>
      </c>
      <c r="U9" s="16">
        <f>Forces!AN9/'Reduced Mass'!$O$8</f>
        <v>3.4066678748190302</v>
      </c>
      <c r="V9" s="16">
        <f>Forces!AO9/'Reduced Mass'!$O$9</f>
        <v>3.0703096546860911</v>
      </c>
      <c r="X9" s="16">
        <f>Forces!AX9/'Reduced Mass'!$O$4</f>
        <v>5.2049952081843074</v>
      </c>
      <c r="Y9" s="16">
        <f>Forces!AY9/'Reduced Mass'!$O$5</f>
        <v>4.6586121694419775</v>
      </c>
      <c r="Z9" s="16">
        <f>Forces!AZ9/'Reduced Mass'!$O$6</f>
        <v>4.1567633001546698</v>
      </c>
      <c r="AA9" s="16">
        <f>Forces!BA9/'Reduced Mass'!$O$7</f>
        <v>3.728914278841271</v>
      </c>
      <c r="AB9" s="16">
        <f>Forces!BB9/'Reduced Mass'!$O$8</f>
        <v>3.3706752043551393</v>
      </c>
      <c r="AC9" s="16">
        <f>Forces!BC9/'Reduced Mass'!$O$9</f>
        <v>3.0242263876529747</v>
      </c>
    </row>
    <row r="10" spans="1:29" x14ac:dyDescent="0.25">
      <c r="A10" s="48">
        <v>9</v>
      </c>
      <c r="B10" s="167" t="s">
        <v>118</v>
      </c>
      <c r="C10" s="16">
        <v>30</v>
      </c>
      <c r="D10" s="23" t="s">
        <v>124</v>
      </c>
      <c r="F10" s="55" t="s">
        <v>134</v>
      </c>
      <c r="G10" s="34">
        <f>($C$4*$C$8)*(($C$7-G3)/$C$7)+((G9)*(G4/C7))</f>
        <v>1340.9726372496673</v>
      </c>
      <c r="H10" s="34">
        <f>($C$4*$C$8)*(($C$7-H3)/$C$7)+((H9)*(H4/C7))</f>
        <v>1415.85988729375</v>
      </c>
      <c r="I10" s="61" t="s">
        <v>153</v>
      </c>
      <c r="K10" s="41">
        <v>5800</v>
      </c>
      <c r="L10" s="16">
        <v>36</v>
      </c>
      <c r="M10" s="30">
        <v>26.845200000000002</v>
      </c>
      <c r="N10" s="16">
        <v>26845.200000000001</v>
      </c>
      <c r="O10" s="23">
        <v>32.598620689655171</v>
      </c>
      <c r="Q10" s="16">
        <f>Forces!AJ10/'Reduced Mass'!$O$4</f>
        <v>5.2674029078341293</v>
      </c>
      <c r="R10" s="16">
        <f>Forces!AK10/'Reduced Mass'!$O$5</f>
        <v>4.720752961963238</v>
      </c>
      <c r="S10" s="16">
        <f>Forces!AL10/'Reduced Mass'!$O$6</f>
        <v>4.2199558991235442</v>
      </c>
      <c r="T10" s="16">
        <f>Forces!AM10/'Reduced Mass'!$O$7</f>
        <v>3.79464569229761</v>
      </c>
      <c r="U10" s="16">
        <f>Forces!AN10/'Reduced Mass'!$O$8</f>
        <v>3.4401566570943114</v>
      </c>
      <c r="V10" s="16">
        <f>Forces!AO10/'Reduced Mass'!$O$9</f>
        <v>3.0991913538993003</v>
      </c>
      <c r="X10" s="16">
        <f>Forces!AX10/'Reduced Mass'!$O$4</f>
        <v>5.2606185382514825</v>
      </c>
      <c r="Y10" s="16">
        <f>Forces!AY10/'Reduced Mass'!$O$5</f>
        <v>4.7075737170884429</v>
      </c>
      <c r="Z10" s="16">
        <f>Forces!AZ10/'Reduced Mass'!$O$6</f>
        <v>4.1994362269910974</v>
      </c>
      <c r="AA10" s="16">
        <f>Forces!BA10/'Reduced Mass'!$O$7</f>
        <v>3.766010855646948</v>
      </c>
      <c r="AB10" s="16">
        <f>Forces!BB10/'Reduced Mass'!$O$8</f>
        <v>3.4028900078359152</v>
      </c>
      <c r="AC10" s="16">
        <f>Forces!BC10/'Reduced Mass'!$O$9</f>
        <v>3.0514769462971452</v>
      </c>
    </row>
    <row r="11" spans="1:29" ht="15.75" thickBot="1" x14ac:dyDescent="0.3">
      <c r="A11" s="48">
        <v>10</v>
      </c>
      <c r="B11" s="168"/>
      <c r="C11" s="18">
        <f>C10*0.0689476</f>
        <v>2.0684279999999999</v>
      </c>
      <c r="D11" s="19" t="s">
        <v>125</v>
      </c>
      <c r="F11" s="55" t="s">
        <v>135</v>
      </c>
      <c r="G11" s="121">
        <f>($C$4*$C$8)*(G3/$C$7)-((G9)*(G4/$C$7))</f>
        <v>1270.4493627503327</v>
      </c>
      <c r="H11" s="121">
        <f>($C$4*$C$8)*(H3/$C$7)-((H9)*(H4/$C$7))</f>
        <v>1195.5621127062502</v>
      </c>
      <c r="I11" s="61" t="s">
        <v>153</v>
      </c>
      <c r="K11" s="41">
        <v>5900</v>
      </c>
      <c r="L11" s="16">
        <v>37</v>
      </c>
      <c r="M11" s="30">
        <v>27.590900000000001</v>
      </c>
      <c r="N11" s="16">
        <v>27590.9</v>
      </c>
      <c r="O11" s="23">
        <v>32.936271186440678</v>
      </c>
      <c r="Q11" s="16">
        <f>Forces!AJ11/'Reduced Mass'!$O$4</f>
        <v>5.3213185959165603</v>
      </c>
      <c r="R11" s="16">
        <f>Forces!AK11/'Reduced Mass'!$O$5</f>
        <v>4.7684003723597206</v>
      </c>
      <c r="S11" s="16">
        <f>Forces!AL11/'Reduced Mass'!$O$6</f>
        <v>4.2617203374498747</v>
      </c>
      <c r="T11" s="16">
        <f>Forces!AM11/'Reduced Mass'!$O$7</f>
        <v>3.8312355991376359</v>
      </c>
      <c r="U11" s="16">
        <f>Forces!AN11/'Reduced Mass'!$O$8</f>
        <v>3.4722566113377527</v>
      </c>
      <c r="V11" s="16">
        <f>Forces!AO11/'Reduced Mass'!$O$9</f>
        <v>3.1267692960398272</v>
      </c>
      <c r="X11" s="16">
        <f>Forces!AX11/'Reduced Mass'!$O$4</f>
        <v>5.314298265798489</v>
      </c>
      <c r="Y11" s="16">
        <f>Forces!AY11/'Reduced Mass'!$O$5</f>
        <v>4.754762753034762</v>
      </c>
      <c r="Z11" s="16">
        <f>Forces!AZ11/'Reduced Mass'!$O$6</f>
        <v>4.2404869906326796</v>
      </c>
      <c r="AA11" s="16">
        <f>Forces!BA11/'Reduced Mass'!$O$7</f>
        <v>3.8016048421872926</v>
      </c>
      <c r="AB11" s="16">
        <f>Forces!BB11/'Reduced Mass'!$O$8</f>
        <v>3.4336938271319033</v>
      </c>
      <c r="AC11" s="16">
        <f>Forces!BC11/'Reduced Mass'!$O$9</f>
        <v>3.0773953802065623</v>
      </c>
    </row>
    <row r="12" spans="1:29" ht="15.75" thickBot="1" x14ac:dyDescent="0.3">
      <c r="A12" s="48">
        <v>11</v>
      </c>
      <c r="F12" s="55" t="s">
        <v>136</v>
      </c>
      <c r="G12" s="34">
        <f>(($C$14/$B$18)-(0.5*'Gearing Calculator'!$C$15*Acceleration!$C$6*Acceleration!G5*Acceleration!$B$18^2))/Acceleration!$C$5</f>
        <v>-0.39646859555821246</v>
      </c>
      <c r="H12" s="34">
        <f>(($C$14/$B$18)-(0.5*'Gearing Calculator'!$C$15*Acceleration!$C$6*Acceleration!H5*Acceleration!$B$18^2))/Acceleration!$C$5</f>
        <v>-0.68168955228711503</v>
      </c>
      <c r="I12" s="61" t="s">
        <v>123</v>
      </c>
      <c r="K12" s="41">
        <v>6000</v>
      </c>
      <c r="L12" s="16">
        <v>38</v>
      </c>
      <c r="M12" s="30">
        <v>28.336600000000001</v>
      </c>
      <c r="N12" s="16">
        <v>28336.600000000002</v>
      </c>
      <c r="O12" s="23">
        <v>33.262666666666668</v>
      </c>
      <c r="Q12" s="16">
        <f>Forces!AJ12/'Reduced Mass'!$O$4</f>
        <v>5.3733909106675108</v>
      </c>
      <c r="R12" s="16">
        <f>Forces!AK12/'Reduced Mass'!$O$5</f>
        <v>4.8143698197181264</v>
      </c>
      <c r="S12" s="16">
        <f>Forces!AL12/'Reduced Mass'!$O$6</f>
        <v>4.3019529427868584</v>
      </c>
      <c r="T12" s="16">
        <f>Forces!AM12/'Reduced Mass'!$O$7</f>
        <v>3.8664109144260466</v>
      </c>
      <c r="U12" s="16">
        <f>Forces!AN12/'Reduced Mass'!$O$8</f>
        <v>3.5030328791551555</v>
      </c>
      <c r="V12" s="16">
        <f>Forces!AO12/'Reduced Mass'!$O$9</f>
        <v>3.153103163711632</v>
      </c>
      <c r="X12" s="16">
        <f>Forces!AX12/'Reduced Mass'!$O$4</f>
        <v>5.3661305865005877</v>
      </c>
      <c r="Y12" s="16">
        <f>Forces!AY12/'Reduced Mass'!$O$5</f>
        <v>4.8002659904823171</v>
      </c>
      <c r="Z12" s="16">
        <f>Forces!AZ12/'Reduced Mass'!$O$6</f>
        <v>4.2799937217176529</v>
      </c>
      <c r="AA12" s="16">
        <f>Forces!BA12/'Reduced Mass'!$O$7</f>
        <v>3.8357672128973954</v>
      </c>
      <c r="AB12" s="16">
        <f>Forces!BB12/'Reduced Mass'!$O$8</f>
        <v>3.4631518038489046</v>
      </c>
      <c r="AC12" s="16">
        <f>Forces!BC12/'Reduced Mass'!$O$9</f>
        <v>3.1020413719851874</v>
      </c>
    </row>
    <row r="13" spans="1:29" x14ac:dyDescent="0.25">
      <c r="A13" s="48">
        <v>12</v>
      </c>
      <c r="B13" s="35" t="s">
        <v>111</v>
      </c>
      <c r="C13" s="29" t="s">
        <v>105</v>
      </c>
      <c r="D13" s="15">
        <f>VLOOKUP(C13,A42:B47,2,FALSE)</f>
        <v>1.1499999999999999</v>
      </c>
      <c r="F13" s="55" t="s">
        <v>137</v>
      </c>
      <c r="G13" s="34">
        <f>((($G$6*$C$8)*(($C$7-G3)/$C$7))/(1-$G$6*(G4/$C$7)))-(G8/$C$4)</f>
        <v>36.091572573333615</v>
      </c>
      <c r="H13" s="34">
        <f>((($G$6*$C$8)*(($C$7-H3)/$C$7))/(1-$G$6*(H4/$C$7)))-(H8/$C$4)</f>
        <v>32.176644108776614</v>
      </c>
      <c r="I13" s="61" t="s">
        <v>123</v>
      </c>
      <c r="K13" s="41">
        <v>6100</v>
      </c>
      <c r="L13" s="16">
        <v>38.5</v>
      </c>
      <c r="M13" s="30">
        <v>28.70945</v>
      </c>
      <c r="N13" s="16">
        <v>28709.45</v>
      </c>
      <c r="O13" s="23">
        <v>33.14786885245902</v>
      </c>
      <c r="Q13" s="16">
        <f>Forces!AJ13/'Reduced Mass'!$O$4</f>
        <v>5.3538015757471973</v>
      </c>
      <c r="R13" s="16">
        <f>Forces!AK13/'Reduced Mass'!$O$5</f>
        <v>4.7957253535485984</v>
      </c>
      <c r="S13" s="16">
        <f>Forces!AL13/'Reduced Mass'!$O$6</f>
        <v>4.2839469403674215</v>
      </c>
      <c r="T13" s="16">
        <f>Forces!AM13/'Reduced Mass'!$O$7</f>
        <v>3.8486587951137716</v>
      </c>
      <c r="U13" s="16">
        <f>Forces!AN13/'Reduced Mass'!$O$8</f>
        <v>3.4852060519601786</v>
      </c>
      <c r="V13" s="16">
        <f>Forces!AO13/'Reduced Mass'!$O$9</f>
        <v>3.1348756609535586</v>
      </c>
      <c r="X13" s="16">
        <f>Forces!AX13/'Reduced Mass'!$O$4</f>
        <v>5.3462972240179969</v>
      </c>
      <c r="Y13" s="16">
        <f>Forces!AY13/'Reduced Mass'!$O$5</f>
        <v>4.7811474789412527</v>
      </c>
      <c r="Z13" s="16">
        <f>Forces!AZ13/'Reduced Mass'!$O$6</f>
        <v>4.2612496454789452</v>
      </c>
      <c r="AA13" s="16">
        <f>Forces!BA13/'Reduced Mass'!$O$7</f>
        <v>3.8169851247281845</v>
      </c>
      <c r="AB13" s="16">
        <f>Forces!BB13/'Reduced Mass'!$O$8</f>
        <v>3.4439845294005784</v>
      </c>
      <c r="AC13" s="16">
        <f>Forces!BC13/'Reduced Mass'!$O$9</f>
        <v>3.0820976256718642</v>
      </c>
    </row>
    <row r="14" spans="1:29" ht="15.75" thickBot="1" x14ac:dyDescent="0.3">
      <c r="A14" s="48">
        <v>13</v>
      </c>
      <c r="B14" s="36" t="s">
        <v>140</v>
      </c>
      <c r="C14" s="31">
        <v>14200</v>
      </c>
      <c r="D14" s="18">
        <f>VLOOKUP(C14,'Dyno Data'!B3:E109,3,FALSE)</f>
        <v>83.5184</v>
      </c>
      <c r="F14" s="55" t="s">
        <v>138</v>
      </c>
      <c r="G14" s="34">
        <f>(($C$8)*(G3/G4)-(G8/$C$4))</f>
        <v>8.3593829280457346</v>
      </c>
      <c r="H14" s="34">
        <f>(($C$8)*(H3/H4)-(H8/$C$4))</f>
        <v>8.099039256215077</v>
      </c>
      <c r="I14" s="61" t="s">
        <v>123</v>
      </c>
      <c r="K14" s="41">
        <v>6200</v>
      </c>
      <c r="L14" s="16">
        <v>39</v>
      </c>
      <c r="M14" s="30">
        <v>29.0823</v>
      </c>
      <c r="N14" s="16">
        <v>29082.3</v>
      </c>
      <c r="O14" s="23">
        <v>33.036774193548389</v>
      </c>
      <c r="Q14" s="16">
        <f>Forces!AJ14/'Reduced Mass'!$O$4</f>
        <v>5.3347979458770336</v>
      </c>
      <c r="R14" s="16">
        <f>Forces!AK14/'Reduced Mass'!$O$5</f>
        <v>4.7775925566948203</v>
      </c>
      <c r="S14" s="16">
        <f>Forces!AL14/'Reduced Mass'!$O$6</f>
        <v>4.2663820153182144</v>
      </c>
      <c r="T14" s="16">
        <f>Forces!AM14/'Reduced Mass'!$O$7</f>
        <v>3.8312842902450206</v>
      </c>
      <c r="U14" s="16">
        <f>Forces!AN14/'Reduced Mass'!$O$8</f>
        <v>3.4677004570526311</v>
      </c>
      <c r="V14" s="16">
        <f>Forces!AO14/'Reduced Mass'!$O$9</f>
        <v>3.1169111548360191</v>
      </c>
      <c r="X14" s="16">
        <f>Forces!AX14/'Reduced Mass'!$O$4</f>
        <v>5.3270455330721305</v>
      </c>
      <c r="Y14" s="16">
        <f>Forces!AY14/'Reduced Mass'!$O$5</f>
        <v>4.7625328012552508</v>
      </c>
      <c r="Z14" s="16">
        <f>Forces!AZ14/'Reduced Mass'!$O$6</f>
        <v>4.2429344470432069</v>
      </c>
      <c r="AA14" s="16">
        <f>Forces!BA14/'Reduced Mass'!$O$7</f>
        <v>3.798563626723872</v>
      </c>
      <c r="AB14" s="16">
        <f>Forces!BB14/'Reduced Mass'!$O$8</f>
        <v>3.4251163310867341</v>
      </c>
      <c r="AC14" s="16">
        <f>Forces!BC14/'Reduced Mass'!$O$9</f>
        <v>3.0623885083370044</v>
      </c>
    </row>
    <row r="15" spans="1:29" ht="15.75" thickBot="1" x14ac:dyDescent="0.3">
      <c r="A15" s="48">
        <v>14</v>
      </c>
      <c r="F15" s="56" t="s">
        <v>139</v>
      </c>
      <c r="G15" s="62">
        <f>MIN(G12:G14)</f>
        <v>-0.39646859555821246</v>
      </c>
      <c r="H15" s="62">
        <f>MIN(H12:H14)</f>
        <v>-0.68168955228711503</v>
      </c>
      <c r="I15" s="63" t="s">
        <v>123</v>
      </c>
      <c r="K15" s="41">
        <v>6300</v>
      </c>
      <c r="L15" s="16">
        <v>39.5</v>
      </c>
      <c r="M15" s="30">
        <v>29.45515</v>
      </c>
      <c r="N15" s="16">
        <v>29455.15</v>
      </c>
      <c r="O15" s="23">
        <v>32.929206349206346</v>
      </c>
      <c r="Q15" s="16">
        <f>Forces!AJ15/'Reduced Mass'!$O$4</f>
        <v>5.3163513848402886</v>
      </c>
      <c r="R15" s="16">
        <f>Forces!AK15/'Reduced Mass'!$O$5</f>
        <v>4.7599456157507172</v>
      </c>
      <c r="S15" s="16">
        <f>Forces!AL15/'Reduced Mass'!$O$6</f>
        <v>4.2492349091519532</v>
      </c>
      <c r="T15" s="16">
        <f>Forces!AM15/'Reduced Mass'!$O$7</f>
        <v>3.8142662716422584</v>
      </c>
      <c r="U15" s="16">
        <f>Forces!AN15/'Reduced Mass'!$O$8</f>
        <v>3.450496702613318</v>
      </c>
      <c r="V15" s="16">
        <f>Forces!AO15/'Reduced Mass'!$O$9</f>
        <v>3.0991918786145387</v>
      </c>
      <c r="X15" s="16">
        <f>Forces!AX15/'Reduced Mass'!$O$4</f>
        <v>5.3083468774462546</v>
      </c>
      <c r="Y15" s="16">
        <f>Forces!AY15/'Reduced Mass'!$O$5</f>
        <v>4.7443961440182383</v>
      </c>
      <c r="Z15" s="16">
        <f>Forces!AZ15/'Reduced Mass'!$O$6</f>
        <v>4.2250248679231541</v>
      </c>
      <c r="AA15" s="16">
        <f>Forces!BA15/'Reduced Mass'!$O$7</f>
        <v>3.7804815907069198</v>
      </c>
      <c r="AB15" s="16">
        <f>Forces!BB15/'Reduced Mass'!$O$8</f>
        <v>3.4065278170881763</v>
      </c>
      <c r="AC15" s="16">
        <f>Forces!BC15/'Reduced Mass'!$O$9</f>
        <v>3.0428962532361332</v>
      </c>
    </row>
    <row r="16" spans="1:29" ht="15.75" thickBot="1" x14ac:dyDescent="0.3">
      <c r="A16" s="48">
        <v>15</v>
      </c>
      <c r="B16" s="161" t="s">
        <v>126</v>
      </c>
      <c r="C16" s="164"/>
      <c r="D16" s="3"/>
      <c r="K16" s="41">
        <v>6400</v>
      </c>
      <c r="L16" s="16">
        <v>40</v>
      </c>
      <c r="M16" s="30">
        <v>29.828000000000003</v>
      </c>
      <c r="N16" s="16">
        <v>29828.000000000004</v>
      </c>
      <c r="O16" s="23">
        <v>32.825000000000003</v>
      </c>
      <c r="Q16" s="16">
        <f>Forces!AJ16/'Reduced Mass'!$O$4</f>
        <v>5.2984350461837693</v>
      </c>
      <c r="R16" s="16">
        <f>Forces!AK16/'Reduced Mass'!$O$5</f>
        <v>4.7427603306480943</v>
      </c>
      <c r="S16" s="16">
        <f>Forces!AL16/'Reduced Mass'!$O$6</f>
        <v>4.2324838170368055</v>
      </c>
      <c r="T16" s="16">
        <f>Forces!AM16/'Reduced Mass'!$O$7</f>
        <v>3.7975849316390384</v>
      </c>
      <c r="U16" s="16">
        <f>Forces!AN16/'Reduced Mass'!$O$8</f>
        <v>3.4335766088117423</v>
      </c>
      <c r="V16" s="16">
        <f>Forces!AO16/'Reduced Mass'!$O$9</f>
        <v>3.0817011759661717</v>
      </c>
      <c r="X16" s="16">
        <f>Forces!AX16/'Reduced Mass'!$O$4</f>
        <v>5.2901744106871806</v>
      </c>
      <c r="Y16" s="16">
        <f>Forces!AY16/'Reduced Mass'!$O$5</f>
        <v>4.7267133071620187</v>
      </c>
      <c r="Z16" s="16">
        <f>Forces!AZ16/'Reduced Mass'!$O$6</f>
        <v>4.2074991032869535</v>
      </c>
      <c r="AA16" s="16">
        <f>Forces!BA16/'Reduced Mass'!$O$7</f>
        <v>3.7627192090108839</v>
      </c>
      <c r="AB16" s="16">
        <f>Forces!BB16/'Reduced Mass'!$O$8</f>
        <v>3.388200807574409</v>
      </c>
      <c r="AC16" s="16">
        <f>Forces!BC16/'Reduced Mass'!$O$9</f>
        <v>3.0236042040463058</v>
      </c>
    </row>
    <row r="17" spans="1:29" ht="15.75" thickBot="1" x14ac:dyDescent="0.3">
      <c r="A17" s="48">
        <v>16</v>
      </c>
      <c r="B17" s="37" t="s">
        <v>2</v>
      </c>
      <c r="C17" s="50" t="s">
        <v>3</v>
      </c>
      <c r="D17" s="1"/>
      <c r="K17" s="41">
        <v>6500</v>
      </c>
      <c r="L17" s="16">
        <v>40</v>
      </c>
      <c r="M17" s="30">
        <v>29.828000000000003</v>
      </c>
      <c r="N17" s="16">
        <v>29828.000000000004</v>
      </c>
      <c r="O17" s="23">
        <v>32.32</v>
      </c>
      <c r="Q17" s="16">
        <f>Forces!AJ17/'Reduced Mass'!$O$4</f>
        <v>5.215417612309599</v>
      </c>
      <c r="R17" s="16">
        <f>Forces!AK17/'Reduced Mass'!$O$5</f>
        <v>4.6668749808251091</v>
      </c>
      <c r="S17" s="16">
        <f>Forces!AL17/'Reduced Mass'!$O$6</f>
        <v>4.1628226343279593</v>
      </c>
      <c r="T17" s="16">
        <f>Forces!AM17/'Reduced Mass'!$O$7</f>
        <v>3.7328166204438666</v>
      </c>
      <c r="U17" s="16">
        <f>Forces!AN17/'Reduced Mass'!$O$8</f>
        <v>3.3724960838793154</v>
      </c>
      <c r="V17" s="16">
        <f>Forces!AO17/'Reduced Mass'!$O$9</f>
        <v>3.0237194623100536</v>
      </c>
      <c r="X17" s="16">
        <f>Forces!AX17/'Reduced Mass'!$O$4</f>
        <v>5.2068968151970294</v>
      </c>
      <c r="Y17" s="16">
        <f>Forces!AY17/'Reduced Mass'!$O$5</f>
        <v>4.6503225701247501</v>
      </c>
      <c r="Z17" s="16">
        <f>Forces!AZ17/'Reduced Mass'!$O$6</f>
        <v>4.137051048489794</v>
      </c>
      <c r="AA17" s="16">
        <f>Forces!BA17/'Reduced Mass'!$O$7</f>
        <v>3.6968528318442688</v>
      </c>
      <c r="AB17" s="16">
        <f>Forces!BB17/'Reduced Mass'!$O$8</f>
        <v>3.3256912107768404</v>
      </c>
      <c r="AC17" s="16">
        <f>Forces!BC17/'Reduced Mass'!$O$9</f>
        <v>2.9637927761866565</v>
      </c>
    </row>
    <row r="18" spans="1:29" x14ac:dyDescent="0.25">
      <c r="A18" s="48">
        <v>17</v>
      </c>
      <c r="B18" s="22">
        <f>VLOOKUP(C14,'Gearing Calculator'!AA6:AL112,F27, FALSE)</f>
        <v>64.059479595240745</v>
      </c>
      <c r="C18" s="21" t="s">
        <v>96</v>
      </c>
      <c r="D18" s="1"/>
      <c r="K18" s="41">
        <v>6600</v>
      </c>
      <c r="L18" s="16">
        <v>40.5</v>
      </c>
      <c r="M18" s="30">
        <v>30.200850000000003</v>
      </c>
      <c r="N18" s="16">
        <v>30200.850000000002</v>
      </c>
      <c r="O18" s="23">
        <v>32.228181818181817</v>
      </c>
      <c r="Q18" s="16">
        <f>Forces!AJ18/'Reduced Mass'!$O$4</f>
        <v>5.1994816944236044</v>
      </c>
      <c r="R18" s="16">
        <f>Forces!AK18/'Reduced Mass'!$O$5</f>
        <v>4.651442296921843</v>
      </c>
      <c r="S18" s="16">
        <f>Forces!AL18/'Reduced Mass'!$O$6</f>
        <v>4.1476107797153432</v>
      </c>
      <c r="T18" s="16">
        <f>Forces!AM18/'Reduced Mass'!$O$7</f>
        <v>3.7174874080462752</v>
      </c>
      <c r="U18" s="16">
        <f>Forces!AN18/'Reduced Mass'!$O$8</f>
        <v>3.3567662989712153</v>
      </c>
      <c r="V18" s="16">
        <f>Forces!AO18/'Reduced Mass'!$O$9</f>
        <v>3.0072566867697539</v>
      </c>
      <c r="X18" s="16">
        <f>Forces!AX18/'Reduced Mass'!$O$4</f>
        <v>5.1906967021816275</v>
      </c>
      <c r="Y18" s="16">
        <f>Forces!AY18/'Reduced Mass'!$O$5</f>
        <v>4.6343766635465142</v>
      </c>
      <c r="Z18" s="16">
        <f>Forces!AZ18/'Reduced Mass'!$O$6</f>
        <v>4.1210401222216042</v>
      </c>
      <c r="AA18" s="16">
        <f>Forces!BA18/'Reduced Mass'!$O$7</f>
        <v>3.6804085291966073</v>
      </c>
      <c r="AB18" s="16">
        <f>Forces!BB18/'Reduced Mass'!$O$8</f>
        <v>3.3085101978506524</v>
      </c>
      <c r="AC18" s="16">
        <f>Forces!BC18/'Reduced Mass'!$O$9</f>
        <v>2.9454719187807559</v>
      </c>
    </row>
    <row r="19" spans="1:29" x14ac:dyDescent="0.25">
      <c r="A19" s="48">
        <v>18</v>
      </c>
      <c r="B19" s="16">
        <f>B18*3.6</f>
        <v>230.6141265428667</v>
      </c>
      <c r="C19" s="33" t="s">
        <v>128</v>
      </c>
      <c r="D19" s="1"/>
      <c r="K19" s="41">
        <v>6700</v>
      </c>
      <c r="L19" s="16">
        <v>41</v>
      </c>
      <c r="M19" s="30">
        <v>30.573700000000002</v>
      </c>
      <c r="N19" s="16">
        <v>30573.7</v>
      </c>
      <c r="O19" s="23">
        <v>32.139104477611937</v>
      </c>
      <c r="Q19" s="16">
        <f>Forces!AJ19/'Reduced Mass'!$O$4</f>
        <v>5.1839752100677856</v>
      </c>
      <c r="R19" s="16">
        <f>Forces!AK19/'Reduced Mass'!$O$5</f>
        <v>4.6363804152553945</v>
      </c>
      <c r="S19" s="16">
        <f>Forces!AL19/'Reduced Mass'!$O$6</f>
        <v>4.1327130779146577</v>
      </c>
      <c r="T19" s="16">
        <f>Forces!AM19/'Reduced Mass'!$O$7</f>
        <v>3.7024205109083375</v>
      </c>
      <c r="U19" s="16">
        <f>Forces!AN19/'Reduced Mass'!$O$8</f>
        <v>3.3412519226976181</v>
      </c>
      <c r="V19" s="16">
        <f>Forces!AO19/'Reduced Mass'!$O$9</f>
        <v>2.990959952458943</v>
      </c>
      <c r="X19" s="16">
        <f>Forces!AX19/'Reduced Mass'!$O$4</f>
        <v>5.174921989182975</v>
      </c>
      <c r="Y19" s="16">
        <f>Forces!AY19/'Reduced Mass'!$O$5</f>
        <v>4.6187937237444094</v>
      </c>
      <c r="Z19" s="16">
        <f>Forces!AZ19/'Reduced Mass'!$O$6</f>
        <v>4.1053311491980846</v>
      </c>
      <c r="AA19" s="16">
        <f>Forces!BA19/'Reduced Mass'!$O$7</f>
        <v>3.6642095175299723</v>
      </c>
      <c r="AB19" s="16">
        <f>Forces!BB19/'Reduced Mass'!$O$8</f>
        <v>3.2915224374060186</v>
      </c>
      <c r="AC19" s="16">
        <f>Forces!BC19/'Reduced Mass'!$O$9</f>
        <v>2.9272887349422732</v>
      </c>
    </row>
    <row r="20" spans="1:29" ht="15.75" thickBot="1" x14ac:dyDescent="0.3">
      <c r="A20" s="48">
        <v>19</v>
      </c>
      <c r="B20" s="18">
        <f>B18*2.237</f>
        <v>143.30105585455357</v>
      </c>
      <c r="C20" s="19" t="s">
        <v>127</v>
      </c>
      <c r="D20" s="1"/>
      <c r="F20" s="48" t="s">
        <v>100</v>
      </c>
      <c r="G20" s="48">
        <v>7</v>
      </c>
      <c r="K20" s="41">
        <v>6800</v>
      </c>
      <c r="L20" s="16">
        <v>42</v>
      </c>
      <c r="M20" s="30">
        <v>31.319400000000002</v>
      </c>
      <c r="N20" s="16">
        <v>31319.4</v>
      </c>
      <c r="O20" s="23">
        <v>32.438823529411764</v>
      </c>
      <c r="Q20" s="16">
        <f>Forces!AJ20/'Reduced Mass'!$O$4</f>
        <v>5.2315902584057223</v>
      </c>
      <c r="R20" s="16">
        <f>Forces!AK20/'Reduced Mass'!$O$5</f>
        <v>4.6782015709583202</v>
      </c>
      <c r="S20" s="16">
        <f>Forces!AL20/'Reduced Mass'!$O$6</f>
        <v>4.169048384751596</v>
      </c>
      <c r="T20" s="16">
        <f>Forces!AM20/'Reduced Mass'!$O$7</f>
        <v>3.7338709847824112</v>
      </c>
      <c r="U20" s="16">
        <f>Forces!AN20/'Reduced Mass'!$O$8</f>
        <v>3.3684066724356949</v>
      </c>
      <c r="V20" s="16">
        <f>Forces!AO20/'Reduced Mass'!$O$9</f>
        <v>3.0137252670744954</v>
      </c>
      <c r="X20" s="16">
        <f>Forces!AX20/'Reduced Mass'!$O$4</f>
        <v>5.2222647753646516</v>
      </c>
      <c r="Y20" s="16">
        <f>Forces!AY20/'Reduced Mass'!$O$5</f>
        <v>4.6600859858509924</v>
      </c>
      <c r="Z20" s="16">
        <f>Forces!AZ20/'Reduced Mass'!$O$6</f>
        <v>4.1408429852449276</v>
      </c>
      <c r="AA20" s="16">
        <f>Forces!BA20/'Reduced Mass'!$O$7</f>
        <v>3.694510852596721</v>
      </c>
      <c r="AB20" s="16">
        <f>Forces!BB20/'Reduced Mass'!$O$8</f>
        <v>3.317181646820111</v>
      </c>
      <c r="AC20" s="16">
        <f>Forces!BC20/'Reduced Mass'!$O$9</f>
        <v>2.9481392323680837</v>
      </c>
    </row>
    <row r="21" spans="1:29" x14ac:dyDescent="0.25">
      <c r="A21" s="48">
        <v>20</v>
      </c>
      <c r="F21" s="48" t="s">
        <v>101</v>
      </c>
      <c r="G21" s="48">
        <v>8</v>
      </c>
      <c r="K21" s="41">
        <v>6900</v>
      </c>
      <c r="L21" s="16">
        <v>43</v>
      </c>
      <c r="M21" s="30">
        <v>32.065100000000001</v>
      </c>
      <c r="N21" s="16">
        <v>32065.100000000002</v>
      </c>
      <c r="O21" s="23">
        <v>32.729855072463771</v>
      </c>
      <c r="Q21" s="16">
        <f>Forces!AJ21/'Reduced Mass'!$O$4</f>
        <v>5.2777788745851986</v>
      </c>
      <c r="R21" s="16">
        <f>Forces!AK21/'Reduced Mass'!$O$5</f>
        <v>4.7187206048841954</v>
      </c>
      <c r="S21" s="16">
        <f>Forces!AL21/'Reduced Mass'!$O$6</f>
        <v>4.2041905004338034</v>
      </c>
      <c r="T21" s="16">
        <f>Forces!AM21/'Reduced Mass'!$O$7</f>
        <v>3.7642144917890157</v>
      </c>
      <c r="U21" s="16">
        <f>Forces!AN21/'Reduced Mass'!$O$8</f>
        <v>3.3945200791842849</v>
      </c>
      <c r="V21" s="16">
        <f>Forces!AO21/'Reduced Mass'!$O$9</f>
        <v>3.035505189691543</v>
      </c>
      <c r="X21" s="16">
        <f>Forces!AX21/'Reduced Mass'!$O$4</f>
        <v>5.2681770958744423</v>
      </c>
      <c r="Y21" s="16">
        <f>Forces!AY21/'Reduced Mass'!$O$5</f>
        <v>4.7000682907198383</v>
      </c>
      <c r="Z21" s="16">
        <f>Forces!AZ21/'Reduced Mass'!$O$6</f>
        <v>4.1751494305697792</v>
      </c>
      <c r="AA21" s="16">
        <f>Forces!BA21/'Reduced Mass'!$O$7</f>
        <v>3.723688196517374</v>
      </c>
      <c r="AB21" s="16">
        <f>Forces!BB21/'Reduced Mass'!$O$8</f>
        <v>3.3417773570917686</v>
      </c>
      <c r="AC21" s="16">
        <f>Forces!BC21/'Reduced Mass'!$O$9</f>
        <v>2.9679759701333195</v>
      </c>
    </row>
    <row r="22" spans="1:29" x14ac:dyDescent="0.25">
      <c r="A22" s="48">
        <v>21</v>
      </c>
      <c r="F22" s="48" t="s">
        <v>102</v>
      </c>
      <c r="G22" s="48">
        <v>9</v>
      </c>
      <c r="K22" s="41">
        <v>7000</v>
      </c>
      <c r="L22" s="16">
        <v>44</v>
      </c>
      <c r="M22" s="30">
        <v>32.8108</v>
      </c>
      <c r="N22" s="16">
        <v>32810.800000000003</v>
      </c>
      <c r="O22" s="23">
        <v>33.012571428571427</v>
      </c>
      <c r="Q22" s="16">
        <f>Forces!AJ22/'Reduced Mass'!$O$4</f>
        <v>5.3226015204629542</v>
      </c>
      <c r="R22" s="16">
        <f>Forces!AK22/'Reduced Mass'!$O$5</f>
        <v>4.7579920188715299</v>
      </c>
      <c r="S22" s="16">
        <f>Forces!AL22/'Reduced Mass'!$O$6</f>
        <v>4.2381885324023658</v>
      </c>
      <c r="T22" s="16">
        <f>Forces!AM22/'Reduced Mass'!$O$7</f>
        <v>3.7934956414816847</v>
      </c>
      <c r="U22" s="16">
        <f>Forces!AN22/'Reduced Mass'!$O$8</f>
        <v>3.4196330863894051</v>
      </c>
      <c r="V22" s="16">
        <f>Forces!AO22/'Reduced Mass'!$O$9</f>
        <v>3.0563372326103031</v>
      </c>
      <c r="X22" s="16">
        <f>Forces!AX22/'Reduced Mass'!$O$4</f>
        <v>5.3127194125690878</v>
      </c>
      <c r="Y22" s="16">
        <f>Forces!AY22/'Reduced Mass'!$O$5</f>
        <v>4.7387951401894561</v>
      </c>
      <c r="Z22" s="16">
        <f>Forces!AZ22/'Reduced Mass'!$O$6</f>
        <v>4.2082995926137245</v>
      </c>
      <c r="AA22" s="16">
        <f>Forces!BA22/'Reduced Mass'!$O$7</f>
        <v>3.7517861588454648</v>
      </c>
      <c r="AB22" s="16">
        <f>Forces!BB22/'Reduced Mass'!$O$8</f>
        <v>3.3653505116670082</v>
      </c>
      <c r="AC22" s="16">
        <f>Forces!BC22/'Reduced Mass'!$O$9</f>
        <v>2.9868364605381976</v>
      </c>
    </row>
    <row r="23" spans="1:29" x14ac:dyDescent="0.25">
      <c r="A23" s="48">
        <v>22</v>
      </c>
      <c r="F23" s="48" t="s">
        <v>103</v>
      </c>
      <c r="G23" s="48">
        <v>10</v>
      </c>
      <c r="K23" s="41">
        <v>7100</v>
      </c>
      <c r="L23" s="16">
        <v>44.5</v>
      </c>
      <c r="M23" s="30">
        <v>33.18365</v>
      </c>
      <c r="N23" s="16">
        <v>33183.65</v>
      </c>
      <c r="O23" s="23">
        <v>32.917464788732396</v>
      </c>
      <c r="Q23" s="16">
        <f>Forces!AJ23/'Reduced Mass'!$O$4</f>
        <v>5.3060533077880505</v>
      </c>
      <c r="R23" s="16">
        <f>Forces!AK23/'Reduced Mass'!$O$5</f>
        <v>4.7419258972980716</v>
      </c>
      <c r="S23" s="16">
        <f>Forces!AL23/'Reduced Mass'!$O$6</f>
        <v>4.2223061918034972</v>
      </c>
      <c r="T23" s="16">
        <f>Forces!AM23/'Reduced Mass'!$O$7</f>
        <v>3.7774420376814581</v>
      </c>
      <c r="U23" s="16">
        <f>Forces!AN23/'Reduced Mass'!$O$8</f>
        <v>3.4031116970874682</v>
      </c>
      <c r="V23" s="16">
        <f>Forces!AO23/'Reduced Mass'!$O$9</f>
        <v>3.0389926121977933</v>
      </c>
      <c r="X23" s="16">
        <f>Forces!AX23/'Reduced Mass'!$O$4</f>
        <v>5.2958868371976457</v>
      </c>
      <c r="Y23" s="16">
        <f>Forces!AY23/'Reduced Mass'!$O$5</f>
        <v>4.7221766186375955</v>
      </c>
      <c r="Z23" s="16">
        <f>Forces!AZ23/'Reduced Mass'!$O$6</f>
        <v>4.1915571825229785</v>
      </c>
      <c r="AA23" s="16">
        <f>Forces!BA23/'Reduced Mass'!$O$7</f>
        <v>3.7345323434020319</v>
      </c>
      <c r="AB23" s="16">
        <f>Forces!BB23/'Reduced Mass'!$O$8</f>
        <v>3.3472671135822436</v>
      </c>
      <c r="AC23" s="16">
        <f>Forces!BC23/'Reduced Mass'!$O$9</f>
        <v>2.9674919199497349</v>
      </c>
    </row>
    <row r="24" spans="1:29" x14ac:dyDescent="0.25">
      <c r="A24" s="48">
        <v>23</v>
      </c>
      <c r="F24" s="48" t="s">
        <v>104</v>
      </c>
      <c r="G24" s="48">
        <v>11</v>
      </c>
      <c r="K24" s="41">
        <v>7200</v>
      </c>
      <c r="L24" s="16">
        <v>45</v>
      </c>
      <c r="M24" s="30">
        <v>33.5565</v>
      </c>
      <c r="N24" s="16">
        <v>33556.5</v>
      </c>
      <c r="O24" s="23">
        <v>32.825000000000003</v>
      </c>
      <c r="Q24" s="16">
        <f>Forces!AJ24/'Reduced Mass'!$O$4</f>
        <v>5.2899184534962123</v>
      </c>
      <c r="R24" s="16">
        <f>Forces!AK24/'Reduced Mass'!$O$5</f>
        <v>4.726216087419469</v>
      </c>
      <c r="S24" s="16">
        <f>Forces!AL24/'Reduced Mass'!$O$6</f>
        <v>4.2067249476967179</v>
      </c>
      <c r="T24" s="16">
        <f>Forces!AM24/'Reduced Mass'!$O$7</f>
        <v>3.7616388886858063</v>
      </c>
      <c r="U24" s="16">
        <f>Forces!AN24/'Reduced Mass'!$O$8</f>
        <v>3.386794830682256</v>
      </c>
      <c r="V24" s="16">
        <f>Forces!AO24/'Reduced Mass'!$O$9</f>
        <v>3.0218040595244235</v>
      </c>
      <c r="X24" s="16">
        <f>Forces!AX24/'Reduced Mass'!$O$4</f>
        <v>5.2794635866958428</v>
      </c>
      <c r="Y24" s="16">
        <f>Forces!AY24/'Reduced Mass'!$O$5</f>
        <v>4.7059065733199041</v>
      </c>
      <c r="Z24" s="16">
        <f>Forces!AZ24/'Reduced Mass'!$O$6</f>
        <v>4.1751036693570613</v>
      </c>
      <c r="AA24" s="16">
        <f>Forces!BA24/'Reduced Mass'!$O$7</f>
        <v>3.7175119584845482</v>
      </c>
      <c r="AB24" s="16">
        <f>Forces!BB24/'Reduced Mass'!$O$8</f>
        <v>3.329366082241255</v>
      </c>
      <c r="AC24" s="16">
        <f>Forces!BC24/'Reduced Mass'!$O$9</f>
        <v>2.9482750794383432</v>
      </c>
    </row>
    <row r="25" spans="1:29" x14ac:dyDescent="0.25">
      <c r="A25" s="48">
        <v>24</v>
      </c>
      <c r="F25" s="48" t="s">
        <v>105</v>
      </c>
      <c r="G25" s="48">
        <v>12</v>
      </c>
      <c r="K25" s="41">
        <v>7300</v>
      </c>
      <c r="L25" s="16">
        <v>46</v>
      </c>
      <c r="M25" s="30">
        <v>34.302199999999999</v>
      </c>
      <c r="N25" s="16">
        <v>34302.199999999997</v>
      </c>
      <c r="O25" s="23">
        <v>33.094794520547943</v>
      </c>
      <c r="Q25" s="16">
        <f>Forces!AJ25/'Reduced Mass'!$O$4</f>
        <v>5.3325957379787328</v>
      </c>
      <c r="R25" s="16">
        <f>Forces!AK25/'Reduced Mass'!$O$5</f>
        <v>4.7635047188335333</v>
      </c>
      <c r="S25" s="16">
        <f>Forces!AL25/'Reduced Mass'!$O$6</f>
        <v>4.2388765996040378</v>
      </c>
      <c r="T25" s="16">
        <f>Forces!AM25/'Reduced Mass'!$O$7</f>
        <v>3.7891735831594642</v>
      </c>
      <c r="U25" s="16">
        <f>Forces!AN25/'Reduced Mass'!$O$8</f>
        <v>3.4102288630485789</v>
      </c>
      <c r="V25" s="16">
        <f>Forces!AO25/'Reduced Mass'!$O$9</f>
        <v>3.0410038820403145</v>
      </c>
      <c r="X25" s="16">
        <f>Forces!AX25/'Reduced Mass'!$O$4</f>
        <v>5.321848441454974</v>
      </c>
      <c r="Y25" s="16">
        <f>Forces!AY25/'Reduced Mass'!$O$5</f>
        <v>4.7426271338341923</v>
      </c>
      <c r="Z25" s="16">
        <f>Forces!AZ25/'Reduced Mass'!$O$6</f>
        <v>4.206370852637983</v>
      </c>
      <c r="AA25" s="16">
        <f>Forces!BA25/'Reduced Mass'!$O$7</f>
        <v>3.7438123927577465</v>
      </c>
      <c r="AB25" s="16">
        <f>Forces!BB25/'Reduced Mass'!$O$8</f>
        <v>3.3511937935188532</v>
      </c>
      <c r="AC25" s="16">
        <f>Forces!BC25/'Reduced Mass'!$O$9</f>
        <v>2.9654182464541412</v>
      </c>
    </row>
    <row r="26" spans="1:29" x14ac:dyDescent="0.25">
      <c r="A26" s="48">
        <v>25</v>
      </c>
      <c r="F26" s="48"/>
      <c r="G26" s="48"/>
      <c r="K26" s="41">
        <v>7400</v>
      </c>
      <c r="L26" s="16">
        <v>47</v>
      </c>
      <c r="M26" s="30">
        <v>35.047899999999998</v>
      </c>
      <c r="N26" s="16">
        <v>35047.9</v>
      </c>
      <c r="O26" s="23">
        <v>33.357297297297301</v>
      </c>
      <c r="Q26" s="16">
        <f>Forces!AJ26/'Reduced Mass'!$O$4</f>
        <v>5.3740732505187987</v>
      </c>
      <c r="R26" s="16">
        <f>Forces!AK26/'Reduced Mass'!$O$5</f>
        <v>4.7996955456906241</v>
      </c>
      <c r="S26" s="16">
        <f>Forces!AL26/'Reduced Mass'!$O$6</f>
        <v>4.270019154987593</v>
      </c>
      <c r="T26" s="16">
        <f>Forces!AM26/'Reduced Mass'!$O$7</f>
        <v>3.8157685436557265</v>
      </c>
      <c r="U26" s="16">
        <f>Forces!AN26/'Reduced Mass'!$O$8</f>
        <v>3.4327750417626519</v>
      </c>
      <c r="V26" s="16">
        <f>Forces!AO26/'Reduced Mass'!$O$9</f>
        <v>3.059358939169726</v>
      </c>
      <c r="X26" s="16">
        <f>Forces!AX26/'Reduced Mass'!$O$4</f>
        <v>5.3630294907582234</v>
      </c>
      <c r="Y26" s="16">
        <f>Forces!AY26/'Reduced Mass'!$O$5</f>
        <v>4.7782420543308204</v>
      </c>
      <c r="Z26" s="16">
        <f>Forces!AZ26/'Reduced Mass'!$O$6</f>
        <v>4.2366167398278796</v>
      </c>
      <c r="AA26" s="16">
        <f>Forces!BA26/'Reduced Mass'!$O$7</f>
        <v>3.7691560687749224</v>
      </c>
      <c r="AB26" s="16">
        <f>Forces!BB26/'Reduced Mass'!$O$8</f>
        <v>3.3721114949912545</v>
      </c>
      <c r="AC26" s="16">
        <f>Forces!BC26/'Reduced Mass'!$O$9</f>
        <v>2.9816882804213898</v>
      </c>
    </row>
    <row r="27" spans="1:29" x14ac:dyDescent="0.25">
      <c r="A27" s="48">
        <v>26</v>
      </c>
      <c r="F27" s="48">
        <f>VLOOKUP(C13,F20:G25,2,FALSE)</f>
        <v>12</v>
      </c>
      <c r="G27" s="48"/>
      <c r="K27" s="41">
        <v>7500</v>
      </c>
      <c r="L27" s="16">
        <v>48</v>
      </c>
      <c r="M27" s="30">
        <v>35.793599999999998</v>
      </c>
      <c r="N27" s="16">
        <v>35793.599999999999</v>
      </c>
      <c r="O27" s="23">
        <v>33.6128</v>
      </c>
      <c r="Q27" s="16">
        <f>Forces!AJ27/'Reduced Mass'!$O$4</f>
        <v>5.4143983557740567</v>
      </c>
      <c r="R27" s="16">
        <f>Forces!AK27/'Reduced Mass'!$O$5</f>
        <v>4.8348312636845483</v>
      </c>
      <c r="S27" s="16">
        <f>Forces!AL27/'Reduced Mass'!$O$6</f>
        <v>4.300191083673826</v>
      </c>
      <c r="T27" s="16">
        <f>Forces!AM27/'Reduced Mass'!$O$7</f>
        <v>3.8414587164422915</v>
      </c>
      <c r="U27" s="16">
        <f>Forces!AN27/'Reduced Mass'!$O$8</f>
        <v>3.4544654411339377</v>
      </c>
      <c r="V27" s="16">
        <f>Forces!AO27/'Reduced Mass'!$O$9</f>
        <v>3.076898617328383</v>
      </c>
      <c r="X27" s="16">
        <f>Forces!AX27/'Reduced Mass'!$O$4</f>
        <v>5.4030540992632385</v>
      </c>
      <c r="Y27" s="16">
        <f>Forces!AY27/'Reduced Mass'!$O$5</f>
        <v>4.8127940305035954</v>
      </c>
      <c r="Z27" s="16">
        <f>Forces!AZ27/'Reduced Mass'!$O$6</f>
        <v>4.2658798007531917</v>
      </c>
      <c r="AA27" s="16">
        <f>Forces!BA27/'Reduced Mass'!$O$7</f>
        <v>3.7935779328037738</v>
      </c>
      <c r="AB27" s="16">
        <f>Forces!BB27/'Reduced Mass'!$O$8</f>
        <v>3.3921512609679207</v>
      </c>
      <c r="AC27" s="16">
        <f>Forces!BC27/'Reduced Mass'!$O$9</f>
        <v>2.9971145677558124</v>
      </c>
    </row>
    <row r="28" spans="1:29" x14ac:dyDescent="0.25">
      <c r="A28" s="48">
        <v>27</v>
      </c>
      <c r="K28" s="41">
        <v>7600</v>
      </c>
      <c r="L28" s="16">
        <v>49</v>
      </c>
      <c r="M28" s="30">
        <v>36.539300000000004</v>
      </c>
      <c r="N28" s="16">
        <v>36539.300000000003</v>
      </c>
      <c r="O28" s="23">
        <v>33.861578947368422</v>
      </c>
      <c r="Q28" s="16">
        <f>Forces!AJ28/'Reduced Mass'!$O$4</f>
        <v>5.4536159255254315</v>
      </c>
      <c r="R28" s="16">
        <f>Forces!AK28/'Reduced Mass'!$O$5</f>
        <v>4.8689523213673276</v>
      </c>
      <c r="S28" s="16">
        <f>Forces!AL28/'Reduced Mass'!$O$6</f>
        <v>4.3294288307614677</v>
      </c>
      <c r="T28" s="16">
        <f>Forces!AM28/'Reduced Mass'!$O$7</f>
        <v>3.86627720850962</v>
      </c>
      <c r="U28" s="16">
        <f>Forces!AN28/'Reduced Mass'!$O$8</f>
        <v>3.4753304473503523</v>
      </c>
      <c r="V28" s="16">
        <f>Forces!AO28/'Reduced Mass'!$O$9</f>
        <v>3.0936507562785445</v>
      </c>
      <c r="X28" s="16">
        <f>Forces!AX28/'Reduced Mass'!$O$4</f>
        <v>5.4419671387509467</v>
      </c>
      <c r="Y28" s="16">
        <f>Forces!AY28/'Reduced Mass'!$O$5</f>
        <v>4.8463235109045408</v>
      </c>
      <c r="Z28" s="16">
        <f>Forces!AZ28/'Reduced Mass'!$O$6</f>
        <v>4.294196480512654</v>
      </c>
      <c r="AA28" s="16">
        <f>Forces!BA28/'Reduced Mass'!$O$7</f>
        <v>3.8171110918347613</v>
      </c>
      <c r="AB28" s="16">
        <f>Forces!BB28/'Reduced Mass'!$O$8</f>
        <v>3.4113434776367679</v>
      </c>
      <c r="AC28" s="16">
        <f>Forces!BC28/'Reduced Mass'!$O$9</f>
        <v>3.0117249482196708</v>
      </c>
    </row>
    <row r="29" spans="1:29" x14ac:dyDescent="0.25">
      <c r="A29" s="48">
        <v>28</v>
      </c>
      <c r="K29" s="41">
        <v>7700</v>
      </c>
      <c r="L29" s="16">
        <v>49.5</v>
      </c>
      <c r="M29" s="30">
        <v>36.912150000000004</v>
      </c>
      <c r="N29" s="16">
        <v>36912.15</v>
      </c>
      <c r="O29" s="23">
        <v>33.762857142857143</v>
      </c>
      <c r="Q29" s="16">
        <f>Forces!AJ29/'Reduced Mass'!$O$4</f>
        <v>5.4363867082117592</v>
      </c>
      <c r="R29" s="16">
        <f>Forces!AK29/'Reduced Mass'!$O$5</f>
        <v>4.8521745253875137</v>
      </c>
      <c r="S29" s="16">
        <f>Forces!AL29/'Reduced Mass'!$O$6</f>
        <v>4.3127855622899487</v>
      </c>
      <c r="T29" s="16">
        <f>Forces!AM29/'Reduced Mass'!$O$7</f>
        <v>3.8493939918253592</v>
      </c>
      <c r="U29" s="16">
        <f>Forces!AN29/'Reduced Mass'!$O$8</f>
        <v>3.4578955304952608</v>
      </c>
      <c r="V29" s="16">
        <f>Forces!AO29/'Reduced Mass'!$O$9</f>
        <v>3.0752812695343503</v>
      </c>
      <c r="X29" s="16">
        <f>Forces!AX29/'Reduced Mass'!$O$4</f>
        <v>5.4244293576601796</v>
      </c>
      <c r="Y29" s="16">
        <f>Forces!AY29/'Reduced Mass'!$O$5</f>
        <v>4.8289463021822048</v>
      </c>
      <c r="Z29" s="16">
        <f>Forces!AZ29/'Reduced Mass'!$O$6</f>
        <v>4.2766199451456925</v>
      </c>
      <c r="AA29" s="16">
        <f>Forces!BA29/'Reduced Mass'!$O$7</f>
        <v>3.7989255178355332</v>
      </c>
      <c r="AB29" s="16">
        <f>Forces!BB29/'Reduced Mass'!$O$8</f>
        <v>3.392213615081161</v>
      </c>
      <c r="AC29" s="16">
        <f>Forces!BC29/'Reduced Mass'!$O$9</f>
        <v>2.9911853353271027</v>
      </c>
    </row>
    <row r="30" spans="1:29" x14ac:dyDescent="0.25">
      <c r="A30" s="48">
        <v>29</v>
      </c>
      <c r="K30" s="41">
        <v>7800</v>
      </c>
      <c r="L30" s="16">
        <v>50</v>
      </c>
      <c r="M30" s="30">
        <v>37.285000000000004</v>
      </c>
      <c r="N30" s="16">
        <v>37285.000000000007</v>
      </c>
      <c r="O30" s="23">
        <v>33.666666666666664</v>
      </c>
      <c r="Q30" s="16">
        <f>Forces!AJ30/'Reduced Mass'!$O$4</f>
        <v>5.4195529013318771</v>
      </c>
      <c r="R30" s="16">
        <f>Forces!AK30/'Reduced Mass'!$O$5</f>
        <v>4.83573686236962</v>
      </c>
      <c r="S30" s="16">
        <f>Forces!AL30/'Reduced Mass'!$O$6</f>
        <v>4.2964288128908157</v>
      </c>
      <c r="T30" s="16">
        <f>Forces!AM30/'Reduced Mass'!$O$7</f>
        <v>3.8327479877125143</v>
      </c>
      <c r="U30" s="16">
        <f>Forces!AN30/'Reduced Mass'!$O$8</f>
        <v>3.44065298257848</v>
      </c>
      <c r="V30" s="16">
        <f>Forces!AO30/'Reduced Mass'!$O$9</f>
        <v>3.0570567150978416</v>
      </c>
      <c r="X30" s="16">
        <f>Forces!AX30/'Reduced Mass'!$O$4</f>
        <v>5.4072829534897773</v>
      </c>
      <c r="Y30" s="16">
        <f>Forces!AY30/'Reduced Mass'!$O$5</f>
        <v>4.8119013909611024</v>
      </c>
      <c r="Z30" s="16">
        <f>Forces!AZ30/'Reduced Mass'!$O$6</f>
        <v>4.2593177292838575</v>
      </c>
      <c r="AA30" s="16">
        <f>Forces!BA30/'Reduced Mass'!$O$7</f>
        <v>3.7809601321290933</v>
      </c>
      <c r="AB30" s="16">
        <f>Forces!BB30/'Reduced Mass'!$O$8</f>
        <v>3.3732539653109166</v>
      </c>
      <c r="AC30" s="16">
        <f>Forces!BC30/'Reduced Mass'!$O$9</f>
        <v>2.97076228708015</v>
      </c>
    </row>
    <row r="31" spans="1:29" x14ac:dyDescent="0.25">
      <c r="A31" s="48">
        <v>30</v>
      </c>
      <c r="K31" s="41">
        <v>7900</v>
      </c>
      <c r="L31" s="16">
        <v>51</v>
      </c>
      <c r="M31" s="30">
        <v>38.030700000000003</v>
      </c>
      <c r="N31" s="16">
        <v>38030.700000000004</v>
      </c>
      <c r="O31" s="23">
        <v>33.905316455696202</v>
      </c>
      <c r="Q31" s="16">
        <f>Forces!AJ31/'Reduced Mass'!$O$4</f>
        <v>5.4570786164353056</v>
      </c>
      <c r="R31" s="16">
        <f>Forces!AK31/'Reduced Mass'!$O$5</f>
        <v>4.8682839398685678</v>
      </c>
      <c r="S31" s="16">
        <f>Forces!AL31/'Reduced Mass'!$O$6</f>
        <v>4.3241885205054071</v>
      </c>
      <c r="T31" s="16">
        <f>Forces!AM31/'Reduced Mass'!$O$7</f>
        <v>3.8561546278068444</v>
      </c>
      <c r="U31" s="16">
        <f>Forces!AN31/'Reduced Mass'!$O$8</f>
        <v>3.4601461187992046</v>
      </c>
      <c r="V31" s="16">
        <f>Forces!AO31/'Reduced Mass'!$O$9</f>
        <v>3.0724580024646211</v>
      </c>
      <c r="X31" s="16">
        <f>Forces!AX31/'Reduced Mass'!$O$4</f>
        <v>5.4444920377892583</v>
      </c>
      <c r="Y31" s="16">
        <f>Forces!AY31/'Reduced Mass'!$O$5</f>
        <v>4.8438333847961559</v>
      </c>
      <c r="Z31" s="16">
        <f>Forces!AZ31/'Reduced Mass'!$O$6</f>
        <v>4.2861197708684875</v>
      </c>
      <c r="AA31" s="16">
        <f>Forces!BA31/'Reduced Mass'!$O$7</f>
        <v>3.803030366351202</v>
      </c>
      <c r="AB31" s="16">
        <f>Forces!BB31/'Reduced Mass'!$O$8</f>
        <v>3.3910078435252289</v>
      </c>
      <c r="AC31" s="16">
        <f>Forces!BC31/'Reduced Mass'!$O$9</f>
        <v>2.9839367129744145</v>
      </c>
    </row>
    <row r="32" spans="1:29" x14ac:dyDescent="0.25">
      <c r="A32" s="48">
        <v>31</v>
      </c>
      <c r="K32" s="41">
        <v>8000</v>
      </c>
      <c r="L32" s="16">
        <v>52</v>
      </c>
      <c r="M32" s="30">
        <v>38.776400000000002</v>
      </c>
      <c r="N32" s="16">
        <v>38776.400000000001</v>
      </c>
      <c r="O32" s="23">
        <v>34.137999999999998</v>
      </c>
      <c r="Q32" s="16">
        <f>Forces!AJ32/'Reduced Mass'!$O$4</f>
        <v>5.4936198092386537</v>
      </c>
      <c r="R32" s="16">
        <f>Forces!AK32/'Reduced Mass'!$O$5</f>
        <v>4.8999272442525319</v>
      </c>
      <c r="S32" s="16">
        <f>Forces!AL32/'Reduced Mass'!$O$6</f>
        <v>4.3511139584987157</v>
      </c>
      <c r="T32" s="16">
        <f>Forces!AM32/'Reduced Mass'!$O$7</f>
        <v>3.8787803479424769</v>
      </c>
      <c r="U32" s="16">
        <f>Forces!AN32/'Reduced Mass'!$O$8</f>
        <v>3.4788971637142119</v>
      </c>
      <c r="V32" s="16">
        <f>Forces!AO32/'Reduced Mass'!$O$9</f>
        <v>3.0871480716041098</v>
      </c>
      <c r="X32" s="16">
        <f>Forces!AX32/'Reduced Mass'!$O$4</f>
        <v>5.4807125662752343</v>
      </c>
      <c r="Y32" s="16">
        <f>Forces!AY32/'Reduced Mass'!$O$5</f>
        <v>4.8748537700555383</v>
      </c>
      <c r="Z32" s="16">
        <f>Forces!AZ32/'Reduced Mass'!$O$6</f>
        <v>4.3120753432645724</v>
      </c>
      <c r="AA32" s="16">
        <f>Forces!BA32/'Reduced Mass'!$O$7</f>
        <v>3.8243026563359863</v>
      </c>
      <c r="AB32" s="16">
        <f>Forces!BB32/'Reduced Mass'!$O$8</f>
        <v>3.4079974742808767</v>
      </c>
      <c r="AC32" s="16">
        <f>Forces!BC32/'Reduced Mass'!$O$9</f>
        <v>2.9963715529793187</v>
      </c>
    </row>
    <row r="33" spans="1:29" x14ac:dyDescent="0.25">
      <c r="A33" s="48">
        <v>32</v>
      </c>
      <c r="K33" s="41">
        <v>8100</v>
      </c>
      <c r="L33" s="16">
        <v>52.5</v>
      </c>
      <c r="M33" s="30">
        <v>39.149250000000002</v>
      </c>
      <c r="N33" s="16">
        <v>39149.25</v>
      </c>
      <c r="O33" s="23">
        <v>34.040740740740738</v>
      </c>
      <c r="Q33" s="16">
        <f>Forces!AJ33/'Reduced Mass'!$O$4</f>
        <v>5.4765654746824</v>
      </c>
      <c r="R33" s="16">
        <f>Forces!AK33/'Reduced Mass'!$O$5</f>
        <v>4.8832418921924976</v>
      </c>
      <c r="S33" s="16">
        <f>Forces!AL33/'Reduced Mass'!$O$6</f>
        <v>4.3344741892053609</v>
      </c>
      <c r="T33" s="16">
        <f>Forces!AM33/'Reduced Mass'!$O$7</f>
        <v>3.861808056258023</v>
      </c>
      <c r="U33" s="16">
        <f>Forces!AN33/'Reduced Mass'!$O$8</f>
        <v>3.4612790962231523</v>
      </c>
      <c r="V33" s="16">
        <f>Forces!AO33/'Reduced Mass'!$O$9</f>
        <v>3.0684855197711842</v>
      </c>
      <c r="X33" s="16">
        <f>Forces!AX33/'Reduced Mass'!$O$4</f>
        <v>5.463333533888183</v>
      </c>
      <c r="Y33" s="16">
        <f>Forces!AY33/'Reduced Mass'!$O$5</f>
        <v>4.857537663410235</v>
      </c>
      <c r="Z33" s="16">
        <f>Forces!AZ33/'Reduced Mass'!$O$6</f>
        <v>4.2944535088067335</v>
      </c>
      <c r="AA33" s="16">
        <f>Forces!BA33/'Reduced Mass'!$O$7</f>
        <v>3.805959910222056</v>
      </c>
      <c r="AB33" s="16">
        <f>Forces!BB33/'Reduced Mass'!$O$8</f>
        <v>3.3885958364775104</v>
      </c>
      <c r="AC33" s="16">
        <f>Forces!BC33/'Reduced Mass'!$O$9</f>
        <v>2.9754254043497386</v>
      </c>
    </row>
    <row r="34" spans="1:29" x14ac:dyDescent="0.25">
      <c r="A34" s="48">
        <v>33</v>
      </c>
      <c r="K34" s="41">
        <v>8200</v>
      </c>
      <c r="L34" s="16">
        <v>53</v>
      </c>
      <c r="M34" s="30">
        <v>39.522100000000002</v>
      </c>
      <c r="N34" s="16">
        <v>39522.1</v>
      </c>
      <c r="O34" s="23">
        <v>33.945853658536585</v>
      </c>
      <c r="Q34" s="16">
        <f>Forces!AJ34/'Reduced Mass'!$O$4</f>
        <v>5.4598807057640153</v>
      </c>
      <c r="R34" s="16">
        <f>Forces!AK34/'Reduced Mass'!$O$5</f>
        <v>4.8668733759452474</v>
      </c>
      <c r="S34" s="16">
        <f>Forces!AL34/'Reduced Mass'!$O$6</f>
        <v>4.3180999477039164</v>
      </c>
      <c r="T34" s="16">
        <f>Forces!AM34/'Reduced Mass'!$O$7</f>
        <v>3.8450539085144579</v>
      </c>
      <c r="U34" s="16">
        <f>Forces!AN34/'Reduced Mass'!$O$8</f>
        <v>3.4438358961402908</v>
      </c>
      <c r="V34" s="16">
        <f>Forces!AO34/'Reduced Mass'!$O$9</f>
        <v>3.0499518653803981</v>
      </c>
      <c r="X34" s="16">
        <f>Forces!AX34/'Reduced Mass'!$O$4</f>
        <v>5.4463200336255744</v>
      </c>
      <c r="Y34" s="16">
        <f>Forces!AY34/'Reduced Mass'!$O$5</f>
        <v>4.8405305571170301</v>
      </c>
      <c r="Z34" s="16">
        <f>Forces!AZ34/'Reduced Mass'!$O$6</f>
        <v>4.2770850025735436</v>
      </c>
      <c r="AA34" s="16">
        <f>Forces!BA34/'Reduced Mass'!$O$7</f>
        <v>3.7878182837703878</v>
      </c>
      <c r="AB34" s="16">
        <f>Forces!BB34/'Reduced Mass'!$O$8</f>
        <v>3.3693469099293933</v>
      </c>
      <c r="AC34" s="16">
        <f>Forces!BC34/'Reduced Mass'!$O$9</f>
        <v>2.9545797855002274</v>
      </c>
    </row>
    <row r="35" spans="1:29" x14ac:dyDescent="0.25">
      <c r="A35" s="48">
        <v>34</v>
      </c>
      <c r="K35" s="41">
        <v>8300</v>
      </c>
      <c r="L35" s="16">
        <v>54</v>
      </c>
      <c r="M35" s="30">
        <v>40.267800000000001</v>
      </c>
      <c r="N35" s="16">
        <v>40267.800000000003</v>
      </c>
      <c r="O35" s="23">
        <v>34.169638554216867</v>
      </c>
      <c r="Q35" s="16">
        <f>Forces!AJ35/'Reduced Mass'!$O$4</f>
        <v>5.4949298681076053</v>
      </c>
      <c r="R35" s="16">
        <f>Forces!AK35/'Reduced Mass'!$O$5</f>
        <v>4.8971228266949538</v>
      </c>
      <c r="S35" s="16">
        <f>Forces!AL35/'Reduced Mass'!$O$6</f>
        <v>4.3437096444908549</v>
      </c>
      <c r="T35" s="16">
        <f>Forces!AM35/'Reduced Mass'!$O$7</f>
        <v>3.8664152095927027</v>
      </c>
      <c r="U35" s="16">
        <f>Forces!AN35/'Reduced Mass'!$O$8</f>
        <v>3.4613503876261857</v>
      </c>
      <c r="V35" s="16">
        <f>Forces!AO35/'Reduced Mass'!$O$9</f>
        <v>3.0634150596937904</v>
      </c>
      <c r="X35" s="16">
        <f>Forces!AX35/'Reduced Mass'!$O$4</f>
        <v>5.4810364311115123</v>
      </c>
      <c r="Y35" s="16">
        <f>Forces!AY35/'Reduced Mass'!$O$5</f>
        <v>4.8701335823600953</v>
      </c>
      <c r="Z35" s="16">
        <f>Forces!AZ35/'Reduced Mass'!$O$6</f>
        <v>4.3016882350614774</v>
      </c>
      <c r="AA35" s="16">
        <f>Forces!BA35/'Reduced Mass'!$O$7</f>
        <v>3.8077750818619021</v>
      </c>
      <c r="AB35" s="16">
        <f>Forces!BB35/'Reduced Mass'!$O$8</f>
        <v>3.3850335187970848</v>
      </c>
      <c r="AC35" s="16">
        <f>Forces!BC35/'Reduced Mass'!$O$9</f>
        <v>2.9657026476928241</v>
      </c>
    </row>
    <row r="36" spans="1:29" x14ac:dyDescent="0.25">
      <c r="A36" s="48">
        <v>35</v>
      </c>
      <c r="K36" s="41">
        <v>8400</v>
      </c>
      <c r="L36" s="16">
        <v>55</v>
      </c>
      <c r="M36" s="30">
        <v>41.013500000000001</v>
      </c>
      <c r="N36" s="16">
        <v>41013.5</v>
      </c>
      <c r="O36" s="23">
        <v>34.388095238095239</v>
      </c>
      <c r="Q36" s="16">
        <f>Forces!AJ36/'Reduced Mass'!$O$4</f>
        <v>5.5290981192071227</v>
      </c>
      <c r="R36" s="16">
        <f>Forces!AK36/'Reduced Mass'!$O$5</f>
        <v>4.9265619019417812</v>
      </c>
      <c r="S36" s="16">
        <f>Forces!AL36/'Reduced Mass'!$O$6</f>
        <v>4.3685692251063601</v>
      </c>
      <c r="T36" s="16">
        <f>Forces!AM36/'Reduced Mass'!$O$7</f>
        <v>3.8870720363128299</v>
      </c>
      <c r="U36" s="16">
        <f>Forces!AN36/'Reduced Mass'!$O$8</f>
        <v>3.4781929509457004</v>
      </c>
      <c r="V36" s="16">
        <f>Forces!AO36/'Reduced Mass'!$O$9</f>
        <v>3.0762313191024444</v>
      </c>
      <c r="X36" s="16">
        <f>Forces!AX36/'Reduced Mass'!$O$4</f>
        <v>5.514867883839953</v>
      </c>
      <c r="Y36" s="16">
        <f>Forces!AY36/'Reduced Mass'!$O$5</f>
        <v>4.8989183966395951</v>
      </c>
      <c r="Z36" s="16">
        <f>Forces!AZ36/'Reduced Mass'!$O$6</f>
        <v>4.3255291518107173</v>
      </c>
      <c r="AA36" s="16">
        <f>Forces!BA36/'Reduced Mass'!$O$7</f>
        <v>3.8270103813166729</v>
      </c>
      <c r="AB36" s="16">
        <f>Forces!BB36/'Reduced Mass'!$O$8</f>
        <v>3.4000260433454486</v>
      </c>
      <c r="AC36" s="16">
        <f>Forces!BC36/'Reduced Mass'!$O$9</f>
        <v>2.9761502073186126</v>
      </c>
    </row>
    <row r="37" spans="1:29" x14ac:dyDescent="0.25">
      <c r="A37" s="48">
        <v>36</v>
      </c>
      <c r="K37" s="41">
        <v>8500</v>
      </c>
      <c r="L37" s="16">
        <v>56</v>
      </c>
      <c r="M37" s="30">
        <v>41.7592</v>
      </c>
      <c r="N37" s="16">
        <v>41759.199999999997</v>
      </c>
      <c r="O37" s="23">
        <v>34.60141176470588</v>
      </c>
      <c r="Q37" s="16">
        <f>Forces!AJ37/'Reduced Mass'!$O$4</f>
        <v>5.562415997500552</v>
      </c>
      <c r="R37" s="16">
        <f>Forces!AK37/'Reduced Mass'!$O$5</f>
        <v>4.9552181298018843</v>
      </c>
      <c r="S37" s="16">
        <f>Forces!AL37/'Reduced Mass'!$O$6</f>
        <v>4.3927034930319113</v>
      </c>
      <c r="T37" s="16">
        <f>Forces!AM37/'Reduced Mass'!$O$7</f>
        <v>3.9070469203362501</v>
      </c>
      <c r="U37" s="16">
        <f>Forces!AN37/'Reduced Mass'!$O$8</f>
        <v>3.4943842660606239</v>
      </c>
      <c r="V37" s="16">
        <f>Forces!AO37/'Reduced Mass'!$O$9</f>
        <v>3.0884195905444027</v>
      </c>
      <c r="X37" s="16">
        <f>Forces!AX37/'Reduced Mass'!$O$4</f>
        <v>5.5478449302488801</v>
      </c>
      <c r="Y37" s="16">
        <f>Forces!AY37/'Reduced Mass'!$O$5</f>
        <v>4.9269125280716839</v>
      </c>
      <c r="Z37" s="16">
        <f>Forces!AZ37/'Reduced Mass'!$O$6</f>
        <v>4.3486325563027419</v>
      </c>
      <c r="AA37" s="16">
        <f>Forces!BA37/'Reduced Mass'!$O$7</f>
        <v>3.845546713796109</v>
      </c>
      <c r="AB37" s="16">
        <f>Forces!BB37/'Reduced Mass'!$O$8</f>
        <v>3.4143451635362734</v>
      </c>
      <c r="AC37" s="16">
        <f>Forces!BC37/'Reduced Mass'!$O$9</f>
        <v>2.9859414113156348</v>
      </c>
    </row>
    <row r="38" spans="1:29" x14ac:dyDescent="0.25">
      <c r="A38" s="48">
        <v>37</v>
      </c>
      <c r="K38" s="41">
        <v>8600</v>
      </c>
      <c r="L38" s="16">
        <v>57</v>
      </c>
      <c r="M38" s="30">
        <v>42.504899999999999</v>
      </c>
      <c r="N38" s="16">
        <v>42504.9</v>
      </c>
      <c r="O38" s="23">
        <v>34.809767441860465</v>
      </c>
      <c r="Q38" s="16">
        <f>Forces!AJ38/'Reduced Mass'!$O$4</f>
        <v>5.5949126210334095</v>
      </c>
      <c r="R38" s="16">
        <f>Forces!AK38/'Reduced Mass'!$O$5</f>
        <v>4.9831177580139201</v>
      </c>
      <c r="S38" s="16">
        <f>Forces!AL38/'Reduced Mass'!$O$6</f>
        <v>4.4161360980986943</v>
      </c>
      <c r="T38" s="16">
        <f>Forces!AM38/'Reduced Mass'!$O$7</f>
        <v>3.9263613453401227</v>
      </c>
      <c r="U38" s="16">
        <f>Forces!AN38/'Reduced Mass'!$O$8</f>
        <v>3.5099440510740609</v>
      </c>
      <c r="V38" s="16">
        <f>Forces!AO38/'Reduced Mass'!$O$9</f>
        <v>3.099997939704783</v>
      </c>
      <c r="X38" s="16">
        <f>Forces!AX38/'Reduced Mass'!$O$4</f>
        <v>5.5799966883838081</v>
      </c>
      <c r="Y38" s="16">
        <f>Forces!AY38/'Reduced Mass'!$O$5</f>
        <v>4.9541422243950191</v>
      </c>
      <c r="Z38" s="16">
        <f>Forces!AZ38/'Reduced Mass'!$O$6</f>
        <v>4.3710220983687371</v>
      </c>
      <c r="AA38" s="16">
        <f>Forces!BA38/'Reduced Mass'!$O$7</f>
        <v>3.8634055629773716</v>
      </c>
      <c r="AB38" s="16">
        <f>Forces!BB38/'Reduced Mass'!$O$8</f>
        <v>3.4280105974726638</v>
      </c>
      <c r="AC38" s="16">
        <f>Forces!BC38/'Reduced Mass'!$O$9</f>
        <v>2.995094325369009</v>
      </c>
    </row>
    <row r="39" spans="1:29" x14ac:dyDescent="0.25">
      <c r="A39" s="48">
        <v>38</v>
      </c>
      <c r="K39" s="41">
        <v>8700</v>
      </c>
      <c r="L39" s="16">
        <v>58</v>
      </c>
      <c r="M39" s="30">
        <v>43.250599999999999</v>
      </c>
      <c r="N39" s="16">
        <v>43250.6</v>
      </c>
      <c r="O39" s="23">
        <v>35.013333333333335</v>
      </c>
      <c r="Q39" s="16">
        <f>Forces!AJ39/'Reduced Mass'!$O$4</f>
        <v>5.6266157690904999</v>
      </c>
      <c r="R39" s="16">
        <f>Forces!AK39/'Reduced Mass'!$O$5</f>
        <v>5.010285827523969</v>
      </c>
      <c r="S39" s="16">
        <f>Forces!AL39/'Reduced Mass'!$O$6</f>
        <v>4.4388896027893274</v>
      </c>
      <c r="T39" s="16">
        <f>Forces!AM39/'Reduced Mass'!$O$7</f>
        <v>3.9450358072463341</v>
      </c>
      <c r="U39" s="16">
        <f>Forces!AN39/'Reduced Mass'!$O$8</f>
        <v>3.5248911175096551</v>
      </c>
      <c r="V39" s="16">
        <f>Forces!AO39/'Reduced Mass'!$O$9</f>
        <v>3.1109836016624781</v>
      </c>
      <c r="X39" s="16">
        <f>Forces!AX39/'Reduced Mass'!$O$4</f>
        <v>5.6113509375295445</v>
      </c>
      <c r="Y39" s="16">
        <f>Forces!AY39/'Reduced Mass'!$O$5</f>
        <v>4.9806325265556808</v>
      </c>
      <c r="Z39" s="16">
        <f>Forces!AZ39/'Reduced Mass'!$O$6</f>
        <v>4.392720340491322</v>
      </c>
      <c r="AA39" s="16">
        <f>Forces!BA39/'Reduced Mass'!$O$7</f>
        <v>3.8806074247823448</v>
      </c>
      <c r="AB39" s="16">
        <f>Forces!BB39/'Reduced Mass'!$O$8</f>
        <v>3.4410411566782626</v>
      </c>
      <c r="AC39" s="16">
        <f>Forces!BC39/'Reduced Mass'!$O$9</f>
        <v>3.003626184557628</v>
      </c>
    </row>
    <row r="40" spans="1:29" x14ac:dyDescent="0.25">
      <c r="A40" s="48">
        <v>39</v>
      </c>
      <c r="K40" s="41">
        <v>8800</v>
      </c>
      <c r="L40" s="16">
        <v>59</v>
      </c>
      <c r="M40" s="30">
        <v>43.996300000000005</v>
      </c>
      <c r="N40" s="16">
        <v>43996.3</v>
      </c>
      <c r="O40" s="23">
        <v>35.212272727272726</v>
      </c>
      <c r="Q40" s="16">
        <f>Forces!AJ40/'Reduced Mass'!$O$4</f>
        <v>5.6575519582618643</v>
      </c>
      <c r="R40" s="16">
        <f>Forces!AK40/'Reduced Mass'!$O$5</f>
        <v>5.0367462410532866</v>
      </c>
      <c r="S40" s="16">
        <f>Forces!AL40/'Reduced Mass'!$O$6</f>
        <v>4.4609855440190396</v>
      </c>
      <c r="T40" s="16">
        <f>Forces!AM40/'Reduced Mass'!$O$7</f>
        <v>3.963089870343957</v>
      </c>
      <c r="U40" s="16">
        <f>Forces!AN40/'Reduced Mass'!$O$8</f>
        <v>3.5392434218218027</v>
      </c>
      <c r="V40" s="16">
        <f>Forces!AO40/'Reduced Mass'!$O$9</f>
        <v>3.1213930280837205</v>
      </c>
      <c r="X40" s="16">
        <f>Forces!AX40/'Reduced Mass'!$O$4</f>
        <v>5.6419341942761267</v>
      </c>
      <c r="Y40" s="16">
        <f>Forces!AY40/'Reduced Mass'!$O$5</f>
        <v>5.0064073372749238</v>
      </c>
      <c r="Z40" s="16">
        <f>Forces!AZ40/'Reduced Mass'!$O$6</f>
        <v>4.4137488195857264</v>
      </c>
      <c r="AA40" s="16">
        <f>Forces!BA40/'Reduced Mass'!$O$7</f>
        <v>3.8971718635001018</v>
      </c>
      <c r="AB40" s="16">
        <f>Forces!BB40/'Reduced Mass'!$O$8</f>
        <v>3.4534547976074679</v>
      </c>
      <c r="AC40" s="16">
        <f>Forces!BC40/'Reduced Mass'!$O$9</f>
        <v>3.0115534405477233</v>
      </c>
    </row>
    <row r="41" spans="1:29" x14ac:dyDescent="0.25">
      <c r="A41" s="48">
        <v>40</v>
      </c>
      <c r="K41" s="41">
        <v>8900</v>
      </c>
      <c r="L41" s="16">
        <v>60</v>
      </c>
      <c r="M41" s="30">
        <v>44.742000000000004</v>
      </c>
      <c r="N41" s="16">
        <v>44742.000000000007</v>
      </c>
      <c r="O41" s="23">
        <v>35.406741573033706</v>
      </c>
      <c r="Q41" s="16">
        <f>Forces!AJ41/'Reduced Mass'!$O$4</f>
        <v>5.6877465133806844</v>
      </c>
      <c r="R41" s="16">
        <f>Forces!AK41/'Reduced Mass'!$O$5</f>
        <v>5.0625218270435228</v>
      </c>
      <c r="S41" s="16">
        <f>Forces!AL41/'Reduced Mass'!$O$6</f>
        <v>4.4824444907518162</v>
      </c>
      <c r="T41" s="16">
        <f>Forces!AM41/'Reduced Mass'!$O$7</f>
        <v>3.9805422196281728</v>
      </c>
      <c r="U41" s="16">
        <f>Forces!AN41/'Reduced Mass'!$O$8</f>
        <v>3.5530181134332373</v>
      </c>
      <c r="V41" s="16">
        <f>Forces!AO41/'Reduced Mass'!$O$9</f>
        <v>3.1312419312339985</v>
      </c>
      <c r="X41" s="16">
        <f>Forces!AX41/'Reduced Mass'!$O$4</f>
        <v>5.6717717834567409</v>
      </c>
      <c r="Y41" s="16">
        <f>Forces!AY41/'Reduced Mass'!$O$5</f>
        <v>5.031489484994399</v>
      </c>
      <c r="Z41" s="16">
        <f>Forces!AZ41/'Reduced Mass'!$O$6</f>
        <v>4.4341281046159331</v>
      </c>
      <c r="AA41" s="16">
        <f>Forces!BA41/'Reduced Mass'!$O$7</f>
        <v>3.9131175641258262</v>
      </c>
      <c r="AB41" s="16">
        <f>Forces!BB41/'Reduced Mass'!$O$8</f>
        <v>3.4652686696830113</v>
      </c>
      <c r="AC41" s="16">
        <f>Forces!BC41/'Reduced Mass'!$O$9</f>
        <v>3.0188918056047847</v>
      </c>
    </row>
    <row r="42" spans="1:29" x14ac:dyDescent="0.25">
      <c r="A42" s="48" t="s">
        <v>100</v>
      </c>
      <c r="B42" s="48">
        <v>2.5833333333333299</v>
      </c>
      <c r="C42" s="48">
        <v>434.78</v>
      </c>
      <c r="K42" s="41">
        <v>9000</v>
      </c>
      <c r="L42" s="16">
        <v>61</v>
      </c>
      <c r="M42" s="30">
        <v>45.487700000000004</v>
      </c>
      <c r="N42" s="16">
        <v>45487.700000000004</v>
      </c>
      <c r="O42" s="23">
        <v>35.596888888888891</v>
      </c>
      <c r="Q42" s="16">
        <f>Forces!AJ42/'Reduced Mass'!$O$4</f>
        <v>5.7172236337319982</v>
      </c>
      <c r="R42" s="16">
        <f>Forces!AK42/'Reduced Mass'!$O$5</f>
        <v>5.0876343993389135</v>
      </c>
      <c r="S42" s="16">
        <f>Forces!AL42/'Reduced Mass'!$O$6</f>
        <v>4.5032860977754599</v>
      </c>
      <c r="T42" s="16">
        <f>Forces!AM42/'Reduced Mass'!$O$7</f>
        <v>3.9974107096499352</v>
      </c>
      <c r="U42" s="16">
        <f>Forces!AN42/'Reduced Mass'!$O$8</f>
        <v>3.5662315795701209</v>
      </c>
      <c r="V42" s="16">
        <f>Forces!AO42/'Reduced Mass'!$O$9</f>
        <v>3.1405453250558977</v>
      </c>
      <c r="X42" s="16">
        <f>Forces!AX42/'Reduced Mass'!$O$4</f>
        <v>5.7008879043564207</v>
      </c>
      <c r="Y42" s="16">
        <f>Forces!AY42/'Reduced Mass'!$O$5</f>
        <v>5.0559007835583438</v>
      </c>
      <c r="Z42" s="16">
        <f>Forces!AZ42/'Reduced Mass'!$O$6</f>
        <v>4.4538778503697474</v>
      </c>
      <c r="AA42" s="16">
        <f>Forces!BA42/'Reduced Mass'!$O$7</f>
        <v>3.9284623812104691</v>
      </c>
      <c r="AB42" s="16">
        <f>Forces!BB42/'Reduced Mass'!$O$8</f>
        <v>3.4764991601310573</v>
      </c>
      <c r="AC42" s="16">
        <f>Forces!BC42/'Reduced Mass'!$O$9</f>
        <v>3.0256562936713967</v>
      </c>
    </row>
    <row r="43" spans="1:29" x14ac:dyDescent="0.25">
      <c r="A43" s="48" t="s">
        <v>101</v>
      </c>
      <c r="B43" s="48">
        <v>2</v>
      </c>
      <c r="C43" s="48">
        <v>373.41300000000001</v>
      </c>
      <c r="K43" s="41">
        <v>9100</v>
      </c>
      <c r="L43" s="16">
        <v>62</v>
      </c>
      <c r="M43" s="30">
        <v>46.233400000000003</v>
      </c>
      <c r="N43" s="16">
        <v>46233.4</v>
      </c>
      <c r="O43" s="23">
        <v>35.782857142857139</v>
      </c>
      <c r="Q43" s="16">
        <f>Forces!AJ43/'Reduced Mass'!$O$4</f>
        <v>5.7460064548960208</v>
      </c>
      <c r="R43" s="16">
        <f>Forces!AK43/'Reduced Mass'!$O$5</f>
        <v>5.1121048129334108</v>
      </c>
      <c r="S43" s="16">
        <f>Forces!AL43/'Reduced Mass'!$O$6</f>
        <v>4.5235291559310618</v>
      </c>
      <c r="T43" s="16">
        <f>Forces!AM43/'Reduced Mass'!$O$7</f>
        <v>4.0137124101447679</v>
      </c>
      <c r="U43" s="16">
        <f>Forces!AN43/'Reduced Mass'!$O$8</f>
        <v>3.5788994871409945</v>
      </c>
      <c r="V43" s="16">
        <f>Forces!AO43/'Reduced Mass'!$O$9</f>
        <v>3.1493175635384798</v>
      </c>
      <c r="X43" s="16">
        <f>Forces!AX43/'Reduced Mass'!$O$4</f>
        <v>5.7293056925553847</v>
      </c>
      <c r="Y43" s="16">
        <f>Forces!AY43/'Reduced Mass'!$O$5</f>
        <v>5.0796620879607071</v>
      </c>
      <c r="Z43" s="16">
        <f>Forces!AZ43/'Reduced Mass'!$O$6</f>
        <v>4.4730168476882586</v>
      </c>
      <c r="AA43" s="16">
        <f>Forces!BA43/'Reduced Mass'!$O$7</f>
        <v>3.9432233844895563</v>
      </c>
      <c r="AB43" s="16">
        <f>Forces!BB43/'Reduced Mass'!$O$8</f>
        <v>3.4871619358601436</v>
      </c>
      <c r="AC43" s="16">
        <f>Forces!BC43/'Reduced Mass'!$O$9</f>
        <v>3.0318612587366212</v>
      </c>
    </row>
    <row r="44" spans="1:29" x14ac:dyDescent="0.25">
      <c r="A44" s="48" t="s">
        <v>102</v>
      </c>
      <c r="B44" s="48">
        <v>1.6666666666666667</v>
      </c>
      <c r="C44" s="48">
        <v>345.36</v>
      </c>
      <c r="K44" s="41">
        <v>9200</v>
      </c>
      <c r="L44" s="16">
        <v>64</v>
      </c>
      <c r="M44" s="30">
        <v>47.724800000000002</v>
      </c>
      <c r="N44" s="16">
        <v>47724.800000000003</v>
      </c>
      <c r="O44" s="23">
        <v>36.535652173913043</v>
      </c>
      <c r="Q44" s="16">
        <f>Forces!AJ44/'Reduced Mass'!$O$4</f>
        <v>5.8668214111281145</v>
      </c>
      <c r="R44" s="16">
        <f>Forces!AK44/'Reduced Mass'!$O$5</f>
        <v>5.2195190080899172</v>
      </c>
      <c r="S44" s="16">
        <f>Forces!AL44/'Reduced Mass'!$O$6</f>
        <v>4.618486567483389</v>
      </c>
      <c r="T44" s="16">
        <f>Forces!AM44/'Reduced Mass'!$O$7</f>
        <v>4.097862104529133</v>
      </c>
      <c r="U44" s="16">
        <f>Forces!AN44/'Reduced Mass'!$O$8</f>
        <v>3.6538141478691943</v>
      </c>
      <c r="V44" s="16">
        <f>Forces!AO44/'Reduced Mass'!$O$9</f>
        <v>3.215088832281205</v>
      </c>
      <c r="X44" s="16">
        <f>Forces!AX44/'Reduced Mass'!$O$4</f>
        <v>5.8497515823089925</v>
      </c>
      <c r="Y44" s="16">
        <f>Forces!AY44/'Reduced Mass'!$O$5</f>
        <v>5.1863593384643929</v>
      </c>
      <c r="Z44" s="16">
        <f>Forces!AZ44/'Reduced Mass'!$O$6</f>
        <v>4.5668579988362339</v>
      </c>
      <c r="AA44" s="16">
        <f>Forces!BA44/'Reduced Mass'!$O$7</f>
        <v>4.0258153573795479</v>
      </c>
      <c r="AB44" s="16">
        <f>Forces!BB44/'Reduced Mass'!$O$8</f>
        <v>3.5600493085936091</v>
      </c>
      <c r="AC44" s="16">
        <f>Forces!BC44/'Reduced Mass'!$O$9</f>
        <v>3.0950368863999191</v>
      </c>
    </row>
    <row r="45" spans="1:29" x14ac:dyDescent="0.25">
      <c r="A45" s="48" t="s">
        <v>103</v>
      </c>
      <c r="B45" s="48">
        <v>1.4444444444444444</v>
      </c>
      <c r="C45" s="48">
        <v>329.49099999999999</v>
      </c>
      <c r="K45" s="41">
        <v>9300</v>
      </c>
      <c r="L45" s="16">
        <v>66</v>
      </c>
      <c r="M45" s="30">
        <v>49.216200000000001</v>
      </c>
      <c r="N45" s="16">
        <v>49216.2</v>
      </c>
      <c r="O45" s="23">
        <v>37.27225806451613</v>
      </c>
      <c r="Q45" s="16">
        <f>Forces!AJ45/'Reduced Mass'!$O$4</f>
        <v>5.9849917347708175</v>
      </c>
      <c r="R45" s="16">
        <f>Forces!AK45/'Reduced Mass'!$O$5</f>
        <v>5.3245329649585251</v>
      </c>
      <c r="S45" s="16">
        <f>Forces!AL45/'Reduced Mass'!$O$6</f>
        <v>4.7112613590225356</v>
      </c>
      <c r="T45" s="16">
        <f>Forces!AM45/'Reduced Mass'!$O$7</f>
        <v>4.1800060277373143</v>
      </c>
      <c r="U45" s="16">
        <f>Forces!AN45/'Reduced Mass'!$O$8</f>
        <v>3.7268625269395059</v>
      </c>
      <c r="V45" s="16">
        <f>Forces!AO45/'Reduced Mass'!$O$9</f>
        <v>3.2791189019305946</v>
      </c>
      <c r="X45" s="16">
        <f>Forces!AX45/'Reduced Mass'!$O$4</f>
        <v>5.9675488059597841</v>
      </c>
      <c r="Y45" s="16">
        <f>Forces!AY45/'Reduced Mass'!$O$5</f>
        <v>5.2906485152194938</v>
      </c>
      <c r="Z45" s="16">
        <f>Forces!AZ45/'Reduced Mass'!$O$6</f>
        <v>4.6585043304037681</v>
      </c>
      <c r="AA45" s="16">
        <f>Forces!BA45/'Reduced Mass'!$O$7</f>
        <v>4.1063845348147296</v>
      </c>
      <c r="AB45" s="16">
        <f>Forces!BB45/'Reduced Mass'!$O$8</f>
        <v>3.6310482435162381</v>
      </c>
      <c r="AC45" s="16">
        <f>Forces!BC45/'Reduced Mass'!$O$9</f>
        <v>3.1564429473078106</v>
      </c>
    </row>
    <row r="46" spans="1:29" x14ac:dyDescent="0.25">
      <c r="A46" s="48" t="s">
        <v>104</v>
      </c>
      <c r="B46" s="48">
        <v>1.2857142857142858</v>
      </c>
      <c r="C46" s="48">
        <v>319.54399999999998</v>
      </c>
      <c r="K46" s="41">
        <v>9400</v>
      </c>
      <c r="L46" s="16">
        <v>68</v>
      </c>
      <c r="M46" s="30">
        <v>50.707599999999999</v>
      </c>
      <c r="N46" s="16">
        <v>50707.6</v>
      </c>
      <c r="O46" s="23">
        <v>37.993191489361699</v>
      </c>
      <c r="Q46" s="16">
        <f>Forces!AJ46/'Reduced Mass'!$O$4</f>
        <v>6.1006013293482235</v>
      </c>
      <c r="R46" s="16">
        <f>Forces!AK46/'Reduced Mass'!$O$5</f>
        <v>5.4272223162863433</v>
      </c>
      <c r="S46" s="16">
        <f>Forces!AL46/'Reduced Mass'!$O$6</f>
        <v>4.8019216774362823</v>
      </c>
      <c r="T46" s="16">
        <f>Forces!AM46/'Reduced Mass'!$O$7</f>
        <v>4.2602060848935102</v>
      </c>
      <c r="U46" s="16">
        <f>Forces!AN46/'Reduced Mass'!$O$8</f>
        <v>3.7981014419819967</v>
      </c>
      <c r="V46" s="16">
        <f>Forces!AO46/'Reduced Mass'!$O$9</f>
        <v>3.3414598286813271</v>
      </c>
      <c r="X46" s="16">
        <f>Forces!AX46/'Reduced Mass'!$O$4</f>
        <v>6.0827812670318533</v>
      </c>
      <c r="Y46" s="16">
        <f>Forces!AY46/'Reduced Mass'!$O$5</f>
        <v>5.3926052509731193</v>
      </c>
      <c r="Z46" s="16">
        <f>Forces!AZ46/'Reduced Mass'!$O$6</f>
        <v>4.748023989278642</v>
      </c>
      <c r="AA46" s="16">
        <f>Forces!BA46/'Reduced Mass'!$O$7</f>
        <v>4.1849928219192982</v>
      </c>
      <c r="AB46" s="16">
        <f>Forces!BB46/'Reduced Mass'!$O$8</f>
        <v>3.7002155582580989</v>
      </c>
      <c r="AC46" s="16">
        <f>Forces!BC46/'Reduced Mass'!$O$9</f>
        <v>3.2161314976549749</v>
      </c>
    </row>
    <row r="47" spans="1:29" x14ac:dyDescent="0.25">
      <c r="A47" s="48" t="s">
        <v>105</v>
      </c>
      <c r="B47" s="48">
        <v>1.1499999999999999</v>
      </c>
      <c r="C47" s="48">
        <v>311.95699999999999</v>
      </c>
      <c r="K47" s="41">
        <v>9500</v>
      </c>
      <c r="L47" s="16">
        <v>70</v>
      </c>
      <c r="M47" s="30">
        <v>52.199000000000005</v>
      </c>
      <c r="N47" s="16">
        <v>52199.000000000007</v>
      </c>
      <c r="O47" s="23">
        <v>38.698947368421052</v>
      </c>
      <c r="Q47" s="16">
        <f>Forces!AJ47/'Reduced Mass'!$O$4</f>
        <v>6.2137305656044628</v>
      </c>
      <c r="R47" s="16">
        <f>Forces!AK47/'Reduced Mass'!$O$5</f>
        <v>5.5276595102837609</v>
      </c>
      <c r="S47" s="16">
        <f>Forces!AL47/'Reduced Mass'!$O$6</f>
        <v>4.8905328002697672</v>
      </c>
      <c r="T47" s="16">
        <f>Forces!AM47/'Reduced Mass'!$O$7</f>
        <v>4.3385215745903674</v>
      </c>
      <c r="U47" s="16">
        <f>Forces!AN47/'Reduced Mass'!$O$8</f>
        <v>3.86758531830547</v>
      </c>
      <c r="V47" s="16">
        <f>Forces!AO47/'Reduced Mass'!$O$9</f>
        <v>3.4021614768883026</v>
      </c>
      <c r="X47" s="16">
        <f>Forces!AX47/'Reduced Mass'!$O$4</f>
        <v>6.1955293362693284</v>
      </c>
      <c r="Y47" s="16">
        <f>Forces!AY47/'Reduced Mass'!$O$5</f>
        <v>5.4923019939356568</v>
      </c>
      <c r="Z47" s="16">
        <f>Forces!AZ47/'Reduced Mass'!$O$6</f>
        <v>4.8354822530059947</v>
      </c>
      <c r="AA47" s="16">
        <f>Forces!BA47/'Reduced Mass'!$O$7</f>
        <v>4.2616995172859014</v>
      </c>
      <c r="AB47" s="16">
        <f>Forces!BB47/'Reduced Mass'!$O$8</f>
        <v>3.7676056781279943</v>
      </c>
      <c r="AC47" s="16">
        <f>Forces!BC47/'Reduced Mass'!$O$9</f>
        <v>3.2741524017963122</v>
      </c>
    </row>
    <row r="48" spans="1:29" x14ac:dyDescent="0.25">
      <c r="A48" s="48">
        <v>47</v>
      </c>
      <c r="K48" s="41">
        <v>9600</v>
      </c>
      <c r="L48" s="16">
        <v>72</v>
      </c>
      <c r="M48" s="30">
        <v>53.690400000000004</v>
      </c>
      <c r="N48" s="16">
        <v>53690.400000000001</v>
      </c>
      <c r="O48" s="23">
        <v>39.39</v>
      </c>
      <c r="Q48" s="16">
        <f>Forces!AJ48/'Reduced Mass'!$O$4</f>
        <v>6.3244564655026485</v>
      </c>
      <c r="R48" s="16">
        <f>Forces!AK48/'Reduced Mass'!$O$5</f>
        <v>5.6259139764857302</v>
      </c>
      <c r="S48" s="16">
        <f>Forces!AL48/'Reduced Mass'!$O$6</f>
        <v>4.9771572851704065</v>
      </c>
      <c r="T48" s="16">
        <f>Forces!AM48/'Reduced Mass'!$O$7</f>
        <v>4.4150093246458333</v>
      </c>
      <c r="U48" s="16">
        <f>Forces!AN48/'Reduced Mass'!$O$8</f>
        <v>3.9353663134975325</v>
      </c>
      <c r="V48" s="16">
        <f>Forces!AO48/'Reduced Mass'!$O$9</f>
        <v>3.4612716332249671</v>
      </c>
      <c r="X48" s="16">
        <f>Forces!AX48/'Reduced Mass'!$O$4</f>
        <v>6.3058700356353254</v>
      </c>
      <c r="Y48" s="16">
        <f>Forces!AY48/'Reduced Mass'!$O$5</f>
        <v>5.5898081736420604</v>
      </c>
      <c r="Z48" s="16">
        <f>Forces!AZ48/'Reduced Mass'!$O$6</f>
        <v>4.9209416792332403</v>
      </c>
      <c r="AA48" s="16">
        <f>Forces!BA48/'Reduced Mass'!$O$7</f>
        <v>4.3365614487324855</v>
      </c>
      <c r="AB48" s="16">
        <f>Forces!BB48/'Reduced Mass'!$O$8</f>
        <v>3.8332707607135306</v>
      </c>
      <c r="AC48" s="16">
        <f>Forces!BC48/'Reduced Mass'!$O$9</f>
        <v>3.3305534464052684</v>
      </c>
    </row>
    <row r="49" spans="1:29" x14ac:dyDescent="0.25">
      <c r="A49" s="48">
        <v>48</v>
      </c>
      <c r="K49" s="41">
        <v>9700</v>
      </c>
      <c r="L49" s="16">
        <v>74</v>
      </c>
      <c r="M49" s="30">
        <v>55.181800000000003</v>
      </c>
      <c r="N49" s="16">
        <v>55181.8</v>
      </c>
      <c r="O49" s="23">
        <v>40.066804123711343</v>
      </c>
      <c r="Q49" s="16">
        <f>Forces!AJ49/'Reduced Mass'!$O$4</f>
        <v>6.4328528748424798</v>
      </c>
      <c r="R49" s="16">
        <f>Forces!AK49/'Reduced Mass'!$O$5</f>
        <v>5.7220522813536068</v>
      </c>
      <c r="S49" s="16">
        <f>Forces!AL49/'Reduced Mass'!$O$6</f>
        <v>5.0618551100888265</v>
      </c>
      <c r="T49" s="16">
        <f>Forces!AM49/'Reduced Mass'!$O$7</f>
        <v>4.4897238194626912</v>
      </c>
      <c r="U49" s="16">
        <f>Forces!AN49/'Reduced Mass'!$O$8</f>
        <v>4.0014944343174346</v>
      </c>
      <c r="V49" s="16">
        <f>Forces!AO49/'Reduced Mass'!$O$9</f>
        <v>3.518836113780297</v>
      </c>
      <c r="X49" s="16">
        <f>Forces!AX49/'Reduced Mass'!$O$4</f>
        <v>6.4138772109295417</v>
      </c>
      <c r="Y49" s="16">
        <f>Forces!AY49/'Reduced Mass'!$O$5</f>
        <v>5.6851903565536821</v>
      </c>
      <c r="Z49" s="16">
        <f>Forces!AZ49/'Reduced Mass'!$O$6</f>
        <v>5.0044622459110055</v>
      </c>
      <c r="AA49" s="16">
        <f>Forces!BA49/'Reduced Mass'!$O$7</f>
        <v>4.4096331006618348</v>
      </c>
      <c r="AB49" s="16">
        <f>Forces!BB49/'Reduced Mass'!$O$8</f>
        <v>3.8972608127739581</v>
      </c>
      <c r="AC49" s="16">
        <f>Forces!BC49/'Reduced Mass'!$O$9</f>
        <v>3.3853804475708196</v>
      </c>
    </row>
    <row r="50" spans="1:29" x14ac:dyDescent="0.25">
      <c r="A50" s="48">
        <v>49</v>
      </c>
      <c r="K50" s="41">
        <v>9800</v>
      </c>
      <c r="L50" s="16">
        <v>76</v>
      </c>
      <c r="M50" s="30">
        <v>56.673200000000001</v>
      </c>
      <c r="N50" s="16">
        <v>56673.200000000004</v>
      </c>
      <c r="O50" s="23">
        <v>40.729795918367344</v>
      </c>
      <c r="Q50" s="16">
        <f>Forces!AJ50/'Reduced Mass'!$O$4</f>
        <v>6.5389906253093804</v>
      </c>
      <c r="R50" s="16">
        <f>Forces!AK50/'Reduced Mass'!$O$5</f>
        <v>5.8161382743503118</v>
      </c>
      <c r="S50" s="16">
        <f>Forces!AL50/'Reduced Mass'!$O$6</f>
        <v>5.1446838048960268</v>
      </c>
      <c r="T50" s="16">
        <f>Forces!AM50/'Reduced Mass'!$O$7</f>
        <v>4.5627173195905479</v>
      </c>
      <c r="U50" s="16">
        <f>Forces!AN50/'Reduced Mass'!$O$8</f>
        <v>4.0660176464322069</v>
      </c>
      <c r="V50" s="16">
        <f>Forces!AO50/'Reduced Mass'!$O$9</f>
        <v>3.5748988645988184</v>
      </c>
      <c r="X50" s="16">
        <f>Forces!AX50/'Reduced Mass'!$O$4</f>
        <v>6.5196216938373999</v>
      </c>
      <c r="Y50" s="16">
        <f>Forces!AY50/'Reduced Mass'!$O$5</f>
        <v>5.7785123921334485</v>
      </c>
      <c r="Z50" s="16">
        <f>Forces!AZ50/'Reduced Mass'!$O$6</f>
        <v>5.0861014829102906</v>
      </c>
      <c r="AA50" s="16">
        <f>Forces!BA50/'Reduced Mass'!$O$7</f>
        <v>4.4809667336235561</v>
      </c>
      <c r="AB50" s="16">
        <f>Forces!BB50/'Reduced Mass'!$O$8</f>
        <v>3.9596237999763089</v>
      </c>
      <c r="AC50" s="16">
        <f>Forces!BC50/'Reduced Mass'!$O$9</f>
        <v>3.4386773513374917</v>
      </c>
    </row>
    <row r="51" spans="1:29" x14ac:dyDescent="0.25">
      <c r="A51" s="48">
        <v>50</v>
      </c>
      <c r="K51" s="41">
        <v>9900</v>
      </c>
      <c r="L51" s="16">
        <v>78</v>
      </c>
      <c r="M51" s="30">
        <v>58.1646</v>
      </c>
      <c r="N51" s="16">
        <v>58164.6</v>
      </c>
      <c r="O51" s="23">
        <v>41.379393939393943</v>
      </c>
      <c r="Q51" s="16">
        <f>Forces!AJ51/'Reduced Mass'!$O$4</f>
        <v>6.6429376867024867</v>
      </c>
      <c r="R51" s="16">
        <f>Forces!AK51/'Reduced Mass'!$O$5</f>
        <v>5.9082332251624949</v>
      </c>
      <c r="S51" s="16">
        <f>Forces!AL51/'Reduced Mass'!$O$6</f>
        <v>5.2256985750237837</v>
      </c>
      <c r="T51" s="16">
        <f>Forces!AM51/'Reduced Mass'!$O$7</f>
        <v>4.634039974041646</v>
      </c>
      <c r="U51" s="16">
        <f>Forces!AN51/'Reduced Mass'!$O$8</f>
        <v>4.1289819775021392</v>
      </c>
      <c r="V51" s="16">
        <f>Forces!AO51/'Reduced Mass'!$O$9</f>
        <v>3.6295020561272984</v>
      </c>
      <c r="X51" s="16">
        <f>Forces!AX51/'Reduced Mass'!$O$4</f>
        <v>6.6231714541580375</v>
      </c>
      <c r="Y51" s="16">
        <f>Forces!AY51/'Reduced Mass'!$O$5</f>
        <v>5.8698355500680046</v>
      </c>
      <c r="Z51" s="16">
        <f>Forces!AZ51/'Reduced Mass'!$O$6</f>
        <v>5.1659145956628718</v>
      </c>
      <c r="AA51" s="16">
        <f>Forces!BA51/'Reduced Mass'!$O$7</f>
        <v>4.5506124966298929</v>
      </c>
      <c r="AB51" s="16">
        <f>Forces!BB51/'Reduced Mass'!$O$8</f>
        <v>4.0204057499808714</v>
      </c>
      <c r="AC51" s="16">
        <f>Forces!BC51/'Reduced Mass'!$O$9</f>
        <v>3.490486328152052</v>
      </c>
    </row>
    <row r="52" spans="1:29" x14ac:dyDescent="0.25">
      <c r="A52" s="48">
        <v>51</v>
      </c>
      <c r="K52" s="41">
        <v>10000</v>
      </c>
      <c r="L52" s="16">
        <v>81</v>
      </c>
      <c r="M52" s="30">
        <v>60.401700000000005</v>
      </c>
      <c r="N52" s="16">
        <v>60401.700000000004</v>
      </c>
      <c r="O52" s="23">
        <v>42.541200000000003</v>
      </c>
      <c r="Q52" s="16">
        <f>Forces!AJ52/'Reduced Mass'!$O$4</f>
        <v>6.8300472702333357</v>
      </c>
      <c r="R52" s="16">
        <f>Forces!AK52/'Reduced Mass'!$O$5</f>
        <v>6.0752766653365375</v>
      </c>
      <c r="S52" s="16">
        <f>Forces!AL52/'Reduced Mass'!$O$6</f>
        <v>5.3742237518300238</v>
      </c>
      <c r="T52" s="16">
        <f>Forces!AM52/'Reduced Mass'!$O$7</f>
        <v>4.7666665052436255</v>
      </c>
      <c r="U52" s="16">
        <f>Forces!AN52/'Reduced Mass'!$O$8</f>
        <v>4.2481867539870688</v>
      </c>
      <c r="V52" s="16">
        <f>Forces!AO52/'Reduced Mass'!$O$9</f>
        <v>3.7356013112357602</v>
      </c>
      <c r="X52" s="16">
        <f>Forces!AX52/'Reduced Mass'!$O$4</f>
        <v>6.8098797031029941</v>
      </c>
      <c r="Y52" s="16">
        <f>Forces!AY52/'Reduced Mass'!$O$5</f>
        <v>6.0360993619037346</v>
      </c>
      <c r="Z52" s="16">
        <f>Forces!AZ52/'Reduced Mass'!$O$6</f>
        <v>5.313225915526675</v>
      </c>
      <c r="AA52" s="16">
        <f>Forces!BA52/'Reduced Mass'!$O$7</f>
        <v>4.6815451121084823</v>
      </c>
      <c r="AB52" s="16">
        <f>Forces!BB52/'Reduced Mass'!$O$8</f>
        <v>4.1374059892474833</v>
      </c>
      <c r="AC52" s="16">
        <f>Forces!BC52/'Reduced Mass'!$O$9</f>
        <v>3.5937630008845245</v>
      </c>
    </row>
    <row r="53" spans="1:29" x14ac:dyDescent="0.25">
      <c r="A53" s="48">
        <v>52</v>
      </c>
      <c r="K53" s="41">
        <v>10100</v>
      </c>
      <c r="L53" s="16">
        <v>83</v>
      </c>
      <c r="M53" s="30">
        <v>61.893100000000004</v>
      </c>
      <c r="N53" s="16">
        <v>61893.100000000006</v>
      </c>
      <c r="O53" s="23">
        <v>43.16</v>
      </c>
      <c r="Q53" s="16">
        <f>Forces!AJ53/'Reduced Mass'!$O$4</f>
        <v>6.9289616870525359</v>
      </c>
      <c r="R53" s="16">
        <f>Forces!AK53/'Reduced Mass'!$O$5</f>
        <v>6.1628024638411416</v>
      </c>
      <c r="S53" s="16">
        <f>Forces!AL53/'Reduced Mass'!$O$6</f>
        <v>5.4510817105493077</v>
      </c>
      <c r="T53" s="16">
        <f>Forces!AM53/'Reduced Mass'!$O$7</f>
        <v>4.8341669554016056</v>
      </c>
      <c r="U53" s="16">
        <f>Forces!AN53/'Reduced Mass'!$O$8</f>
        <v>4.3075922995980402</v>
      </c>
      <c r="V53" s="16">
        <f>Forces!AO53/'Reduced Mass'!$O$9</f>
        <v>3.7868813194891024</v>
      </c>
      <c r="X53" s="16">
        <f>Forces!AX53/'Reduced Mass'!$O$4</f>
        <v>6.9083887518228728</v>
      </c>
      <c r="Y53" s="16">
        <f>Forces!AY53/'Reduced Mass'!$O$5</f>
        <v>6.1228376966093396</v>
      </c>
      <c r="Z53" s="16">
        <f>Forces!AZ53/'Reduced Mass'!$O$6</f>
        <v>5.3888578177362607</v>
      </c>
      <c r="AA53" s="16">
        <f>Forces!BA53/'Reduced Mass'!$O$7</f>
        <v>4.7473346222644466</v>
      </c>
      <c r="AB53" s="16">
        <f>Forces!BB53/'Reduced Mass'!$O$8</f>
        <v>4.1945848414871882</v>
      </c>
      <c r="AC53" s="16">
        <f>Forces!BC53/'Reduced Mass'!$O$9</f>
        <v>3.6421920590998074</v>
      </c>
    </row>
    <row r="54" spans="1:29" x14ac:dyDescent="0.25">
      <c r="A54" s="48">
        <v>53</v>
      </c>
      <c r="K54" s="41">
        <v>10200</v>
      </c>
      <c r="L54" s="16">
        <v>85</v>
      </c>
      <c r="M54" s="30">
        <v>63.384500000000003</v>
      </c>
      <c r="N54" s="16">
        <v>63384.5</v>
      </c>
      <c r="O54" s="23">
        <v>43.766666666666666</v>
      </c>
      <c r="Q54" s="16">
        <f>Forces!AJ54/'Reduced Mass'!$O$4</f>
        <v>7.0258900994548581</v>
      </c>
      <c r="R54" s="16">
        <f>Forces!AK54/'Reduced Mass'!$O$5</f>
        <v>6.2485217280595693</v>
      </c>
      <c r="S54" s="16">
        <f>Forces!AL54/'Reduced Mass'!$O$6</f>
        <v>5.5262919905543342</v>
      </c>
      <c r="T54" s="16">
        <f>Forces!AM54/'Reduced Mass'!$O$7</f>
        <v>4.9001475789162257</v>
      </c>
      <c r="U54" s="16">
        <f>Forces!AN54/'Reduced Mass'!$O$8</f>
        <v>4.3655775721337848</v>
      </c>
      <c r="V54" s="16">
        <f>Forces!AO54/'Reduced Mass'!$O$9</f>
        <v>3.8368287607863172</v>
      </c>
      <c r="X54" s="16">
        <f>Forces!AX54/'Reduced Mass'!$O$4</f>
        <v>7.0049077626124499</v>
      </c>
      <c r="Y54" s="16">
        <f>Forces!AY54/'Reduced Mass'!$O$5</f>
        <v>6.2077616615680808</v>
      </c>
      <c r="Z54" s="16">
        <f>Forces!AZ54/'Reduced Mass'!$O$6</f>
        <v>5.4628298416643295</v>
      </c>
      <c r="AA54" s="16">
        <f>Forces!BA54/'Reduced Mass'!$O$7</f>
        <v>4.8115872814984231</v>
      </c>
      <c r="AB54" s="16">
        <f>Forces!BB54/'Reduced Mass'!$O$8</f>
        <v>4.2503212644987203</v>
      </c>
      <c r="AC54" s="16">
        <f>Forces!BC54/'Reduced Mass'!$O$9</f>
        <v>3.6892601826968909</v>
      </c>
    </row>
    <row r="55" spans="1:29" x14ac:dyDescent="0.25">
      <c r="A55" s="48">
        <v>54</v>
      </c>
      <c r="K55" s="41">
        <v>10300</v>
      </c>
      <c r="L55" s="16">
        <v>87</v>
      </c>
      <c r="M55" s="30">
        <v>64.875900000000001</v>
      </c>
      <c r="N55" s="16">
        <v>64875.9</v>
      </c>
      <c r="O55" s="23">
        <v>44.361553398058255</v>
      </c>
      <c r="Q55" s="16">
        <f>Forces!AJ55/'Reduced Mass'!$O$4</f>
        <v>7.1208898962436731</v>
      </c>
      <c r="R55" s="16">
        <f>Forces!AK55/'Reduced Mass'!$O$5</f>
        <v>6.3324861897027258</v>
      </c>
      <c r="S55" s="16">
        <f>Forces!AL55/'Reduced Mass'!$O$6</f>
        <v>5.5999012033359277</v>
      </c>
      <c r="T55" s="16">
        <f>Forces!AM55/'Reduced Mass'!$O$7</f>
        <v>4.9646507180018125</v>
      </c>
      <c r="U55" s="16">
        <f>Forces!AN55/'Reduced Mass'!$O$8</f>
        <v>4.422181434035851</v>
      </c>
      <c r="V55" s="16">
        <f>Forces!AO55/'Reduced Mass'!$O$9</f>
        <v>3.8854792408156418</v>
      </c>
      <c r="X55" s="16">
        <f>Forces!AX55/'Reduced Mass'!$O$4</f>
        <v>7.0994941242750933</v>
      </c>
      <c r="Y55" s="16">
        <f>Forces!AY55/'Reduced Mass'!$O$5</f>
        <v>6.2909229884908653</v>
      </c>
      <c r="Z55" s="16">
        <f>Forces!AZ55/'Reduced Mass'!$O$6</f>
        <v>5.5351885988017049</v>
      </c>
      <c r="AA55" s="16">
        <f>Forces!BA55/'Reduced Mass'!$O$7</f>
        <v>4.8743454320247386</v>
      </c>
      <c r="AB55" s="16">
        <f>Forces!BB55/'Reduced Mass'!$O$8</f>
        <v>4.3046541207236251</v>
      </c>
      <c r="AC55" s="16">
        <f>Forces!BC55/'Reduced Mass'!$O$9</f>
        <v>3.7350029773640161</v>
      </c>
    </row>
    <row r="56" spans="1:29" x14ac:dyDescent="0.25">
      <c r="A56" s="48">
        <v>55</v>
      </c>
      <c r="K56" s="41">
        <v>10400</v>
      </c>
      <c r="L56" s="16">
        <v>89</v>
      </c>
      <c r="M56" s="30">
        <v>66.3673</v>
      </c>
      <c r="N56" s="16">
        <v>66367.3</v>
      </c>
      <c r="O56" s="23">
        <v>44.945</v>
      </c>
      <c r="Q56" s="16">
        <f>Forces!AJ56/'Reduced Mass'!$O$4</f>
        <v>7.2140162589606796</v>
      </c>
      <c r="R56" s="16">
        <f>Forces!AK56/'Reduced Mass'!$O$5</f>
        <v>6.4147455908003277</v>
      </c>
      <c r="S56" s="16">
        <f>Forces!AL56/'Reduced Mass'!$O$6</f>
        <v>5.6719541676352572</v>
      </c>
      <c r="T56" s="16">
        <f>Forces!AM56/'Reduced Mass'!$O$7</f>
        <v>5.027717086325989</v>
      </c>
      <c r="U56" s="16">
        <f>Forces!AN56/'Reduced Mass'!$O$8</f>
        <v>4.4774412530364813</v>
      </c>
      <c r="V56" s="16">
        <f>Forces!AO56/'Reduced Mass'!$O$9</f>
        <v>3.932866995815758</v>
      </c>
      <c r="X56" s="16">
        <f>Forces!AX56/'Reduced Mass'!$O$4</f>
        <v>7.1922030183525019</v>
      </c>
      <c r="Y56" s="16">
        <f>Forces!AY56/'Reduced Mass'!$O$5</f>
        <v>6.3723714194074077</v>
      </c>
      <c r="Z56" s="16">
        <f>Forces!AZ56/'Reduced Mass'!$O$6</f>
        <v>5.605978907889555</v>
      </c>
      <c r="AA56" s="16">
        <f>Forces!BA56/'Reduced Mass'!$O$7</f>
        <v>4.9356497875110188</v>
      </c>
      <c r="AB56" s="16">
        <f>Forces!BB56/'Reduced Mass'!$O$8</f>
        <v>4.3576207778941445</v>
      </c>
      <c r="AC56" s="16">
        <f>Forces!BC56/'Reduced Mass'!$O$9</f>
        <v>3.7794546793398616</v>
      </c>
    </row>
    <row r="57" spans="1:29" x14ac:dyDescent="0.25">
      <c r="K57" s="41">
        <v>10500</v>
      </c>
      <c r="L57" s="16">
        <v>91</v>
      </c>
      <c r="M57" s="30">
        <v>67.858699999999999</v>
      </c>
      <c r="N57" s="16">
        <v>67858.7</v>
      </c>
      <c r="O57" s="23">
        <v>45.517333333333333</v>
      </c>
      <c r="Q57" s="16">
        <f>Forces!AJ57/'Reduced Mass'!$O$4</f>
        <v>7.3053222669936044</v>
      </c>
      <c r="R57" s="16">
        <f>Forces!AK57/'Reduced Mass'!$O$5</f>
        <v>6.4953477784476208</v>
      </c>
      <c r="S57" s="16">
        <f>Forces!AL57/'Reduced Mass'!$O$6</f>
        <v>5.7424939948128833</v>
      </c>
      <c r="T57" s="16">
        <f>Forces!AM57/'Reduced Mass'!$O$7</f>
        <v>5.0893858465595123</v>
      </c>
      <c r="U57" s="16">
        <f>Forces!AN57/'Reduced Mass'!$O$8</f>
        <v>4.531392973335274</v>
      </c>
      <c r="V57" s="16">
        <f>Forces!AO57/'Reduced Mass'!$O$9</f>
        <v>3.9790249577876895</v>
      </c>
      <c r="X57" s="16">
        <f>Forces!AX57/'Reduced Mass'!$O$4</f>
        <v>7.2830875242324016</v>
      </c>
      <c r="Y57" s="16">
        <f>Forces!AY57/'Reduced Mass'!$O$5</f>
        <v>6.4521548014129548</v>
      </c>
      <c r="Z57" s="16">
        <f>Forces!AZ57/'Reduced Mass'!$O$6</f>
        <v>5.6752438802884413</v>
      </c>
      <c r="AA57" s="16">
        <f>Forces!BA57/'Reduced Mass'!$O$7</f>
        <v>4.9955395106280163</v>
      </c>
      <c r="AB57" s="16">
        <f>Forces!BB57/'Reduced Mass'!$O$8</f>
        <v>4.409257180209881</v>
      </c>
      <c r="AC57" s="16">
        <f>Forces!BC57/'Reduced Mass'!$O$9</f>
        <v>3.8226482206254526</v>
      </c>
    </row>
    <row r="58" spans="1:29" x14ac:dyDescent="0.25">
      <c r="A58" s="117"/>
      <c r="K58" s="41">
        <v>10600</v>
      </c>
      <c r="L58" s="16">
        <v>92</v>
      </c>
      <c r="M58" s="30">
        <v>68.604399999999998</v>
      </c>
      <c r="N58" s="16">
        <v>68604.399999999994</v>
      </c>
      <c r="O58" s="23">
        <v>45.583396226415097</v>
      </c>
      <c r="Q58" s="16">
        <f>Forces!AJ58/'Reduced Mass'!$O$4</f>
        <v>7.3143986569189874</v>
      </c>
      <c r="R58" s="16">
        <f>Forces!AK58/'Reduced Mass'!$O$5</f>
        <v>6.5018098199936212</v>
      </c>
      <c r="S58" s="16">
        <f>Forces!AL58/'Reduced Mass'!$O$6</f>
        <v>5.7462118541559182</v>
      </c>
      <c r="T58" s="16">
        <f>Forces!AM58/'Reduced Mass'!$O$7</f>
        <v>5.090329986012093</v>
      </c>
      <c r="U58" s="16">
        <f>Forces!AN58/'Reduced Mass'!$O$8</f>
        <v>4.5295852017035649</v>
      </c>
      <c r="V58" s="16">
        <f>Forces!AO58/'Reduced Mass'!$O$9</f>
        <v>3.9740648733351298</v>
      </c>
      <c r="X58" s="16">
        <f>Forces!AX58/'Reduced Mass'!$O$4</f>
        <v>7.2917383784913348</v>
      </c>
      <c r="Y58" s="16">
        <f>Forces!AY58/'Reduced Mass'!$O$5</f>
        <v>6.4577902018565236</v>
      </c>
      <c r="Z58" s="16">
        <f>Forces!AZ58/'Reduced Mass'!$O$6</f>
        <v>5.6776746852854751</v>
      </c>
      <c r="AA58" s="16">
        <f>Forces!BA58/'Reduced Mass'!$O$7</f>
        <v>4.994687588685446</v>
      </c>
      <c r="AB58" s="16">
        <f>Forces!BB58/'Reduced Mass'!$O$8</f>
        <v>4.405111934442167</v>
      </c>
      <c r="AC58" s="16">
        <f>Forces!BC58/'Reduced Mass'!$O$9</f>
        <v>3.8146953478244812</v>
      </c>
    </row>
    <row r="59" spans="1:29" x14ac:dyDescent="0.25">
      <c r="A59" s="117"/>
      <c r="K59" s="41">
        <v>10700</v>
      </c>
      <c r="L59" s="16">
        <v>93</v>
      </c>
      <c r="M59" s="30">
        <v>69.350099999999998</v>
      </c>
      <c r="N59" s="16">
        <v>69350.099999999991</v>
      </c>
      <c r="O59" s="23">
        <v>45.648224299065419</v>
      </c>
      <c r="Q59" s="16">
        <f>Forces!AJ59/'Reduced Mass'!$O$4</f>
        <v>7.3232588671317282</v>
      </c>
      <c r="R59" s="16">
        <f>Forces!AK59/'Reduced Mass'!$O$5</f>
        <v>6.5080606917597175</v>
      </c>
      <c r="S59" s="16">
        <f>Forces!AL59/'Reduced Mass'!$O$6</f>
        <v>5.7497194958069651</v>
      </c>
      <c r="T59" s="16">
        <f>Forces!AM59/'Reduced Mass'!$O$7</f>
        <v>5.0910600987779038</v>
      </c>
      <c r="U59" s="16">
        <f>Forces!AN59/'Reduced Mass'!$O$8</f>
        <v>4.5275556435492152</v>
      </c>
      <c r="V59" s="16">
        <f>Forces!AO59/'Reduced Mass'!$O$9</f>
        <v>3.9688702728170111</v>
      </c>
      <c r="X59" s="16">
        <f>Forces!AX59/'Reduced Mass'!$O$4</f>
        <v>7.3001690195241995</v>
      </c>
      <c r="Y59" s="16">
        <f>Forces!AY59/'Reduced Mass'!$O$5</f>
        <v>6.463206597059501</v>
      </c>
      <c r="Z59" s="16">
        <f>Forces!AZ59/'Reduced Mass'!$O$6</f>
        <v>5.6798830730232606</v>
      </c>
      <c r="AA59" s="16">
        <f>Forces!BA59/'Reduced Mass'!$O$7</f>
        <v>4.9936046157774783</v>
      </c>
      <c r="AB59" s="16">
        <f>Forces!BB59/'Reduced Mass'!$O$8</f>
        <v>4.4007227459988645</v>
      </c>
      <c r="AC59" s="16">
        <f>Forces!BC59/'Reduced Mass'!$O$9</f>
        <v>3.8064795912958815</v>
      </c>
    </row>
    <row r="60" spans="1:29" x14ac:dyDescent="0.25">
      <c r="A60" s="117"/>
      <c r="K60" s="41">
        <v>10800</v>
      </c>
      <c r="L60" s="16">
        <v>94</v>
      </c>
      <c r="M60" s="30">
        <v>70.095799999999997</v>
      </c>
      <c r="N60" s="16">
        <v>70095.8</v>
      </c>
      <c r="O60" s="23">
        <v>45.711851851851854</v>
      </c>
      <c r="Q60" s="16">
        <f>Forces!AJ60/'Reduced Mass'!$O$4</f>
        <v>7.3319084677488116</v>
      </c>
      <c r="R60" s="16">
        <f>Forces!AK60/'Reduced Mass'!$O$5</f>
        <v>6.5141054147894666</v>
      </c>
      <c r="S60" s="16">
        <f>Forces!AL60/'Reduced Mass'!$O$6</f>
        <v>5.7530214438446077</v>
      </c>
      <c r="T60" s="16">
        <f>Forces!AM60/'Reduced Mass'!$O$7</f>
        <v>5.0915802945625561</v>
      </c>
      <c r="U60" s="16">
        <f>Forces!AN60/'Reduced Mass'!$O$8</f>
        <v>4.5253080708335318</v>
      </c>
      <c r="V60" s="16">
        <f>Forces!AO60/'Reduced Mass'!$O$9</f>
        <v>3.9634446120964455</v>
      </c>
      <c r="X60" s="16">
        <f>Forces!AX60/'Reduced Mass'!$O$4</f>
        <v>7.3083850174479803</v>
      </c>
      <c r="Y60" s="16">
        <f>Forces!AY60/'Reduced Mass'!$O$5</f>
        <v>6.4684090080654455</v>
      </c>
      <c r="Z60" s="16">
        <f>Forces!AZ60/'Reduced Mass'!$O$6</f>
        <v>5.6818735675803813</v>
      </c>
      <c r="AA60" s="16">
        <f>Forces!BA60/'Reduced Mass'!$O$7</f>
        <v>4.9922947016097252</v>
      </c>
      <c r="AB60" s="16">
        <f>Forces!BB60/'Reduced Mass'!$O$8</f>
        <v>4.3960933868412786</v>
      </c>
      <c r="AC60" s="16">
        <f>Forces!BC60/'Reduced Mass'!$O$9</f>
        <v>3.7980044069027641</v>
      </c>
    </row>
    <row r="61" spans="1:29" x14ac:dyDescent="0.25">
      <c r="A61" s="117"/>
      <c r="K61" s="41">
        <v>10900</v>
      </c>
      <c r="L61" s="16">
        <v>95</v>
      </c>
      <c r="M61" s="30">
        <v>70.841499999999996</v>
      </c>
      <c r="N61" s="16">
        <v>70841.5</v>
      </c>
      <c r="O61" s="23">
        <v>45.774311926605506</v>
      </c>
      <c r="Q61" s="16">
        <f>Forces!AJ61/'Reduced Mass'!$O$4</f>
        <v>7.3403528244792531</v>
      </c>
      <c r="R61" s="16">
        <f>Forces!AK61/'Reduced Mass'!$O$5</f>
        <v>6.5199488258679459</v>
      </c>
      <c r="S61" s="16">
        <f>Forces!AL61/'Reduced Mass'!$O$6</f>
        <v>5.756122056326209</v>
      </c>
      <c r="T61" s="16">
        <f>Forces!AM61/'Reduced Mass'!$O$7</f>
        <v>5.0918945322567692</v>
      </c>
      <c r="U61" s="16">
        <f>Forces!AN61/'Reduced Mass'!$O$8</f>
        <v>4.5228461170972167</v>
      </c>
      <c r="V61" s="16">
        <f>Forces!AO61/'Reduced Mass'!$O$9</f>
        <v>3.9577912202158831</v>
      </c>
      <c r="X61" s="16">
        <f>Forces!AX61/'Reduced Mass'!$O$4</f>
        <v>7.3163917379716938</v>
      </c>
      <c r="Y61" s="16">
        <f>Forces!AY61/'Reduced Mass'!$O$5</f>
        <v>6.4734022716594328</v>
      </c>
      <c r="Z61" s="16">
        <f>Forces!AZ61/'Reduced Mass'!$O$6</f>
        <v>5.6836505270141995</v>
      </c>
      <c r="AA61" s="16">
        <f>Forces!BA61/'Reduced Mass'!$O$7</f>
        <v>4.9907618050729061</v>
      </c>
      <c r="AB61" s="16">
        <f>Forces!BB61/'Reduced Mass'!$O$8</f>
        <v>4.3912274905101158</v>
      </c>
      <c r="AC61" s="16">
        <f>Forces!BC61/'Reduced Mass'!$O$9</f>
        <v>3.7892731236875803</v>
      </c>
    </row>
    <row r="62" spans="1:29" x14ac:dyDescent="0.25">
      <c r="A62" s="117"/>
      <c r="K62" s="41">
        <v>11000</v>
      </c>
      <c r="L62" s="16">
        <v>95</v>
      </c>
      <c r="M62" s="30">
        <v>70.841499999999996</v>
      </c>
      <c r="N62" s="16">
        <v>70841.5</v>
      </c>
      <c r="O62" s="23">
        <v>45.358181818181819</v>
      </c>
      <c r="Q62" s="16">
        <f>Forces!AJ62/'Reduced Mass'!$O$4</f>
        <v>7.2710625986387001</v>
      </c>
      <c r="R62" s="16">
        <f>Forces!AK62/'Reduced Mass'!$O$5</f>
        <v>6.4557040289451404</v>
      </c>
      <c r="S62" s="16">
        <f>Forces!AL62/'Reduced Mass'!$O$6</f>
        <v>5.696051592703923</v>
      </c>
      <c r="T62" s="16">
        <f>Forces!AM62/'Reduced Mass'!$O$7</f>
        <v>5.034800645540809</v>
      </c>
      <c r="U62" s="16">
        <f>Forces!AN62/'Reduced Mass'!$O$8</f>
        <v>4.4676686111104393</v>
      </c>
      <c r="V62" s="16">
        <f>Forces!AO62/'Reduced Mass'!$O$9</f>
        <v>3.9038086331242972</v>
      </c>
      <c r="X62" s="16">
        <f>Forces!AX62/'Reduced Mass'!$O$4</f>
        <v>7.2466598424109865</v>
      </c>
      <c r="Y62" s="16">
        <f>Forces!AY62/'Reduced Mass'!$O$5</f>
        <v>6.4082994917914489</v>
      </c>
      <c r="Z62" s="16">
        <f>Forces!AZ62/'Reduced Mass'!$O$6</f>
        <v>5.6222442107768709</v>
      </c>
      <c r="AA62" s="16">
        <f>Forces!BA62/'Reduced Mass'!$O$7</f>
        <v>4.9318037598472859</v>
      </c>
      <c r="AB62" s="16">
        <f>Forces!BB62/'Reduced Mass'!$O$8</f>
        <v>4.3336238857755411</v>
      </c>
      <c r="AC62" s="16">
        <f>Forces!BC62/'Reduced Mass'!$O$9</f>
        <v>3.7321842775993019</v>
      </c>
    </row>
    <row r="63" spans="1:29" x14ac:dyDescent="0.25">
      <c r="A63" s="117"/>
      <c r="K63" s="41">
        <v>11100</v>
      </c>
      <c r="L63" s="16">
        <v>95</v>
      </c>
      <c r="M63" s="30">
        <v>70.841499999999996</v>
      </c>
      <c r="N63" s="16">
        <v>70841.5</v>
      </c>
      <c r="O63" s="23">
        <v>44.949549549549552</v>
      </c>
      <c r="Q63" s="16">
        <f>Forces!AJ63/'Reduced Mass'!$O$4</f>
        <v>7.2029743019536783</v>
      </c>
      <c r="R63" s="16">
        <f>Forces!AK63/'Reduced Mass'!$O$5</f>
        <v>6.3925263812470741</v>
      </c>
      <c r="S63" s="16">
        <f>Forces!AL63/'Reduced Mass'!$O$6</f>
        <v>5.6369227069423076</v>
      </c>
      <c r="T63" s="16">
        <f>Forces!AM63/'Reduced Mass'!$O$7</f>
        <v>4.9785390315224571</v>
      </c>
      <c r="U63" s="16">
        <f>Forces!AN63/'Reduced Mass'!$O$8</f>
        <v>4.4132296308876215</v>
      </c>
      <c r="V63" s="16">
        <f>Forces!AO63/'Reduced Mass'!$O$9</f>
        <v>3.850471366089844</v>
      </c>
      <c r="X63" s="16">
        <f>Forces!AX63/'Reduced Mass'!$O$4</f>
        <v>7.1781258424923839</v>
      </c>
      <c r="Y63" s="16">
        <f>Forces!AY63/'Reduced Mass'!$O$5</f>
        <v>6.3442560256875185</v>
      </c>
      <c r="Z63" s="16">
        <f>Forces!AZ63/'Reduced Mass'!$O$6</f>
        <v>5.5617672728329515</v>
      </c>
      <c r="AA63" s="16">
        <f>Forces!BA63/'Reduced Mass'!$O$7</f>
        <v>4.8736609630406473</v>
      </c>
      <c r="AB63" s="16">
        <f>Forces!BB63/'Reduced Mass'!$O$8</f>
        <v>4.2767366506519782</v>
      </c>
      <c r="AC63" s="16">
        <f>Forces!BC63/'Reduced Mass'!$O$9</f>
        <v>3.6757123839060863</v>
      </c>
    </row>
    <row r="64" spans="1:29" x14ac:dyDescent="0.25">
      <c r="A64" s="117"/>
      <c r="K64" s="41">
        <v>11200</v>
      </c>
      <c r="L64" s="16">
        <v>95</v>
      </c>
      <c r="M64" s="30">
        <v>70.841499999999996</v>
      </c>
      <c r="N64" s="16">
        <v>70841.5</v>
      </c>
      <c r="O64" s="23">
        <v>44.548214285714288</v>
      </c>
      <c r="Q64" s="16">
        <f>Forces!AJ64/'Reduced Mass'!$O$4</f>
        <v>7.1360553205494499</v>
      </c>
      <c r="R64" s="16">
        <f>Forces!AK64/'Reduced Mass'!$O$5</f>
        <v>6.3303864838066932</v>
      </c>
      <c r="S64" s="16">
        <f>Forces!AL64/'Reduced Mass'!$O$6</f>
        <v>5.5787089098791318</v>
      </c>
      <c r="T64" s="16">
        <f>Forces!AM64/'Reduced Mass'!$O$7</f>
        <v>4.923085627255757</v>
      </c>
      <c r="U64" s="16">
        <f>Forces!AN64/'Reduced Mass'!$O$8</f>
        <v>4.3595070910266269</v>
      </c>
      <c r="V64" s="16">
        <f>Forces!AO64/'Reduced Mass'!$O$9</f>
        <v>3.797759184512953</v>
      </c>
      <c r="X64" s="16">
        <f>Forces!AX64/'Reduced Mass'!$O$4</f>
        <v>7.1107571243411494</v>
      </c>
      <c r="Y64" s="16">
        <f>Forces!AY64/'Reduced Mass'!$O$5</f>
        <v>6.2812424743805861</v>
      </c>
      <c r="Z64" s="16">
        <f>Forces!AZ64/'Reduced Mass'!$O$6</f>
        <v>5.5021932240202105</v>
      </c>
      <c r="AA64" s="16">
        <f>Forces!BA64/'Reduced Mass'!$O$7</f>
        <v>4.8163093517070337</v>
      </c>
      <c r="AB64" s="16">
        <f>Forces!BB64/'Reduced Mass'!$O$8</f>
        <v>4.2205436997372905</v>
      </c>
      <c r="AC64" s="16">
        <f>Forces!BC64/'Reduced Mass'!$O$9</f>
        <v>3.6198372080083625</v>
      </c>
    </row>
    <row r="65" spans="1:29" x14ac:dyDescent="0.25">
      <c r="A65" s="117"/>
      <c r="K65" s="41">
        <v>11300</v>
      </c>
      <c r="L65" s="16">
        <v>95</v>
      </c>
      <c r="M65" s="30">
        <v>70.841499999999996</v>
      </c>
      <c r="N65" s="16">
        <v>70841.5</v>
      </c>
      <c r="O65" s="23">
        <v>44.153982300884955</v>
      </c>
      <c r="Q65" s="16">
        <f>Forces!AJ65/'Reduced Mass'!$O$4</f>
        <v>7.0702741950247265</v>
      </c>
      <c r="R65" s="16">
        <f>Forces!AK65/'Reduced Mass'!$O$5</f>
        <v>6.269255978328351</v>
      </c>
      <c r="S65" s="16">
        <f>Forces!AL65/'Reduced Mass'!$O$6</f>
        <v>5.5213846500216182</v>
      </c>
      <c r="T65" s="16">
        <f>Forces!AM65/'Reduced Mass'!$O$7</f>
        <v>4.8684172215804464</v>
      </c>
      <c r="U65" s="16">
        <f>Forces!AN65/'Reduced Mass'!$O$8</f>
        <v>4.3064796879094729</v>
      </c>
      <c r="V65" s="16">
        <f>Forces!AO65/'Reduced Mass'!$O$9</f>
        <v>3.7456525700630676</v>
      </c>
      <c r="X65" s="16">
        <f>Forces!AX65/'Reduced Mass'!$O$4</f>
        <v>7.0445222285559925</v>
      </c>
      <c r="Y65" s="16">
        <f>Forces!AY65/'Reduced Mass'!$O$5</f>
        <v>6.2192304795750051</v>
      </c>
      <c r="Z65" s="16">
        <f>Forces!AZ65/'Reduced Mass'!$O$6</f>
        <v>5.4434965128458712</v>
      </c>
      <c r="AA65" s="16">
        <f>Forces!BA65/'Reduced Mass'!$O$7</f>
        <v>4.7597257146861818</v>
      </c>
      <c r="AB65" s="16">
        <f>Forces!BB65/'Reduced Mass'!$O$8</f>
        <v>4.1650237294134964</v>
      </c>
      <c r="AC65" s="16">
        <f>Forces!BC65/'Reduced Mass'!$O$9</f>
        <v>3.5645392315755746</v>
      </c>
    </row>
    <row r="66" spans="1:29" x14ac:dyDescent="0.25">
      <c r="A66" s="117"/>
      <c r="K66" s="41">
        <v>11400</v>
      </c>
      <c r="L66" s="16">
        <v>95</v>
      </c>
      <c r="M66" s="30">
        <v>70.841499999999996</v>
      </c>
      <c r="N66" s="16">
        <v>70841.5</v>
      </c>
      <c r="O66" s="23">
        <v>43.766666666666666</v>
      </c>
      <c r="Q66" s="16">
        <f>Forces!AJ66/'Reduced Mass'!$O$4</f>
        <v>7.0056005698168553</v>
      </c>
      <c r="R66" s="16">
        <f>Forces!AK66/'Reduced Mass'!$O$5</f>
        <v>6.2091075015443105</v>
      </c>
      <c r="S66" s="16">
        <f>Forces!AL66/'Reduced Mass'!$O$6</f>
        <v>5.4649252724205954</v>
      </c>
      <c r="T66" s="16">
        <f>Forces!AM66/'Reduced Mass'!$O$7</f>
        <v>4.8145114177629384</v>
      </c>
      <c r="U66" s="16">
        <f>Forces!AN66/'Reduced Mass'!$O$8</f>
        <v>4.2541268654135367</v>
      </c>
      <c r="V66" s="16">
        <f>Forces!AO66/'Reduced Mass'!$O$9</f>
        <v>3.6941326892633306</v>
      </c>
      <c r="X66" s="16">
        <f>Forces!AX66/'Reduced Mass'!$O$4</f>
        <v>6.9793907995742615</v>
      </c>
      <c r="Y66" s="16">
        <f>Forces!AY66/'Reduced Mass'!$O$5</f>
        <v>6.1581926780030392</v>
      </c>
      <c r="Z66" s="16">
        <f>Forces!AZ66/'Reduced Mass'!$O$6</f>
        <v>5.3856524843607625</v>
      </c>
      <c r="AA66" s="16">
        <f>Forces!BA66/'Reduced Mass'!$O$7</f>
        <v>4.7038876552445066</v>
      </c>
      <c r="AB66" s="16">
        <f>Forces!BB66/'Reduced Mass'!$O$8</f>
        <v>4.1101561835579714</v>
      </c>
      <c r="AC66" s="16">
        <f>Forces!BC66/'Reduced Mass'!$O$9</f>
        <v>3.5097996211308651</v>
      </c>
    </row>
    <row r="67" spans="1:29" x14ac:dyDescent="0.25">
      <c r="A67" s="117"/>
      <c r="K67" s="41">
        <v>11500</v>
      </c>
      <c r="L67" s="16">
        <v>95</v>
      </c>
      <c r="M67" s="30">
        <v>70.841499999999996</v>
      </c>
      <c r="N67" s="16">
        <v>70841.5</v>
      </c>
      <c r="O67" s="23">
        <v>43.386086956521737</v>
      </c>
      <c r="Q67" s="16">
        <f>Forces!AJ67/'Reduced Mass'!$O$4</f>
        <v>6.9420051452088378</v>
      </c>
      <c r="R67" s="16">
        <f>Forces!AK67/'Reduced Mass'!$O$5</f>
        <v>6.1499146419526767</v>
      </c>
      <c r="S67" s="16">
        <f>Forces!AL67/'Reduced Mass'!$O$6</f>
        <v>5.4093069796903475</v>
      </c>
      <c r="T67" s="16">
        <f>Forces!AM67/'Reduced Mass'!$O$7</f>
        <v>4.7613465980864698</v>
      </c>
      <c r="U67" s="16">
        <f>Forces!AN67/'Reduced Mass'!$O$8</f>
        <v>4.202428782411773</v>
      </c>
      <c r="V67" s="16">
        <f>Forces!AO67/'Reduced Mass'!$O$9</f>
        <v>3.6431813637143478</v>
      </c>
      <c r="X67" s="16">
        <f>Forces!AX67/'Reduced Mass'!$O$4</f>
        <v>6.9153335376789604</v>
      </c>
      <c r="Y67" s="16">
        <f>Forces!AY67/'Reduced Mass'!$O$5</f>
        <v>6.0981026581627944</v>
      </c>
      <c r="Z67" s="16">
        <f>Forces!AZ67/'Reduced Mass'!$O$6</f>
        <v>5.328637341179169</v>
      </c>
      <c r="AA67" s="16">
        <f>Forces!BA67/'Reduced Mass'!$O$7</f>
        <v>4.6487735556652439</v>
      </c>
      <c r="AB67" s="16">
        <f>Forces!BB67/'Reduced Mass'!$O$8</f>
        <v>4.055921221043671</v>
      </c>
      <c r="AC67" s="16">
        <f>Forces!BC67/'Reduced Mass'!$O$9</f>
        <v>3.4556001982748383</v>
      </c>
    </row>
    <row r="68" spans="1:29" x14ac:dyDescent="0.25">
      <c r="A68" s="117"/>
      <c r="K68" s="41">
        <v>11600</v>
      </c>
      <c r="L68" s="16">
        <v>96</v>
      </c>
      <c r="M68" s="30">
        <v>71.587199999999996</v>
      </c>
      <c r="N68" s="16">
        <v>71587.199999999997</v>
      </c>
      <c r="O68" s="23">
        <v>43.464827586206894</v>
      </c>
      <c r="Q68" s="16">
        <f>Forces!AJ68/'Reduced Mass'!$O$4</f>
        <v>6.9529837354431931</v>
      </c>
      <c r="R68" s="16">
        <f>Forces!AK68/'Reduced Mass'!$O$5</f>
        <v>6.1579283752129923</v>
      </c>
      <c r="S68" s="16">
        <f>Forces!AL68/'Reduced Mass'!$O$6</f>
        <v>5.4142234624096837</v>
      </c>
      <c r="T68" s="16">
        <f>Forces!AM68/'Reduced Mass'!$O$7</f>
        <v>4.763148941458887</v>
      </c>
      <c r="U68" s="16">
        <f>Forces!AN68/'Reduced Mass'!$O$8</f>
        <v>4.2011551956659607</v>
      </c>
      <c r="V68" s="16">
        <f>Forces!AO68/'Reduced Mass'!$O$9</f>
        <v>3.6383975412038736</v>
      </c>
      <c r="X68" s="16">
        <f>Forces!AX68/'Reduced Mass'!$O$4</f>
        <v>6.9258462571126049</v>
      </c>
      <c r="Y68" s="16">
        <f>Forces!AY68/'Reduced Mass'!$O$5</f>
        <v>6.1052113957138134</v>
      </c>
      <c r="Z68" s="16">
        <f>Forces!AZ68/'Reduced Mass'!$O$6</f>
        <v>5.3321447738798975</v>
      </c>
      <c r="AA68" s="16">
        <f>Forces!BA68/'Reduced Mass'!$O$7</f>
        <v>4.6486095948562385</v>
      </c>
      <c r="AB68" s="16">
        <f>Forces!BB68/'Reduced Mass'!$O$8</f>
        <v>4.0520885986323743</v>
      </c>
      <c r="AC68" s="16">
        <f>Forces!BC68/'Reduced Mass'!$O$9</f>
        <v>3.4475399107952507</v>
      </c>
    </row>
    <row r="69" spans="1:29" x14ac:dyDescent="0.25">
      <c r="A69" s="117"/>
      <c r="K69" s="41">
        <v>11700</v>
      </c>
      <c r="L69" s="16">
        <v>97</v>
      </c>
      <c r="M69" s="30">
        <v>72.332900000000009</v>
      </c>
      <c r="N69" s="16">
        <v>72332.900000000009</v>
      </c>
      <c r="O69" s="23">
        <v>43.542222222222222</v>
      </c>
      <c r="Q69" s="16">
        <f>Forces!AJ69/'Reduced Mass'!$O$4</f>
        <v>6.963728092387738</v>
      </c>
      <c r="R69" s="16">
        <f>Forces!AK69/'Reduced Mass'!$O$5</f>
        <v>6.1657146647448222</v>
      </c>
      <c r="S69" s="16">
        <f>Forces!AL69/'Reduced Mass'!$O$6</f>
        <v>5.4189150642257902</v>
      </c>
      <c r="T69" s="16">
        <f>Forces!AM69/'Reduced Mass'!$O$7</f>
        <v>4.7647239379777231</v>
      </c>
      <c r="U69" s="16">
        <f>Forces!AN69/'Reduced Mass'!$O$8</f>
        <v>4.1996475969101974</v>
      </c>
      <c r="V69" s="16">
        <f>Forces!AO69/'Reduced Mass'!$O$9</f>
        <v>3.6333680016617516</v>
      </c>
      <c r="X69" s="16">
        <f>Forces!AX69/'Reduced Mass'!$O$4</f>
        <v>6.9361207097430118</v>
      </c>
      <c r="Y69" s="16">
        <f>Forces!AY69/'Reduced Mass'!$O$5</f>
        <v>6.1120848540756585</v>
      </c>
      <c r="Z69" s="16">
        <f>Forces!AZ69/'Reduced Mass'!$O$6</f>
        <v>5.3354151261101359</v>
      </c>
      <c r="AA69" s="16">
        <f>Forces!BA69/'Reduced Mass'!$O$7</f>
        <v>4.6482012629150251</v>
      </c>
      <c r="AB69" s="16">
        <f>Forces!BB69/'Reduced Mass'!$O$8</f>
        <v>4.0479998080581794</v>
      </c>
      <c r="AC69" s="16">
        <f>Forces!BC69/'Reduced Mass'!$O$9</f>
        <v>3.4392055386219447</v>
      </c>
    </row>
    <row r="70" spans="1:29" x14ac:dyDescent="0.25">
      <c r="A70" s="117"/>
      <c r="K70" s="41">
        <v>11800</v>
      </c>
      <c r="L70" s="16">
        <v>98</v>
      </c>
      <c r="M70" s="30">
        <v>73.078600000000009</v>
      </c>
      <c r="N70" s="16">
        <v>73078.600000000006</v>
      </c>
      <c r="O70" s="23">
        <v>43.618305084745764</v>
      </c>
      <c r="Q70" s="16">
        <f>Forces!AJ70/'Reduced Mass'!$O$4</f>
        <v>6.9742437731048845</v>
      </c>
      <c r="R70" s="16">
        <f>Forces!AK70/'Reduced Mass'!$O$5</f>
        <v>6.1732785198240103</v>
      </c>
      <c r="S70" s="16">
        <f>Forces!AL70/'Reduced Mass'!$O$6</f>
        <v>5.4233862986142656</v>
      </c>
      <c r="T70" s="16">
        <f>Forces!AM70/'Reduced Mass'!$O$7</f>
        <v>4.7660756877167536</v>
      </c>
      <c r="U70" s="16">
        <f>Forces!AN70/'Reduced Mass'!$O$8</f>
        <v>4.1979097492655164</v>
      </c>
      <c r="V70" s="16">
        <f>Forces!AO70/'Reduced Mass'!$O$9</f>
        <v>3.6280961928516655</v>
      </c>
      <c r="X70" s="16">
        <f>Forces!AX70/'Reduced Mass'!$O$4</f>
        <v>6.9461624526325956</v>
      </c>
      <c r="Y70" s="16">
        <f>Forces!AY70/'Reduced Mass'!$O$5</f>
        <v>6.1187280425241761</v>
      </c>
      <c r="Z70" s="16">
        <f>Forces!AZ70/'Reduced Mass'!$O$6</f>
        <v>5.3384529113454819</v>
      </c>
      <c r="AA70" s="16">
        <f>Forces!BA70/'Reduced Mass'!$O$7</f>
        <v>4.6475526599153802</v>
      </c>
      <c r="AB70" s="16">
        <f>Forces!BB70/'Reduced Mass'!$O$8</f>
        <v>4.0436586124421181</v>
      </c>
      <c r="AC70" s="16">
        <f>Forces!BC70/'Reduced Mass'!$O$9</f>
        <v>3.4306005295186046</v>
      </c>
    </row>
    <row r="71" spans="1:29" x14ac:dyDescent="0.25">
      <c r="A71" s="117"/>
      <c r="K71" s="41">
        <v>11900</v>
      </c>
      <c r="L71" s="16">
        <v>99</v>
      </c>
      <c r="M71" s="30">
        <v>73.824300000000008</v>
      </c>
      <c r="N71" s="16">
        <v>73824.3</v>
      </c>
      <c r="O71" s="23">
        <v>43.693109243697478</v>
      </c>
      <c r="Q71" s="16">
        <f>Forces!AJ71/'Reduced Mass'!$O$4</f>
        <v>6.9845361478650387</v>
      </c>
      <c r="R71" s="16">
        <f>Forces!AK71/'Reduced Mass'!$O$5</f>
        <v>6.180624781347384</v>
      </c>
      <c r="S71" s="16">
        <f>Forces!AL71/'Reduced Mass'!$O$6</f>
        <v>5.4276415273372534</v>
      </c>
      <c r="T71" s="16">
        <f>Forces!AM71/'Reduced Mass'!$O$7</f>
        <v>4.7672081529321577</v>
      </c>
      <c r="U71" s="16">
        <f>Forces!AN71/'Reduced Mass'!$O$8</f>
        <v>4.1959452893614984</v>
      </c>
      <c r="V71" s="16">
        <f>Forces!AO71/'Reduced Mass'!$O$9</f>
        <v>3.622585446646081</v>
      </c>
      <c r="X71" s="16">
        <f>Forces!AX71/'Reduced Mass'!$O$4</f>
        <v>6.9559768560517616</v>
      </c>
      <c r="Y71" s="16">
        <f>Forces!AY71/'Reduced Mass'!$O$5</f>
        <v>6.125145801956192</v>
      </c>
      <c r="Z71" s="16">
        <f>Forces!AZ71/'Reduced Mass'!$O$6</f>
        <v>5.3412624913480808</v>
      </c>
      <c r="AA71" s="16">
        <f>Forces!BA71/'Reduced Mass'!$O$7</f>
        <v>4.6466677481134822</v>
      </c>
      <c r="AB71" s="16">
        <f>Forces!BB71/'Reduced Mass'!$O$8</f>
        <v>4.0390686484137719</v>
      </c>
      <c r="AC71" s="16">
        <f>Forces!BC71/'Reduced Mass'!$O$9</f>
        <v>3.421728215357696</v>
      </c>
    </row>
    <row r="72" spans="1:29" x14ac:dyDescent="0.25">
      <c r="K72" s="41">
        <v>12000</v>
      </c>
      <c r="L72" s="16">
        <v>100</v>
      </c>
      <c r="M72" s="30">
        <v>74.570000000000007</v>
      </c>
      <c r="N72" s="16">
        <v>74570.000000000015</v>
      </c>
      <c r="O72" s="23">
        <v>43.766666666666666</v>
      </c>
      <c r="Q72" s="16">
        <f>Forces!AJ72/'Reduced Mass'!$O$4</f>
        <v>6.9946104079296019</v>
      </c>
      <c r="R72" s="16">
        <f>Forces!AK72/'Reduced Mass'!$O$5</f>
        <v>6.1877581288485493</v>
      </c>
      <c r="S72" s="16">
        <f>Forces!AL72/'Reduced Mass'!$O$6</f>
        <v>5.4316849667648199</v>
      </c>
      <c r="T72" s="16">
        <f>Forces!AM72/'Reduced Mass'!$O$7</f>
        <v>4.7681251638049051</v>
      </c>
      <c r="U72" s="16">
        <f>Forces!AN72/'Reduced Mass'!$O$8</f>
        <v>4.1937577326067368</v>
      </c>
      <c r="V72" s="16">
        <f>Forces!AO72/'Reduced Mass'!$O$9</f>
        <v>3.6168389838550472</v>
      </c>
      <c r="X72" s="16">
        <f>Forces!AX72/'Reduced Mass'!$O$4</f>
        <v>6.9655691112619094</v>
      </c>
      <c r="Y72" s="16">
        <f>Forces!AY72/'Reduced Mass'!$O$5</f>
        <v>6.1313428119053137</v>
      </c>
      <c r="Z72" s="16">
        <f>Forces!AZ72/'Reduced Mass'!$O$6</f>
        <v>5.3438480824879973</v>
      </c>
      <c r="AA72" s="16">
        <f>Forces!BA72/'Reduced Mass'!$O$7</f>
        <v>4.6455503576902997</v>
      </c>
      <c r="AB72" s="16">
        <f>Forces!BB72/'Reduced Mass'!$O$8</f>
        <v>4.0342334313817343</v>
      </c>
      <c r="AC72" s="16">
        <f>Forces!BC72/'Reduced Mass'!$O$9</f>
        <v>3.4125918169492677</v>
      </c>
    </row>
    <row r="73" spans="1:29" x14ac:dyDescent="0.25">
      <c r="K73" s="41">
        <v>12100</v>
      </c>
      <c r="L73" s="16">
        <v>102</v>
      </c>
      <c r="M73" s="30">
        <v>76.061400000000006</v>
      </c>
      <c r="N73" s="16">
        <v>76061.400000000009</v>
      </c>
      <c r="O73" s="23">
        <v>44.27305785123967</v>
      </c>
      <c r="Q73" s="16">
        <f>Forces!AJ73/'Reduced Mass'!$O$4</f>
        <v>7.0749574904722738</v>
      </c>
      <c r="R73" s="16">
        <f>Forces!AK73/'Reduced Mass'!$O$5</f>
        <v>6.2582208662130441</v>
      </c>
      <c r="S73" s="16">
        <f>Forces!AL73/'Reduced Mass'!$O$6</f>
        <v>5.4927697303650715</v>
      </c>
      <c r="T73" s="16">
        <f>Forces!AM73/'Reduced Mass'!$O$7</f>
        <v>4.8208358613991411</v>
      </c>
      <c r="U73" s="16">
        <f>Forces!AN73/'Reduced Mass'!$O$8</f>
        <v>4.2390819987814075</v>
      </c>
      <c r="V73" s="16">
        <f>Forces!AO73/'Reduced Mass'!$O$9</f>
        <v>3.6545914388495473</v>
      </c>
      <c r="X73" s="16">
        <f>Forces!AX73/'Reduced Mass'!$O$4</f>
        <v>7.0454301554367396</v>
      </c>
      <c r="Y73" s="16">
        <f>Forces!AY73/'Reduced Mass'!$O$5</f>
        <v>6.2008613762570777</v>
      </c>
      <c r="Z73" s="16">
        <f>Forces!AZ73/'Reduced Mass'!$O$6</f>
        <v>5.4034627982333383</v>
      </c>
      <c r="AA73" s="16">
        <f>Forces!BA73/'Reduced Mass'!$O$7</f>
        <v>4.696209629709978</v>
      </c>
      <c r="AB73" s="16">
        <f>Forces!BB73/'Reduced Mass'!$O$8</f>
        <v>4.0768878811261802</v>
      </c>
      <c r="AC73" s="16">
        <f>Forces!BC73/'Reduced Mass'!$O$9</f>
        <v>3.4469259686643028</v>
      </c>
    </row>
    <row r="74" spans="1:29" x14ac:dyDescent="0.25">
      <c r="K74" s="41">
        <v>12200</v>
      </c>
      <c r="L74" s="16">
        <v>103</v>
      </c>
      <c r="M74" s="30">
        <v>76.807100000000005</v>
      </c>
      <c r="N74" s="16">
        <v>76807.100000000006</v>
      </c>
      <c r="O74" s="23">
        <v>44.340655737704921</v>
      </c>
      <c r="Q74" s="16">
        <f>Forces!AJ74/'Reduced Mass'!$O$4</f>
        <v>7.0840326620929801</v>
      </c>
      <c r="R74" s="16">
        <f>Forces!AK74/'Reduced Mass'!$O$5</f>
        <v>6.2644210103616498</v>
      </c>
      <c r="S74" s="16">
        <f>Forces!AL74/'Reduced Mass'!$O$6</f>
        <v>5.4959324340905358</v>
      </c>
      <c r="T74" s="16">
        <f>Forces!AM74/'Reduced Mass'!$O$7</f>
        <v>4.8209066787706405</v>
      </c>
      <c r="U74" s="16">
        <f>Forces!AN74/'Reduced Mass'!$O$8</f>
        <v>4.2360670924942978</v>
      </c>
      <c r="V74" s="16">
        <f>Forces!AO74/'Reduced Mass'!$O$9</f>
        <v>3.6480243287069372</v>
      </c>
      <c r="X74" s="16">
        <f>Forces!AX74/'Reduced Mass'!$O$4</f>
        <v>7.0540152551761786</v>
      </c>
      <c r="Y74" s="16">
        <f>Forces!AY74/'Reduced Mass'!$O$5</f>
        <v>6.2061095119322678</v>
      </c>
      <c r="Z74" s="16">
        <f>Forces!AZ74/'Reduced Mass'!$O$6</f>
        <v>5.4051432545366307</v>
      </c>
      <c r="AA74" s="16">
        <f>Forces!BA74/'Reduced Mass'!$O$7</f>
        <v>4.6942119972282939</v>
      </c>
      <c r="AB74" s="16">
        <f>Forces!BB74/'Reduced Mass'!$O$8</f>
        <v>4.0711810022558979</v>
      </c>
      <c r="AC74" s="16">
        <f>Forces!BC74/'Reduced Mass'!$O$9</f>
        <v>3.436912187580158</v>
      </c>
    </row>
    <row r="75" spans="1:29" x14ac:dyDescent="0.25">
      <c r="K75" s="41">
        <v>12300</v>
      </c>
      <c r="L75" s="16">
        <v>104</v>
      </c>
      <c r="M75" s="30">
        <v>77.552800000000005</v>
      </c>
      <c r="N75" s="16">
        <v>77552.800000000003</v>
      </c>
      <c r="O75" s="23">
        <v>44.407154471544715</v>
      </c>
      <c r="Q75" s="16">
        <f>Forces!AJ75/'Reduced Mass'!$O$4</f>
        <v>7.0929136852851977</v>
      </c>
      <c r="R75" s="16">
        <f>Forces!AK75/'Reduced Mass'!$O$5</f>
        <v>6.2704298442840569</v>
      </c>
      <c r="S75" s="16">
        <f>Forces!AL75/'Reduced Mass'!$O$6</f>
        <v>5.498902814049984</v>
      </c>
      <c r="T75" s="16">
        <f>Forces!AM75/'Reduced Mass'!$O$7</f>
        <v>4.8207797244267363</v>
      </c>
      <c r="U75" s="16">
        <f>Forces!AN75/'Reduced Mass'!$O$8</f>
        <v>4.2328453187879642</v>
      </c>
      <c r="V75" s="16">
        <f>Forces!AO75/'Reduced Mass'!$O$9</f>
        <v>3.6412363713503377</v>
      </c>
      <c r="X75" s="16">
        <f>Forces!AX75/'Reduced Mass'!$O$4</f>
        <v>7.0624021729737034</v>
      </c>
      <c r="Y75" s="16">
        <f>Forces!AY75/'Reduced Mass'!$O$5</f>
        <v>6.2111585019205693</v>
      </c>
      <c r="Z75" s="16">
        <f>Forces!AZ75/'Reduced Mass'!$O$6</f>
        <v>5.4066191875066467</v>
      </c>
      <c r="AA75" s="16">
        <f>Forces!BA75/'Reduced Mass'!$O$7</f>
        <v>4.6919995687525784</v>
      </c>
      <c r="AB75" s="16">
        <f>Forces!BB75/'Reduced Mass'!$O$8</f>
        <v>4.0652450998134455</v>
      </c>
      <c r="AC75" s="16">
        <f>Forces!BC75/'Reduced Mass'!$O$9</f>
        <v>3.4266491916199526</v>
      </c>
    </row>
    <row r="76" spans="1:29" x14ac:dyDescent="0.25">
      <c r="K76" s="41">
        <v>12400</v>
      </c>
      <c r="L76" s="16">
        <v>105</v>
      </c>
      <c r="M76" s="30">
        <v>78.298500000000004</v>
      </c>
      <c r="N76" s="16">
        <v>78298.5</v>
      </c>
      <c r="O76" s="23">
        <v>44.472580645161287</v>
      </c>
      <c r="Q76" s="16">
        <f>Forces!AJ76/'Reduced Mass'!$O$4</f>
        <v>7.1016048784262011</v>
      </c>
      <c r="R76" s="16">
        <f>Forces!AK76/'Reduced Mass'!$O$5</f>
        <v>6.2762512606741625</v>
      </c>
      <c r="S76" s="16">
        <f>Forces!AL76/'Reduced Mass'!$O$6</f>
        <v>5.5016843776523601</v>
      </c>
      <c r="T76" s="16">
        <f>Forces!AM76/'Reduced Mass'!$O$7</f>
        <v>4.820458184523007</v>
      </c>
      <c r="U76" s="16">
        <f>Forces!AN76/'Reduced Mass'!$O$8</f>
        <v>4.2294196019729782</v>
      </c>
      <c r="V76" s="16">
        <f>Forces!AO76/'Reduced Mass'!$O$9</f>
        <v>3.6342302460270166</v>
      </c>
      <c r="X76" s="16">
        <f>Forces!AX76/'Reduced Mass'!$O$4</f>
        <v>7.0705952272065886</v>
      </c>
      <c r="Y76" s="16">
        <f>Forces!AY76/'Reduced Mass'!$O$5</f>
        <v>6.2160122389158845</v>
      </c>
      <c r="Z76" s="16">
        <f>Forces!AZ76/'Reduced Mass'!$O$6</f>
        <v>5.4078941045523301</v>
      </c>
      <c r="AA76" s="16">
        <f>Forces!BA76/'Reduced Mass'!$O$7</f>
        <v>4.689575530438411</v>
      </c>
      <c r="AB76" s="16">
        <f>Forces!BB76/'Reduced Mass'!$O$8</f>
        <v>4.0590830981093919</v>
      </c>
      <c r="AC76" s="16">
        <f>Forces!BC76/'Reduced Mass'!$O$9</f>
        <v>3.4161396600309564</v>
      </c>
    </row>
    <row r="77" spans="1:29" x14ac:dyDescent="0.25">
      <c r="K77" s="41">
        <v>12500</v>
      </c>
      <c r="L77" s="16">
        <v>106</v>
      </c>
      <c r="M77" s="30">
        <v>79.044200000000004</v>
      </c>
      <c r="N77" s="16">
        <v>79044.2</v>
      </c>
      <c r="O77" s="23">
        <v>44.536960000000001</v>
      </c>
      <c r="Q77" s="16">
        <f>Forces!AJ77/'Reduced Mass'!$O$4</f>
        <v>7.1101104217051878</v>
      </c>
      <c r="R77" s="16">
        <f>Forces!AK77/'Reduced Mass'!$O$5</f>
        <v>6.2818890276596582</v>
      </c>
      <c r="S77" s="16">
        <f>Forces!AL77/'Reduced Mass'!$O$6</f>
        <v>5.5042805200695346</v>
      </c>
      <c r="T77" s="16">
        <f>Forces!AM77/'Reduced Mass'!$O$7</f>
        <v>4.8199451432580522</v>
      </c>
      <c r="U77" s="16">
        <f>Forces!AN77/'Reduced Mass'!$O$8</f>
        <v>4.2257927727819711</v>
      </c>
      <c r="V77" s="16">
        <f>Forces!AO77/'Reduced Mass'!$O$9</f>
        <v>3.6270085462483364</v>
      </c>
      <c r="X77" s="16">
        <f>Forces!AX77/'Reduced Mass'!$O$4</f>
        <v>7.0785985980640289</v>
      </c>
      <c r="Y77" s="16">
        <f>Forces!AY77/'Reduced Mass'!$O$5</f>
        <v>6.2206744910459042</v>
      </c>
      <c r="Z77" s="16">
        <f>Forces!AZ77/'Reduced Mass'!$O$6</f>
        <v>5.4089714008455516</v>
      </c>
      <c r="AA77" s="16">
        <f>Forces!BA77/'Reduced Mass'!$O$7</f>
        <v>4.6869429664843922</v>
      </c>
      <c r="AB77" s="16">
        <f>Forces!BB77/'Reduced Mass'!$O$8</f>
        <v>4.0526978278763695</v>
      </c>
      <c r="AC77" s="16">
        <f>Forces!BC77/'Reduced Mass'!$O$9</f>
        <v>3.4053861863245309</v>
      </c>
    </row>
    <row r="78" spans="1:29" x14ac:dyDescent="0.25">
      <c r="K78" s="41">
        <v>12600</v>
      </c>
      <c r="L78" s="16">
        <v>107</v>
      </c>
      <c r="M78" s="30">
        <v>79.789900000000003</v>
      </c>
      <c r="N78" s="16">
        <v>79789.900000000009</v>
      </c>
      <c r="O78" s="23">
        <v>44.600317460317463</v>
      </c>
      <c r="Q78" s="16">
        <f>Forces!AJ78/'Reduced Mass'!$O$4</f>
        <v>7.1184343626069371</v>
      </c>
      <c r="R78" s="16">
        <f>Forces!AK78/'Reduced Mass'!$O$5</f>
        <v>6.2873467937451366</v>
      </c>
      <c r="S78" s="16">
        <f>Forces!AL78/'Reduced Mass'!$O$6</f>
        <v>5.5066945286901348</v>
      </c>
      <c r="T78" s="16">
        <f>Forces!AM78/'Reduced Mass'!$O$7</f>
        <v>4.8192435869194066</v>
      </c>
      <c r="U78" s="16">
        <f>Forces!AN78/'Reduced Mass'!$O$8</f>
        <v>4.2219675720830461</v>
      </c>
      <c r="V78" s="16">
        <f>Forces!AO78/'Reduced Mass'!$O$9</f>
        <v>3.6195737831919588</v>
      </c>
      <c r="X78" s="16">
        <f>Forces!AX78/'Reduced Mass'!$O$4</f>
        <v>7.0864163330308063</v>
      </c>
      <c r="Y78" s="16">
        <f>Forces!AY78/'Reduced Mass'!$O$5</f>
        <v>6.2251489068152193</v>
      </c>
      <c r="Z78" s="16">
        <f>Forces!AZ78/'Reduced Mass'!$O$6</f>
        <v>5.4098543637749383</v>
      </c>
      <c r="AA78" s="16">
        <f>Forces!BA78/'Reduced Mass'!$O$7</f>
        <v>4.684104863178054</v>
      </c>
      <c r="AB78" s="16">
        <f>Forces!BB78/'Reduced Mass'!$O$8</f>
        <v>4.0460920299824803</v>
      </c>
      <c r="AC78" s="16">
        <f>Forces!BC78/'Reduced Mass'!$O$9</f>
        <v>3.3943912816783373</v>
      </c>
    </row>
    <row r="79" spans="1:29" x14ac:dyDescent="0.25">
      <c r="K79" s="41">
        <v>12700</v>
      </c>
      <c r="L79" s="16">
        <v>108</v>
      </c>
      <c r="M79" s="30">
        <v>80.535600000000002</v>
      </c>
      <c r="N79" s="16">
        <v>80535.600000000006</v>
      </c>
      <c r="O79" s="23">
        <v>44.662677165354332</v>
      </c>
      <c r="Q79" s="16">
        <f>Forces!AJ79/'Reduced Mass'!$O$4</f>
        <v>7.1265806211363918</v>
      </c>
      <c r="R79" s="16">
        <f>Forces!AK79/'Reduced Mass'!$O$5</f>
        <v>6.2926280925216531</v>
      </c>
      <c r="S79" s="16">
        <f>Forces!AL79/'Reduced Mass'!$O$6</f>
        <v>5.5089295873629895</v>
      </c>
      <c r="T79" s="16">
        <f>Forces!AM79/'Reduced Mass'!$O$7</f>
        <v>4.8183564077382988</v>
      </c>
      <c r="U79" s="16">
        <f>Forces!AN79/'Reduced Mass'!$O$8</f>
        <v>4.2179466544177524</v>
      </c>
      <c r="V79" s="16">
        <f>Forces!AO79/'Reduced Mass'!$O$9</f>
        <v>3.61192838894334</v>
      </c>
      <c r="X79" s="16">
        <f>Forces!AX79/'Reduced Mass'!$O$4</f>
        <v>7.0940523521118628</v>
      </c>
      <c r="Y79" s="16">
        <f>Forces!AY79/'Reduced Mass'!$O$5</f>
        <v>6.229439019814885</v>
      </c>
      <c r="Z79" s="16">
        <f>Forces!AZ79/'Reduced Mass'!$O$6</f>
        <v>5.4105461771893184</v>
      </c>
      <c r="AA79" s="16">
        <f>Forces!BA79/'Reduced Mass'!$O$7</f>
        <v>4.6810641127506267</v>
      </c>
      <c r="AB79" s="16">
        <f>Forces!BB79/'Reduced Mass'!$O$8</f>
        <v>4.0392683589692746</v>
      </c>
      <c r="AC79" s="16">
        <f>Forces!BC79/'Reduced Mass'!$O$9</f>
        <v>3.3831573781778319</v>
      </c>
    </row>
    <row r="80" spans="1:29" x14ac:dyDescent="0.25">
      <c r="K80" s="41">
        <v>12800</v>
      </c>
      <c r="L80" s="16">
        <v>108.5</v>
      </c>
      <c r="M80" s="30">
        <v>80.908450000000002</v>
      </c>
      <c r="N80" s="16">
        <v>80908.45</v>
      </c>
      <c r="O80" s="23">
        <v>44.518906250000001</v>
      </c>
      <c r="Q80" s="16">
        <f>Forces!AJ80/'Reduced Mass'!$O$4</f>
        <v>7.1012373853435165</v>
      </c>
      <c r="R80" s="16">
        <f>Forces!AK80/'Reduced Mass'!$O$5</f>
        <v>6.2677048187777347</v>
      </c>
      <c r="S80" s="16">
        <f>Forces!AL80/'Reduced Mass'!$O$6</f>
        <v>5.4839296655418766</v>
      </c>
      <c r="T80" s="16">
        <f>Forces!AM80/'Reduced Mass'!$O$7</f>
        <v>4.792705712495037</v>
      </c>
      <c r="U80" s="16">
        <f>Forces!AN80/'Reduced Mass'!$O$8</f>
        <v>4.1911719898474455</v>
      </c>
      <c r="V80" s="16">
        <f>Forces!AO80/'Reduced Mass'!$O$9</f>
        <v>3.5834047433191962</v>
      </c>
      <c r="X80" s="16">
        <f>Forces!AX80/'Reduced Mass'!$O$4</f>
        <v>7.0681948433571637</v>
      </c>
      <c r="Y80" s="16">
        <f>Forces!AY80/'Reduced Mass'!$O$5</f>
        <v>6.2035167248334311</v>
      </c>
      <c r="Z80" s="16">
        <f>Forces!AZ80/'Reduced Mass'!$O$6</f>
        <v>5.3839908105424694</v>
      </c>
      <c r="AA80" s="16">
        <f>Forces!BA80/'Reduced Mass'!$O$7</f>
        <v>4.6532428219824187</v>
      </c>
      <c r="AB80" s="16">
        <f>Forces!BB80/'Reduced Mass'!$O$8</f>
        <v>4.0096687848981079</v>
      </c>
      <c r="AC80" s="16">
        <f>Forces!BC80/'Reduced Mass'!$O$9</f>
        <v>3.3510168556397315</v>
      </c>
    </row>
    <row r="81" spans="11:29" x14ac:dyDescent="0.25">
      <c r="K81" s="41">
        <v>12900</v>
      </c>
      <c r="L81" s="16">
        <v>109</v>
      </c>
      <c r="M81" s="30">
        <v>81.281300000000002</v>
      </c>
      <c r="N81" s="16">
        <v>81281.3</v>
      </c>
      <c r="O81" s="23">
        <v>44.377364341085269</v>
      </c>
      <c r="Q81" s="16">
        <f>Forces!AJ81/'Reduced Mass'!$O$4</f>
        <v>7.0762404655126598</v>
      </c>
      <c r="R81" s="16">
        <f>Forces!AK81/'Reduced Mass'!$O$5</f>
        <v>6.2430774230039754</v>
      </c>
      <c r="S81" s="16">
        <f>Forces!AL81/'Reduced Mass'!$O$6</f>
        <v>5.4591763880024979</v>
      </c>
      <c r="T81" s="16">
        <f>Forces!AM81/'Reduced Mass'!$O$7</f>
        <v>4.7672560072758658</v>
      </c>
      <c r="U81" s="16">
        <f>Forces!AN81/'Reduced Mass'!$O$8</f>
        <v>4.1645564485137276</v>
      </c>
      <c r="V81" s="16">
        <f>Forces!AO81/'Reduced Mass'!$O$9</f>
        <v>3.5549955703598606</v>
      </c>
      <c r="X81" s="16">
        <f>Forces!AX81/'Reduced Mass'!$O$4</f>
        <v>7.0426796170510571</v>
      </c>
      <c r="Y81" s="16">
        <f>Forces!AY81/'Reduced Mass'!$O$5</f>
        <v>6.1778824723614481</v>
      </c>
      <c r="Z81" s="16">
        <f>Forces!AZ81/'Reduced Mass'!$O$6</f>
        <v>5.3576698886100953</v>
      </c>
      <c r="AA81" s="16">
        <f>Forces!BA81/'Reduced Mass'!$O$7</f>
        <v>4.6256054969596745</v>
      </c>
      <c r="AB81" s="16">
        <f>Forces!BB81/'Reduced Mass'!$O$8</f>
        <v>3.9802061779105835</v>
      </c>
      <c r="AC81" s="16">
        <f>Forces!BC81/'Reduced Mass'!$O$9</f>
        <v>3.3189624381043701</v>
      </c>
    </row>
    <row r="82" spans="11:29" x14ac:dyDescent="0.25">
      <c r="K82" s="41">
        <v>13000</v>
      </c>
      <c r="L82" s="16">
        <v>109</v>
      </c>
      <c r="M82" s="30">
        <v>81.281300000000002</v>
      </c>
      <c r="N82" s="16">
        <v>81281.3</v>
      </c>
      <c r="O82" s="23">
        <v>44.036000000000001</v>
      </c>
      <c r="Q82" s="16">
        <f>Forces!AJ82/'Reduced Mass'!$O$4</f>
        <v>7.0187784468391472</v>
      </c>
      <c r="R82" s="16">
        <f>Forces!AK82/'Reduced Mass'!$O$5</f>
        <v>6.1891688705626295</v>
      </c>
      <c r="S82" s="16">
        <f>Forces!AL82/'Reduced Mass'!$O$6</f>
        <v>5.4080201494171201</v>
      </c>
      <c r="T82" s="16">
        <f>Forces!AM82/'Reduced Mass'!$O$7</f>
        <v>4.7177985984598587</v>
      </c>
      <c r="U82" s="16">
        <f>Forces!AN82/'Reduced Mass'!$O$8</f>
        <v>4.1158808584723294</v>
      </c>
      <c r="V82" s="16">
        <f>Forces!AO82/'Reduced Mass'!$O$9</f>
        <v>3.5063437108727813</v>
      </c>
      <c r="X82" s="16">
        <f>Forces!AX82/'Reduced Mass'!$O$4</f>
        <v>6.9846952583888688</v>
      </c>
      <c r="Y82" s="16">
        <f>Forces!AY82/'Reduced Mass'!$O$5</f>
        <v>6.1229592277611937</v>
      </c>
      <c r="Z82" s="16">
        <f>Forces!AZ82/'Reduced Mass'!$O$6</f>
        <v>5.3049338060644606</v>
      </c>
      <c r="AA82" s="16">
        <f>Forces!BA82/'Reduced Mass'!$O$7</f>
        <v>4.5739434440614675</v>
      </c>
      <c r="AB82" s="16">
        <f>Forces!BB82/'Reduced Mass'!$O$8</f>
        <v>3.9286613660624301</v>
      </c>
      <c r="AC82" s="16">
        <f>Forces!BC82/'Reduced Mass'!$O$9</f>
        <v>3.2666369663791928</v>
      </c>
    </row>
    <row r="83" spans="11:29" x14ac:dyDescent="0.25">
      <c r="K83" s="41">
        <v>13100</v>
      </c>
      <c r="L83" s="16">
        <v>109</v>
      </c>
      <c r="M83" s="30">
        <v>81.281300000000002</v>
      </c>
      <c r="N83" s="16">
        <v>81281.3</v>
      </c>
      <c r="O83" s="23">
        <v>43.699847328244275</v>
      </c>
      <c r="Q83" s="16">
        <f>Forces!AJ83/'Reduced Mass'!$O$4</f>
        <v>6.9621471029126143</v>
      </c>
      <c r="R83" s="16">
        <f>Forces!AK83/'Reduced Mass'!$O$5</f>
        <v>6.1359928092836835</v>
      </c>
      <c r="S83" s="16">
        <f>Forces!AL83/'Reduced Mass'!$O$6</f>
        <v>5.3575039538904825</v>
      </c>
      <c r="T83" s="16">
        <f>Forces!AM83/'Reduced Mass'!$O$7</f>
        <v>4.668899545953348</v>
      </c>
      <c r="U83" s="16">
        <f>Forces!AN83/'Reduced Mass'!$O$8</f>
        <v>4.0676923888352654</v>
      </c>
      <c r="V83" s="16">
        <f>Forces!AO83/'Reduced Mass'!$O$9</f>
        <v>3.4581068343744454</v>
      </c>
      <c r="X83" s="16">
        <f>Forces!AX83/'Reduced Mass'!$O$4</f>
        <v>6.9275375409602349</v>
      </c>
      <c r="Y83" s="16">
        <f>Forces!AY83/'Reduced Mass'!$O$5</f>
        <v>6.06876063886265</v>
      </c>
      <c r="Z83" s="16">
        <f>Forces!AZ83/'Reduced Mass'!$O$6</f>
        <v>5.2528255670103059</v>
      </c>
      <c r="AA83" s="16">
        <f>Forces!BA83/'Reduced Mass'!$O$7</f>
        <v>4.5228227231941291</v>
      </c>
      <c r="AB83" s="16">
        <f>Forces!BB83/'Reduced Mass'!$O$8</f>
        <v>3.8775815184656626</v>
      </c>
      <c r="AC83" s="16">
        <f>Forces!BC83/'Reduced Mass'!$O$9</f>
        <v>3.2146981099806902</v>
      </c>
    </row>
    <row r="84" spans="11:29" x14ac:dyDescent="0.25">
      <c r="K84" s="41">
        <v>13200</v>
      </c>
      <c r="L84" s="16">
        <v>109</v>
      </c>
      <c r="M84" s="30">
        <v>81.281300000000002</v>
      </c>
      <c r="N84" s="16">
        <v>81281.3</v>
      </c>
      <c r="O84" s="23">
        <v>43.368787878787877</v>
      </c>
      <c r="Q84" s="16">
        <f>Forces!AJ84/'Reduced Mass'!$O$4</f>
        <v>6.9063271989546884</v>
      </c>
      <c r="R84" s="16">
        <f>Forces!AK84/'Reduced Mass'!$O$5</f>
        <v>6.0835319004540818</v>
      </c>
      <c r="S84" s="16">
        <f>Forces!AL84/'Reduced Mass'!$O$6</f>
        <v>5.3076121788334669</v>
      </c>
      <c r="T84" s="16">
        <f>Forces!AM84/'Reduced Mass'!$O$7</f>
        <v>4.6205446580837366</v>
      </c>
      <c r="U84" s="16">
        <f>Forces!AN84/'Reduced Mass'!$O$8</f>
        <v>4.0199780142316275</v>
      </c>
      <c r="V84" s="16">
        <f>Forces!AO84/'Reduced Mass'!$O$9</f>
        <v>3.4102730070470715</v>
      </c>
      <c r="X84" s="16">
        <f>Forces!AX84/'Reduced Mass'!$O$4</f>
        <v>6.8711872299867807</v>
      </c>
      <c r="Y84" s="16">
        <f>Forces!AY84/'Reduced Mass'!$O$5</f>
        <v>6.0152693669527659</v>
      </c>
      <c r="Z84" s="16">
        <f>Forces!AZ84/'Reduced Mass'!$O$6</f>
        <v>5.2013295488585118</v>
      </c>
      <c r="AA84" s="16">
        <f>Forces!BA84/'Reduced Mass'!$O$7</f>
        <v>4.4722291426850633</v>
      </c>
      <c r="AB84" s="16">
        <f>Forces!BB84/'Reduced Mass'!$O$8</f>
        <v>3.8269536097493737</v>
      </c>
      <c r="AC84" s="16">
        <f>Forces!BC84/'Reduced Mass'!$O$9</f>
        <v>3.1631339350910785</v>
      </c>
    </row>
    <row r="85" spans="11:29" x14ac:dyDescent="0.25">
      <c r="K85" s="41">
        <v>13300</v>
      </c>
      <c r="L85" s="16">
        <v>109</v>
      </c>
      <c r="M85" s="30">
        <v>81.281300000000002</v>
      </c>
      <c r="N85" s="16">
        <v>81281.3</v>
      </c>
      <c r="O85" s="23">
        <v>43.042706766917291</v>
      </c>
      <c r="Q85" s="16">
        <f>Forces!AJ85/'Reduced Mass'!$O$4</f>
        <v>6.8513000786765792</v>
      </c>
      <c r="R85" s="16">
        <f>Forces!AK85/'Reduced Mass'!$O$5</f>
        <v>6.0317693268258283</v>
      </c>
      <c r="S85" s="16">
        <f>Forces!AL85/'Reduced Mass'!$O$6</f>
        <v>5.2583296715092471</v>
      </c>
      <c r="T85" s="16">
        <f>Forces!AM85/'Reduced Mass'!$O$7</f>
        <v>4.5727201699956463</v>
      </c>
      <c r="U85" s="16">
        <f>Forces!AN85/'Reduced Mass'!$O$8</f>
        <v>3.9727251010309819</v>
      </c>
      <c r="V85" s="16">
        <f>Forces!AO85/'Reduced Mass'!$O$9</f>
        <v>3.3628306539846999</v>
      </c>
      <c r="X85" s="16">
        <f>Forces!AX85/'Reduced Mass'!$O$4</f>
        <v>6.8156256691797177</v>
      </c>
      <c r="Y85" s="16">
        <f>Forces!AY85/'Reduced Mass'!$O$5</f>
        <v>5.9624685947835436</v>
      </c>
      <c r="Z85" s="16">
        <f>Forces!AZ85/'Reduced Mass'!$O$6</f>
        <v>5.1504305988722532</v>
      </c>
      <c r="AA85" s="16">
        <f>Forces!BA85/'Reduced Mass'!$O$7</f>
        <v>4.4221489376788927</v>
      </c>
      <c r="AB85" s="16">
        <f>Forces!BB85/'Reduced Mass'!$O$8</f>
        <v>3.7767650062831293</v>
      </c>
      <c r="AC85" s="16">
        <f>Forces!BC85/'Reduced Mass'!$O$9</f>
        <v>3.1119328668043988</v>
      </c>
    </row>
    <row r="86" spans="11:29" x14ac:dyDescent="0.25">
      <c r="K86" s="41">
        <v>13400</v>
      </c>
      <c r="L86" s="16">
        <v>109</v>
      </c>
      <c r="M86" s="30">
        <v>81.281300000000002</v>
      </c>
      <c r="N86" s="16">
        <v>81281.3</v>
      </c>
      <c r="O86" s="23">
        <v>42.721492537313431</v>
      </c>
      <c r="Q86" s="16">
        <f>Forces!AJ86/'Reduced Mass'!$O$4</f>
        <v>6.7970476426936326</v>
      </c>
      <c r="R86" s="16">
        <f>Forces!AK86/'Reduced Mass'!$O$5</f>
        <v>5.9806887731583336</v>
      </c>
      <c r="S86" s="16">
        <f>Forces!AL86/'Reduced Mass'!$O$6</f>
        <v>5.2096417315015078</v>
      </c>
      <c r="T86" s="16">
        <f>Forces!AM86/'Reduced Mass'!$O$7</f>
        <v>4.5254127277249072</v>
      </c>
      <c r="U86" s="16">
        <f>Forces!AN86/'Reduced Mass'!$O$8</f>
        <v>3.9259213927261993</v>
      </c>
      <c r="V86" s="16">
        <f>Forces!AO86/'Reduced Mass'!$O$9</f>
        <v>3.3157685458009416</v>
      </c>
      <c r="X86" s="16">
        <f>Forces!AX86/'Reduced Mass'!$O$4</f>
        <v>6.76083475915439</v>
      </c>
      <c r="Y86" s="16">
        <f>Forces!AY86/'Reduced Mass'!$O$5</f>
        <v>5.9103420071143944</v>
      </c>
      <c r="Z86" s="16">
        <f>Forces!AZ86/'Reduced Mass'!$O$6</f>
        <v>5.1001140166352146</v>
      </c>
      <c r="AA86" s="16">
        <f>Forces!BA86/'Reduced Mass'!$O$7</f>
        <v>4.3725687542114446</v>
      </c>
      <c r="AB86" s="16">
        <f>Forces!BB86/'Reduced Mass'!$O$8</f>
        <v>3.7270034515598005</v>
      </c>
      <c r="AC86" s="16">
        <f>Forces!BC86/'Reduced Mass'!$O$9</f>
        <v>3.0610836757342632</v>
      </c>
    </row>
    <row r="87" spans="11:29" x14ac:dyDescent="0.25">
      <c r="K87" s="41">
        <v>13500</v>
      </c>
      <c r="L87" s="16">
        <v>109</v>
      </c>
      <c r="M87" s="30">
        <v>81.281300000000002</v>
      </c>
      <c r="N87" s="16">
        <v>81281.3</v>
      </c>
      <c r="O87" s="23">
        <v>42.40503703703704</v>
      </c>
      <c r="Q87" s="16">
        <f>Forces!AJ87/'Reduced Mass'!$O$4</f>
        <v>6.7435523278992617</v>
      </c>
      <c r="R87" s="16">
        <f>Forces!AK87/'Reduced Mass'!$O$5</f>
        <v>5.9302744076255376</v>
      </c>
      <c r="S87" s="16">
        <f>Forces!AL87/'Reduced Mass'!$O$6</f>
        <v>5.1615340939618166</v>
      </c>
      <c r="T87" s="16">
        <f>Forces!AM87/'Reduced Mass'!$O$7</f>
        <v>4.4786093729803564</v>
      </c>
      <c r="U87" s="16">
        <f>Forces!AN87/'Reduced Mass'!$O$8</f>
        <v>3.879554995965909</v>
      </c>
      <c r="V87" s="16">
        <f>Forces!AO87/'Reduced Mass'!$O$9</f>
        <v>3.2690757858319777</v>
      </c>
      <c r="X87" s="16">
        <f>Forces!AX87/'Reduced Mass'!$O$4</f>
        <v>6.7067969368042135</v>
      </c>
      <c r="Y87" s="16">
        <f>Forces!AY87/'Reduced Mass'!$O$5</f>
        <v>5.8588737721192556</v>
      </c>
      <c r="Z87" s="16">
        <f>Forces!AZ87/'Reduced Mass'!$O$6</f>
        <v>5.0503655372989629</v>
      </c>
      <c r="AA87" s="16">
        <f>Forces!BA87/'Reduced Mass'!$O$7</f>
        <v>4.3234756339915581</v>
      </c>
      <c r="AB87" s="16">
        <f>Forces!BB87/'Reduced Mass'!$O$8</f>
        <v>3.6776570522280143</v>
      </c>
      <c r="AC87" s="16">
        <f>Forces!BC87/'Reduced Mass'!$O$9</f>
        <v>3.0105754652168502</v>
      </c>
    </row>
    <row r="88" spans="11:29" x14ac:dyDescent="0.25">
      <c r="K88" s="41">
        <v>13600</v>
      </c>
      <c r="L88" s="16">
        <v>109</v>
      </c>
      <c r="M88" s="30">
        <v>81.281300000000002</v>
      </c>
      <c r="N88" s="16">
        <v>81281.3</v>
      </c>
      <c r="O88" s="23">
        <v>42.093235294117648</v>
      </c>
      <c r="Q88" s="16">
        <f>Forces!AJ88/'Reduced Mass'!$O$4</f>
        <v>6.6907970877488401</v>
      </c>
      <c r="R88" s="16">
        <f>Forces!AK88/'Reduced Mass'!$O$5</f>
        <v>5.880510864043325</v>
      </c>
      <c r="S88" s="16">
        <f>Forces!AL88/'Reduced Mass'!$O$6</f>
        <v>5.1139929135961175</v>
      </c>
      <c r="T88" s="16">
        <f>Forces!AM88/'Reduced Mass'!$O$7</f>
        <v>4.4322975285970454</v>
      </c>
      <c r="U88" s="16">
        <f>Forces!AN88/'Reduced Mass'!$O$8</f>
        <v>3.8336143672031953</v>
      </c>
      <c r="V88" s="16">
        <f>Forces!AO88/'Reduced Mass'!$O$9</f>
        <v>3.2227417979040949</v>
      </c>
      <c r="X88" s="16">
        <f>Forces!AX88/'Reduced Mass'!$O$4</f>
        <v>6.653495155584559</v>
      </c>
      <c r="Y88" s="16">
        <f>Forces!AY88/'Reduced Mass'!$O$5</f>
        <v>5.8080485236140138</v>
      </c>
      <c r="Z88" s="16">
        <f>Forces!AZ88/'Reduced Mass'!$O$6</f>
        <v>5.0011713155694428</v>
      </c>
      <c r="AA88" s="16">
        <f>Forces!BA88/'Reduced Mass'!$O$7</f>
        <v>4.2748569998542854</v>
      </c>
      <c r="AB88" s="16">
        <f>Forces!BB88/'Reduced Mass'!$O$8</f>
        <v>3.6287142647408586</v>
      </c>
      <c r="AC88" s="16">
        <f>Forces!BC88/'Reduced Mass'!$O$9</f>
        <v>2.96039765907845</v>
      </c>
    </row>
    <row r="89" spans="11:29" x14ac:dyDescent="0.25">
      <c r="K89" s="41">
        <v>13700</v>
      </c>
      <c r="L89" s="16">
        <v>109</v>
      </c>
      <c r="M89" s="30">
        <v>81.281300000000002</v>
      </c>
      <c r="N89" s="16">
        <v>81281.3</v>
      </c>
      <c r="O89" s="23">
        <v>41.785985401459854</v>
      </c>
      <c r="Q89" s="16">
        <f>Forces!AJ89/'Reduced Mass'!$O$4</f>
        <v>6.6387653734070664</v>
      </c>
      <c r="R89" s="16">
        <f>Forces!AK89/'Reduced Mass'!$O$5</f>
        <v>5.8313832248752968</v>
      </c>
      <c r="S89" s="16">
        <f>Forces!AL89/'Reduced Mass'!$O$6</f>
        <v>5.0670047493525079</v>
      </c>
      <c r="T89" s="16">
        <f>Forces!AM89/'Reduced Mass'!$O$7</f>
        <v>4.3864649846265227</v>
      </c>
      <c r="U89" s="16">
        <f>Forces!AN89/'Reduced Mass'!$O$8</f>
        <v>3.7880882999290102</v>
      </c>
      <c r="V89" s="16">
        <f>Forces!AO89/'Reduced Mass'!$O$9</f>
        <v>3.1767563146369739</v>
      </c>
      <c r="X89" s="16">
        <f>Forces!AX89/'Reduced Mass'!$O$4</f>
        <v>6.6009128666601278</v>
      </c>
      <c r="Y89" s="16">
        <f>Forces!AY89/'Reduced Mass'!$O$5</f>
        <v>5.757851344062269</v>
      </c>
      <c r="Z89" s="16">
        <f>Forces!AZ89/'Reduced Mass'!$O$6</f>
        <v>4.9525179103947519</v>
      </c>
      <c r="AA89" s="16">
        <f>Forces!BA89/'Reduced Mass'!$O$7</f>
        <v>4.2267006418511723</v>
      </c>
      <c r="AB89" s="16">
        <f>Forces!BB89/'Reduced Mass'!$O$8</f>
        <v>3.5801638825892819</v>
      </c>
      <c r="AC89" s="16">
        <f>Forces!BC89/'Reduced Mass'!$O$9</f>
        <v>2.9105399899387394</v>
      </c>
    </row>
    <row r="90" spans="11:29" x14ac:dyDescent="0.25">
      <c r="K90" s="41">
        <v>13800</v>
      </c>
      <c r="L90" s="16">
        <v>109.5</v>
      </c>
      <c r="M90" s="30">
        <v>81.654150000000001</v>
      </c>
      <c r="N90" s="16">
        <v>81654.149999999994</v>
      </c>
      <c r="O90" s="23">
        <v>41.673478260869565</v>
      </c>
      <c r="Q90" s="16">
        <f>Forces!AJ90/'Reduced Mass'!$O$4</f>
        <v>6.6183425505716844</v>
      </c>
      <c r="R90" s="16">
        <f>Forces!AK90/'Reduced Mass'!$O$5</f>
        <v>5.8107323356466827</v>
      </c>
      <c r="S90" s="16">
        <f>Forces!AL90/'Reduced Mass'!$O$6</f>
        <v>5.0456548592470503</v>
      </c>
      <c r="T90" s="16">
        <f>Forces!AM90/'Reduced Mass'!$O$7</f>
        <v>4.3638993703129962</v>
      </c>
      <c r="U90" s="16">
        <f>Forces!AN90/'Reduced Mass'!$O$8</f>
        <v>3.7638916877888997</v>
      </c>
      <c r="V90" s="16">
        <f>Forces!AO90/'Reduced Mass'!$O$9</f>
        <v>3.1502815181544812</v>
      </c>
      <c r="X90" s="16">
        <f>Forces!AX90/'Reduced Mass'!$O$4</f>
        <v>6.5799354357286619</v>
      </c>
      <c r="Y90" s="16">
        <f>Forces!AY90/'Reduced Mass'!$O$5</f>
        <v>5.7361230789892517</v>
      </c>
      <c r="Z90" s="16">
        <f>Forces!AZ90/'Reduced Mass'!$O$6</f>
        <v>4.9294905797909525</v>
      </c>
      <c r="AA90" s="16">
        <f>Forces!BA90/'Reduced Mass'!$O$7</f>
        <v>4.2017941892264297</v>
      </c>
      <c r="AB90" s="16">
        <f>Forces!BB90/'Reduced Mass'!$O$8</f>
        <v>3.5529207994188332</v>
      </c>
      <c r="AC90" s="16">
        <f>Forces!BC90/'Reduced Mass'!$O$9</f>
        <v>2.8801646399215879</v>
      </c>
    </row>
    <row r="91" spans="11:29" x14ac:dyDescent="0.25">
      <c r="K91" s="41">
        <v>13900</v>
      </c>
      <c r="L91" s="16">
        <v>110</v>
      </c>
      <c r="M91" s="30">
        <v>82.027000000000001</v>
      </c>
      <c r="N91" s="16">
        <v>82027</v>
      </c>
      <c r="O91" s="23">
        <v>41.562589928057555</v>
      </c>
      <c r="Q91" s="16">
        <f>Forces!AJ91/'Reduced Mass'!$O$4</f>
        <v>6.5981669526870066</v>
      </c>
      <c r="R91" s="16">
        <f>Forces!AK91/'Reduced Mass'!$O$5</f>
        <v>5.7902880012581042</v>
      </c>
      <c r="S91" s="16">
        <f>Forces!AL91/'Reduced Mass'!$O$6</f>
        <v>5.0244711311777763</v>
      </c>
      <c r="T91" s="16">
        <f>Forces!AM91/'Reduced Mass'!$O$7</f>
        <v>4.3414616353714317</v>
      </c>
      <c r="U91" s="16">
        <f>Forces!AN91/'Reduced Mass'!$O$8</f>
        <v>3.7397870966213724</v>
      </c>
      <c r="V91" s="16">
        <f>Forces!AO91/'Reduced Mass'!$O$9</f>
        <v>3.1238597153818666</v>
      </c>
      <c r="X91" s="16">
        <f>Forces!AX91/'Reduced Mass'!$O$4</f>
        <v>6.5592011962344721</v>
      </c>
      <c r="Y91" s="16">
        <f>Forces!AY91/'Reduced Mass'!$O$5</f>
        <v>5.7145935332955844</v>
      </c>
      <c r="Z91" s="16">
        <f>Forces!AZ91/'Reduced Mass'!$O$6</f>
        <v>4.9066172116560756</v>
      </c>
      <c r="AA91" s="16">
        <f>Forces!BA91/'Reduced Mass'!$O$7</f>
        <v>4.1769985916950221</v>
      </c>
      <c r="AB91" s="16">
        <f>Forces!BB91/'Reduced Mass'!$O$8</f>
        <v>3.5257475810680194</v>
      </c>
      <c r="AC91" s="16">
        <f>Forces!BC91/'Reduced Mass'!$O$9</f>
        <v>2.849813915952244</v>
      </c>
    </row>
    <row r="92" spans="11:29" x14ac:dyDescent="0.25">
      <c r="K92" s="41">
        <v>14000</v>
      </c>
      <c r="L92" s="16">
        <v>111</v>
      </c>
      <c r="M92" s="30">
        <v>82.7727</v>
      </c>
      <c r="N92" s="16">
        <v>82772.7</v>
      </c>
      <c r="O92" s="23">
        <v>41.640857142857143</v>
      </c>
      <c r="Q92" s="16">
        <f>Forces!AJ92/'Reduced Mass'!$O$4</f>
        <v>6.608692932387755</v>
      </c>
      <c r="R92" s="16">
        <f>Forces!AK92/'Reduced Mass'!$O$5</f>
        <v>5.7975025412181607</v>
      </c>
      <c r="S92" s="16">
        <f>Forces!AL92/'Reduced Mass'!$O$6</f>
        <v>5.02818875206236</v>
      </c>
      <c r="T92" s="16">
        <f>Forces!AM92/'Reduced Mass'!$O$7</f>
        <v>4.3416214019362878</v>
      </c>
      <c r="U92" s="16">
        <f>Forces!AN92/'Reduced Mass'!$O$8</f>
        <v>3.7363975474595237</v>
      </c>
      <c r="V92" s="16">
        <f>Forces!AO92/'Reduced Mass'!$O$9</f>
        <v>3.1163856753616024</v>
      </c>
      <c r="X92" s="16">
        <f>Forces!AX92/'Reduced Mass'!$O$4</f>
        <v>6.5691645008122848</v>
      </c>
      <c r="Y92" s="16">
        <f>Forces!AY92/'Reduced Mass'!$O$5</f>
        <v>5.7207150264898674</v>
      </c>
      <c r="Z92" s="16">
        <f>Forces!AZ92/'Reduced Mass'!$O$6</f>
        <v>4.9086329929077959</v>
      </c>
      <c r="AA92" s="16">
        <f>Forces!BA92/'Reduced Mass'!$O$7</f>
        <v>4.1747834713914074</v>
      </c>
      <c r="AB92" s="16">
        <f>Forces!BB92/'Reduced Mass'!$O$8</f>
        <v>3.5192672485699368</v>
      </c>
      <c r="AC92" s="16">
        <f>Forces!BC92/'Reduced Mass'!$O$9</f>
        <v>2.8383825870731809</v>
      </c>
    </row>
    <row r="93" spans="11:29" x14ac:dyDescent="0.25">
      <c r="K93" s="41">
        <v>14100</v>
      </c>
      <c r="L93" s="16">
        <v>111.5</v>
      </c>
      <c r="M93" s="30">
        <v>83.14555</v>
      </c>
      <c r="N93" s="16">
        <v>83145.55</v>
      </c>
      <c r="O93" s="23">
        <v>41.531773049645388</v>
      </c>
      <c r="Q93" s="16">
        <f>Forces!AJ93/'Reduced Mass'!$O$4</f>
        <v>6.5887790164846018</v>
      </c>
      <c r="R93" s="16">
        <f>Forces!AK93/'Reduced Mass'!$O$5</f>
        <v>5.7772614936516726</v>
      </c>
      <c r="S93" s="16">
        <f>Forces!AL93/'Reduced Mass'!$O$6</f>
        <v>5.0071482927249686</v>
      </c>
      <c r="T93" s="16">
        <f>Forces!AM93/'Reduced Mass'!$O$7</f>
        <v>4.3192676865042872</v>
      </c>
      <c r="U93" s="16">
        <f>Forces!AN93/'Reduced Mass'!$O$8</f>
        <v>3.7123193728965433</v>
      </c>
      <c r="V93" s="16">
        <f>Forces!AO93/'Reduced Mass'!$O$9</f>
        <v>3.0899254439990078</v>
      </c>
      <c r="X93" s="16">
        <f>Forces!AX93/'Reduced Mass'!$O$4</f>
        <v>6.5486838762727695</v>
      </c>
      <c r="Y93" s="16">
        <f>Forces!AY93/'Reduced Mass'!$O$5</f>
        <v>5.6993730966969176</v>
      </c>
      <c r="Z93" s="16">
        <f>Forces!AZ93/'Reduced Mass'!$O$6</f>
        <v>4.8858784943702807</v>
      </c>
      <c r="AA93" s="16">
        <f>Forces!BA93/'Reduced Mass'!$O$7</f>
        <v>4.1500378448123092</v>
      </c>
      <c r="AB93" s="16">
        <f>Forces!BB93/'Reduced Mass'!$O$8</f>
        <v>3.4920761345177733</v>
      </c>
      <c r="AC93" s="16">
        <f>Forces!BC93/'Reduced Mass'!$O$9</f>
        <v>2.8079366991897166</v>
      </c>
    </row>
    <row r="94" spans="11:29" x14ac:dyDescent="0.25">
      <c r="K94" s="41">
        <v>14200</v>
      </c>
      <c r="L94" s="16">
        <v>112</v>
      </c>
      <c r="M94" s="30">
        <v>83.5184</v>
      </c>
      <c r="N94" s="16">
        <v>83518.399999999994</v>
      </c>
      <c r="O94" s="23">
        <v>41.424225352112678</v>
      </c>
      <c r="Q94" s="16">
        <f>Forces!AJ94/'Reduced Mass'!$O$4</f>
        <v>6.5690989425164616</v>
      </c>
      <c r="R94" s="16">
        <f>Forces!AK94/'Reduced Mass'!$O$5</f>
        <v>5.7572149371382393</v>
      </c>
      <c r="S94" s="16">
        <f>Forces!AL94/'Reduced Mass'!$O$6</f>
        <v>4.9862631256673522</v>
      </c>
      <c r="T94" s="16">
        <f>Forces!AM94/'Reduced Mass'!$O$7</f>
        <v>4.2970319762791629</v>
      </c>
      <c r="U94" s="16">
        <f>Forces!AN94/'Reduced Mass'!$O$8</f>
        <v>3.6883241566208409</v>
      </c>
      <c r="V94" s="16">
        <f>Forces!AO94/'Reduced Mass'!$O$9</f>
        <v>3.0635099031328381</v>
      </c>
      <c r="X94" s="16">
        <f>Forces!AX94/'Reduced Mass'!$O$4</f>
        <v>6.528433060154839</v>
      </c>
      <c r="Y94" s="16">
        <f>Forces!AY94/'Reduced Mass'!$O$5</f>
        <v>5.6782178224963369</v>
      </c>
      <c r="Z94" s="16">
        <f>Forces!AZ94/'Reduced Mass'!$O$6</f>
        <v>4.8632670885452782</v>
      </c>
      <c r="AA94" s="16">
        <f>Forces!BA94/'Reduced Mass'!$O$7</f>
        <v>4.1253931991614605</v>
      </c>
      <c r="AB94" s="16">
        <f>Forces!BB94/'Reduced Mass'!$O$8</f>
        <v>3.4649458225999403</v>
      </c>
      <c r="AC94" s="16">
        <f>Forces!BC94/'Reduced Mass'!$O$9</f>
        <v>2.7775071341406061</v>
      </c>
    </row>
    <row r="95" spans="11:29" x14ac:dyDescent="0.25">
      <c r="K95" s="41">
        <v>14300</v>
      </c>
      <c r="L95" s="16">
        <v>112</v>
      </c>
      <c r="M95" s="30">
        <v>83.5184</v>
      </c>
      <c r="N95" s="16">
        <v>83518.399999999994</v>
      </c>
      <c r="O95" s="23">
        <v>41.134545454545453</v>
      </c>
      <c r="Q95" s="16">
        <f>Forces!AJ95/'Reduced Mass'!$O$4</f>
        <v>6.5198265111649656</v>
      </c>
      <c r="R95" s="16">
        <f>Forces!AK95/'Reduced Mass'!$O$5</f>
        <v>5.7104767853690905</v>
      </c>
      <c r="S95" s="16">
        <f>Forces!AL95/'Reduced Mass'!$O$6</f>
        <v>4.9413082534307797</v>
      </c>
      <c r="T95" s="16">
        <f>Forces!AM95/'Reduced Mass'!$O$7</f>
        <v>4.2529081089093834</v>
      </c>
      <c r="U95" s="16">
        <f>Forces!AN95/'Reduced Mass'!$O$8</f>
        <v>3.6442142492764233</v>
      </c>
      <c r="V95" s="16">
        <f>Forces!AO95/'Reduced Mass'!$O$9</f>
        <v>3.0186340083678007</v>
      </c>
      <c r="X95" s="16">
        <f>Forces!AX95/'Reduced Mass'!$O$4</f>
        <v>6.4785858531401281</v>
      </c>
      <c r="Y95" s="16">
        <f>Forces!AY95/'Reduced Mass'!$O$5</f>
        <v>5.6303631175793525</v>
      </c>
      <c r="Z95" s="16">
        <f>Forces!AZ95/'Reduced Mass'!$O$6</f>
        <v>4.8165737779740612</v>
      </c>
      <c r="AA95" s="16">
        <f>Forces!BA95/'Reduced Mass'!$O$7</f>
        <v>4.0788433720873289</v>
      </c>
      <c r="AB95" s="16">
        <f>Forces!BB95/'Reduced Mass'!$O$8</f>
        <v>3.4176786634604452</v>
      </c>
      <c r="AC95" s="16">
        <f>Forces!BC95/'Reduced Mass'!$O$9</f>
        <v>2.7285888475305589</v>
      </c>
    </row>
    <row r="96" spans="11:29" x14ac:dyDescent="0.25">
      <c r="K96" s="41">
        <v>14400</v>
      </c>
      <c r="L96" s="16">
        <v>112</v>
      </c>
      <c r="M96" s="30">
        <v>83.5184</v>
      </c>
      <c r="N96" s="16">
        <v>83518.399999999994</v>
      </c>
      <c r="O96" s="23">
        <v>40.848888888888887</v>
      </c>
      <c r="Q96" s="16">
        <f>Forces!AJ96/'Reduced Mass'!$O$4</f>
        <v>6.4711917787902786</v>
      </c>
      <c r="R96" s="16">
        <f>Forces!AK96/'Reduced Mass'!$O$5</f>
        <v>5.6642971715490305</v>
      </c>
      <c r="S96" s="16">
        <f>Forces!AL96/'Reduced Mass'!$O$6</f>
        <v>4.8968366883077508</v>
      </c>
      <c r="T96" s="16">
        <f>Forces!AM96/'Reduced Mass'!$O$7</f>
        <v>4.2092002177864316</v>
      </c>
      <c r="U96" s="16">
        <f>Forces!AN96/'Reduced Mass'!$O$8</f>
        <v>3.6004607833685518</v>
      </c>
      <c r="V96" s="16">
        <f>Forces!AO96/'Reduced Mass'!$O$9</f>
        <v>2.9740533687925996</v>
      </c>
      <c r="X96" s="16">
        <f>Forces!AX96/'Reduced Mass'!$O$4</f>
        <v>6.4293723115888017</v>
      </c>
      <c r="Y96" s="16">
        <f>Forces!AY96/'Reduced Mass'!$O$5</f>
        <v>5.5830591151507694</v>
      </c>
      <c r="Z96" s="16">
        <f>Forces!AZ96/'Reduced Mass'!$O$6</f>
        <v>4.7703515749491254</v>
      </c>
      <c r="AA96" s="16">
        <f>Forces!BA96/'Reduced Mass'!$O$7</f>
        <v>4.0326924969814</v>
      </c>
      <c r="AB96" s="16">
        <f>Forces!BB96/'Reduced Mass'!$O$8</f>
        <v>3.370745789604547</v>
      </c>
      <c r="AC96" s="16">
        <f>Forces!BC96/'Reduced Mass'!$O$9</f>
        <v>2.679937448448277</v>
      </c>
    </row>
    <row r="97" spans="11:29" x14ac:dyDescent="0.25">
      <c r="K97" s="41">
        <v>14500</v>
      </c>
      <c r="L97" s="16">
        <v>112</v>
      </c>
      <c r="M97" s="30">
        <v>83.5184</v>
      </c>
      <c r="N97" s="16">
        <v>83518.399999999994</v>
      </c>
      <c r="O97" s="23">
        <v>40.567172413793102</v>
      </c>
      <c r="Q97" s="16">
        <f>Forces!AJ97/'Reduced Mass'!$O$4</f>
        <v>6.4231812277135472</v>
      </c>
      <c r="R97" s="16">
        <f>Forces!AK97/'Reduced Mass'!$O$5</f>
        <v>5.6186639105023133</v>
      </c>
      <c r="S97" s="16">
        <f>Forces!AL97/'Reduced Mass'!$O$6</f>
        <v>4.8528374511677193</v>
      </c>
      <c r="T97" s="16">
        <f>Forces!AM97/'Reduced Mass'!$O$7</f>
        <v>4.16589832938896</v>
      </c>
      <c r="U97" s="16">
        <f>Forces!AN97/'Reduced Mass'!$O$8</f>
        <v>3.5570546050209724</v>
      </c>
      <c r="V97" s="16">
        <f>Forces!AO97/'Reduced Mass'!$O$9</f>
        <v>2.9297595976448179</v>
      </c>
      <c r="X97" s="16">
        <f>Forces!AX97/'Reduced Mass'!$O$4</f>
        <v>6.3807789178220027</v>
      </c>
      <c r="Y97" s="16">
        <f>Forces!AY97/'Reduced Mass'!$O$5</f>
        <v>5.5362936300348453</v>
      </c>
      <c r="Z97" s="16">
        <f>Forces!AZ97/'Reduced Mass'!$O$6</f>
        <v>4.7245895003399285</v>
      </c>
      <c r="AA97" s="16">
        <f>Forces!BA97/'Reduced Mass'!$O$7</f>
        <v>3.9869306003223222</v>
      </c>
      <c r="AB97" s="16">
        <f>Forces!BB97/'Reduced Mass'!$O$8</f>
        <v>3.3241380471559943</v>
      </c>
      <c r="AC97" s="16">
        <f>Forces!BC97/'Reduced Mass'!$O$9</f>
        <v>2.6315445501313444</v>
      </c>
    </row>
    <row r="98" spans="11:29" x14ac:dyDescent="0.25">
      <c r="K98" s="41">
        <v>14600</v>
      </c>
      <c r="L98" s="16">
        <v>112</v>
      </c>
      <c r="M98" s="30">
        <v>83.5184</v>
      </c>
      <c r="N98" s="16">
        <v>83518.399999999994</v>
      </c>
      <c r="O98" s="23">
        <v>40.289315068493153</v>
      </c>
      <c r="Q98" s="16">
        <f>Forces!AJ98/'Reduced Mass'!$O$4</f>
        <v>6.3757817106032801</v>
      </c>
      <c r="R98" s="16">
        <f>Forces!AK98/'Reduced Mass'!$O$5</f>
        <v>5.5735651508936339</v>
      </c>
      <c r="S98" s="16">
        <f>Forces!AL98/'Reduced Mass'!$O$6</f>
        <v>4.8092998636782394</v>
      </c>
      <c r="T98" s="16">
        <f>Forces!AM98/'Reduced Mass'!$O$7</f>
        <v>4.1229927434427847</v>
      </c>
      <c r="U98" s="16">
        <f>Forces!AN98/'Reduced Mass'!$O$8</f>
        <v>3.5139868111485639</v>
      </c>
      <c r="V98" s="16">
        <f>Forces!AO98/'Reduced Mass'!$O$9</f>
        <v>2.8857445379363602</v>
      </c>
      <c r="X98" s="16">
        <f>Forces!AX98/'Reduced Mass'!$O$4</f>
        <v>6.3327925245082426</v>
      </c>
      <c r="Y98" s="16">
        <f>Forces!AY98/'Reduced Mass'!$O$5</f>
        <v>5.4900548108962708</v>
      </c>
      <c r="Z98" s="16">
        <f>Forces!AZ98/'Reduced Mass'!$O$6</f>
        <v>4.6792768758140211</v>
      </c>
      <c r="AA98" s="16">
        <f>Forces!BA98/'Reduced Mass'!$O$7</f>
        <v>3.9415479818359143</v>
      </c>
      <c r="AB98" s="16">
        <f>Forces!BB98/'Reduced Mass'!$O$8</f>
        <v>3.2778465330296638</v>
      </c>
      <c r="AC98" s="16">
        <f>Forces!BC98/'Reduced Mass'!$O$9</f>
        <v>2.5834019955916663</v>
      </c>
    </row>
    <row r="99" spans="11:29" x14ac:dyDescent="0.25">
      <c r="K99" s="41">
        <v>14700</v>
      </c>
      <c r="L99" s="16">
        <v>111.5</v>
      </c>
      <c r="M99" s="30">
        <v>83.14555</v>
      </c>
      <c r="N99" s="16">
        <v>83145.55</v>
      </c>
      <c r="O99" s="23">
        <v>39.836598639455779</v>
      </c>
      <c r="Q99" s="16">
        <f>Forces!AJ99/'Reduced Mass'!$O$4</f>
        <v>6.299970927604913</v>
      </c>
      <c r="R99" s="16">
        <f>Forces!AK99/'Reduced Mass'!$O$5</f>
        <v>5.5028394616120364</v>
      </c>
      <c r="S99" s="16">
        <f>Forces!AL99/'Reduced Mass'!$O$6</f>
        <v>4.7426518597936571</v>
      </c>
      <c r="T99" s="16">
        <f>Forces!AM99/'Reduced Mass'!$O$7</f>
        <v>4.059070425199593</v>
      </c>
      <c r="U99" s="16">
        <f>Forces!AN99/'Reduced Mass'!$O$8</f>
        <v>3.4516041355168272</v>
      </c>
      <c r="V99" s="16">
        <f>Forces!AO99/'Reduced Mass'!$O$9</f>
        <v>2.8240019079573226</v>
      </c>
      <c r="X99" s="16">
        <f>Forces!AX99/'Reduced Mass'!$O$4</f>
        <v>6.2563908317929569</v>
      </c>
      <c r="Y99" s="16">
        <f>Forces!AY99/'Reduced Mass'!$O$5</f>
        <v>5.4181812266240916</v>
      </c>
      <c r="Z99" s="16">
        <f>Forces!AZ99/'Reduced Mass'!$O$6</f>
        <v>4.61084163532575</v>
      </c>
      <c r="AA99" s="16">
        <f>Forces!BA99/'Reduced Mass'!$O$7</f>
        <v>3.8751316067738624</v>
      </c>
      <c r="AB99" s="16">
        <f>Forces!BB99/'Reduced Mass'!$O$8</f>
        <v>3.2122179809910567</v>
      </c>
      <c r="AC99" s="16">
        <f>Forces!BC99/'Reduced Mass'!$O$9</f>
        <v>2.5175035031193373</v>
      </c>
    </row>
    <row r="100" spans="11:29" x14ac:dyDescent="0.25">
      <c r="K100" s="41">
        <v>14800</v>
      </c>
      <c r="L100" s="16">
        <v>111</v>
      </c>
      <c r="M100" s="30">
        <v>82.7727</v>
      </c>
      <c r="N100" s="16">
        <v>82772.7</v>
      </c>
      <c r="O100" s="23">
        <v>39.39</v>
      </c>
      <c r="Q100" s="16">
        <f>Forces!AJ100/'Reduced Mass'!$O$4</f>
        <v>6.225137965484512</v>
      </c>
      <c r="R100" s="16">
        <f>Forces!AK100/'Reduced Mass'!$O$5</f>
        <v>5.4329789047165988</v>
      </c>
      <c r="S100" s="16">
        <f>Forces!AL100/'Reduced Mass'!$O$6</f>
        <v>4.6767634118367294</v>
      </c>
      <c r="T100" s="16">
        <f>Forces!AM100/'Reduced Mass'!$O$7</f>
        <v>3.9958150296176953</v>
      </c>
      <c r="U100" s="16">
        <f>Forces!AN100/'Reduced Mass'!$O$8</f>
        <v>3.3898082244286654</v>
      </c>
      <c r="V100" s="16">
        <f>Forces!AO100/'Reduced Mass'!$O$9</f>
        <v>2.7627655547204695</v>
      </c>
      <c r="X100" s="16">
        <f>Forces!AX100/'Reduced Mass'!$O$4</f>
        <v>6.1809629264422101</v>
      </c>
      <c r="Y100" s="16">
        <f>Forces!AY100/'Reduced Mass'!$O$5</f>
        <v>5.3471649392773868</v>
      </c>
      <c r="Z100" s="16">
        <f>Forces!AZ100/'Reduced Mass'!$O$6</f>
        <v>4.5431537511978739</v>
      </c>
      <c r="AA100" s="16">
        <f>Forces!BA100/'Reduced Mass'!$O$7</f>
        <v>3.8093651300944775</v>
      </c>
      <c r="AB100" s="16">
        <f>Forces!BB100/'Reduced Mass'!$O$8</f>
        <v>3.1471540373430775</v>
      </c>
      <c r="AC100" s="16">
        <f>Forces!BC100/'Reduced Mass'!$O$9</f>
        <v>2.4520829197271232</v>
      </c>
    </row>
    <row r="101" spans="11:29" x14ac:dyDescent="0.25">
      <c r="K101" s="41">
        <v>14900</v>
      </c>
      <c r="L101" s="16">
        <v>110.5</v>
      </c>
      <c r="M101" s="30">
        <v>82.399850000000001</v>
      </c>
      <c r="N101" s="16">
        <v>82399.850000000006</v>
      </c>
      <c r="O101" s="23">
        <v>38.94939597315436</v>
      </c>
      <c r="Q101" s="16">
        <f>Forces!AJ101/'Reduced Mass'!$O$4</f>
        <v>6.1512628213619633</v>
      </c>
      <c r="R101" s="16">
        <f>Forces!AK101/'Reduced Mass'!$O$5</f>
        <v>5.3639654491080373</v>
      </c>
      <c r="S101" s="16">
        <f>Forces!AL101/'Reduced Mass'!$O$6</f>
        <v>4.6116182733620157</v>
      </c>
      <c r="T101" s="16">
        <f>Forces!AM101/'Reduced Mass'!$O$7</f>
        <v>3.9332117983089154</v>
      </c>
      <c r="U101" s="16">
        <f>Forces!AN101/'Reduced Mass'!$O$8</f>
        <v>3.3285855323714739</v>
      </c>
      <c r="V101" s="16">
        <f>Forces!AO101/'Reduced Mass'!$O$9</f>
        <v>2.7020230678552783</v>
      </c>
      <c r="X101" s="16">
        <f>Forces!AX101/'Reduced Mass'!$O$4</f>
        <v>6.106488805575891</v>
      </c>
      <c r="Y101" s="16">
        <f>Forces!AY101/'Reduced Mass'!$O$5</f>
        <v>5.2769879177568715</v>
      </c>
      <c r="Z101" s="16">
        <f>Forces!AZ101/'Reduced Mass'!$O$6</f>
        <v>4.4761969769849506</v>
      </c>
      <c r="AA101" s="16">
        <f>Forces!BA101/'Reduced Mass'!$O$7</f>
        <v>3.7442337934095842</v>
      </c>
      <c r="AB101" s="16">
        <f>Forces!BB101/'Reduced Mass'!$O$8</f>
        <v>3.0826411565731204</v>
      </c>
      <c r="AC101" s="16">
        <f>Forces!BC101/'Reduced Mass'!$O$9</f>
        <v>2.3871278350444998</v>
      </c>
    </row>
    <row r="102" spans="11:29" x14ac:dyDescent="0.25">
      <c r="K102" s="41">
        <v>15000</v>
      </c>
      <c r="L102" s="16">
        <v>110</v>
      </c>
      <c r="M102" s="30">
        <v>82.027000000000001</v>
      </c>
      <c r="N102" s="16">
        <v>82027</v>
      </c>
      <c r="O102" s="23">
        <v>38.514666666666663</v>
      </c>
      <c r="Q102" s="16">
        <f>Forces!AJ102/'Reduced Mass'!$O$4</f>
        <v>6.0783260257672787</v>
      </c>
      <c r="R102" s="16">
        <f>Forces!AK102/'Reduced Mass'!$O$5</f>
        <v>5.2957815445163696</v>
      </c>
      <c r="S102" s="16">
        <f>Forces!AL102/'Reduced Mass'!$O$6</f>
        <v>4.5472006311626121</v>
      </c>
      <c r="T102" s="16">
        <f>Forces!AM102/'Reduced Mass'!$O$7</f>
        <v>3.8712463664420951</v>
      </c>
      <c r="U102" s="16">
        <f>Forces!AN102/'Reduced Mass'!$O$8</f>
        <v>3.2679228750463216</v>
      </c>
      <c r="V102" s="16">
        <f>Forces!AO102/'Reduced Mass'!$O$9</f>
        <v>2.64176236793445</v>
      </c>
      <c r="X102" s="16">
        <f>Forces!AX102/'Reduced Mass'!$O$4</f>
        <v>6.0329489997240096</v>
      </c>
      <c r="Y102" s="16">
        <f>Forces!AY102/'Reduced Mass'!$O$5</f>
        <v>5.2076326117925635</v>
      </c>
      <c r="Z102" s="16">
        <f>Forces!AZ102/'Reduced Mass'!$O$6</f>
        <v>4.4099554994800769</v>
      </c>
      <c r="AA102" s="16">
        <f>Forces!BA102/'Reduced Mass'!$O$7</f>
        <v>3.6797232318880231</v>
      </c>
      <c r="AB102" s="16">
        <f>Forces!BB102/'Reduced Mass'!$O$8</f>
        <v>3.0186661543822542</v>
      </c>
      <c r="AC102" s="16">
        <f>Forces!BC102/'Reduced Mass'!$O$9</f>
        <v>2.3226261696441699</v>
      </c>
    </row>
    <row r="103" spans="11:29" x14ac:dyDescent="0.25">
      <c r="K103" s="111">
        <v>15100</v>
      </c>
      <c r="L103" s="16">
        <v>109</v>
      </c>
      <c r="M103" s="16">
        <v>81.281300000000002</v>
      </c>
      <c r="N103" s="16">
        <v>81281.3</v>
      </c>
      <c r="O103" s="16">
        <v>37.911788079470199</v>
      </c>
      <c r="Q103" s="16">
        <f>Forces!AJ103/'Reduced Mass'!$O$4</f>
        <v>5.9780675785527473</v>
      </c>
      <c r="R103" s="16">
        <f>Forces!AK103/'Reduced Mass'!$O$5</f>
        <v>5.2029529159611654</v>
      </c>
      <c r="S103" s="16">
        <f>Forces!AL103/'Reduced Mass'!$O$6</f>
        <v>4.4605575630624585</v>
      </c>
      <c r="T103" s="16">
        <f>Forces!AM103/'Reduced Mass'!$O$7</f>
        <v>3.7890681340240269</v>
      </c>
      <c r="U103" s="16">
        <f>Forces!AN103/'Reduced Mass'!$O$8</f>
        <v>3.1886831988953173</v>
      </c>
      <c r="V103" s="16">
        <f>Forces!AO103/'Reduced Mass'!$O$9</f>
        <v>2.5644501262303656</v>
      </c>
      <c r="X103" s="16">
        <f>Forces!AX103/'Reduced Mass'!$O$4</f>
        <v>5.932083508738855</v>
      </c>
      <c r="Y103" s="16">
        <f>Forces!AY103/'Reduced Mass'!$O$5</f>
        <v>5.1136247464040316</v>
      </c>
      <c r="Z103" s="16">
        <f>Forces!AZ103/'Reduced Mass'!$O$6</f>
        <v>4.3214763965071921</v>
      </c>
      <c r="AA103" s="16">
        <f>Forces!BA103/'Reduced Mass'!$O$7</f>
        <v>3.5949828455365878</v>
      </c>
      <c r="AB103" s="16">
        <f>Forces!BB103/'Reduced Mass'!$O$8</f>
        <v>2.9360919772125884</v>
      </c>
      <c r="AC103" s="16">
        <f>Forces!BC103/'Reduced Mass'!$O$9</f>
        <v>2.2410445947985131</v>
      </c>
    </row>
    <row r="104" spans="11:29" x14ac:dyDescent="0.25">
      <c r="K104" s="111">
        <v>15200</v>
      </c>
      <c r="L104" s="16">
        <v>108</v>
      </c>
      <c r="M104" s="16">
        <v>80.535600000000002</v>
      </c>
      <c r="N104" s="16">
        <v>80535.600000000006</v>
      </c>
      <c r="O104" s="16">
        <v>37.316842105263156</v>
      </c>
      <c r="Q104" s="16">
        <f>Forces!AJ104/'Reduced Mass'!$O$4</f>
        <v>5.8790816639195098</v>
      </c>
      <c r="R104" s="16">
        <f>Forces!AK104/'Reduced Mass'!$O$5</f>
        <v>5.1112550803346251</v>
      </c>
      <c r="S104" s="16">
        <f>Forces!AL104/'Reduced Mass'!$O$6</f>
        <v>4.3749134173002719</v>
      </c>
      <c r="T104" s="16">
        <f>Forces!AM104/'Reduced Mass'!$O$7</f>
        <v>3.7077742664401923</v>
      </c>
      <c r="U104" s="16">
        <f>Forces!AN104/'Reduced Mass'!$O$8</f>
        <v>3.1102298596028644</v>
      </c>
      <c r="V104" s="16">
        <f>Forces!AO104/'Reduced Mass'!$O$9</f>
        <v>2.4878270090089885</v>
      </c>
      <c r="X104" s="16">
        <f>Forces!AX104/'Reduced Mass'!$O$4</f>
        <v>5.8324865168215672</v>
      </c>
      <c r="Y104" s="16">
        <f>Forces!AY104/'Reduced Mass'!$O$5</f>
        <v>5.0207398384834772</v>
      </c>
      <c r="Z104" s="16">
        <f>Forces!AZ104/'Reduced Mass'!$O$6</f>
        <v>4.2339840163050146</v>
      </c>
      <c r="AA104" s="16">
        <f>Forces!BA104/'Reduced Mass'!$O$7</f>
        <v>3.5111097997407579</v>
      </c>
      <c r="AB104" s="16">
        <f>Forces!BB104/'Reduced Mass'!$O$8</f>
        <v>2.8542819807485258</v>
      </c>
      <c r="AC104" s="16">
        <f>Forces!BC104/'Reduced Mass'!$O$9</f>
        <v>2.1601237767734935</v>
      </c>
    </row>
    <row r="105" spans="11:29" x14ac:dyDescent="0.25">
      <c r="K105" s="111">
        <v>15300</v>
      </c>
      <c r="L105" s="16">
        <v>107</v>
      </c>
      <c r="M105" s="16">
        <v>79.789900000000003</v>
      </c>
      <c r="N105" s="16">
        <v>79789.900000000009</v>
      </c>
      <c r="O105" s="16">
        <v>36.729673202614379</v>
      </c>
      <c r="Q105" s="16">
        <f>Forces!AJ105/'Reduced Mass'!$O$4</f>
        <v>5.781343023277711</v>
      </c>
      <c r="R105" s="16">
        <f>Forces!AK105/'Reduced Mass'!$O$5</f>
        <v>5.0206652689085063</v>
      </c>
      <c r="S105" s="16">
        <f>Forces!AL105/'Reduced Mass'!$O$6</f>
        <v>4.2902476787152564</v>
      </c>
      <c r="T105" s="16">
        <f>Forces!AM105/'Reduced Mass'!$O$7</f>
        <v>3.6273461275706076</v>
      </c>
      <c r="U105" s="16">
        <f>Forces!AN105/'Reduced Mass'!$O$8</f>
        <v>3.0325457526047561</v>
      </c>
      <c r="V105" s="16">
        <f>Forces!AO105/'Reduced Mass'!$O$9</f>
        <v>2.4118773451041173</v>
      </c>
      <c r="X105" s="16">
        <f>Forces!AX105/'Reduced Mass'!$O$4</f>
        <v>5.7341327653822933</v>
      </c>
      <c r="Y105" s="16">
        <f>Forces!AY105/'Reduced Mass'!$O$5</f>
        <v>4.9289551193026577</v>
      </c>
      <c r="Z105" s="16">
        <f>Forces!AZ105/'Reduced Mass'!$O$6</f>
        <v>4.1474578437127461</v>
      </c>
      <c r="AA105" s="16">
        <f>Forces!BA105/'Reduced Mass'!$O$7</f>
        <v>3.4280854583805507</v>
      </c>
      <c r="AB105" s="16">
        <f>Forces!BB105/'Reduced Mass'!$O$8</f>
        <v>2.77321906042586</v>
      </c>
      <c r="AC105" s="16">
        <f>Forces!BC105/'Reduced Mass'!$O$9</f>
        <v>2.079848044402909</v>
      </c>
    </row>
    <row r="106" spans="11:29" x14ac:dyDescent="0.25">
      <c r="K106" s="111">
        <v>15400</v>
      </c>
      <c r="L106" s="16">
        <v>106.5</v>
      </c>
      <c r="M106" s="16">
        <v>79.417050000000003</v>
      </c>
      <c r="N106" s="16">
        <v>79417.05</v>
      </c>
      <c r="O106" s="16">
        <v>36.320649350649347</v>
      </c>
      <c r="Q106" s="16">
        <f>Forces!AJ106/'Reduced Mass'!$O$4</f>
        <v>5.712517950275009</v>
      </c>
      <c r="R106" s="16">
        <f>Forces!AK106/'Reduced Mass'!$O$5</f>
        <v>4.9561225746901014</v>
      </c>
      <c r="S106" s="16">
        <f>Forces!AL106/'Reduced Mass'!$O$6</f>
        <v>4.2290310579116399</v>
      </c>
      <c r="T106" s="16">
        <f>Forces!AM106/'Reduced Mass'!$O$7</f>
        <v>3.5681962729399261</v>
      </c>
      <c r="U106" s="16">
        <f>Forces!AN106/'Reduced Mass'!$O$8</f>
        <v>2.9743658864118281</v>
      </c>
      <c r="V106" s="16">
        <f>Forces!AO106/'Reduced Mass'!$O$9</f>
        <v>2.3537661104061809</v>
      </c>
      <c r="X106" s="16">
        <f>Forces!AX106/'Reduced Mass'!$O$4</f>
        <v>5.6646885480686899</v>
      </c>
      <c r="Y106" s="16">
        <f>Forces!AY106/'Reduced Mass'!$O$5</f>
        <v>4.8632096818688666</v>
      </c>
      <c r="Z106" s="16">
        <f>Forces!AZ106/'Reduced Mass'!$O$6</f>
        <v>4.0843685893346171</v>
      </c>
      <c r="AA106" s="16">
        <f>Forces!BA106/'Reduced Mass'!$O$7</f>
        <v>3.3663223769806212</v>
      </c>
      <c r="AB106" s="16">
        <f>Forces!BB106/'Reduced Mass'!$O$8</f>
        <v>2.7116382247554274</v>
      </c>
      <c r="AC106" s="16">
        <f>Forces!BC106/'Reduced Mass'!$O$9</f>
        <v>2.0173823735771905</v>
      </c>
    </row>
    <row r="107" spans="11:29" x14ac:dyDescent="0.25">
      <c r="K107" s="111">
        <v>15500</v>
      </c>
      <c r="L107" s="16">
        <v>106</v>
      </c>
      <c r="M107" s="16">
        <v>79.044200000000004</v>
      </c>
      <c r="N107" s="16">
        <v>79044.2</v>
      </c>
      <c r="O107" s="16">
        <v>35.91690322580645</v>
      </c>
      <c r="Q107" s="16">
        <f>Forces!AJ107/'Reduced Mass'!$O$4</f>
        <v>5.6445342792363196</v>
      </c>
      <c r="R107" s="16">
        <f>Forces!AK107/'Reduced Mass'!$O$5</f>
        <v>4.8923220414173567</v>
      </c>
      <c r="S107" s="16">
        <f>Forces!AL107/'Reduced Mass'!$O$6</f>
        <v>4.1684631928693987</v>
      </c>
      <c r="T107" s="16">
        <f>Forces!AM107/'Reduced Mass'!$O$7</f>
        <v>3.5096126893006332</v>
      </c>
      <c r="U107" s="16">
        <f>Forces!AN107/'Reduced Mass'!$O$8</f>
        <v>2.9166804048598163</v>
      </c>
      <c r="V107" s="16">
        <f>Forces!AO107/'Reduced Mass'!$O$9</f>
        <v>2.2960765141754562</v>
      </c>
      <c r="X107" s="16">
        <f>Forces!AX107/'Reduced Mass'!$O$4</f>
        <v>5.5960816992056737</v>
      </c>
      <c r="Y107" s="16">
        <f>Forces!AY107/'Reduced Mass'!$O$5</f>
        <v>4.7981985699200482</v>
      </c>
      <c r="Z107" s="16">
        <f>Forces!AZ107/'Reduced Mass'!$O$6</f>
        <v>4.021915891150603</v>
      </c>
      <c r="AA107" s="16">
        <f>Forces!BA107/'Reduced Mass'!$O$7</f>
        <v>3.3051085422934521</v>
      </c>
      <c r="AB107" s="16">
        <f>Forces!BB107/'Reduced Mass'!$O$8</f>
        <v>2.6505296175729618</v>
      </c>
      <c r="AC107" s="16">
        <f>Forces!BC107/'Reduced Mass'!$O$9</f>
        <v>1.9553099735566126</v>
      </c>
    </row>
    <row r="108" spans="11:29" x14ac:dyDescent="0.25">
      <c r="K108" s="111">
        <v>15600</v>
      </c>
      <c r="L108" s="16">
        <v>105.5</v>
      </c>
      <c r="M108" s="16">
        <v>78.671350000000004</v>
      </c>
      <c r="N108" s="16">
        <v>78671.350000000006</v>
      </c>
      <c r="O108" s="16">
        <v>35.518333333333331</v>
      </c>
      <c r="Q108" s="16">
        <f>Forces!AJ108/'Reduced Mass'!$O$4</f>
        <v>5.5773755282873072</v>
      </c>
      <c r="R108" s="16">
        <f>Forces!AK108/'Reduced Mass'!$O$5</f>
        <v>4.8292488119141668</v>
      </c>
      <c r="S108" s="16">
        <f>Forces!AL108/'Reduced Mass'!$O$6</f>
        <v>4.1085306969226867</v>
      </c>
      <c r="T108" s="16">
        <f>Forces!AM108/'Reduced Mass'!$O$7</f>
        <v>3.451583216108955</v>
      </c>
      <c r="U108" s="16">
        <f>Forces!AN108/'Reduced Mass'!$O$8</f>
        <v>2.8594781467841708</v>
      </c>
      <c r="V108" s="16">
        <f>Forces!AO108/'Reduced Mass'!$O$9</f>
        <v>2.2387983305761634</v>
      </c>
      <c r="X108" s="16">
        <f>Forces!AX108/'Reduced Mass'!$O$4</f>
        <v>5.5282957369189072</v>
      </c>
      <c r="Y108" s="16">
        <f>Forces!AY108/'Reduced Mass'!$O$5</f>
        <v>4.7339069262800972</v>
      </c>
      <c r="Z108" s="16">
        <f>Forces!AZ108/'Reduced Mass'!$O$6</f>
        <v>3.9600863624948559</v>
      </c>
      <c r="AA108" s="16">
        <f>Forces!BA108/'Reduced Mass'!$O$7</f>
        <v>3.24443179377527</v>
      </c>
      <c r="AB108" s="16">
        <f>Forces!BB108/'Reduced Mass'!$O$8</f>
        <v>2.5898820777139155</v>
      </c>
      <c r="AC108" s="16">
        <f>Forces!BC108/'Reduced Mass'!$O$9</f>
        <v>1.8936206185053959</v>
      </c>
    </row>
    <row r="109" spans="11:29" x14ac:dyDescent="0.25">
      <c r="K109" s="111">
        <v>15700</v>
      </c>
      <c r="L109" s="16">
        <v>105</v>
      </c>
      <c r="M109" s="16">
        <v>78.298500000000004</v>
      </c>
      <c r="N109" s="16">
        <v>78298.5</v>
      </c>
      <c r="O109" s="16">
        <v>35.124840764331211</v>
      </c>
      <c r="Q109" s="16">
        <f>Forces!AJ109/'Reduced Mass'!$O$4</f>
        <v>5.5110256354740041</v>
      </c>
      <c r="R109" s="16">
        <f>Forces!AK109/'Reduced Mass'!$O$5</f>
        <v>4.7668884075312041</v>
      </c>
      <c r="S109" s="16">
        <f>Forces!AL109/'Reduced Mass'!$O$6</f>
        <v>4.0492205244672022</v>
      </c>
      <c r="T109" s="16">
        <f>Forces!AM109/'Reduced Mass'!$O$7</f>
        <v>3.3940960026438867</v>
      </c>
      <c r="U109" s="16">
        <f>Forces!AN109/'Reduced Mass'!$O$8</f>
        <v>2.8027482353812241</v>
      </c>
      <c r="V109" s="16">
        <f>Forces!AO109/'Reduced Mass'!$O$9</f>
        <v>2.1819215943033656</v>
      </c>
      <c r="X109" s="16">
        <f>Forces!AX109/'Reduced Mass'!$O$4</f>
        <v>5.4613145992544228</v>
      </c>
      <c r="Y109" s="16">
        <f>Forces!AY109/'Reduced Mass'!$O$5</f>
        <v>4.6703202722996879</v>
      </c>
      <c r="Z109" s="16">
        <f>Forces!AZ109/'Reduced Mass'!$O$6</f>
        <v>3.8988669577630768</v>
      </c>
      <c r="AA109" s="16">
        <f>Forces!BA109/'Reduced Mass'!$O$7</f>
        <v>3.1842802807050736</v>
      </c>
      <c r="AB109" s="16">
        <f>Forces!BB109/'Reduced Mass'!$O$8</f>
        <v>2.5296847283746198</v>
      </c>
      <c r="AC109" s="16">
        <f>Forces!BC109/'Reduced Mass'!$O$9</f>
        <v>1.8323043431186052</v>
      </c>
    </row>
    <row r="110" spans="11:29" ht="15.75" thickBot="1" x14ac:dyDescent="0.3">
      <c r="K110" s="36">
        <v>15800</v>
      </c>
      <c r="L110" s="18">
        <v>105</v>
      </c>
      <c r="M110" s="18">
        <v>78.298500000000004</v>
      </c>
      <c r="N110" s="18">
        <v>78298.5</v>
      </c>
      <c r="O110" s="18">
        <v>34.902531645569617</v>
      </c>
      <c r="Q110" s="18">
        <f>Forces!AJ110/'Reduced Mass'!$O$4</f>
        <v>5.4724588062983521</v>
      </c>
      <c r="R110" s="18">
        <f>Forces!AK110/'Reduced Mass'!$O$5</f>
        <v>4.7295560556125453</v>
      </c>
      <c r="S110" s="18">
        <f>Forces!AL110/'Reduced Mass'!$O$6</f>
        <v>4.0124412684403472</v>
      </c>
      <c r="T110" s="18">
        <f>Forces!AM110/'Reduced Mass'!$O$7</f>
        <v>3.3570529726887193</v>
      </c>
      <c r="U110" s="18">
        <f>Forces!AN110/'Reduced Mass'!$O$8</f>
        <v>2.764757012217637</v>
      </c>
      <c r="V110" s="18">
        <f>Forces!AO110/'Reduced Mass'!$O$9</f>
        <v>2.1421818895665314</v>
      </c>
      <c r="X110" s="18">
        <f>Forces!AX110/'Reduced Mass'!$O$4</f>
        <v>5.4221124917141656</v>
      </c>
      <c r="Y110" s="18">
        <f>Forces!AY110/'Reduced Mass'!$O$5</f>
        <v>4.631753835322896</v>
      </c>
      <c r="Z110" s="18">
        <f>Forces!AZ110/'Reduced Mass'!$O$6</f>
        <v>3.8601662698926664</v>
      </c>
      <c r="AA110" s="18">
        <f>Forces!BA110/'Reduced Mass'!$O$7</f>
        <v>3.1445559268661483</v>
      </c>
      <c r="AB110" s="18">
        <f>Forces!BB110/'Reduced Mass'!$O$8</f>
        <v>2.4882039111217362</v>
      </c>
      <c r="AC110" s="18">
        <f>Forces!BC110/'Reduced Mass'!$O$9</f>
        <v>1.7880967316057064</v>
      </c>
    </row>
  </sheetData>
  <mergeCells count="5">
    <mergeCell ref="B10:B11"/>
    <mergeCell ref="B16:C16"/>
    <mergeCell ref="Q2:V2"/>
    <mergeCell ref="X2:AC2"/>
    <mergeCell ref="G6:H6"/>
  </mergeCells>
  <dataValidations disablePrompts="1" count="3">
    <dataValidation type="list" allowBlank="1" showInputMessage="1" showErrorMessage="1" sqref="C10" xr:uid="{59634BEC-6984-4BDA-A3D1-4AA2CC737414}">
      <formula1>$A$2:$A$41</formula1>
    </dataValidation>
    <dataValidation type="list" allowBlank="1" showInputMessage="1" showErrorMessage="1" sqref="C13" xr:uid="{49FE83BF-0C51-4A0B-B3F8-841B6FB25BF8}">
      <formula1>$A$42:$A$47</formula1>
    </dataValidation>
    <dataValidation type="list" allowBlank="1" showInputMessage="1" showErrorMessage="1" sqref="C14" xr:uid="{8BC9F369-8E69-4D73-A396-3FF357B004D8}">
      <formula1>$K$4:$K$103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2439D-A137-47AA-838D-C4EC4B9B65D6}">
  <sheetPr>
    <tabColor rgb="FF0070C0"/>
  </sheetPr>
  <dimension ref="A1:AG2354"/>
  <sheetViews>
    <sheetView zoomScaleNormal="100" workbookViewId="0">
      <pane ySplit="3" topLeftCell="A4" activePane="bottomLeft" state="frozen"/>
      <selection activeCell="S1" sqref="S1"/>
      <selection pane="bottomLeft" activeCell="C21" sqref="C21"/>
    </sheetView>
  </sheetViews>
  <sheetFormatPr defaultRowHeight="15" x14ac:dyDescent="0.25"/>
  <cols>
    <col min="1" max="1" width="1.42578125" style="48" customWidth="1"/>
    <col min="2" max="2" width="35.5703125" bestFit="1" customWidth="1"/>
    <col min="3" max="4" width="12.7109375" bestFit="1" customWidth="1"/>
    <col min="6" max="6" width="1.42578125" customWidth="1"/>
    <col min="14" max="14" width="1.42578125" customWidth="1"/>
    <col min="15" max="15" width="11.85546875" customWidth="1"/>
    <col min="16" max="16" width="15" customWidth="1"/>
    <col min="18" max="18" width="12.28515625" customWidth="1"/>
    <col min="19" max="19" width="11.5703125" customWidth="1"/>
    <col min="22" max="22" width="1.42578125" customWidth="1"/>
    <col min="23" max="24" width="12.85546875" customWidth="1"/>
    <col min="25" max="25" width="1.42578125" customWidth="1"/>
    <col min="26" max="26" width="11.42578125" customWidth="1"/>
    <col min="28" max="28" width="2.140625" customWidth="1"/>
    <col min="32" max="32" width="16.42578125" bestFit="1" customWidth="1"/>
    <col min="33" max="33" width="19.28515625" bestFit="1" customWidth="1"/>
  </cols>
  <sheetData>
    <row r="1" spans="1:33" ht="15.75" thickBot="1" x14ac:dyDescent="0.3"/>
    <row r="2" spans="1:33" ht="15.75" thickBot="1" x14ac:dyDescent="0.3">
      <c r="B2" s="26" t="s">
        <v>1</v>
      </c>
      <c r="C2" s="5" t="s">
        <v>2</v>
      </c>
      <c r="D2" s="27" t="s">
        <v>3</v>
      </c>
      <c r="G2" s="174" t="s">
        <v>156</v>
      </c>
      <c r="H2" s="175"/>
      <c r="I2" s="175"/>
      <c r="J2" s="175"/>
      <c r="K2" s="175"/>
      <c r="L2" s="175"/>
      <c r="M2" s="176"/>
      <c r="O2" s="174" t="s">
        <v>161</v>
      </c>
      <c r="P2" s="175"/>
      <c r="Q2" s="175"/>
      <c r="R2" s="175"/>
      <c r="S2" s="175"/>
      <c r="T2" s="175"/>
      <c r="U2" s="176"/>
      <c r="W2" s="177" t="s">
        <v>159</v>
      </c>
      <c r="X2" s="178"/>
      <c r="Z2" s="177" t="s">
        <v>160</v>
      </c>
      <c r="AA2" s="178"/>
      <c r="AC2" s="169" t="s">
        <v>165</v>
      </c>
      <c r="AD2" s="170"/>
      <c r="AE2" s="170"/>
      <c r="AF2" s="170"/>
      <c r="AG2" s="171"/>
    </row>
    <row r="3" spans="1:33" ht="15.75" thickBot="1" x14ac:dyDescent="0.3">
      <c r="B3" s="40" t="s">
        <v>152</v>
      </c>
      <c r="C3" s="16">
        <f>'Gearing Calculator'!U9</f>
        <v>266.2</v>
      </c>
      <c r="D3" s="21" t="s">
        <v>78</v>
      </c>
      <c r="G3" s="26" t="s">
        <v>15</v>
      </c>
      <c r="H3" s="5" t="s">
        <v>100</v>
      </c>
      <c r="I3" s="28" t="s">
        <v>101</v>
      </c>
      <c r="J3" s="5" t="s">
        <v>102</v>
      </c>
      <c r="K3" s="28" t="s">
        <v>103</v>
      </c>
      <c r="L3" s="5" t="s">
        <v>104</v>
      </c>
      <c r="M3" s="27" t="s">
        <v>105</v>
      </c>
      <c r="O3" s="26" t="s">
        <v>15</v>
      </c>
      <c r="P3" s="5" t="s">
        <v>100</v>
      </c>
      <c r="Q3" s="28" t="s">
        <v>101</v>
      </c>
      <c r="R3" s="5" t="s">
        <v>102</v>
      </c>
      <c r="S3" s="28" t="s">
        <v>103</v>
      </c>
      <c r="T3" s="5" t="s">
        <v>104</v>
      </c>
      <c r="U3" s="27" t="s">
        <v>105</v>
      </c>
      <c r="W3" s="69" t="s">
        <v>157</v>
      </c>
      <c r="X3" s="70" t="s">
        <v>158</v>
      </c>
      <c r="Z3" s="69" t="s">
        <v>157</v>
      </c>
      <c r="AA3" s="70" t="s">
        <v>158</v>
      </c>
      <c r="AC3" s="66" t="s">
        <v>158</v>
      </c>
      <c r="AD3" s="5" t="s">
        <v>162</v>
      </c>
      <c r="AE3" s="67" t="s">
        <v>157</v>
      </c>
      <c r="AF3" s="5" t="s">
        <v>163</v>
      </c>
      <c r="AG3" s="68" t="s">
        <v>164</v>
      </c>
    </row>
    <row r="4" spans="1:33" x14ac:dyDescent="0.25">
      <c r="B4" s="41" t="s">
        <v>116</v>
      </c>
      <c r="C4" s="16">
        <v>9.81</v>
      </c>
      <c r="D4" s="23" t="s">
        <v>123</v>
      </c>
      <c r="G4" s="40">
        <v>5100</v>
      </c>
      <c r="H4" s="16">
        <f>0.5*'Gearing Calculator'!$C$15*Braking!$C$11*Acceleration!$C$6*(Forces!H4^2)</f>
        <v>13.221284268153292</v>
      </c>
      <c r="I4" s="16">
        <f>0.5*'Gearing Calculator'!$C$15*Braking!$C$11*Acceleration!$C$6*(Forces!I4^2)</f>
        <v>22.058427398776598</v>
      </c>
      <c r="J4" s="16">
        <f>0.5*'Gearing Calculator'!$C$15*Braking!$C$11*Acceleration!$C$6*(Forces!J4^2)</f>
        <v>31.764135454238307</v>
      </c>
      <c r="K4" s="16">
        <f>0.5*'Gearing Calculator'!$C$15*Braking!$C$11*Acceleration!$C$6*(Forces!K4^2)</f>
        <v>42.289529450908972</v>
      </c>
      <c r="L4" s="16">
        <f>0.5*'Gearing Calculator'!$C$15*Braking!$C$11*Acceleration!$C$6*(Forces!L4^2)</f>
        <v>53.37594777975572</v>
      </c>
      <c r="M4" s="16">
        <f>0.5*'Gearing Calculator'!$C$15*Braking!$C$11*Acceleration!$C$6*(Forces!M4^2)</f>
        <v>66.71736075244344</v>
      </c>
      <c r="O4" s="40">
        <v>5100</v>
      </c>
      <c r="P4" s="22">
        <f>(-(($C$8-$C$9)/$C$10)-H4/($C$3*$C$4))*$C$4</f>
        <v>-8.8754695009217297</v>
      </c>
      <c r="Q4" s="22">
        <f t="shared" ref="Q4:U4" si="0">(-(($C$8-$C$9)/$C$10)-I4/($C$3*$C$4))*$C$4</f>
        <v>-8.908666883080345</v>
      </c>
      <c r="R4" s="22">
        <f t="shared" si="0"/>
        <v>-8.9451270936568346</v>
      </c>
      <c r="S4" s="22">
        <f t="shared" si="0"/>
        <v>-8.9846665151319307</v>
      </c>
      <c r="T4" s="22">
        <f t="shared" si="0"/>
        <v>-9.0263134660291762</v>
      </c>
      <c r="U4" s="22">
        <f t="shared" si="0"/>
        <v>-9.0764314711857796</v>
      </c>
      <c r="W4" s="55">
        <v>0</v>
      </c>
      <c r="X4" s="61">
        <v>0</v>
      </c>
      <c r="Z4" s="55">
        <v>0</v>
      </c>
      <c r="AA4" s="61">
        <v>0</v>
      </c>
      <c r="AC4" s="15">
        <v>0</v>
      </c>
      <c r="AD4" s="15">
        <v>0</v>
      </c>
      <c r="AE4" s="15">
        <v>0</v>
      </c>
      <c r="AF4" s="15">
        <v>0</v>
      </c>
      <c r="AG4" s="15">
        <v>0</v>
      </c>
    </row>
    <row r="5" spans="1:33" ht="15.75" thickBot="1" x14ac:dyDescent="0.3">
      <c r="A5" s="48">
        <v>1</v>
      </c>
      <c r="B5" s="42" t="s">
        <v>148</v>
      </c>
      <c r="C5" s="18">
        <f>C3*C4</f>
        <v>2611.422</v>
      </c>
      <c r="D5" s="19" t="s">
        <v>153</v>
      </c>
      <c r="G5" s="41">
        <v>5200</v>
      </c>
      <c r="H5" s="16">
        <f>0.5*'Gearing Calculator'!$C$15*Braking!$C$11*Acceleration!$C$6*(Forces!H5^2)</f>
        <v>13.734684729749487</v>
      </c>
      <c r="I5" s="16">
        <f>0.5*'Gearing Calculator'!$C$15*Braking!$C$11*Acceleration!$C$6*(Forces!I5^2)</f>
        <v>22.914986155016074</v>
      </c>
      <c r="J5" s="16">
        <f>0.5*'Gearing Calculator'!$C$15*Braking!$C$11*Acceleration!$C$6*(Forces!J5^2)</f>
        <v>32.99758006322314</v>
      </c>
      <c r="K5" s="16">
        <f>0.5*'Gearing Calculator'!$C$15*Braking!$C$11*Acceleration!$C$6*(Forces!K5^2)</f>
        <v>43.931689433285257</v>
      </c>
      <c r="L5" s="16">
        <f>0.5*'Gearing Calculator'!$C$15*Braking!$C$11*Acceleration!$C$6*(Forces!L5^2)</f>
        <v>55.448608473866031</v>
      </c>
      <c r="M5" s="16">
        <f>0.5*'Gearing Calculator'!$C$15*Braking!$C$11*Acceleration!$C$6*(Forces!M5^2)</f>
        <v>69.308086669235792</v>
      </c>
      <c r="O5" s="41">
        <v>5200</v>
      </c>
      <c r="P5" s="22">
        <f t="shared" ref="P5:P68" si="1">(-(($C$8-$C$9)/$C$10)-H5/($C$3*$C$4))*$C$4</f>
        <v>-8.8773981277496645</v>
      </c>
      <c r="Q5" s="22">
        <f t="shared" ref="Q5:Q68" si="2">(-(($C$8-$C$9)/$C$10)-I5/($C$3*$C$4))*$C$4</f>
        <v>-8.9118846094373669</v>
      </c>
      <c r="R5" s="22">
        <f t="shared" ref="R5:R68" si="3">(-(($C$8-$C$9)/$C$10)-J5/($C$3*$C$4))*$C$4</f>
        <v>-8.9497606196109469</v>
      </c>
      <c r="S5" s="22">
        <f t="shared" ref="S5:S68" si="4">(-(($C$8-$C$9)/$C$10)-K5/($C$3*$C$4))*$C$4</f>
        <v>-8.99083541063297</v>
      </c>
      <c r="T5" s="22">
        <f t="shared" ref="T5:T68" si="5">(-(($C$8-$C$9)/$C$10)-L5/($C$3*$C$4))*$C$4</f>
        <v>-9.0340995693128363</v>
      </c>
      <c r="U5" s="22">
        <f t="shared" ref="U5:U68" si="6">(-(($C$8-$C$9)/$C$10)-M5/($C$3*$C$4))*$C$4</f>
        <v>-9.0861637248176059</v>
      </c>
      <c r="W5" s="55">
        <v>1</v>
      </c>
      <c r="X5" s="61">
        <f>$C$16/100*W5</f>
        <v>23.494286968772109</v>
      </c>
      <c r="Z5" s="55">
        <v>1</v>
      </c>
      <c r="AA5" s="61">
        <f>$D$16/100*Z5</f>
        <v>23.494286968772109</v>
      </c>
      <c r="AC5" s="16">
        <v>1</v>
      </c>
      <c r="AD5" s="16">
        <f>($C$3*$C$4)*($C$9/$C$8)+(AC5*($C$10/$C$8))</f>
        <v>1369.9065579250739</v>
      </c>
      <c r="AE5" s="16">
        <f>(AC5/$X$104)*100</f>
        <v>4.2563539013938563E-2</v>
      </c>
      <c r="AF5" s="16">
        <f>'Gearing Calculator'!$C$17*Braking!AD5</f>
        <v>2054.859836887611</v>
      </c>
      <c r="AG5" s="16">
        <f>-(AF5/$C$3)</f>
        <v>-7.7192330461593199</v>
      </c>
    </row>
    <row r="6" spans="1:33" ht="15.75" thickBot="1" x14ac:dyDescent="0.3">
      <c r="A6" s="48">
        <v>2</v>
      </c>
      <c r="G6" s="41">
        <v>5300</v>
      </c>
      <c r="H6" s="16">
        <f>0.5*'Gearing Calculator'!$C$15*Braking!$C$11*Acceleration!$C$6*(Forces!H6^2)</f>
        <v>14.257864247757034</v>
      </c>
      <c r="I6" s="16">
        <f>0.5*'Gearing Calculator'!$C$15*Braking!$C$11*Acceleration!$C$6*(Forces!I6^2)</f>
        <v>23.7878603161363</v>
      </c>
      <c r="J6" s="16">
        <f>0.5*'Gearing Calculator'!$C$15*Braking!$C$11*Acceleration!$C$6*(Forces!J6^2)</f>
        <v>34.25451885523627</v>
      </c>
      <c r="K6" s="16">
        <f>0.5*'Gearing Calculator'!$C$15*Braking!$C$11*Acceleration!$C$6*(Forces!K6^2)</f>
        <v>45.605128653421062</v>
      </c>
      <c r="L6" s="16">
        <f>0.5*'Gearing Calculator'!$C$15*Braking!$C$11*Acceleration!$C$6*(Forces!L6^2)</f>
        <v>57.560748419292786</v>
      </c>
      <c r="M6" s="16">
        <f>0.5*'Gearing Calculator'!$C$15*Braking!$C$11*Acceleration!$C$6*(Forces!M6^2)</f>
        <v>71.948159746348011</v>
      </c>
      <c r="O6" s="41">
        <v>5300</v>
      </c>
      <c r="P6" s="22">
        <f t="shared" si="1"/>
        <v>-8.8793634903267016</v>
      </c>
      <c r="Q6" s="22">
        <f t="shared" si="2"/>
        <v>-8.915163625820238</v>
      </c>
      <c r="R6" s="22">
        <f t="shared" si="3"/>
        <v>-8.9544824032022809</v>
      </c>
      <c r="S6" s="22">
        <f t="shared" si="4"/>
        <v>-8.9971218089054545</v>
      </c>
      <c r="T6" s="22">
        <f t="shared" si="5"/>
        <v>-9.0420339793257103</v>
      </c>
      <c r="U6" s="22">
        <f t="shared" si="6"/>
        <v>-9.0960813547090869</v>
      </c>
      <c r="W6" s="55">
        <v>2</v>
      </c>
      <c r="X6" s="61">
        <f t="shared" ref="X6:X69" si="7">$C$16/100*W6</f>
        <v>46.988573937544217</v>
      </c>
      <c r="Z6" s="55">
        <v>2</v>
      </c>
      <c r="AA6" s="61">
        <f t="shared" ref="AA6:AA69" si="8">$D$16/100*Z6</f>
        <v>46.988573937544217</v>
      </c>
      <c r="AC6" s="16">
        <v>2</v>
      </c>
      <c r="AD6" s="16">
        <f>($C$3*$C$4)*($C$9/$C$8)+(AC6*($C$10/$C$8))</f>
        <v>1370.4352158501479</v>
      </c>
      <c r="AE6" s="16">
        <f t="shared" ref="AE6:AE69" si="9">(AC6/$X$104)*100</f>
        <v>8.5127078027877126E-2</v>
      </c>
      <c r="AF6" s="16">
        <f>'Gearing Calculator'!$C$17*Braking!AD6</f>
        <v>2055.6528237752218</v>
      </c>
      <c r="AG6" s="16">
        <f t="shared" ref="AG6:AG69" si="10">-(AF6/$C$3)</f>
        <v>-7.7222119600872343</v>
      </c>
    </row>
    <row r="7" spans="1:33" ht="15.75" thickBot="1" x14ac:dyDescent="0.3">
      <c r="A7" s="48">
        <v>3</v>
      </c>
      <c r="B7" s="26" t="s">
        <v>1</v>
      </c>
      <c r="C7" s="5" t="s">
        <v>32</v>
      </c>
      <c r="D7" s="5" t="s">
        <v>33</v>
      </c>
      <c r="E7" s="27" t="s">
        <v>3</v>
      </c>
      <c r="G7" s="41">
        <v>5400</v>
      </c>
      <c r="H7" s="16">
        <f>0.5*'Gearing Calculator'!$C$15*Braking!$C$11*Acceleration!$C$6*(Forces!H7^2)</f>
        <v>14.790822822175931</v>
      </c>
      <c r="I7" s="16">
        <f>0.5*'Gearing Calculator'!$C$15*Braking!$C$11*Acceleration!$C$6*(Forces!I7^2)</f>
        <v>24.677049882137283</v>
      </c>
      <c r="J7" s="16">
        <f>0.5*'Gearing Calculator'!$C$15*Braking!$C$11*Acceleration!$C$6*(Forces!J7^2)</f>
        <v>35.534951830277677</v>
      </c>
      <c r="K7" s="16">
        <f>0.5*'Gearing Calculator'!$C$15*Braking!$C$11*Acceleration!$C$6*(Forces!K7^2)</f>
        <v>47.309847111316444</v>
      </c>
      <c r="L7" s="16">
        <f>0.5*'Gearing Calculator'!$C$15*Braking!$C$11*Acceleration!$C$6*(Forces!L7^2)</f>
        <v>59.712367616035863</v>
      </c>
      <c r="M7" s="16">
        <f>0.5*'Gearing Calculator'!$C$15*Braking!$C$11*Acceleration!$C$6*(Forces!M7^2)</f>
        <v>74.637579983780114</v>
      </c>
      <c r="O7" s="41">
        <v>5400</v>
      </c>
      <c r="P7" s="22">
        <f t="shared" si="1"/>
        <v>-8.8813655886528426</v>
      </c>
      <c r="Q7" s="22">
        <f t="shared" si="2"/>
        <v>-8.9185039322289565</v>
      </c>
      <c r="R7" s="22">
        <f t="shared" si="3"/>
        <v>-8.9592924444308366</v>
      </c>
      <c r="S7" s="22">
        <f t="shared" si="4"/>
        <v>-9.0035257099493897</v>
      </c>
      <c r="T7" s="22">
        <f t="shared" si="5"/>
        <v>-9.0501166960677946</v>
      </c>
      <c r="U7" s="22">
        <f t="shared" si="6"/>
        <v>-9.1061843608602224</v>
      </c>
      <c r="W7" s="55">
        <v>3</v>
      </c>
      <c r="X7" s="61">
        <f t="shared" si="7"/>
        <v>70.482860906316319</v>
      </c>
      <c r="Z7" s="55">
        <v>3</v>
      </c>
      <c r="AA7" s="61">
        <f t="shared" si="8"/>
        <v>70.482860906316319</v>
      </c>
      <c r="AC7" s="16">
        <v>3</v>
      </c>
      <c r="AD7" s="16">
        <f t="shared" ref="AD7:AD70" si="11">($C$3*$C$4)*($C$9/$C$8)+(AC7*($C$10/$C$8))</f>
        <v>1370.9638737752216</v>
      </c>
      <c r="AE7" s="16">
        <f t="shared" si="9"/>
        <v>0.1276906170418157</v>
      </c>
      <c r="AF7" s="16">
        <f>'Gearing Calculator'!$C$17*Braking!AD7</f>
        <v>2056.4458106628326</v>
      </c>
      <c r="AG7" s="16">
        <f t="shared" si="10"/>
        <v>-7.7251908740151496</v>
      </c>
    </row>
    <row r="8" spans="1:33" x14ac:dyDescent="0.25">
      <c r="A8" s="48">
        <v>4</v>
      </c>
      <c r="B8" s="40" t="s">
        <v>143</v>
      </c>
      <c r="C8" s="143">
        <f>'Gearing Calculator'!C7</f>
        <v>1.38</v>
      </c>
      <c r="D8" s="145"/>
      <c r="E8" s="15" t="s">
        <v>122</v>
      </c>
      <c r="G8" s="41">
        <v>5500</v>
      </c>
      <c r="H8" s="16">
        <f>0.5*'Gearing Calculator'!$C$15*Braking!$C$11*Acceleration!$C$6*(Forces!H8^2)</f>
        <v>15.333560453006193</v>
      </c>
      <c r="I8" s="16">
        <f>0.5*'Gearing Calculator'!$C$15*Braking!$C$11*Acceleration!$C$6*(Forces!I8^2)</f>
        <v>25.582554853019015</v>
      </c>
      <c r="J8" s="16">
        <f>0.5*'Gearing Calculator'!$C$15*Braking!$C$11*Acceleration!$C$6*(Forces!J8^2)</f>
        <v>36.838878988347375</v>
      </c>
      <c r="K8" s="16">
        <f>0.5*'Gearing Calculator'!$C$15*Braking!$C$11*Acceleration!$C$6*(Forces!K8^2)</f>
        <v>49.045844806971353</v>
      </c>
      <c r="L8" s="16">
        <f>0.5*'Gearing Calculator'!$C$15*Braking!$C$11*Acceleration!$C$6*(Forces!L8^2)</f>
        <v>61.903466064095376</v>
      </c>
      <c r="M8" s="16">
        <f>0.5*'Gearing Calculator'!$C$15*Braking!$C$11*Acceleration!$C$6*(Forces!M8^2)</f>
        <v>77.376347381532028</v>
      </c>
      <c r="O8" s="41">
        <v>5500</v>
      </c>
      <c r="P8" s="22">
        <f t="shared" si="1"/>
        <v>-8.8834044227280877</v>
      </c>
      <c r="Q8" s="22">
        <f t="shared" si="2"/>
        <v>-8.9219055286635243</v>
      </c>
      <c r="R8" s="22">
        <f t="shared" si="3"/>
        <v>-8.9641907432966139</v>
      </c>
      <c r="S8" s="22">
        <f t="shared" si="4"/>
        <v>-9.010047113764772</v>
      </c>
      <c r="T8" s="22">
        <f t="shared" si="5"/>
        <v>-9.0583477195390927</v>
      </c>
      <c r="U8" s="22">
        <f t="shared" si="6"/>
        <v>-9.1164727432710109</v>
      </c>
      <c r="W8" s="55">
        <v>4</v>
      </c>
      <c r="X8" s="61">
        <f t="shared" si="7"/>
        <v>93.977147875088434</v>
      </c>
      <c r="Z8" s="55">
        <v>4</v>
      </c>
      <c r="AA8" s="61">
        <f t="shared" si="8"/>
        <v>93.977147875088434</v>
      </c>
      <c r="AC8" s="16">
        <v>4</v>
      </c>
      <c r="AD8" s="16">
        <f t="shared" si="11"/>
        <v>1371.4925317002956</v>
      </c>
      <c r="AE8" s="16">
        <f t="shared" si="9"/>
        <v>0.17025415605575425</v>
      </c>
      <c r="AF8" s="16">
        <f>'Gearing Calculator'!$C$17*Braking!AD8</f>
        <v>2057.2387975504435</v>
      </c>
      <c r="AG8" s="16">
        <f t="shared" si="10"/>
        <v>-7.728169787943064</v>
      </c>
    </row>
    <row r="9" spans="1:33" x14ac:dyDescent="0.25">
      <c r="A9" s="48">
        <v>5</v>
      </c>
      <c r="B9" s="41" t="s">
        <v>42</v>
      </c>
      <c r="C9" s="16">
        <v>0.72364462809917351</v>
      </c>
      <c r="D9" s="30">
        <v>0.72364462809917351</v>
      </c>
      <c r="E9" s="16" t="s">
        <v>122</v>
      </c>
      <c r="G9" s="41">
        <v>5600</v>
      </c>
      <c r="H9" s="16">
        <f>0.5*'Gearing Calculator'!$C$15*Braking!$C$11*Acceleration!$C$6*(Forces!H9^2)</f>
        <v>15.886077140247799</v>
      </c>
      <c r="I9" s="16">
        <f>0.5*'Gearing Calculator'!$C$15*Braking!$C$11*Acceleration!$C$6*(Forces!I9^2)</f>
        <v>26.504375228781505</v>
      </c>
      <c r="J9" s="16">
        <f>0.5*'Gearing Calculator'!$C$15*Braking!$C$11*Acceleration!$C$6*(Forces!J9^2)</f>
        <v>38.166300329445349</v>
      </c>
      <c r="K9" s="16">
        <f>0.5*'Gearing Calculator'!$C$15*Braking!$C$11*Acceleration!$C$6*(Forces!K9^2)</f>
        <v>50.813121740385803</v>
      </c>
      <c r="L9" s="16">
        <f>0.5*'Gearing Calculator'!$C$15*Braking!$C$11*Acceleration!$C$6*(Forces!L9^2)</f>
        <v>64.134043763471283</v>
      </c>
      <c r="M9" s="16">
        <f>0.5*'Gearing Calculator'!$C$15*Braking!$C$11*Acceleration!$C$6*(Forces!M9^2)</f>
        <v>80.164461939603797</v>
      </c>
      <c r="O9" s="41">
        <v>5600</v>
      </c>
      <c r="P9" s="22">
        <f t="shared" si="1"/>
        <v>-8.8854799925524386</v>
      </c>
      <c r="Q9" s="22">
        <f t="shared" si="2"/>
        <v>-8.9253684151239394</v>
      </c>
      <c r="R9" s="22">
        <f t="shared" si="3"/>
        <v>-8.9691772997996111</v>
      </c>
      <c r="S9" s="22">
        <f t="shared" si="4"/>
        <v>-9.016686020351603</v>
      </c>
      <c r="T9" s="22">
        <f t="shared" si="5"/>
        <v>-9.0667270497396029</v>
      </c>
      <c r="U9" s="22">
        <f t="shared" si="6"/>
        <v>-9.126946501941454</v>
      </c>
      <c r="W9" s="55">
        <v>5</v>
      </c>
      <c r="X9" s="61">
        <f t="shared" si="7"/>
        <v>117.47143484386055</v>
      </c>
      <c r="Z9" s="55">
        <v>5</v>
      </c>
      <c r="AA9" s="61">
        <f t="shared" si="8"/>
        <v>117.47143484386055</v>
      </c>
      <c r="AC9" s="16">
        <v>5</v>
      </c>
      <c r="AD9" s="16">
        <f t="shared" si="11"/>
        <v>1372.0211896253693</v>
      </c>
      <c r="AE9" s="16">
        <f t="shared" si="9"/>
        <v>0.21281769506969281</v>
      </c>
      <c r="AF9" s="16">
        <f>'Gearing Calculator'!$C$17*Braking!AD9</f>
        <v>2058.0317844380538</v>
      </c>
      <c r="AG9" s="16">
        <f t="shared" si="10"/>
        <v>-7.7311487018709766</v>
      </c>
    </row>
    <row r="10" spans="1:33" x14ac:dyDescent="0.25">
      <c r="A10" s="48">
        <v>6</v>
      </c>
      <c r="B10" s="41" t="s">
        <v>43</v>
      </c>
      <c r="C10" s="16">
        <v>0.72954793660187434</v>
      </c>
      <c r="D10" s="30">
        <v>0.72954793660187434</v>
      </c>
      <c r="E10" s="16" t="s">
        <v>122</v>
      </c>
      <c r="G10" s="41">
        <v>5700</v>
      </c>
      <c r="H10" s="16">
        <f>0.5*'Gearing Calculator'!$C$15*Braking!$C$11*Acceleration!$C$6*(Forces!H10^2)</f>
        <v>16.448372883900781</v>
      </c>
      <c r="I10" s="16">
        <f>0.5*'Gearing Calculator'!$C$15*Braking!$C$11*Acceleration!$C$6*(Forces!I10^2)</f>
        <v>27.442511009424727</v>
      </c>
      <c r="J10" s="16">
        <f>0.5*'Gearing Calculator'!$C$15*Braking!$C$11*Acceleration!$C$6*(Forces!J10^2)</f>
        <v>39.517215853571614</v>
      </c>
      <c r="K10" s="16">
        <f>0.5*'Gearing Calculator'!$C$15*Braking!$C$11*Acceleration!$C$6*(Forces!K10^2)</f>
        <v>52.611677911559845</v>
      </c>
      <c r="L10" s="16">
        <f>0.5*'Gearing Calculator'!$C$15*Braking!$C$11*Acceleration!$C$6*(Forces!L10^2)</f>
        <v>66.404100714163562</v>
      </c>
      <c r="M10" s="16">
        <f>0.5*'Gearing Calculator'!$C$15*Braking!$C$11*Acceleration!$C$6*(Forces!M10^2)</f>
        <v>83.001923657995434</v>
      </c>
      <c r="O10" s="41">
        <v>5700</v>
      </c>
      <c r="P10" s="22">
        <f t="shared" si="1"/>
        <v>-8.8875922981258899</v>
      </c>
      <c r="Q10" s="22">
        <f t="shared" si="2"/>
        <v>-8.928892591610202</v>
      </c>
      <c r="R10" s="22">
        <f t="shared" si="3"/>
        <v>-8.9742521139398299</v>
      </c>
      <c r="S10" s="22">
        <f t="shared" si="4"/>
        <v>-9.023442429709883</v>
      </c>
      <c r="T10" s="22">
        <f t="shared" si="5"/>
        <v>-9.0752546866693251</v>
      </c>
      <c r="U10" s="22">
        <f t="shared" si="6"/>
        <v>-9.1376056368715499</v>
      </c>
      <c r="W10" s="55">
        <v>6</v>
      </c>
      <c r="X10" s="61">
        <f t="shared" si="7"/>
        <v>140.96572181263264</v>
      </c>
      <c r="Z10" s="55">
        <v>6</v>
      </c>
      <c r="AA10" s="61">
        <f t="shared" si="8"/>
        <v>140.96572181263264</v>
      </c>
      <c r="AC10" s="16">
        <v>6</v>
      </c>
      <c r="AD10" s="16">
        <f t="shared" si="11"/>
        <v>1372.549847550443</v>
      </c>
      <c r="AE10" s="16">
        <f t="shared" si="9"/>
        <v>0.25538123408363139</v>
      </c>
      <c r="AF10" s="16">
        <f>'Gearing Calculator'!$C$17*Braking!AD10</f>
        <v>2058.8247713256646</v>
      </c>
      <c r="AG10" s="16">
        <f t="shared" si="10"/>
        <v>-7.734127615798891</v>
      </c>
    </row>
    <row r="11" spans="1:33" x14ac:dyDescent="0.25">
      <c r="A11" s="48">
        <v>7</v>
      </c>
      <c r="B11" s="41" t="s">
        <v>129</v>
      </c>
      <c r="C11" s="16">
        <v>0.32900000000000001</v>
      </c>
      <c r="D11" s="30">
        <v>0.28799999999999998</v>
      </c>
      <c r="E11" s="16" t="s">
        <v>154</v>
      </c>
      <c r="G11" s="41">
        <v>5800</v>
      </c>
      <c r="H11" s="16">
        <f>0.5*'Gearing Calculator'!$C$15*Braking!$C$11*Acceleration!$C$6*(Forces!H11^2)</f>
        <v>17.020447683965095</v>
      </c>
      <c r="I11" s="16">
        <f>0.5*'Gearing Calculator'!$C$15*Braking!$C$11*Acceleration!$C$6*(Forces!I11^2)</f>
        <v>28.396962194948713</v>
      </c>
      <c r="J11" s="16">
        <f>0.5*'Gearing Calculator'!$C$15*Braking!$C$11*Acceleration!$C$6*(Forces!J11^2)</f>
        <v>40.891625560726141</v>
      </c>
      <c r="K11" s="16">
        <f>0.5*'Gearing Calculator'!$C$15*Braking!$C$11*Acceleration!$C$6*(Forces!K11^2)</f>
        <v>54.441513320493392</v>
      </c>
      <c r="L11" s="16">
        <f>0.5*'Gearing Calculator'!$C$15*Braking!$C$11*Acceleration!$C$6*(Forces!L11^2)</f>
        <v>68.713636916172163</v>
      </c>
      <c r="M11" s="16">
        <f>0.5*'Gearing Calculator'!$C$15*Braking!$C$11*Acceleration!$C$6*(Forces!M11^2)</f>
        <v>85.888732536706939</v>
      </c>
      <c r="O11" s="41">
        <v>5800</v>
      </c>
      <c r="P11" s="22">
        <f t="shared" si="1"/>
        <v>-8.8897413394484452</v>
      </c>
      <c r="Q11" s="22">
        <f t="shared" si="2"/>
        <v>-8.932478058122312</v>
      </c>
      <c r="R11" s="22">
        <f t="shared" si="3"/>
        <v>-8.9794151857172704</v>
      </c>
      <c r="S11" s="22">
        <f t="shared" si="4"/>
        <v>-9.03031634183961</v>
      </c>
      <c r="T11" s="22">
        <f t="shared" si="5"/>
        <v>-9.0839306303282612</v>
      </c>
      <c r="U11" s="22">
        <f t="shared" si="6"/>
        <v>-9.1484501480613005</v>
      </c>
      <c r="W11" s="55">
        <v>7</v>
      </c>
      <c r="X11" s="61">
        <f t="shared" si="7"/>
        <v>164.46000878140475</v>
      </c>
      <c r="Z11" s="55">
        <v>7</v>
      </c>
      <c r="AA11" s="61">
        <f t="shared" si="8"/>
        <v>164.46000878140475</v>
      </c>
      <c r="AC11" s="16">
        <v>7</v>
      </c>
      <c r="AD11" s="16">
        <f t="shared" si="11"/>
        <v>1373.078505475517</v>
      </c>
      <c r="AE11" s="16">
        <f t="shared" si="9"/>
        <v>0.29794477309756995</v>
      </c>
      <c r="AF11" s="16">
        <f>'Gearing Calculator'!$C$17*Braking!AD11</f>
        <v>2059.6177582132755</v>
      </c>
      <c r="AG11" s="16">
        <f t="shared" si="10"/>
        <v>-7.7371065297268053</v>
      </c>
    </row>
    <row r="12" spans="1:33" x14ac:dyDescent="0.25">
      <c r="A12" s="48">
        <v>8</v>
      </c>
      <c r="B12" s="41" t="s">
        <v>144</v>
      </c>
      <c r="C12" s="16">
        <v>0.9</v>
      </c>
      <c r="D12" s="30">
        <v>0.6</v>
      </c>
      <c r="E12" s="16"/>
      <c r="G12" s="41">
        <v>5900</v>
      </c>
      <c r="H12" s="16">
        <f>0.5*'Gearing Calculator'!$C$15*Braking!$C$11*Acceleration!$C$6*(Forces!H12^2)</f>
        <v>17.602301540440781</v>
      </c>
      <c r="I12" s="16">
        <f>0.5*'Gearing Calculator'!$C$15*Braking!$C$11*Acceleration!$C$6*(Forces!I12^2)</f>
        <v>29.367728785353449</v>
      </c>
      <c r="J12" s="16">
        <f>0.5*'Gearing Calculator'!$C$15*Braking!$C$11*Acceleration!$C$6*(Forces!J12^2)</f>
        <v>42.289529450908972</v>
      </c>
      <c r="K12" s="16">
        <f>0.5*'Gearing Calculator'!$C$15*Braking!$C$11*Acceleration!$C$6*(Forces!K12^2)</f>
        <v>56.302627967186538</v>
      </c>
      <c r="L12" s="16">
        <f>0.5*'Gearing Calculator'!$C$15*Braking!$C$11*Acceleration!$C$6*(Forces!L12^2)</f>
        <v>71.062652369497258</v>
      </c>
      <c r="M12" s="16">
        <f>0.5*'Gearing Calculator'!$C$15*Braking!$C$11*Acceleration!$C$6*(Forces!M12^2)</f>
        <v>88.824888575738285</v>
      </c>
      <c r="O12" s="41">
        <v>5900</v>
      </c>
      <c r="P12" s="22">
        <f t="shared" si="1"/>
        <v>-8.8919271165201046</v>
      </c>
      <c r="Q12" s="22">
        <f t="shared" si="2"/>
        <v>-8.936124814660273</v>
      </c>
      <c r="R12" s="22">
        <f t="shared" si="3"/>
        <v>-8.9846665151319307</v>
      </c>
      <c r="S12" s="22">
        <f t="shared" si="4"/>
        <v>-9.0373077567407876</v>
      </c>
      <c r="T12" s="22">
        <f t="shared" si="5"/>
        <v>-9.0927548807164094</v>
      </c>
      <c r="U12" s="22">
        <f t="shared" si="6"/>
        <v>-9.159480035510704</v>
      </c>
      <c r="W12" s="55">
        <v>8</v>
      </c>
      <c r="X12" s="61">
        <f t="shared" si="7"/>
        <v>187.95429575017687</v>
      </c>
      <c r="Z12" s="55">
        <v>8</v>
      </c>
      <c r="AA12" s="61">
        <f t="shared" si="8"/>
        <v>187.95429575017687</v>
      </c>
      <c r="AC12" s="16">
        <v>8</v>
      </c>
      <c r="AD12" s="16">
        <f t="shared" si="11"/>
        <v>1373.6071634005907</v>
      </c>
      <c r="AE12" s="16">
        <f t="shared" si="9"/>
        <v>0.3405083121115085</v>
      </c>
      <c r="AF12" s="16">
        <f>'Gearing Calculator'!$C$17*Braking!AD12</f>
        <v>2060.4107451008858</v>
      </c>
      <c r="AG12" s="16">
        <f t="shared" si="10"/>
        <v>-7.740085443654718</v>
      </c>
    </row>
    <row r="13" spans="1:33" x14ac:dyDescent="0.25">
      <c r="A13" s="48">
        <v>9</v>
      </c>
      <c r="B13" s="41" t="s">
        <v>145</v>
      </c>
      <c r="C13" s="16">
        <v>0.9</v>
      </c>
      <c r="D13" s="30">
        <v>0.55000000000000004</v>
      </c>
      <c r="E13" s="16"/>
      <c r="G13" s="41">
        <v>6000</v>
      </c>
      <c r="H13" s="16">
        <f>0.5*'Gearing Calculator'!$C$15*Braking!$C$11*Acceleration!$C$6*(Forces!H13^2)</f>
        <v>18.193934453327817</v>
      </c>
      <c r="I13" s="16">
        <f>0.5*'Gearing Calculator'!$C$15*Braking!$C$11*Acceleration!$C$6*(Forces!I13^2)</f>
        <v>30.354810780638946</v>
      </c>
      <c r="J13" s="16">
        <f>0.5*'Gearing Calculator'!$C$15*Braking!$C$11*Acceleration!$C$6*(Forces!J13^2)</f>
        <v>43.710927524120088</v>
      </c>
      <c r="K13" s="16">
        <f>0.5*'Gearing Calculator'!$C$15*Braking!$C$11*Acceleration!$C$6*(Forces!K13^2)</f>
        <v>58.19502185163914</v>
      </c>
      <c r="L13" s="16">
        <f>0.5*'Gearing Calculator'!$C$15*Braking!$C$11*Acceleration!$C$6*(Forces!L13^2)</f>
        <v>73.451147074138674</v>
      </c>
      <c r="M13" s="16">
        <f>0.5*'Gearing Calculator'!$C$15*Braking!$C$11*Acceleration!$C$6*(Forces!M13^2)</f>
        <v>91.810391775089471</v>
      </c>
      <c r="O13" s="41">
        <v>6000</v>
      </c>
      <c r="P13" s="22">
        <f t="shared" si="1"/>
        <v>-8.8941496293408662</v>
      </c>
      <c r="Q13" s="22">
        <f t="shared" si="2"/>
        <v>-8.9398328612240796</v>
      </c>
      <c r="R13" s="22">
        <f t="shared" si="3"/>
        <v>-8.9900061021838145</v>
      </c>
      <c r="S13" s="22">
        <f t="shared" si="4"/>
        <v>-9.0444166744134122</v>
      </c>
      <c r="T13" s="22">
        <f t="shared" si="5"/>
        <v>-9.1017274378337714</v>
      </c>
      <c r="U13" s="22">
        <f t="shared" si="6"/>
        <v>-9.1706952992197621</v>
      </c>
      <c r="W13" s="55">
        <v>9</v>
      </c>
      <c r="X13" s="61">
        <f t="shared" si="7"/>
        <v>211.44858271894898</v>
      </c>
      <c r="Z13" s="55">
        <v>9</v>
      </c>
      <c r="AA13" s="61">
        <f t="shared" si="8"/>
        <v>211.44858271894898</v>
      </c>
      <c r="AC13" s="16">
        <v>9</v>
      </c>
      <c r="AD13" s="16">
        <f t="shared" si="11"/>
        <v>1374.1358213256647</v>
      </c>
      <c r="AE13" s="16">
        <f t="shared" si="9"/>
        <v>0.38307185112544712</v>
      </c>
      <c r="AF13" s="16">
        <f>'Gearing Calculator'!$C$17*Braking!AD13</f>
        <v>2061.2037319884971</v>
      </c>
      <c r="AG13" s="16">
        <f t="shared" si="10"/>
        <v>-7.7430643575826341</v>
      </c>
    </row>
    <row r="14" spans="1:33" x14ac:dyDescent="0.25">
      <c r="A14" s="48">
        <v>10</v>
      </c>
      <c r="B14" s="41" t="s">
        <v>132</v>
      </c>
      <c r="C14" s="16">
        <f>0.5*'Gearing Calculator'!$C$15*Braking!C11*Acceleration!$C$6*(Braking!$C$21^2)</f>
        <v>553.63798989998554</v>
      </c>
      <c r="D14" s="16">
        <f>0.5*'Gearing Calculator'!$C$15*Braking!D11*Acceleration!$C$6*(Braking!$C$21^2)</f>
        <v>484.64358994284453</v>
      </c>
      <c r="E14" s="16" t="s">
        <v>153</v>
      </c>
      <c r="G14" s="41">
        <v>6100</v>
      </c>
      <c r="H14" s="16">
        <f>0.5*'Gearing Calculator'!$C$15*Braking!$C$11*Acceleration!$C$6*(Forces!H14^2)</f>
        <v>18.79534642262621</v>
      </c>
      <c r="I14" s="16">
        <f>0.5*'Gearing Calculator'!$C$15*Braking!$C$11*Acceleration!$C$6*(Forces!I14^2)</f>
        <v>31.3582081808052</v>
      </c>
      <c r="J14" s="16">
        <f>0.5*'Gearing Calculator'!$C$15*Braking!$C$11*Acceleration!$C$6*(Forces!J14^2)</f>
        <v>45.155819780359487</v>
      </c>
      <c r="K14" s="16">
        <f>0.5*'Gearing Calculator'!$C$15*Braking!$C$11*Acceleration!$C$6*(Forces!K14^2)</f>
        <v>60.118694973851376</v>
      </c>
      <c r="L14" s="16">
        <f>0.5*'Gearing Calculator'!$C$15*Braking!$C$11*Acceleration!$C$6*(Forces!L14^2)</f>
        <v>75.879121030096499</v>
      </c>
      <c r="M14" s="16">
        <f>0.5*'Gearing Calculator'!$C$15*Braking!$C$11*Acceleration!$C$6*(Forces!M14^2)</f>
        <v>94.845242134760554</v>
      </c>
      <c r="O14" s="41">
        <v>6100</v>
      </c>
      <c r="P14" s="22">
        <f t="shared" si="1"/>
        <v>-8.8964088779107335</v>
      </c>
      <c r="Q14" s="22">
        <f t="shared" si="2"/>
        <v>-8.9436021978137354</v>
      </c>
      <c r="R14" s="22">
        <f t="shared" si="3"/>
        <v>-8.9954339468729163</v>
      </c>
      <c r="S14" s="22">
        <f t="shared" si="4"/>
        <v>-9.0516430948574857</v>
      </c>
      <c r="T14" s="22">
        <f t="shared" si="5"/>
        <v>-9.1108483016803437</v>
      </c>
      <c r="U14" s="22">
        <f t="shared" si="6"/>
        <v>-9.1820959391884731</v>
      </c>
      <c r="W14" s="55">
        <v>10</v>
      </c>
      <c r="X14" s="61">
        <f t="shared" si="7"/>
        <v>234.9428696877211</v>
      </c>
      <c r="Z14" s="55">
        <v>10</v>
      </c>
      <c r="AA14" s="61">
        <f t="shared" si="8"/>
        <v>234.9428696877211</v>
      </c>
      <c r="AC14" s="16">
        <v>10</v>
      </c>
      <c r="AD14" s="16">
        <f t="shared" si="11"/>
        <v>1374.6644792507384</v>
      </c>
      <c r="AE14" s="16">
        <f t="shared" si="9"/>
        <v>0.42563539013938562</v>
      </c>
      <c r="AF14" s="16">
        <f>'Gearing Calculator'!$C$17*Braking!AD14</f>
        <v>2061.9967188761075</v>
      </c>
      <c r="AG14" s="16">
        <f t="shared" si="10"/>
        <v>-7.7460432715105467</v>
      </c>
    </row>
    <row r="15" spans="1:33" x14ac:dyDescent="0.25">
      <c r="A15" s="48">
        <v>11</v>
      </c>
      <c r="B15" s="41" t="s">
        <v>146</v>
      </c>
      <c r="C15" s="16">
        <f>VLOOKUP(C26,Z4:AA104,2,FALSE)</f>
        <v>2349.4286968772108</v>
      </c>
      <c r="D15" s="16">
        <f>VLOOKUP(C26,Z4:AA104,2,FALSE)</f>
        <v>2349.4286968772108</v>
      </c>
      <c r="E15" s="16" t="s">
        <v>153</v>
      </c>
      <c r="G15" s="41">
        <v>6200</v>
      </c>
      <c r="H15" s="16">
        <f>0.5*'Gearing Calculator'!$C$15*Braking!$C$11*Acceleration!$C$6*(Forces!H15^2)</f>
        <v>19.406537448335957</v>
      </c>
      <c r="I15" s="16">
        <f>0.5*'Gearing Calculator'!$C$15*Braking!$C$11*Acceleration!$C$6*(Forces!I15^2)</f>
        <v>32.377920985852185</v>
      </c>
      <c r="J15" s="16">
        <f>0.5*'Gearing Calculator'!$C$15*Braking!$C$11*Acceleration!$C$6*(Forces!J15^2)</f>
        <v>46.624206219627133</v>
      </c>
      <c r="K15" s="16">
        <f>0.5*'Gearing Calculator'!$C$15*Braking!$C$11*Acceleration!$C$6*(Forces!K15^2)</f>
        <v>62.073647333823132</v>
      </c>
      <c r="L15" s="16">
        <f>0.5*'Gearing Calculator'!$C$15*Braking!$C$11*Acceleration!$C$6*(Forces!L15^2)</f>
        <v>78.346574237370717</v>
      </c>
      <c r="M15" s="16">
        <f>0.5*'Gearing Calculator'!$C$15*Braking!$C$11*Acceleration!$C$6*(Forces!M15^2)</f>
        <v>97.929439654751476</v>
      </c>
      <c r="O15" s="41">
        <v>6200</v>
      </c>
      <c r="P15" s="22">
        <f t="shared" si="1"/>
        <v>-8.8987048622297031</v>
      </c>
      <c r="Q15" s="22">
        <f t="shared" si="2"/>
        <v>-8.9474328244292387</v>
      </c>
      <c r="R15" s="22">
        <f t="shared" si="3"/>
        <v>-9.0009500491992416</v>
      </c>
      <c r="S15" s="22">
        <f t="shared" si="4"/>
        <v>-9.0589870180730063</v>
      </c>
      <c r="T15" s="22">
        <f t="shared" si="5"/>
        <v>-9.1201174722561298</v>
      </c>
      <c r="U15" s="22">
        <f t="shared" si="6"/>
        <v>-9.1936819554168387</v>
      </c>
      <c r="W15" s="55">
        <v>11</v>
      </c>
      <c r="X15" s="61">
        <f t="shared" si="7"/>
        <v>258.43715665649319</v>
      </c>
      <c r="Z15" s="55">
        <v>11</v>
      </c>
      <c r="AA15" s="61">
        <f t="shared" si="8"/>
        <v>258.43715665649319</v>
      </c>
      <c r="AC15" s="16">
        <v>11</v>
      </c>
      <c r="AD15" s="16">
        <f t="shared" si="11"/>
        <v>1375.1931371758121</v>
      </c>
      <c r="AE15" s="16">
        <f t="shared" si="9"/>
        <v>0.46819892915332423</v>
      </c>
      <c r="AF15" s="16">
        <f>'Gearing Calculator'!$C$17*Braking!AD15</f>
        <v>2062.7897057637183</v>
      </c>
      <c r="AG15" s="16">
        <f t="shared" si="10"/>
        <v>-7.7490221854384611</v>
      </c>
    </row>
    <row r="16" spans="1:33" x14ac:dyDescent="0.25">
      <c r="A16" s="48">
        <v>12</v>
      </c>
      <c r="B16" s="41" t="s">
        <v>147</v>
      </c>
      <c r="C16" s="16">
        <f>($C$3*$C$4)*(($C$8-C9)/C10)</f>
        <v>2349.4286968772108</v>
      </c>
      <c r="D16" s="16">
        <f>($C$3*$C$4)*(($C$8-D9)/D10)</f>
        <v>2349.4286968772108</v>
      </c>
      <c r="E16" s="16" t="s">
        <v>153</v>
      </c>
      <c r="G16" s="41">
        <v>6300</v>
      </c>
      <c r="H16" s="16">
        <f>0.5*'Gearing Calculator'!$C$15*Braking!$C$11*Acceleration!$C$6*(Forces!H16^2)</f>
        <v>20.027507530457065</v>
      </c>
      <c r="I16" s="16">
        <f>0.5*'Gearing Calculator'!$C$15*Braking!$C$11*Acceleration!$C$6*(Forces!I16^2)</f>
        <v>33.413949195779942</v>
      </c>
      <c r="J16" s="16">
        <f>0.5*'Gearing Calculator'!$C$15*Braking!$C$11*Acceleration!$C$6*(Forces!J16^2)</f>
        <v>48.116086841923114</v>
      </c>
      <c r="K16" s="16">
        <f>0.5*'Gearing Calculator'!$C$15*Braking!$C$11*Acceleration!$C$6*(Forces!K16^2)</f>
        <v>64.059878931554422</v>
      </c>
      <c r="L16" s="16">
        <f>0.5*'Gearing Calculator'!$C$15*Braking!$C$11*Acceleration!$C$6*(Forces!L16^2)</f>
        <v>80.853506695961329</v>
      </c>
      <c r="M16" s="16">
        <f>0.5*'Gearing Calculator'!$C$15*Braking!$C$11*Acceleration!$C$6*(Forces!M16^2)</f>
        <v>101.06298433506223</v>
      </c>
      <c r="O16" s="41">
        <v>6300</v>
      </c>
      <c r="P16" s="22">
        <f t="shared" si="1"/>
        <v>-8.9010375822977768</v>
      </c>
      <c r="Q16" s="22">
        <f t="shared" si="2"/>
        <v>-8.9513247410705894</v>
      </c>
      <c r="R16" s="22">
        <f t="shared" si="3"/>
        <v>-9.0065544091627885</v>
      </c>
      <c r="S16" s="22">
        <f t="shared" si="4"/>
        <v>-9.0664484440599757</v>
      </c>
      <c r="T16" s="22">
        <f t="shared" si="5"/>
        <v>-9.129534949561128</v>
      </c>
      <c r="U16" s="22">
        <f t="shared" si="6"/>
        <v>-9.2054533479048573</v>
      </c>
      <c r="W16" s="55">
        <v>12</v>
      </c>
      <c r="X16" s="61">
        <f t="shared" si="7"/>
        <v>281.93144362526527</v>
      </c>
      <c r="Z16" s="55">
        <v>12</v>
      </c>
      <c r="AA16" s="61">
        <f t="shared" si="8"/>
        <v>281.93144362526527</v>
      </c>
      <c r="AC16" s="16">
        <v>12</v>
      </c>
      <c r="AD16" s="16">
        <f t="shared" si="11"/>
        <v>1375.7217951008861</v>
      </c>
      <c r="AE16" s="16">
        <f t="shared" si="9"/>
        <v>0.51076246816726278</v>
      </c>
      <c r="AF16" s="16">
        <f>'Gearing Calculator'!$C$17*Braking!AD16</f>
        <v>2063.5826926513291</v>
      </c>
      <c r="AG16" s="16">
        <f t="shared" si="10"/>
        <v>-7.7520010993663755</v>
      </c>
    </row>
    <row r="17" spans="1:33" x14ac:dyDescent="0.25">
      <c r="A17" s="48">
        <v>13</v>
      </c>
      <c r="B17" s="41" t="s">
        <v>135</v>
      </c>
      <c r="C17" s="16">
        <f>C5*('Gearing Calculator'!V16/'Gearing Calculator'!$C$7)+Braking!C15*('Gearing Calculator'!V17/'Gearing Calculator'!$C$7)</f>
        <v>2611.422</v>
      </c>
      <c r="D17" s="30">
        <f>C17</f>
        <v>2611.422</v>
      </c>
      <c r="E17" s="16" t="s">
        <v>153</v>
      </c>
      <c r="G17" s="41">
        <v>6400</v>
      </c>
      <c r="H17" s="16">
        <f>0.5*'Gearing Calculator'!$C$15*Braking!$C$11*Acceleration!$C$6*(Forces!H17^2)</f>
        <v>20.65825666898953</v>
      </c>
      <c r="I17" s="16">
        <f>0.5*'Gearing Calculator'!$C$15*Braking!$C$11*Acceleration!$C$6*(Forces!I17^2)</f>
        <v>34.466292810588435</v>
      </c>
      <c r="J17" s="16">
        <f>0.5*'Gearing Calculator'!$C$15*Braking!$C$11*Acceleration!$C$6*(Forces!J17^2)</f>
        <v>49.631461647247328</v>
      </c>
      <c r="K17" s="16">
        <f>0.5*'Gearing Calculator'!$C$15*Braking!$C$11*Acceleration!$C$6*(Forces!K17^2)</f>
        <v>66.077389767045275</v>
      </c>
      <c r="L17" s="16">
        <f>0.5*'Gearing Calculator'!$C$15*Braking!$C$11*Acceleration!$C$6*(Forces!L17^2)</f>
        <v>83.399918405868291</v>
      </c>
      <c r="M17" s="16">
        <f>0.5*'Gearing Calculator'!$C$15*Braking!$C$11*Acceleration!$C$6*(Forces!M17^2)</f>
        <v>104.24587617569286</v>
      </c>
      <c r="O17" s="41">
        <v>6400</v>
      </c>
      <c r="P17" s="22">
        <f t="shared" si="1"/>
        <v>-8.9034070381149526</v>
      </c>
      <c r="Q17" s="22">
        <f t="shared" si="2"/>
        <v>-8.9552779477377893</v>
      </c>
      <c r="R17" s="22">
        <f t="shared" si="3"/>
        <v>-9.0122470267635553</v>
      </c>
      <c r="S17" s="22">
        <f t="shared" si="4"/>
        <v>-9.074027372818394</v>
      </c>
      <c r="T17" s="22">
        <f t="shared" si="5"/>
        <v>-9.13910073359534</v>
      </c>
      <c r="U17" s="22">
        <f t="shared" si="6"/>
        <v>-9.2174101166525322</v>
      </c>
      <c r="W17" s="55">
        <v>13</v>
      </c>
      <c r="X17" s="61">
        <f t="shared" si="7"/>
        <v>305.42573059403742</v>
      </c>
      <c r="Z17" s="55">
        <v>13</v>
      </c>
      <c r="AA17" s="61">
        <f t="shared" si="8"/>
        <v>305.42573059403742</v>
      </c>
      <c r="AC17" s="16">
        <v>13</v>
      </c>
      <c r="AD17" s="16">
        <f t="shared" si="11"/>
        <v>1376.2504530259598</v>
      </c>
      <c r="AE17" s="16">
        <f t="shared" si="9"/>
        <v>0.55332600718120128</v>
      </c>
      <c r="AF17" s="16">
        <f>'Gearing Calculator'!$C$17*Braking!AD17</f>
        <v>2064.3756795389399</v>
      </c>
      <c r="AG17" s="16">
        <f t="shared" si="10"/>
        <v>-7.7549800132942899</v>
      </c>
    </row>
    <row r="18" spans="1:33" x14ac:dyDescent="0.25">
      <c r="A18" s="48">
        <v>14</v>
      </c>
      <c r="B18" s="41" t="s">
        <v>149</v>
      </c>
      <c r="C18" s="16">
        <f>'Gearing Calculator'!$C$17*Braking!C17</f>
        <v>3917.1329999999998</v>
      </c>
      <c r="D18" s="16">
        <f>'Gearing Calculator'!$C$17*Braking!D17</f>
        <v>3917.1329999999998</v>
      </c>
      <c r="E18" s="16" t="s">
        <v>153</v>
      </c>
      <c r="G18" s="41">
        <v>6500</v>
      </c>
      <c r="H18" s="16">
        <f>0.5*'Gearing Calculator'!$C$15*Braking!$C$11*Acceleration!$C$6*(Forces!H18^2)</f>
        <v>21.298784863933346</v>
      </c>
      <c r="I18" s="16">
        <f>0.5*'Gearing Calculator'!$C$15*Braking!$C$11*Acceleration!$C$6*(Forces!I18^2)</f>
        <v>35.534951830277677</v>
      </c>
      <c r="J18" s="16">
        <f>0.5*'Gearing Calculator'!$C$15*Braking!$C$11*Acceleration!$C$6*(Forces!J18^2)</f>
        <v>51.170330635599854</v>
      </c>
      <c r="K18" s="16">
        <f>0.5*'Gearing Calculator'!$C$15*Braking!$C$11*Acceleration!$C$6*(Forces!K18^2)</f>
        <v>68.126179840295677</v>
      </c>
      <c r="L18" s="16">
        <f>0.5*'Gearing Calculator'!$C$15*Braking!$C$11*Acceleration!$C$6*(Forces!L18^2)</f>
        <v>85.985809367091647</v>
      </c>
      <c r="M18" s="16">
        <f>0.5*'Gearing Calculator'!$C$15*Braking!$C$11*Acceleration!$C$6*(Forces!M18^2)</f>
        <v>107.47811517664334</v>
      </c>
      <c r="O18" s="41">
        <v>6500</v>
      </c>
      <c r="P18" s="22">
        <f t="shared" si="1"/>
        <v>-8.9058132296812342</v>
      </c>
      <c r="Q18" s="22">
        <f t="shared" si="2"/>
        <v>-8.9592924444308366</v>
      </c>
      <c r="R18" s="22">
        <f t="shared" si="3"/>
        <v>-9.0180279020015437</v>
      </c>
      <c r="S18" s="22">
        <f t="shared" si="4"/>
        <v>-9.0817238043482593</v>
      </c>
      <c r="T18" s="22">
        <f t="shared" si="5"/>
        <v>-9.1488148243587624</v>
      </c>
      <c r="U18" s="22">
        <f t="shared" si="6"/>
        <v>-9.2295522616598582</v>
      </c>
      <c r="W18" s="55">
        <v>14</v>
      </c>
      <c r="X18" s="61">
        <f t="shared" si="7"/>
        <v>328.92001756280951</v>
      </c>
      <c r="Z18" s="55">
        <v>14</v>
      </c>
      <c r="AA18" s="61">
        <f t="shared" si="8"/>
        <v>328.92001756280951</v>
      </c>
      <c r="AC18" s="16">
        <v>14</v>
      </c>
      <c r="AD18" s="16">
        <f t="shared" si="11"/>
        <v>1376.7791109510338</v>
      </c>
      <c r="AE18" s="16">
        <f t="shared" si="9"/>
        <v>0.5958895461951399</v>
      </c>
      <c r="AF18" s="16">
        <f>'Gearing Calculator'!$C$17*Braking!AD18</f>
        <v>2065.1686664265508</v>
      </c>
      <c r="AG18" s="16">
        <f t="shared" si="10"/>
        <v>-7.7579589272222043</v>
      </c>
    </row>
    <row r="19" spans="1:33" ht="15.75" thickBot="1" x14ac:dyDescent="0.3">
      <c r="A19" s="48">
        <v>15</v>
      </c>
      <c r="B19" s="42" t="s">
        <v>150</v>
      </c>
      <c r="C19" s="18">
        <f>(-(($C$8-C9)/C10)-C14/($C$3*$C$4))*C4</f>
        <v>-10.905584848900061</v>
      </c>
      <c r="D19" s="18">
        <f>(-(($C$8-D9)/D10)-D14/($C$3*$C$4))*C4</f>
        <v>-10.646402279564446</v>
      </c>
      <c r="E19" s="18" t="s">
        <v>123</v>
      </c>
      <c r="G19" s="41">
        <v>6600</v>
      </c>
      <c r="H19" s="16">
        <f>0.5*'Gearing Calculator'!$C$15*Braking!$C$11*Acceleration!$C$6*(Forces!H19^2)</f>
        <v>21.949092115288515</v>
      </c>
      <c r="I19" s="16">
        <f>0.5*'Gearing Calculator'!$C$15*Braking!$C$11*Acceleration!$C$6*(Forces!I19^2)</f>
        <v>36.61992625484767</v>
      </c>
      <c r="J19" s="16">
        <f>0.5*'Gearing Calculator'!$C$15*Braking!$C$11*Acceleration!$C$6*(Forces!J19^2)</f>
        <v>52.732693806980635</v>
      </c>
      <c r="K19" s="16">
        <f>0.5*'Gearing Calculator'!$C$15*Braking!$C$11*Acceleration!$C$6*(Forces!K19^2)</f>
        <v>70.206249151305613</v>
      </c>
      <c r="L19" s="16">
        <f>0.5*'Gearing Calculator'!$C$15*Braking!$C$11*Acceleration!$C$6*(Forces!L19^2)</f>
        <v>88.611179579631397</v>
      </c>
      <c r="M19" s="16">
        <f>0.5*'Gearing Calculator'!$C$15*Braking!$C$11*Acceleration!$C$6*(Forces!M19^2)</f>
        <v>110.75970133791367</v>
      </c>
      <c r="O19" s="41">
        <v>6600</v>
      </c>
      <c r="P19" s="22">
        <f t="shared" si="1"/>
        <v>-8.9082561569966181</v>
      </c>
      <c r="Q19" s="22">
        <f t="shared" si="2"/>
        <v>-8.9633682311497314</v>
      </c>
      <c r="R19" s="22">
        <f t="shared" si="3"/>
        <v>-9.0238970348767538</v>
      </c>
      <c r="S19" s="22">
        <f t="shared" si="4"/>
        <v>-9.0895377386495753</v>
      </c>
      <c r="T19" s="22">
        <f t="shared" si="5"/>
        <v>-9.1586772218514003</v>
      </c>
      <c r="U19" s="22">
        <f t="shared" si="6"/>
        <v>-9.2418797829268406</v>
      </c>
      <c r="W19" s="55">
        <v>15</v>
      </c>
      <c r="X19" s="61">
        <f t="shared" si="7"/>
        <v>352.41430453158165</v>
      </c>
      <c r="Z19" s="55">
        <v>15</v>
      </c>
      <c r="AA19" s="61">
        <f t="shared" si="8"/>
        <v>352.41430453158165</v>
      </c>
      <c r="AC19" s="16">
        <v>15</v>
      </c>
      <c r="AD19" s="16">
        <f t="shared" si="11"/>
        <v>1377.3077688761075</v>
      </c>
      <c r="AE19" s="16">
        <f t="shared" si="9"/>
        <v>0.6384530852090784</v>
      </c>
      <c r="AF19" s="16">
        <f>'Gearing Calculator'!$C$17*Braking!AD19</f>
        <v>2065.9616533141611</v>
      </c>
      <c r="AG19" s="16">
        <f t="shared" si="10"/>
        <v>-7.7609378411501169</v>
      </c>
    </row>
    <row r="20" spans="1:33" ht="15.75" thickBot="1" x14ac:dyDescent="0.3">
      <c r="A20" s="48">
        <v>16</v>
      </c>
      <c r="G20" s="41">
        <v>6700</v>
      </c>
      <c r="H20" s="16">
        <f>0.5*'Gearing Calculator'!$C$15*Braking!$C$11*Acceleration!$C$6*(Forces!H20^2)</f>
        <v>22.609178423055045</v>
      </c>
      <c r="I20" s="16">
        <f>0.5*'Gearing Calculator'!$C$15*Braking!$C$11*Acceleration!$C$6*(Forces!I20^2)</f>
        <v>37.721216084298447</v>
      </c>
      <c r="J20" s="16">
        <f>0.5*'Gearing Calculator'!$C$15*Braking!$C$11*Acceleration!$C$6*(Forces!J20^2)</f>
        <v>54.318551161389742</v>
      </c>
      <c r="K20" s="16">
        <f>0.5*'Gearing Calculator'!$C$15*Braking!$C$11*Acceleration!$C$6*(Forces!K20^2)</f>
        <v>72.31759770007514</v>
      </c>
      <c r="L20" s="16">
        <f>0.5*'Gearing Calculator'!$C$15*Braking!$C$11*Acceleration!$C$6*(Forces!L20^2)</f>
        <v>91.276029043487569</v>
      </c>
      <c r="M20" s="16">
        <f>0.5*'Gearing Calculator'!$C$15*Braking!$C$11*Acceleration!$C$6*(Forces!M20^2)</f>
        <v>114.09063465950382</v>
      </c>
      <c r="O20" s="41">
        <v>6700</v>
      </c>
      <c r="P20" s="22">
        <f t="shared" si="1"/>
        <v>-8.9107358200611042</v>
      </c>
      <c r="Q20" s="22">
        <f t="shared" si="2"/>
        <v>-8.9675053078944771</v>
      </c>
      <c r="R20" s="22">
        <f t="shared" si="3"/>
        <v>-9.0298544253891837</v>
      </c>
      <c r="S20" s="22">
        <f t="shared" si="4"/>
        <v>-9.0974691757223383</v>
      </c>
      <c r="T20" s="22">
        <f t="shared" si="5"/>
        <v>-9.1686879260732486</v>
      </c>
      <c r="U20" s="22">
        <f t="shared" si="6"/>
        <v>-9.2543926804534742</v>
      </c>
      <c r="W20" s="55">
        <v>16</v>
      </c>
      <c r="X20" s="61">
        <f t="shared" si="7"/>
        <v>375.90859150035374</v>
      </c>
      <c r="Z20" s="55">
        <v>16</v>
      </c>
      <c r="AA20" s="61">
        <f t="shared" si="8"/>
        <v>375.90859150035374</v>
      </c>
      <c r="AC20" s="16">
        <v>16</v>
      </c>
      <c r="AD20" s="16">
        <f t="shared" si="11"/>
        <v>1377.8364268011812</v>
      </c>
      <c r="AE20" s="16">
        <f t="shared" si="9"/>
        <v>0.68101662422301701</v>
      </c>
      <c r="AF20" s="16">
        <f>'Gearing Calculator'!$C$17*Braking!AD20</f>
        <v>2066.754640201772</v>
      </c>
      <c r="AG20" s="16">
        <f t="shared" si="10"/>
        <v>-7.7639167550780321</v>
      </c>
    </row>
    <row r="21" spans="1:33" x14ac:dyDescent="0.25">
      <c r="A21" s="48">
        <v>17</v>
      </c>
      <c r="B21" s="71" t="s">
        <v>206</v>
      </c>
      <c r="C21" s="73">
        <f>VLOOKUP(C24,'Gearing Calculator'!AA6:AL112,B36, FALSE)</f>
        <v>67.668464361169811</v>
      </c>
      <c r="G21" s="41">
        <v>6800</v>
      </c>
      <c r="H21" s="16">
        <f>0.5*'Gearing Calculator'!$C$15*Braking!$C$11*Acceleration!$C$6*(Forces!H21^2)</f>
        <v>23.279043787232936</v>
      </c>
      <c r="I21" s="16">
        <f>0.5*'Gearing Calculator'!$C$15*Braking!$C$11*Acceleration!$C$6*(Forces!I21^2)</f>
        <v>38.838821318629947</v>
      </c>
      <c r="J21" s="16">
        <f>0.5*'Gearing Calculator'!$C$15*Braking!$C$11*Acceleration!$C$6*(Forces!J21^2)</f>
        <v>55.927902698827118</v>
      </c>
      <c r="K21" s="16">
        <f>0.5*'Gearing Calculator'!$C$15*Braking!$C$11*Acceleration!$C$6*(Forces!K21^2)</f>
        <v>74.460225486604131</v>
      </c>
      <c r="L21" s="16">
        <f>0.5*'Gearing Calculator'!$C$15*Braking!$C$11*Acceleration!$C$6*(Forces!L21^2)</f>
        <v>93.980357758660077</v>
      </c>
      <c r="M21" s="16">
        <f>0.5*'Gearing Calculator'!$C$15*Braking!$C$11*Acceleration!$C$6*(Forces!M21^2)</f>
        <v>117.47091514141387</v>
      </c>
      <c r="O21" s="41">
        <v>6800</v>
      </c>
      <c r="P21" s="22">
        <f t="shared" si="1"/>
        <v>-8.9132522188746961</v>
      </c>
      <c r="Q21" s="22">
        <f t="shared" si="2"/>
        <v>-8.9717036746650685</v>
      </c>
      <c r="R21" s="22">
        <f t="shared" si="3"/>
        <v>-9.0359000735388371</v>
      </c>
      <c r="S21" s="22">
        <f t="shared" si="4"/>
        <v>-9.1055181155665483</v>
      </c>
      <c r="T21" s="22">
        <f t="shared" si="5"/>
        <v>-9.1788469370243089</v>
      </c>
      <c r="U21" s="22">
        <f t="shared" si="6"/>
        <v>-9.2670909542397641</v>
      </c>
      <c r="W21" s="55">
        <v>17</v>
      </c>
      <c r="X21" s="61">
        <f t="shared" si="7"/>
        <v>399.40287846912582</v>
      </c>
      <c r="Z21" s="55">
        <v>17</v>
      </c>
      <c r="AA21" s="61">
        <f t="shared" si="8"/>
        <v>399.40287846912582</v>
      </c>
      <c r="AC21" s="16">
        <v>17</v>
      </c>
      <c r="AD21" s="16">
        <f t="shared" si="11"/>
        <v>1378.3650847262552</v>
      </c>
      <c r="AE21" s="16">
        <f t="shared" si="9"/>
        <v>0.72358016323695562</v>
      </c>
      <c r="AF21" s="16">
        <f>'Gearing Calculator'!$C$17*Braking!AD21</f>
        <v>2067.5476270893828</v>
      </c>
      <c r="AG21" s="16">
        <f t="shared" si="10"/>
        <v>-7.7668956690059465</v>
      </c>
    </row>
    <row r="22" spans="1:33" x14ac:dyDescent="0.25">
      <c r="A22" s="48">
        <v>18</v>
      </c>
      <c r="B22" s="55" t="s">
        <v>24</v>
      </c>
      <c r="C22" s="74" t="s">
        <v>105</v>
      </c>
      <c r="G22" s="41">
        <v>6900</v>
      </c>
      <c r="H22" s="16">
        <f>0.5*'Gearing Calculator'!$C$15*Braking!$C$11*Acceleration!$C$6*(Forces!H22^2)</f>
        <v>23.958688207822167</v>
      </c>
      <c r="I22" s="16">
        <f>0.5*'Gearing Calculator'!$C$15*Braking!$C$11*Acceleration!$C$6*(Forces!I22^2)</f>
        <v>39.972741957842203</v>
      </c>
      <c r="J22" s="16">
        <f>0.5*'Gearing Calculator'!$C$15*Braking!$C$11*Acceleration!$C$6*(Forces!J22^2)</f>
        <v>57.560748419292786</v>
      </c>
      <c r="K22" s="16">
        <f>0.5*'Gearing Calculator'!$C$15*Braking!$C$11*Acceleration!$C$6*(Forces!K22^2)</f>
        <v>76.634132510892741</v>
      </c>
      <c r="L22" s="16">
        <f>0.5*'Gearing Calculator'!$C$15*Braking!$C$11*Acceleration!$C$6*(Forces!L22^2)</f>
        <v>96.724165725149021</v>
      </c>
      <c r="M22" s="16">
        <f>0.5*'Gearing Calculator'!$C$15*Braking!$C$11*Acceleration!$C$6*(Forces!M22^2)</f>
        <v>120.90054278364379</v>
      </c>
      <c r="O22" s="41">
        <v>6900</v>
      </c>
      <c r="P22" s="22">
        <f t="shared" si="1"/>
        <v>-8.9158053534373902</v>
      </c>
      <c r="Q22" s="22">
        <f t="shared" si="2"/>
        <v>-8.9759633314615073</v>
      </c>
      <c r="R22" s="22">
        <f t="shared" si="3"/>
        <v>-9.0420339793257103</v>
      </c>
      <c r="S22" s="22">
        <f t="shared" si="4"/>
        <v>-9.113684558182209</v>
      </c>
      <c r="T22" s="22">
        <f t="shared" si="5"/>
        <v>-9.189154254704583</v>
      </c>
      <c r="U22" s="22">
        <f t="shared" si="6"/>
        <v>-9.2799746042857052</v>
      </c>
      <c r="W22" s="55">
        <v>18</v>
      </c>
      <c r="X22" s="61">
        <f t="shared" si="7"/>
        <v>422.89716543789797</v>
      </c>
      <c r="Z22" s="55">
        <v>18</v>
      </c>
      <c r="AA22" s="61">
        <f t="shared" si="8"/>
        <v>422.89716543789797</v>
      </c>
      <c r="AC22" s="16">
        <v>18</v>
      </c>
      <c r="AD22" s="16">
        <f t="shared" si="11"/>
        <v>1378.8937426513289</v>
      </c>
      <c r="AE22" s="16">
        <f t="shared" si="9"/>
        <v>0.76614370225089423</v>
      </c>
      <c r="AF22" s="16">
        <f>'Gearing Calculator'!$C$17*Braking!AD22</f>
        <v>2068.3406139769932</v>
      </c>
      <c r="AG22" s="16">
        <f t="shared" si="10"/>
        <v>-7.7698745829338591</v>
      </c>
    </row>
    <row r="23" spans="1:33" x14ac:dyDescent="0.25">
      <c r="A23" s="48">
        <v>19</v>
      </c>
      <c r="B23" s="55" t="s">
        <v>151</v>
      </c>
      <c r="C23" s="74">
        <f>VLOOKUP(C22,A105:B110,2,FALSE)</f>
        <v>7.3113821138211375</v>
      </c>
      <c r="G23" s="41">
        <v>7000</v>
      </c>
      <c r="H23" s="16">
        <f>0.5*'Gearing Calculator'!$C$15*Braking!$C$11*Acceleration!$C$6*(Forces!H23^2)</f>
        <v>24.648111684822769</v>
      </c>
      <c r="I23" s="16">
        <f>0.5*'Gearing Calculator'!$C$15*Braking!$C$11*Acceleration!$C$6*(Forces!I23^2)</f>
        <v>41.122978001935188</v>
      </c>
      <c r="J23" s="16">
        <f>0.5*'Gearing Calculator'!$C$15*Braking!$C$11*Acceleration!$C$6*(Forces!J23^2)</f>
        <v>59.217088322786701</v>
      </c>
      <c r="K23" s="16">
        <f>0.5*'Gearing Calculator'!$C$15*Braking!$C$11*Acceleration!$C$6*(Forces!K23^2)</f>
        <v>78.839318772940885</v>
      </c>
      <c r="L23" s="16">
        <f>0.5*'Gearing Calculator'!$C$15*Braking!$C$11*Acceleration!$C$6*(Forces!L23^2)</f>
        <v>99.507452942954316</v>
      </c>
      <c r="M23" s="16">
        <f>0.5*'Gearing Calculator'!$C$15*Braking!$C$11*Acceleration!$C$6*(Forces!M23^2)</f>
        <v>124.37951758619347</v>
      </c>
      <c r="O23" s="41">
        <v>7000</v>
      </c>
      <c r="P23" s="22">
        <f t="shared" si="1"/>
        <v>-8.9183952237491884</v>
      </c>
      <c r="Q23" s="22">
        <f t="shared" si="2"/>
        <v>-8.9802842782837953</v>
      </c>
      <c r="R23" s="22">
        <f t="shared" si="3"/>
        <v>-9.0482561427498034</v>
      </c>
      <c r="S23" s="22">
        <f t="shared" si="4"/>
        <v>-9.1219685035693168</v>
      </c>
      <c r="T23" s="22">
        <f t="shared" si="5"/>
        <v>-9.1996098791140692</v>
      </c>
      <c r="U23" s="22">
        <f t="shared" si="6"/>
        <v>-9.2930436305913009</v>
      </c>
      <c r="W23" s="55">
        <v>19</v>
      </c>
      <c r="X23" s="61">
        <f t="shared" si="7"/>
        <v>446.39145240667006</v>
      </c>
      <c r="Z23" s="55">
        <v>19</v>
      </c>
      <c r="AA23" s="61">
        <f t="shared" si="8"/>
        <v>446.39145240667006</v>
      </c>
      <c r="AC23" s="16">
        <v>19</v>
      </c>
      <c r="AD23" s="16">
        <f t="shared" si="11"/>
        <v>1379.4224005764029</v>
      </c>
      <c r="AE23" s="16">
        <f t="shared" si="9"/>
        <v>0.80870724126483273</v>
      </c>
      <c r="AF23" s="16">
        <f>'Gearing Calculator'!$C$17*Braking!AD23</f>
        <v>2069.1336008646044</v>
      </c>
      <c r="AG23" s="16">
        <f t="shared" si="10"/>
        <v>-7.7728534968617753</v>
      </c>
    </row>
    <row r="24" spans="1:33" ht="15.75" thickBot="1" x14ac:dyDescent="0.3">
      <c r="A24" s="48">
        <v>20</v>
      </c>
      <c r="B24" s="56" t="s">
        <v>15</v>
      </c>
      <c r="C24" s="63">
        <v>15000</v>
      </c>
      <c r="G24" s="41">
        <v>7100</v>
      </c>
      <c r="H24" s="16">
        <f>0.5*'Gearing Calculator'!$C$15*Braking!$C$11*Acceleration!$C$6*(Forces!H24^2)</f>
        <v>25.347314218234725</v>
      </c>
      <c r="I24" s="16">
        <f>0.5*'Gearing Calculator'!$C$15*Braking!$C$11*Acceleration!$C$6*(Forces!I24^2)</f>
        <v>42.289529450908972</v>
      </c>
      <c r="J24" s="16">
        <f>0.5*'Gearing Calculator'!$C$15*Braking!$C$11*Acceleration!$C$6*(Forces!J24^2)</f>
        <v>60.896922409308914</v>
      </c>
      <c r="K24" s="16">
        <f>0.5*'Gearing Calculator'!$C$15*Braking!$C$11*Acceleration!$C$6*(Forces!K24^2)</f>
        <v>81.075784272748535</v>
      </c>
      <c r="L24" s="16">
        <f>0.5*'Gearing Calculator'!$C$15*Braking!$C$11*Acceleration!$C$6*(Forces!L24^2)</f>
        <v>102.33021941207606</v>
      </c>
      <c r="M24" s="16">
        <f>0.5*'Gearing Calculator'!$C$15*Braking!$C$11*Acceleration!$C$6*(Forces!M24^2)</f>
        <v>127.9078395490631</v>
      </c>
      <c r="O24" s="41">
        <v>7100</v>
      </c>
      <c r="P24" s="22">
        <f t="shared" si="1"/>
        <v>-8.9210218298100887</v>
      </c>
      <c r="Q24" s="22">
        <f t="shared" si="2"/>
        <v>-8.9846665151319307</v>
      </c>
      <c r="R24" s="22">
        <f t="shared" si="3"/>
        <v>-9.0545665638111199</v>
      </c>
      <c r="S24" s="22">
        <f t="shared" si="4"/>
        <v>-9.1303699517278734</v>
      </c>
      <c r="T24" s="22">
        <f t="shared" si="5"/>
        <v>-9.2102138102527693</v>
      </c>
      <c r="U24" s="22">
        <f t="shared" si="6"/>
        <v>-9.306298033156553</v>
      </c>
      <c r="W24" s="55">
        <v>20</v>
      </c>
      <c r="X24" s="61">
        <f t="shared" si="7"/>
        <v>469.8857393754422</v>
      </c>
      <c r="Z24" s="55">
        <v>20</v>
      </c>
      <c r="AA24" s="61">
        <f t="shared" si="8"/>
        <v>469.8857393754422</v>
      </c>
      <c r="AC24" s="16">
        <v>20</v>
      </c>
      <c r="AD24" s="16">
        <f t="shared" si="11"/>
        <v>1379.9510585014766</v>
      </c>
      <c r="AE24" s="16">
        <f t="shared" si="9"/>
        <v>0.85127078027877123</v>
      </c>
      <c r="AF24" s="16">
        <f>'Gearing Calculator'!$C$17*Braking!AD24</f>
        <v>2069.9265877522148</v>
      </c>
      <c r="AG24" s="16">
        <f t="shared" si="10"/>
        <v>-7.7758324107896879</v>
      </c>
    </row>
    <row r="25" spans="1:33" ht="15.75" thickBot="1" x14ac:dyDescent="0.3">
      <c r="A25" s="48">
        <v>21</v>
      </c>
      <c r="G25" s="41">
        <v>7200</v>
      </c>
      <c r="H25" s="16">
        <f>0.5*'Gearing Calculator'!$C$15*Braking!$C$11*Acceleration!$C$6*(Forces!H25^2)</f>
        <v>26.056295808058042</v>
      </c>
      <c r="I25" s="16">
        <f>0.5*'Gearing Calculator'!$C$15*Braking!$C$11*Acceleration!$C$6*(Forces!I25^2)</f>
        <v>43.472396304763492</v>
      </c>
      <c r="J25" s="16">
        <f>0.5*'Gearing Calculator'!$C$15*Braking!$C$11*Acceleration!$C$6*(Forces!J25^2)</f>
        <v>62.60025067885941</v>
      </c>
      <c r="K25" s="16">
        <f>0.5*'Gearing Calculator'!$C$15*Braking!$C$11*Acceleration!$C$6*(Forces!K25^2)</f>
        <v>83.343529010315805</v>
      </c>
      <c r="L25" s="16">
        <f>0.5*'Gearing Calculator'!$C$15*Braking!$C$11*Acceleration!$C$6*(Forces!L25^2)</f>
        <v>105.19246513251406</v>
      </c>
      <c r="M25" s="16">
        <f>0.5*'Gearing Calculator'!$C$15*Braking!$C$11*Acceleration!$C$6*(Forces!M25^2)</f>
        <v>131.48550867225251</v>
      </c>
      <c r="O25" s="41">
        <v>7200</v>
      </c>
      <c r="P25" s="22">
        <f t="shared" si="1"/>
        <v>-8.9236851716200949</v>
      </c>
      <c r="Q25" s="22">
        <f t="shared" si="2"/>
        <v>-8.9891100420059153</v>
      </c>
      <c r="R25" s="22">
        <f t="shared" si="3"/>
        <v>-9.0609652425096563</v>
      </c>
      <c r="S25" s="22">
        <f t="shared" si="4"/>
        <v>-9.138888902657877</v>
      </c>
      <c r="T25" s="22">
        <f t="shared" si="5"/>
        <v>-9.2209660481206814</v>
      </c>
      <c r="U25" s="22">
        <f t="shared" si="6"/>
        <v>-9.3197378119814562</v>
      </c>
      <c r="W25" s="55">
        <v>21</v>
      </c>
      <c r="X25" s="61">
        <f t="shared" si="7"/>
        <v>493.38002634421429</v>
      </c>
      <c r="Z25" s="55">
        <v>21</v>
      </c>
      <c r="AA25" s="61">
        <f t="shared" si="8"/>
        <v>493.38002634421429</v>
      </c>
      <c r="AC25" s="16">
        <v>21</v>
      </c>
      <c r="AD25" s="16">
        <f t="shared" si="11"/>
        <v>1380.4797164265503</v>
      </c>
      <c r="AE25" s="16">
        <f t="shared" si="9"/>
        <v>0.89383431929270973</v>
      </c>
      <c r="AF25" s="16">
        <f>'Gearing Calculator'!$C$17*Braking!AD25</f>
        <v>2070.7195746398256</v>
      </c>
      <c r="AG25" s="16">
        <f t="shared" si="10"/>
        <v>-7.7788113247176023</v>
      </c>
    </row>
    <row r="26" spans="1:33" ht="15.75" thickBot="1" x14ac:dyDescent="0.3">
      <c r="A26" s="48">
        <v>22</v>
      </c>
      <c r="B26" s="72" t="s">
        <v>155</v>
      </c>
      <c r="C26" s="75">
        <v>100</v>
      </c>
      <c r="G26" s="41">
        <v>7300</v>
      </c>
      <c r="H26" s="16">
        <f>0.5*'Gearing Calculator'!$C$15*Braking!$C$11*Acceleration!$C$6*(Forces!H26^2)</f>
        <v>26.775056454292706</v>
      </c>
      <c r="I26" s="16">
        <f>0.5*'Gearing Calculator'!$C$15*Braking!$C$11*Acceleration!$C$6*(Forces!I26^2)</f>
        <v>44.671578563498777</v>
      </c>
      <c r="J26" s="16">
        <f>0.5*'Gearing Calculator'!$C$15*Braking!$C$11*Acceleration!$C$6*(Forces!J26^2)</f>
        <v>64.327073131438212</v>
      </c>
      <c r="K26" s="16">
        <f>0.5*'Gearing Calculator'!$C$15*Braking!$C$11*Acceleration!$C$6*(Forces!K26^2)</f>
        <v>85.642552985642581</v>
      </c>
      <c r="L26" s="16">
        <f>0.5*'Gearing Calculator'!$C$15*Braking!$C$11*Acceleration!$C$6*(Forces!L26^2)</f>
        <v>108.09419010426853</v>
      </c>
      <c r="M26" s="16">
        <f>0.5*'Gearing Calculator'!$C$15*Braking!$C$11*Acceleration!$C$6*(Forces!M26^2)</f>
        <v>135.1125249557619</v>
      </c>
      <c r="O26" s="41">
        <v>7300</v>
      </c>
      <c r="P26" s="22">
        <f t="shared" si="1"/>
        <v>-8.9263852491792033</v>
      </c>
      <c r="Q26" s="22">
        <f t="shared" si="2"/>
        <v>-8.9936148589057474</v>
      </c>
      <c r="R26" s="22">
        <f t="shared" si="3"/>
        <v>-9.0674521788454143</v>
      </c>
      <c r="S26" s="22">
        <f t="shared" si="4"/>
        <v>-9.1475253563593295</v>
      </c>
      <c r="T26" s="22">
        <f t="shared" si="5"/>
        <v>-9.2318665927178039</v>
      </c>
      <c r="U26" s="22">
        <f t="shared" si="6"/>
        <v>-9.3333629670660141</v>
      </c>
      <c r="W26" s="55">
        <v>22</v>
      </c>
      <c r="X26" s="61">
        <f t="shared" si="7"/>
        <v>516.87431331298637</v>
      </c>
      <c r="Z26" s="55">
        <v>22</v>
      </c>
      <c r="AA26" s="61">
        <f t="shared" si="8"/>
        <v>516.87431331298637</v>
      </c>
      <c r="AC26" s="16">
        <v>22</v>
      </c>
      <c r="AD26" s="16">
        <f t="shared" si="11"/>
        <v>1381.0083743516243</v>
      </c>
      <c r="AE26" s="16">
        <f t="shared" si="9"/>
        <v>0.93639785830664846</v>
      </c>
      <c r="AF26" s="16">
        <f>'Gearing Calculator'!$C$17*Braking!AD26</f>
        <v>2071.5125615274364</v>
      </c>
      <c r="AG26" s="16">
        <f t="shared" si="10"/>
        <v>-7.7817902386455167</v>
      </c>
    </row>
    <row r="27" spans="1:33" x14ac:dyDescent="0.25">
      <c r="A27" s="48">
        <v>23</v>
      </c>
      <c r="G27" s="41">
        <v>7400</v>
      </c>
      <c r="H27" s="16">
        <f>0.5*'Gearing Calculator'!$C$15*Braking!$C$11*Acceleration!$C$6*(Forces!H27^2)</f>
        <v>27.50359615693872</v>
      </c>
      <c r="I27" s="16">
        <f>0.5*'Gearing Calculator'!$C$15*Braking!$C$11*Acceleration!$C$6*(Forces!I27^2)</f>
        <v>45.887076227114768</v>
      </c>
      <c r="J27" s="16">
        <f>0.5*'Gearing Calculator'!$C$15*Braking!$C$11*Acceleration!$C$6*(Forces!J27^2)</f>
        <v>66.077389767045275</v>
      </c>
      <c r="K27" s="16">
        <f>0.5*'Gearing Calculator'!$C$15*Braking!$C$11*Acceleration!$C$6*(Forces!K27^2)</f>
        <v>87.972856198728934</v>
      </c>
      <c r="L27" s="16">
        <f>0.5*'Gearing Calculator'!$C$15*Braking!$C$11*Acceleration!$C$6*(Forces!L27^2)</f>
        <v>111.03539432733945</v>
      </c>
      <c r="M27" s="16">
        <f>0.5*'Gearing Calculator'!$C$15*Braking!$C$11*Acceleration!$C$6*(Forces!M27^2)</f>
        <v>138.78888839959103</v>
      </c>
      <c r="O27" s="41">
        <v>7400</v>
      </c>
      <c r="P27" s="22">
        <f t="shared" si="1"/>
        <v>-8.9291220624874139</v>
      </c>
      <c r="Q27" s="22">
        <f t="shared" si="2"/>
        <v>-8.9981809658314269</v>
      </c>
      <c r="R27" s="22">
        <f t="shared" si="3"/>
        <v>-9.074027372818394</v>
      </c>
      <c r="S27" s="22">
        <f t="shared" si="4"/>
        <v>-9.1562793128322326</v>
      </c>
      <c r="T27" s="22">
        <f t="shared" si="5"/>
        <v>-9.2429154440441419</v>
      </c>
      <c r="U27" s="22">
        <f t="shared" si="6"/>
        <v>-9.3471734984102266</v>
      </c>
      <c r="W27" s="55">
        <v>23</v>
      </c>
      <c r="X27" s="61">
        <f t="shared" si="7"/>
        <v>540.36860028175852</v>
      </c>
      <c r="Z27" s="55">
        <v>23</v>
      </c>
      <c r="AA27" s="61">
        <f t="shared" si="8"/>
        <v>540.36860028175852</v>
      </c>
      <c r="AC27" s="16">
        <v>23</v>
      </c>
      <c r="AD27" s="16">
        <f t="shared" si="11"/>
        <v>1381.537032276698</v>
      </c>
      <c r="AE27" s="16">
        <f t="shared" si="9"/>
        <v>0.97896139732058696</v>
      </c>
      <c r="AF27" s="16">
        <f>'Gearing Calculator'!$C$17*Braking!AD27</f>
        <v>2072.3055484150473</v>
      </c>
      <c r="AG27" s="16">
        <f t="shared" si="10"/>
        <v>-7.7847691525734311</v>
      </c>
    </row>
    <row r="28" spans="1:33" x14ac:dyDescent="0.25">
      <c r="A28" s="48">
        <v>24</v>
      </c>
      <c r="G28" s="41">
        <v>7500</v>
      </c>
      <c r="H28" s="16">
        <f>0.5*'Gearing Calculator'!$C$15*Braking!$C$11*Acceleration!$C$6*(Forces!H28^2)</f>
        <v>28.241914915996105</v>
      </c>
      <c r="I28" s="16">
        <f>0.5*'Gearing Calculator'!$C$15*Braking!$C$11*Acceleration!$C$6*(Forces!I28^2)</f>
        <v>47.118889295611567</v>
      </c>
      <c r="J28" s="16">
        <f>0.5*'Gearing Calculator'!$C$15*Braking!$C$11*Acceleration!$C$6*(Forces!J28^2)</f>
        <v>67.851200585680601</v>
      </c>
      <c r="K28" s="16">
        <f>0.5*'Gearing Calculator'!$C$15*Braking!$C$11*Acceleration!$C$6*(Forces!K28^2)</f>
        <v>90.334438649574793</v>
      </c>
      <c r="L28" s="16">
        <f>0.5*'Gearing Calculator'!$C$15*Braking!$C$11*Acceleration!$C$6*(Forces!L28^2)</f>
        <v>114.01607780172665</v>
      </c>
      <c r="M28" s="16">
        <f>0.5*'Gearing Calculator'!$C$15*Braking!$C$11*Acceleration!$C$6*(Forces!M28^2)</f>
        <v>142.51459900374007</v>
      </c>
      <c r="O28" s="41">
        <v>7500</v>
      </c>
      <c r="P28" s="22">
        <f t="shared" si="1"/>
        <v>-8.9318956115447303</v>
      </c>
      <c r="Q28" s="22">
        <f t="shared" si="2"/>
        <v>-9.0028083627829556</v>
      </c>
      <c r="R28" s="22">
        <f t="shared" si="3"/>
        <v>-9.0806908244285935</v>
      </c>
      <c r="S28" s="22">
        <f t="shared" si="4"/>
        <v>-9.165150772076581</v>
      </c>
      <c r="T28" s="22">
        <f t="shared" si="5"/>
        <v>-9.2541126020996902</v>
      </c>
      <c r="U28" s="22">
        <f t="shared" si="6"/>
        <v>-9.361169406014092</v>
      </c>
      <c r="W28" s="55">
        <v>24</v>
      </c>
      <c r="X28" s="61">
        <f t="shared" si="7"/>
        <v>563.86288725053055</v>
      </c>
      <c r="Z28" s="55">
        <v>24</v>
      </c>
      <c r="AA28" s="61">
        <f t="shared" si="8"/>
        <v>563.86288725053055</v>
      </c>
      <c r="AC28" s="16">
        <v>24</v>
      </c>
      <c r="AD28" s="16">
        <f t="shared" si="11"/>
        <v>1382.065690201772</v>
      </c>
      <c r="AE28" s="16">
        <f t="shared" si="9"/>
        <v>1.0215249363345256</v>
      </c>
      <c r="AF28" s="16">
        <f>'Gearing Calculator'!$C$17*Braking!AD28</f>
        <v>2073.0985353026581</v>
      </c>
      <c r="AG28" s="16">
        <f t="shared" si="10"/>
        <v>-7.7877480665013454</v>
      </c>
    </row>
    <row r="29" spans="1:33" x14ac:dyDescent="0.25">
      <c r="A29" s="48">
        <v>25</v>
      </c>
      <c r="G29" s="41">
        <v>7600</v>
      </c>
      <c r="H29" s="16">
        <f>0.5*'Gearing Calculator'!$C$15*Braking!$C$11*Acceleration!$C$6*(Forces!H29^2)</f>
        <v>28.990012731464834</v>
      </c>
      <c r="I29" s="16">
        <f>0.5*'Gearing Calculator'!$C$15*Braking!$C$11*Acceleration!$C$6*(Forces!I29^2)</f>
        <v>48.367017768989072</v>
      </c>
      <c r="J29" s="16">
        <f>0.5*'Gearing Calculator'!$C$15*Braking!$C$11*Acceleration!$C$6*(Forces!J29^2)</f>
        <v>69.648505587344246</v>
      </c>
      <c r="K29" s="16">
        <f>0.5*'Gearing Calculator'!$C$15*Braking!$C$11*Acceleration!$C$6*(Forces!K29^2)</f>
        <v>92.727300338180214</v>
      </c>
      <c r="L29" s="16">
        <f>0.5*'Gearing Calculator'!$C$15*Braking!$C$11*Acceleration!$C$6*(Forces!L29^2)</f>
        <v>117.03624052743029</v>
      </c>
      <c r="M29" s="16">
        <f>0.5*'Gearing Calculator'!$C$15*Braking!$C$11*Acceleration!$C$6*(Forces!M29^2)</f>
        <v>146.28965676820897</v>
      </c>
      <c r="O29" s="41">
        <v>7600</v>
      </c>
      <c r="P29" s="22">
        <f t="shared" si="1"/>
        <v>-8.934705896351149</v>
      </c>
      <c r="Q29" s="22">
        <f t="shared" si="2"/>
        <v>-9.0074970497603317</v>
      </c>
      <c r="R29" s="22">
        <f t="shared" si="3"/>
        <v>-9.0874425336760147</v>
      </c>
      <c r="S29" s="22">
        <f t="shared" si="4"/>
        <v>-9.1741397340923783</v>
      </c>
      <c r="T29" s="22">
        <f t="shared" si="5"/>
        <v>-9.2654580668844524</v>
      </c>
      <c r="U29" s="22">
        <f t="shared" si="6"/>
        <v>-9.375350689877612</v>
      </c>
      <c r="W29" s="55">
        <v>25</v>
      </c>
      <c r="X29" s="61">
        <f t="shared" si="7"/>
        <v>587.35717421930269</v>
      </c>
      <c r="Z29" s="55">
        <v>25</v>
      </c>
      <c r="AA29" s="61">
        <f t="shared" si="8"/>
        <v>587.35717421930269</v>
      </c>
      <c r="AC29" s="16">
        <v>25</v>
      </c>
      <c r="AD29" s="16">
        <f t="shared" si="11"/>
        <v>1382.5943481268457</v>
      </c>
      <c r="AE29" s="16">
        <f t="shared" si="9"/>
        <v>1.0640884753484641</v>
      </c>
      <c r="AF29" s="16">
        <f>'Gearing Calculator'!$C$17*Braking!AD29</f>
        <v>2073.8915221902685</v>
      </c>
      <c r="AG29" s="16">
        <f t="shared" si="10"/>
        <v>-7.790726980429258</v>
      </c>
    </row>
    <row r="30" spans="1:33" x14ac:dyDescent="0.25">
      <c r="A30" s="48">
        <v>26</v>
      </c>
      <c r="B30" s="48" t="s">
        <v>100</v>
      </c>
      <c r="C30" s="48">
        <v>7</v>
      </c>
      <c r="G30" s="41">
        <v>7700</v>
      </c>
      <c r="H30" s="16">
        <f>0.5*'Gearing Calculator'!$C$15*Braking!$C$11*Acceleration!$C$6*(Forces!H30^2)</f>
        <v>29.747889603344909</v>
      </c>
      <c r="I30" s="16">
        <f>0.5*'Gearing Calculator'!$C$15*Braking!$C$11*Acceleration!$C$6*(Forces!I30^2)</f>
        <v>49.631461647247342</v>
      </c>
      <c r="J30" s="16">
        <f>0.5*'Gearing Calculator'!$C$15*Braking!$C$11*Acceleration!$C$6*(Forces!J30^2)</f>
        <v>71.469304772036182</v>
      </c>
      <c r="K30" s="16">
        <f>0.5*'Gearing Calculator'!$C$15*Braking!$C$11*Acceleration!$C$6*(Forces!K30^2)</f>
        <v>95.151441264545198</v>
      </c>
      <c r="L30" s="16">
        <f>0.5*'Gearing Calculator'!$C$15*Braking!$C$11*Acceleration!$C$6*(Forces!L30^2)</f>
        <v>120.09588250445037</v>
      </c>
      <c r="M30" s="16">
        <f>0.5*'Gearing Calculator'!$C$15*Braking!$C$11*Acceleration!$C$6*(Forces!M30^2)</f>
        <v>150.11406169299772</v>
      </c>
      <c r="O30" s="41">
        <v>7700</v>
      </c>
      <c r="P30" s="22">
        <f t="shared" si="1"/>
        <v>-8.9375529169066716</v>
      </c>
      <c r="Q30" s="22">
        <f t="shared" si="2"/>
        <v>-9.0122470267635553</v>
      </c>
      <c r="R30" s="22">
        <f t="shared" si="3"/>
        <v>-9.0942825005606593</v>
      </c>
      <c r="S30" s="22">
        <f t="shared" si="4"/>
        <v>-9.1832461988796243</v>
      </c>
      <c r="T30" s="22">
        <f t="shared" si="5"/>
        <v>-9.2769518383984284</v>
      </c>
      <c r="U30" s="22">
        <f t="shared" si="6"/>
        <v>-9.3897173500007849</v>
      </c>
      <c r="W30" s="55">
        <v>26</v>
      </c>
      <c r="X30" s="61">
        <f t="shared" si="7"/>
        <v>610.85146118807484</v>
      </c>
      <c r="Z30" s="55">
        <v>26</v>
      </c>
      <c r="AA30" s="61">
        <f t="shared" si="8"/>
        <v>610.85146118807484</v>
      </c>
      <c r="AC30" s="16">
        <v>26</v>
      </c>
      <c r="AD30" s="16">
        <f t="shared" si="11"/>
        <v>1383.1230060519194</v>
      </c>
      <c r="AE30" s="16">
        <f t="shared" si="9"/>
        <v>1.1066520143624026</v>
      </c>
      <c r="AF30" s="16">
        <f>'Gearing Calculator'!$C$17*Braking!AD30</f>
        <v>2074.6845090778793</v>
      </c>
      <c r="AG30" s="16">
        <f t="shared" si="10"/>
        <v>-7.7937058943571724</v>
      </c>
    </row>
    <row r="31" spans="1:33" x14ac:dyDescent="0.25">
      <c r="A31" s="48">
        <v>27</v>
      </c>
      <c r="B31" s="48" t="s">
        <v>101</v>
      </c>
      <c r="C31" s="48">
        <v>8</v>
      </c>
      <c r="G31" s="41">
        <v>7800</v>
      </c>
      <c r="H31" s="16">
        <f>0.5*'Gearing Calculator'!$C$15*Braking!$C$11*Acceleration!$C$6*(Forces!H31^2)</f>
        <v>30.515545531636363</v>
      </c>
      <c r="I31" s="16">
        <f>0.5*'Gearing Calculator'!$C$15*Braking!$C$11*Acceleration!$C$6*(Forces!I31^2)</f>
        <v>50.912220930386361</v>
      </c>
      <c r="J31" s="16">
        <f>0.5*'Gearing Calculator'!$C$15*Braking!$C$11*Acceleration!$C$6*(Forces!J31^2)</f>
        <v>73.31359813975638</v>
      </c>
      <c r="K31" s="16">
        <f>0.5*'Gearing Calculator'!$C$15*Braking!$C$11*Acceleration!$C$6*(Forces!K31^2)</f>
        <v>97.606861428669717</v>
      </c>
      <c r="L31" s="16">
        <f>0.5*'Gearing Calculator'!$C$15*Braking!$C$11*Acceleration!$C$6*(Forces!L31^2)</f>
        <v>123.19500373278679</v>
      </c>
      <c r="M31" s="16">
        <f>0.5*'Gearing Calculator'!$C$15*Braking!$C$11*Acceleration!$C$6*(Forces!M31^2)</f>
        <v>153.98781377810633</v>
      </c>
      <c r="O31" s="41">
        <v>7800</v>
      </c>
      <c r="P31" s="22">
        <f t="shared" si="1"/>
        <v>-8.9404366732112965</v>
      </c>
      <c r="Q31" s="22">
        <f t="shared" si="2"/>
        <v>-9.017058293792628</v>
      </c>
      <c r="R31" s="22">
        <f t="shared" si="3"/>
        <v>-9.101210725082522</v>
      </c>
      <c r="S31" s="22">
        <f t="shared" si="4"/>
        <v>-9.1924701664383193</v>
      </c>
      <c r="T31" s="22">
        <f t="shared" si="5"/>
        <v>-9.2885939166416147</v>
      </c>
      <c r="U31" s="22">
        <f t="shared" si="6"/>
        <v>-9.4042693863836107</v>
      </c>
      <c r="W31" s="55">
        <v>27</v>
      </c>
      <c r="X31" s="61">
        <f t="shared" si="7"/>
        <v>634.34574815684698</v>
      </c>
      <c r="Z31" s="55">
        <v>27</v>
      </c>
      <c r="AA31" s="61">
        <f t="shared" si="8"/>
        <v>634.34574815684698</v>
      </c>
      <c r="AC31" s="16">
        <v>27</v>
      </c>
      <c r="AD31" s="16">
        <f t="shared" si="11"/>
        <v>1383.6516639769934</v>
      </c>
      <c r="AE31" s="16">
        <f t="shared" si="9"/>
        <v>1.1492155533763413</v>
      </c>
      <c r="AF31" s="16">
        <f>'Gearing Calculator'!$C$17*Braking!AD31</f>
        <v>2075.4774959654901</v>
      </c>
      <c r="AG31" s="16">
        <f t="shared" si="10"/>
        <v>-7.7966848082850868</v>
      </c>
    </row>
    <row r="32" spans="1:33" x14ac:dyDescent="0.25">
      <c r="A32" s="48">
        <v>28</v>
      </c>
      <c r="B32" s="48" t="s">
        <v>102</v>
      </c>
      <c r="C32" s="48">
        <v>9</v>
      </c>
      <c r="G32" s="41">
        <v>7900</v>
      </c>
      <c r="H32" s="16">
        <f>0.5*'Gearing Calculator'!$C$15*Braking!$C$11*Acceleration!$C$6*(Forces!H32^2)</f>
        <v>31.292980516339167</v>
      </c>
      <c r="I32" s="16">
        <f>0.5*'Gearing Calculator'!$C$15*Braking!$C$11*Acceleration!$C$6*(Forces!I32^2)</f>
        <v>52.209295618406152</v>
      </c>
      <c r="J32" s="16">
        <f>0.5*'Gearing Calculator'!$C$15*Braking!$C$11*Acceleration!$C$6*(Forces!J32^2)</f>
        <v>75.18138569050484</v>
      </c>
      <c r="K32" s="16">
        <f>0.5*'Gearing Calculator'!$C$15*Braking!$C$11*Acceleration!$C$6*(Forces!K32^2)</f>
        <v>100.09356083055377</v>
      </c>
      <c r="L32" s="16">
        <f>0.5*'Gearing Calculator'!$C$15*Braking!$C$11*Acceleration!$C$6*(Forces!L32^2)</f>
        <v>126.33360421243948</v>
      </c>
      <c r="M32" s="16">
        <f>0.5*'Gearing Calculator'!$C$15*Braking!$C$11*Acceleration!$C$6*(Forces!M32^2)</f>
        <v>157.91091302353473</v>
      </c>
      <c r="O32" s="41">
        <v>7900</v>
      </c>
      <c r="P32" s="22">
        <f t="shared" si="1"/>
        <v>-8.9433571652650272</v>
      </c>
      <c r="Q32" s="22">
        <f t="shared" si="2"/>
        <v>-9.0219308508475482</v>
      </c>
      <c r="R32" s="22">
        <f t="shared" si="3"/>
        <v>-9.1082272072416082</v>
      </c>
      <c r="S32" s="22">
        <f t="shared" si="4"/>
        <v>-9.201811636768463</v>
      </c>
      <c r="T32" s="22">
        <f t="shared" si="5"/>
        <v>-9.3003843016140149</v>
      </c>
      <c r="U32" s="22">
        <f t="shared" si="6"/>
        <v>-9.4190067990260928</v>
      </c>
      <c r="W32" s="55">
        <v>28</v>
      </c>
      <c r="X32" s="61">
        <f t="shared" si="7"/>
        <v>657.84003512561901</v>
      </c>
      <c r="Z32" s="55">
        <v>28</v>
      </c>
      <c r="AA32" s="61">
        <f t="shared" si="8"/>
        <v>657.84003512561901</v>
      </c>
      <c r="AC32" s="16">
        <v>28</v>
      </c>
      <c r="AD32" s="16">
        <f t="shared" si="11"/>
        <v>1384.1803219020671</v>
      </c>
      <c r="AE32" s="16">
        <f t="shared" si="9"/>
        <v>1.1917790923902798</v>
      </c>
      <c r="AF32" s="16">
        <f>'Gearing Calculator'!$C$17*Braking!AD32</f>
        <v>2076.2704828531005</v>
      </c>
      <c r="AG32" s="16">
        <f t="shared" si="10"/>
        <v>-7.7996637222130003</v>
      </c>
    </row>
    <row r="33" spans="1:33" x14ac:dyDescent="0.25">
      <c r="A33" s="48">
        <v>29</v>
      </c>
      <c r="B33" s="48" t="s">
        <v>103</v>
      </c>
      <c r="C33" s="48">
        <v>10</v>
      </c>
      <c r="G33" s="41">
        <v>8000</v>
      </c>
      <c r="H33" s="16">
        <f>0.5*'Gearing Calculator'!$C$15*Braking!$C$11*Acceleration!$C$6*(Forces!H33^2)</f>
        <v>32.080194557453311</v>
      </c>
      <c r="I33" s="16">
        <f>0.5*'Gearing Calculator'!$C$15*Braking!$C$11*Acceleration!$C$6*(Forces!I33^2)</f>
        <v>53.522685711306671</v>
      </c>
      <c r="J33" s="16">
        <f>0.5*'Gearing Calculator'!$C$15*Braking!$C$11*Acceleration!$C$6*(Forces!J33^2)</f>
        <v>77.07266742428159</v>
      </c>
      <c r="K33" s="16">
        <f>0.5*'Gearing Calculator'!$C$15*Braking!$C$11*Acceleration!$C$6*(Forces!K33^2)</f>
        <v>102.61153947019743</v>
      </c>
      <c r="L33" s="16">
        <f>0.5*'Gearing Calculator'!$C$15*Braking!$C$11*Acceleration!$C$6*(Forces!L33^2)</f>
        <v>129.51168394340868</v>
      </c>
      <c r="M33" s="16">
        <f>0.5*'Gearing Calculator'!$C$15*Braking!$C$11*Acceleration!$C$6*(Forces!M33^2)</f>
        <v>161.88335942928305</v>
      </c>
      <c r="O33" s="41">
        <v>8000</v>
      </c>
      <c r="P33" s="22">
        <f t="shared" si="1"/>
        <v>-8.9463143930678601</v>
      </c>
      <c r="Q33" s="22">
        <f t="shared" si="2"/>
        <v>-9.0268646979283158</v>
      </c>
      <c r="R33" s="22">
        <f t="shared" si="3"/>
        <v>-9.1153319470379142</v>
      </c>
      <c r="S33" s="22">
        <f t="shared" si="4"/>
        <v>-9.2112706098700556</v>
      </c>
      <c r="T33" s="22">
        <f t="shared" si="5"/>
        <v>-9.3123229933156271</v>
      </c>
      <c r="U33" s="22">
        <f t="shared" si="6"/>
        <v>-9.4339295879282279</v>
      </c>
      <c r="W33" s="55">
        <v>29</v>
      </c>
      <c r="X33" s="61">
        <f t="shared" si="7"/>
        <v>681.33432209439115</v>
      </c>
      <c r="Z33" s="55">
        <v>29</v>
      </c>
      <c r="AA33" s="61">
        <f t="shared" si="8"/>
        <v>681.33432209439115</v>
      </c>
      <c r="AC33" s="16">
        <v>29</v>
      </c>
      <c r="AD33" s="16">
        <f t="shared" si="11"/>
        <v>1384.7089798271411</v>
      </c>
      <c r="AE33" s="16">
        <f t="shared" si="9"/>
        <v>1.2343426314042183</v>
      </c>
      <c r="AF33" s="16">
        <f>'Gearing Calculator'!$C$17*Braking!AD33</f>
        <v>2077.0634697407118</v>
      </c>
      <c r="AG33" s="16">
        <f t="shared" si="10"/>
        <v>-7.8026426361409156</v>
      </c>
    </row>
    <row r="34" spans="1:33" x14ac:dyDescent="0.25">
      <c r="A34" s="48">
        <v>30</v>
      </c>
      <c r="B34" s="48" t="s">
        <v>104</v>
      </c>
      <c r="C34" s="48">
        <v>11</v>
      </c>
      <c r="G34" s="41">
        <v>8100</v>
      </c>
      <c r="H34" s="16">
        <f>0.5*'Gearing Calculator'!$C$15*Braking!$C$11*Acceleration!$C$6*(Forces!H34^2)</f>
        <v>32.877187654978833</v>
      </c>
      <c r="I34" s="16">
        <f>0.5*'Gearing Calculator'!$C$15*Braking!$C$11*Acceleration!$C$6*(Forces!I34^2)</f>
        <v>54.852391209087962</v>
      </c>
      <c r="J34" s="16">
        <f>0.5*'Gearing Calculator'!$C$15*Braking!$C$11*Acceleration!$C$6*(Forces!J34^2)</f>
        <v>78.987443341086632</v>
      </c>
      <c r="K34" s="16">
        <f>0.5*'Gearing Calculator'!$C$15*Braking!$C$11*Acceleration!$C$6*(Forces!K34^2)</f>
        <v>105.16079734760056</v>
      </c>
      <c r="L34" s="16">
        <f>0.5*'Gearing Calculator'!$C$15*Braking!$C$11*Acceleration!$C$6*(Forces!L34^2)</f>
        <v>132.72924292569428</v>
      </c>
      <c r="M34" s="16">
        <f>0.5*'Gearing Calculator'!$C$15*Braking!$C$11*Acceleration!$C$6*(Forces!M34^2)</f>
        <v>165.9051529953511</v>
      </c>
      <c r="O34" s="41">
        <v>8100</v>
      </c>
      <c r="P34" s="22">
        <f t="shared" si="1"/>
        <v>-8.9493083566197971</v>
      </c>
      <c r="Q34" s="22">
        <f t="shared" si="2"/>
        <v>-9.0318598350349326</v>
      </c>
      <c r="R34" s="22">
        <f t="shared" si="3"/>
        <v>-9.1225249444714418</v>
      </c>
      <c r="S34" s="22">
        <f t="shared" si="4"/>
        <v>-9.2208470857430935</v>
      </c>
      <c r="T34" s="22">
        <f t="shared" si="5"/>
        <v>-9.3244099917464514</v>
      </c>
      <c r="U34" s="22">
        <f t="shared" si="6"/>
        <v>-9.4490377530900158</v>
      </c>
      <c r="W34" s="55">
        <v>30</v>
      </c>
      <c r="X34" s="61">
        <f t="shared" si="7"/>
        <v>704.8286090631633</v>
      </c>
      <c r="Z34" s="55">
        <v>30</v>
      </c>
      <c r="AA34" s="61">
        <f t="shared" si="8"/>
        <v>704.8286090631633</v>
      </c>
      <c r="AC34" s="16">
        <v>30</v>
      </c>
      <c r="AD34" s="16">
        <f t="shared" si="11"/>
        <v>1385.2376377522148</v>
      </c>
      <c r="AE34" s="16">
        <f t="shared" si="9"/>
        <v>1.2769061704181568</v>
      </c>
      <c r="AF34" s="16">
        <f>'Gearing Calculator'!$C$17*Braking!AD34</f>
        <v>2077.8564566283221</v>
      </c>
      <c r="AG34" s="16">
        <f t="shared" si="10"/>
        <v>-7.8056215500688291</v>
      </c>
    </row>
    <row r="35" spans="1:33" x14ac:dyDescent="0.25">
      <c r="A35" s="48">
        <v>31</v>
      </c>
      <c r="B35" s="48" t="s">
        <v>105</v>
      </c>
      <c r="C35" s="48">
        <v>12</v>
      </c>
      <c r="G35" s="41">
        <v>8200</v>
      </c>
      <c r="H35" s="16">
        <f>0.5*'Gearing Calculator'!$C$15*Braking!$C$11*Acceleration!$C$6*(Forces!H35^2)</f>
        <v>33.683959808915695</v>
      </c>
      <c r="I35" s="16">
        <f>0.5*'Gearing Calculator'!$C$15*Braking!$C$11*Acceleration!$C$6*(Forces!I35^2)</f>
        <v>56.198412111750017</v>
      </c>
      <c r="J35" s="16">
        <f>0.5*'Gearing Calculator'!$C$15*Braking!$C$11*Acceleration!$C$6*(Forces!J35^2)</f>
        <v>80.925713440919964</v>
      </c>
      <c r="K35" s="16">
        <f>0.5*'Gearing Calculator'!$C$15*Braking!$C$11*Acceleration!$C$6*(Forces!K35^2)</f>
        <v>107.74133446276329</v>
      </c>
      <c r="L35" s="16">
        <f>0.5*'Gearing Calculator'!$C$15*Braking!$C$11*Acceleration!$C$6*(Forces!L35^2)</f>
        <v>135.98628115929623</v>
      </c>
      <c r="M35" s="16">
        <f>0.5*'Gearing Calculator'!$C$15*Braking!$C$11*Acceleration!$C$6*(Forces!M35^2)</f>
        <v>169.97629372173918</v>
      </c>
      <c r="O35" s="41">
        <v>8200</v>
      </c>
      <c r="P35" s="22">
        <f t="shared" si="1"/>
        <v>-8.9523390559208362</v>
      </c>
      <c r="Q35" s="22">
        <f t="shared" si="2"/>
        <v>-9.0369162621673969</v>
      </c>
      <c r="R35" s="22">
        <f t="shared" si="3"/>
        <v>-9.1298061995421893</v>
      </c>
      <c r="S35" s="22">
        <f t="shared" si="4"/>
        <v>-9.230541064387582</v>
      </c>
      <c r="T35" s="22">
        <f t="shared" si="5"/>
        <v>-9.3366452969064877</v>
      </c>
      <c r="U35" s="22">
        <f t="shared" si="6"/>
        <v>-9.4643312945114584</v>
      </c>
      <c r="W35" s="55">
        <v>31</v>
      </c>
      <c r="X35" s="61">
        <f t="shared" si="7"/>
        <v>728.32289603193533</v>
      </c>
      <c r="Z35" s="55">
        <v>31</v>
      </c>
      <c r="AA35" s="61">
        <f t="shared" si="8"/>
        <v>728.32289603193533</v>
      </c>
      <c r="AC35" s="16">
        <v>31</v>
      </c>
      <c r="AD35" s="16">
        <f t="shared" si="11"/>
        <v>1385.7662956772886</v>
      </c>
      <c r="AE35" s="16">
        <f t="shared" si="9"/>
        <v>1.3194697094320953</v>
      </c>
      <c r="AF35" s="16">
        <f>'Gearing Calculator'!$C$17*Braking!AD35</f>
        <v>2078.6494435159329</v>
      </c>
      <c r="AG35" s="16">
        <f t="shared" si="10"/>
        <v>-7.8086004639967435</v>
      </c>
    </row>
    <row r="36" spans="1:33" x14ac:dyDescent="0.25">
      <c r="A36" s="48">
        <v>32</v>
      </c>
      <c r="B36" s="48">
        <f>VLOOKUP(C22,B30:C35,2,FALSE)</f>
        <v>12</v>
      </c>
      <c r="C36" s="48"/>
      <c r="G36" s="41">
        <v>8300</v>
      </c>
      <c r="H36" s="16">
        <f>0.5*'Gearing Calculator'!$C$15*Braking!$C$11*Acceleration!$C$6*(Forces!H36^2)</f>
        <v>34.500511019263932</v>
      </c>
      <c r="I36" s="16">
        <f>0.5*'Gearing Calculator'!$C$15*Braking!$C$11*Acceleration!$C$6*(Forces!I36^2)</f>
        <v>57.560748419292786</v>
      </c>
      <c r="J36" s="16">
        <f>0.5*'Gearing Calculator'!$C$15*Braking!$C$11*Acceleration!$C$6*(Forces!J36^2)</f>
        <v>82.887477723781558</v>
      </c>
      <c r="K36" s="16">
        <f>0.5*'Gearing Calculator'!$C$15*Braking!$C$11*Acceleration!$C$6*(Forces!K36^2)</f>
        <v>110.35315081568555</v>
      </c>
      <c r="L36" s="16">
        <f>0.5*'Gearing Calculator'!$C$15*Braking!$C$11*Acceleration!$C$6*(Forces!L36^2)</f>
        <v>139.28279864421464</v>
      </c>
      <c r="M36" s="16">
        <f>0.5*'Gearing Calculator'!$C$15*Braking!$C$11*Acceleration!$C$6*(Forces!M36^2)</f>
        <v>174.09678160844697</v>
      </c>
      <c r="O36" s="41">
        <v>8300</v>
      </c>
      <c r="P36" s="22">
        <f t="shared" si="1"/>
        <v>-8.9554064909709794</v>
      </c>
      <c r="Q36" s="22">
        <f t="shared" si="2"/>
        <v>-9.0420339793257103</v>
      </c>
      <c r="R36" s="22">
        <f t="shared" si="3"/>
        <v>-9.1371757122501602</v>
      </c>
      <c r="S36" s="22">
        <f t="shared" si="4"/>
        <v>-9.2403525458035176</v>
      </c>
      <c r="T36" s="22">
        <f t="shared" si="5"/>
        <v>-9.3490289087957397</v>
      </c>
      <c r="U36" s="22">
        <f t="shared" si="6"/>
        <v>-9.4798102121925556</v>
      </c>
      <c r="W36" s="55">
        <v>32</v>
      </c>
      <c r="X36" s="61">
        <f t="shared" si="7"/>
        <v>751.81718300070747</v>
      </c>
      <c r="Z36" s="55">
        <v>32</v>
      </c>
      <c r="AA36" s="61">
        <f t="shared" si="8"/>
        <v>751.81718300070747</v>
      </c>
      <c r="AC36" s="16">
        <v>32</v>
      </c>
      <c r="AD36" s="16">
        <f t="shared" si="11"/>
        <v>1386.2949536023625</v>
      </c>
      <c r="AE36" s="16">
        <f t="shared" si="9"/>
        <v>1.362033248446034</v>
      </c>
      <c r="AF36" s="16">
        <f>'Gearing Calculator'!$C$17*Braking!AD36</f>
        <v>2079.4424304035438</v>
      </c>
      <c r="AG36" s="16">
        <f t="shared" si="10"/>
        <v>-7.8115793779246578</v>
      </c>
    </row>
    <row r="37" spans="1:33" x14ac:dyDescent="0.25">
      <c r="A37" s="48">
        <v>33</v>
      </c>
      <c r="G37" s="41">
        <v>8400</v>
      </c>
      <c r="H37" s="16">
        <f>0.5*'Gearing Calculator'!$C$15*Braking!$C$11*Acceleration!$C$6*(Forces!H37^2)</f>
        <v>35.326841286023509</v>
      </c>
      <c r="I37" s="16">
        <f>0.5*'Gearing Calculator'!$C$15*Braking!$C$11*Acceleration!$C$6*(Forces!I37^2)</f>
        <v>58.939400131716305</v>
      </c>
      <c r="J37" s="16">
        <f>0.5*'Gearing Calculator'!$C$15*Braking!$C$11*Acceleration!$C$6*(Forces!J37^2)</f>
        <v>84.872736189671485</v>
      </c>
      <c r="K37" s="16">
        <f>0.5*'Gearing Calculator'!$C$15*Braking!$C$11*Acceleration!$C$6*(Forces!K37^2)</f>
        <v>112.99624640636738</v>
      </c>
      <c r="L37" s="16">
        <f>0.5*'Gearing Calculator'!$C$15*Braking!$C$11*Acceleration!$C$6*(Forces!L37^2)</f>
        <v>142.61879538044937</v>
      </c>
      <c r="M37" s="16">
        <f>0.5*'Gearing Calculator'!$C$15*Braking!$C$11*Acceleration!$C$6*(Forces!M37^2)</f>
        <v>178.26661665547479</v>
      </c>
      <c r="O37" s="41">
        <v>8400</v>
      </c>
      <c r="P37" s="22">
        <f t="shared" si="1"/>
        <v>-8.9585106617702284</v>
      </c>
      <c r="Q37" s="22">
        <f t="shared" si="2"/>
        <v>-9.0472129865098694</v>
      </c>
      <c r="R37" s="22">
        <f t="shared" si="3"/>
        <v>-9.144633482595351</v>
      </c>
      <c r="S37" s="22">
        <f t="shared" si="4"/>
        <v>-9.2502815299909038</v>
      </c>
      <c r="T37" s="22">
        <f t="shared" si="5"/>
        <v>-9.3615608274142019</v>
      </c>
      <c r="U37" s="22">
        <f t="shared" si="6"/>
        <v>-9.4954745061333057</v>
      </c>
      <c r="W37" s="55">
        <v>33</v>
      </c>
      <c r="X37" s="61">
        <f t="shared" si="7"/>
        <v>775.31146996947962</v>
      </c>
      <c r="Z37" s="55">
        <v>33</v>
      </c>
      <c r="AA37" s="61">
        <f t="shared" si="8"/>
        <v>775.31146996947962</v>
      </c>
      <c r="AC37" s="16">
        <v>33</v>
      </c>
      <c r="AD37" s="16">
        <f t="shared" si="11"/>
        <v>1386.8236115274362</v>
      </c>
      <c r="AE37" s="16">
        <f t="shared" si="9"/>
        <v>1.4045967874599725</v>
      </c>
      <c r="AF37" s="16">
        <f>'Gearing Calculator'!$C$17*Braking!AD37</f>
        <v>2080.2354172911546</v>
      </c>
      <c r="AG37" s="16">
        <f t="shared" si="10"/>
        <v>-7.8145582918525722</v>
      </c>
    </row>
    <row r="38" spans="1:33" x14ac:dyDescent="0.25">
      <c r="A38" s="48">
        <v>34</v>
      </c>
      <c r="G38" s="41">
        <v>8500</v>
      </c>
      <c r="H38" s="16">
        <f>0.5*'Gearing Calculator'!$C$15*Braking!$C$11*Acceleration!$C$6*(Forces!H38^2)</f>
        <v>36.162950609194461</v>
      </c>
      <c r="I38" s="16">
        <f>0.5*'Gearing Calculator'!$C$15*Braking!$C$11*Acceleration!$C$6*(Forces!I38^2)</f>
        <v>60.334367249020616</v>
      </c>
      <c r="J38" s="16">
        <f>0.5*'Gearing Calculator'!$C$15*Braking!$C$11*Acceleration!$C$6*(Forces!J38^2)</f>
        <v>86.881488838589647</v>
      </c>
      <c r="K38" s="16">
        <f>0.5*'Gearing Calculator'!$C$15*Braking!$C$11*Acceleration!$C$6*(Forces!K38^2)</f>
        <v>115.67062123480875</v>
      </c>
      <c r="L38" s="16">
        <f>0.5*'Gearing Calculator'!$C$15*Braking!$C$11*Acceleration!$C$6*(Forces!L38^2)</f>
        <v>145.99427136800043</v>
      </c>
      <c r="M38" s="16">
        <f>0.5*'Gearing Calculator'!$C$15*Braking!$C$11*Acceleration!$C$6*(Forces!M38^2)</f>
        <v>182.48579886282226</v>
      </c>
      <c r="O38" s="41">
        <v>8500</v>
      </c>
      <c r="P38" s="22">
        <f t="shared" si="1"/>
        <v>-8.9616515683185796</v>
      </c>
      <c r="Q38" s="22">
        <f t="shared" si="2"/>
        <v>-9.0524532837198777</v>
      </c>
      <c r="R38" s="22">
        <f t="shared" si="3"/>
        <v>-9.1521795105777635</v>
      </c>
      <c r="S38" s="22">
        <f t="shared" si="4"/>
        <v>-9.2603280169497353</v>
      </c>
      <c r="T38" s="22">
        <f t="shared" si="5"/>
        <v>-9.3742410527618762</v>
      </c>
      <c r="U38" s="22">
        <f t="shared" si="6"/>
        <v>-9.5113241763337086</v>
      </c>
      <c r="W38" s="55">
        <v>34</v>
      </c>
      <c r="X38" s="61">
        <f t="shared" si="7"/>
        <v>798.80575693825165</v>
      </c>
      <c r="Z38" s="55">
        <v>34</v>
      </c>
      <c r="AA38" s="61">
        <f t="shared" si="8"/>
        <v>798.80575693825165</v>
      </c>
      <c r="AC38" s="16">
        <v>34</v>
      </c>
      <c r="AD38" s="16">
        <f t="shared" si="11"/>
        <v>1387.3522694525102</v>
      </c>
      <c r="AE38" s="16">
        <f t="shared" si="9"/>
        <v>1.4471603264739112</v>
      </c>
      <c r="AF38" s="16">
        <f>'Gearing Calculator'!$C$17*Braking!AD38</f>
        <v>2081.0284041787654</v>
      </c>
      <c r="AG38" s="16">
        <f t="shared" si="10"/>
        <v>-7.8175372057804866</v>
      </c>
    </row>
    <row r="39" spans="1:33" x14ac:dyDescent="0.25">
      <c r="A39" s="48">
        <v>35</v>
      </c>
      <c r="G39" s="41">
        <v>8600</v>
      </c>
      <c r="H39" s="16">
        <f>0.5*'Gearing Calculator'!$C$15*Braking!$C$11*Acceleration!$C$6*(Forces!H39^2)</f>
        <v>37.008838988776738</v>
      </c>
      <c r="I39" s="16">
        <f>0.5*'Gearing Calculator'!$C$15*Braking!$C$11*Acceleration!$C$6*(Forces!I39^2)</f>
        <v>61.745649771205656</v>
      </c>
      <c r="J39" s="16">
        <f>0.5*'Gearing Calculator'!$C$15*Braking!$C$11*Acceleration!$C$6*(Forces!J39^2)</f>
        <v>88.913735670536113</v>
      </c>
      <c r="K39" s="16">
        <f>0.5*'Gearing Calculator'!$C$15*Braking!$C$11*Acceleration!$C$6*(Forces!K39^2)</f>
        <v>118.37627530100961</v>
      </c>
      <c r="L39" s="16">
        <f>0.5*'Gearing Calculator'!$C$15*Braking!$C$11*Acceleration!$C$6*(Forces!L39^2)</f>
        <v>149.40922660686803</v>
      </c>
      <c r="M39" s="16">
        <f>0.5*'Gearing Calculator'!$C$15*Braking!$C$11*Acceleration!$C$6*(Forces!M39^2)</f>
        <v>186.75432823048982</v>
      </c>
      <c r="O39" s="41">
        <v>8600</v>
      </c>
      <c r="P39" s="22">
        <f t="shared" si="1"/>
        <v>-8.9648292106160312</v>
      </c>
      <c r="Q39" s="22">
        <f t="shared" si="2"/>
        <v>-9.0577548709557352</v>
      </c>
      <c r="R39" s="22">
        <f t="shared" si="3"/>
        <v>-9.1598137961973976</v>
      </c>
      <c r="S39" s="22">
        <f t="shared" si="4"/>
        <v>-9.2704920066800174</v>
      </c>
      <c r="T39" s="22">
        <f t="shared" si="5"/>
        <v>-9.3870695848387644</v>
      </c>
      <c r="U39" s="22">
        <f t="shared" si="6"/>
        <v>-9.527359222793768</v>
      </c>
      <c r="W39" s="55">
        <v>35</v>
      </c>
      <c r="X39" s="61">
        <f t="shared" si="7"/>
        <v>822.30004390702379</v>
      </c>
      <c r="Z39" s="55">
        <v>35</v>
      </c>
      <c r="AA39" s="61">
        <f t="shared" si="8"/>
        <v>822.30004390702379</v>
      </c>
      <c r="AC39" s="16">
        <v>35</v>
      </c>
      <c r="AD39" s="16">
        <f t="shared" si="11"/>
        <v>1387.8809273775839</v>
      </c>
      <c r="AE39" s="16">
        <f t="shared" si="9"/>
        <v>1.4897238654878497</v>
      </c>
      <c r="AF39" s="16">
        <f>'Gearing Calculator'!$C$17*Braking!AD39</f>
        <v>2081.8213910663758</v>
      </c>
      <c r="AG39" s="16">
        <f t="shared" si="10"/>
        <v>-7.8205161197083992</v>
      </c>
    </row>
    <row r="40" spans="1:33" x14ac:dyDescent="0.25">
      <c r="A40" s="48">
        <v>36</v>
      </c>
      <c r="G40" s="41">
        <v>8700</v>
      </c>
      <c r="H40" s="16">
        <f>0.5*'Gearing Calculator'!$C$15*Braking!$C$11*Acceleration!$C$6*(Forces!H40^2)</f>
        <v>37.864506424770383</v>
      </c>
      <c r="I40" s="16">
        <f>0.5*'Gearing Calculator'!$C$15*Braking!$C$11*Acceleration!$C$6*(Forces!I40^2)</f>
        <v>63.173247698271467</v>
      </c>
      <c r="J40" s="16">
        <f>0.5*'Gearing Calculator'!$C$15*Braking!$C$11*Acceleration!$C$6*(Forces!J40^2)</f>
        <v>90.969476685510855</v>
      </c>
      <c r="K40" s="16">
        <f>0.5*'Gearing Calculator'!$C$15*Braking!$C$11*Acceleration!$C$6*(Forces!K40^2)</f>
        <v>121.11320860497008</v>
      </c>
      <c r="L40" s="16">
        <f>0.5*'Gearing Calculator'!$C$15*Braking!$C$11*Acceleration!$C$6*(Forces!L40^2)</f>
        <v>152.86366109705187</v>
      </c>
      <c r="M40" s="16">
        <f>0.5*'Gearing Calculator'!$C$15*Braking!$C$11*Acceleration!$C$6*(Forces!M40^2)</f>
        <v>191.072204758477</v>
      </c>
      <c r="O40" s="41">
        <v>8700</v>
      </c>
      <c r="P40" s="22">
        <f t="shared" si="1"/>
        <v>-8.9680435886625904</v>
      </c>
      <c r="Q40" s="22">
        <f t="shared" si="2"/>
        <v>-9.0631177482174401</v>
      </c>
      <c r="R40" s="22">
        <f t="shared" si="3"/>
        <v>-9.1675363394542533</v>
      </c>
      <c r="S40" s="22">
        <f t="shared" si="4"/>
        <v>-9.2807734991817483</v>
      </c>
      <c r="T40" s="22">
        <f t="shared" si="5"/>
        <v>-9.4000464236448646</v>
      </c>
      <c r="U40" s="22">
        <f t="shared" si="6"/>
        <v>-9.5435796455134785</v>
      </c>
      <c r="W40" s="55">
        <v>36</v>
      </c>
      <c r="X40" s="61">
        <f t="shared" si="7"/>
        <v>845.79433087579594</v>
      </c>
      <c r="Z40" s="55">
        <v>36</v>
      </c>
      <c r="AA40" s="61">
        <f t="shared" si="8"/>
        <v>845.79433087579594</v>
      </c>
      <c r="AC40" s="16">
        <v>36</v>
      </c>
      <c r="AD40" s="16">
        <f t="shared" si="11"/>
        <v>1388.4095853026579</v>
      </c>
      <c r="AE40" s="16">
        <f t="shared" si="9"/>
        <v>1.5322874045017885</v>
      </c>
      <c r="AF40" s="16">
        <f>'Gearing Calculator'!$C$17*Braking!AD40</f>
        <v>2082.6143779539871</v>
      </c>
      <c r="AG40" s="16">
        <f t="shared" si="10"/>
        <v>-7.8234950336363154</v>
      </c>
    </row>
    <row r="41" spans="1:33" x14ac:dyDescent="0.25">
      <c r="A41" s="48">
        <v>37</v>
      </c>
      <c r="G41" s="41">
        <v>8800</v>
      </c>
      <c r="H41" s="16">
        <f>0.5*'Gearing Calculator'!$C$15*Braking!$C$11*Acceleration!$C$6*(Forces!H41^2)</f>
        <v>38.72995291717536</v>
      </c>
      <c r="I41" s="16">
        <f>0.5*'Gearing Calculator'!$C$15*Braking!$C$11*Acceleration!$C$6*(Forces!I41^2)</f>
        <v>64.617161030217957</v>
      </c>
      <c r="J41" s="16">
        <f>0.5*'Gearing Calculator'!$C$15*Braking!$C$11*Acceleration!$C$6*(Forces!J41^2)</f>
        <v>93.048711883513874</v>
      </c>
      <c r="K41" s="16">
        <f>0.5*'Gearing Calculator'!$C$15*Braking!$C$11*Acceleration!$C$6*(Forces!K41^2)</f>
        <v>123.88142114669006</v>
      </c>
      <c r="L41" s="16">
        <f>0.5*'Gearing Calculator'!$C$15*Braking!$C$11*Acceleration!$C$6*(Forces!L41^2)</f>
        <v>156.35757483855207</v>
      </c>
      <c r="M41" s="16">
        <f>0.5*'Gearing Calculator'!$C$15*Braking!$C$11*Acceleration!$C$6*(Forces!M41^2)</f>
        <v>195.43942844678415</v>
      </c>
      <c r="O41" s="41">
        <v>8800</v>
      </c>
      <c r="P41" s="22">
        <f t="shared" si="1"/>
        <v>-8.9712947024582519</v>
      </c>
      <c r="Q41" s="22">
        <f t="shared" si="2"/>
        <v>-9.0685419155049924</v>
      </c>
      <c r="R41" s="22">
        <f t="shared" si="3"/>
        <v>-9.1753471403483289</v>
      </c>
      <c r="S41" s="22">
        <f t="shared" si="4"/>
        <v>-9.2911724944549245</v>
      </c>
      <c r="T41" s="22">
        <f t="shared" si="5"/>
        <v>-9.4131715691801769</v>
      </c>
      <c r="U41" s="22">
        <f t="shared" si="6"/>
        <v>-9.5599854444928454</v>
      </c>
      <c r="W41" s="55">
        <v>37</v>
      </c>
      <c r="X41" s="61">
        <f t="shared" si="7"/>
        <v>869.28861784456797</v>
      </c>
      <c r="Z41" s="55">
        <v>37</v>
      </c>
      <c r="AA41" s="61">
        <f t="shared" si="8"/>
        <v>869.28861784456797</v>
      </c>
      <c r="AC41" s="16">
        <v>37</v>
      </c>
      <c r="AD41" s="16">
        <f t="shared" si="11"/>
        <v>1388.9382432277316</v>
      </c>
      <c r="AE41" s="16">
        <f t="shared" si="9"/>
        <v>1.574850943515727</v>
      </c>
      <c r="AF41" s="16">
        <f>'Gearing Calculator'!$C$17*Braking!AD41</f>
        <v>2083.4073648415974</v>
      </c>
      <c r="AG41" s="16">
        <f t="shared" si="10"/>
        <v>-7.826473947564228</v>
      </c>
    </row>
    <row r="42" spans="1:33" x14ac:dyDescent="0.25">
      <c r="A42" s="48">
        <v>38</v>
      </c>
      <c r="G42" s="41">
        <v>8900</v>
      </c>
      <c r="H42" s="16">
        <f>0.5*'Gearing Calculator'!$C$15*Braking!$C$11*Acceleration!$C$6*(Forces!H42^2)</f>
        <v>39.605178465991777</v>
      </c>
      <c r="I42" s="16">
        <f>0.5*'Gearing Calculator'!$C$15*Braking!$C$11*Acceleration!$C$6*(Forces!I42^2)</f>
        <v>66.077389767045275</v>
      </c>
      <c r="J42" s="16">
        <f>0.5*'Gearing Calculator'!$C$15*Braking!$C$11*Acceleration!$C$6*(Forces!J42^2)</f>
        <v>95.151441264545184</v>
      </c>
      <c r="K42" s="16">
        <f>0.5*'Gearing Calculator'!$C$15*Braking!$C$11*Acceleration!$C$6*(Forces!K42^2)</f>
        <v>126.68091292616963</v>
      </c>
      <c r="L42" s="16">
        <f>0.5*'Gearing Calculator'!$C$15*Braking!$C$11*Acceleration!$C$6*(Forces!L42^2)</f>
        <v>159.89096783136881</v>
      </c>
      <c r="M42" s="16">
        <f>0.5*'Gearing Calculator'!$C$15*Braking!$C$11*Acceleration!$C$6*(Forces!M42^2)</f>
        <v>199.8559992954111</v>
      </c>
      <c r="O42" s="41">
        <v>8900</v>
      </c>
      <c r="P42" s="22">
        <f t="shared" si="1"/>
        <v>-8.9745825520030174</v>
      </c>
      <c r="Q42" s="22">
        <f t="shared" si="2"/>
        <v>-9.074027372818394</v>
      </c>
      <c r="R42" s="22">
        <f t="shared" si="3"/>
        <v>-9.1832461988796243</v>
      </c>
      <c r="S42" s="22">
        <f t="shared" si="4"/>
        <v>-9.3016889924995514</v>
      </c>
      <c r="T42" s="22">
        <f t="shared" si="5"/>
        <v>-9.4264450214447031</v>
      </c>
      <c r="U42" s="22">
        <f t="shared" si="6"/>
        <v>-9.5765766197318634</v>
      </c>
      <c r="W42" s="55">
        <v>38</v>
      </c>
      <c r="X42" s="61">
        <f t="shared" si="7"/>
        <v>892.78290481334011</v>
      </c>
      <c r="Z42" s="55">
        <v>38</v>
      </c>
      <c r="AA42" s="61">
        <f t="shared" si="8"/>
        <v>892.78290481334011</v>
      </c>
      <c r="AC42" s="16">
        <v>38</v>
      </c>
      <c r="AD42" s="16">
        <f t="shared" si="11"/>
        <v>1389.4669011528053</v>
      </c>
      <c r="AE42" s="16">
        <f t="shared" si="9"/>
        <v>1.6174144825296655</v>
      </c>
      <c r="AF42" s="16">
        <f>'Gearing Calculator'!$C$17*Braking!AD42</f>
        <v>2084.2003517292078</v>
      </c>
      <c r="AG42" s="16">
        <f t="shared" si="10"/>
        <v>-7.8294528614921406</v>
      </c>
    </row>
    <row r="43" spans="1:33" x14ac:dyDescent="0.25">
      <c r="A43" s="48">
        <v>39</v>
      </c>
      <c r="G43" s="41">
        <v>9000</v>
      </c>
      <c r="H43" s="16">
        <f>0.5*'Gearing Calculator'!$C$15*Braking!$C$11*Acceleration!$C$6*(Forces!H43^2)</f>
        <v>40.490183071219469</v>
      </c>
      <c r="I43" s="16">
        <f>0.5*'Gearing Calculator'!$C$15*Braking!$C$11*Acceleration!$C$6*(Forces!I43^2)</f>
        <v>67.553933908753322</v>
      </c>
      <c r="J43" s="16">
        <f>0.5*'Gearing Calculator'!$C$15*Braking!$C$11*Acceleration!$C$6*(Forces!J43^2)</f>
        <v>97.277664828604756</v>
      </c>
      <c r="K43" s="16">
        <f>0.5*'Gearing Calculator'!$C$15*Braking!$C$11*Acceleration!$C$6*(Forces!K43^2)</f>
        <v>129.51168394340874</v>
      </c>
      <c r="L43" s="16">
        <f>0.5*'Gearing Calculator'!$C$15*Braking!$C$11*Acceleration!$C$6*(Forces!L43^2)</f>
        <v>163.46384007550179</v>
      </c>
      <c r="M43" s="16">
        <f>0.5*'Gearing Calculator'!$C$15*Braking!$C$11*Acceleration!$C$6*(Forces!M43^2)</f>
        <v>204.32191730435795</v>
      </c>
      <c r="O43" s="41">
        <v>9000</v>
      </c>
      <c r="P43" s="22">
        <f t="shared" si="1"/>
        <v>-8.9779071372968833</v>
      </c>
      <c r="Q43" s="22">
        <f t="shared" si="2"/>
        <v>-9.079574120157643</v>
      </c>
      <c r="R43" s="22">
        <f t="shared" si="3"/>
        <v>-9.1912335150481432</v>
      </c>
      <c r="S43" s="22">
        <f t="shared" si="4"/>
        <v>-9.3123229933156271</v>
      </c>
      <c r="T43" s="22">
        <f t="shared" si="5"/>
        <v>-9.4398667804384395</v>
      </c>
      <c r="U43" s="22">
        <f t="shared" si="6"/>
        <v>-9.5933531712305378</v>
      </c>
      <c r="W43" s="55">
        <v>39</v>
      </c>
      <c r="X43" s="61">
        <f t="shared" si="7"/>
        <v>916.27719178211225</v>
      </c>
      <c r="Z43" s="55">
        <v>39</v>
      </c>
      <c r="AA43" s="61">
        <f t="shared" si="8"/>
        <v>916.27719178211225</v>
      </c>
      <c r="AC43" s="16">
        <v>39</v>
      </c>
      <c r="AD43" s="16">
        <f t="shared" si="11"/>
        <v>1389.9955590778793</v>
      </c>
      <c r="AE43" s="16">
        <f t="shared" si="9"/>
        <v>1.659978021543604</v>
      </c>
      <c r="AF43" s="16">
        <f>'Gearing Calculator'!$C$17*Braking!AD43</f>
        <v>2084.9933386168191</v>
      </c>
      <c r="AG43" s="16">
        <f t="shared" si="10"/>
        <v>-7.8324317754200568</v>
      </c>
    </row>
    <row r="44" spans="1:33" x14ac:dyDescent="0.25">
      <c r="A44" s="48">
        <v>40</v>
      </c>
      <c r="G44" s="41">
        <v>9100</v>
      </c>
      <c r="H44" s="16">
        <f>0.5*'Gearing Calculator'!$C$15*Braking!$C$11*Acceleration!$C$6*(Forces!H44^2)</f>
        <v>41.384966732858544</v>
      </c>
      <c r="I44" s="16">
        <f>0.5*'Gearing Calculator'!$C$15*Braking!$C$11*Acceleration!$C$6*(Forces!I44^2)</f>
        <v>69.04679345534214</v>
      </c>
      <c r="J44" s="16">
        <f>0.5*'Gearing Calculator'!$C$15*Braking!$C$11*Acceleration!$C$6*(Forces!J44^2)</f>
        <v>99.427382575692661</v>
      </c>
      <c r="K44" s="16">
        <f>0.5*'Gearing Calculator'!$C$15*Braking!$C$11*Acceleration!$C$6*(Forces!K44^2)</f>
        <v>132.37373419840742</v>
      </c>
      <c r="L44" s="16">
        <f>0.5*'Gearing Calculator'!$C$15*Braking!$C$11*Acceleration!$C$6*(Forces!L44^2)</f>
        <v>167.07619157095135</v>
      </c>
      <c r="M44" s="16">
        <f>0.5*'Gearing Calculator'!$C$15*Braking!$C$11*Acceleration!$C$6*(Forces!M44^2)</f>
        <v>208.83718247362467</v>
      </c>
      <c r="O44" s="41">
        <v>9100</v>
      </c>
      <c r="P44" s="22">
        <f t="shared" si="1"/>
        <v>-8.981268458339855</v>
      </c>
      <c r="Q44" s="22">
        <f t="shared" si="2"/>
        <v>-9.0851821575227394</v>
      </c>
      <c r="R44" s="22">
        <f t="shared" si="3"/>
        <v>-9.1993090888538838</v>
      </c>
      <c r="S44" s="22">
        <f t="shared" si="4"/>
        <v>-9.3230744969031498</v>
      </c>
      <c r="T44" s="22">
        <f t="shared" si="5"/>
        <v>-9.4534368461613916</v>
      </c>
      <c r="U44" s="22">
        <f t="shared" si="6"/>
        <v>-9.610315098988865</v>
      </c>
      <c r="W44" s="55">
        <v>40</v>
      </c>
      <c r="X44" s="61">
        <f t="shared" si="7"/>
        <v>939.7714787508844</v>
      </c>
      <c r="Z44" s="55">
        <v>40</v>
      </c>
      <c r="AA44" s="61">
        <f t="shared" si="8"/>
        <v>939.7714787508844</v>
      </c>
      <c r="AC44" s="16">
        <v>40</v>
      </c>
      <c r="AD44" s="16">
        <f t="shared" si="11"/>
        <v>1390.524217002953</v>
      </c>
      <c r="AE44" s="16">
        <f t="shared" si="9"/>
        <v>1.7025415605575425</v>
      </c>
      <c r="AF44" s="16">
        <f>'Gearing Calculator'!$C$17*Braking!AD44</f>
        <v>2085.7863255044294</v>
      </c>
      <c r="AG44" s="16">
        <f t="shared" si="10"/>
        <v>-7.8354106893479694</v>
      </c>
    </row>
    <row r="45" spans="1:33" x14ac:dyDescent="0.25">
      <c r="A45" s="48">
        <v>41</v>
      </c>
      <c r="G45" s="41">
        <v>9200</v>
      </c>
      <c r="H45" s="16">
        <f>0.5*'Gearing Calculator'!$C$15*Braking!$C$11*Acceleration!$C$6*(Forces!H45^2)</f>
        <v>42.289529450908972</v>
      </c>
      <c r="I45" s="16">
        <f>0.5*'Gearing Calculator'!$C$15*Braking!$C$11*Acceleration!$C$6*(Forces!I45^2)</f>
        <v>70.555968406811687</v>
      </c>
      <c r="J45" s="16">
        <f>0.5*'Gearing Calculator'!$C$15*Braking!$C$11*Acceleration!$C$6*(Forces!J45^2)</f>
        <v>101.6005945058088</v>
      </c>
      <c r="K45" s="16">
        <f>0.5*'Gearing Calculator'!$C$15*Braking!$C$11*Acceleration!$C$6*(Forces!K45^2)</f>
        <v>135.26706369116562</v>
      </c>
      <c r="L45" s="16">
        <f>0.5*'Gearing Calculator'!$C$15*Braking!$C$11*Acceleration!$C$6*(Forces!L45^2)</f>
        <v>170.72802231771706</v>
      </c>
      <c r="M45" s="16">
        <f>0.5*'Gearing Calculator'!$C$15*Braking!$C$11*Acceleration!$C$6*(Forces!M45^2)</f>
        <v>213.40179480321123</v>
      </c>
      <c r="O45" s="41">
        <v>9200</v>
      </c>
      <c r="P45" s="22">
        <f t="shared" si="1"/>
        <v>-8.9846665151319307</v>
      </c>
      <c r="Q45" s="22">
        <f t="shared" si="2"/>
        <v>-9.090851484913685</v>
      </c>
      <c r="R45" s="22">
        <f t="shared" si="3"/>
        <v>-9.2074729202968442</v>
      </c>
      <c r="S45" s="22">
        <f t="shared" si="4"/>
        <v>-9.3339435032621214</v>
      </c>
      <c r="T45" s="22">
        <f t="shared" si="5"/>
        <v>-9.4671552186135539</v>
      </c>
      <c r="U45" s="22">
        <f t="shared" si="6"/>
        <v>-9.6274624030068452</v>
      </c>
      <c r="W45" s="55">
        <v>41</v>
      </c>
      <c r="X45" s="61">
        <f t="shared" si="7"/>
        <v>963.26576571965643</v>
      </c>
      <c r="Z45" s="55">
        <v>41</v>
      </c>
      <c r="AA45" s="61">
        <f t="shared" si="8"/>
        <v>963.26576571965643</v>
      </c>
      <c r="AC45" s="16">
        <v>41</v>
      </c>
      <c r="AD45" s="16">
        <f t="shared" si="11"/>
        <v>1391.052874928027</v>
      </c>
      <c r="AE45" s="16">
        <f t="shared" si="9"/>
        <v>1.7451050995714812</v>
      </c>
      <c r="AF45" s="16">
        <f>'Gearing Calculator'!$C$17*Braking!AD45</f>
        <v>2086.5793123920403</v>
      </c>
      <c r="AG45" s="16">
        <f t="shared" si="10"/>
        <v>-7.8383896032758837</v>
      </c>
    </row>
    <row r="46" spans="1:33" x14ac:dyDescent="0.25">
      <c r="A46" s="48">
        <v>42</v>
      </c>
      <c r="G46" s="41">
        <v>9300</v>
      </c>
      <c r="H46" s="16">
        <f>0.5*'Gearing Calculator'!$C$15*Braking!$C$11*Acceleration!$C$6*(Forces!H46^2)</f>
        <v>43.203871225370769</v>
      </c>
      <c r="I46" s="16">
        <f>0.5*'Gearing Calculator'!$C$15*Braking!$C$11*Acceleration!$C$6*(Forces!I46^2)</f>
        <v>72.081458763161976</v>
      </c>
      <c r="J46" s="16">
        <f>0.5*'Gearing Calculator'!$C$15*Braking!$C$11*Acceleration!$C$6*(Forces!J46^2)</f>
        <v>103.79730061895329</v>
      </c>
      <c r="K46" s="16">
        <f>0.5*'Gearing Calculator'!$C$15*Braking!$C$11*Acceleration!$C$6*(Forces!K46^2)</f>
        <v>138.19167242168336</v>
      </c>
      <c r="L46" s="16">
        <f>0.5*'Gearing Calculator'!$C$15*Braking!$C$11*Acceleration!$C$6*(Forces!L46^2)</f>
        <v>174.41933231579932</v>
      </c>
      <c r="M46" s="16">
        <f>0.5*'Gearing Calculator'!$C$15*Braking!$C$11*Acceleration!$C$6*(Forces!M46^2)</f>
        <v>218.01575429311768</v>
      </c>
      <c r="O46" s="41">
        <v>9300</v>
      </c>
      <c r="P46" s="22">
        <f t="shared" si="1"/>
        <v>-8.9881013076731104</v>
      </c>
      <c r="Q46" s="22">
        <f t="shared" si="2"/>
        <v>-9.0965821023304763</v>
      </c>
      <c r="R46" s="22">
        <f t="shared" si="3"/>
        <v>-9.2157250093770262</v>
      </c>
      <c r="S46" s="22">
        <f t="shared" si="4"/>
        <v>-9.3449300123925418</v>
      </c>
      <c r="T46" s="22">
        <f t="shared" si="5"/>
        <v>-9.4810218977949301</v>
      </c>
      <c r="U46" s="22">
        <f t="shared" si="6"/>
        <v>-9.64479508328448</v>
      </c>
      <c r="W46" s="55">
        <v>42</v>
      </c>
      <c r="X46" s="61">
        <f t="shared" si="7"/>
        <v>986.76005268842857</v>
      </c>
      <c r="Z46" s="55">
        <v>42</v>
      </c>
      <c r="AA46" s="61">
        <f t="shared" si="8"/>
        <v>986.76005268842857</v>
      </c>
      <c r="AC46" s="16">
        <v>42</v>
      </c>
      <c r="AD46" s="16">
        <f t="shared" si="11"/>
        <v>1391.5815328531007</v>
      </c>
      <c r="AE46" s="16">
        <f t="shared" si="9"/>
        <v>1.7876686385854195</v>
      </c>
      <c r="AF46" s="16">
        <f>'Gearing Calculator'!$C$17*Braking!AD46</f>
        <v>2087.3722992796511</v>
      </c>
      <c r="AG46" s="16">
        <f t="shared" si="10"/>
        <v>-7.8413685172037981</v>
      </c>
    </row>
    <row r="47" spans="1:33" x14ac:dyDescent="0.25">
      <c r="A47" s="48">
        <v>43</v>
      </c>
      <c r="G47" s="41">
        <v>9400</v>
      </c>
      <c r="H47" s="16">
        <f>0.5*'Gearing Calculator'!$C$15*Braking!$C$11*Acceleration!$C$6*(Forces!H47^2)</f>
        <v>44.127992056243883</v>
      </c>
      <c r="I47" s="16">
        <f>0.5*'Gearing Calculator'!$C$15*Braking!$C$11*Acceleration!$C$6*(Forces!I47^2)</f>
        <v>73.623264524393051</v>
      </c>
      <c r="J47" s="16">
        <f>0.5*'Gearing Calculator'!$C$15*Braking!$C$11*Acceleration!$C$6*(Forces!J47^2)</f>
        <v>106.01750091512594</v>
      </c>
      <c r="K47" s="16">
        <f>0.5*'Gearing Calculator'!$C$15*Braking!$C$11*Acceleration!$C$6*(Forces!K47^2)</f>
        <v>141.14756038996057</v>
      </c>
      <c r="L47" s="16">
        <f>0.5*'Gearing Calculator'!$C$15*Braking!$C$11*Acceleration!$C$6*(Forces!L47^2)</f>
        <v>178.15012156519799</v>
      </c>
      <c r="M47" s="16">
        <f>0.5*'Gearing Calculator'!$C$15*Braking!$C$11*Acceleration!$C$6*(Forces!M47^2)</f>
        <v>222.67906094334396</v>
      </c>
      <c r="O47" s="41">
        <v>9400</v>
      </c>
      <c r="P47" s="22">
        <f t="shared" si="1"/>
        <v>-8.9915728359633924</v>
      </c>
      <c r="Q47" s="22">
        <f t="shared" si="2"/>
        <v>-9.1023740097731185</v>
      </c>
      <c r="R47" s="22">
        <f t="shared" si="3"/>
        <v>-9.2240653560944281</v>
      </c>
      <c r="S47" s="22">
        <f t="shared" si="4"/>
        <v>-9.3560340242944093</v>
      </c>
      <c r="T47" s="22">
        <f t="shared" si="5"/>
        <v>-9.4950368837055183</v>
      </c>
      <c r="U47" s="22">
        <f t="shared" si="6"/>
        <v>-9.6623131398217694</v>
      </c>
      <c r="W47" s="55">
        <v>43</v>
      </c>
      <c r="X47" s="61">
        <f t="shared" si="7"/>
        <v>1010.2543396572007</v>
      </c>
      <c r="Z47" s="55">
        <v>43</v>
      </c>
      <c r="AA47" s="61">
        <f t="shared" si="8"/>
        <v>1010.2543396572007</v>
      </c>
      <c r="AC47" s="16">
        <v>43</v>
      </c>
      <c r="AD47" s="16">
        <f t="shared" si="11"/>
        <v>1392.1101907781745</v>
      </c>
      <c r="AE47" s="16">
        <f t="shared" si="9"/>
        <v>1.8302321775993582</v>
      </c>
      <c r="AF47" s="16">
        <f>'Gearing Calculator'!$C$17*Braking!AD47</f>
        <v>2088.1652861672619</v>
      </c>
      <c r="AG47" s="16">
        <f t="shared" si="10"/>
        <v>-7.8443474311317134</v>
      </c>
    </row>
    <row r="48" spans="1:33" x14ac:dyDescent="0.25">
      <c r="A48" s="48">
        <v>44</v>
      </c>
      <c r="G48" s="41">
        <v>9500</v>
      </c>
      <c r="H48" s="16">
        <f>0.5*'Gearing Calculator'!$C$15*Braking!$C$11*Acceleration!$C$6*(Forces!H48^2)</f>
        <v>45.061891943528394</v>
      </c>
      <c r="I48" s="16">
        <f>0.5*'Gearing Calculator'!$C$15*Braking!$C$11*Acceleration!$C$6*(Forces!I48^2)</f>
        <v>75.181385690504868</v>
      </c>
      <c r="J48" s="16">
        <f>0.5*'Gearing Calculator'!$C$15*Braking!$C$11*Acceleration!$C$6*(Forces!J48^2)</f>
        <v>108.26119539432696</v>
      </c>
      <c r="K48" s="16">
        <f>0.5*'Gearing Calculator'!$C$15*Braking!$C$11*Acceleration!$C$6*(Forces!K48^2)</f>
        <v>144.13472759599742</v>
      </c>
      <c r="L48" s="16">
        <f>0.5*'Gearing Calculator'!$C$15*Braking!$C$11*Acceleration!$C$6*(Forces!L48^2)</f>
        <v>181.92039006591295</v>
      </c>
      <c r="M48" s="16">
        <f>0.5*'Gearing Calculator'!$C$15*Braking!$C$11*Acceleration!$C$6*(Forces!M48^2)</f>
        <v>227.39171475389003</v>
      </c>
      <c r="O48" s="41">
        <v>9500</v>
      </c>
      <c r="P48" s="22">
        <f t="shared" si="1"/>
        <v>-8.9950811000027784</v>
      </c>
      <c r="Q48" s="22">
        <f t="shared" si="2"/>
        <v>-9.1082272072416082</v>
      </c>
      <c r="R48" s="22">
        <f t="shared" si="3"/>
        <v>-9.2324939604490535</v>
      </c>
      <c r="S48" s="22">
        <f t="shared" si="4"/>
        <v>-9.3672555389677257</v>
      </c>
      <c r="T48" s="22">
        <f t="shared" si="5"/>
        <v>-9.5092001763453187</v>
      </c>
      <c r="U48" s="22">
        <f t="shared" si="6"/>
        <v>-9.6800165726187117</v>
      </c>
      <c r="W48" s="55">
        <v>44</v>
      </c>
      <c r="X48" s="61">
        <f t="shared" si="7"/>
        <v>1033.7486266259727</v>
      </c>
      <c r="Z48" s="55">
        <v>44</v>
      </c>
      <c r="AA48" s="61">
        <f t="shared" si="8"/>
        <v>1033.7486266259727</v>
      </c>
      <c r="AC48" s="16">
        <v>44</v>
      </c>
      <c r="AD48" s="16">
        <f t="shared" si="11"/>
        <v>1392.6388487032484</v>
      </c>
      <c r="AE48" s="16">
        <f t="shared" si="9"/>
        <v>1.8727957166132969</v>
      </c>
      <c r="AF48" s="16">
        <f>'Gearing Calculator'!$C$17*Braking!AD48</f>
        <v>2088.9582730548727</v>
      </c>
      <c r="AG48" s="16">
        <f t="shared" si="10"/>
        <v>-7.8473263450596278</v>
      </c>
    </row>
    <row r="49" spans="1:33" x14ac:dyDescent="0.25">
      <c r="A49" s="48">
        <v>45</v>
      </c>
      <c r="G49" s="41">
        <v>9600</v>
      </c>
      <c r="H49" s="16">
        <f>0.5*'Gearing Calculator'!$C$15*Braking!$C$11*Acceleration!$C$6*(Forces!H49^2)</f>
        <v>46.005570887224259</v>
      </c>
      <c r="I49" s="16">
        <f>0.5*'Gearing Calculator'!$C$15*Braking!$C$11*Acceleration!$C$6*(Forces!I49^2)</f>
        <v>76.755822261497428</v>
      </c>
      <c r="J49" s="16">
        <f>0.5*'Gearing Calculator'!$C$15*Braking!$C$11*Acceleration!$C$6*(Forces!J49^2)</f>
        <v>110.52838405655623</v>
      </c>
      <c r="K49" s="16">
        <f>0.5*'Gearing Calculator'!$C$15*Braking!$C$11*Acceleration!$C$6*(Forces!K49^2)</f>
        <v>147.15317403979387</v>
      </c>
      <c r="L49" s="16">
        <f>0.5*'Gearing Calculator'!$C$15*Braking!$C$11*Acceleration!$C$6*(Forces!L49^2)</f>
        <v>185.73013781794421</v>
      </c>
      <c r="M49" s="16">
        <f>0.5*'Gearing Calculator'!$C$15*Braking!$C$11*Acceleration!$C$6*(Forces!M49^2)</f>
        <v>232.15371572475593</v>
      </c>
      <c r="O49" s="41">
        <v>9600</v>
      </c>
      <c r="P49" s="22">
        <f t="shared" si="1"/>
        <v>-8.9986260997912666</v>
      </c>
      <c r="Q49" s="22">
        <f t="shared" si="2"/>
        <v>-9.1141416947359453</v>
      </c>
      <c r="R49" s="22">
        <f t="shared" si="3"/>
        <v>-9.2410108224408987</v>
      </c>
      <c r="S49" s="22">
        <f t="shared" si="4"/>
        <v>-9.3785945564124908</v>
      </c>
      <c r="T49" s="22">
        <f t="shared" si="5"/>
        <v>-9.5235117757143328</v>
      </c>
      <c r="U49" s="22">
        <f t="shared" si="6"/>
        <v>-9.6979053816753087</v>
      </c>
      <c r="W49" s="55">
        <v>45</v>
      </c>
      <c r="X49" s="61">
        <f t="shared" si="7"/>
        <v>1057.2429135947448</v>
      </c>
      <c r="Z49" s="55">
        <v>45</v>
      </c>
      <c r="AA49" s="61">
        <f t="shared" si="8"/>
        <v>1057.2429135947448</v>
      </c>
      <c r="AC49" s="16">
        <v>45</v>
      </c>
      <c r="AD49" s="16">
        <f t="shared" si="11"/>
        <v>1393.1675066283221</v>
      </c>
      <c r="AE49" s="16">
        <f t="shared" si="9"/>
        <v>1.9153592556272354</v>
      </c>
      <c r="AF49" s="16">
        <f>'Gearing Calculator'!$C$17*Braking!AD49</f>
        <v>2089.7512599424831</v>
      </c>
      <c r="AG49" s="16">
        <f t="shared" si="10"/>
        <v>-7.8503052589875404</v>
      </c>
    </row>
    <row r="50" spans="1:33" x14ac:dyDescent="0.25">
      <c r="A50" s="48">
        <v>46</v>
      </c>
      <c r="G50" s="41">
        <v>9700</v>
      </c>
      <c r="H50" s="16">
        <f>0.5*'Gearing Calculator'!$C$15*Braking!$C$11*Acceleration!$C$6*(Forces!H50^2)</f>
        <v>46.959028887331449</v>
      </c>
      <c r="I50" s="16">
        <f>0.5*'Gearing Calculator'!$C$15*Braking!$C$11*Acceleration!$C$6*(Forces!I50^2)</f>
        <v>78.346574237370717</v>
      </c>
      <c r="J50" s="16">
        <f>0.5*'Gearing Calculator'!$C$15*Braking!$C$11*Acceleration!$C$6*(Forces!J50^2)</f>
        <v>112.81906690181384</v>
      </c>
      <c r="K50" s="16">
        <f>0.5*'Gearing Calculator'!$C$15*Braking!$C$11*Acceleration!$C$6*(Forces!K50^2)</f>
        <v>150.20289972134975</v>
      </c>
      <c r="L50" s="16">
        <f>0.5*'Gearing Calculator'!$C$15*Braking!$C$11*Acceleration!$C$6*(Forces!L50^2)</f>
        <v>189.57936482129207</v>
      </c>
      <c r="M50" s="16">
        <f>0.5*'Gearing Calculator'!$C$15*Braking!$C$11*Acceleration!$C$6*(Forces!M50^2)</f>
        <v>236.96506385594171</v>
      </c>
      <c r="O50" s="41">
        <v>9700</v>
      </c>
      <c r="P50" s="22">
        <f t="shared" si="1"/>
        <v>-9.0022078353288606</v>
      </c>
      <c r="Q50" s="22">
        <f t="shared" si="2"/>
        <v>-9.1201174722561298</v>
      </c>
      <c r="R50" s="22">
        <f t="shared" si="3"/>
        <v>-9.2496159420699655</v>
      </c>
      <c r="S50" s="22">
        <f t="shared" si="4"/>
        <v>-9.3900510766287031</v>
      </c>
      <c r="T50" s="22">
        <f t="shared" si="5"/>
        <v>-9.5379716818125591</v>
      </c>
      <c r="U50" s="22">
        <f t="shared" si="6"/>
        <v>-9.7159795669915585</v>
      </c>
      <c r="W50" s="55">
        <v>46</v>
      </c>
      <c r="X50" s="61">
        <f t="shared" si="7"/>
        <v>1080.737200563517</v>
      </c>
      <c r="Z50" s="55">
        <v>46</v>
      </c>
      <c r="AA50" s="61">
        <f t="shared" si="8"/>
        <v>1080.737200563517</v>
      </c>
      <c r="AC50" s="16">
        <v>46</v>
      </c>
      <c r="AD50" s="16">
        <f t="shared" si="11"/>
        <v>1393.6961645533961</v>
      </c>
      <c r="AE50" s="16">
        <f t="shared" si="9"/>
        <v>1.9579227946411739</v>
      </c>
      <c r="AF50" s="16">
        <f>'Gearing Calculator'!$C$17*Braking!AD50</f>
        <v>2090.5442468300944</v>
      </c>
      <c r="AG50" s="16">
        <f t="shared" si="10"/>
        <v>-7.8532841729154566</v>
      </c>
    </row>
    <row r="51" spans="1:33" x14ac:dyDescent="0.25">
      <c r="A51" s="48">
        <v>47</v>
      </c>
      <c r="G51" s="41">
        <v>9800</v>
      </c>
      <c r="H51" s="16">
        <f>0.5*'Gearing Calculator'!$C$15*Braking!$C$11*Acceleration!$C$6*(Forces!H51^2)</f>
        <v>47.922265943850036</v>
      </c>
      <c r="I51" s="16">
        <f>0.5*'Gearing Calculator'!$C$15*Braking!$C$11*Acceleration!$C$6*(Forces!I51^2)</f>
        <v>79.953641618124792</v>
      </c>
      <c r="J51" s="16">
        <f>0.5*'Gearing Calculator'!$C$15*Braking!$C$11*Acceleration!$C$6*(Forces!J51^2)</f>
        <v>115.13324393009968</v>
      </c>
      <c r="K51" s="16">
        <f>0.5*'Gearing Calculator'!$C$15*Braking!$C$11*Acceleration!$C$6*(Forces!K51^2)</f>
        <v>153.28390464066524</v>
      </c>
      <c r="L51" s="16">
        <f>0.5*'Gearing Calculator'!$C$15*Braking!$C$11*Acceleration!$C$6*(Forces!L51^2)</f>
        <v>193.46807107595615</v>
      </c>
      <c r="M51" s="16">
        <f>0.5*'Gearing Calculator'!$C$15*Braking!$C$11*Acceleration!$C$6*(Forces!M51^2)</f>
        <v>241.8257591474474</v>
      </c>
      <c r="O51" s="41">
        <v>9800</v>
      </c>
      <c r="P51" s="22">
        <f t="shared" si="1"/>
        <v>-9.0058263066155568</v>
      </c>
      <c r="Q51" s="22">
        <f t="shared" si="2"/>
        <v>-9.1261545398021635</v>
      </c>
      <c r="R51" s="22">
        <f t="shared" si="3"/>
        <v>-9.258309319336254</v>
      </c>
      <c r="S51" s="22">
        <f t="shared" si="4"/>
        <v>-9.4016250996163642</v>
      </c>
      <c r="T51" s="22">
        <f t="shared" si="5"/>
        <v>-9.5525798946399973</v>
      </c>
      <c r="U51" s="22">
        <f t="shared" si="6"/>
        <v>-9.7342391285674612</v>
      </c>
      <c r="W51" s="55">
        <v>47</v>
      </c>
      <c r="X51" s="61">
        <f t="shared" si="7"/>
        <v>1104.2314875322891</v>
      </c>
      <c r="Z51" s="55">
        <v>47</v>
      </c>
      <c r="AA51" s="61">
        <f t="shared" si="8"/>
        <v>1104.2314875322891</v>
      </c>
      <c r="AC51" s="16">
        <v>47</v>
      </c>
      <c r="AD51" s="16">
        <f t="shared" si="11"/>
        <v>1394.2248224784698</v>
      </c>
      <c r="AE51" s="16">
        <f t="shared" si="9"/>
        <v>2.0004863336551124</v>
      </c>
      <c r="AF51" s="16">
        <f>'Gearing Calculator'!$C$17*Braking!AD51</f>
        <v>2091.3372337177047</v>
      </c>
      <c r="AG51" s="16">
        <f t="shared" si="10"/>
        <v>-7.8562630868433692</v>
      </c>
    </row>
    <row r="52" spans="1:33" x14ac:dyDescent="0.25">
      <c r="A52" s="48">
        <v>48</v>
      </c>
      <c r="G52" s="41">
        <v>9900</v>
      </c>
      <c r="H52" s="16">
        <f>0.5*'Gearing Calculator'!$C$15*Braking!$C$11*Acceleration!$C$6*(Forces!H52^2)</f>
        <v>48.895282056779941</v>
      </c>
      <c r="I52" s="16">
        <f>0.5*'Gearing Calculator'!$C$15*Braking!$C$11*Acceleration!$C$6*(Forces!I52^2)</f>
        <v>81.577024403759594</v>
      </c>
      <c r="J52" s="16">
        <f>0.5*'Gearing Calculator'!$C$15*Braking!$C$11*Acceleration!$C$6*(Forces!J52^2)</f>
        <v>117.4709151414138</v>
      </c>
      <c r="K52" s="16">
        <f>0.5*'Gearing Calculator'!$C$15*Braking!$C$11*Acceleration!$C$6*(Forces!K52^2)</f>
        <v>156.39618879774031</v>
      </c>
      <c r="L52" s="16">
        <f>0.5*'Gearing Calculator'!$C$15*Braking!$C$11*Acceleration!$C$6*(Forces!L52^2)</f>
        <v>197.39625658193683</v>
      </c>
      <c r="M52" s="16">
        <f>0.5*'Gearing Calculator'!$C$15*Braking!$C$11*Acceleration!$C$6*(Forces!M52^2)</f>
        <v>246.73580159927306</v>
      </c>
      <c r="O52" s="41">
        <v>9900</v>
      </c>
      <c r="P52" s="22">
        <f t="shared" si="1"/>
        <v>-9.0094815136513571</v>
      </c>
      <c r="Q52" s="22">
        <f t="shared" si="2"/>
        <v>-9.1322528973740447</v>
      </c>
      <c r="R52" s="22">
        <f t="shared" si="3"/>
        <v>-9.2670909542397624</v>
      </c>
      <c r="S52" s="22">
        <f t="shared" si="4"/>
        <v>-9.4133166253754759</v>
      </c>
      <c r="T52" s="22">
        <f t="shared" si="5"/>
        <v>-9.5673364141966477</v>
      </c>
      <c r="U52" s="22">
        <f t="shared" si="6"/>
        <v>-9.7526840664030203</v>
      </c>
      <c r="W52" s="55">
        <v>48</v>
      </c>
      <c r="X52" s="61">
        <f t="shared" si="7"/>
        <v>1127.7257745010611</v>
      </c>
      <c r="Z52" s="55">
        <v>48</v>
      </c>
      <c r="AA52" s="61">
        <f t="shared" si="8"/>
        <v>1127.7257745010611</v>
      </c>
      <c r="AC52" s="16">
        <v>48</v>
      </c>
      <c r="AD52" s="16">
        <f t="shared" si="11"/>
        <v>1394.7534804035436</v>
      </c>
      <c r="AE52" s="16">
        <f t="shared" si="9"/>
        <v>2.0430498726690511</v>
      </c>
      <c r="AF52" s="16">
        <f>'Gearing Calculator'!$C$17*Braking!AD52</f>
        <v>2092.1302206053151</v>
      </c>
      <c r="AG52" s="16">
        <f t="shared" si="10"/>
        <v>-7.8592420007712818</v>
      </c>
    </row>
    <row r="53" spans="1:33" x14ac:dyDescent="0.25">
      <c r="A53" s="48">
        <v>49</v>
      </c>
      <c r="G53" s="41">
        <v>10000</v>
      </c>
      <c r="H53" s="16">
        <f>0.5*'Gearing Calculator'!$C$15*Braking!$C$11*Acceleration!$C$6*(Forces!H53^2)</f>
        <v>49.878077226121228</v>
      </c>
      <c r="I53" s="16">
        <f>0.5*'Gearing Calculator'!$C$15*Braking!$C$11*Acceleration!$C$6*(Forces!I53^2)</f>
        <v>83.216722594275168</v>
      </c>
      <c r="J53" s="16">
        <f>0.5*'Gearing Calculator'!$C$15*Braking!$C$11*Acceleration!$C$6*(Forces!J53^2)</f>
        <v>119.83208053575623</v>
      </c>
      <c r="K53" s="16">
        <f>0.5*'Gearing Calculator'!$C$15*Braking!$C$11*Acceleration!$C$6*(Forces!K53^2)</f>
        <v>159.53975219257489</v>
      </c>
      <c r="L53" s="16">
        <f>0.5*'Gearing Calculator'!$C$15*Braking!$C$11*Acceleration!$C$6*(Forces!L53^2)</f>
        <v>201.36392133923371</v>
      </c>
      <c r="M53" s="16">
        <f>0.5*'Gearing Calculator'!$C$15*Braking!$C$11*Acceleration!$C$6*(Forces!M53^2)</f>
        <v>251.69519121141835</v>
      </c>
      <c r="O53" s="41">
        <v>10000</v>
      </c>
      <c r="P53" s="22">
        <f t="shared" si="1"/>
        <v>-9.0131734564362596</v>
      </c>
      <c r="Q53" s="22">
        <f t="shared" si="2"/>
        <v>-9.1384125449717732</v>
      </c>
      <c r="R53" s="22">
        <f t="shared" si="3"/>
        <v>-9.2759608467804942</v>
      </c>
      <c r="S53" s="22">
        <f t="shared" si="4"/>
        <v>-9.4251256539060329</v>
      </c>
      <c r="T53" s="22">
        <f t="shared" si="5"/>
        <v>-9.5822412404825137</v>
      </c>
      <c r="U53" s="22">
        <f t="shared" si="6"/>
        <v>-9.7713143804982323</v>
      </c>
      <c r="W53" s="55">
        <v>49</v>
      </c>
      <c r="X53" s="61">
        <f t="shared" si="7"/>
        <v>1151.2200614698334</v>
      </c>
      <c r="Z53" s="55">
        <v>49</v>
      </c>
      <c r="AA53" s="61">
        <f t="shared" si="8"/>
        <v>1151.2200614698334</v>
      </c>
      <c r="AC53" s="16">
        <v>49</v>
      </c>
      <c r="AD53" s="16">
        <f t="shared" si="11"/>
        <v>1395.2821383286175</v>
      </c>
      <c r="AE53" s="16">
        <f t="shared" si="9"/>
        <v>2.0856134116829894</v>
      </c>
      <c r="AF53" s="16">
        <f>'Gearing Calculator'!$C$17*Braking!AD53</f>
        <v>2092.9232074929264</v>
      </c>
      <c r="AG53" s="16">
        <f t="shared" si="10"/>
        <v>-7.8622209146991979</v>
      </c>
    </row>
    <row r="54" spans="1:33" x14ac:dyDescent="0.25">
      <c r="A54" s="48">
        <v>50</v>
      </c>
      <c r="G54" s="41">
        <v>10100</v>
      </c>
      <c r="H54" s="16">
        <f>0.5*'Gearing Calculator'!$C$15*Braking!$C$11*Acceleration!$C$6*(Forces!H54^2)</f>
        <v>50.870651451873854</v>
      </c>
      <c r="I54" s="16">
        <f>0.5*'Gearing Calculator'!$C$15*Braking!$C$11*Acceleration!$C$6*(Forces!I54^2)</f>
        <v>84.872736189671485</v>
      </c>
      <c r="J54" s="16">
        <f>0.5*'Gearing Calculator'!$C$15*Braking!$C$11*Acceleration!$C$6*(Forces!J54^2)</f>
        <v>122.21674011312696</v>
      </c>
      <c r="K54" s="16">
        <f>0.5*'Gearing Calculator'!$C$15*Braking!$C$11*Acceleration!$C$6*(Forces!K54^2)</f>
        <v>162.71459482516903</v>
      </c>
      <c r="L54" s="16">
        <f>0.5*'Gearing Calculator'!$C$15*Braking!$C$11*Acceleration!$C$6*(Forces!L54^2)</f>
        <v>205.37106534784709</v>
      </c>
      <c r="M54" s="16">
        <f>0.5*'Gearing Calculator'!$C$15*Braking!$C$11*Acceleration!$C$6*(Forces!M54^2)</f>
        <v>256.70392798388372</v>
      </c>
      <c r="O54" s="41">
        <v>10100</v>
      </c>
      <c r="P54" s="22">
        <f t="shared" si="1"/>
        <v>-9.016902134970266</v>
      </c>
      <c r="Q54" s="22">
        <f t="shared" si="2"/>
        <v>-9.144633482595351</v>
      </c>
      <c r="R54" s="22">
        <f t="shared" si="3"/>
        <v>-9.284918996958444</v>
      </c>
      <c r="S54" s="22">
        <f t="shared" si="4"/>
        <v>-9.4370521852080387</v>
      </c>
      <c r="T54" s="22">
        <f t="shared" si="5"/>
        <v>-9.5972943734975882</v>
      </c>
      <c r="U54" s="22">
        <f t="shared" si="6"/>
        <v>-9.7901300708530989</v>
      </c>
      <c r="W54" s="55">
        <v>50</v>
      </c>
      <c r="X54" s="61">
        <f t="shared" si="7"/>
        <v>1174.7143484386054</v>
      </c>
      <c r="Z54" s="55">
        <v>50</v>
      </c>
      <c r="AA54" s="61">
        <f t="shared" si="8"/>
        <v>1174.7143484386054</v>
      </c>
      <c r="AC54" s="16">
        <v>50</v>
      </c>
      <c r="AD54" s="16">
        <f t="shared" si="11"/>
        <v>1395.8107962536913</v>
      </c>
      <c r="AE54" s="16">
        <f t="shared" si="9"/>
        <v>2.1281769506969281</v>
      </c>
      <c r="AF54" s="16">
        <f>'Gearing Calculator'!$C$17*Braking!AD54</f>
        <v>2093.7161943805368</v>
      </c>
      <c r="AG54" s="16">
        <f t="shared" si="10"/>
        <v>-7.8651998286271105</v>
      </c>
    </row>
    <row r="55" spans="1:33" x14ac:dyDescent="0.25">
      <c r="A55" s="48">
        <v>51</v>
      </c>
      <c r="G55" s="41">
        <v>10200</v>
      </c>
      <c r="H55" s="16">
        <f>0.5*'Gearing Calculator'!$C$15*Braking!$C$11*Acceleration!$C$6*(Forces!H55^2)</f>
        <v>51.873004734037835</v>
      </c>
      <c r="I55" s="16">
        <f>0.5*'Gearing Calculator'!$C$15*Braking!$C$11*Acceleration!$C$6*(Forces!I55^2)</f>
        <v>86.545065189948573</v>
      </c>
      <c r="J55" s="16">
        <f>0.5*'Gearing Calculator'!$C$15*Braking!$C$11*Acceleration!$C$6*(Forces!J55^2)</f>
        <v>124.62489387352591</v>
      </c>
      <c r="K55" s="16">
        <f>0.5*'Gearing Calculator'!$C$15*Braking!$C$11*Acceleration!$C$6*(Forces!K55^2)</f>
        <v>165.9207166955228</v>
      </c>
      <c r="L55" s="16">
        <f>0.5*'Gearing Calculator'!$C$15*Braking!$C$11*Acceleration!$C$6*(Forces!L55^2)</f>
        <v>209.41768860777668</v>
      </c>
      <c r="M55" s="16">
        <f>0.5*'Gearing Calculator'!$C$15*Braking!$C$11*Acceleration!$C$6*(Forces!M55^2)</f>
        <v>261.76201191666877</v>
      </c>
      <c r="O55" s="41">
        <v>10200</v>
      </c>
      <c r="P55" s="22">
        <f t="shared" si="1"/>
        <v>-9.0206675492533765</v>
      </c>
      <c r="Q55" s="22">
        <f t="shared" si="2"/>
        <v>-9.1509157102447762</v>
      </c>
      <c r="R55" s="22">
        <f t="shared" si="3"/>
        <v>-9.2939654047736173</v>
      </c>
      <c r="S55" s="22">
        <f t="shared" si="4"/>
        <v>-9.4490962192814951</v>
      </c>
      <c r="T55" s="22">
        <f t="shared" si="5"/>
        <v>-9.6124958132418765</v>
      </c>
      <c r="U55" s="22">
        <f t="shared" si="6"/>
        <v>-9.8091311374676184</v>
      </c>
      <c r="W55" s="55">
        <v>51</v>
      </c>
      <c r="X55" s="61">
        <f t="shared" si="7"/>
        <v>1198.2086354073776</v>
      </c>
      <c r="Z55" s="55">
        <v>51</v>
      </c>
      <c r="AA55" s="61">
        <f t="shared" si="8"/>
        <v>1198.2086354073776</v>
      </c>
      <c r="AC55" s="16">
        <v>51</v>
      </c>
      <c r="AD55" s="16">
        <f t="shared" si="11"/>
        <v>1396.3394541787652</v>
      </c>
      <c r="AE55" s="16">
        <f t="shared" si="9"/>
        <v>2.1707404897108669</v>
      </c>
      <c r="AF55" s="16">
        <f>'Gearing Calculator'!$C$17*Braking!AD55</f>
        <v>2094.5091812681476</v>
      </c>
      <c r="AG55" s="16">
        <f t="shared" si="10"/>
        <v>-7.8681787425550249</v>
      </c>
    </row>
    <row r="56" spans="1:33" x14ac:dyDescent="0.25">
      <c r="A56" s="48">
        <v>52</v>
      </c>
      <c r="G56" s="41">
        <v>10300</v>
      </c>
      <c r="H56" s="16">
        <f>0.5*'Gearing Calculator'!$C$15*Braking!$C$11*Acceleration!$C$6*(Forces!H56^2)</f>
        <v>52.885137072613169</v>
      </c>
      <c r="I56" s="16">
        <f>0.5*'Gearing Calculator'!$C$15*Braking!$C$11*Acceleration!$C$6*(Forces!I56^2)</f>
        <v>88.23370959510639</v>
      </c>
      <c r="J56" s="16">
        <f>0.5*'Gearing Calculator'!$C$15*Braking!$C$11*Acceleration!$C$6*(Forces!J56^2)</f>
        <v>127.05654181695323</v>
      </c>
      <c r="K56" s="16">
        <f>0.5*'Gearing Calculator'!$C$15*Braking!$C$11*Acceleration!$C$6*(Forces!K56^2)</f>
        <v>169.15811780363589</v>
      </c>
      <c r="L56" s="16">
        <f>0.5*'Gearing Calculator'!$C$15*Braking!$C$11*Acceleration!$C$6*(Forces!L56^2)</f>
        <v>213.50379111902288</v>
      </c>
      <c r="M56" s="16">
        <f>0.5*'Gearing Calculator'!$C$15*Braking!$C$11*Acceleration!$C$6*(Forces!M56^2)</f>
        <v>266.86944300977376</v>
      </c>
      <c r="O56" s="41">
        <v>10300</v>
      </c>
      <c r="P56" s="22">
        <f t="shared" si="1"/>
        <v>-9.0244696992855911</v>
      </c>
      <c r="Q56" s="22">
        <f t="shared" si="2"/>
        <v>-9.1572592279200506</v>
      </c>
      <c r="R56" s="22">
        <f t="shared" si="3"/>
        <v>-9.3031000702260105</v>
      </c>
      <c r="S56" s="22">
        <f t="shared" si="4"/>
        <v>-9.4612577561263969</v>
      </c>
      <c r="T56" s="22">
        <f t="shared" si="5"/>
        <v>-9.6278455597153787</v>
      </c>
      <c r="U56" s="22">
        <f t="shared" si="6"/>
        <v>-9.8283175803417908</v>
      </c>
      <c r="W56" s="55">
        <v>52</v>
      </c>
      <c r="X56" s="61">
        <f t="shared" si="7"/>
        <v>1221.7029223761497</v>
      </c>
      <c r="Z56" s="55">
        <v>52</v>
      </c>
      <c r="AA56" s="61">
        <f t="shared" si="8"/>
        <v>1221.7029223761497</v>
      </c>
      <c r="AC56" s="16">
        <v>52</v>
      </c>
      <c r="AD56" s="16">
        <f t="shared" si="11"/>
        <v>1396.8681121038389</v>
      </c>
      <c r="AE56" s="16">
        <f t="shared" si="9"/>
        <v>2.2133040287248051</v>
      </c>
      <c r="AF56" s="16">
        <f>'Gearing Calculator'!$C$17*Braking!AD56</f>
        <v>2095.3021681557584</v>
      </c>
      <c r="AG56" s="16">
        <f t="shared" si="10"/>
        <v>-7.8711576564829393</v>
      </c>
    </row>
    <row r="57" spans="1:33" x14ac:dyDescent="0.25">
      <c r="A57" s="48">
        <v>53</v>
      </c>
      <c r="G57" s="41">
        <v>10400</v>
      </c>
      <c r="H57" s="16">
        <f>0.5*'Gearing Calculator'!$C$15*Braking!$C$11*Acceleration!$C$6*(Forces!H57^2)</f>
        <v>53.907048467599886</v>
      </c>
      <c r="I57" s="16">
        <f>0.5*'Gearing Calculator'!$C$15*Braking!$C$11*Acceleration!$C$6*(Forces!I57^2)</f>
        <v>89.938669405144978</v>
      </c>
      <c r="J57" s="16">
        <f>0.5*'Gearing Calculator'!$C$15*Braking!$C$11*Acceleration!$C$6*(Forces!J57^2)</f>
        <v>129.51168394340868</v>
      </c>
      <c r="K57" s="16">
        <f>0.5*'Gearing Calculator'!$C$15*Braking!$C$11*Acceleration!$C$6*(Forces!K57^2)</f>
        <v>172.42679814950861</v>
      </c>
      <c r="L57" s="16">
        <f>0.5*'Gearing Calculator'!$C$15*Braking!$C$11*Acceleration!$C$6*(Forces!L57^2)</f>
        <v>217.62937288158523</v>
      </c>
      <c r="M57" s="16">
        <f>0.5*'Gearing Calculator'!$C$15*Braking!$C$11*Acceleration!$C$6*(Forces!M57^2)</f>
        <v>272.02622126319852</v>
      </c>
      <c r="O57" s="41">
        <v>10400</v>
      </c>
      <c r="P57" s="22">
        <f t="shared" si="1"/>
        <v>-9.0283085850669078</v>
      </c>
      <c r="Q57" s="22">
        <f t="shared" si="2"/>
        <v>-9.1636640356211725</v>
      </c>
      <c r="R57" s="22">
        <f t="shared" si="3"/>
        <v>-9.3123229933156271</v>
      </c>
      <c r="S57" s="22">
        <f t="shared" si="4"/>
        <v>-9.4735367957427492</v>
      </c>
      <c r="T57" s="22">
        <f t="shared" si="5"/>
        <v>-9.6433436129180929</v>
      </c>
      <c r="U57" s="22">
        <f t="shared" si="6"/>
        <v>-9.8476893994756196</v>
      </c>
      <c r="W57" s="55">
        <v>53</v>
      </c>
      <c r="X57" s="61">
        <f t="shared" si="7"/>
        <v>1245.1972093449217</v>
      </c>
      <c r="Z57" s="55">
        <v>53</v>
      </c>
      <c r="AA57" s="61">
        <f t="shared" si="8"/>
        <v>1245.1972093449217</v>
      </c>
      <c r="AC57" s="16">
        <v>53</v>
      </c>
      <c r="AD57" s="16">
        <f t="shared" si="11"/>
        <v>1397.3967700289127</v>
      </c>
      <c r="AE57" s="16">
        <f t="shared" si="9"/>
        <v>2.2558675677387439</v>
      </c>
      <c r="AF57" s="16">
        <f>'Gearing Calculator'!$C$17*Braking!AD57</f>
        <v>2096.0951550433692</v>
      </c>
      <c r="AG57" s="16">
        <f t="shared" si="10"/>
        <v>-7.8741365704108537</v>
      </c>
    </row>
    <row r="58" spans="1:33" x14ac:dyDescent="0.25">
      <c r="A58" s="48">
        <v>54</v>
      </c>
      <c r="G58" s="41">
        <v>10500</v>
      </c>
      <c r="H58" s="16">
        <f>0.5*'Gearing Calculator'!$C$15*Braking!$C$11*Acceleration!$C$6*(Forces!H58^2)</f>
        <v>54.938738918997949</v>
      </c>
      <c r="I58" s="16">
        <f>0.5*'Gearing Calculator'!$C$15*Braking!$C$11*Acceleration!$C$6*(Forces!I58^2)</f>
        <v>91.659944620064294</v>
      </c>
      <c r="J58" s="16">
        <f>0.5*'Gearing Calculator'!$C$15*Braking!$C$11*Acceleration!$C$6*(Forces!J58^2)</f>
        <v>131.99032025289256</v>
      </c>
      <c r="K58" s="16">
        <f>0.5*'Gearing Calculator'!$C$15*Braking!$C$11*Acceleration!$C$6*(Forces!K58^2)</f>
        <v>175.72675773314103</v>
      </c>
      <c r="L58" s="16">
        <f>0.5*'Gearing Calculator'!$C$15*Braking!$C$11*Acceleration!$C$6*(Forces!L58^2)</f>
        <v>221.79443389546412</v>
      </c>
      <c r="M58" s="16">
        <f>0.5*'Gearing Calculator'!$C$15*Braking!$C$11*Acceleration!$C$6*(Forces!M58^2)</f>
        <v>277.23234667694317</v>
      </c>
      <c r="O58" s="41">
        <v>10500</v>
      </c>
      <c r="P58" s="22">
        <f t="shared" si="1"/>
        <v>-9.0321842065973286</v>
      </c>
      <c r="Q58" s="22">
        <f t="shared" si="2"/>
        <v>-9.1701301333481418</v>
      </c>
      <c r="R58" s="22">
        <f t="shared" si="3"/>
        <v>-9.3216341740424635</v>
      </c>
      <c r="S58" s="22">
        <f t="shared" si="4"/>
        <v>-9.4859333381305486</v>
      </c>
      <c r="T58" s="22">
        <f t="shared" si="5"/>
        <v>-9.6589899728500193</v>
      </c>
      <c r="U58" s="22">
        <f t="shared" si="6"/>
        <v>-9.8672465948690995</v>
      </c>
      <c r="W58" s="55">
        <v>54</v>
      </c>
      <c r="X58" s="61">
        <f t="shared" si="7"/>
        <v>1268.691496313694</v>
      </c>
      <c r="Z58" s="55">
        <v>54</v>
      </c>
      <c r="AA58" s="61">
        <f t="shared" si="8"/>
        <v>1268.691496313694</v>
      </c>
      <c r="AC58" s="16">
        <v>54</v>
      </c>
      <c r="AD58" s="16">
        <f t="shared" si="11"/>
        <v>1397.9254279539866</v>
      </c>
      <c r="AE58" s="16">
        <f t="shared" si="9"/>
        <v>2.2984311067526826</v>
      </c>
      <c r="AF58" s="16">
        <f>'Gearing Calculator'!$C$17*Braking!AD58</f>
        <v>2096.8881419309801</v>
      </c>
      <c r="AG58" s="16">
        <f t="shared" si="10"/>
        <v>-7.8771154843387681</v>
      </c>
    </row>
    <row r="59" spans="1:33" x14ac:dyDescent="0.25">
      <c r="A59" s="48">
        <v>55</v>
      </c>
      <c r="G59" s="41">
        <v>10600</v>
      </c>
      <c r="H59" s="16">
        <f>0.5*'Gearing Calculator'!$C$15*Braking!$C$11*Acceleration!$C$6*(Forces!H59^2)</f>
        <v>55.980208426807359</v>
      </c>
      <c r="I59" s="16">
        <f>0.5*'Gearing Calculator'!$C$15*Braking!$C$11*Acceleration!$C$6*(Forces!I59^2)</f>
        <v>93.397535239864354</v>
      </c>
      <c r="J59" s="16">
        <f>0.5*'Gearing Calculator'!$C$15*Braking!$C$11*Acceleration!$C$6*(Forces!J59^2)</f>
        <v>134.4924507454046</v>
      </c>
      <c r="K59" s="16">
        <f>0.5*'Gearing Calculator'!$C$15*Braking!$C$11*Acceleration!$C$6*(Forces!K59^2)</f>
        <v>179.05799655453291</v>
      </c>
      <c r="L59" s="16">
        <f>0.5*'Gearing Calculator'!$C$15*Braking!$C$11*Acceleration!$C$6*(Forces!L59^2)</f>
        <v>225.99897416065946</v>
      </c>
      <c r="M59" s="16">
        <f>0.5*'Gearing Calculator'!$C$15*Braking!$C$11*Acceleration!$C$6*(Forces!M59^2)</f>
        <v>282.48781925100758</v>
      </c>
      <c r="O59" s="41">
        <v>10600</v>
      </c>
      <c r="P59" s="22">
        <f t="shared" si="1"/>
        <v>-9.0360965638768533</v>
      </c>
      <c r="Q59" s="22">
        <f t="shared" si="2"/>
        <v>-9.1766575211009584</v>
      </c>
      <c r="R59" s="22">
        <f t="shared" si="3"/>
        <v>-9.3310336124065199</v>
      </c>
      <c r="S59" s="22">
        <f t="shared" si="4"/>
        <v>-9.4984473832897969</v>
      </c>
      <c r="T59" s="22">
        <f t="shared" si="5"/>
        <v>-9.6747846395111594</v>
      </c>
      <c r="U59" s="22">
        <f t="shared" si="6"/>
        <v>-9.886989166522234</v>
      </c>
      <c r="W59" s="55">
        <v>55</v>
      </c>
      <c r="X59" s="61">
        <f t="shared" si="7"/>
        <v>1292.185783282466</v>
      </c>
      <c r="Z59" s="55">
        <v>55</v>
      </c>
      <c r="AA59" s="61">
        <f t="shared" si="8"/>
        <v>1292.185783282466</v>
      </c>
      <c r="AC59" s="16">
        <v>55</v>
      </c>
      <c r="AD59" s="16">
        <f t="shared" si="11"/>
        <v>1398.4540858790604</v>
      </c>
      <c r="AE59" s="16">
        <f t="shared" si="9"/>
        <v>2.3409946457666213</v>
      </c>
      <c r="AF59" s="16">
        <f>'Gearing Calculator'!$C$17*Braking!AD59</f>
        <v>2097.6811288185904</v>
      </c>
      <c r="AG59" s="16">
        <f t="shared" si="10"/>
        <v>-7.8800943982666807</v>
      </c>
    </row>
    <row r="60" spans="1:33" x14ac:dyDescent="0.25">
      <c r="A60" s="48">
        <v>56</v>
      </c>
      <c r="G60" s="41">
        <v>10700</v>
      </c>
      <c r="H60" s="16">
        <f>0.5*'Gearing Calculator'!$C$15*Braking!$C$11*Acceleration!$C$6*(Forces!H60^2)</f>
        <v>57.031456991028136</v>
      </c>
      <c r="I60" s="16">
        <f>0.5*'Gearing Calculator'!$C$15*Braking!$C$11*Acceleration!$C$6*(Forces!I60^2)</f>
        <v>95.151441264545198</v>
      </c>
      <c r="J60" s="16">
        <f>0.5*'Gearing Calculator'!$C$15*Braking!$C$11*Acceleration!$C$6*(Forces!J60^2)</f>
        <v>137.01807542094508</v>
      </c>
      <c r="K60" s="16">
        <f>0.5*'Gearing Calculator'!$C$15*Braking!$C$11*Acceleration!$C$6*(Forces!K60^2)</f>
        <v>182.42051461368425</v>
      </c>
      <c r="L60" s="16">
        <f>0.5*'Gearing Calculator'!$C$15*Braking!$C$11*Acceleration!$C$6*(Forces!L60^2)</f>
        <v>230.24299367717114</v>
      </c>
      <c r="M60" s="16">
        <f>0.5*'Gearing Calculator'!$C$15*Braking!$C$11*Acceleration!$C$6*(Forces!M60^2)</f>
        <v>287.79263898539205</v>
      </c>
      <c r="O60" s="41">
        <v>10700</v>
      </c>
      <c r="P60" s="22">
        <f t="shared" si="1"/>
        <v>-9.0400456569054821</v>
      </c>
      <c r="Q60" s="22">
        <f t="shared" si="2"/>
        <v>-9.1832461988796243</v>
      </c>
      <c r="R60" s="22">
        <f t="shared" si="3"/>
        <v>-9.3405213084077996</v>
      </c>
      <c r="S60" s="22">
        <f t="shared" si="4"/>
        <v>-9.511078931220494</v>
      </c>
      <c r="T60" s="22">
        <f t="shared" si="5"/>
        <v>-9.6907276129015116</v>
      </c>
      <c r="U60" s="22">
        <f t="shared" si="6"/>
        <v>-9.906917114435025</v>
      </c>
      <c r="W60" s="55">
        <v>56</v>
      </c>
      <c r="X60" s="61">
        <f t="shared" si="7"/>
        <v>1315.680070251238</v>
      </c>
      <c r="Z60" s="55">
        <v>56</v>
      </c>
      <c r="AA60" s="61">
        <f t="shared" si="8"/>
        <v>1315.680070251238</v>
      </c>
      <c r="AC60" s="16">
        <v>56</v>
      </c>
      <c r="AD60" s="16">
        <f t="shared" si="11"/>
        <v>1398.9827438041343</v>
      </c>
      <c r="AE60" s="16">
        <f t="shared" si="9"/>
        <v>2.3835581847805596</v>
      </c>
      <c r="AF60" s="16">
        <f>'Gearing Calculator'!$C$17*Braking!AD60</f>
        <v>2098.4741157062017</v>
      </c>
      <c r="AG60" s="16">
        <f t="shared" si="10"/>
        <v>-7.8830733121945968</v>
      </c>
    </row>
    <row r="61" spans="1:33" x14ac:dyDescent="0.25">
      <c r="A61" s="48">
        <v>57</v>
      </c>
      <c r="G61" s="41">
        <v>10800</v>
      </c>
      <c r="H61" s="16">
        <f>0.5*'Gearing Calculator'!$C$15*Braking!$C$11*Acceleration!$C$6*(Forces!H61^2)</f>
        <v>58.092484611660268</v>
      </c>
      <c r="I61" s="16">
        <f>0.5*'Gearing Calculator'!$C$15*Braking!$C$11*Acceleration!$C$6*(Forces!I61^2)</f>
        <v>96.921662694106772</v>
      </c>
      <c r="J61" s="16">
        <f>0.5*'Gearing Calculator'!$C$15*Braking!$C$11*Acceleration!$C$6*(Forces!J61^2)</f>
        <v>139.56719427951376</v>
      </c>
      <c r="K61" s="16">
        <f>0.5*'Gearing Calculator'!$C$15*Braking!$C$11*Acceleration!$C$6*(Forces!K61^2)</f>
        <v>185.81431191059525</v>
      </c>
      <c r="L61" s="16">
        <f>0.5*'Gearing Calculator'!$C$15*Braking!$C$11*Acceleration!$C$6*(Forces!L61^2)</f>
        <v>234.52649244499912</v>
      </c>
      <c r="M61" s="16">
        <f>0.5*'Gearing Calculator'!$C$15*Braking!$C$11*Acceleration!$C$6*(Forces!M61^2)</f>
        <v>293.14680588009628</v>
      </c>
      <c r="O61" s="41">
        <v>10800</v>
      </c>
      <c r="P61" s="22">
        <f t="shared" si="1"/>
        <v>-9.0440314856832131</v>
      </c>
      <c r="Q61" s="22">
        <f t="shared" si="2"/>
        <v>-9.1898961666841394</v>
      </c>
      <c r="R61" s="22">
        <f t="shared" si="3"/>
        <v>-9.3500972620462992</v>
      </c>
      <c r="S61" s="22">
        <f t="shared" si="4"/>
        <v>-9.5238279819226381</v>
      </c>
      <c r="T61" s="22">
        <f t="shared" si="5"/>
        <v>-9.7068188930210741</v>
      </c>
      <c r="U61" s="22">
        <f t="shared" si="6"/>
        <v>-9.9270304386074653</v>
      </c>
      <c r="W61" s="55">
        <v>57</v>
      </c>
      <c r="X61" s="61">
        <f t="shared" si="7"/>
        <v>1339.1743572200103</v>
      </c>
      <c r="Z61" s="55">
        <v>57</v>
      </c>
      <c r="AA61" s="61">
        <f t="shared" si="8"/>
        <v>1339.1743572200103</v>
      </c>
      <c r="AC61" s="16">
        <v>57</v>
      </c>
      <c r="AD61" s="16">
        <f t="shared" si="11"/>
        <v>1399.511401729208</v>
      </c>
      <c r="AE61" s="16">
        <f t="shared" si="9"/>
        <v>2.4261217237944983</v>
      </c>
      <c r="AF61" s="16">
        <f>'Gearing Calculator'!$C$17*Braking!AD61</f>
        <v>2099.2671025938121</v>
      </c>
      <c r="AG61" s="16">
        <f t="shared" si="10"/>
        <v>-7.8860522261225103</v>
      </c>
    </row>
    <row r="62" spans="1:33" x14ac:dyDescent="0.25">
      <c r="A62" s="48">
        <v>58</v>
      </c>
      <c r="G62" s="41">
        <v>10900</v>
      </c>
      <c r="H62" s="16">
        <f>0.5*'Gearing Calculator'!$C$15*Braking!$C$11*Acceleration!$C$6*(Forces!H62^2)</f>
        <v>59.163291288703725</v>
      </c>
      <c r="I62" s="16">
        <f>0.5*'Gearing Calculator'!$C$15*Braking!$C$11*Acceleration!$C$6*(Forces!I62^2)</f>
        <v>98.70819952854913</v>
      </c>
      <c r="J62" s="16">
        <f>0.5*'Gearing Calculator'!$C$15*Braking!$C$11*Acceleration!$C$6*(Forces!J62^2)</f>
        <v>142.13980732111071</v>
      </c>
      <c r="K62" s="16">
        <f>0.5*'Gearing Calculator'!$C$15*Braking!$C$11*Acceleration!$C$6*(Forces!K62^2)</f>
        <v>189.23938844526577</v>
      </c>
      <c r="L62" s="16">
        <f>0.5*'Gearing Calculator'!$C$15*Braking!$C$11*Acceleration!$C$6*(Forces!L62^2)</f>
        <v>238.84947046414345</v>
      </c>
      <c r="M62" s="16">
        <f>0.5*'Gearing Calculator'!$C$15*Braking!$C$11*Acceleration!$C$6*(Forces!M62^2)</f>
        <v>298.55031993512046</v>
      </c>
      <c r="O62" s="41">
        <v>10900</v>
      </c>
      <c r="P62" s="22">
        <f t="shared" si="1"/>
        <v>-9.0480540502100482</v>
      </c>
      <c r="Q62" s="22">
        <f t="shared" si="2"/>
        <v>-9.196607424514502</v>
      </c>
      <c r="R62" s="22">
        <f t="shared" si="3"/>
        <v>-9.3597614733220205</v>
      </c>
      <c r="S62" s="22">
        <f t="shared" si="4"/>
        <v>-9.5366945353962311</v>
      </c>
      <c r="T62" s="22">
        <f t="shared" si="5"/>
        <v>-9.7230584798698523</v>
      </c>
      <c r="U62" s="22">
        <f t="shared" si="6"/>
        <v>-9.947329139039562</v>
      </c>
      <c r="W62" s="55">
        <v>58</v>
      </c>
      <c r="X62" s="61">
        <f t="shared" si="7"/>
        <v>1362.6686441887823</v>
      </c>
      <c r="Z62" s="55">
        <v>58</v>
      </c>
      <c r="AA62" s="61">
        <f t="shared" si="8"/>
        <v>1362.6686441887823</v>
      </c>
      <c r="AC62" s="16">
        <v>58</v>
      </c>
      <c r="AD62" s="16">
        <f t="shared" si="11"/>
        <v>1400.0400596542818</v>
      </c>
      <c r="AE62" s="16">
        <f t="shared" si="9"/>
        <v>2.4686852628084366</v>
      </c>
      <c r="AF62" s="16">
        <f>'Gearing Calculator'!$C$17*Braking!AD62</f>
        <v>2100.0600894814224</v>
      </c>
      <c r="AG62" s="16">
        <f t="shared" si="10"/>
        <v>-7.8890311400504229</v>
      </c>
    </row>
    <row r="63" spans="1:33" x14ac:dyDescent="0.25">
      <c r="A63" s="48">
        <v>59</v>
      </c>
      <c r="G63" s="41">
        <v>11000</v>
      </c>
      <c r="H63" s="16">
        <f>0.5*'Gearing Calculator'!$C$15*Braking!$C$11*Acceleration!$C$6*(Forces!H63^2)</f>
        <v>60.24387702215855</v>
      </c>
      <c r="I63" s="16">
        <f>0.5*'Gearing Calculator'!$C$15*Braking!$C$11*Acceleration!$C$6*(Forces!I63^2)</f>
        <v>100.51105176787217</v>
      </c>
      <c r="J63" s="16">
        <f>0.5*'Gearing Calculator'!$C$15*Braking!$C$11*Acceleration!$C$6*(Forces!J63^2)</f>
        <v>144.73591454573602</v>
      </c>
      <c r="K63" s="16">
        <f>0.5*'Gearing Calculator'!$C$15*Braking!$C$11*Acceleration!$C$6*(Forces!K63^2)</f>
        <v>192.69574421769585</v>
      </c>
      <c r="L63" s="16">
        <f>0.5*'Gearing Calculator'!$C$15*Braking!$C$11*Acceleration!$C$6*(Forces!L63^2)</f>
        <v>243.21192773460422</v>
      </c>
      <c r="M63" s="16">
        <f>0.5*'Gearing Calculator'!$C$15*Braking!$C$11*Acceleration!$C$6*(Forces!M63^2)</f>
        <v>304.00318115046429</v>
      </c>
      <c r="O63" s="41">
        <v>11000</v>
      </c>
      <c r="P63" s="22">
        <f t="shared" si="1"/>
        <v>-9.0521133504859854</v>
      </c>
      <c r="Q63" s="22">
        <f t="shared" si="2"/>
        <v>-9.2033799723707119</v>
      </c>
      <c r="R63" s="22">
        <f t="shared" si="3"/>
        <v>-9.3695139422349634</v>
      </c>
      <c r="S63" s="22">
        <f t="shared" si="4"/>
        <v>-9.549678591641273</v>
      </c>
      <c r="T63" s="22">
        <f t="shared" si="5"/>
        <v>-9.7394463734478407</v>
      </c>
      <c r="U63" s="22">
        <f t="shared" si="6"/>
        <v>-9.9678132157313115</v>
      </c>
      <c r="W63" s="55">
        <v>59</v>
      </c>
      <c r="X63" s="61">
        <f t="shared" si="7"/>
        <v>1386.1629311575543</v>
      </c>
      <c r="Z63" s="55">
        <v>59</v>
      </c>
      <c r="AA63" s="61">
        <f t="shared" si="8"/>
        <v>1386.1629311575543</v>
      </c>
      <c r="AC63" s="16">
        <v>59</v>
      </c>
      <c r="AD63" s="16">
        <f t="shared" si="11"/>
        <v>1400.5687175793557</v>
      </c>
      <c r="AE63" s="16">
        <f t="shared" si="9"/>
        <v>2.5112488018223753</v>
      </c>
      <c r="AF63" s="16">
        <f>'Gearing Calculator'!$C$17*Braking!AD63</f>
        <v>2100.8530763690337</v>
      </c>
      <c r="AG63" s="16">
        <f t="shared" si="10"/>
        <v>-7.8920100539783391</v>
      </c>
    </row>
    <row r="64" spans="1:33" x14ac:dyDescent="0.25">
      <c r="A64" s="48">
        <v>60</v>
      </c>
      <c r="G64" s="41">
        <v>11100</v>
      </c>
      <c r="H64" s="16">
        <f>0.5*'Gearing Calculator'!$C$15*Braking!$C$11*Acceleration!$C$6*(Forces!H64^2)</f>
        <v>61.334241812024771</v>
      </c>
      <c r="I64" s="16">
        <f>0.5*'Gearing Calculator'!$C$15*Braking!$C$11*Acceleration!$C$6*(Forces!I64^2)</f>
        <v>102.33021941207606</v>
      </c>
      <c r="J64" s="16">
        <f>0.5*'Gearing Calculator'!$C$15*Braking!$C$11*Acceleration!$C$6*(Forces!J64^2)</f>
        <v>147.3555159533895</v>
      </c>
      <c r="K64" s="16">
        <f>0.5*'Gearing Calculator'!$C$15*Braking!$C$11*Acceleration!$C$6*(Forces!K64^2)</f>
        <v>196.18337922788541</v>
      </c>
      <c r="L64" s="16">
        <f>0.5*'Gearing Calculator'!$C$15*Braking!$C$11*Acceleration!$C$6*(Forces!L64^2)</f>
        <v>247.6138642563815</v>
      </c>
      <c r="M64" s="16">
        <f>0.5*'Gearing Calculator'!$C$15*Braking!$C$11*Acceleration!$C$6*(Forces!M64^2)</f>
        <v>309.50538952612811</v>
      </c>
      <c r="O64" s="41">
        <v>11100</v>
      </c>
      <c r="P64" s="22">
        <f t="shared" si="1"/>
        <v>-9.0562093865110285</v>
      </c>
      <c r="Q64" s="22">
        <f t="shared" si="2"/>
        <v>-9.2102138102527693</v>
      </c>
      <c r="R64" s="22">
        <f t="shared" si="3"/>
        <v>-9.3793546687851261</v>
      </c>
      <c r="S64" s="22">
        <f t="shared" si="4"/>
        <v>-9.5627801506577637</v>
      </c>
      <c r="T64" s="22">
        <f t="shared" si="5"/>
        <v>-9.755982573755043</v>
      </c>
      <c r="U64" s="22">
        <f t="shared" si="6"/>
        <v>-9.9884826686827157</v>
      </c>
      <c r="W64" s="55">
        <v>60</v>
      </c>
      <c r="X64" s="61">
        <f t="shared" si="7"/>
        <v>1409.6572181263266</v>
      </c>
      <c r="Z64" s="55">
        <v>60</v>
      </c>
      <c r="AA64" s="61">
        <f t="shared" si="8"/>
        <v>1409.6572181263266</v>
      </c>
      <c r="AC64" s="16">
        <v>60</v>
      </c>
      <c r="AD64" s="16">
        <f t="shared" si="11"/>
        <v>1401.0973755044295</v>
      </c>
      <c r="AE64" s="16">
        <f t="shared" si="9"/>
        <v>2.5538123408363136</v>
      </c>
      <c r="AF64" s="16">
        <f>'Gearing Calculator'!$C$17*Braking!AD64</f>
        <v>2101.6460632566441</v>
      </c>
      <c r="AG64" s="16">
        <f t="shared" si="10"/>
        <v>-7.8949889679062517</v>
      </c>
    </row>
    <row r="65" spans="1:33" x14ac:dyDescent="0.25">
      <c r="A65" s="48">
        <v>61</v>
      </c>
      <c r="G65" s="41">
        <v>11200</v>
      </c>
      <c r="H65" s="16">
        <f>0.5*'Gearing Calculator'!$C$15*Braking!$C$11*Acceleration!$C$6*(Forces!H65^2)</f>
        <v>62.434385658302311</v>
      </c>
      <c r="I65" s="16">
        <f>0.5*'Gearing Calculator'!$C$15*Braking!$C$11*Acceleration!$C$6*(Forces!I65^2)</f>
        <v>104.16570246116066</v>
      </c>
      <c r="J65" s="16">
        <f>0.5*'Gearing Calculator'!$C$15*Braking!$C$11*Acceleration!$C$6*(Forces!J65^2)</f>
        <v>149.99861154407125</v>
      </c>
      <c r="K65" s="16">
        <f>0.5*'Gearing Calculator'!$C$15*Braking!$C$11*Acceleration!$C$6*(Forces!K65^2)</f>
        <v>199.70229347583452</v>
      </c>
      <c r="L65" s="16">
        <f>0.5*'Gearing Calculator'!$C$15*Braking!$C$11*Acceleration!$C$6*(Forces!L65^2)</f>
        <v>252.05528002947506</v>
      </c>
      <c r="M65" s="16">
        <f>0.5*'Gearing Calculator'!$C$15*Braking!$C$11*Acceleration!$C$6*(Forces!M65^2)</f>
        <v>315.05694506211171</v>
      </c>
      <c r="O65" s="41">
        <v>11200</v>
      </c>
      <c r="P65" s="22">
        <f t="shared" si="1"/>
        <v>-9.0603421582851738</v>
      </c>
      <c r="Q65" s="22">
        <f t="shared" si="2"/>
        <v>-9.2171089381606741</v>
      </c>
      <c r="R65" s="22">
        <f t="shared" si="3"/>
        <v>-9.3892836529725106</v>
      </c>
      <c r="S65" s="22">
        <f t="shared" si="4"/>
        <v>-9.5759992124457014</v>
      </c>
      <c r="T65" s="22">
        <f t="shared" si="5"/>
        <v>-9.7726670807914573</v>
      </c>
      <c r="U65" s="22">
        <f t="shared" si="6"/>
        <v>-10.009337497893776</v>
      </c>
      <c r="W65" s="55">
        <v>61</v>
      </c>
      <c r="X65" s="61">
        <f t="shared" si="7"/>
        <v>1433.1515050950986</v>
      </c>
      <c r="Z65" s="55">
        <v>61</v>
      </c>
      <c r="AA65" s="61">
        <f t="shared" si="8"/>
        <v>1433.1515050950986</v>
      </c>
      <c r="AC65" s="16">
        <v>61</v>
      </c>
      <c r="AD65" s="16">
        <f t="shared" si="11"/>
        <v>1401.6260334295034</v>
      </c>
      <c r="AE65" s="16">
        <f t="shared" si="9"/>
        <v>2.5963758798502523</v>
      </c>
      <c r="AF65" s="16">
        <f>'Gearing Calculator'!$C$17*Braking!AD65</f>
        <v>2102.4390501442549</v>
      </c>
      <c r="AG65" s="16">
        <f t="shared" si="10"/>
        <v>-7.8979678818341661</v>
      </c>
    </row>
    <row r="66" spans="1:33" x14ac:dyDescent="0.25">
      <c r="A66" s="48">
        <v>62</v>
      </c>
      <c r="G66" s="41">
        <v>11300</v>
      </c>
      <c r="H66" s="16">
        <f>0.5*'Gearing Calculator'!$C$15*Braking!$C$11*Acceleration!$C$6*(Forces!H66^2)</f>
        <v>63.544308560991198</v>
      </c>
      <c r="I66" s="16">
        <f>0.5*'Gearing Calculator'!$C$15*Braking!$C$11*Acceleration!$C$6*(Forces!I66^2)</f>
        <v>106.01750091512602</v>
      </c>
      <c r="J66" s="16">
        <f>0.5*'Gearing Calculator'!$C$15*Braking!$C$11*Acceleration!$C$6*(Forces!J66^2)</f>
        <v>152.6652013177814</v>
      </c>
      <c r="K66" s="16">
        <f>0.5*'Gearing Calculator'!$C$15*Braking!$C$11*Acceleration!$C$6*(Forces!K66^2)</f>
        <v>203.25248696154321</v>
      </c>
      <c r="L66" s="16">
        <f>0.5*'Gearing Calculator'!$C$15*Braking!$C$11*Acceleration!$C$6*(Forces!L66^2)</f>
        <v>256.53617505388513</v>
      </c>
      <c r="M66" s="16">
        <f>0.5*'Gearing Calculator'!$C$15*Braking!$C$11*Acceleration!$C$6*(Forces!M66^2)</f>
        <v>320.65784775841519</v>
      </c>
      <c r="O66" s="41">
        <v>11300</v>
      </c>
      <c r="P66" s="22">
        <f t="shared" si="1"/>
        <v>-9.064511665808423</v>
      </c>
      <c r="Q66" s="22">
        <f t="shared" si="2"/>
        <v>-9.2240653560944299</v>
      </c>
      <c r="R66" s="22">
        <f t="shared" si="3"/>
        <v>-9.3993008947971166</v>
      </c>
      <c r="S66" s="22">
        <f t="shared" si="4"/>
        <v>-9.589335777005088</v>
      </c>
      <c r="T66" s="22">
        <f t="shared" si="5"/>
        <v>-9.7894998945570855</v>
      </c>
      <c r="U66" s="22">
        <f t="shared" si="6"/>
        <v>-10.030377703364486</v>
      </c>
      <c r="W66" s="55">
        <v>62</v>
      </c>
      <c r="X66" s="61">
        <f t="shared" si="7"/>
        <v>1456.6457920638707</v>
      </c>
      <c r="Z66" s="55">
        <v>62</v>
      </c>
      <c r="AA66" s="61">
        <f t="shared" si="8"/>
        <v>1456.6457920638707</v>
      </c>
      <c r="AC66" s="16">
        <v>62</v>
      </c>
      <c r="AD66" s="16">
        <f t="shared" si="11"/>
        <v>1402.1546913545772</v>
      </c>
      <c r="AE66" s="16">
        <f t="shared" si="9"/>
        <v>2.6389394188641906</v>
      </c>
      <c r="AF66" s="16">
        <f>'Gearing Calculator'!$C$17*Braking!AD66</f>
        <v>2103.2320370318657</v>
      </c>
      <c r="AG66" s="16">
        <f t="shared" si="10"/>
        <v>-7.9009467957620805</v>
      </c>
    </row>
    <row r="67" spans="1:33" x14ac:dyDescent="0.25">
      <c r="A67" s="48">
        <v>63</v>
      </c>
      <c r="G67" s="41">
        <v>11400</v>
      </c>
      <c r="H67" s="16">
        <f>0.5*'Gearing Calculator'!$C$15*Braking!$C$11*Acceleration!$C$6*(Forces!H67^2)</f>
        <v>64.664010520091466</v>
      </c>
      <c r="I67" s="16">
        <f>0.5*'Gearing Calculator'!$C$15*Braking!$C$11*Acceleration!$C$6*(Forces!I67^2)</f>
        <v>107.88561477397211</v>
      </c>
      <c r="J67" s="16">
        <f>0.5*'Gearing Calculator'!$C$15*Braking!$C$11*Acceleration!$C$6*(Forces!J67^2)</f>
        <v>155.35528527451973</v>
      </c>
      <c r="K67" s="16">
        <f>0.5*'Gearing Calculator'!$C$15*Braking!$C$11*Acceleration!$C$6*(Forces!K67^2)</f>
        <v>206.83395968501151</v>
      </c>
      <c r="L67" s="16">
        <f>0.5*'Gearing Calculator'!$C$15*Braking!$C$11*Acceleration!$C$6*(Forces!L67^2)</f>
        <v>261.05654932961141</v>
      </c>
      <c r="M67" s="16">
        <f>0.5*'Gearing Calculator'!$C$15*Braking!$C$11*Acceleration!$C$6*(Forces!M67^2)</f>
        <v>326.30809761503849</v>
      </c>
      <c r="O67" s="41">
        <v>11400</v>
      </c>
      <c r="P67" s="22">
        <f t="shared" si="1"/>
        <v>-9.0687179090807764</v>
      </c>
      <c r="Q67" s="22">
        <f t="shared" si="2"/>
        <v>-9.2310830640540313</v>
      </c>
      <c r="R67" s="22">
        <f t="shared" si="3"/>
        <v>-9.4094063942589443</v>
      </c>
      <c r="S67" s="22">
        <f t="shared" si="4"/>
        <v>-9.6027898443359216</v>
      </c>
      <c r="T67" s="22">
        <f t="shared" si="5"/>
        <v>-9.8064810150519257</v>
      </c>
      <c r="U67" s="22">
        <f t="shared" si="6"/>
        <v>-10.051603285094853</v>
      </c>
      <c r="W67" s="55">
        <v>63</v>
      </c>
      <c r="X67" s="61">
        <f t="shared" si="7"/>
        <v>1480.1400790326429</v>
      </c>
      <c r="Z67" s="55">
        <v>63</v>
      </c>
      <c r="AA67" s="61">
        <f t="shared" si="8"/>
        <v>1480.1400790326429</v>
      </c>
      <c r="AC67" s="16">
        <v>63</v>
      </c>
      <c r="AD67" s="16">
        <f t="shared" si="11"/>
        <v>1402.6833492796509</v>
      </c>
      <c r="AE67" s="16">
        <f t="shared" si="9"/>
        <v>2.6815029578781293</v>
      </c>
      <c r="AF67" s="16">
        <f>'Gearing Calculator'!$C$17*Braking!AD67</f>
        <v>2104.0250239194766</v>
      </c>
      <c r="AG67" s="16">
        <f t="shared" si="10"/>
        <v>-7.9039257096899949</v>
      </c>
    </row>
    <row r="68" spans="1:33" x14ac:dyDescent="0.25">
      <c r="A68" s="48">
        <v>64</v>
      </c>
      <c r="G68" s="41">
        <v>11500</v>
      </c>
      <c r="H68" s="16">
        <f>0.5*'Gearing Calculator'!$C$15*Braking!$C$11*Acceleration!$C$6*(Forces!H68^2)</f>
        <v>65.793491535603124</v>
      </c>
      <c r="I68" s="16">
        <f>0.5*'Gearing Calculator'!$C$15*Braking!$C$11*Acceleration!$C$6*(Forces!I68^2)</f>
        <v>109.77004403769891</v>
      </c>
      <c r="J68" s="16">
        <f>0.5*'Gearing Calculator'!$C$15*Braking!$C$11*Acceleration!$C$6*(Forces!J68^2)</f>
        <v>158.06886341428645</v>
      </c>
      <c r="K68" s="16">
        <f>0.5*'Gearing Calculator'!$C$15*Braking!$C$11*Acceleration!$C$6*(Forces!K68^2)</f>
        <v>210.44671164623938</v>
      </c>
      <c r="L68" s="16">
        <f>0.5*'Gearing Calculator'!$C$15*Braking!$C$11*Acceleration!$C$6*(Forces!L68^2)</f>
        <v>265.61640285665425</v>
      </c>
      <c r="M68" s="16">
        <f>0.5*'Gearing Calculator'!$C$15*Braking!$C$11*Acceleration!$C$6*(Forces!M68^2)</f>
        <v>332.00769463198174</v>
      </c>
      <c r="O68" s="41">
        <v>11500</v>
      </c>
      <c r="P68" s="22">
        <f t="shared" si="1"/>
        <v>-9.0729608881022319</v>
      </c>
      <c r="Q68" s="22">
        <f t="shared" si="2"/>
        <v>-9.238162062039482</v>
      </c>
      <c r="R68" s="22">
        <f t="shared" si="3"/>
        <v>-9.4196001513579919</v>
      </c>
      <c r="S68" s="22">
        <f t="shared" si="4"/>
        <v>-9.6163614144382059</v>
      </c>
      <c r="T68" s="22">
        <f t="shared" si="5"/>
        <v>-9.823610442275978</v>
      </c>
      <c r="U68" s="22">
        <f t="shared" si="6"/>
        <v>-10.07301424308487</v>
      </c>
      <c r="W68" s="55">
        <v>64</v>
      </c>
      <c r="X68" s="61">
        <f t="shared" si="7"/>
        <v>1503.6343660014149</v>
      </c>
      <c r="Z68" s="55">
        <v>64</v>
      </c>
      <c r="AA68" s="61">
        <f t="shared" si="8"/>
        <v>1503.6343660014149</v>
      </c>
      <c r="AC68" s="16">
        <v>64</v>
      </c>
      <c r="AD68" s="16">
        <f t="shared" si="11"/>
        <v>1403.2120072047248</v>
      </c>
      <c r="AE68" s="16">
        <f t="shared" si="9"/>
        <v>2.724066496892068</v>
      </c>
      <c r="AF68" s="16">
        <f>'Gearing Calculator'!$C$17*Braking!AD68</f>
        <v>2104.8180108070874</v>
      </c>
      <c r="AG68" s="16">
        <f t="shared" si="10"/>
        <v>-7.9069046236179092</v>
      </c>
    </row>
    <row r="69" spans="1:33" x14ac:dyDescent="0.25">
      <c r="A69" s="48">
        <v>65</v>
      </c>
      <c r="G69" s="41">
        <v>11600</v>
      </c>
      <c r="H69" s="16">
        <f>0.5*'Gearing Calculator'!$C$15*Braking!$C$11*Acceleration!$C$6*(Forces!H69^2)</f>
        <v>66.932751607526072</v>
      </c>
      <c r="I69" s="16">
        <f>0.5*'Gearing Calculator'!$C$15*Braking!$C$11*Acceleration!$C$6*(Forces!I69^2)</f>
        <v>111.6707887063065</v>
      </c>
      <c r="J69" s="16">
        <f>0.5*'Gearing Calculator'!$C$15*Braking!$C$11*Acceleration!$C$6*(Forces!J69^2)</f>
        <v>160.80593573708131</v>
      </c>
      <c r="K69" s="16">
        <f>0.5*'Gearing Calculator'!$C$15*Braking!$C$11*Acceleration!$C$6*(Forces!K69^2)</f>
        <v>214.09074284522669</v>
      </c>
      <c r="L69" s="16">
        <f>0.5*'Gearing Calculator'!$C$15*Braking!$C$11*Acceleration!$C$6*(Forces!L69^2)</f>
        <v>270.21573563501317</v>
      </c>
      <c r="M69" s="16">
        <f>0.5*'Gearing Calculator'!$C$15*Braking!$C$11*Acceleration!$C$6*(Forces!M69^2)</f>
        <v>337.75663880924486</v>
      </c>
      <c r="O69" s="41">
        <v>11600</v>
      </c>
      <c r="P69" s="22">
        <f t="shared" ref="P69:P103" si="12">(-(($C$8-$C$9)/$C$10)-H69/($C$3*$C$4))*$C$4</f>
        <v>-9.0772406028727914</v>
      </c>
      <c r="Q69" s="22">
        <f t="shared" ref="Q69:Q103" si="13">(-(($C$8-$C$9)/$C$10)-I69/($C$3*$C$4))*$C$4</f>
        <v>-9.24530235005078</v>
      </c>
      <c r="R69" s="22">
        <f t="shared" ref="R69:R103" si="14">(-(($C$8-$C$9)/$C$10)-J69/($C$3*$C$4))*$C$4</f>
        <v>-9.4298821660942611</v>
      </c>
      <c r="S69" s="22">
        <f t="shared" ref="S69:S103" si="15">(-(($C$8-$C$9)/$C$10)-K69/($C$3*$C$4))*$C$4</f>
        <v>-9.6300504873119372</v>
      </c>
      <c r="T69" s="22">
        <f t="shared" ref="T69:T103" si="16">(-(($C$8-$C$9)/$C$10)-L69/($C$3*$C$4))*$C$4</f>
        <v>-9.8408881762292424</v>
      </c>
      <c r="U69" s="22">
        <f t="shared" ref="U69:U103" si="17">(-(($C$8-$C$9)/$C$10)-M69/($C$3*$C$4))*$C$4</f>
        <v>-10.094610577334546</v>
      </c>
      <c r="W69" s="55">
        <v>65</v>
      </c>
      <c r="X69" s="61">
        <f t="shared" si="7"/>
        <v>1527.128652970187</v>
      </c>
      <c r="Z69" s="55">
        <v>65</v>
      </c>
      <c r="AA69" s="61">
        <f t="shared" si="8"/>
        <v>1527.128652970187</v>
      </c>
      <c r="AC69" s="16">
        <v>65</v>
      </c>
      <c r="AD69" s="16">
        <f t="shared" si="11"/>
        <v>1403.7406651297986</v>
      </c>
      <c r="AE69" s="16">
        <f t="shared" si="9"/>
        <v>2.7666300359060068</v>
      </c>
      <c r="AF69" s="16">
        <f>'Gearing Calculator'!$C$17*Braking!AD69</f>
        <v>2105.6109976946977</v>
      </c>
      <c r="AG69" s="16">
        <f t="shared" si="10"/>
        <v>-7.9098835375458219</v>
      </c>
    </row>
    <row r="70" spans="1:33" x14ac:dyDescent="0.25">
      <c r="A70" s="48">
        <v>66</v>
      </c>
      <c r="G70" s="41">
        <v>11700</v>
      </c>
      <c r="H70" s="16">
        <f>0.5*'Gearing Calculator'!$C$15*Braking!$C$11*Acceleration!$C$6*(Forces!H70^2)</f>
        <v>68.08179073586038</v>
      </c>
      <c r="I70" s="16">
        <f>0.5*'Gearing Calculator'!$C$15*Braking!$C$11*Acceleration!$C$6*(Forces!I70^2)</f>
        <v>113.58784877979485</v>
      </c>
      <c r="J70" s="16">
        <f>0.5*'Gearing Calculator'!$C$15*Braking!$C$11*Acceleration!$C$6*(Forces!J70^2)</f>
        <v>163.56650224290456</v>
      </c>
      <c r="K70" s="16">
        <f>0.5*'Gearing Calculator'!$C$15*Braking!$C$11*Acceleration!$C$6*(Forces!K70^2)</f>
        <v>217.76605328197357</v>
      </c>
      <c r="L70" s="16">
        <f>0.5*'Gearing Calculator'!$C$15*Braking!$C$11*Acceleration!$C$6*(Forces!L70^2)</f>
        <v>274.85454766468865</v>
      </c>
      <c r="M70" s="16">
        <f>0.5*'Gearing Calculator'!$C$15*Braking!$C$11*Acceleration!$C$6*(Forces!M70^2)</f>
        <v>343.55493014682776</v>
      </c>
      <c r="O70" s="41">
        <v>11700</v>
      </c>
      <c r="P70" s="22">
        <f t="shared" si="12"/>
        <v>-9.081557053392455</v>
      </c>
      <c r="Q70" s="22">
        <f t="shared" si="13"/>
        <v>-9.2525039280879273</v>
      </c>
      <c r="R70" s="22">
        <f t="shared" si="14"/>
        <v>-9.440252438467752</v>
      </c>
      <c r="S70" s="22">
        <f t="shared" si="15"/>
        <v>-9.6438570629571174</v>
      </c>
      <c r="T70" s="22">
        <f t="shared" si="16"/>
        <v>-9.8583142169117188</v>
      </c>
      <c r="U70" s="22">
        <f t="shared" si="17"/>
        <v>-10.116392287843873</v>
      </c>
      <c r="W70" s="55">
        <v>66</v>
      </c>
      <c r="X70" s="61">
        <f t="shared" ref="X70:X104" si="18">$C$16/100*W70</f>
        <v>1550.6229399389592</v>
      </c>
      <c r="Z70" s="55">
        <v>66</v>
      </c>
      <c r="AA70" s="61">
        <f t="shared" ref="AA70:AA104" si="19">$D$16/100*Z70</f>
        <v>1550.6229399389592</v>
      </c>
      <c r="AC70" s="16">
        <v>66</v>
      </c>
      <c r="AD70" s="16">
        <f t="shared" si="11"/>
        <v>1404.2693230548725</v>
      </c>
      <c r="AE70" s="16">
        <f t="shared" ref="AE70:AE133" si="20">(AC70/$X$104)*100</f>
        <v>2.809193574919945</v>
      </c>
      <c r="AF70" s="16">
        <f>'Gearing Calculator'!$C$17*Braking!AD70</f>
        <v>2106.403984582309</v>
      </c>
      <c r="AG70" s="16">
        <f t="shared" ref="AG70:AG133" si="21">-(AF70/$C$3)</f>
        <v>-7.912862451473738</v>
      </c>
    </row>
    <row r="71" spans="1:33" x14ac:dyDescent="0.25">
      <c r="A71" s="48">
        <v>67</v>
      </c>
      <c r="G71" s="41">
        <v>11800</v>
      </c>
      <c r="H71" s="16">
        <f>0.5*'Gearing Calculator'!$C$15*Braking!$C$11*Acceleration!$C$6*(Forces!H71^2)</f>
        <v>69.240608920606078</v>
      </c>
      <c r="I71" s="16">
        <f>0.5*'Gearing Calculator'!$C$15*Braking!$C$11*Acceleration!$C$6*(Forces!I71^2)</f>
        <v>115.52122425816401</v>
      </c>
      <c r="J71" s="16">
        <f>0.5*'Gearing Calculator'!$C$15*Braking!$C$11*Acceleration!$C$6*(Forces!J71^2)</f>
        <v>166.35056293175606</v>
      </c>
      <c r="K71" s="16">
        <f>0.5*'Gearing Calculator'!$C$15*Braking!$C$11*Acceleration!$C$6*(Forces!K71^2)</f>
        <v>221.47264295648003</v>
      </c>
      <c r="L71" s="16">
        <f>0.5*'Gearing Calculator'!$C$15*Braking!$C$11*Acceleration!$C$6*(Forces!L71^2)</f>
        <v>279.53283894568068</v>
      </c>
      <c r="M71" s="16">
        <f>0.5*'Gearing Calculator'!$C$15*Braking!$C$11*Acceleration!$C$6*(Forces!M71^2)</f>
        <v>349.40256864473048</v>
      </c>
      <c r="O71" s="41">
        <v>11800</v>
      </c>
      <c r="P71" s="22">
        <f t="shared" si="12"/>
        <v>-9.0859102396612208</v>
      </c>
      <c r="Q71" s="22">
        <f t="shared" si="13"/>
        <v>-9.2597667961509202</v>
      </c>
      <c r="R71" s="22">
        <f t="shared" si="14"/>
        <v>-9.4507109684784627</v>
      </c>
      <c r="S71" s="22">
        <f t="shared" si="15"/>
        <v>-9.6577811413737447</v>
      </c>
      <c r="T71" s="22">
        <f t="shared" si="16"/>
        <v>-9.8758885643234109</v>
      </c>
      <c r="U71" s="22">
        <f t="shared" si="17"/>
        <v>-10.138359374612854</v>
      </c>
      <c r="W71" s="55">
        <v>67</v>
      </c>
      <c r="X71" s="61">
        <f t="shared" si="18"/>
        <v>1574.1172269077313</v>
      </c>
      <c r="Z71" s="55">
        <v>67</v>
      </c>
      <c r="AA71" s="61">
        <f t="shared" si="19"/>
        <v>1574.1172269077313</v>
      </c>
      <c r="AC71" s="16">
        <v>67</v>
      </c>
      <c r="AD71" s="16">
        <f t="shared" ref="AD71:AD134" si="22">($C$3*$C$4)*($C$9/$C$8)+(AC71*($C$10/$C$8))</f>
        <v>1404.7979809799463</v>
      </c>
      <c r="AE71" s="16">
        <f t="shared" si="20"/>
        <v>2.8517571139338838</v>
      </c>
      <c r="AF71" s="16">
        <f>'Gearing Calculator'!$C$17*Braking!AD71</f>
        <v>2107.1969714699194</v>
      </c>
      <c r="AG71" s="16">
        <f t="shared" si="21"/>
        <v>-7.9158413654016506</v>
      </c>
    </row>
    <row r="72" spans="1:33" x14ac:dyDescent="0.25">
      <c r="A72" s="48">
        <v>68</v>
      </c>
      <c r="G72" s="41">
        <v>11900</v>
      </c>
      <c r="H72" s="16">
        <f>0.5*'Gearing Calculator'!$C$15*Braking!$C$11*Acceleration!$C$6*(Forces!H72^2)</f>
        <v>70.409206161763123</v>
      </c>
      <c r="I72" s="16">
        <f>0.5*'Gearing Calculator'!$C$15*Braking!$C$11*Acceleration!$C$6*(Forces!I72^2)</f>
        <v>117.4709151414138</v>
      </c>
      <c r="J72" s="16">
        <f>0.5*'Gearing Calculator'!$C$15*Braking!$C$11*Acceleration!$C$6*(Forces!J72^2)</f>
        <v>169.15811780363589</v>
      </c>
      <c r="K72" s="16">
        <f>0.5*'Gearing Calculator'!$C$15*Braking!$C$11*Acceleration!$C$6*(Forces!K72^2)</f>
        <v>225.21051186874615</v>
      </c>
      <c r="L72" s="16">
        <f>0.5*'Gearing Calculator'!$C$15*Braking!$C$11*Acceleration!$C$6*(Forces!L72^2)</f>
        <v>284.25060947798903</v>
      </c>
      <c r="M72" s="16">
        <f>0.5*'Gearing Calculator'!$C$15*Braking!$C$11*Acceleration!$C$6*(Forces!M72^2)</f>
        <v>355.29955430295314</v>
      </c>
      <c r="O72" s="41">
        <v>11900</v>
      </c>
      <c r="P72" s="22">
        <f t="shared" si="12"/>
        <v>-9.0903001616790906</v>
      </c>
      <c r="Q72" s="22">
        <f t="shared" si="13"/>
        <v>-9.2670909542397624</v>
      </c>
      <c r="R72" s="22">
        <f t="shared" si="14"/>
        <v>-9.4612577561263969</v>
      </c>
      <c r="S72" s="22">
        <f t="shared" si="15"/>
        <v>-9.6718227225618243</v>
      </c>
      <c r="T72" s="22">
        <f t="shared" si="16"/>
        <v>-9.8936112184643132</v>
      </c>
      <c r="U72" s="22">
        <f t="shared" si="17"/>
        <v>-10.160511837641488</v>
      </c>
      <c r="W72" s="55">
        <v>68</v>
      </c>
      <c r="X72" s="61">
        <f t="shared" si="18"/>
        <v>1597.6115138765033</v>
      </c>
      <c r="Z72" s="55">
        <v>68</v>
      </c>
      <c r="AA72" s="61">
        <f t="shared" si="19"/>
        <v>1597.6115138765033</v>
      </c>
      <c r="AC72" s="16">
        <v>68</v>
      </c>
      <c r="AD72" s="16">
        <f t="shared" si="22"/>
        <v>1405.32663890502</v>
      </c>
      <c r="AE72" s="16">
        <f t="shared" si="20"/>
        <v>2.8943206529478225</v>
      </c>
      <c r="AF72" s="16">
        <f>'Gearing Calculator'!$C$17*Braking!AD72</f>
        <v>2107.9899583575298</v>
      </c>
      <c r="AG72" s="16">
        <f t="shared" si="21"/>
        <v>-7.9188202793295632</v>
      </c>
    </row>
    <row r="73" spans="1:33" x14ac:dyDescent="0.25">
      <c r="A73" s="48">
        <v>69</v>
      </c>
      <c r="G73" s="41">
        <v>12000</v>
      </c>
      <c r="H73" s="16">
        <f>0.5*'Gearing Calculator'!$C$15*Braking!$C$11*Acceleration!$C$6*(Forces!H73^2)</f>
        <v>71.5875824593315</v>
      </c>
      <c r="I73" s="16">
        <f>0.5*'Gearing Calculator'!$C$15*Braking!$C$11*Acceleration!$C$6*(Forces!I73^2)</f>
        <v>119.43692142954441</v>
      </c>
      <c r="J73" s="16">
        <f>0.5*'Gearing Calculator'!$C$15*Braking!$C$11*Acceleration!$C$6*(Forces!J73^2)</f>
        <v>171.98916685854402</v>
      </c>
      <c r="K73" s="16">
        <f>0.5*'Gearing Calculator'!$C$15*Braking!$C$11*Acceleration!$C$6*(Forces!K73^2)</f>
        <v>228.97966001877145</v>
      </c>
      <c r="L73" s="16">
        <f>0.5*'Gearing Calculator'!$C$15*Braking!$C$11*Acceleration!$C$6*(Forces!L73^2)</f>
        <v>289.0078592616137</v>
      </c>
      <c r="M73" s="16">
        <f>0.5*'Gearing Calculator'!$C$15*Braking!$C$11*Acceleration!$C$6*(Forces!M73^2)</f>
        <v>361.24588712149551</v>
      </c>
      <c r="O73" s="41">
        <v>12000</v>
      </c>
      <c r="P73" s="22">
        <f t="shared" si="12"/>
        <v>-9.0947268194460662</v>
      </c>
      <c r="Q73" s="22">
        <f t="shared" si="13"/>
        <v>-9.2744764023544537</v>
      </c>
      <c r="R73" s="22">
        <f t="shared" si="14"/>
        <v>-9.4718928014115527</v>
      </c>
      <c r="S73" s="22">
        <f t="shared" si="15"/>
        <v>-9.6859818065213474</v>
      </c>
      <c r="T73" s="22">
        <f t="shared" si="16"/>
        <v>-9.9114821793344277</v>
      </c>
      <c r="U73" s="22">
        <f t="shared" si="17"/>
        <v>-10.182849676929775</v>
      </c>
      <c r="W73" s="55">
        <v>69</v>
      </c>
      <c r="X73" s="61">
        <f t="shared" si="18"/>
        <v>1621.1058008452756</v>
      </c>
      <c r="Z73" s="55">
        <v>69</v>
      </c>
      <c r="AA73" s="61">
        <f t="shared" si="19"/>
        <v>1621.1058008452756</v>
      </c>
      <c r="AC73" s="16">
        <v>69</v>
      </c>
      <c r="AD73" s="16">
        <f t="shared" si="22"/>
        <v>1405.8552968300939</v>
      </c>
      <c r="AE73" s="16">
        <f t="shared" si="20"/>
        <v>2.9368841919617608</v>
      </c>
      <c r="AF73" s="16">
        <f>'Gearing Calculator'!$C$17*Braking!AD73</f>
        <v>2108.782945245141</v>
      </c>
      <c r="AG73" s="16">
        <f t="shared" si="21"/>
        <v>-7.9217991932574794</v>
      </c>
    </row>
    <row r="74" spans="1:33" x14ac:dyDescent="0.25">
      <c r="A74" s="48">
        <v>70</v>
      </c>
      <c r="G74" s="41">
        <v>12100</v>
      </c>
      <c r="H74" s="16">
        <f>0.5*'Gearing Calculator'!$C$15*Braking!$C$11*Acceleration!$C$6*(Forces!H74^2)</f>
        <v>72.775737813311267</v>
      </c>
      <c r="I74" s="16">
        <f>0.5*'Gearing Calculator'!$C$15*Braking!$C$11*Acceleration!$C$6*(Forces!I74^2)</f>
        <v>121.41924312255578</v>
      </c>
      <c r="J74" s="16">
        <f>0.5*'Gearing Calculator'!$C$15*Braking!$C$11*Acceleration!$C$6*(Forces!J74^2)</f>
        <v>174.84371009648035</v>
      </c>
      <c r="K74" s="16">
        <f>0.5*'Gearing Calculator'!$C$15*Braking!$C$11*Acceleration!$C$6*(Forces!K74^2)</f>
        <v>232.78008740655656</v>
      </c>
      <c r="L74" s="16">
        <f>0.5*'Gearing Calculator'!$C$15*Braking!$C$11*Acceleration!$C$6*(Forces!L74^2)</f>
        <v>293.8045882965547</v>
      </c>
      <c r="M74" s="16">
        <f>0.5*'Gearing Calculator'!$C$15*Braking!$C$11*Acceleration!$C$6*(Forces!M74^2)</f>
        <v>367.24156710035788</v>
      </c>
      <c r="O74" s="41">
        <v>12100</v>
      </c>
      <c r="P74" s="22">
        <f t="shared" si="12"/>
        <v>-9.0991902129621423</v>
      </c>
      <c r="Q74" s="22">
        <f t="shared" si="13"/>
        <v>-9.2819231404949925</v>
      </c>
      <c r="R74" s="22">
        <f t="shared" si="14"/>
        <v>-9.4826161043339265</v>
      </c>
      <c r="S74" s="22">
        <f t="shared" si="15"/>
        <v>-9.7002583932523194</v>
      </c>
      <c r="T74" s="22">
        <f t="shared" si="16"/>
        <v>-9.9295014469337559</v>
      </c>
      <c r="U74" s="22">
        <f t="shared" si="17"/>
        <v>-10.205372892477721</v>
      </c>
      <c r="W74" s="55">
        <v>70</v>
      </c>
      <c r="X74" s="61">
        <f t="shared" si="18"/>
        <v>1644.6000878140476</v>
      </c>
      <c r="Z74" s="55">
        <v>70</v>
      </c>
      <c r="AA74" s="61">
        <f t="shared" si="19"/>
        <v>1644.6000878140476</v>
      </c>
      <c r="AC74" s="16">
        <v>70</v>
      </c>
      <c r="AD74" s="16">
        <f t="shared" si="22"/>
        <v>1406.3839547551677</v>
      </c>
      <c r="AE74" s="16">
        <f t="shared" si="20"/>
        <v>2.9794477309756995</v>
      </c>
      <c r="AF74" s="16">
        <f>'Gearing Calculator'!$C$17*Braking!AD74</f>
        <v>2109.5759321327514</v>
      </c>
      <c r="AG74" s="16">
        <f t="shared" si="21"/>
        <v>-7.9247781071853929</v>
      </c>
    </row>
    <row r="75" spans="1:33" x14ac:dyDescent="0.25">
      <c r="A75" s="48">
        <v>71</v>
      </c>
      <c r="G75" s="41">
        <v>12200</v>
      </c>
      <c r="H75" s="16">
        <f>0.5*'Gearing Calculator'!$C$15*Braking!$C$11*Acceleration!$C$6*(Forces!H75^2)</f>
        <v>73.973672223702394</v>
      </c>
      <c r="I75" s="16">
        <f>0.5*'Gearing Calculator'!$C$15*Braking!$C$11*Acceleration!$C$6*(Forces!I75^2)</f>
        <v>123.41788022044794</v>
      </c>
      <c r="J75" s="16">
        <f>0.5*'Gearing Calculator'!$C$15*Braking!$C$11*Acceleration!$C$6*(Forces!J75^2)</f>
        <v>177.7217475174449</v>
      </c>
      <c r="K75" s="16">
        <f>0.5*'Gearing Calculator'!$C$15*Braking!$C$11*Acceleration!$C$6*(Forces!K75^2)</f>
        <v>236.6117940321013</v>
      </c>
      <c r="L75" s="16">
        <f>0.5*'Gearing Calculator'!$C$15*Braking!$C$11*Acceleration!$C$6*(Forces!L75^2)</f>
        <v>298.64079658281219</v>
      </c>
      <c r="M75" s="16">
        <f>0.5*'Gearing Calculator'!$C$15*Braking!$C$11*Acceleration!$C$6*(Forces!M75^2)</f>
        <v>373.28659423954002</v>
      </c>
      <c r="O75" s="41">
        <v>12200</v>
      </c>
      <c r="P75" s="22">
        <f t="shared" si="12"/>
        <v>-9.1036903422273241</v>
      </c>
      <c r="Q75" s="22">
        <f t="shared" si="13"/>
        <v>-9.2894311686613786</v>
      </c>
      <c r="R75" s="22">
        <f t="shared" si="14"/>
        <v>-9.4934276648935239</v>
      </c>
      <c r="S75" s="22">
        <f t="shared" si="15"/>
        <v>-9.714652482754742</v>
      </c>
      <c r="T75" s="22">
        <f t="shared" si="16"/>
        <v>-9.9476690212622962</v>
      </c>
      <c r="U75" s="22">
        <f t="shared" si="17"/>
        <v>-10.228081484285315</v>
      </c>
      <c r="W75" s="55">
        <v>71</v>
      </c>
      <c r="X75" s="61">
        <f t="shared" si="18"/>
        <v>1668.0943747828196</v>
      </c>
      <c r="Z75" s="55">
        <v>71</v>
      </c>
      <c r="AA75" s="61">
        <f t="shared" si="19"/>
        <v>1668.0943747828196</v>
      </c>
      <c r="AC75" s="16">
        <v>71</v>
      </c>
      <c r="AD75" s="16">
        <f t="shared" si="22"/>
        <v>1406.9126126802416</v>
      </c>
      <c r="AE75" s="16">
        <f t="shared" si="20"/>
        <v>3.0220112699896382</v>
      </c>
      <c r="AF75" s="16">
        <f>'Gearing Calculator'!$C$17*Braking!AD75</f>
        <v>2110.3689190203622</v>
      </c>
      <c r="AG75" s="16">
        <f t="shared" si="21"/>
        <v>-7.9277570211133073</v>
      </c>
    </row>
    <row r="76" spans="1:33" x14ac:dyDescent="0.25">
      <c r="A76" s="48">
        <v>72</v>
      </c>
      <c r="G76" s="41">
        <v>12300</v>
      </c>
      <c r="H76" s="16">
        <f>0.5*'Gearing Calculator'!$C$15*Braking!$C$11*Acceleration!$C$6*(Forces!H76^2)</f>
        <v>75.18138569050484</v>
      </c>
      <c r="I76" s="16">
        <f>0.5*'Gearing Calculator'!$C$15*Braking!$C$11*Acceleration!$C$6*(Forces!I76^2)</f>
        <v>125.4328327232208</v>
      </c>
      <c r="J76" s="16">
        <f>0.5*'Gearing Calculator'!$C$15*Braking!$C$11*Acceleration!$C$6*(Forces!J76^2)</f>
        <v>180.62327912143795</v>
      </c>
      <c r="K76" s="16">
        <f>0.5*'Gearing Calculator'!$C$15*Braking!$C$11*Acceleration!$C$6*(Forces!K76^2)</f>
        <v>240.4747798954055</v>
      </c>
      <c r="L76" s="16">
        <f>0.5*'Gearing Calculator'!$C$15*Braking!$C$11*Acceleration!$C$6*(Forces!L76^2)</f>
        <v>303.516484120386</v>
      </c>
      <c r="M76" s="16">
        <f>0.5*'Gearing Calculator'!$C$15*Braking!$C$11*Acceleration!$C$6*(Forces!M76^2)</f>
        <v>379.38096853904221</v>
      </c>
      <c r="O76" s="41">
        <v>12300</v>
      </c>
      <c r="P76" s="22">
        <f t="shared" si="12"/>
        <v>-9.1082272072416082</v>
      </c>
      <c r="Q76" s="22">
        <f t="shared" si="13"/>
        <v>-9.2970004868536122</v>
      </c>
      <c r="R76" s="22">
        <f t="shared" si="14"/>
        <v>-9.5043274830903428</v>
      </c>
      <c r="S76" s="22">
        <f t="shared" si="15"/>
        <v>-9.7291640750286135</v>
      </c>
      <c r="T76" s="22">
        <f t="shared" si="16"/>
        <v>-9.9659849023200504</v>
      </c>
      <c r="U76" s="22">
        <f t="shared" si="17"/>
        <v>-10.250975452352566</v>
      </c>
      <c r="W76" s="55">
        <v>72</v>
      </c>
      <c r="X76" s="61">
        <f t="shared" si="18"/>
        <v>1691.5886617515919</v>
      </c>
      <c r="Z76" s="55">
        <v>72</v>
      </c>
      <c r="AA76" s="61">
        <f t="shared" si="19"/>
        <v>1691.5886617515919</v>
      </c>
      <c r="AC76" s="16">
        <v>72</v>
      </c>
      <c r="AD76" s="16">
        <f t="shared" si="22"/>
        <v>1407.4412706053154</v>
      </c>
      <c r="AE76" s="16">
        <f t="shared" si="20"/>
        <v>3.0645748090035769</v>
      </c>
      <c r="AF76" s="16">
        <f>'Gearing Calculator'!$C$17*Braking!AD76</f>
        <v>2111.1619059079731</v>
      </c>
      <c r="AG76" s="16">
        <f t="shared" si="21"/>
        <v>-7.9307359350412217</v>
      </c>
    </row>
    <row r="77" spans="1:33" x14ac:dyDescent="0.25">
      <c r="A77" s="48">
        <v>73</v>
      </c>
      <c r="G77" s="41">
        <v>12400</v>
      </c>
      <c r="H77" s="16">
        <f>0.5*'Gearing Calculator'!$C$15*Braking!$C$11*Acceleration!$C$6*(Forces!H77^2)</f>
        <v>76.39887821371866</v>
      </c>
      <c r="I77" s="16">
        <f>0.5*'Gearing Calculator'!$C$15*Braking!$C$11*Acceleration!$C$6*(Forces!I77^2)</f>
        <v>127.46410063087441</v>
      </c>
      <c r="J77" s="16">
        <f>0.5*'Gearing Calculator'!$C$15*Braking!$C$11*Acceleration!$C$6*(Forces!J77^2)</f>
        <v>183.54830490845907</v>
      </c>
      <c r="K77" s="16">
        <f>0.5*'Gearing Calculator'!$C$15*Braking!$C$11*Acceleration!$C$6*(Forces!K77^2)</f>
        <v>244.36904499646926</v>
      </c>
      <c r="L77" s="16">
        <f>0.5*'Gearing Calculator'!$C$15*Braking!$C$11*Acceleration!$C$6*(Forces!L77^2)</f>
        <v>308.43165090927624</v>
      </c>
      <c r="M77" s="16">
        <f>0.5*'Gearing Calculator'!$C$15*Braking!$C$11*Acceleration!$C$6*(Forces!M77^2)</f>
        <v>385.52468999886401</v>
      </c>
      <c r="O77" s="41">
        <v>12400</v>
      </c>
      <c r="P77" s="22">
        <f t="shared" si="12"/>
        <v>-9.1128008080049945</v>
      </c>
      <c r="Q77" s="22">
        <f t="shared" si="13"/>
        <v>-9.3046310950716968</v>
      </c>
      <c r="R77" s="22">
        <f t="shared" si="14"/>
        <v>-9.5153155589243816</v>
      </c>
      <c r="S77" s="22">
        <f t="shared" si="15"/>
        <v>-9.7437931700739302</v>
      </c>
      <c r="T77" s="22">
        <f t="shared" si="16"/>
        <v>-9.9844490901070149</v>
      </c>
      <c r="U77" s="22">
        <f t="shared" si="17"/>
        <v>-10.274054796679472</v>
      </c>
      <c r="W77" s="55">
        <v>73</v>
      </c>
      <c r="X77" s="61">
        <f t="shared" si="18"/>
        <v>1715.0829487203639</v>
      </c>
      <c r="Z77" s="55">
        <v>73</v>
      </c>
      <c r="AA77" s="61">
        <f t="shared" si="19"/>
        <v>1715.0829487203639</v>
      </c>
      <c r="AC77" s="16">
        <v>73</v>
      </c>
      <c r="AD77" s="16">
        <f t="shared" si="22"/>
        <v>1407.9699285303891</v>
      </c>
      <c r="AE77" s="16">
        <f t="shared" si="20"/>
        <v>3.1071383480175152</v>
      </c>
      <c r="AF77" s="16">
        <f>'Gearing Calculator'!$C$17*Braking!AD77</f>
        <v>2111.9548927955839</v>
      </c>
      <c r="AG77" s="16">
        <f t="shared" si="21"/>
        <v>-7.933714848969136</v>
      </c>
    </row>
    <row r="78" spans="1:33" x14ac:dyDescent="0.25">
      <c r="A78" s="48">
        <v>74</v>
      </c>
      <c r="G78" s="41">
        <v>12500</v>
      </c>
      <c r="H78" s="16">
        <f>0.5*'Gearing Calculator'!$C$15*Braking!$C$11*Acceleration!$C$6*(Forces!H78^2)</f>
        <v>77.626149793343828</v>
      </c>
      <c r="I78" s="16">
        <f>0.5*'Gearing Calculator'!$C$15*Braking!$C$11*Acceleration!$C$6*(Forces!I78^2)</f>
        <v>129.51168394340874</v>
      </c>
      <c r="J78" s="16">
        <f>0.5*'Gearing Calculator'!$C$15*Braking!$C$11*Acceleration!$C$6*(Forces!J78^2)</f>
        <v>186.49682487850853</v>
      </c>
      <c r="K78" s="16">
        <f>0.5*'Gearing Calculator'!$C$15*Braking!$C$11*Acceleration!$C$6*(Forces!K78^2)</f>
        <v>248.29458933529253</v>
      </c>
      <c r="L78" s="16">
        <f>0.5*'Gearing Calculator'!$C$15*Braking!$C$11*Acceleration!$C$6*(Forces!L78^2)</f>
        <v>313.38629694948287</v>
      </c>
      <c r="M78" s="16">
        <f>0.5*'Gearing Calculator'!$C$15*Braking!$C$11*Acceleration!$C$6*(Forces!M78^2)</f>
        <v>391.71775861900591</v>
      </c>
      <c r="O78" s="41">
        <v>12500</v>
      </c>
      <c r="P78" s="22">
        <f t="shared" si="12"/>
        <v>-9.1174111445174866</v>
      </c>
      <c r="Q78" s="22">
        <f t="shared" si="13"/>
        <v>-9.3123229933156271</v>
      </c>
      <c r="R78" s="22">
        <f t="shared" si="14"/>
        <v>-9.5263918923956403</v>
      </c>
      <c r="S78" s="22">
        <f t="shared" si="15"/>
        <v>-9.7585397678906975</v>
      </c>
      <c r="T78" s="22">
        <f t="shared" si="16"/>
        <v>-10.003061584623193</v>
      </c>
      <c r="U78" s="22">
        <f t="shared" si="17"/>
        <v>-10.297319517266031</v>
      </c>
      <c r="W78" s="55">
        <v>74</v>
      </c>
      <c r="X78" s="61">
        <f t="shared" si="18"/>
        <v>1738.5772356891359</v>
      </c>
      <c r="Z78" s="55">
        <v>74</v>
      </c>
      <c r="AA78" s="61">
        <f t="shared" si="19"/>
        <v>1738.5772356891359</v>
      </c>
      <c r="AC78" s="16">
        <v>74</v>
      </c>
      <c r="AD78" s="16">
        <f t="shared" si="22"/>
        <v>1408.4985864554631</v>
      </c>
      <c r="AE78" s="16">
        <f t="shared" si="20"/>
        <v>3.1497018870314539</v>
      </c>
      <c r="AF78" s="16">
        <f>'Gearing Calculator'!$C$17*Braking!AD78</f>
        <v>2112.7478796831947</v>
      </c>
      <c r="AG78" s="16">
        <f t="shared" si="21"/>
        <v>-7.9366937628970504</v>
      </c>
    </row>
    <row r="79" spans="1:33" x14ac:dyDescent="0.25">
      <c r="A79" s="48">
        <v>75</v>
      </c>
      <c r="G79" s="41">
        <v>12600</v>
      </c>
      <c r="H79" s="16">
        <f>0.5*'Gearing Calculator'!$C$15*Braking!$C$11*Acceleration!$C$6*(Forces!H79^2)</f>
        <v>78.86320042938037</v>
      </c>
      <c r="I79" s="16">
        <f>0.5*'Gearing Calculator'!$C$15*Braking!$C$11*Acceleration!$C$6*(Forces!I79^2)</f>
        <v>131.57558266082387</v>
      </c>
      <c r="J79" s="16">
        <f>0.5*'Gearing Calculator'!$C$15*Braking!$C$11*Acceleration!$C$6*(Forces!J79^2)</f>
        <v>189.4688390315863</v>
      </c>
      <c r="K79" s="16">
        <f>0.5*'Gearing Calculator'!$C$15*Braking!$C$11*Acceleration!$C$6*(Forces!K79^2)</f>
        <v>252.25141291187543</v>
      </c>
      <c r="L79" s="16">
        <f>0.5*'Gearing Calculator'!$C$15*Braking!$C$11*Acceleration!$C$6*(Forces!L79^2)</f>
        <v>318.38042224100582</v>
      </c>
      <c r="M79" s="16">
        <f>0.5*'Gearing Calculator'!$C$15*Braking!$C$11*Acceleration!$C$6*(Forces!M79^2)</f>
        <v>397.96017439946735</v>
      </c>
      <c r="O79" s="41">
        <v>12600</v>
      </c>
      <c r="P79" s="22">
        <f t="shared" si="12"/>
        <v>-9.1220582167790809</v>
      </c>
      <c r="Q79" s="22">
        <f t="shared" si="13"/>
        <v>-9.3200761815854065</v>
      </c>
      <c r="R79" s="22">
        <f t="shared" si="14"/>
        <v>-9.5375564835041224</v>
      </c>
      <c r="S79" s="22">
        <f t="shared" si="15"/>
        <v>-9.773403868478912</v>
      </c>
      <c r="T79" s="22">
        <f t="shared" si="16"/>
        <v>-10.021822385868582</v>
      </c>
      <c r="U79" s="22">
        <f t="shared" si="17"/>
        <v>-10.32076961411224</v>
      </c>
      <c r="W79" s="55">
        <v>75</v>
      </c>
      <c r="X79" s="61">
        <f t="shared" si="18"/>
        <v>1762.0715226579082</v>
      </c>
      <c r="Z79" s="55">
        <v>75</v>
      </c>
      <c r="AA79" s="61">
        <f t="shared" si="19"/>
        <v>1762.0715226579082</v>
      </c>
      <c r="AC79" s="16">
        <v>75</v>
      </c>
      <c r="AD79" s="16">
        <f t="shared" si="22"/>
        <v>1409.0272443805368</v>
      </c>
      <c r="AE79" s="16">
        <f t="shared" si="20"/>
        <v>3.1922654260453922</v>
      </c>
      <c r="AF79" s="16">
        <f>'Gearing Calculator'!$C$17*Braking!AD79</f>
        <v>2113.5408665708051</v>
      </c>
      <c r="AG79" s="16">
        <f t="shared" si="21"/>
        <v>-7.939672676824963</v>
      </c>
    </row>
    <row r="80" spans="1:33" x14ac:dyDescent="0.25">
      <c r="A80" s="48">
        <v>76</v>
      </c>
      <c r="G80" s="41">
        <v>12700</v>
      </c>
      <c r="H80" s="16">
        <f>0.5*'Gearing Calculator'!$C$15*Braking!$C$11*Acceleration!$C$6*(Forces!H80^2)</f>
        <v>80.11003012182826</v>
      </c>
      <c r="I80" s="16">
        <f>0.5*'Gearing Calculator'!$C$15*Braking!$C$11*Acceleration!$C$6*(Forces!I80^2)</f>
        <v>133.65579678311977</v>
      </c>
      <c r="J80" s="16">
        <f>0.5*'Gearing Calculator'!$C$15*Braking!$C$11*Acceleration!$C$6*(Forces!J80^2)</f>
        <v>192.46434736769245</v>
      </c>
      <c r="K80" s="16">
        <f>0.5*'Gearing Calculator'!$C$15*Braking!$C$11*Acceleration!$C$6*(Forces!K80^2)</f>
        <v>256.23951572621769</v>
      </c>
      <c r="L80" s="16">
        <f>0.5*'Gearing Calculator'!$C$15*Braking!$C$11*Acceleration!$C$6*(Forces!L80^2)</f>
        <v>323.41402678384532</v>
      </c>
      <c r="M80" s="16">
        <f>0.5*'Gearing Calculator'!$C$15*Braking!$C$11*Acceleration!$C$6*(Forces!M80^2)</f>
        <v>404.2519373402489</v>
      </c>
      <c r="O80" s="41">
        <v>12700</v>
      </c>
      <c r="P80" s="22">
        <f t="shared" si="12"/>
        <v>-9.1267420247897793</v>
      </c>
      <c r="Q80" s="22">
        <f t="shared" si="13"/>
        <v>-9.3278906598810316</v>
      </c>
      <c r="R80" s="22">
        <f t="shared" si="14"/>
        <v>-9.5488093322498262</v>
      </c>
      <c r="S80" s="22">
        <f t="shared" si="15"/>
        <v>-9.7883854718385752</v>
      </c>
      <c r="T80" s="22">
        <f t="shared" si="16"/>
        <v>-10.040731493843188</v>
      </c>
      <c r="U80" s="22">
        <f t="shared" si="17"/>
        <v>-10.344405087218108</v>
      </c>
      <c r="W80" s="55">
        <v>76</v>
      </c>
      <c r="X80" s="61">
        <f t="shared" si="18"/>
        <v>1785.5658096266802</v>
      </c>
      <c r="Z80" s="55">
        <v>76</v>
      </c>
      <c r="AA80" s="61">
        <f t="shared" si="19"/>
        <v>1785.5658096266802</v>
      </c>
      <c r="AC80" s="16">
        <v>76</v>
      </c>
      <c r="AD80" s="16">
        <f t="shared" si="22"/>
        <v>1409.5559023056107</v>
      </c>
      <c r="AE80" s="16">
        <f t="shared" si="20"/>
        <v>3.2348289650593309</v>
      </c>
      <c r="AF80" s="16">
        <f>'Gearing Calculator'!$C$17*Braking!AD80</f>
        <v>2114.3338534584163</v>
      </c>
      <c r="AG80" s="16">
        <f t="shared" si="21"/>
        <v>-7.9426515907528792</v>
      </c>
    </row>
    <row r="81" spans="1:33" x14ac:dyDescent="0.25">
      <c r="A81" s="48">
        <v>77</v>
      </c>
      <c r="G81" s="41">
        <v>12800</v>
      </c>
      <c r="H81" s="16">
        <f>0.5*'Gearing Calculator'!$C$15*Braking!$C$11*Acceleration!$C$6*(Forces!H81^2)</f>
        <v>81.366638870687495</v>
      </c>
      <c r="I81" s="16">
        <f>0.5*'Gearing Calculator'!$C$15*Braking!$C$11*Acceleration!$C$6*(Forces!I81^2)</f>
        <v>135.75232631029633</v>
      </c>
      <c r="J81" s="16">
        <f>0.5*'Gearing Calculator'!$C$15*Braking!$C$11*Acceleration!$C$6*(Forces!J81^2)</f>
        <v>195.48334988682669</v>
      </c>
      <c r="K81" s="16">
        <f>0.5*'Gearing Calculator'!$C$15*Braking!$C$11*Acceleration!$C$6*(Forces!K81^2)</f>
        <v>260.25889777831969</v>
      </c>
      <c r="L81" s="16">
        <f>0.5*'Gearing Calculator'!$C$15*Braking!$C$11*Acceleration!$C$6*(Forces!L81^2)</f>
        <v>328.48711057800102</v>
      </c>
      <c r="M81" s="16">
        <f>0.5*'Gearing Calculator'!$C$15*Braking!$C$11*Acceleration!$C$6*(Forces!M81^2)</f>
        <v>410.59304744135</v>
      </c>
      <c r="O81" s="41">
        <v>12800</v>
      </c>
      <c r="P81" s="22">
        <f t="shared" si="12"/>
        <v>-9.1314625685495816</v>
      </c>
      <c r="Q81" s="22">
        <f t="shared" si="13"/>
        <v>-9.3357664282025077</v>
      </c>
      <c r="R81" s="22">
        <f t="shared" si="14"/>
        <v>-9.560150438632748</v>
      </c>
      <c r="S81" s="22">
        <f t="shared" si="15"/>
        <v>-9.8034845779696873</v>
      </c>
      <c r="T81" s="22">
        <f t="shared" si="16"/>
        <v>-10.059788908547002</v>
      </c>
      <c r="U81" s="22">
        <f t="shared" si="17"/>
        <v>-10.368225936583626</v>
      </c>
      <c r="W81" s="55">
        <v>77</v>
      </c>
      <c r="X81" s="61">
        <f t="shared" si="18"/>
        <v>1809.0600965954523</v>
      </c>
      <c r="Z81" s="55">
        <v>77</v>
      </c>
      <c r="AA81" s="61">
        <f t="shared" si="19"/>
        <v>1809.0600965954523</v>
      </c>
      <c r="AC81" s="16">
        <v>77</v>
      </c>
      <c r="AD81" s="16">
        <f t="shared" si="22"/>
        <v>1410.0845602306845</v>
      </c>
      <c r="AE81" s="16">
        <f t="shared" si="20"/>
        <v>3.2773925040732697</v>
      </c>
      <c r="AF81" s="16">
        <f>'Gearing Calculator'!$C$17*Braking!AD81</f>
        <v>2115.1268403460267</v>
      </c>
      <c r="AG81" s="16">
        <f t="shared" si="21"/>
        <v>-7.9456305046807918</v>
      </c>
    </row>
    <row r="82" spans="1:33" x14ac:dyDescent="0.25">
      <c r="A82" s="48">
        <v>78</v>
      </c>
      <c r="G82" s="41">
        <v>12900</v>
      </c>
      <c r="H82" s="16">
        <f>0.5*'Gearing Calculator'!$C$15*Braking!$C$11*Acceleration!$C$6*(Forces!H82^2)</f>
        <v>82.633026675958121</v>
      </c>
      <c r="I82" s="16">
        <f>0.5*'Gearing Calculator'!$C$15*Braking!$C$11*Acceleration!$C$6*(Forces!I82^2)</f>
        <v>137.86517124235374</v>
      </c>
      <c r="J82" s="16">
        <f>0.5*'Gearing Calculator'!$C$15*Braking!$C$11*Acceleration!$C$6*(Forces!J82^2)</f>
        <v>198.52584658898931</v>
      </c>
      <c r="K82" s="16">
        <f>0.5*'Gearing Calculator'!$C$15*Braking!$C$11*Acceleration!$C$6*(Forces!K82^2)</f>
        <v>264.3095590681811</v>
      </c>
      <c r="L82" s="16">
        <f>0.5*'Gearing Calculator'!$C$15*Braking!$C$11*Acceleration!$C$6*(Forces!L82^2)</f>
        <v>333.59967362347317</v>
      </c>
      <c r="M82" s="16">
        <f>0.5*'Gearing Calculator'!$C$15*Braking!$C$11*Acceleration!$C$6*(Forces!M82^2)</f>
        <v>416.98350470277143</v>
      </c>
      <c r="O82" s="41">
        <v>12900</v>
      </c>
      <c r="P82" s="22">
        <f t="shared" si="12"/>
        <v>-9.1362198480584862</v>
      </c>
      <c r="Q82" s="22">
        <f t="shared" si="13"/>
        <v>-9.3437034865498312</v>
      </c>
      <c r="R82" s="22">
        <f t="shared" si="14"/>
        <v>-9.5715798026528933</v>
      </c>
      <c r="S82" s="22">
        <f t="shared" si="15"/>
        <v>-9.8187011868722465</v>
      </c>
      <c r="T82" s="22">
        <f t="shared" si="16"/>
        <v>-10.078994629980031</v>
      </c>
      <c r="U82" s="22">
        <f t="shared" si="17"/>
        <v>-10.392232162208799</v>
      </c>
      <c r="W82" s="55">
        <v>78</v>
      </c>
      <c r="X82" s="61">
        <f t="shared" si="18"/>
        <v>1832.5543835642245</v>
      </c>
      <c r="Z82" s="55">
        <v>78</v>
      </c>
      <c r="AA82" s="61">
        <f t="shared" si="19"/>
        <v>1832.5543835642245</v>
      </c>
      <c r="AC82" s="16">
        <v>78</v>
      </c>
      <c r="AD82" s="16">
        <f t="shared" si="22"/>
        <v>1410.6132181557582</v>
      </c>
      <c r="AE82" s="16">
        <f t="shared" si="20"/>
        <v>3.3199560430872079</v>
      </c>
      <c r="AF82" s="16">
        <f>'Gearing Calculator'!$C$17*Braking!AD82</f>
        <v>2115.9198272336371</v>
      </c>
      <c r="AG82" s="16">
        <f t="shared" si="21"/>
        <v>-7.9486094186087044</v>
      </c>
    </row>
    <row r="83" spans="1:33" x14ac:dyDescent="0.25">
      <c r="A83" s="48">
        <v>79</v>
      </c>
      <c r="G83" s="41">
        <v>13000</v>
      </c>
      <c r="H83" s="16">
        <f>0.5*'Gearing Calculator'!$C$15*Braking!$C$11*Acceleration!$C$6*(Forces!H83^2)</f>
        <v>83.909193537640064</v>
      </c>
      <c r="I83" s="16">
        <f>0.5*'Gearing Calculator'!$C$15*Braking!$C$11*Acceleration!$C$6*(Forces!I83^2)</f>
        <v>139.99433157929181</v>
      </c>
      <c r="J83" s="16">
        <f>0.5*'Gearing Calculator'!$C$15*Braking!$C$11*Acceleration!$C$6*(Forces!J83^2)</f>
        <v>201.59183747418032</v>
      </c>
      <c r="K83" s="16">
        <f>0.5*'Gearing Calculator'!$C$15*Braking!$C$11*Acceleration!$C$6*(Forces!K83^2)</f>
        <v>268.39149959580214</v>
      </c>
      <c r="L83" s="16">
        <f>0.5*'Gearing Calculator'!$C$15*Braking!$C$11*Acceleration!$C$6*(Forces!L83^2)</f>
        <v>338.75171592026169</v>
      </c>
      <c r="M83" s="16">
        <f>0.5*'Gearing Calculator'!$C$15*Braking!$C$11*Acceleration!$C$6*(Forces!M83^2)</f>
        <v>423.42330912451223</v>
      </c>
      <c r="O83" s="41">
        <v>13000</v>
      </c>
      <c r="P83" s="22">
        <f t="shared" si="12"/>
        <v>-9.1410138633164966</v>
      </c>
      <c r="Q83" s="22">
        <f t="shared" si="13"/>
        <v>-9.3517018349230003</v>
      </c>
      <c r="R83" s="22">
        <f t="shared" si="14"/>
        <v>-9.5830974243102602</v>
      </c>
      <c r="S83" s="22">
        <f t="shared" si="15"/>
        <v>-9.8340352985462562</v>
      </c>
      <c r="T83" s="22">
        <f t="shared" si="16"/>
        <v>-10.098348658142273</v>
      </c>
      <c r="U83" s="22">
        <f t="shared" si="17"/>
        <v>-10.416423764093626</v>
      </c>
      <c r="W83" s="55">
        <v>79</v>
      </c>
      <c r="X83" s="61">
        <f t="shared" si="18"/>
        <v>1856.0486705329965</v>
      </c>
      <c r="Z83" s="55">
        <v>79</v>
      </c>
      <c r="AA83" s="61">
        <f t="shared" si="19"/>
        <v>1856.0486705329965</v>
      </c>
      <c r="AC83" s="16">
        <v>79</v>
      </c>
      <c r="AD83" s="16">
        <f t="shared" si="22"/>
        <v>1411.1418760808322</v>
      </c>
      <c r="AE83" s="16">
        <f t="shared" si="20"/>
        <v>3.3625195821011462</v>
      </c>
      <c r="AF83" s="16">
        <f>'Gearing Calculator'!$C$17*Braking!AD83</f>
        <v>2116.7128141212484</v>
      </c>
      <c r="AG83" s="16">
        <f t="shared" si="21"/>
        <v>-7.9515883325366206</v>
      </c>
    </row>
    <row r="84" spans="1:33" x14ac:dyDescent="0.25">
      <c r="A84" s="48">
        <v>80</v>
      </c>
      <c r="G84" s="41">
        <v>13100</v>
      </c>
      <c r="H84" s="16">
        <f>0.5*'Gearing Calculator'!$C$15*Braking!$C$11*Acceleration!$C$6*(Forces!H84^2)</f>
        <v>85.195139455733383</v>
      </c>
      <c r="I84" s="16">
        <f>0.5*'Gearing Calculator'!$C$15*Braking!$C$11*Acceleration!$C$6*(Forces!I84^2)</f>
        <v>142.13980732111071</v>
      </c>
      <c r="J84" s="16">
        <f>0.5*'Gearing Calculator'!$C$15*Braking!$C$11*Acceleration!$C$6*(Forces!J84^2)</f>
        <v>204.68132254239941</v>
      </c>
      <c r="K84" s="16">
        <f>0.5*'Gearing Calculator'!$C$15*Braking!$C$11*Acceleration!$C$6*(Forces!K84^2)</f>
        <v>272.50471936118271</v>
      </c>
      <c r="L84" s="16">
        <f>0.5*'Gearing Calculator'!$C$15*Braking!$C$11*Acceleration!$C$6*(Forces!L84^2)</f>
        <v>343.94323746836659</v>
      </c>
      <c r="M84" s="16">
        <f>0.5*'Gearing Calculator'!$C$15*Braking!$C$11*Acceleration!$C$6*(Forces!M84^2)</f>
        <v>429.91246070657337</v>
      </c>
      <c r="O84" s="41">
        <v>13100</v>
      </c>
      <c r="P84" s="22">
        <f t="shared" si="12"/>
        <v>-9.1458446143236092</v>
      </c>
      <c r="Q84" s="22">
        <f t="shared" si="13"/>
        <v>-9.3597614733220205</v>
      </c>
      <c r="R84" s="22">
        <f t="shared" si="14"/>
        <v>-9.594703303604847</v>
      </c>
      <c r="S84" s="22">
        <f t="shared" si="15"/>
        <v>-9.8494869129917131</v>
      </c>
      <c r="T84" s="22">
        <f t="shared" si="16"/>
        <v>-10.117850993033725</v>
      </c>
      <c r="U84" s="22">
        <f t="shared" si="17"/>
        <v>-10.440800742238109</v>
      </c>
      <c r="W84" s="55">
        <v>80</v>
      </c>
      <c r="X84" s="61">
        <f t="shared" si="18"/>
        <v>1879.5429575017688</v>
      </c>
      <c r="Z84" s="55">
        <v>80</v>
      </c>
      <c r="AA84" s="61">
        <f t="shared" si="19"/>
        <v>1879.5429575017688</v>
      </c>
      <c r="AC84" s="16">
        <v>80</v>
      </c>
      <c r="AD84" s="16">
        <f t="shared" si="22"/>
        <v>1411.6705340059059</v>
      </c>
      <c r="AE84" s="16">
        <f t="shared" si="20"/>
        <v>3.4050831211150849</v>
      </c>
      <c r="AF84" s="16">
        <f>'Gearing Calculator'!$C$17*Braking!AD84</f>
        <v>2117.5058010088587</v>
      </c>
      <c r="AG84" s="16">
        <f t="shared" si="21"/>
        <v>-7.9545672464645332</v>
      </c>
    </row>
    <row r="85" spans="1:33" x14ac:dyDescent="0.25">
      <c r="A85" s="48">
        <v>81</v>
      </c>
      <c r="G85" s="41">
        <v>13200</v>
      </c>
      <c r="H85" s="16">
        <f>0.5*'Gearing Calculator'!$C$15*Braking!$C$11*Acceleration!$C$6*(Forces!H85^2)</f>
        <v>86.490864430238034</v>
      </c>
      <c r="I85" s="16">
        <f>0.5*'Gearing Calculator'!$C$15*Braking!$C$11*Acceleration!$C$6*(Forces!I85^2)</f>
        <v>144.30159846781035</v>
      </c>
      <c r="J85" s="16">
        <f>0.5*'Gearing Calculator'!$C$15*Braking!$C$11*Acceleration!$C$6*(Forces!J85^2)</f>
        <v>207.79430179364687</v>
      </c>
      <c r="K85" s="16">
        <f>0.5*'Gearing Calculator'!$C$15*Braking!$C$11*Acceleration!$C$6*(Forces!K85^2)</f>
        <v>276.64921836432285</v>
      </c>
      <c r="L85" s="16">
        <f>0.5*'Gearing Calculator'!$C$15*Braking!$C$11*Acceleration!$C$6*(Forces!L85^2)</f>
        <v>349.17423826778804</v>
      </c>
      <c r="M85" s="16">
        <f>0.5*'Gearing Calculator'!$C$15*Braking!$C$11*Acceleration!$C$6*(Forces!M85^2)</f>
        <v>436.45095944895405</v>
      </c>
      <c r="O85" s="41">
        <v>13200</v>
      </c>
      <c r="P85" s="22">
        <f t="shared" si="12"/>
        <v>-9.150712101079824</v>
      </c>
      <c r="Q85" s="22">
        <f t="shared" si="13"/>
        <v>-9.367882401746888</v>
      </c>
      <c r="R85" s="22">
        <f t="shared" si="14"/>
        <v>-9.6063974405366572</v>
      </c>
      <c r="S85" s="22">
        <f t="shared" si="15"/>
        <v>-9.865056030208617</v>
      </c>
      <c r="T85" s="22">
        <f t="shared" si="16"/>
        <v>-10.137501634654392</v>
      </c>
      <c r="U85" s="22">
        <f t="shared" si="17"/>
        <v>-10.465363096642244</v>
      </c>
      <c r="W85" s="55">
        <v>81</v>
      </c>
      <c r="X85" s="61">
        <f t="shared" si="18"/>
        <v>1903.0372444705408</v>
      </c>
      <c r="Z85" s="55">
        <v>81</v>
      </c>
      <c r="AA85" s="61">
        <f t="shared" si="19"/>
        <v>1903.0372444705408</v>
      </c>
      <c r="AC85" s="16">
        <v>81</v>
      </c>
      <c r="AD85" s="16">
        <f t="shared" si="22"/>
        <v>1412.1991919309799</v>
      </c>
      <c r="AE85" s="16">
        <f t="shared" si="20"/>
        <v>3.4476466601290237</v>
      </c>
      <c r="AF85" s="16">
        <f>'Gearing Calculator'!$C$17*Braking!AD85</f>
        <v>2118.2987878964695</v>
      </c>
      <c r="AG85" s="16">
        <f t="shared" si="21"/>
        <v>-7.9575461603924476</v>
      </c>
    </row>
    <row r="86" spans="1:33" x14ac:dyDescent="0.25">
      <c r="A86" s="48">
        <v>82</v>
      </c>
      <c r="G86" s="41">
        <v>13300</v>
      </c>
      <c r="H86" s="16">
        <f>0.5*'Gearing Calculator'!$C$15*Braking!$C$11*Acceleration!$C$6*(Forces!H86^2)</f>
        <v>87.79636846115406</v>
      </c>
      <c r="I86" s="16">
        <f>0.5*'Gearing Calculator'!$C$15*Braking!$C$11*Acceleration!$C$6*(Forces!I86^2)</f>
        <v>146.47970501939068</v>
      </c>
      <c r="J86" s="16">
        <f>0.5*'Gearing Calculator'!$C$15*Braking!$C$11*Acceleration!$C$6*(Forces!J86^2)</f>
        <v>210.93077522792254</v>
      </c>
      <c r="K86" s="16">
        <f>0.5*'Gearing Calculator'!$C$15*Braking!$C$11*Acceleration!$C$6*(Forces!K86^2)</f>
        <v>280.82499660522245</v>
      </c>
      <c r="L86" s="16">
        <f>0.5*'Gearing Calculator'!$C$15*Braking!$C$11*Acceleration!$C$6*(Forces!L86^2)</f>
        <v>354.44471831852559</v>
      </c>
      <c r="M86" s="16">
        <f>0.5*'Gearing Calculator'!$C$15*Braking!$C$11*Acceleration!$C$6*(Forces!M86^2)</f>
        <v>443.03880535165467</v>
      </c>
      <c r="O86" s="41">
        <v>13300</v>
      </c>
      <c r="P86" s="22">
        <f t="shared" si="12"/>
        <v>-9.1556163235851429</v>
      </c>
      <c r="Q86" s="22">
        <f t="shared" si="13"/>
        <v>-9.376064620197603</v>
      </c>
      <c r="R86" s="22">
        <f t="shared" si="14"/>
        <v>-9.6181798351056855</v>
      </c>
      <c r="S86" s="22">
        <f t="shared" si="15"/>
        <v>-9.8807426501969715</v>
      </c>
      <c r="T86" s="22">
        <f t="shared" si="16"/>
        <v>-10.157300583004268</v>
      </c>
      <c r="U86" s="22">
        <f t="shared" si="17"/>
        <v>-10.490110827306031</v>
      </c>
      <c r="W86" s="55">
        <v>82</v>
      </c>
      <c r="X86" s="61">
        <f t="shared" si="18"/>
        <v>1926.5315314393129</v>
      </c>
      <c r="Z86" s="55">
        <v>82</v>
      </c>
      <c r="AA86" s="61">
        <f t="shared" si="19"/>
        <v>1926.5315314393129</v>
      </c>
      <c r="AC86" s="16">
        <v>82</v>
      </c>
      <c r="AD86" s="16">
        <f t="shared" si="22"/>
        <v>1412.7278498560536</v>
      </c>
      <c r="AE86" s="16">
        <f t="shared" si="20"/>
        <v>3.4902101991429624</v>
      </c>
      <c r="AF86" s="16">
        <f>'Gearing Calculator'!$C$17*Braking!AD86</f>
        <v>2119.0917747840804</v>
      </c>
      <c r="AG86" s="16">
        <f t="shared" si="21"/>
        <v>-7.9605250743203619</v>
      </c>
    </row>
    <row r="87" spans="1:33" x14ac:dyDescent="0.25">
      <c r="A87" s="48">
        <v>83</v>
      </c>
      <c r="G87" s="41">
        <v>13400</v>
      </c>
      <c r="H87" s="16">
        <f>0.5*'Gearing Calculator'!$C$15*Braking!$C$11*Acceleration!$C$6*(Forces!H87^2)</f>
        <v>89.111651548481447</v>
      </c>
      <c r="I87" s="16">
        <f>0.5*'Gearing Calculator'!$C$15*Braking!$C$11*Acceleration!$C$6*(Forces!I87^2)</f>
        <v>148.67412697585183</v>
      </c>
      <c r="J87" s="16">
        <f>0.5*'Gearing Calculator'!$C$15*Braking!$C$11*Acceleration!$C$6*(Forces!J87^2)</f>
        <v>214.09074284522669</v>
      </c>
      <c r="K87" s="16">
        <f>0.5*'Gearing Calculator'!$C$15*Braking!$C$11*Acceleration!$C$6*(Forces!K87^2)</f>
        <v>285.03205408388169</v>
      </c>
      <c r="L87" s="16">
        <f>0.5*'Gearing Calculator'!$C$15*Braking!$C$11*Acceleration!$C$6*(Forces!L87^2)</f>
        <v>359.75467762057968</v>
      </c>
      <c r="M87" s="16">
        <f>0.5*'Gearing Calculator'!$C$15*Braking!$C$11*Acceleration!$C$6*(Forces!M87^2)</f>
        <v>449.67599841467518</v>
      </c>
      <c r="O87" s="41">
        <v>13400</v>
      </c>
      <c r="P87" s="22">
        <f t="shared" si="12"/>
        <v>-9.1605572818395657</v>
      </c>
      <c r="Q87" s="22">
        <f t="shared" si="13"/>
        <v>-9.3843081286741654</v>
      </c>
      <c r="R87" s="22">
        <f t="shared" si="14"/>
        <v>-9.6300504873119372</v>
      </c>
      <c r="S87" s="22">
        <f t="shared" si="15"/>
        <v>-9.8965467729567731</v>
      </c>
      <c r="T87" s="22">
        <f t="shared" si="16"/>
        <v>-10.17724783808336</v>
      </c>
      <c r="U87" s="22">
        <f t="shared" si="17"/>
        <v>-10.515043934229476</v>
      </c>
      <c r="W87" s="55">
        <v>83</v>
      </c>
      <c r="X87" s="61">
        <f t="shared" si="18"/>
        <v>1950.0258184080851</v>
      </c>
      <c r="Z87" s="55">
        <v>83</v>
      </c>
      <c r="AA87" s="61">
        <f t="shared" si="19"/>
        <v>1950.0258184080851</v>
      </c>
      <c r="AC87" s="16">
        <v>83</v>
      </c>
      <c r="AD87" s="16">
        <f t="shared" si="22"/>
        <v>1413.2565077811273</v>
      </c>
      <c r="AE87" s="16">
        <f t="shared" si="20"/>
        <v>3.5327737381569011</v>
      </c>
      <c r="AF87" s="16">
        <f>'Gearing Calculator'!$C$17*Braking!AD87</f>
        <v>2119.8847616716912</v>
      </c>
      <c r="AG87" s="16">
        <f t="shared" si="21"/>
        <v>-7.9635039882482772</v>
      </c>
    </row>
    <row r="88" spans="1:33" x14ac:dyDescent="0.25">
      <c r="A88" s="48">
        <v>84</v>
      </c>
      <c r="G88" s="41">
        <v>13500</v>
      </c>
      <c r="H88" s="16">
        <f>0.5*'Gearing Calculator'!$C$15*Braking!$C$11*Acceleration!$C$6*(Forces!H88^2)</f>
        <v>90.436713692220181</v>
      </c>
      <c r="I88" s="16">
        <f>0.5*'Gearing Calculator'!$C$15*Braking!$C$11*Acceleration!$C$6*(Forces!I88^2)</f>
        <v>150.88486433719379</v>
      </c>
      <c r="J88" s="16">
        <f>0.5*'Gearing Calculator'!$C$15*Braking!$C$11*Acceleration!$C$6*(Forces!J88^2)</f>
        <v>217.27420464555897</v>
      </c>
      <c r="K88" s="16">
        <f>0.5*'Gearing Calculator'!$C$15*Braking!$C$11*Acceleration!$C$6*(Forces!K88^2)</f>
        <v>289.27039080030056</v>
      </c>
      <c r="L88" s="16">
        <f>0.5*'Gearing Calculator'!$C$15*Braking!$C$11*Acceleration!$C$6*(Forces!L88^2)</f>
        <v>365.10411617395027</v>
      </c>
      <c r="M88" s="16">
        <f>0.5*'Gearing Calculator'!$C$15*Braking!$C$11*Acceleration!$C$6*(Forces!M88^2)</f>
        <v>456.36253863801528</v>
      </c>
      <c r="O88" s="41">
        <v>13500</v>
      </c>
      <c r="P88" s="22">
        <f t="shared" si="12"/>
        <v>-9.1655349758430926</v>
      </c>
      <c r="Q88" s="22">
        <f t="shared" si="13"/>
        <v>-9.392612927176577</v>
      </c>
      <c r="R88" s="22">
        <f t="shared" si="14"/>
        <v>-9.6420093971554106</v>
      </c>
      <c r="S88" s="22">
        <f t="shared" si="15"/>
        <v>-9.9124683984880217</v>
      </c>
      <c r="T88" s="22">
        <f t="shared" si="16"/>
        <v>-10.197343399891665</v>
      </c>
      <c r="U88" s="22">
        <f t="shared" si="17"/>
        <v>-10.540162417412571</v>
      </c>
      <c r="W88" s="55">
        <v>84</v>
      </c>
      <c r="X88" s="61">
        <f t="shared" si="18"/>
        <v>1973.5201053768571</v>
      </c>
      <c r="Z88" s="55">
        <v>84</v>
      </c>
      <c r="AA88" s="61">
        <f t="shared" si="19"/>
        <v>1973.5201053768571</v>
      </c>
      <c r="AC88" s="16">
        <v>84</v>
      </c>
      <c r="AD88" s="16">
        <f t="shared" si="22"/>
        <v>1413.7851657062013</v>
      </c>
      <c r="AE88" s="16">
        <f t="shared" si="20"/>
        <v>3.5753372771708389</v>
      </c>
      <c r="AF88" s="16">
        <f>'Gearing Calculator'!$C$17*Braking!AD88</f>
        <v>2120.677748559302</v>
      </c>
      <c r="AG88" s="16">
        <f t="shared" si="21"/>
        <v>-7.9664829021761916</v>
      </c>
    </row>
    <row r="89" spans="1:33" x14ac:dyDescent="0.25">
      <c r="A89" s="48">
        <v>85</v>
      </c>
      <c r="G89" s="41">
        <v>13600</v>
      </c>
      <c r="H89" s="16">
        <f>0.5*'Gearing Calculator'!$C$15*Braking!$C$11*Acceleration!$C$6*(Forces!H89^2)</f>
        <v>91.771554892370276</v>
      </c>
      <c r="I89" s="16">
        <f>0.5*'Gearing Calculator'!$C$15*Braking!$C$11*Acceleration!$C$6*(Forces!I89^2)</f>
        <v>153.11191710341646</v>
      </c>
      <c r="J89" s="16">
        <f>0.5*'Gearing Calculator'!$C$15*Braking!$C$11*Acceleration!$C$6*(Forces!J89^2)</f>
        <v>220.48116062891955</v>
      </c>
      <c r="K89" s="16">
        <f>0.5*'Gearing Calculator'!$C$15*Braking!$C$11*Acceleration!$C$6*(Forces!K89^2)</f>
        <v>293.54000675447872</v>
      </c>
      <c r="L89" s="16">
        <f>0.5*'Gearing Calculator'!$C$15*Braking!$C$11*Acceleration!$C$6*(Forces!L89^2)</f>
        <v>370.49303397863713</v>
      </c>
      <c r="M89" s="16">
        <f>0.5*'Gearing Calculator'!$C$15*Braking!$C$11*Acceleration!$C$6*(Forces!M89^2)</f>
        <v>463.09842602167549</v>
      </c>
      <c r="O89" s="41">
        <v>13600</v>
      </c>
      <c r="P89" s="22">
        <f t="shared" si="12"/>
        <v>-9.1705494055957217</v>
      </c>
      <c r="Q89" s="22">
        <f t="shared" si="13"/>
        <v>-9.4009790157048378</v>
      </c>
      <c r="R89" s="22">
        <f t="shared" si="14"/>
        <v>-9.6540565646361038</v>
      </c>
      <c r="S89" s="22">
        <f t="shared" si="15"/>
        <v>-9.9285075267907192</v>
      </c>
      <c r="T89" s="22">
        <f t="shared" si="16"/>
        <v>-10.217587268429183</v>
      </c>
      <c r="U89" s="22">
        <f t="shared" si="17"/>
        <v>-10.565466276855322</v>
      </c>
      <c r="W89" s="55">
        <v>85</v>
      </c>
      <c r="X89" s="61">
        <f t="shared" si="18"/>
        <v>1997.0143923456292</v>
      </c>
      <c r="Z89" s="55">
        <v>85</v>
      </c>
      <c r="AA89" s="61">
        <f t="shared" si="19"/>
        <v>1997.0143923456292</v>
      </c>
      <c r="AC89" s="16">
        <v>85</v>
      </c>
      <c r="AD89" s="16">
        <f t="shared" si="22"/>
        <v>1414.313823631275</v>
      </c>
      <c r="AE89" s="16">
        <f t="shared" si="20"/>
        <v>3.6179008161847777</v>
      </c>
      <c r="AF89" s="16">
        <f>'Gearing Calculator'!$C$17*Braking!AD89</f>
        <v>2121.4707354469124</v>
      </c>
      <c r="AG89" s="16">
        <f t="shared" si="21"/>
        <v>-7.9694618161041042</v>
      </c>
    </row>
    <row r="90" spans="1:33" x14ac:dyDescent="0.25">
      <c r="A90" s="48">
        <v>86</v>
      </c>
      <c r="G90" s="41">
        <v>13700</v>
      </c>
      <c r="H90" s="16">
        <f>0.5*'Gearing Calculator'!$C$15*Braking!$C$11*Acceleration!$C$6*(Forces!H90^2)</f>
        <v>93.116175148931745</v>
      </c>
      <c r="I90" s="16">
        <f>0.5*'Gearing Calculator'!$C$15*Braking!$C$11*Acceleration!$C$6*(Forces!I90^2)</f>
        <v>155.35528527451979</v>
      </c>
      <c r="J90" s="16">
        <f>0.5*'Gearing Calculator'!$C$15*Braking!$C$11*Acceleration!$C$6*(Forces!J90^2)</f>
        <v>223.71161079530847</v>
      </c>
      <c r="K90" s="16">
        <f>0.5*'Gearing Calculator'!$C$15*Braking!$C$11*Acceleration!$C$6*(Forces!K90^2)</f>
        <v>297.84090194641652</v>
      </c>
      <c r="L90" s="16">
        <f>0.5*'Gearing Calculator'!$C$15*Braking!$C$11*Acceleration!$C$6*(Forces!L90^2)</f>
        <v>375.92143103464031</v>
      </c>
      <c r="M90" s="16">
        <f>0.5*'Gearing Calculator'!$C$15*Braking!$C$11*Acceleration!$C$6*(Forces!M90^2)</f>
        <v>469.88366056565548</v>
      </c>
      <c r="O90" s="41">
        <v>13700</v>
      </c>
      <c r="P90" s="22">
        <f t="shared" si="12"/>
        <v>-9.1756005710974566</v>
      </c>
      <c r="Q90" s="22">
        <f t="shared" si="13"/>
        <v>-9.4094063942589443</v>
      </c>
      <c r="R90" s="22">
        <f t="shared" si="14"/>
        <v>-9.6661919897540187</v>
      </c>
      <c r="S90" s="22">
        <f t="shared" si="15"/>
        <v>-9.9446641578648673</v>
      </c>
      <c r="T90" s="22">
        <f t="shared" si="16"/>
        <v>-10.23797944369591</v>
      </c>
      <c r="U90" s="22">
        <f t="shared" si="17"/>
        <v>-10.590955512557725</v>
      </c>
      <c r="W90" s="55">
        <v>86</v>
      </c>
      <c r="X90" s="61">
        <f t="shared" si="18"/>
        <v>2020.5086793144014</v>
      </c>
      <c r="Z90" s="55">
        <v>86</v>
      </c>
      <c r="AA90" s="61">
        <f t="shared" si="19"/>
        <v>2020.5086793144014</v>
      </c>
      <c r="AC90" s="16">
        <v>86</v>
      </c>
      <c r="AD90" s="16">
        <f t="shared" si="22"/>
        <v>1414.842481556349</v>
      </c>
      <c r="AE90" s="16">
        <f t="shared" si="20"/>
        <v>3.6604643551987164</v>
      </c>
      <c r="AF90" s="16">
        <f>'Gearing Calculator'!$C$17*Braking!AD90</f>
        <v>2122.2637223345237</v>
      </c>
      <c r="AG90" s="16">
        <f t="shared" si="21"/>
        <v>-7.9724407300320204</v>
      </c>
    </row>
    <row r="91" spans="1:33" x14ac:dyDescent="0.25">
      <c r="A91" s="48">
        <v>87</v>
      </c>
      <c r="G91" s="41">
        <v>13800</v>
      </c>
      <c r="H91" s="16">
        <f>0.5*'Gearing Calculator'!$C$15*Braking!$C$11*Acceleration!$C$6*(Forces!H91^2)</f>
        <v>94.470574461904505</v>
      </c>
      <c r="I91" s="16">
        <f>0.5*'Gearing Calculator'!$C$15*Braking!$C$11*Acceleration!$C$6*(Forces!I91^2)</f>
        <v>157.61496885050389</v>
      </c>
      <c r="J91" s="16">
        <f>0.5*'Gearing Calculator'!$C$15*Braking!$C$11*Acceleration!$C$6*(Forces!J91^2)</f>
        <v>226.9655551447257</v>
      </c>
      <c r="K91" s="16">
        <f>0.5*'Gearing Calculator'!$C$15*Braking!$C$11*Acceleration!$C$6*(Forces!K91^2)</f>
        <v>302.17307637611401</v>
      </c>
      <c r="L91" s="16">
        <f>0.5*'Gearing Calculator'!$C$15*Braking!$C$11*Acceleration!$C$6*(Forces!L91^2)</f>
        <v>381.38930734196003</v>
      </c>
      <c r="M91" s="16">
        <f>0.5*'Gearing Calculator'!$C$15*Braking!$C$11*Acceleration!$C$6*(Forces!M91^2)</f>
        <v>476.7182422699554</v>
      </c>
      <c r="O91" s="41">
        <v>13800</v>
      </c>
      <c r="P91" s="22">
        <f t="shared" si="12"/>
        <v>-9.1806884723482938</v>
      </c>
      <c r="Q91" s="22">
        <f t="shared" si="13"/>
        <v>-9.4178950628389</v>
      </c>
      <c r="R91" s="22">
        <f t="shared" si="14"/>
        <v>-9.6784156725091552</v>
      </c>
      <c r="S91" s="22">
        <f t="shared" si="15"/>
        <v>-9.9609382917104625</v>
      </c>
      <c r="T91" s="22">
        <f t="shared" si="16"/>
        <v>-10.258519925691852</v>
      </c>
      <c r="U91" s="22">
        <f t="shared" si="17"/>
        <v>-10.616630124519784</v>
      </c>
      <c r="W91" s="55">
        <v>87</v>
      </c>
      <c r="X91" s="61">
        <f t="shared" si="18"/>
        <v>2044.0029662831735</v>
      </c>
      <c r="Z91" s="55">
        <v>87</v>
      </c>
      <c r="AA91" s="61">
        <f t="shared" si="19"/>
        <v>2044.0029662831735</v>
      </c>
      <c r="AC91" s="16">
        <v>87</v>
      </c>
      <c r="AD91" s="16">
        <f t="shared" si="22"/>
        <v>1415.3711394814227</v>
      </c>
      <c r="AE91" s="16">
        <f t="shared" si="20"/>
        <v>3.7030278942126551</v>
      </c>
      <c r="AF91" s="16">
        <f>'Gearing Calculator'!$C$17*Braking!AD91</f>
        <v>2123.056709222134</v>
      </c>
      <c r="AG91" s="16">
        <f t="shared" si="21"/>
        <v>-7.975419643959933</v>
      </c>
    </row>
    <row r="92" spans="1:33" x14ac:dyDescent="0.25">
      <c r="A92" s="48">
        <v>88</v>
      </c>
      <c r="G92" s="41">
        <v>13900</v>
      </c>
      <c r="H92" s="16">
        <f>0.5*'Gearing Calculator'!$C$15*Braking!$C$11*Acceleration!$C$6*(Forces!H92^2)</f>
        <v>95.834752831288668</v>
      </c>
      <c r="I92" s="16">
        <f>0.5*'Gearing Calculator'!$C$15*Braking!$C$11*Acceleration!$C$6*(Forces!I92^2)</f>
        <v>159.89096783136881</v>
      </c>
      <c r="J92" s="16">
        <f>0.5*'Gearing Calculator'!$C$15*Braking!$C$11*Acceleration!$C$6*(Forces!J92^2)</f>
        <v>230.24299367717114</v>
      </c>
      <c r="K92" s="16">
        <f>0.5*'Gearing Calculator'!$C$15*Braking!$C$11*Acceleration!$C$6*(Forces!K92^2)</f>
        <v>306.53653004357096</v>
      </c>
      <c r="L92" s="16">
        <f>0.5*'Gearing Calculator'!$C$15*Braking!$C$11*Acceleration!$C$6*(Forces!L92^2)</f>
        <v>386.89666290059608</v>
      </c>
      <c r="M92" s="16">
        <f>0.5*'Gearing Calculator'!$C$15*Braking!$C$11*Acceleration!$C$6*(Forces!M92^2)</f>
        <v>483.60217113457514</v>
      </c>
      <c r="O92" s="41">
        <v>13900</v>
      </c>
      <c r="P92" s="22">
        <f t="shared" si="12"/>
        <v>-9.1858131093482331</v>
      </c>
      <c r="Q92" s="22">
        <f t="shared" si="13"/>
        <v>-9.4264450214447031</v>
      </c>
      <c r="R92" s="22">
        <f t="shared" si="14"/>
        <v>-9.6907276129015116</v>
      </c>
      <c r="S92" s="22">
        <f t="shared" si="15"/>
        <v>-9.9773299283275065</v>
      </c>
      <c r="T92" s="22">
        <f t="shared" si="16"/>
        <v>-10.279208714417008</v>
      </c>
      <c r="U92" s="22">
        <f t="shared" si="17"/>
        <v>-10.642490112741495</v>
      </c>
      <c r="W92" s="55">
        <v>88</v>
      </c>
      <c r="X92" s="61">
        <f t="shared" si="18"/>
        <v>2067.4972532519455</v>
      </c>
      <c r="Z92" s="55">
        <v>88</v>
      </c>
      <c r="AA92" s="61">
        <f t="shared" si="19"/>
        <v>2067.4972532519455</v>
      </c>
      <c r="AC92" s="16">
        <v>88</v>
      </c>
      <c r="AD92" s="16">
        <f t="shared" si="22"/>
        <v>1415.8997974064964</v>
      </c>
      <c r="AE92" s="16">
        <f t="shared" si="20"/>
        <v>3.7455914332265938</v>
      </c>
      <c r="AF92" s="16">
        <f>'Gearing Calculator'!$C$17*Braking!AD92</f>
        <v>2123.8496961097444</v>
      </c>
      <c r="AG92" s="16">
        <f t="shared" si="21"/>
        <v>-7.9783985578878456</v>
      </c>
    </row>
    <row r="93" spans="1:33" x14ac:dyDescent="0.25">
      <c r="A93" s="48">
        <v>89</v>
      </c>
      <c r="G93" s="41">
        <v>14000</v>
      </c>
      <c r="H93" s="16">
        <f>0.5*'Gearing Calculator'!$C$15*Braking!$C$11*Acceleration!$C$6*(Forces!H93^2)</f>
        <v>97.208710257084235</v>
      </c>
      <c r="I93" s="16">
        <f>0.5*'Gearing Calculator'!$C$15*Braking!$C$11*Acceleration!$C$6*(Forces!I93^2)</f>
        <v>162.18328221711442</v>
      </c>
      <c r="J93" s="16">
        <f>0.5*'Gearing Calculator'!$C$15*Braking!$C$11*Acceleration!$C$6*(Forces!J93^2)</f>
        <v>233.54392639264478</v>
      </c>
      <c r="K93" s="16">
        <f>0.5*'Gearing Calculator'!$C$15*Braking!$C$11*Acceleration!$C$6*(Forces!K93^2)</f>
        <v>310.93126294878749</v>
      </c>
      <c r="L93" s="16">
        <f>0.5*'Gearing Calculator'!$C$15*Braking!$C$11*Acceleration!$C$6*(Forces!L93^2)</f>
        <v>392.44349771054857</v>
      </c>
      <c r="M93" s="16">
        <f>0.5*'Gearing Calculator'!$C$15*Braking!$C$11*Acceleration!$C$6*(Forces!M93^2)</f>
        <v>490.53544715951477</v>
      </c>
      <c r="O93" s="41">
        <v>14000</v>
      </c>
      <c r="P93" s="22">
        <f t="shared" si="12"/>
        <v>-9.1909744820972783</v>
      </c>
      <c r="Q93" s="22">
        <f t="shared" si="13"/>
        <v>-9.4350562700763554</v>
      </c>
      <c r="R93" s="22">
        <f t="shared" si="14"/>
        <v>-9.7031278109310897</v>
      </c>
      <c r="S93" s="22">
        <f t="shared" si="15"/>
        <v>-9.9938390677159976</v>
      </c>
      <c r="T93" s="22">
        <f t="shared" si="16"/>
        <v>-10.300045809871374</v>
      </c>
      <c r="U93" s="22">
        <f t="shared" si="17"/>
        <v>-10.668535477222862</v>
      </c>
      <c r="W93" s="55">
        <v>89</v>
      </c>
      <c r="X93" s="61">
        <f t="shared" si="18"/>
        <v>2090.9915402207175</v>
      </c>
      <c r="Z93" s="55">
        <v>89</v>
      </c>
      <c r="AA93" s="61">
        <f t="shared" si="19"/>
        <v>2090.9915402207175</v>
      </c>
      <c r="AC93" s="16">
        <v>89</v>
      </c>
      <c r="AD93" s="16">
        <f t="shared" si="22"/>
        <v>1416.4284553315704</v>
      </c>
      <c r="AE93" s="16">
        <f t="shared" si="20"/>
        <v>3.7881549722405325</v>
      </c>
      <c r="AF93" s="16">
        <f>'Gearing Calculator'!$C$17*Braking!AD93</f>
        <v>2124.6426829973557</v>
      </c>
      <c r="AG93" s="16">
        <f t="shared" si="21"/>
        <v>-7.9813774718157617</v>
      </c>
    </row>
    <row r="94" spans="1:33" x14ac:dyDescent="0.25">
      <c r="A94" s="48">
        <v>90</v>
      </c>
      <c r="G94" s="41">
        <v>14100</v>
      </c>
      <c r="H94" s="16">
        <f>0.5*'Gearing Calculator'!$C$15*Braking!$C$11*Acceleration!$C$6*(Forces!H94^2)</f>
        <v>98.592446739291077</v>
      </c>
      <c r="I94" s="16">
        <f>0.5*'Gearing Calculator'!$C$15*Braking!$C$11*Acceleration!$C$6*(Forces!I94^2)</f>
        <v>164.49191200774075</v>
      </c>
      <c r="J94" s="16">
        <f>0.5*'Gearing Calculator'!$C$15*Braking!$C$11*Acceleration!$C$6*(Forces!J94^2)</f>
        <v>236.8683532911468</v>
      </c>
      <c r="K94" s="16">
        <f>0.5*'Gearing Calculator'!$C$15*Braking!$C$11*Acceleration!$C$6*(Forces!K94^2)</f>
        <v>315.35727509176354</v>
      </c>
      <c r="L94" s="16">
        <f>0.5*'Gearing Calculator'!$C$15*Braking!$C$11*Acceleration!$C$6*(Forces!L94^2)</f>
        <v>398.02981177181726</v>
      </c>
      <c r="M94" s="16">
        <f>0.5*'Gearing Calculator'!$C$15*Braking!$C$11*Acceleration!$C$6*(Forces!M94^2)</f>
        <v>497.51807034477389</v>
      </c>
      <c r="O94" s="41">
        <v>14100</v>
      </c>
      <c r="P94" s="22">
        <f t="shared" si="12"/>
        <v>-9.1961725905954257</v>
      </c>
      <c r="Q94" s="22">
        <f t="shared" si="13"/>
        <v>-9.4437288087338533</v>
      </c>
      <c r="R94" s="22">
        <f t="shared" si="14"/>
        <v>-9.7156162665978876</v>
      </c>
      <c r="S94" s="22">
        <f t="shared" si="15"/>
        <v>-10.010465709875938</v>
      </c>
      <c r="T94" s="22">
        <f t="shared" si="16"/>
        <v>-10.321031212054953</v>
      </c>
      <c r="U94" s="22">
        <f t="shared" si="17"/>
        <v>-10.694766217963879</v>
      </c>
      <c r="W94" s="55">
        <v>90</v>
      </c>
      <c r="X94" s="61">
        <f t="shared" si="18"/>
        <v>2114.4858271894896</v>
      </c>
      <c r="Z94" s="55">
        <v>90</v>
      </c>
      <c r="AA94" s="61">
        <f t="shared" si="19"/>
        <v>2114.4858271894896</v>
      </c>
      <c r="AC94" s="16">
        <v>90</v>
      </c>
      <c r="AD94" s="16">
        <f t="shared" si="22"/>
        <v>1416.9571132566441</v>
      </c>
      <c r="AE94" s="16">
        <f t="shared" si="20"/>
        <v>3.8307185112544708</v>
      </c>
      <c r="AF94" s="16">
        <f>'Gearing Calculator'!$C$17*Braking!AD94</f>
        <v>2125.435669884966</v>
      </c>
      <c r="AG94" s="16">
        <f t="shared" si="21"/>
        <v>-7.9843563857436743</v>
      </c>
    </row>
    <row r="95" spans="1:33" x14ac:dyDescent="0.25">
      <c r="A95" s="48">
        <v>91</v>
      </c>
      <c r="G95" s="41">
        <v>14200</v>
      </c>
      <c r="H95" s="16">
        <f>0.5*'Gearing Calculator'!$C$15*Braking!$C$11*Acceleration!$C$6*(Forces!H95^2)</f>
        <v>99.985962277909294</v>
      </c>
      <c r="I95" s="16">
        <f>0.5*'Gearing Calculator'!$C$15*Braking!$C$11*Acceleration!$C$6*(Forces!I95^2)</f>
        <v>166.81685720324796</v>
      </c>
      <c r="J95" s="16">
        <f>0.5*'Gearing Calculator'!$C$15*Braking!$C$11*Acceleration!$C$6*(Forces!J95^2)</f>
        <v>240.21627437267708</v>
      </c>
      <c r="K95" s="16">
        <f>0.5*'Gearing Calculator'!$C$15*Braking!$C$11*Acceleration!$C$6*(Forces!K95^2)</f>
        <v>319.81456647249917</v>
      </c>
      <c r="L95" s="16">
        <f>0.5*'Gearing Calculator'!$C$15*Braking!$C$11*Acceleration!$C$6*(Forces!L95^2)</f>
        <v>403.65560508440251</v>
      </c>
      <c r="M95" s="16">
        <f>0.5*'Gearing Calculator'!$C$15*Braking!$C$11*Acceleration!$C$6*(Forces!M95^2)</f>
        <v>504.55004069035328</v>
      </c>
      <c r="O95" s="41">
        <v>14200</v>
      </c>
      <c r="P95" s="22">
        <f t="shared" si="12"/>
        <v>-9.2014074348426771</v>
      </c>
      <c r="Q95" s="22">
        <f t="shared" si="13"/>
        <v>-9.4524626374172023</v>
      </c>
      <c r="R95" s="22">
        <f t="shared" si="14"/>
        <v>-9.7281929799019089</v>
      </c>
      <c r="S95" s="22">
        <f t="shared" si="15"/>
        <v>-10.027209854807326</v>
      </c>
      <c r="T95" s="22">
        <f t="shared" si="16"/>
        <v>-10.342164920967745</v>
      </c>
      <c r="U95" s="22">
        <f t="shared" si="17"/>
        <v>-10.721182334964555</v>
      </c>
      <c r="W95" s="55">
        <v>91</v>
      </c>
      <c r="X95" s="61">
        <f t="shared" si="18"/>
        <v>2137.980114158262</v>
      </c>
      <c r="Z95" s="55">
        <v>91</v>
      </c>
      <c r="AA95" s="61">
        <f t="shared" si="19"/>
        <v>2137.980114158262</v>
      </c>
      <c r="AC95" s="16">
        <v>91</v>
      </c>
      <c r="AD95" s="16">
        <f t="shared" si="22"/>
        <v>1417.4857711817181</v>
      </c>
      <c r="AE95" s="16">
        <f t="shared" si="20"/>
        <v>3.8732820502684091</v>
      </c>
      <c r="AF95" s="16">
        <f>'Gearing Calculator'!$C$17*Braking!AD95</f>
        <v>2126.2286567725769</v>
      </c>
      <c r="AG95" s="16">
        <f t="shared" si="21"/>
        <v>-7.9873352996715887</v>
      </c>
    </row>
    <row r="96" spans="1:33" x14ac:dyDescent="0.25">
      <c r="A96" s="48">
        <v>92</v>
      </c>
      <c r="G96" s="41">
        <v>14300</v>
      </c>
      <c r="H96" s="16">
        <f>0.5*'Gearing Calculator'!$C$15*Braking!$C$11*Acceleration!$C$6*(Forces!H96^2)</f>
        <v>101.3892568729389</v>
      </c>
      <c r="I96" s="16">
        <f>0.5*'Gearing Calculator'!$C$15*Braking!$C$11*Acceleration!$C$6*(Forces!I96^2)</f>
        <v>169.15811780363589</v>
      </c>
      <c r="J96" s="16">
        <f>0.5*'Gearing Calculator'!$C$15*Braking!$C$11*Acceleration!$C$6*(Forces!J96^2)</f>
        <v>243.58768963723566</v>
      </c>
      <c r="K96" s="16">
        <f>0.5*'Gearing Calculator'!$C$15*Braking!$C$11*Acceleration!$C$6*(Forces!K96^2)</f>
        <v>324.30313709099414</v>
      </c>
      <c r="L96" s="16">
        <f>0.5*'Gearing Calculator'!$C$15*Braking!$C$11*Acceleration!$C$6*(Forces!L96^2)</f>
        <v>409.32087764830425</v>
      </c>
      <c r="M96" s="16">
        <f>0.5*'Gearing Calculator'!$C$15*Braking!$C$11*Acceleration!$C$6*(Forces!M96^2)</f>
        <v>511.63135819625239</v>
      </c>
      <c r="O96" s="41">
        <v>14300</v>
      </c>
      <c r="P96" s="22">
        <f t="shared" si="12"/>
        <v>-9.2066790148390307</v>
      </c>
      <c r="Q96" s="22">
        <f t="shared" si="13"/>
        <v>-9.4612577561263969</v>
      </c>
      <c r="R96" s="22">
        <f t="shared" si="14"/>
        <v>-9.7408579508431501</v>
      </c>
      <c r="S96" s="22">
        <f t="shared" si="15"/>
        <v>-10.044071502510164</v>
      </c>
      <c r="T96" s="22">
        <f t="shared" si="16"/>
        <v>-10.363446936609749</v>
      </c>
      <c r="U96" s="22">
        <f t="shared" si="17"/>
        <v>-10.747783828224881</v>
      </c>
      <c r="W96" s="55">
        <v>92</v>
      </c>
      <c r="X96" s="61">
        <f t="shared" si="18"/>
        <v>2161.4744011270341</v>
      </c>
      <c r="Z96" s="55">
        <v>92</v>
      </c>
      <c r="AA96" s="61">
        <f t="shared" si="19"/>
        <v>2161.4744011270341</v>
      </c>
      <c r="AC96" s="16">
        <v>92</v>
      </c>
      <c r="AD96" s="16">
        <f t="shared" si="22"/>
        <v>1418.0144291067918</v>
      </c>
      <c r="AE96" s="16">
        <f t="shared" si="20"/>
        <v>3.9158455892823478</v>
      </c>
      <c r="AF96" s="16">
        <f>'Gearing Calculator'!$C$17*Braking!AD96</f>
        <v>2127.0216436601877</v>
      </c>
      <c r="AG96" s="16">
        <f t="shared" si="21"/>
        <v>-7.9903142135995031</v>
      </c>
    </row>
    <row r="97" spans="1:33" x14ac:dyDescent="0.25">
      <c r="A97" s="48">
        <v>93</v>
      </c>
      <c r="G97" s="41">
        <v>14400</v>
      </c>
      <c r="H97" s="16">
        <f>0.5*'Gearing Calculator'!$C$15*Braking!$C$11*Acceleration!$C$6*(Forces!H97^2)</f>
        <v>102.80233052437985</v>
      </c>
      <c r="I97" s="16">
        <f>0.5*'Gearing Calculator'!$C$15*Braking!$C$11*Acceleration!$C$6*(Forces!I97^2)</f>
        <v>171.51569380890464</v>
      </c>
      <c r="J97" s="16">
        <f>0.5*'Gearing Calculator'!$C$15*Braking!$C$11*Acceleration!$C$6*(Forces!J97^2)</f>
        <v>246.98259908482251</v>
      </c>
      <c r="K97" s="16">
        <f>0.5*'Gearing Calculator'!$C$15*Braking!$C$11*Acceleration!$C$6*(Forces!K97^2)</f>
        <v>328.82298694724886</v>
      </c>
      <c r="L97" s="16">
        <f>0.5*'Gearing Calculator'!$C$15*Braking!$C$11*Acceleration!$C$6*(Forces!L97^2)</f>
        <v>415.02562946352214</v>
      </c>
      <c r="M97" s="16">
        <f>0.5*'Gearing Calculator'!$C$15*Braking!$C$11*Acceleration!$C$6*(Forces!M97^2)</f>
        <v>518.76202286247155</v>
      </c>
      <c r="O97" s="41">
        <v>14400</v>
      </c>
      <c r="P97" s="22">
        <f t="shared" si="12"/>
        <v>-9.2119873305844884</v>
      </c>
      <c r="Q97" s="22">
        <f t="shared" si="13"/>
        <v>-9.4701141648614424</v>
      </c>
      <c r="R97" s="22">
        <f t="shared" si="14"/>
        <v>-9.7536111794216129</v>
      </c>
      <c r="S97" s="22">
        <f t="shared" si="15"/>
        <v>-10.061050652984447</v>
      </c>
      <c r="T97" s="22">
        <f t="shared" si="16"/>
        <v>-10.384877258980966</v>
      </c>
      <c r="U97" s="22">
        <f t="shared" si="17"/>
        <v>-10.774570697744862</v>
      </c>
      <c r="W97" s="55">
        <v>93</v>
      </c>
      <c r="X97" s="61">
        <f t="shared" si="18"/>
        <v>2184.9686880958061</v>
      </c>
      <c r="Z97" s="55">
        <v>93</v>
      </c>
      <c r="AA97" s="61">
        <f t="shared" si="19"/>
        <v>2184.9686880958061</v>
      </c>
      <c r="AC97" s="16">
        <v>93</v>
      </c>
      <c r="AD97" s="16">
        <f t="shared" si="22"/>
        <v>1418.5430870318655</v>
      </c>
      <c r="AE97" s="16">
        <f t="shared" si="20"/>
        <v>3.9584091282962861</v>
      </c>
      <c r="AF97" s="16">
        <f>'Gearing Calculator'!$C$17*Braking!AD97</f>
        <v>2127.8146305477985</v>
      </c>
      <c r="AG97" s="16">
        <f t="shared" si="21"/>
        <v>-7.9932931275274175</v>
      </c>
    </row>
    <row r="98" spans="1:33" x14ac:dyDescent="0.25">
      <c r="A98" s="48">
        <v>94</v>
      </c>
      <c r="G98" s="41">
        <v>14500</v>
      </c>
      <c r="H98" s="16">
        <f>0.5*'Gearing Calculator'!$C$15*Braking!$C$11*Acceleration!$C$6*(Forces!H98^2)</f>
        <v>104.22518323223217</v>
      </c>
      <c r="I98" s="16">
        <f>0.5*'Gearing Calculator'!$C$15*Braking!$C$11*Acceleration!$C$6*(Forces!I98^2)</f>
        <v>173.88958521905397</v>
      </c>
      <c r="J98" s="16">
        <f>0.5*'Gearing Calculator'!$C$15*Braking!$C$11*Acceleration!$C$6*(Forces!J98^2)</f>
        <v>250.40100271543764</v>
      </c>
      <c r="K98" s="16">
        <f>0.5*'Gearing Calculator'!$C$15*Braking!$C$11*Acceleration!$C$6*(Forces!K98^2)</f>
        <v>333.37411604126322</v>
      </c>
      <c r="L98" s="16">
        <f>0.5*'Gearing Calculator'!$C$15*Braking!$C$11*Acceleration!$C$6*(Forces!L98^2)</f>
        <v>420.76986053005623</v>
      </c>
      <c r="M98" s="16">
        <f>0.5*'Gearing Calculator'!$C$15*Braking!$C$11*Acceleration!$C$6*(Forces!M98^2)</f>
        <v>525.94203468901003</v>
      </c>
      <c r="O98" s="41">
        <v>14500</v>
      </c>
      <c r="P98" s="22">
        <f t="shared" si="12"/>
        <v>-9.21733238207905</v>
      </c>
      <c r="Q98" s="22">
        <f t="shared" si="13"/>
        <v>-9.4790318636223336</v>
      </c>
      <c r="R98" s="22">
        <f t="shared" si="14"/>
        <v>-9.7664526656372974</v>
      </c>
      <c r="S98" s="22">
        <f t="shared" si="15"/>
        <v>-10.078147306230182</v>
      </c>
      <c r="T98" s="22">
        <f t="shared" si="16"/>
        <v>-10.406455888081394</v>
      </c>
      <c r="U98" s="22">
        <f t="shared" si="17"/>
        <v>-10.801542943524497</v>
      </c>
      <c r="W98" s="55">
        <v>94</v>
      </c>
      <c r="X98" s="61">
        <f t="shared" si="18"/>
        <v>2208.4629750645781</v>
      </c>
      <c r="Z98" s="55">
        <v>94</v>
      </c>
      <c r="AA98" s="61">
        <f t="shared" si="19"/>
        <v>2208.4629750645781</v>
      </c>
      <c r="AC98" s="16">
        <v>94</v>
      </c>
      <c r="AD98" s="16">
        <f t="shared" si="22"/>
        <v>1419.0717449569395</v>
      </c>
      <c r="AE98" s="16">
        <f t="shared" si="20"/>
        <v>4.0009726673102248</v>
      </c>
      <c r="AF98" s="16">
        <f>'Gearing Calculator'!$C$17*Braking!AD98</f>
        <v>2128.6076174354093</v>
      </c>
      <c r="AG98" s="16">
        <f t="shared" si="21"/>
        <v>-7.9962720414553319</v>
      </c>
    </row>
    <row r="99" spans="1:33" x14ac:dyDescent="0.25">
      <c r="A99" s="48">
        <v>95</v>
      </c>
      <c r="G99" s="41">
        <v>14600</v>
      </c>
      <c r="H99" s="16">
        <f>0.5*'Gearing Calculator'!$C$15*Braking!$C$11*Acceleration!$C$6*(Forces!H99^2)</f>
        <v>105.65781499649577</v>
      </c>
      <c r="I99" s="16">
        <f>0.5*'Gearing Calculator'!$C$15*Braking!$C$11*Acceleration!$C$6*(Forces!I99^2)</f>
        <v>176.27979203408418</v>
      </c>
      <c r="J99" s="16">
        <f>0.5*'Gearing Calculator'!$C$15*Braking!$C$11*Acceleration!$C$6*(Forces!J99^2)</f>
        <v>253.84290052908111</v>
      </c>
      <c r="K99" s="16">
        <f>0.5*'Gearing Calculator'!$C$15*Braking!$C$11*Acceleration!$C$6*(Forces!K99^2)</f>
        <v>337.95652437303698</v>
      </c>
      <c r="L99" s="16">
        <f>0.5*'Gearing Calculator'!$C$15*Braking!$C$11*Acceleration!$C$6*(Forces!L99^2)</f>
        <v>426.55357084790711</v>
      </c>
      <c r="M99" s="16">
        <f>0.5*'Gearing Calculator'!$C$15*Braking!$C$11*Acceleration!$C$6*(Forces!M99^2)</f>
        <v>533.17139367586935</v>
      </c>
      <c r="O99" s="41">
        <v>14600</v>
      </c>
      <c r="P99" s="22">
        <f t="shared" si="12"/>
        <v>-9.2227141693227157</v>
      </c>
      <c r="Q99" s="22">
        <f t="shared" si="13"/>
        <v>-9.488010852409074</v>
      </c>
      <c r="R99" s="22">
        <f t="shared" si="14"/>
        <v>-9.7793824094902035</v>
      </c>
      <c r="S99" s="22">
        <f t="shared" si="15"/>
        <v>-10.095361462247363</v>
      </c>
      <c r="T99" s="22">
        <f t="shared" si="16"/>
        <v>-10.428182823911037</v>
      </c>
      <c r="U99" s="22">
        <f t="shared" si="17"/>
        <v>-10.828700565563789</v>
      </c>
      <c r="W99" s="55">
        <v>95</v>
      </c>
      <c r="X99" s="61">
        <f t="shared" si="18"/>
        <v>2231.9572620333502</v>
      </c>
      <c r="Z99" s="55">
        <v>95</v>
      </c>
      <c r="AA99" s="61">
        <f t="shared" si="19"/>
        <v>2231.9572620333502</v>
      </c>
      <c r="AC99" s="16">
        <v>95</v>
      </c>
      <c r="AD99" s="16">
        <f t="shared" si="22"/>
        <v>1419.6004028820132</v>
      </c>
      <c r="AE99" s="16">
        <f t="shared" si="20"/>
        <v>4.0435362063241636</v>
      </c>
      <c r="AF99" s="16">
        <f>'Gearing Calculator'!$C$17*Braking!AD99</f>
        <v>2129.4006043230197</v>
      </c>
      <c r="AG99" s="16">
        <f t="shared" si="21"/>
        <v>-7.9992509553832445</v>
      </c>
    </row>
    <row r="100" spans="1:33" x14ac:dyDescent="0.25">
      <c r="A100" s="48">
        <v>96</v>
      </c>
      <c r="G100" s="41">
        <v>14700</v>
      </c>
      <c r="H100" s="16">
        <f>0.5*'Gearing Calculator'!$C$15*Braking!$C$11*Acceleration!$C$6*(Forces!H100^2)</f>
        <v>107.10022581717082</v>
      </c>
      <c r="I100" s="16">
        <f>0.5*'Gearing Calculator'!$C$15*Braking!$C$11*Acceleration!$C$6*(Forces!I100^2)</f>
        <v>178.68631425399511</v>
      </c>
      <c r="J100" s="16">
        <f>0.5*'Gearing Calculator'!$C$15*Braking!$C$11*Acceleration!$C$6*(Forces!J100^2)</f>
        <v>257.30829252575285</v>
      </c>
      <c r="K100" s="16">
        <f>0.5*'Gearing Calculator'!$C$15*Braking!$C$11*Acceleration!$C$6*(Forces!K100^2)</f>
        <v>342.57021194257032</v>
      </c>
      <c r="L100" s="16">
        <f>0.5*'Gearing Calculator'!$C$15*Braking!$C$11*Acceleration!$C$6*(Forces!L100^2)</f>
        <v>432.37676041707414</v>
      </c>
      <c r="M100" s="16">
        <f>0.5*'Gearing Calculator'!$C$15*Braking!$C$11*Acceleration!$C$6*(Forces!M100^2)</f>
        <v>540.45009982304759</v>
      </c>
      <c r="O100" s="41">
        <v>14700</v>
      </c>
      <c r="P100" s="22">
        <f t="shared" si="12"/>
        <v>-9.2281326923154836</v>
      </c>
      <c r="Q100" s="22">
        <f t="shared" si="13"/>
        <v>-9.4970511312216619</v>
      </c>
      <c r="R100" s="22">
        <f t="shared" si="14"/>
        <v>-9.7924004109803313</v>
      </c>
      <c r="S100" s="22">
        <f t="shared" si="15"/>
        <v>-10.112693121035994</v>
      </c>
      <c r="T100" s="22">
        <f t="shared" si="16"/>
        <v>-10.450058066469891</v>
      </c>
      <c r="U100" s="22">
        <f t="shared" si="17"/>
        <v>-10.85604356386273</v>
      </c>
      <c r="W100" s="55">
        <v>96</v>
      </c>
      <c r="X100" s="61">
        <f t="shared" si="18"/>
        <v>2255.4515490021222</v>
      </c>
      <c r="Z100" s="55">
        <v>96</v>
      </c>
      <c r="AA100" s="61">
        <f t="shared" si="19"/>
        <v>2255.4515490021222</v>
      </c>
      <c r="AC100" s="16">
        <v>96</v>
      </c>
      <c r="AD100" s="16">
        <f t="shared" si="22"/>
        <v>1420.1290608070872</v>
      </c>
      <c r="AE100" s="16">
        <f t="shared" si="20"/>
        <v>4.0860997453381023</v>
      </c>
      <c r="AF100" s="16">
        <f>'Gearing Calculator'!$C$17*Braking!AD100</f>
        <v>2130.193591210631</v>
      </c>
      <c r="AG100" s="16">
        <f t="shared" si="21"/>
        <v>-8.0022298693111615</v>
      </c>
    </row>
    <row r="101" spans="1:33" x14ac:dyDescent="0.25">
      <c r="A101" s="48">
        <v>97</v>
      </c>
      <c r="G101" s="41">
        <v>14800</v>
      </c>
      <c r="H101" s="16">
        <f>0.5*'Gearing Calculator'!$C$15*Braking!$C$11*Acceleration!$C$6*(Forces!H101^2)</f>
        <v>108.55241569425715</v>
      </c>
      <c r="I101" s="16">
        <f>0.5*'Gearing Calculator'!$C$15*Braking!$C$11*Acceleration!$C$6*(Forces!I101^2)</f>
        <v>181.10915187878663</v>
      </c>
      <c r="J101" s="16">
        <f>0.5*'Gearing Calculator'!$C$15*Braking!$C$11*Acceleration!$C$6*(Forces!J101^2)</f>
        <v>260.79717870545278</v>
      </c>
      <c r="K101" s="16">
        <f>0.5*'Gearing Calculator'!$C$15*Braking!$C$11*Acceleration!$C$6*(Forces!K101^2)</f>
        <v>347.21517874986336</v>
      </c>
      <c r="L101" s="16">
        <f>0.5*'Gearing Calculator'!$C$15*Braking!$C$11*Acceleration!$C$6*(Forces!L101^2)</f>
        <v>438.23942923755783</v>
      </c>
      <c r="M101" s="16">
        <f>0.5*'Gearing Calculator'!$C$15*Braking!$C$11*Acceleration!$C$6*(Forces!M101^2)</f>
        <v>547.77815313054612</v>
      </c>
      <c r="O101" s="41">
        <v>14800</v>
      </c>
      <c r="P101" s="22">
        <f t="shared" si="12"/>
        <v>-9.2335879510573555</v>
      </c>
      <c r="Q101" s="22">
        <f t="shared" si="13"/>
        <v>-9.5061527000600972</v>
      </c>
      <c r="R101" s="22">
        <f t="shared" si="14"/>
        <v>-9.805506670107679</v>
      </c>
      <c r="S101" s="22">
        <f t="shared" si="15"/>
        <v>-10.130142282596072</v>
      </c>
      <c r="T101" s="22">
        <f t="shared" si="16"/>
        <v>-10.472081615757961</v>
      </c>
      <c r="U101" s="22">
        <f t="shared" si="17"/>
        <v>-10.883571938421326</v>
      </c>
      <c r="W101" s="55">
        <v>97</v>
      </c>
      <c r="X101" s="61">
        <f t="shared" si="18"/>
        <v>2278.9458359708947</v>
      </c>
      <c r="Z101" s="55">
        <v>97</v>
      </c>
      <c r="AA101" s="61">
        <f t="shared" si="19"/>
        <v>2278.9458359708947</v>
      </c>
      <c r="AC101" s="16">
        <v>97</v>
      </c>
      <c r="AD101" s="16">
        <f t="shared" si="22"/>
        <v>1420.6577187321609</v>
      </c>
      <c r="AE101" s="16">
        <f t="shared" si="20"/>
        <v>4.128663284352041</v>
      </c>
      <c r="AF101" s="16">
        <f>'Gearing Calculator'!$C$17*Braking!AD101</f>
        <v>2130.9865780982414</v>
      </c>
      <c r="AG101" s="16">
        <f t="shared" si="21"/>
        <v>-8.0052087832390733</v>
      </c>
    </row>
    <row r="102" spans="1:33" x14ac:dyDescent="0.25">
      <c r="A102" s="48">
        <v>98</v>
      </c>
      <c r="G102" s="41">
        <v>14900</v>
      </c>
      <c r="H102" s="16">
        <f>0.5*'Gearing Calculator'!$C$15*Braking!$C$11*Acceleration!$C$6*(Forces!H102^2)</f>
        <v>110.01438462775488</v>
      </c>
      <c r="I102" s="16">
        <f>0.5*'Gearing Calculator'!$C$15*Braking!$C$11*Acceleration!$C$6*(Forces!I102^2)</f>
        <v>183.54830490845907</v>
      </c>
      <c r="J102" s="16">
        <f>0.5*'Gearing Calculator'!$C$15*Braking!$C$11*Acceleration!$C$6*(Forces!J102^2)</f>
        <v>264.3095590681811</v>
      </c>
      <c r="K102" s="16">
        <f>0.5*'Gearing Calculator'!$C$15*Braking!$C$11*Acceleration!$C$6*(Forces!K102^2)</f>
        <v>351.89142479491574</v>
      </c>
      <c r="L102" s="16">
        <f>0.5*'Gearing Calculator'!$C$15*Braking!$C$11*Acceleration!$C$6*(Forces!L102^2)</f>
        <v>444.14157730935779</v>
      </c>
      <c r="M102" s="16">
        <f>0.5*'Gearing Calculator'!$C$15*Braking!$C$11*Acceleration!$C$6*(Forces!M102^2)</f>
        <v>555.15555359836412</v>
      </c>
      <c r="O102" s="41">
        <v>14900</v>
      </c>
      <c r="P102" s="22">
        <f t="shared" si="12"/>
        <v>-9.2390799455483315</v>
      </c>
      <c r="Q102" s="22">
        <f t="shared" si="13"/>
        <v>-9.5153155589243816</v>
      </c>
      <c r="R102" s="22">
        <f t="shared" si="14"/>
        <v>-9.8187011868722465</v>
      </c>
      <c r="S102" s="22">
        <f t="shared" si="15"/>
        <v>-10.147708946927599</v>
      </c>
      <c r="T102" s="22">
        <f t="shared" si="16"/>
        <v>-10.494253471775238</v>
      </c>
      <c r="U102" s="22">
        <f t="shared" si="17"/>
        <v>-10.911285689239575</v>
      </c>
      <c r="W102" s="55">
        <v>98</v>
      </c>
      <c r="X102" s="61">
        <f t="shared" si="18"/>
        <v>2302.4401229396667</v>
      </c>
      <c r="Z102" s="55">
        <v>98</v>
      </c>
      <c r="AA102" s="61">
        <f t="shared" si="19"/>
        <v>2302.4401229396667</v>
      </c>
      <c r="AC102" s="16">
        <v>98</v>
      </c>
      <c r="AD102" s="16">
        <f t="shared" si="22"/>
        <v>1421.1863766572346</v>
      </c>
      <c r="AE102" s="16">
        <f t="shared" si="20"/>
        <v>4.1712268233659788</v>
      </c>
      <c r="AF102" s="16">
        <f>'Gearing Calculator'!$C$17*Braking!AD102</f>
        <v>2131.7795649858517</v>
      </c>
      <c r="AG102" s="16">
        <f t="shared" si="21"/>
        <v>-8.0081876971669868</v>
      </c>
    </row>
    <row r="103" spans="1:33" ht="15.75" thickBot="1" x14ac:dyDescent="0.3">
      <c r="A103" s="48">
        <v>99</v>
      </c>
      <c r="G103" s="42">
        <v>15000</v>
      </c>
      <c r="H103" s="16">
        <f>0.5*'Gearing Calculator'!$C$15*Braking!$C$11*Acceleration!$C$6*(Forces!H103^2)</f>
        <v>111.48613261766397</v>
      </c>
      <c r="I103" s="16">
        <f>0.5*'Gearing Calculator'!$C$15*Braking!$C$11*Acceleration!$C$6*(Forces!I103^2)</f>
        <v>186.00377334301226</v>
      </c>
      <c r="J103" s="16">
        <f>0.5*'Gearing Calculator'!$C$15*Braking!$C$11*Acceleration!$C$6*(Forces!J103^2)</f>
        <v>267.84543361393759</v>
      </c>
      <c r="K103" s="16">
        <f>0.5*'Gearing Calculator'!$C$15*Braking!$C$11*Acceleration!$C$6*(Forces!K103^2)</f>
        <v>356.59895007772764</v>
      </c>
      <c r="L103" s="16">
        <f>0.5*'Gearing Calculator'!$C$15*Braking!$C$11*Acceleration!$C$6*(Forces!L103^2)</f>
        <v>450.08320463247418</v>
      </c>
      <c r="M103" s="16">
        <f>0.5*'Gearing Calculator'!$C$15*Braking!$C$11*Acceleration!$C$6*(Forces!M103^2)</f>
        <v>562.58230122650241</v>
      </c>
      <c r="O103" s="42">
        <v>15000</v>
      </c>
      <c r="P103" s="22">
        <f t="shared" si="12"/>
        <v>-9.2446086757884114</v>
      </c>
      <c r="Q103" s="22">
        <f t="shared" si="13"/>
        <v>-9.5245397078145135</v>
      </c>
      <c r="R103" s="22">
        <f t="shared" si="14"/>
        <v>-9.8319839612740356</v>
      </c>
      <c r="S103" s="22">
        <f t="shared" si="15"/>
        <v>-10.165393114030573</v>
      </c>
      <c r="T103" s="22">
        <f t="shared" si="16"/>
        <v>-10.516573634521734</v>
      </c>
      <c r="U103" s="22">
        <f t="shared" si="17"/>
        <v>-10.939184816317482</v>
      </c>
      <c r="W103" s="55">
        <v>99</v>
      </c>
      <c r="X103" s="61">
        <f t="shared" si="18"/>
        <v>2325.9344099084387</v>
      </c>
      <c r="Z103" s="55">
        <v>99</v>
      </c>
      <c r="AA103" s="61">
        <f t="shared" si="19"/>
        <v>2325.9344099084387</v>
      </c>
      <c r="AC103" s="16">
        <v>99</v>
      </c>
      <c r="AD103" s="16">
        <f t="shared" si="22"/>
        <v>1421.7150345823086</v>
      </c>
      <c r="AE103" s="16">
        <f t="shared" si="20"/>
        <v>4.2137903623799176</v>
      </c>
      <c r="AF103" s="16">
        <f>'Gearing Calculator'!$C$17*Braking!AD103</f>
        <v>2132.572551873463</v>
      </c>
      <c r="AG103" s="16">
        <f t="shared" si="21"/>
        <v>-8.011166611094902</v>
      </c>
    </row>
    <row r="104" spans="1:33" ht="15.75" thickBot="1" x14ac:dyDescent="0.3">
      <c r="A104" s="48">
        <v>100</v>
      </c>
      <c r="W104" s="56">
        <v>100</v>
      </c>
      <c r="X104" s="61">
        <f t="shared" si="18"/>
        <v>2349.4286968772108</v>
      </c>
      <c r="Z104" s="56">
        <v>100</v>
      </c>
      <c r="AA104" s="61">
        <f t="shared" si="19"/>
        <v>2349.4286968772108</v>
      </c>
      <c r="AC104" s="16">
        <v>100</v>
      </c>
      <c r="AD104" s="16">
        <f t="shared" si="22"/>
        <v>1422.2436925073823</v>
      </c>
      <c r="AE104" s="16">
        <f t="shared" si="20"/>
        <v>4.2563539013938563</v>
      </c>
      <c r="AF104" s="16">
        <f>'Gearing Calculator'!$C$17*Braking!AD104</f>
        <v>2133.3655387610734</v>
      </c>
      <c r="AG104" s="16">
        <f t="shared" si="21"/>
        <v>-8.0141455250228155</v>
      </c>
    </row>
    <row r="105" spans="1:33" x14ac:dyDescent="0.25">
      <c r="A105" s="48" t="s">
        <v>100</v>
      </c>
      <c r="B105" s="48">
        <v>16.424119241192415</v>
      </c>
      <c r="AC105" s="16">
        <v>101</v>
      </c>
      <c r="AD105" s="16">
        <f t="shared" si="22"/>
        <v>1422.7723504324563</v>
      </c>
      <c r="AE105" s="16">
        <f t="shared" si="20"/>
        <v>4.298917440407795</v>
      </c>
      <c r="AF105" s="16">
        <f>'Gearing Calculator'!$C$17*Braking!AD105</f>
        <v>2134.1585256486842</v>
      </c>
      <c r="AG105" s="16">
        <f t="shared" si="21"/>
        <v>-8.017124438950729</v>
      </c>
    </row>
    <row r="106" spans="1:33" x14ac:dyDescent="0.25">
      <c r="A106" s="48" t="s">
        <v>101</v>
      </c>
      <c r="B106" s="48">
        <v>12.715447154471546</v>
      </c>
      <c r="AC106" s="16">
        <v>102</v>
      </c>
      <c r="AD106" s="16">
        <f t="shared" si="22"/>
        <v>1423.30100835753</v>
      </c>
      <c r="AE106" s="16">
        <f t="shared" si="20"/>
        <v>4.3414809794217337</v>
      </c>
      <c r="AF106" s="16">
        <f>'Gearing Calculator'!$C$17*Braking!AD106</f>
        <v>2134.951512536295</v>
      </c>
      <c r="AG106" s="16">
        <f t="shared" si="21"/>
        <v>-8.0201033528786443</v>
      </c>
    </row>
    <row r="107" spans="1:33" x14ac:dyDescent="0.25">
      <c r="A107" s="48" t="s">
        <v>102</v>
      </c>
      <c r="B107" s="48">
        <v>10.596205962059623</v>
      </c>
      <c r="AC107" s="16">
        <v>103</v>
      </c>
      <c r="AD107" s="16">
        <f t="shared" si="22"/>
        <v>1423.8296662826037</v>
      </c>
      <c r="AE107" s="16">
        <f t="shared" si="20"/>
        <v>4.3840445184356724</v>
      </c>
      <c r="AF107" s="16">
        <f>'Gearing Calculator'!$C$17*Braking!AD107</f>
        <v>2135.7444994239058</v>
      </c>
      <c r="AG107" s="16">
        <f t="shared" si="21"/>
        <v>-8.0230822668065596</v>
      </c>
    </row>
    <row r="108" spans="1:33" x14ac:dyDescent="0.25">
      <c r="A108" s="48" t="s">
        <v>103</v>
      </c>
      <c r="B108" s="48">
        <v>9.1833785004516724</v>
      </c>
      <c r="AC108" s="16">
        <v>104</v>
      </c>
      <c r="AD108" s="16">
        <f t="shared" si="22"/>
        <v>1424.3583242076777</v>
      </c>
      <c r="AE108" s="16">
        <f t="shared" si="20"/>
        <v>4.4266080574496103</v>
      </c>
      <c r="AF108" s="16">
        <f>'Gearing Calculator'!$C$17*Braking!AD108</f>
        <v>2136.5374863115167</v>
      </c>
      <c r="AG108" s="16">
        <f t="shared" si="21"/>
        <v>-8.0260611807344731</v>
      </c>
    </row>
    <row r="109" spans="1:33" x14ac:dyDescent="0.25">
      <c r="A109" s="48" t="s">
        <v>104</v>
      </c>
      <c r="B109" s="48">
        <v>8.1742160278745661</v>
      </c>
      <c r="AC109" s="16">
        <v>105</v>
      </c>
      <c r="AD109" s="16">
        <f t="shared" si="22"/>
        <v>1424.8869821327514</v>
      </c>
      <c r="AE109" s="16">
        <f t="shared" si="20"/>
        <v>4.469171596463549</v>
      </c>
      <c r="AF109" s="16">
        <f>'Gearing Calculator'!$C$17*Braking!AD109</f>
        <v>2137.330473199127</v>
      </c>
      <c r="AG109" s="16">
        <f t="shared" si="21"/>
        <v>-8.0290400946623866</v>
      </c>
    </row>
    <row r="110" spans="1:33" x14ac:dyDescent="0.25">
      <c r="A110" s="48" t="s">
        <v>105</v>
      </c>
      <c r="B110" s="48">
        <v>7.3113821138211375</v>
      </c>
      <c r="AC110" s="16">
        <v>106</v>
      </c>
      <c r="AD110" s="16">
        <f t="shared" si="22"/>
        <v>1425.4156400578254</v>
      </c>
      <c r="AE110" s="16">
        <f t="shared" si="20"/>
        <v>4.5117351354774877</v>
      </c>
      <c r="AF110" s="16">
        <f>'Gearing Calculator'!$C$17*Braking!AD110</f>
        <v>2138.1234600867383</v>
      </c>
      <c r="AG110" s="16">
        <f t="shared" si="21"/>
        <v>-8.0320190085903018</v>
      </c>
    </row>
    <row r="111" spans="1:33" x14ac:dyDescent="0.25">
      <c r="AC111" s="16">
        <v>107</v>
      </c>
      <c r="AD111" s="16">
        <f t="shared" si="22"/>
        <v>1425.9442979828991</v>
      </c>
      <c r="AE111" s="16">
        <f t="shared" si="20"/>
        <v>4.5542986744914264</v>
      </c>
      <c r="AF111" s="16">
        <f>'Gearing Calculator'!$C$17*Braking!AD111</f>
        <v>2138.9164469743487</v>
      </c>
      <c r="AG111" s="16">
        <f t="shared" si="21"/>
        <v>-8.0349979225182153</v>
      </c>
    </row>
    <row r="112" spans="1:33" x14ac:dyDescent="0.25">
      <c r="AC112" s="16">
        <v>108</v>
      </c>
      <c r="AD112" s="16">
        <f t="shared" si="22"/>
        <v>1426.4729559079728</v>
      </c>
      <c r="AE112" s="16">
        <f t="shared" si="20"/>
        <v>4.5968622135053652</v>
      </c>
      <c r="AF112" s="16">
        <f>'Gearing Calculator'!$C$17*Braking!AD112</f>
        <v>2139.709433861959</v>
      </c>
      <c r="AG112" s="16">
        <f t="shared" si="21"/>
        <v>-8.037976836446127</v>
      </c>
    </row>
    <row r="113" spans="29:33" x14ac:dyDescent="0.25">
      <c r="AC113" s="16">
        <v>109</v>
      </c>
      <c r="AD113" s="16">
        <f t="shared" si="22"/>
        <v>1427.0016138330468</v>
      </c>
      <c r="AE113" s="16">
        <f t="shared" si="20"/>
        <v>4.6394257525193039</v>
      </c>
      <c r="AF113" s="16">
        <f>'Gearing Calculator'!$C$17*Braking!AD113</f>
        <v>2140.5024207495703</v>
      </c>
      <c r="AG113" s="16">
        <f t="shared" si="21"/>
        <v>-8.0409557503740441</v>
      </c>
    </row>
    <row r="114" spans="29:33" x14ac:dyDescent="0.25">
      <c r="AC114" s="16">
        <v>110</v>
      </c>
      <c r="AD114" s="16">
        <f t="shared" si="22"/>
        <v>1427.5302717581205</v>
      </c>
      <c r="AE114" s="16">
        <f t="shared" si="20"/>
        <v>4.6819892915332426</v>
      </c>
      <c r="AF114" s="16">
        <f>'Gearing Calculator'!$C$17*Braking!AD114</f>
        <v>2141.2954076371807</v>
      </c>
      <c r="AG114" s="16">
        <f t="shared" si="21"/>
        <v>-8.0439346643019558</v>
      </c>
    </row>
    <row r="115" spans="29:33" x14ac:dyDescent="0.25">
      <c r="AC115" s="16">
        <v>111</v>
      </c>
      <c r="AD115" s="16">
        <f t="shared" si="22"/>
        <v>1428.0589296831945</v>
      </c>
      <c r="AE115" s="16">
        <f t="shared" si="20"/>
        <v>4.7245528305471804</v>
      </c>
      <c r="AF115" s="16">
        <f>'Gearing Calculator'!$C$17*Braking!AD115</f>
        <v>2142.0883945247915</v>
      </c>
      <c r="AG115" s="16">
        <f t="shared" si="21"/>
        <v>-8.0469135782298711</v>
      </c>
    </row>
    <row r="116" spans="29:33" x14ac:dyDescent="0.25">
      <c r="AC116" s="16">
        <v>112</v>
      </c>
      <c r="AD116" s="16">
        <f t="shared" si="22"/>
        <v>1428.5875876082682</v>
      </c>
      <c r="AE116" s="16">
        <f t="shared" si="20"/>
        <v>4.7671163695611192</v>
      </c>
      <c r="AF116" s="16">
        <f>'Gearing Calculator'!$C$17*Braking!AD116</f>
        <v>2142.8813814124023</v>
      </c>
      <c r="AG116" s="16">
        <f t="shared" si="21"/>
        <v>-8.0498924921577846</v>
      </c>
    </row>
    <row r="117" spans="29:33" x14ac:dyDescent="0.25">
      <c r="AC117" s="16">
        <v>113</v>
      </c>
      <c r="AD117" s="16">
        <f t="shared" si="22"/>
        <v>1429.1162455333422</v>
      </c>
      <c r="AE117" s="16">
        <f t="shared" si="20"/>
        <v>4.8096799085750579</v>
      </c>
      <c r="AF117" s="16">
        <f>'Gearing Calculator'!$C$17*Braking!AD117</f>
        <v>2143.6743683000132</v>
      </c>
      <c r="AG117" s="16">
        <f t="shared" si="21"/>
        <v>-8.0528714060856998</v>
      </c>
    </row>
    <row r="118" spans="29:33" x14ac:dyDescent="0.25">
      <c r="AC118" s="16">
        <v>114</v>
      </c>
      <c r="AD118" s="16">
        <f t="shared" si="22"/>
        <v>1429.6449034584159</v>
      </c>
      <c r="AE118" s="16">
        <f t="shared" si="20"/>
        <v>4.8522434475889966</v>
      </c>
      <c r="AF118" s="16">
        <f>'Gearing Calculator'!$C$17*Braking!AD118</f>
        <v>2144.467355187624</v>
      </c>
      <c r="AG118" s="16">
        <f t="shared" si="21"/>
        <v>-8.0558503200136133</v>
      </c>
    </row>
    <row r="119" spans="29:33" x14ac:dyDescent="0.25">
      <c r="AC119" s="16">
        <v>115</v>
      </c>
      <c r="AD119" s="16">
        <f t="shared" si="22"/>
        <v>1430.1735613834896</v>
      </c>
      <c r="AE119" s="16">
        <f t="shared" si="20"/>
        <v>4.8948069866029353</v>
      </c>
      <c r="AF119" s="16">
        <f>'Gearing Calculator'!$C$17*Braking!AD119</f>
        <v>2145.2603420752343</v>
      </c>
      <c r="AG119" s="16">
        <f t="shared" si="21"/>
        <v>-8.0588292339415268</v>
      </c>
    </row>
    <row r="120" spans="29:33" x14ac:dyDescent="0.25">
      <c r="AC120" s="16">
        <v>116</v>
      </c>
      <c r="AD120" s="16">
        <f t="shared" si="22"/>
        <v>1430.7022193085636</v>
      </c>
      <c r="AE120" s="16">
        <f t="shared" si="20"/>
        <v>4.9373705256168732</v>
      </c>
      <c r="AF120" s="16">
        <f>'Gearing Calculator'!$C$17*Braking!AD120</f>
        <v>2146.0533289628456</v>
      </c>
      <c r="AG120" s="16">
        <f t="shared" si="21"/>
        <v>-8.0618081478694421</v>
      </c>
    </row>
    <row r="121" spans="29:33" x14ac:dyDescent="0.25">
      <c r="AC121" s="16">
        <v>117</v>
      </c>
      <c r="AD121" s="16">
        <f t="shared" si="22"/>
        <v>1431.2308772336373</v>
      </c>
      <c r="AE121" s="16">
        <f t="shared" si="20"/>
        <v>4.9799340646308119</v>
      </c>
      <c r="AF121" s="16">
        <f>'Gearing Calculator'!$C$17*Braking!AD121</f>
        <v>2146.846315850456</v>
      </c>
      <c r="AG121" s="16">
        <f t="shared" si="21"/>
        <v>-8.0647870617973556</v>
      </c>
    </row>
    <row r="122" spans="29:33" x14ac:dyDescent="0.25">
      <c r="AC122" s="16">
        <v>118</v>
      </c>
      <c r="AD122" s="16">
        <f t="shared" si="22"/>
        <v>1431.7595351587113</v>
      </c>
      <c r="AE122" s="16">
        <f t="shared" si="20"/>
        <v>5.0224976036447506</v>
      </c>
      <c r="AF122" s="16">
        <f>'Gearing Calculator'!$C$17*Braking!AD122</f>
        <v>2147.6393027380668</v>
      </c>
      <c r="AG122" s="16">
        <f t="shared" si="21"/>
        <v>-8.0677659757252709</v>
      </c>
    </row>
    <row r="123" spans="29:33" x14ac:dyDescent="0.25">
      <c r="AC123" s="16">
        <v>119</v>
      </c>
      <c r="AD123" s="16">
        <f t="shared" si="22"/>
        <v>1432.288193083785</v>
      </c>
      <c r="AE123" s="16">
        <f t="shared" si="20"/>
        <v>5.0650611426586885</v>
      </c>
      <c r="AF123" s="16">
        <f>'Gearing Calculator'!$C$17*Braking!AD123</f>
        <v>2148.4322896256776</v>
      </c>
      <c r="AG123" s="16">
        <f t="shared" si="21"/>
        <v>-8.0707448896531844</v>
      </c>
    </row>
    <row r="124" spans="29:33" x14ac:dyDescent="0.25">
      <c r="AC124" s="16">
        <v>120</v>
      </c>
      <c r="AD124" s="16">
        <f t="shared" si="22"/>
        <v>1432.8168510088587</v>
      </c>
      <c r="AE124" s="16">
        <f t="shared" si="20"/>
        <v>5.1076246816726272</v>
      </c>
      <c r="AF124" s="16">
        <f>'Gearing Calculator'!$C$17*Braking!AD124</f>
        <v>2149.225276513288</v>
      </c>
      <c r="AG124" s="16">
        <f t="shared" si="21"/>
        <v>-8.0737238035810979</v>
      </c>
    </row>
    <row r="125" spans="29:33" x14ac:dyDescent="0.25">
      <c r="AC125" s="16">
        <v>121</v>
      </c>
      <c r="AD125" s="16">
        <f t="shared" si="22"/>
        <v>1433.3455089339327</v>
      </c>
      <c r="AE125" s="16">
        <f t="shared" si="20"/>
        <v>5.1501882206865659</v>
      </c>
      <c r="AF125" s="16">
        <f>'Gearing Calculator'!$C$17*Braking!AD125</f>
        <v>2150.0182634008988</v>
      </c>
      <c r="AG125" s="16">
        <f t="shared" si="21"/>
        <v>-8.0767027175090114</v>
      </c>
    </row>
    <row r="126" spans="29:33" x14ac:dyDescent="0.25">
      <c r="AC126" s="16">
        <v>122</v>
      </c>
      <c r="AD126" s="16">
        <f t="shared" si="22"/>
        <v>1433.8741668590064</v>
      </c>
      <c r="AE126" s="16">
        <f t="shared" si="20"/>
        <v>5.1927517597005046</v>
      </c>
      <c r="AF126" s="16">
        <f>'Gearing Calculator'!$C$17*Braking!AD126</f>
        <v>2150.8112502885097</v>
      </c>
      <c r="AG126" s="16">
        <f t="shared" si="21"/>
        <v>-8.0796816314369266</v>
      </c>
    </row>
    <row r="127" spans="29:33" x14ac:dyDescent="0.25">
      <c r="AC127" s="16">
        <v>123</v>
      </c>
      <c r="AD127" s="16">
        <f t="shared" si="22"/>
        <v>1434.4028247840804</v>
      </c>
      <c r="AE127" s="16">
        <f t="shared" si="20"/>
        <v>5.2353152987144433</v>
      </c>
      <c r="AF127" s="16">
        <f>'Gearing Calculator'!$C$17*Braking!AD127</f>
        <v>2151.6042371761205</v>
      </c>
      <c r="AG127" s="16">
        <f t="shared" si="21"/>
        <v>-8.0826605453648401</v>
      </c>
    </row>
    <row r="128" spans="29:33" x14ac:dyDescent="0.25">
      <c r="AC128" s="16">
        <v>124</v>
      </c>
      <c r="AD128" s="16">
        <f t="shared" si="22"/>
        <v>1434.9314827091541</v>
      </c>
      <c r="AE128" s="16">
        <f t="shared" si="20"/>
        <v>5.2778788377283812</v>
      </c>
      <c r="AF128" s="16">
        <f>'Gearing Calculator'!$C$17*Braking!AD128</f>
        <v>2152.3972240637313</v>
      </c>
      <c r="AG128" s="16">
        <f t="shared" si="21"/>
        <v>-8.0856394592927554</v>
      </c>
    </row>
    <row r="129" spans="29:33" x14ac:dyDescent="0.25">
      <c r="AC129" s="16">
        <v>125</v>
      </c>
      <c r="AD129" s="16">
        <f t="shared" si="22"/>
        <v>1435.4601406342279</v>
      </c>
      <c r="AE129" s="16">
        <f t="shared" si="20"/>
        <v>5.3204423767423199</v>
      </c>
      <c r="AF129" s="16">
        <f>'Gearing Calculator'!$C$17*Braking!AD129</f>
        <v>2153.1902109513417</v>
      </c>
      <c r="AG129" s="16">
        <f t="shared" si="21"/>
        <v>-8.0886183732206671</v>
      </c>
    </row>
    <row r="130" spans="29:33" x14ac:dyDescent="0.25">
      <c r="AC130" s="16">
        <v>126</v>
      </c>
      <c r="AD130" s="16">
        <f t="shared" si="22"/>
        <v>1435.9887985593018</v>
      </c>
      <c r="AE130" s="16">
        <f t="shared" si="20"/>
        <v>5.3630059157562586</v>
      </c>
      <c r="AF130" s="16">
        <f>'Gearing Calculator'!$C$17*Braking!AD130</f>
        <v>2153.9831978389529</v>
      </c>
      <c r="AG130" s="16">
        <f t="shared" si="21"/>
        <v>-8.0915972871485842</v>
      </c>
    </row>
    <row r="131" spans="29:33" x14ac:dyDescent="0.25">
      <c r="AC131" s="16">
        <v>127</v>
      </c>
      <c r="AD131" s="16">
        <f t="shared" si="22"/>
        <v>1436.5174564843755</v>
      </c>
      <c r="AE131" s="16">
        <f t="shared" si="20"/>
        <v>5.4055694547701973</v>
      </c>
      <c r="AF131" s="16">
        <f>'Gearing Calculator'!$C$17*Braking!AD131</f>
        <v>2154.7761847265633</v>
      </c>
      <c r="AG131" s="16">
        <f t="shared" si="21"/>
        <v>-8.0945762010764959</v>
      </c>
    </row>
    <row r="132" spans="29:33" x14ac:dyDescent="0.25">
      <c r="AC132" s="16">
        <v>128</v>
      </c>
      <c r="AD132" s="16">
        <f t="shared" si="22"/>
        <v>1437.0461144094495</v>
      </c>
      <c r="AE132" s="16">
        <f t="shared" si="20"/>
        <v>5.4481329937841361</v>
      </c>
      <c r="AF132" s="16">
        <f>'Gearing Calculator'!$C$17*Braking!AD132</f>
        <v>2155.5691716141741</v>
      </c>
      <c r="AG132" s="16">
        <f t="shared" si="21"/>
        <v>-8.0975551150044112</v>
      </c>
    </row>
    <row r="133" spans="29:33" x14ac:dyDescent="0.25">
      <c r="AC133" s="16">
        <v>129</v>
      </c>
      <c r="AD133" s="16">
        <f t="shared" si="22"/>
        <v>1437.5747723345232</v>
      </c>
      <c r="AE133" s="16">
        <f t="shared" si="20"/>
        <v>5.4906965327980748</v>
      </c>
      <c r="AF133" s="16">
        <f>'Gearing Calculator'!$C$17*Braking!AD133</f>
        <v>2156.362158501785</v>
      </c>
      <c r="AG133" s="16">
        <f t="shared" si="21"/>
        <v>-8.1005340289323247</v>
      </c>
    </row>
    <row r="134" spans="29:33" x14ac:dyDescent="0.25">
      <c r="AC134" s="16">
        <v>130</v>
      </c>
      <c r="AD134" s="16">
        <f t="shared" si="22"/>
        <v>1438.103430259597</v>
      </c>
      <c r="AE134" s="16">
        <f t="shared" ref="AE134:AE197" si="23">(AC134/$X$104)*100</f>
        <v>5.5332600718120135</v>
      </c>
      <c r="AF134" s="16">
        <f>'Gearing Calculator'!$C$17*Braking!AD134</f>
        <v>2157.1551453893953</v>
      </c>
      <c r="AG134" s="16">
        <f t="shared" ref="AG134:AG197" si="24">-(AF134/$C$3)</f>
        <v>-8.1035129428602382</v>
      </c>
    </row>
    <row r="135" spans="29:33" x14ac:dyDescent="0.25">
      <c r="AC135" s="16">
        <v>131</v>
      </c>
      <c r="AD135" s="16">
        <f t="shared" ref="AD135:AD198" si="25">($C$3*$C$4)*($C$9/$C$8)+(AC135*($C$10/$C$8))</f>
        <v>1438.6320881846709</v>
      </c>
      <c r="AE135" s="16">
        <f t="shared" si="23"/>
        <v>5.5758236108259513</v>
      </c>
      <c r="AF135" s="16">
        <f>'Gearing Calculator'!$C$17*Braking!AD135</f>
        <v>2157.9481322770062</v>
      </c>
      <c r="AG135" s="16">
        <f t="shared" si="24"/>
        <v>-8.1064918567881534</v>
      </c>
    </row>
    <row r="136" spans="29:33" x14ac:dyDescent="0.25">
      <c r="AC136" s="16">
        <v>132</v>
      </c>
      <c r="AD136" s="16">
        <f t="shared" si="25"/>
        <v>1439.1607461097447</v>
      </c>
      <c r="AE136" s="16">
        <f t="shared" si="23"/>
        <v>5.6183871498398901</v>
      </c>
      <c r="AF136" s="16">
        <f>'Gearing Calculator'!$C$17*Braking!AD136</f>
        <v>2158.741119164617</v>
      </c>
      <c r="AG136" s="16">
        <f t="shared" si="24"/>
        <v>-8.1094707707160669</v>
      </c>
    </row>
    <row r="137" spans="29:33" x14ac:dyDescent="0.25">
      <c r="AC137" s="16">
        <v>133</v>
      </c>
      <c r="AD137" s="16">
        <f t="shared" si="25"/>
        <v>1439.6894040348186</v>
      </c>
      <c r="AE137" s="16">
        <f t="shared" si="23"/>
        <v>5.6609506888538288</v>
      </c>
      <c r="AF137" s="16">
        <f>'Gearing Calculator'!$C$17*Braking!AD137</f>
        <v>2159.5341060522278</v>
      </c>
      <c r="AG137" s="16">
        <f t="shared" si="24"/>
        <v>-8.1124496846439822</v>
      </c>
    </row>
    <row r="138" spans="29:33" x14ac:dyDescent="0.25">
      <c r="AC138" s="16">
        <v>134</v>
      </c>
      <c r="AD138" s="16">
        <f t="shared" si="25"/>
        <v>1440.2180619598923</v>
      </c>
      <c r="AE138" s="16">
        <f t="shared" si="23"/>
        <v>5.7035142278677675</v>
      </c>
      <c r="AF138" s="16">
        <f>'Gearing Calculator'!$C$17*Braking!AD138</f>
        <v>2160.3270929398386</v>
      </c>
      <c r="AG138" s="16">
        <f t="shared" si="24"/>
        <v>-8.1154285985718957</v>
      </c>
    </row>
    <row r="139" spans="29:33" x14ac:dyDescent="0.25">
      <c r="AC139" s="16">
        <v>135</v>
      </c>
      <c r="AD139" s="16">
        <f t="shared" si="25"/>
        <v>1440.7467198849661</v>
      </c>
      <c r="AE139" s="16">
        <f t="shared" si="23"/>
        <v>5.7460777668817062</v>
      </c>
      <c r="AF139" s="16">
        <f>'Gearing Calculator'!$C$17*Braking!AD139</f>
        <v>2161.120079827449</v>
      </c>
      <c r="AG139" s="16">
        <f t="shared" si="24"/>
        <v>-8.1184075124998092</v>
      </c>
    </row>
    <row r="140" spans="29:33" x14ac:dyDescent="0.25">
      <c r="AC140" s="16">
        <v>136</v>
      </c>
      <c r="AD140" s="16">
        <f t="shared" si="25"/>
        <v>1441.27537781004</v>
      </c>
      <c r="AE140" s="16">
        <f t="shared" si="23"/>
        <v>5.788641305895645</v>
      </c>
      <c r="AF140" s="16">
        <f>'Gearing Calculator'!$C$17*Braking!AD140</f>
        <v>2161.9130667150603</v>
      </c>
      <c r="AG140" s="16">
        <f t="shared" si="24"/>
        <v>-8.1213864264277245</v>
      </c>
    </row>
    <row r="141" spans="29:33" x14ac:dyDescent="0.25">
      <c r="AC141" s="16">
        <v>137</v>
      </c>
      <c r="AD141" s="16">
        <f t="shared" si="25"/>
        <v>1441.8040357351138</v>
      </c>
      <c r="AE141" s="16">
        <f t="shared" si="23"/>
        <v>5.8312048449095837</v>
      </c>
      <c r="AF141" s="16">
        <f>'Gearing Calculator'!$C$17*Braking!AD141</f>
        <v>2162.7060536026706</v>
      </c>
      <c r="AG141" s="16">
        <f t="shared" si="24"/>
        <v>-8.124365340355638</v>
      </c>
    </row>
    <row r="142" spans="29:33" x14ac:dyDescent="0.25">
      <c r="AC142" s="16">
        <v>138</v>
      </c>
      <c r="AD142" s="16">
        <f t="shared" si="25"/>
        <v>1442.3326936601877</v>
      </c>
      <c r="AE142" s="16">
        <f t="shared" si="23"/>
        <v>5.8737683839235215</v>
      </c>
      <c r="AF142" s="16">
        <f>'Gearing Calculator'!$C$17*Braking!AD142</f>
        <v>2163.4990404902815</v>
      </c>
      <c r="AG142" s="16">
        <f t="shared" si="24"/>
        <v>-8.1273442542835515</v>
      </c>
    </row>
    <row r="143" spans="29:33" x14ac:dyDescent="0.25">
      <c r="AC143" s="16">
        <v>139</v>
      </c>
      <c r="AD143" s="16">
        <f t="shared" si="25"/>
        <v>1442.8613515852614</v>
      </c>
      <c r="AE143" s="16">
        <f t="shared" si="23"/>
        <v>5.9163319229374602</v>
      </c>
      <c r="AF143" s="16">
        <f>'Gearing Calculator'!$C$17*Braking!AD143</f>
        <v>2164.2920273778923</v>
      </c>
      <c r="AG143" s="16">
        <f t="shared" si="24"/>
        <v>-8.1303231682114667</v>
      </c>
    </row>
    <row r="144" spans="29:33" x14ac:dyDescent="0.25">
      <c r="AC144" s="16">
        <v>140</v>
      </c>
      <c r="AD144" s="16">
        <f t="shared" si="25"/>
        <v>1443.3900095103352</v>
      </c>
      <c r="AE144" s="16">
        <f t="shared" si="23"/>
        <v>5.958895461951399</v>
      </c>
      <c r="AF144" s="16">
        <f>'Gearing Calculator'!$C$17*Braking!AD144</f>
        <v>2165.0850142655027</v>
      </c>
      <c r="AG144" s="16">
        <f t="shared" si="24"/>
        <v>-8.1333020821393784</v>
      </c>
    </row>
    <row r="145" spans="29:33" x14ac:dyDescent="0.25">
      <c r="AC145" s="16">
        <v>141</v>
      </c>
      <c r="AD145" s="16">
        <f t="shared" si="25"/>
        <v>1443.9186674354091</v>
      </c>
      <c r="AE145" s="16">
        <f t="shared" si="23"/>
        <v>6.0014590009653377</v>
      </c>
      <c r="AF145" s="16">
        <f>'Gearing Calculator'!$C$17*Braking!AD145</f>
        <v>2165.8780011531135</v>
      </c>
      <c r="AG145" s="16">
        <f t="shared" si="24"/>
        <v>-8.1362809960672937</v>
      </c>
    </row>
    <row r="146" spans="29:33" x14ac:dyDescent="0.25">
      <c r="AC146" s="16">
        <v>142</v>
      </c>
      <c r="AD146" s="16">
        <f t="shared" si="25"/>
        <v>1444.4473253604829</v>
      </c>
      <c r="AE146" s="16">
        <f t="shared" si="23"/>
        <v>6.0440225399792764</v>
      </c>
      <c r="AF146" s="16">
        <f>'Gearing Calculator'!$C$17*Braking!AD146</f>
        <v>2166.6709880407243</v>
      </c>
      <c r="AG146" s="16">
        <f t="shared" si="24"/>
        <v>-8.1392599099952072</v>
      </c>
    </row>
    <row r="147" spans="29:33" x14ac:dyDescent="0.25">
      <c r="AC147" s="16">
        <v>143</v>
      </c>
      <c r="AD147" s="16">
        <f t="shared" si="25"/>
        <v>1444.9759832855568</v>
      </c>
      <c r="AE147" s="16">
        <f t="shared" si="23"/>
        <v>6.0865860789932151</v>
      </c>
      <c r="AF147" s="16">
        <f>'Gearing Calculator'!$C$17*Braking!AD147</f>
        <v>2167.4639749283351</v>
      </c>
      <c r="AG147" s="16">
        <f t="shared" si="24"/>
        <v>-8.1422388239231225</v>
      </c>
    </row>
    <row r="148" spans="29:33" x14ac:dyDescent="0.25">
      <c r="AC148" s="16">
        <v>144</v>
      </c>
      <c r="AD148" s="16">
        <f t="shared" si="25"/>
        <v>1445.5046412106306</v>
      </c>
      <c r="AE148" s="16">
        <f t="shared" si="23"/>
        <v>6.1291496180071539</v>
      </c>
      <c r="AF148" s="16">
        <f>'Gearing Calculator'!$C$17*Braking!AD148</f>
        <v>2168.2569618159459</v>
      </c>
      <c r="AG148" s="16">
        <f t="shared" si="24"/>
        <v>-8.1452177378510378</v>
      </c>
    </row>
    <row r="149" spans="29:33" x14ac:dyDescent="0.25">
      <c r="AC149" s="16">
        <v>145</v>
      </c>
      <c r="AD149" s="16">
        <f t="shared" si="25"/>
        <v>1446.0332991357043</v>
      </c>
      <c r="AE149" s="16">
        <f t="shared" si="23"/>
        <v>6.1717131570210917</v>
      </c>
      <c r="AF149" s="16">
        <f>'Gearing Calculator'!$C$17*Braking!AD149</f>
        <v>2169.0499487035563</v>
      </c>
      <c r="AG149" s="16">
        <f t="shared" si="24"/>
        <v>-8.1481966517789495</v>
      </c>
    </row>
    <row r="150" spans="29:33" x14ac:dyDescent="0.25">
      <c r="AC150" s="16">
        <v>146</v>
      </c>
      <c r="AD150" s="16">
        <f t="shared" si="25"/>
        <v>1446.5619570607782</v>
      </c>
      <c r="AE150" s="16">
        <f t="shared" si="23"/>
        <v>6.2142766960350304</v>
      </c>
      <c r="AF150" s="16">
        <f>'Gearing Calculator'!$C$17*Braking!AD150</f>
        <v>2169.8429355911676</v>
      </c>
      <c r="AG150" s="16">
        <f t="shared" si="24"/>
        <v>-8.1511755657068665</v>
      </c>
    </row>
    <row r="151" spans="29:33" x14ac:dyDescent="0.25">
      <c r="AC151" s="16">
        <v>147</v>
      </c>
      <c r="AD151" s="16">
        <f t="shared" si="25"/>
        <v>1447.090614985852</v>
      </c>
      <c r="AE151" s="16">
        <f t="shared" si="23"/>
        <v>6.2568402350489691</v>
      </c>
      <c r="AF151" s="16">
        <f>'Gearing Calculator'!$C$17*Braking!AD151</f>
        <v>2170.635922478778</v>
      </c>
      <c r="AG151" s="16">
        <f t="shared" si="24"/>
        <v>-8.1541544796347782</v>
      </c>
    </row>
    <row r="152" spans="29:33" x14ac:dyDescent="0.25">
      <c r="AC152" s="16">
        <v>148</v>
      </c>
      <c r="AD152" s="16">
        <f t="shared" si="25"/>
        <v>1447.6192729109259</v>
      </c>
      <c r="AE152" s="16">
        <f t="shared" si="23"/>
        <v>6.2994037740629079</v>
      </c>
      <c r="AF152" s="16">
        <f>'Gearing Calculator'!$C$17*Braking!AD152</f>
        <v>2171.4289093663888</v>
      </c>
      <c r="AG152" s="16">
        <f t="shared" si="24"/>
        <v>-8.1571333935626935</v>
      </c>
    </row>
    <row r="153" spans="29:33" x14ac:dyDescent="0.25">
      <c r="AC153" s="16">
        <v>149</v>
      </c>
      <c r="AD153" s="16">
        <f t="shared" si="25"/>
        <v>1448.1479308359997</v>
      </c>
      <c r="AE153" s="16">
        <f t="shared" si="23"/>
        <v>6.3419673130768466</v>
      </c>
      <c r="AF153" s="16">
        <f>'Gearing Calculator'!$C$17*Braking!AD153</f>
        <v>2172.2218962539996</v>
      </c>
      <c r="AG153" s="16">
        <f t="shared" si="24"/>
        <v>-8.160112307490607</v>
      </c>
    </row>
    <row r="154" spans="29:33" x14ac:dyDescent="0.25">
      <c r="AC154" s="16">
        <v>150</v>
      </c>
      <c r="AD154" s="16">
        <f t="shared" si="25"/>
        <v>1448.6765887610734</v>
      </c>
      <c r="AE154" s="16">
        <f t="shared" si="23"/>
        <v>6.3845308520907844</v>
      </c>
      <c r="AF154" s="16">
        <f>'Gearing Calculator'!$C$17*Braking!AD154</f>
        <v>2173.01488314161</v>
      </c>
      <c r="AG154" s="16">
        <f t="shared" si="24"/>
        <v>-8.1630912214185205</v>
      </c>
    </row>
    <row r="155" spans="29:33" x14ac:dyDescent="0.25">
      <c r="AC155" s="16">
        <v>151</v>
      </c>
      <c r="AD155" s="16">
        <f t="shared" si="25"/>
        <v>1449.2052466861473</v>
      </c>
      <c r="AE155" s="16">
        <f t="shared" si="23"/>
        <v>6.4270943911047231</v>
      </c>
      <c r="AF155" s="16">
        <f>'Gearing Calculator'!$C$17*Braking!AD155</f>
        <v>2173.8078700292208</v>
      </c>
      <c r="AG155" s="16">
        <f t="shared" si="24"/>
        <v>-8.166070135346434</v>
      </c>
    </row>
    <row r="156" spans="29:33" x14ac:dyDescent="0.25">
      <c r="AC156" s="16">
        <v>152</v>
      </c>
      <c r="AD156" s="16">
        <f t="shared" si="25"/>
        <v>1449.7339046112211</v>
      </c>
      <c r="AE156" s="16">
        <f t="shared" si="23"/>
        <v>6.4696579301186619</v>
      </c>
      <c r="AF156" s="16">
        <f>'Gearing Calculator'!$C$17*Braking!AD156</f>
        <v>2174.6008569168316</v>
      </c>
      <c r="AG156" s="16">
        <f t="shared" si="24"/>
        <v>-8.1690490492743493</v>
      </c>
    </row>
    <row r="157" spans="29:33" x14ac:dyDescent="0.25">
      <c r="AC157" s="16">
        <v>153</v>
      </c>
      <c r="AD157" s="16">
        <f t="shared" si="25"/>
        <v>1450.262562536295</v>
      </c>
      <c r="AE157" s="16">
        <f t="shared" si="23"/>
        <v>6.5122214691326006</v>
      </c>
      <c r="AF157" s="16">
        <f>'Gearing Calculator'!$C$17*Braking!AD157</f>
        <v>2175.3938438044424</v>
      </c>
      <c r="AG157" s="16">
        <f t="shared" si="24"/>
        <v>-8.1720279632022628</v>
      </c>
    </row>
    <row r="158" spans="29:33" x14ac:dyDescent="0.25">
      <c r="AC158" s="16">
        <v>154</v>
      </c>
      <c r="AD158" s="16">
        <f t="shared" si="25"/>
        <v>1450.7912204613688</v>
      </c>
      <c r="AE158" s="16">
        <f t="shared" si="23"/>
        <v>6.5547850081465393</v>
      </c>
      <c r="AF158" s="16">
        <f>'Gearing Calculator'!$C$17*Braking!AD158</f>
        <v>2176.1868306920533</v>
      </c>
      <c r="AG158" s="16">
        <f t="shared" si="24"/>
        <v>-8.175006877130178</v>
      </c>
    </row>
    <row r="159" spans="29:33" x14ac:dyDescent="0.25">
      <c r="AC159" s="16">
        <v>155</v>
      </c>
      <c r="AD159" s="16">
        <f t="shared" si="25"/>
        <v>1451.3198783864425</v>
      </c>
      <c r="AE159" s="16">
        <f t="shared" si="23"/>
        <v>6.5973485471604771</v>
      </c>
      <c r="AF159" s="16">
        <f>'Gearing Calculator'!$C$17*Braking!AD159</f>
        <v>2176.9798175796636</v>
      </c>
      <c r="AG159" s="16">
        <f t="shared" si="24"/>
        <v>-8.1779857910580898</v>
      </c>
    </row>
    <row r="160" spans="29:33" x14ac:dyDescent="0.25">
      <c r="AC160" s="16">
        <v>156</v>
      </c>
      <c r="AD160" s="16">
        <f t="shared" si="25"/>
        <v>1451.8485363115165</v>
      </c>
      <c r="AE160" s="16">
        <f t="shared" si="23"/>
        <v>6.6399120861744159</v>
      </c>
      <c r="AF160" s="16">
        <f>'Gearing Calculator'!$C$17*Braking!AD160</f>
        <v>2177.7728044672749</v>
      </c>
      <c r="AG160" s="16">
        <f t="shared" si="24"/>
        <v>-8.1809647049860068</v>
      </c>
    </row>
    <row r="161" spans="29:33" x14ac:dyDescent="0.25">
      <c r="AC161" s="16">
        <v>157</v>
      </c>
      <c r="AD161" s="16">
        <f t="shared" si="25"/>
        <v>1452.3771942365902</v>
      </c>
      <c r="AE161" s="16">
        <f t="shared" si="23"/>
        <v>6.6824756251883537</v>
      </c>
      <c r="AF161" s="16">
        <f>'Gearing Calculator'!$C$17*Braking!AD161</f>
        <v>2178.5657913548853</v>
      </c>
      <c r="AG161" s="16">
        <f t="shared" si="24"/>
        <v>-8.1839436189139203</v>
      </c>
    </row>
    <row r="162" spans="29:33" x14ac:dyDescent="0.25">
      <c r="AC162" s="16">
        <v>158</v>
      </c>
      <c r="AD162" s="16">
        <f t="shared" si="25"/>
        <v>1452.9058521616641</v>
      </c>
      <c r="AE162" s="16">
        <f t="shared" si="23"/>
        <v>6.7250391642022924</v>
      </c>
      <c r="AF162" s="16">
        <f>'Gearing Calculator'!$C$17*Braking!AD162</f>
        <v>2179.3587782424961</v>
      </c>
      <c r="AG162" s="16">
        <f t="shared" si="24"/>
        <v>-8.1869225328418338</v>
      </c>
    </row>
    <row r="163" spans="29:33" x14ac:dyDescent="0.25">
      <c r="AC163" s="16">
        <v>159</v>
      </c>
      <c r="AD163" s="16">
        <f t="shared" si="25"/>
        <v>1453.4345100867379</v>
      </c>
      <c r="AE163" s="16">
        <f t="shared" si="23"/>
        <v>6.7676027032162311</v>
      </c>
      <c r="AF163" s="16">
        <f>'Gearing Calculator'!$C$17*Braking!AD163</f>
        <v>2180.1517651301069</v>
      </c>
      <c r="AG163" s="16">
        <f t="shared" si="24"/>
        <v>-8.1899014467697491</v>
      </c>
    </row>
    <row r="164" spans="29:33" x14ac:dyDescent="0.25">
      <c r="AC164" s="16">
        <v>160</v>
      </c>
      <c r="AD164" s="16">
        <f t="shared" si="25"/>
        <v>1453.9631680118116</v>
      </c>
      <c r="AE164" s="16">
        <f t="shared" si="23"/>
        <v>6.8101662422301699</v>
      </c>
      <c r="AF164" s="16">
        <f>'Gearing Calculator'!$C$17*Braking!AD164</f>
        <v>2180.9447520177173</v>
      </c>
      <c r="AG164" s="16">
        <f t="shared" si="24"/>
        <v>-8.1928803606976608</v>
      </c>
    </row>
    <row r="165" spans="29:33" x14ac:dyDescent="0.25">
      <c r="AC165" s="16">
        <v>161</v>
      </c>
      <c r="AD165" s="16">
        <f t="shared" si="25"/>
        <v>1454.4918259368856</v>
      </c>
      <c r="AE165" s="16">
        <f t="shared" si="23"/>
        <v>6.8527297812441086</v>
      </c>
      <c r="AF165" s="16">
        <f>'Gearing Calculator'!$C$17*Braking!AD165</f>
        <v>2181.7377389053281</v>
      </c>
      <c r="AG165" s="16">
        <f t="shared" si="24"/>
        <v>-8.1958592746255761</v>
      </c>
    </row>
    <row r="166" spans="29:33" x14ac:dyDescent="0.25">
      <c r="AC166" s="16">
        <v>162</v>
      </c>
      <c r="AD166" s="16">
        <f t="shared" si="25"/>
        <v>1455.0204838619593</v>
      </c>
      <c r="AE166" s="16">
        <f t="shared" si="23"/>
        <v>6.8952933202580473</v>
      </c>
      <c r="AF166" s="16">
        <f>'Gearing Calculator'!$C$17*Braking!AD166</f>
        <v>2182.5307257929389</v>
      </c>
      <c r="AG166" s="16">
        <f t="shared" si="24"/>
        <v>-8.1988381885534896</v>
      </c>
    </row>
    <row r="167" spans="29:33" x14ac:dyDescent="0.25">
      <c r="AC167" s="16">
        <v>163</v>
      </c>
      <c r="AD167" s="16">
        <f t="shared" si="25"/>
        <v>1455.5491417870332</v>
      </c>
      <c r="AE167" s="16">
        <f t="shared" si="23"/>
        <v>6.937856859271986</v>
      </c>
      <c r="AF167" s="16">
        <f>'Gearing Calculator'!$C$17*Braking!AD167</f>
        <v>2183.3237126805498</v>
      </c>
      <c r="AG167" s="16">
        <f t="shared" si="24"/>
        <v>-8.2018171024814048</v>
      </c>
    </row>
    <row r="168" spans="29:33" x14ac:dyDescent="0.25">
      <c r="AC168" s="16">
        <v>164</v>
      </c>
      <c r="AD168" s="16">
        <f t="shared" si="25"/>
        <v>1456.077799712107</v>
      </c>
      <c r="AE168" s="16">
        <f t="shared" si="23"/>
        <v>6.9804203982859248</v>
      </c>
      <c r="AF168" s="16">
        <f>'Gearing Calculator'!$C$17*Braking!AD168</f>
        <v>2184.1166995681606</v>
      </c>
      <c r="AG168" s="16">
        <f t="shared" si="24"/>
        <v>-8.2047960164093183</v>
      </c>
    </row>
    <row r="169" spans="29:33" x14ac:dyDescent="0.25">
      <c r="AC169" s="16">
        <v>165</v>
      </c>
      <c r="AD169" s="16">
        <f t="shared" si="25"/>
        <v>1456.6064576371807</v>
      </c>
      <c r="AE169" s="16">
        <f t="shared" si="23"/>
        <v>7.0229839372998635</v>
      </c>
      <c r="AF169" s="16">
        <f>'Gearing Calculator'!$C$17*Braking!AD169</f>
        <v>2184.909686455771</v>
      </c>
      <c r="AG169" s="16">
        <f t="shared" si="24"/>
        <v>-8.2077749303372318</v>
      </c>
    </row>
    <row r="170" spans="29:33" x14ac:dyDescent="0.25">
      <c r="AC170" s="16">
        <v>166</v>
      </c>
      <c r="AD170" s="16">
        <f t="shared" si="25"/>
        <v>1457.1351155622547</v>
      </c>
      <c r="AE170" s="16">
        <f t="shared" si="23"/>
        <v>7.0655474763138022</v>
      </c>
      <c r="AF170" s="16">
        <f>'Gearing Calculator'!$C$17*Braking!AD170</f>
        <v>2185.7026733433822</v>
      </c>
      <c r="AG170" s="16">
        <f t="shared" si="24"/>
        <v>-8.2107538442651471</v>
      </c>
    </row>
    <row r="171" spans="29:33" x14ac:dyDescent="0.25">
      <c r="AC171" s="16">
        <v>167</v>
      </c>
      <c r="AD171" s="16">
        <f t="shared" si="25"/>
        <v>1457.6637734873284</v>
      </c>
      <c r="AE171" s="16">
        <f t="shared" si="23"/>
        <v>7.1081110153277409</v>
      </c>
      <c r="AF171" s="16">
        <f>'Gearing Calculator'!$C$17*Braking!AD171</f>
        <v>2186.4956602309926</v>
      </c>
      <c r="AG171" s="16">
        <f t="shared" si="24"/>
        <v>-8.2137327581930606</v>
      </c>
    </row>
    <row r="172" spans="29:33" x14ac:dyDescent="0.25">
      <c r="AC172" s="16">
        <v>168</v>
      </c>
      <c r="AD172" s="16">
        <f t="shared" si="25"/>
        <v>1458.1924314124024</v>
      </c>
      <c r="AE172" s="16">
        <f t="shared" si="23"/>
        <v>7.1506745543416779</v>
      </c>
      <c r="AF172" s="16">
        <f>'Gearing Calculator'!$C$17*Braking!AD172</f>
        <v>2187.2886471186034</v>
      </c>
      <c r="AG172" s="16">
        <f t="shared" si="24"/>
        <v>-8.2167116721209741</v>
      </c>
    </row>
    <row r="173" spans="29:33" x14ac:dyDescent="0.25">
      <c r="AC173" s="16">
        <v>169</v>
      </c>
      <c r="AD173" s="16">
        <f t="shared" si="25"/>
        <v>1458.7210893374761</v>
      </c>
      <c r="AE173" s="16">
        <f t="shared" si="23"/>
        <v>7.1932380933556166</v>
      </c>
      <c r="AF173" s="16">
        <f>'Gearing Calculator'!$C$17*Braking!AD173</f>
        <v>2188.0816340062142</v>
      </c>
      <c r="AG173" s="16">
        <f t="shared" si="24"/>
        <v>-8.2196905860488894</v>
      </c>
    </row>
    <row r="174" spans="29:33" x14ac:dyDescent="0.25">
      <c r="AC174" s="16">
        <v>170</v>
      </c>
      <c r="AD174" s="16">
        <f t="shared" si="25"/>
        <v>1459.24974726255</v>
      </c>
      <c r="AE174" s="16">
        <f t="shared" si="23"/>
        <v>7.2358016323695553</v>
      </c>
      <c r="AF174" s="16">
        <f>'Gearing Calculator'!$C$17*Braking!AD174</f>
        <v>2188.8746208938251</v>
      </c>
      <c r="AG174" s="16">
        <f t="shared" si="24"/>
        <v>-8.2226694999768046</v>
      </c>
    </row>
    <row r="175" spans="29:33" x14ac:dyDescent="0.25">
      <c r="AC175" s="16">
        <v>171</v>
      </c>
      <c r="AD175" s="16">
        <f t="shared" si="25"/>
        <v>1459.7784051876238</v>
      </c>
      <c r="AE175" s="16">
        <f t="shared" si="23"/>
        <v>7.278365171383494</v>
      </c>
      <c r="AF175" s="16">
        <f>'Gearing Calculator'!$C$17*Braking!AD175</f>
        <v>2189.6676077814354</v>
      </c>
      <c r="AG175" s="16">
        <f t="shared" si="24"/>
        <v>-8.2256484139047163</v>
      </c>
    </row>
    <row r="176" spans="29:33" x14ac:dyDescent="0.25">
      <c r="AC176" s="16">
        <v>172</v>
      </c>
      <c r="AD176" s="16">
        <f t="shared" si="25"/>
        <v>1460.3070631126975</v>
      </c>
      <c r="AE176" s="16">
        <f t="shared" si="23"/>
        <v>7.3209287103974328</v>
      </c>
      <c r="AF176" s="16">
        <f>'Gearing Calculator'!$C$17*Braking!AD176</f>
        <v>2190.4605946690463</v>
      </c>
      <c r="AG176" s="16">
        <f t="shared" si="24"/>
        <v>-8.2286273278326316</v>
      </c>
    </row>
    <row r="177" spans="29:33" x14ac:dyDescent="0.25">
      <c r="AC177" s="16">
        <v>173</v>
      </c>
      <c r="AD177" s="16">
        <f t="shared" si="25"/>
        <v>1460.8357210377715</v>
      </c>
      <c r="AE177" s="16">
        <f t="shared" si="23"/>
        <v>7.3634922494113715</v>
      </c>
      <c r="AF177" s="16">
        <f>'Gearing Calculator'!$C$17*Braking!AD177</f>
        <v>2191.2535815566571</v>
      </c>
      <c r="AG177" s="16">
        <f t="shared" si="24"/>
        <v>-8.2316062417605451</v>
      </c>
    </row>
    <row r="178" spans="29:33" x14ac:dyDescent="0.25">
      <c r="AC178" s="16">
        <v>174</v>
      </c>
      <c r="AD178" s="16">
        <f t="shared" si="25"/>
        <v>1461.3643789628452</v>
      </c>
      <c r="AE178" s="16">
        <f t="shared" si="23"/>
        <v>7.4060557884253102</v>
      </c>
      <c r="AF178" s="16">
        <f>'Gearing Calculator'!$C$17*Braking!AD178</f>
        <v>2192.0465684442679</v>
      </c>
      <c r="AG178" s="16">
        <f t="shared" si="24"/>
        <v>-8.2345851556884604</v>
      </c>
    </row>
    <row r="179" spans="29:33" x14ac:dyDescent="0.25">
      <c r="AC179" s="16">
        <v>175</v>
      </c>
      <c r="AD179" s="16">
        <f t="shared" si="25"/>
        <v>1461.8930368879192</v>
      </c>
      <c r="AE179" s="16">
        <f t="shared" si="23"/>
        <v>7.4486193274392489</v>
      </c>
      <c r="AF179" s="16">
        <f>'Gearing Calculator'!$C$17*Braking!AD179</f>
        <v>2192.8395553318787</v>
      </c>
      <c r="AG179" s="16">
        <f t="shared" si="24"/>
        <v>-8.2375640696163739</v>
      </c>
    </row>
    <row r="180" spans="29:33" x14ac:dyDescent="0.25">
      <c r="AC180" s="16">
        <v>176</v>
      </c>
      <c r="AD180" s="16">
        <f t="shared" si="25"/>
        <v>1462.4216948129929</v>
      </c>
      <c r="AE180" s="16">
        <f t="shared" si="23"/>
        <v>7.4911828664531876</v>
      </c>
      <c r="AF180" s="16">
        <f>'Gearing Calculator'!$C$17*Braking!AD180</f>
        <v>2193.6325422194896</v>
      </c>
      <c r="AG180" s="16">
        <f t="shared" si="24"/>
        <v>-8.2405429835442892</v>
      </c>
    </row>
    <row r="181" spans="29:33" x14ac:dyDescent="0.25">
      <c r="AC181" s="16">
        <v>177</v>
      </c>
      <c r="AD181" s="16">
        <f t="shared" si="25"/>
        <v>1462.9503527380666</v>
      </c>
      <c r="AE181" s="16">
        <f t="shared" si="23"/>
        <v>7.5337464054671264</v>
      </c>
      <c r="AF181" s="16">
        <f>'Gearing Calculator'!$C$17*Braking!AD181</f>
        <v>2194.4255291070999</v>
      </c>
      <c r="AG181" s="16">
        <f t="shared" si="24"/>
        <v>-8.2435218974722009</v>
      </c>
    </row>
    <row r="182" spans="29:33" x14ac:dyDescent="0.25">
      <c r="AC182" s="16">
        <v>178</v>
      </c>
      <c r="AD182" s="16">
        <f t="shared" si="25"/>
        <v>1463.4790106631406</v>
      </c>
      <c r="AE182" s="16">
        <f t="shared" si="23"/>
        <v>7.5763099444810651</v>
      </c>
      <c r="AF182" s="16">
        <f>'Gearing Calculator'!$C$17*Braking!AD182</f>
        <v>2195.2185159947107</v>
      </c>
      <c r="AG182" s="16">
        <f t="shared" si="24"/>
        <v>-8.2465008114001161</v>
      </c>
    </row>
    <row r="183" spans="29:33" x14ac:dyDescent="0.25">
      <c r="AC183" s="16">
        <v>179</v>
      </c>
      <c r="AD183" s="16">
        <f t="shared" si="25"/>
        <v>1464.0076685882143</v>
      </c>
      <c r="AE183" s="16">
        <f t="shared" si="23"/>
        <v>7.6188734834950029</v>
      </c>
      <c r="AF183" s="16">
        <f>'Gearing Calculator'!$C$17*Braking!AD183</f>
        <v>2196.0115028823216</v>
      </c>
      <c r="AG183" s="16">
        <f t="shared" si="24"/>
        <v>-8.2494797253280296</v>
      </c>
    </row>
    <row r="184" spans="29:33" x14ac:dyDescent="0.25">
      <c r="AC184" s="16">
        <v>180</v>
      </c>
      <c r="AD184" s="16">
        <f t="shared" si="25"/>
        <v>1464.5363265132883</v>
      </c>
      <c r="AE184" s="16">
        <f t="shared" si="23"/>
        <v>7.6614370225089417</v>
      </c>
      <c r="AF184" s="16">
        <f>'Gearing Calculator'!$C$17*Braking!AD184</f>
        <v>2196.8044897699324</v>
      </c>
      <c r="AG184" s="16">
        <f t="shared" si="24"/>
        <v>-8.2524586392559449</v>
      </c>
    </row>
    <row r="185" spans="29:33" x14ac:dyDescent="0.25">
      <c r="AC185" s="16">
        <v>181</v>
      </c>
      <c r="AD185" s="16">
        <f t="shared" si="25"/>
        <v>1465.064984438362</v>
      </c>
      <c r="AE185" s="16">
        <f t="shared" si="23"/>
        <v>7.7040005615228795</v>
      </c>
      <c r="AF185" s="16">
        <f>'Gearing Calculator'!$C$17*Braking!AD185</f>
        <v>2197.5974766575428</v>
      </c>
      <c r="AG185" s="16">
        <f t="shared" si="24"/>
        <v>-8.2554375531838566</v>
      </c>
    </row>
    <row r="186" spans="29:33" x14ac:dyDescent="0.25">
      <c r="AC186" s="16">
        <v>182</v>
      </c>
      <c r="AD186" s="16">
        <f t="shared" si="25"/>
        <v>1465.5936423634357</v>
      </c>
      <c r="AE186" s="16">
        <f t="shared" si="23"/>
        <v>7.7465641005368182</v>
      </c>
      <c r="AF186" s="16">
        <f>'Gearing Calculator'!$C$17*Braking!AD186</f>
        <v>2198.3904635451536</v>
      </c>
      <c r="AG186" s="16">
        <f t="shared" si="24"/>
        <v>-8.2584164671117719</v>
      </c>
    </row>
    <row r="187" spans="29:33" x14ac:dyDescent="0.25">
      <c r="AC187" s="16">
        <v>183</v>
      </c>
      <c r="AD187" s="16">
        <f t="shared" si="25"/>
        <v>1466.1223002885097</v>
      </c>
      <c r="AE187" s="16">
        <f t="shared" si="23"/>
        <v>7.7891276395507569</v>
      </c>
      <c r="AF187" s="16">
        <f>'Gearing Calculator'!$C$17*Braking!AD187</f>
        <v>2199.1834504327644</v>
      </c>
      <c r="AG187" s="16">
        <f t="shared" si="24"/>
        <v>-8.2613953810396872</v>
      </c>
    </row>
    <row r="188" spans="29:33" x14ac:dyDescent="0.25">
      <c r="AC188" s="16">
        <v>184</v>
      </c>
      <c r="AD188" s="16">
        <f t="shared" si="25"/>
        <v>1466.6509582135834</v>
      </c>
      <c r="AE188" s="16">
        <f t="shared" si="23"/>
        <v>7.8316911785646957</v>
      </c>
      <c r="AF188" s="16">
        <f>'Gearing Calculator'!$C$17*Braking!AD188</f>
        <v>2199.9764373203752</v>
      </c>
      <c r="AG188" s="16">
        <f t="shared" si="24"/>
        <v>-8.2643742949676007</v>
      </c>
    </row>
    <row r="189" spans="29:33" x14ac:dyDescent="0.25">
      <c r="AC189" s="16">
        <v>185</v>
      </c>
      <c r="AD189" s="16">
        <f t="shared" si="25"/>
        <v>1467.1796161386574</v>
      </c>
      <c r="AE189" s="16">
        <f t="shared" si="23"/>
        <v>7.8742547175786344</v>
      </c>
      <c r="AF189" s="16">
        <f>'Gearing Calculator'!$C$17*Braking!AD189</f>
        <v>2200.769424207986</v>
      </c>
      <c r="AG189" s="16">
        <f t="shared" si="24"/>
        <v>-8.2673532088955159</v>
      </c>
    </row>
    <row r="190" spans="29:33" x14ac:dyDescent="0.25">
      <c r="AC190" s="16">
        <v>186</v>
      </c>
      <c r="AD190" s="16">
        <f t="shared" si="25"/>
        <v>1467.7082740637311</v>
      </c>
      <c r="AE190" s="16">
        <f t="shared" si="23"/>
        <v>7.9168182565925722</v>
      </c>
      <c r="AF190" s="16">
        <f>'Gearing Calculator'!$C$17*Braking!AD190</f>
        <v>2201.5624110955969</v>
      </c>
      <c r="AG190" s="16">
        <f t="shared" si="24"/>
        <v>-8.2703321228234294</v>
      </c>
    </row>
    <row r="191" spans="29:33" x14ac:dyDescent="0.25">
      <c r="AC191" s="16">
        <v>187</v>
      </c>
      <c r="AD191" s="16">
        <f t="shared" si="25"/>
        <v>1468.2369319888048</v>
      </c>
      <c r="AE191" s="16">
        <f t="shared" si="23"/>
        <v>7.9593817956065109</v>
      </c>
      <c r="AF191" s="16">
        <f>'Gearing Calculator'!$C$17*Braking!AD191</f>
        <v>2202.3553979832072</v>
      </c>
      <c r="AG191" s="16">
        <f t="shared" si="24"/>
        <v>-8.2733110367513429</v>
      </c>
    </row>
    <row r="192" spans="29:33" x14ac:dyDescent="0.25">
      <c r="AC192" s="16">
        <v>188</v>
      </c>
      <c r="AD192" s="16">
        <f t="shared" si="25"/>
        <v>1468.7655899138788</v>
      </c>
      <c r="AE192" s="16">
        <f t="shared" si="23"/>
        <v>8.0019453346204497</v>
      </c>
      <c r="AF192" s="16">
        <f>'Gearing Calculator'!$C$17*Braking!AD192</f>
        <v>2203.1483848708181</v>
      </c>
      <c r="AG192" s="16">
        <f t="shared" si="24"/>
        <v>-8.2762899506792564</v>
      </c>
    </row>
    <row r="193" spans="29:33" x14ac:dyDescent="0.25">
      <c r="AC193" s="16">
        <v>189</v>
      </c>
      <c r="AD193" s="16">
        <f t="shared" si="25"/>
        <v>1469.2942478389525</v>
      </c>
      <c r="AE193" s="16">
        <f t="shared" si="23"/>
        <v>8.0445088736343884</v>
      </c>
      <c r="AF193" s="16">
        <f>'Gearing Calculator'!$C$17*Braking!AD193</f>
        <v>2203.9413717584289</v>
      </c>
      <c r="AG193" s="16">
        <f t="shared" si="24"/>
        <v>-8.2792688646071717</v>
      </c>
    </row>
    <row r="194" spans="29:33" x14ac:dyDescent="0.25">
      <c r="AC194" s="16">
        <v>190</v>
      </c>
      <c r="AD194" s="16">
        <f t="shared" si="25"/>
        <v>1469.8229057640265</v>
      </c>
      <c r="AE194" s="16">
        <f t="shared" si="23"/>
        <v>8.0870724126483271</v>
      </c>
      <c r="AF194" s="16">
        <f>'Gearing Calculator'!$C$17*Braking!AD194</f>
        <v>2204.7343586460397</v>
      </c>
      <c r="AG194" s="16">
        <f t="shared" si="24"/>
        <v>-8.2822477785350852</v>
      </c>
    </row>
    <row r="195" spans="29:33" x14ac:dyDescent="0.25">
      <c r="AC195" s="16">
        <v>191</v>
      </c>
      <c r="AD195" s="16">
        <f t="shared" si="25"/>
        <v>1470.3515636891002</v>
      </c>
      <c r="AE195" s="16">
        <f t="shared" si="23"/>
        <v>8.1296359516622658</v>
      </c>
      <c r="AF195" s="16">
        <f>'Gearing Calculator'!$C$17*Braking!AD195</f>
        <v>2205.5273455336501</v>
      </c>
      <c r="AG195" s="16">
        <f t="shared" si="24"/>
        <v>-8.2852266924629987</v>
      </c>
    </row>
    <row r="196" spans="29:33" x14ac:dyDescent="0.25">
      <c r="AC196" s="16">
        <v>192</v>
      </c>
      <c r="AD196" s="16">
        <f t="shared" si="25"/>
        <v>1470.8802216141739</v>
      </c>
      <c r="AE196" s="16">
        <f t="shared" si="23"/>
        <v>8.1721994906762045</v>
      </c>
      <c r="AF196" s="16">
        <f>'Gearing Calculator'!$C$17*Braking!AD196</f>
        <v>2206.3203324212609</v>
      </c>
      <c r="AG196" s="16">
        <f t="shared" si="24"/>
        <v>-8.2882056063909122</v>
      </c>
    </row>
    <row r="197" spans="29:33" x14ac:dyDescent="0.25">
      <c r="AC197" s="16">
        <v>193</v>
      </c>
      <c r="AD197" s="16">
        <f t="shared" si="25"/>
        <v>1471.4088795392479</v>
      </c>
      <c r="AE197" s="16">
        <f t="shared" si="23"/>
        <v>8.2147630296901433</v>
      </c>
      <c r="AF197" s="16">
        <f>'Gearing Calculator'!$C$17*Braking!AD197</f>
        <v>2207.1133193088717</v>
      </c>
      <c r="AG197" s="16">
        <f t="shared" si="24"/>
        <v>-8.2911845203188275</v>
      </c>
    </row>
    <row r="198" spans="29:33" x14ac:dyDescent="0.25">
      <c r="AC198" s="16">
        <v>194</v>
      </c>
      <c r="AD198" s="16">
        <f t="shared" si="25"/>
        <v>1471.9375374643216</v>
      </c>
      <c r="AE198" s="16">
        <f t="shared" ref="AE198:AE261" si="26">(AC198/$X$104)*100</f>
        <v>8.257326568704082</v>
      </c>
      <c r="AF198" s="16">
        <f>'Gearing Calculator'!$C$17*Braking!AD198</f>
        <v>2207.9063061964825</v>
      </c>
      <c r="AG198" s="16">
        <f t="shared" ref="AG198:AG261" si="27">-(AF198/$C$3)</f>
        <v>-8.294163434246741</v>
      </c>
    </row>
    <row r="199" spans="29:33" x14ac:dyDescent="0.25">
      <c r="AC199" s="16">
        <v>195</v>
      </c>
      <c r="AD199" s="16">
        <f t="shared" ref="AD199:AD262" si="28">($C$3*$C$4)*($C$9/$C$8)+(AC199*($C$10/$C$8))</f>
        <v>1472.4661953893956</v>
      </c>
      <c r="AE199" s="16">
        <f t="shared" si="26"/>
        <v>8.2998901077180189</v>
      </c>
      <c r="AF199" s="16">
        <f>'Gearing Calculator'!$C$17*Braking!AD199</f>
        <v>2208.6992930840934</v>
      </c>
      <c r="AG199" s="16">
        <f t="shared" si="27"/>
        <v>-8.2971423481746562</v>
      </c>
    </row>
    <row r="200" spans="29:33" x14ac:dyDescent="0.25">
      <c r="AC200" s="16">
        <v>196</v>
      </c>
      <c r="AD200" s="16">
        <f t="shared" si="28"/>
        <v>1472.9948533144693</v>
      </c>
      <c r="AE200" s="16">
        <f t="shared" si="26"/>
        <v>8.3424536467319577</v>
      </c>
      <c r="AF200" s="16">
        <f>'Gearing Calculator'!$C$17*Braking!AD200</f>
        <v>2209.4922799717042</v>
      </c>
      <c r="AG200" s="16">
        <f t="shared" si="27"/>
        <v>-8.3001212621025697</v>
      </c>
    </row>
    <row r="201" spans="29:33" x14ac:dyDescent="0.25">
      <c r="AC201" s="16">
        <v>197</v>
      </c>
      <c r="AD201" s="16">
        <f t="shared" si="28"/>
        <v>1473.523511239543</v>
      </c>
      <c r="AE201" s="16">
        <f t="shared" si="26"/>
        <v>8.3850171857458964</v>
      </c>
      <c r="AF201" s="16">
        <f>'Gearing Calculator'!$C$17*Braking!AD201</f>
        <v>2210.2852668593146</v>
      </c>
      <c r="AG201" s="16">
        <f t="shared" si="27"/>
        <v>-8.3031001760304832</v>
      </c>
    </row>
    <row r="202" spans="29:33" x14ac:dyDescent="0.25">
      <c r="AC202" s="16">
        <v>198</v>
      </c>
      <c r="AD202" s="16">
        <f t="shared" si="28"/>
        <v>1474.052169164617</v>
      </c>
      <c r="AE202" s="16">
        <f t="shared" si="26"/>
        <v>8.4275807247598351</v>
      </c>
      <c r="AF202" s="16">
        <f>'Gearing Calculator'!$C$17*Braking!AD202</f>
        <v>2211.0782537469254</v>
      </c>
      <c r="AG202" s="16">
        <f t="shared" si="27"/>
        <v>-8.3060790899583985</v>
      </c>
    </row>
    <row r="203" spans="29:33" x14ac:dyDescent="0.25">
      <c r="AC203" s="16">
        <v>199</v>
      </c>
      <c r="AD203" s="16">
        <f t="shared" si="28"/>
        <v>1474.5808270896907</v>
      </c>
      <c r="AE203" s="16">
        <f t="shared" si="26"/>
        <v>8.4701442637737738</v>
      </c>
      <c r="AF203" s="16">
        <f>'Gearing Calculator'!$C$17*Braking!AD203</f>
        <v>2211.8712406345362</v>
      </c>
      <c r="AG203" s="16">
        <f t="shared" si="27"/>
        <v>-8.309058003886312</v>
      </c>
    </row>
    <row r="204" spans="29:33" x14ac:dyDescent="0.25">
      <c r="AC204" s="16">
        <v>200</v>
      </c>
      <c r="AD204" s="16">
        <f t="shared" si="28"/>
        <v>1475.1094850147647</v>
      </c>
      <c r="AE204" s="16">
        <f t="shared" si="26"/>
        <v>8.5127078027877126</v>
      </c>
      <c r="AF204" s="16">
        <f>'Gearing Calculator'!$C$17*Braking!AD204</f>
        <v>2212.664227522147</v>
      </c>
      <c r="AG204" s="16">
        <f t="shared" si="27"/>
        <v>-8.3120369178142273</v>
      </c>
    </row>
    <row r="205" spans="29:33" x14ac:dyDescent="0.25">
      <c r="AC205" s="16">
        <v>201</v>
      </c>
      <c r="AD205" s="16">
        <f t="shared" si="28"/>
        <v>1475.6381429398384</v>
      </c>
      <c r="AE205" s="16">
        <f t="shared" si="26"/>
        <v>8.5552713418016513</v>
      </c>
      <c r="AF205" s="16">
        <f>'Gearing Calculator'!$C$17*Braking!AD205</f>
        <v>2213.4572144097574</v>
      </c>
      <c r="AG205" s="16">
        <f t="shared" si="27"/>
        <v>-8.315015831742139</v>
      </c>
    </row>
    <row r="206" spans="29:33" x14ac:dyDescent="0.25">
      <c r="AC206" s="16">
        <v>202</v>
      </c>
      <c r="AD206" s="16">
        <f t="shared" si="28"/>
        <v>1476.1668008649121</v>
      </c>
      <c r="AE206" s="16">
        <f t="shared" si="26"/>
        <v>8.59783488081559</v>
      </c>
      <c r="AF206" s="16">
        <f>'Gearing Calculator'!$C$17*Braking!AD206</f>
        <v>2214.2502012973682</v>
      </c>
      <c r="AG206" s="16">
        <f t="shared" si="27"/>
        <v>-8.3179947456700543</v>
      </c>
    </row>
    <row r="207" spans="29:33" x14ac:dyDescent="0.25">
      <c r="AC207" s="16">
        <v>203</v>
      </c>
      <c r="AD207" s="16">
        <f t="shared" si="28"/>
        <v>1476.6954587899861</v>
      </c>
      <c r="AE207" s="16">
        <f t="shared" si="26"/>
        <v>8.6403984198295287</v>
      </c>
      <c r="AF207" s="16">
        <f>'Gearing Calculator'!$C$17*Braking!AD207</f>
        <v>2215.043188184979</v>
      </c>
      <c r="AG207" s="16">
        <f t="shared" si="27"/>
        <v>-8.3209736595979678</v>
      </c>
    </row>
    <row r="208" spans="29:33" x14ac:dyDescent="0.25">
      <c r="AC208" s="16">
        <v>204</v>
      </c>
      <c r="AD208" s="16">
        <f t="shared" si="28"/>
        <v>1477.2241167150598</v>
      </c>
      <c r="AE208" s="16">
        <f t="shared" si="26"/>
        <v>8.6829619588434674</v>
      </c>
      <c r="AF208" s="16">
        <f>'Gearing Calculator'!$C$17*Braking!AD208</f>
        <v>2215.8361750725899</v>
      </c>
      <c r="AG208" s="16">
        <f t="shared" si="27"/>
        <v>-8.323952573525883</v>
      </c>
    </row>
    <row r="209" spans="29:33" x14ac:dyDescent="0.25">
      <c r="AC209" s="16">
        <v>205</v>
      </c>
      <c r="AD209" s="16">
        <f t="shared" si="28"/>
        <v>1477.7527746401338</v>
      </c>
      <c r="AE209" s="16">
        <f t="shared" si="26"/>
        <v>8.7255254978574062</v>
      </c>
      <c r="AF209" s="16">
        <f>'Gearing Calculator'!$C$17*Braking!AD209</f>
        <v>2216.6291619602007</v>
      </c>
      <c r="AG209" s="16">
        <f t="shared" si="27"/>
        <v>-8.3269314874537965</v>
      </c>
    </row>
    <row r="210" spans="29:33" x14ac:dyDescent="0.25">
      <c r="AC210" s="16">
        <v>206</v>
      </c>
      <c r="AD210" s="16">
        <f t="shared" si="28"/>
        <v>1478.2814325652075</v>
      </c>
      <c r="AE210" s="16">
        <f t="shared" si="26"/>
        <v>8.7680890368713449</v>
      </c>
      <c r="AF210" s="16">
        <f>'Gearing Calculator'!$C$17*Braking!AD210</f>
        <v>2217.4221488478115</v>
      </c>
      <c r="AG210" s="16">
        <f t="shared" si="27"/>
        <v>-8.3299104013817118</v>
      </c>
    </row>
    <row r="211" spans="29:33" x14ac:dyDescent="0.25">
      <c r="AC211" s="16">
        <v>207</v>
      </c>
      <c r="AD211" s="16">
        <f t="shared" si="28"/>
        <v>1478.8100904902813</v>
      </c>
      <c r="AE211" s="16">
        <f t="shared" si="26"/>
        <v>8.8106525758852836</v>
      </c>
      <c r="AF211" s="16">
        <f>'Gearing Calculator'!$C$17*Braking!AD211</f>
        <v>2218.2151357354219</v>
      </c>
      <c r="AG211" s="16">
        <f t="shared" si="27"/>
        <v>-8.3328893153096235</v>
      </c>
    </row>
    <row r="212" spans="29:33" x14ac:dyDescent="0.25">
      <c r="AC212" s="16">
        <v>208</v>
      </c>
      <c r="AD212" s="16">
        <f t="shared" si="28"/>
        <v>1479.3387484153552</v>
      </c>
      <c r="AE212" s="16">
        <f t="shared" si="26"/>
        <v>8.8532161148992206</v>
      </c>
      <c r="AF212" s="16">
        <f>'Gearing Calculator'!$C$17*Braking!AD212</f>
        <v>2219.0081226230327</v>
      </c>
      <c r="AG212" s="16">
        <f t="shared" si="27"/>
        <v>-8.3358682292375388</v>
      </c>
    </row>
    <row r="213" spans="29:33" x14ac:dyDescent="0.25">
      <c r="AC213" s="16">
        <v>209</v>
      </c>
      <c r="AD213" s="16">
        <f t="shared" si="28"/>
        <v>1479.8674063404289</v>
      </c>
      <c r="AE213" s="16">
        <f t="shared" si="26"/>
        <v>8.8957796539131593</v>
      </c>
      <c r="AF213" s="16">
        <f>'Gearing Calculator'!$C$17*Braking!AD213</f>
        <v>2219.8011095106435</v>
      </c>
      <c r="AG213" s="16">
        <f t="shared" si="27"/>
        <v>-8.3388471431654523</v>
      </c>
    </row>
    <row r="214" spans="29:33" x14ac:dyDescent="0.25">
      <c r="AC214" s="16">
        <v>210</v>
      </c>
      <c r="AD214" s="16">
        <f t="shared" si="28"/>
        <v>1480.3960642655029</v>
      </c>
      <c r="AE214" s="16">
        <f t="shared" si="26"/>
        <v>8.938343192927098</v>
      </c>
      <c r="AF214" s="16">
        <f>'Gearing Calculator'!$C$17*Braking!AD214</f>
        <v>2220.5940963982544</v>
      </c>
      <c r="AG214" s="16">
        <f t="shared" si="27"/>
        <v>-8.3418260570933676</v>
      </c>
    </row>
    <row r="215" spans="29:33" x14ac:dyDescent="0.25">
      <c r="AC215" s="16">
        <v>211</v>
      </c>
      <c r="AD215" s="16">
        <f t="shared" si="28"/>
        <v>1480.9247221905766</v>
      </c>
      <c r="AE215" s="16">
        <f t="shared" si="26"/>
        <v>8.9809067319410367</v>
      </c>
      <c r="AF215" s="16">
        <f>'Gearing Calculator'!$C$17*Braking!AD215</f>
        <v>2221.3870832858647</v>
      </c>
      <c r="AG215" s="16">
        <f t="shared" si="27"/>
        <v>-8.344804971021281</v>
      </c>
    </row>
    <row r="216" spans="29:33" x14ac:dyDescent="0.25">
      <c r="AC216" s="16">
        <v>212</v>
      </c>
      <c r="AD216" s="16">
        <f t="shared" si="28"/>
        <v>1481.4533801156504</v>
      </c>
      <c r="AE216" s="16">
        <f t="shared" si="26"/>
        <v>9.0234702709549754</v>
      </c>
      <c r="AF216" s="16">
        <f>'Gearing Calculator'!$C$17*Braking!AD216</f>
        <v>2222.1800701734755</v>
      </c>
      <c r="AG216" s="16">
        <f t="shared" si="27"/>
        <v>-8.3477838849491945</v>
      </c>
    </row>
    <row r="217" spans="29:33" x14ac:dyDescent="0.25">
      <c r="AC217" s="16">
        <v>213</v>
      </c>
      <c r="AD217" s="16">
        <f t="shared" si="28"/>
        <v>1481.9820380407243</v>
      </c>
      <c r="AE217" s="16">
        <f t="shared" si="26"/>
        <v>9.0660338099689142</v>
      </c>
      <c r="AF217" s="16">
        <f>'Gearing Calculator'!$C$17*Braking!AD217</f>
        <v>2222.9730570610864</v>
      </c>
      <c r="AG217" s="16">
        <f t="shared" si="27"/>
        <v>-8.3507627988771098</v>
      </c>
    </row>
    <row r="218" spans="29:33" x14ac:dyDescent="0.25">
      <c r="AC218" s="16">
        <v>214</v>
      </c>
      <c r="AD218" s="16">
        <f t="shared" si="28"/>
        <v>1482.510695965798</v>
      </c>
      <c r="AE218" s="16">
        <f t="shared" si="26"/>
        <v>9.1085973489828529</v>
      </c>
      <c r="AF218" s="16">
        <f>'Gearing Calculator'!$C$17*Braking!AD218</f>
        <v>2223.7660439486972</v>
      </c>
      <c r="AG218" s="16">
        <f t="shared" si="27"/>
        <v>-8.3537417128050233</v>
      </c>
    </row>
    <row r="219" spans="29:33" x14ac:dyDescent="0.25">
      <c r="AC219" s="16">
        <v>215</v>
      </c>
      <c r="AD219" s="16">
        <f t="shared" si="28"/>
        <v>1483.039353890872</v>
      </c>
      <c r="AE219" s="16">
        <f t="shared" si="26"/>
        <v>9.1511608879967916</v>
      </c>
      <c r="AF219" s="16">
        <f>'Gearing Calculator'!$C$17*Braking!AD219</f>
        <v>2224.559030836308</v>
      </c>
      <c r="AG219" s="16">
        <f t="shared" si="27"/>
        <v>-8.3567206267329386</v>
      </c>
    </row>
    <row r="220" spans="29:33" x14ac:dyDescent="0.25">
      <c r="AC220" s="16">
        <v>216</v>
      </c>
      <c r="AD220" s="16">
        <f t="shared" si="28"/>
        <v>1483.5680118159457</v>
      </c>
      <c r="AE220" s="16">
        <f t="shared" si="26"/>
        <v>9.1937244270107303</v>
      </c>
      <c r="AF220" s="16">
        <f>'Gearing Calculator'!$C$17*Braking!AD220</f>
        <v>2225.3520177239188</v>
      </c>
      <c r="AG220" s="16">
        <f t="shared" si="27"/>
        <v>-8.3596995406608521</v>
      </c>
    </row>
    <row r="221" spans="29:33" x14ac:dyDescent="0.25">
      <c r="AC221" s="16">
        <v>217</v>
      </c>
      <c r="AD221" s="16">
        <f t="shared" si="28"/>
        <v>1484.0966697410195</v>
      </c>
      <c r="AE221" s="16">
        <f t="shared" si="26"/>
        <v>9.2362879660246691</v>
      </c>
      <c r="AF221" s="16">
        <f>'Gearing Calculator'!$C$17*Braking!AD221</f>
        <v>2226.1450046115292</v>
      </c>
      <c r="AG221" s="16">
        <f t="shared" si="27"/>
        <v>-8.3626784545887656</v>
      </c>
    </row>
    <row r="222" spans="29:33" x14ac:dyDescent="0.25">
      <c r="AC222" s="16">
        <v>218</v>
      </c>
      <c r="AD222" s="16">
        <f t="shared" si="28"/>
        <v>1484.6253276660934</v>
      </c>
      <c r="AE222" s="16">
        <f t="shared" si="26"/>
        <v>9.2788515050386078</v>
      </c>
      <c r="AF222" s="16">
        <f>'Gearing Calculator'!$C$17*Braking!AD222</f>
        <v>2226.93799149914</v>
      </c>
      <c r="AG222" s="16">
        <f t="shared" si="27"/>
        <v>-8.3656573685166791</v>
      </c>
    </row>
    <row r="223" spans="29:33" x14ac:dyDescent="0.25">
      <c r="AC223" s="16">
        <v>219</v>
      </c>
      <c r="AD223" s="16">
        <f t="shared" si="28"/>
        <v>1485.1539855911672</v>
      </c>
      <c r="AE223" s="16">
        <f t="shared" si="26"/>
        <v>9.3214150440525465</v>
      </c>
      <c r="AF223" s="16">
        <f>'Gearing Calculator'!$C$17*Braking!AD223</f>
        <v>2227.7309783867508</v>
      </c>
      <c r="AG223" s="16">
        <f t="shared" si="27"/>
        <v>-8.3686362824445943</v>
      </c>
    </row>
    <row r="224" spans="29:33" x14ac:dyDescent="0.25">
      <c r="AC224" s="16">
        <v>220</v>
      </c>
      <c r="AD224" s="16">
        <f t="shared" si="28"/>
        <v>1485.6826435162411</v>
      </c>
      <c r="AE224" s="16">
        <f t="shared" si="26"/>
        <v>9.3639785830664852</v>
      </c>
      <c r="AF224" s="16">
        <f>'Gearing Calculator'!$C$17*Braking!AD224</f>
        <v>2228.5239652743617</v>
      </c>
      <c r="AG224" s="16">
        <f t="shared" si="27"/>
        <v>-8.3716151963725078</v>
      </c>
    </row>
    <row r="225" spans="29:33" x14ac:dyDescent="0.25">
      <c r="AC225" s="16">
        <v>221</v>
      </c>
      <c r="AD225" s="16">
        <f t="shared" si="28"/>
        <v>1486.2113014413148</v>
      </c>
      <c r="AE225" s="16">
        <f t="shared" si="26"/>
        <v>9.406542122080424</v>
      </c>
      <c r="AF225" s="16">
        <f>'Gearing Calculator'!$C$17*Braking!AD225</f>
        <v>2229.316952161972</v>
      </c>
      <c r="AG225" s="16">
        <f t="shared" si="27"/>
        <v>-8.3745941103004213</v>
      </c>
    </row>
    <row r="226" spans="29:33" x14ac:dyDescent="0.25">
      <c r="AC226" s="16">
        <v>222</v>
      </c>
      <c r="AD226" s="16">
        <f t="shared" si="28"/>
        <v>1486.7399593663886</v>
      </c>
      <c r="AE226" s="16">
        <f t="shared" si="26"/>
        <v>9.4491056610943609</v>
      </c>
      <c r="AF226" s="16">
        <f>'Gearing Calculator'!$C$17*Braking!AD226</f>
        <v>2230.1099390495829</v>
      </c>
      <c r="AG226" s="16">
        <f t="shared" si="27"/>
        <v>-8.3775730242283348</v>
      </c>
    </row>
    <row r="227" spans="29:33" x14ac:dyDescent="0.25">
      <c r="AC227" s="16">
        <v>223</v>
      </c>
      <c r="AD227" s="16">
        <f t="shared" si="28"/>
        <v>1487.2686172914625</v>
      </c>
      <c r="AE227" s="16">
        <f t="shared" si="26"/>
        <v>9.4916692001082996</v>
      </c>
      <c r="AF227" s="16">
        <f>'Gearing Calculator'!$C$17*Braking!AD227</f>
        <v>2230.9029259371937</v>
      </c>
      <c r="AG227" s="16">
        <f t="shared" si="27"/>
        <v>-8.3805519381562501</v>
      </c>
    </row>
    <row r="228" spans="29:33" x14ac:dyDescent="0.25">
      <c r="AC228" s="16">
        <v>224</v>
      </c>
      <c r="AD228" s="16">
        <f t="shared" si="28"/>
        <v>1487.7972752165363</v>
      </c>
      <c r="AE228" s="16">
        <f t="shared" si="26"/>
        <v>9.5342327391222383</v>
      </c>
      <c r="AF228" s="16">
        <f>'Gearing Calculator'!$C$17*Braking!AD228</f>
        <v>2231.6959128248045</v>
      </c>
      <c r="AG228" s="16">
        <f t="shared" si="27"/>
        <v>-8.3835308520841654</v>
      </c>
    </row>
    <row r="229" spans="29:33" x14ac:dyDescent="0.25">
      <c r="AC229" s="16">
        <v>225</v>
      </c>
      <c r="AD229" s="16">
        <f t="shared" si="28"/>
        <v>1488.3259331416102</v>
      </c>
      <c r="AE229" s="16">
        <f t="shared" si="26"/>
        <v>9.5767962781361771</v>
      </c>
      <c r="AF229" s="16">
        <f>'Gearing Calculator'!$C$17*Braking!AD229</f>
        <v>2232.4888997124153</v>
      </c>
      <c r="AG229" s="16">
        <f t="shared" si="27"/>
        <v>-8.3865097660120789</v>
      </c>
    </row>
    <row r="230" spans="29:33" x14ac:dyDescent="0.25">
      <c r="AC230" s="16">
        <v>226</v>
      </c>
      <c r="AD230" s="16">
        <f t="shared" si="28"/>
        <v>1488.854591066684</v>
      </c>
      <c r="AE230" s="16">
        <f t="shared" si="26"/>
        <v>9.6193598171501158</v>
      </c>
      <c r="AF230" s="16">
        <f>'Gearing Calculator'!$C$17*Braking!AD230</f>
        <v>2233.2818866000262</v>
      </c>
      <c r="AG230" s="16">
        <f t="shared" si="27"/>
        <v>-8.3894886799399941</v>
      </c>
    </row>
    <row r="231" spans="29:33" x14ac:dyDescent="0.25">
      <c r="AC231" s="16">
        <v>227</v>
      </c>
      <c r="AD231" s="16">
        <f t="shared" si="28"/>
        <v>1489.3832489917577</v>
      </c>
      <c r="AE231" s="16">
        <f t="shared" si="26"/>
        <v>9.6619233561640545</v>
      </c>
      <c r="AF231" s="16">
        <f>'Gearing Calculator'!$C$17*Braking!AD231</f>
        <v>2234.0748734876365</v>
      </c>
      <c r="AG231" s="16">
        <f t="shared" si="27"/>
        <v>-8.3924675938679059</v>
      </c>
    </row>
    <row r="232" spans="29:33" x14ac:dyDescent="0.25">
      <c r="AC232" s="16">
        <v>228</v>
      </c>
      <c r="AD232" s="16">
        <f t="shared" si="28"/>
        <v>1489.9119069168316</v>
      </c>
      <c r="AE232" s="16">
        <f t="shared" si="26"/>
        <v>9.7044868951779932</v>
      </c>
      <c r="AF232" s="16">
        <f>'Gearing Calculator'!$C$17*Braking!AD232</f>
        <v>2234.8678603752473</v>
      </c>
      <c r="AG232" s="16">
        <f t="shared" si="27"/>
        <v>-8.3954465077958211</v>
      </c>
    </row>
    <row r="233" spans="29:33" x14ac:dyDescent="0.25">
      <c r="AC233" s="16">
        <v>229</v>
      </c>
      <c r="AD233" s="16">
        <f t="shared" si="28"/>
        <v>1490.4405648419054</v>
      </c>
      <c r="AE233" s="16">
        <f t="shared" si="26"/>
        <v>9.747050434191932</v>
      </c>
      <c r="AF233" s="16">
        <f>'Gearing Calculator'!$C$17*Braking!AD233</f>
        <v>2235.6608472628582</v>
      </c>
      <c r="AG233" s="16">
        <f t="shared" si="27"/>
        <v>-8.3984254217237346</v>
      </c>
    </row>
    <row r="234" spans="29:33" x14ac:dyDescent="0.25">
      <c r="AC234" s="16">
        <v>230</v>
      </c>
      <c r="AD234" s="16">
        <f t="shared" si="28"/>
        <v>1490.9692227669793</v>
      </c>
      <c r="AE234" s="16">
        <f t="shared" si="26"/>
        <v>9.7896139732058707</v>
      </c>
      <c r="AF234" s="16">
        <f>'Gearing Calculator'!$C$17*Braking!AD234</f>
        <v>2236.453834150469</v>
      </c>
      <c r="AG234" s="16">
        <f t="shared" si="27"/>
        <v>-8.4014043356516499</v>
      </c>
    </row>
    <row r="235" spans="29:33" x14ac:dyDescent="0.25">
      <c r="AC235" s="16">
        <v>231</v>
      </c>
      <c r="AD235" s="16">
        <f t="shared" si="28"/>
        <v>1491.4978806920531</v>
      </c>
      <c r="AE235" s="16">
        <f t="shared" si="26"/>
        <v>9.8321775122198076</v>
      </c>
      <c r="AF235" s="16">
        <f>'Gearing Calculator'!$C$17*Braking!AD235</f>
        <v>2237.2468210380794</v>
      </c>
      <c r="AG235" s="16">
        <f t="shared" si="27"/>
        <v>-8.4043832495795616</v>
      </c>
    </row>
    <row r="236" spans="29:33" x14ac:dyDescent="0.25">
      <c r="AC236" s="16">
        <v>232</v>
      </c>
      <c r="AD236" s="16">
        <f t="shared" si="28"/>
        <v>1492.0265386171268</v>
      </c>
      <c r="AE236" s="16">
        <f t="shared" si="26"/>
        <v>9.8747410512337463</v>
      </c>
      <c r="AF236" s="16">
        <f>'Gearing Calculator'!$C$17*Braking!AD236</f>
        <v>2238.0398079256902</v>
      </c>
      <c r="AG236" s="16">
        <f t="shared" si="27"/>
        <v>-8.4073621635074769</v>
      </c>
    </row>
    <row r="237" spans="29:33" x14ac:dyDescent="0.25">
      <c r="AC237" s="16">
        <v>233</v>
      </c>
      <c r="AD237" s="16">
        <f t="shared" si="28"/>
        <v>1492.5551965422007</v>
      </c>
      <c r="AE237" s="16">
        <f t="shared" si="26"/>
        <v>9.9173045902476851</v>
      </c>
      <c r="AF237" s="16">
        <f>'Gearing Calculator'!$C$17*Braking!AD237</f>
        <v>2238.832794813301</v>
      </c>
      <c r="AG237" s="16">
        <f t="shared" si="27"/>
        <v>-8.4103410774353904</v>
      </c>
    </row>
    <row r="238" spans="29:33" x14ac:dyDescent="0.25">
      <c r="AC238" s="16">
        <v>234</v>
      </c>
      <c r="AD238" s="16">
        <f t="shared" si="28"/>
        <v>1493.0838544672745</v>
      </c>
      <c r="AE238" s="16">
        <f t="shared" si="26"/>
        <v>9.9598681292616238</v>
      </c>
      <c r="AF238" s="16">
        <f>'Gearing Calculator'!$C$17*Braking!AD238</f>
        <v>2239.6257817009118</v>
      </c>
      <c r="AG238" s="16">
        <f t="shared" si="27"/>
        <v>-8.4133199913633057</v>
      </c>
    </row>
    <row r="239" spans="29:33" x14ac:dyDescent="0.25">
      <c r="AC239" s="16">
        <v>235</v>
      </c>
      <c r="AD239" s="16">
        <f t="shared" si="28"/>
        <v>1493.6125123923484</v>
      </c>
      <c r="AE239" s="16">
        <f t="shared" si="26"/>
        <v>10.002431668275563</v>
      </c>
      <c r="AF239" s="16">
        <f>'Gearing Calculator'!$C$17*Braking!AD239</f>
        <v>2240.4187685885227</v>
      </c>
      <c r="AG239" s="16">
        <f t="shared" si="27"/>
        <v>-8.4162989052912192</v>
      </c>
    </row>
    <row r="240" spans="29:33" x14ac:dyDescent="0.25">
      <c r="AC240" s="16">
        <v>236</v>
      </c>
      <c r="AD240" s="16">
        <f t="shared" si="28"/>
        <v>1494.1411703174222</v>
      </c>
      <c r="AE240" s="16">
        <f t="shared" si="26"/>
        <v>10.044995207289501</v>
      </c>
      <c r="AF240" s="16">
        <f>'Gearing Calculator'!$C$17*Braking!AD240</f>
        <v>2241.2117554761335</v>
      </c>
      <c r="AG240" s="16">
        <f t="shared" si="27"/>
        <v>-8.4192778192191344</v>
      </c>
    </row>
    <row r="241" spans="29:33" x14ac:dyDescent="0.25">
      <c r="AC241" s="16">
        <v>237</v>
      </c>
      <c r="AD241" s="16">
        <f t="shared" si="28"/>
        <v>1494.6698282424959</v>
      </c>
      <c r="AE241" s="16">
        <f t="shared" si="26"/>
        <v>10.08755874630344</v>
      </c>
      <c r="AF241" s="16">
        <f>'Gearing Calculator'!$C$17*Braking!AD241</f>
        <v>2242.0047423637438</v>
      </c>
      <c r="AG241" s="16">
        <f t="shared" si="27"/>
        <v>-8.4222567331470479</v>
      </c>
    </row>
    <row r="242" spans="29:33" x14ac:dyDescent="0.25">
      <c r="AC242" s="16">
        <v>238</v>
      </c>
      <c r="AD242" s="16">
        <f t="shared" si="28"/>
        <v>1495.1984861675699</v>
      </c>
      <c r="AE242" s="16">
        <f t="shared" si="26"/>
        <v>10.130122285317377</v>
      </c>
      <c r="AF242" s="16">
        <f>'Gearing Calculator'!$C$17*Braking!AD242</f>
        <v>2242.7977292513547</v>
      </c>
      <c r="AG242" s="16">
        <f t="shared" si="27"/>
        <v>-8.4252356470749614</v>
      </c>
    </row>
    <row r="243" spans="29:33" x14ac:dyDescent="0.25">
      <c r="AC243" s="16">
        <v>239</v>
      </c>
      <c r="AD243" s="16">
        <f t="shared" si="28"/>
        <v>1495.7271440926436</v>
      </c>
      <c r="AE243" s="16">
        <f t="shared" si="26"/>
        <v>10.172685824331316</v>
      </c>
      <c r="AF243" s="16">
        <f>'Gearing Calculator'!$C$17*Braking!AD243</f>
        <v>2243.5907161389655</v>
      </c>
      <c r="AG243" s="16">
        <f t="shared" si="27"/>
        <v>-8.4282145610028767</v>
      </c>
    </row>
    <row r="244" spans="29:33" x14ac:dyDescent="0.25">
      <c r="AC244" s="16">
        <v>240</v>
      </c>
      <c r="AD244" s="16">
        <f t="shared" si="28"/>
        <v>1496.2558020177175</v>
      </c>
      <c r="AE244" s="16">
        <f t="shared" si="26"/>
        <v>10.215249363345254</v>
      </c>
      <c r="AF244" s="16">
        <f>'Gearing Calculator'!$C$17*Braking!AD244</f>
        <v>2244.3837030265763</v>
      </c>
      <c r="AG244" s="16">
        <f t="shared" si="27"/>
        <v>-8.4311934749307902</v>
      </c>
    </row>
    <row r="245" spans="29:33" x14ac:dyDescent="0.25">
      <c r="AC245" s="16">
        <v>241</v>
      </c>
      <c r="AD245" s="16">
        <f t="shared" si="28"/>
        <v>1496.7844599427913</v>
      </c>
      <c r="AE245" s="16">
        <f t="shared" si="26"/>
        <v>10.257812902359193</v>
      </c>
      <c r="AF245" s="16">
        <f>'Gearing Calculator'!$C$17*Braking!AD245</f>
        <v>2245.1766899141867</v>
      </c>
      <c r="AG245" s="16">
        <f t="shared" si="27"/>
        <v>-8.4341723888587037</v>
      </c>
    </row>
    <row r="246" spans="29:33" x14ac:dyDescent="0.25">
      <c r="AC246" s="16">
        <v>242</v>
      </c>
      <c r="AD246" s="16">
        <f t="shared" si="28"/>
        <v>1497.313117867865</v>
      </c>
      <c r="AE246" s="16">
        <f t="shared" si="26"/>
        <v>10.300376441373132</v>
      </c>
      <c r="AF246" s="16">
        <f>'Gearing Calculator'!$C$17*Braking!AD246</f>
        <v>2245.9696768017975</v>
      </c>
      <c r="AG246" s="16">
        <f t="shared" si="27"/>
        <v>-8.4371513027866172</v>
      </c>
    </row>
    <row r="247" spans="29:33" x14ac:dyDescent="0.25">
      <c r="AC247" s="16">
        <v>243</v>
      </c>
      <c r="AD247" s="16">
        <f t="shared" si="28"/>
        <v>1497.841775792939</v>
      </c>
      <c r="AE247" s="16">
        <f t="shared" si="26"/>
        <v>10.342939980387071</v>
      </c>
      <c r="AF247" s="16">
        <f>'Gearing Calculator'!$C$17*Braking!AD247</f>
        <v>2246.7626636894083</v>
      </c>
      <c r="AG247" s="16">
        <f t="shared" si="27"/>
        <v>-8.4401302167145325</v>
      </c>
    </row>
    <row r="248" spans="29:33" x14ac:dyDescent="0.25">
      <c r="AC248" s="16">
        <v>244</v>
      </c>
      <c r="AD248" s="16">
        <f t="shared" si="28"/>
        <v>1498.3704337180127</v>
      </c>
      <c r="AE248" s="16">
        <f t="shared" si="26"/>
        <v>10.385503519401009</v>
      </c>
      <c r="AF248" s="16">
        <f>'Gearing Calculator'!$C$17*Braking!AD248</f>
        <v>2247.5556505770192</v>
      </c>
      <c r="AG248" s="16">
        <f t="shared" si="27"/>
        <v>-8.4431091306424459</v>
      </c>
    </row>
    <row r="249" spans="29:33" x14ac:dyDescent="0.25">
      <c r="AC249" s="16">
        <v>245</v>
      </c>
      <c r="AD249" s="16">
        <f t="shared" si="28"/>
        <v>1498.8990916430866</v>
      </c>
      <c r="AE249" s="16">
        <f t="shared" si="26"/>
        <v>10.428067058414948</v>
      </c>
      <c r="AF249" s="16">
        <f>'Gearing Calculator'!$C$17*Braking!AD249</f>
        <v>2248.34863746463</v>
      </c>
      <c r="AG249" s="16">
        <f t="shared" si="27"/>
        <v>-8.4460880445703612</v>
      </c>
    </row>
    <row r="250" spans="29:33" x14ac:dyDescent="0.25">
      <c r="AC250" s="16">
        <v>246</v>
      </c>
      <c r="AD250" s="16">
        <f t="shared" si="28"/>
        <v>1499.4277495681604</v>
      </c>
      <c r="AE250" s="16">
        <f t="shared" si="26"/>
        <v>10.470630597428887</v>
      </c>
      <c r="AF250" s="16">
        <f>'Gearing Calculator'!$C$17*Braking!AD250</f>
        <v>2249.1416243522408</v>
      </c>
      <c r="AG250" s="16">
        <f t="shared" si="27"/>
        <v>-8.4490669584982747</v>
      </c>
    </row>
    <row r="251" spans="29:33" x14ac:dyDescent="0.25">
      <c r="AC251" s="16">
        <v>247</v>
      </c>
      <c r="AD251" s="16">
        <f t="shared" si="28"/>
        <v>1499.9564074932341</v>
      </c>
      <c r="AE251" s="16">
        <f t="shared" si="26"/>
        <v>10.513194136442825</v>
      </c>
      <c r="AF251" s="16">
        <f>'Gearing Calculator'!$C$17*Braking!AD251</f>
        <v>2249.9346112398512</v>
      </c>
      <c r="AG251" s="16">
        <f t="shared" si="27"/>
        <v>-8.4520458724261882</v>
      </c>
    </row>
    <row r="252" spans="29:33" x14ac:dyDescent="0.25">
      <c r="AC252" s="16">
        <v>248</v>
      </c>
      <c r="AD252" s="16">
        <f t="shared" si="28"/>
        <v>1500.4850654183081</v>
      </c>
      <c r="AE252" s="16">
        <f t="shared" si="26"/>
        <v>10.555757675456762</v>
      </c>
      <c r="AF252" s="16">
        <f>'Gearing Calculator'!$C$17*Braking!AD252</f>
        <v>2250.727598127462</v>
      </c>
      <c r="AG252" s="16">
        <f t="shared" si="27"/>
        <v>-8.4550247863541017</v>
      </c>
    </row>
    <row r="253" spans="29:33" x14ac:dyDescent="0.25">
      <c r="AC253" s="16">
        <v>249</v>
      </c>
      <c r="AD253" s="16">
        <f t="shared" si="28"/>
        <v>1501.0137233433818</v>
      </c>
      <c r="AE253" s="16">
        <f t="shared" si="26"/>
        <v>10.598321214470701</v>
      </c>
      <c r="AF253" s="16">
        <f>'Gearing Calculator'!$C$17*Braking!AD253</f>
        <v>2251.5205850150728</v>
      </c>
      <c r="AG253" s="16">
        <f t="shared" si="27"/>
        <v>-8.458003700282017</v>
      </c>
    </row>
    <row r="254" spans="29:33" x14ac:dyDescent="0.25">
      <c r="AC254" s="16">
        <v>250</v>
      </c>
      <c r="AD254" s="16">
        <f t="shared" si="28"/>
        <v>1501.5423812684558</v>
      </c>
      <c r="AE254" s="16">
        <f t="shared" si="26"/>
        <v>10.64088475348464</v>
      </c>
      <c r="AF254" s="16">
        <f>'Gearing Calculator'!$C$17*Braking!AD254</f>
        <v>2252.3135719026836</v>
      </c>
      <c r="AG254" s="16">
        <f t="shared" si="27"/>
        <v>-8.4609826142099323</v>
      </c>
    </row>
    <row r="255" spans="29:33" x14ac:dyDescent="0.25">
      <c r="AC255" s="16">
        <v>251</v>
      </c>
      <c r="AD255" s="16">
        <f t="shared" si="28"/>
        <v>1502.0710391935295</v>
      </c>
      <c r="AE255" s="16">
        <f t="shared" si="26"/>
        <v>10.683448292498579</v>
      </c>
      <c r="AF255" s="16">
        <f>'Gearing Calculator'!$C$17*Braking!AD255</f>
        <v>2253.106558790294</v>
      </c>
      <c r="AG255" s="16">
        <f t="shared" si="27"/>
        <v>-8.463961528137844</v>
      </c>
    </row>
    <row r="256" spans="29:33" x14ac:dyDescent="0.25">
      <c r="AC256" s="16">
        <v>252</v>
      </c>
      <c r="AD256" s="16">
        <f t="shared" si="28"/>
        <v>1502.5996971186032</v>
      </c>
      <c r="AE256" s="16">
        <f t="shared" si="26"/>
        <v>10.726011831512517</v>
      </c>
      <c r="AF256" s="16">
        <f>'Gearing Calculator'!$C$17*Braking!AD256</f>
        <v>2253.8995456779048</v>
      </c>
      <c r="AG256" s="16">
        <f t="shared" si="27"/>
        <v>-8.4669404420657592</v>
      </c>
    </row>
    <row r="257" spans="29:33" x14ac:dyDescent="0.25">
      <c r="AC257" s="16">
        <v>253</v>
      </c>
      <c r="AD257" s="16">
        <f t="shared" si="28"/>
        <v>1503.1283550436772</v>
      </c>
      <c r="AE257" s="16">
        <f t="shared" si="26"/>
        <v>10.768575370526456</v>
      </c>
      <c r="AF257" s="16">
        <f>'Gearing Calculator'!$C$17*Braking!AD257</f>
        <v>2254.6925325655156</v>
      </c>
      <c r="AG257" s="16">
        <f t="shared" si="27"/>
        <v>-8.4699193559936727</v>
      </c>
    </row>
    <row r="258" spans="29:33" x14ac:dyDescent="0.25">
      <c r="AC258" s="16">
        <v>254</v>
      </c>
      <c r="AD258" s="16">
        <f t="shared" si="28"/>
        <v>1503.6570129687509</v>
      </c>
      <c r="AE258" s="16">
        <f t="shared" si="26"/>
        <v>10.811138909540395</v>
      </c>
      <c r="AF258" s="16">
        <f>'Gearing Calculator'!$C$17*Braking!AD258</f>
        <v>2255.4855194531265</v>
      </c>
      <c r="AG258" s="16">
        <f t="shared" si="27"/>
        <v>-8.472898269921588</v>
      </c>
    </row>
    <row r="259" spans="29:33" x14ac:dyDescent="0.25">
      <c r="AC259" s="16">
        <v>255</v>
      </c>
      <c r="AD259" s="16">
        <f t="shared" si="28"/>
        <v>1504.1856708938249</v>
      </c>
      <c r="AE259" s="16">
        <f t="shared" si="26"/>
        <v>10.853702448554333</v>
      </c>
      <c r="AF259" s="16">
        <f>'Gearing Calculator'!$C$17*Braking!AD259</f>
        <v>2256.2785063407373</v>
      </c>
      <c r="AG259" s="16">
        <f t="shared" si="27"/>
        <v>-8.4758771838495015</v>
      </c>
    </row>
    <row r="260" spans="29:33" x14ac:dyDescent="0.25">
      <c r="AC260" s="16">
        <v>256</v>
      </c>
      <c r="AD260" s="16">
        <f t="shared" si="28"/>
        <v>1504.7143288188986</v>
      </c>
      <c r="AE260" s="16">
        <f t="shared" si="26"/>
        <v>10.896265987568272</v>
      </c>
      <c r="AF260" s="16">
        <f>'Gearing Calculator'!$C$17*Braking!AD260</f>
        <v>2257.0714932283481</v>
      </c>
      <c r="AG260" s="16">
        <f t="shared" si="27"/>
        <v>-8.4788560977774168</v>
      </c>
    </row>
    <row r="261" spans="29:33" x14ac:dyDescent="0.25">
      <c r="AC261" s="16">
        <v>257</v>
      </c>
      <c r="AD261" s="16">
        <f t="shared" si="28"/>
        <v>1505.2429867439723</v>
      </c>
      <c r="AE261" s="16">
        <f t="shared" si="26"/>
        <v>10.938829526582211</v>
      </c>
      <c r="AF261" s="16">
        <f>'Gearing Calculator'!$C$17*Braking!AD261</f>
        <v>2257.8644801159585</v>
      </c>
      <c r="AG261" s="16">
        <f t="shared" si="27"/>
        <v>-8.4818350117053285</v>
      </c>
    </row>
    <row r="262" spans="29:33" x14ac:dyDescent="0.25">
      <c r="AC262" s="16">
        <v>258</v>
      </c>
      <c r="AD262" s="16">
        <f t="shared" si="28"/>
        <v>1505.7716446690463</v>
      </c>
      <c r="AE262" s="16">
        <f t="shared" ref="AE262:AE325" si="29">(AC262/$X$104)*100</f>
        <v>10.98139306559615</v>
      </c>
      <c r="AF262" s="16">
        <f>'Gearing Calculator'!$C$17*Braking!AD262</f>
        <v>2258.6574670035693</v>
      </c>
      <c r="AG262" s="16">
        <f t="shared" ref="AG262:AG325" si="30">-(AF262/$C$3)</f>
        <v>-8.4848139256332438</v>
      </c>
    </row>
    <row r="263" spans="29:33" x14ac:dyDescent="0.25">
      <c r="AC263" s="16">
        <v>259</v>
      </c>
      <c r="AD263" s="16">
        <f t="shared" ref="AD263:AD326" si="31">($C$3*$C$4)*($C$9/$C$8)+(AC263*($C$10/$C$8))</f>
        <v>1506.30030259412</v>
      </c>
      <c r="AE263" s="16">
        <f t="shared" si="29"/>
        <v>11.023956604610088</v>
      </c>
      <c r="AF263" s="16">
        <f>'Gearing Calculator'!$C$17*Braking!AD263</f>
        <v>2259.4504538911801</v>
      </c>
      <c r="AG263" s="16">
        <f t="shared" si="30"/>
        <v>-8.4877928395611573</v>
      </c>
    </row>
    <row r="264" spans="29:33" x14ac:dyDescent="0.25">
      <c r="AC264" s="16">
        <v>260</v>
      </c>
      <c r="AD264" s="16">
        <f t="shared" si="31"/>
        <v>1506.828960519194</v>
      </c>
      <c r="AE264" s="16">
        <f t="shared" si="29"/>
        <v>11.066520143624027</v>
      </c>
      <c r="AF264" s="16">
        <f>'Gearing Calculator'!$C$17*Braking!AD264</f>
        <v>2260.243440778791</v>
      </c>
      <c r="AG264" s="16">
        <f t="shared" si="30"/>
        <v>-8.4907717534890725</v>
      </c>
    </row>
    <row r="265" spans="29:33" x14ac:dyDescent="0.25">
      <c r="AC265" s="16">
        <v>261</v>
      </c>
      <c r="AD265" s="16">
        <f t="shared" si="31"/>
        <v>1507.3576184442677</v>
      </c>
      <c r="AE265" s="16">
        <f t="shared" si="29"/>
        <v>11.109083682637966</v>
      </c>
      <c r="AF265" s="16">
        <f>'Gearing Calculator'!$C$17*Braking!AD265</f>
        <v>2261.0364276664013</v>
      </c>
      <c r="AG265" s="16">
        <f t="shared" si="30"/>
        <v>-8.4937506674169843</v>
      </c>
    </row>
    <row r="266" spans="29:33" x14ac:dyDescent="0.25">
      <c r="AC266" s="16">
        <v>262</v>
      </c>
      <c r="AD266" s="16">
        <f t="shared" si="31"/>
        <v>1507.8862763693414</v>
      </c>
      <c r="AE266" s="16">
        <f t="shared" si="29"/>
        <v>11.151647221651903</v>
      </c>
      <c r="AF266" s="16">
        <f>'Gearing Calculator'!$C$17*Braking!AD266</f>
        <v>2261.8294145540121</v>
      </c>
      <c r="AG266" s="16">
        <f t="shared" si="30"/>
        <v>-8.4967295813448995</v>
      </c>
    </row>
    <row r="267" spans="29:33" x14ac:dyDescent="0.25">
      <c r="AC267" s="16">
        <v>263</v>
      </c>
      <c r="AD267" s="16">
        <f t="shared" si="31"/>
        <v>1508.4149342944154</v>
      </c>
      <c r="AE267" s="16">
        <f t="shared" si="29"/>
        <v>11.194210760665841</v>
      </c>
      <c r="AF267" s="16">
        <f>'Gearing Calculator'!$C$17*Braking!AD267</f>
        <v>2262.622401441623</v>
      </c>
      <c r="AG267" s="16">
        <f t="shared" si="30"/>
        <v>-8.4997084952728148</v>
      </c>
    </row>
    <row r="268" spans="29:33" x14ac:dyDescent="0.25">
      <c r="AC268" s="16">
        <v>264</v>
      </c>
      <c r="AD268" s="16">
        <f t="shared" si="31"/>
        <v>1508.9435922194891</v>
      </c>
      <c r="AE268" s="16">
        <f t="shared" si="29"/>
        <v>11.23677429967978</v>
      </c>
      <c r="AF268" s="16">
        <f>'Gearing Calculator'!$C$17*Braking!AD268</f>
        <v>2263.4153883292338</v>
      </c>
      <c r="AG268" s="16">
        <f t="shared" si="30"/>
        <v>-8.5026874092007283</v>
      </c>
    </row>
    <row r="269" spans="29:33" x14ac:dyDescent="0.25">
      <c r="AC269" s="16">
        <v>265</v>
      </c>
      <c r="AD269" s="16">
        <f t="shared" si="31"/>
        <v>1509.4722501445631</v>
      </c>
      <c r="AE269" s="16">
        <f t="shared" si="29"/>
        <v>11.279337838693719</v>
      </c>
      <c r="AF269" s="16">
        <f>'Gearing Calculator'!$C$17*Braking!AD269</f>
        <v>2264.2083752168446</v>
      </c>
      <c r="AG269" s="16">
        <f t="shared" si="30"/>
        <v>-8.5056663231286436</v>
      </c>
    </row>
    <row r="270" spans="29:33" x14ac:dyDescent="0.25">
      <c r="AC270" s="16">
        <v>266</v>
      </c>
      <c r="AD270" s="16">
        <f t="shared" si="31"/>
        <v>1510.0009080696368</v>
      </c>
      <c r="AE270" s="16">
        <f t="shared" si="29"/>
        <v>11.321901377707658</v>
      </c>
      <c r="AF270" s="16">
        <f>'Gearing Calculator'!$C$17*Braking!AD270</f>
        <v>2265.0013621044554</v>
      </c>
      <c r="AG270" s="16">
        <f t="shared" si="30"/>
        <v>-8.5086452370565571</v>
      </c>
    </row>
    <row r="271" spans="29:33" x14ac:dyDescent="0.25">
      <c r="AC271" s="16">
        <v>267</v>
      </c>
      <c r="AD271" s="16">
        <f t="shared" si="31"/>
        <v>1510.5295659947105</v>
      </c>
      <c r="AE271" s="16">
        <f t="shared" si="29"/>
        <v>11.364464916721596</v>
      </c>
      <c r="AF271" s="16">
        <f>'Gearing Calculator'!$C$17*Braking!AD271</f>
        <v>2265.7943489920658</v>
      </c>
      <c r="AG271" s="16">
        <f t="shared" si="30"/>
        <v>-8.5116241509844706</v>
      </c>
    </row>
    <row r="272" spans="29:33" x14ac:dyDescent="0.25">
      <c r="AC272" s="16">
        <v>268</v>
      </c>
      <c r="AD272" s="16">
        <f t="shared" si="31"/>
        <v>1511.0582239197845</v>
      </c>
      <c r="AE272" s="16">
        <f t="shared" si="29"/>
        <v>11.407028455735535</v>
      </c>
      <c r="AF272" s="16">
        <f>'Gearing Calculator'!$C$17*Braking!AD272</f>
        <v>2266.5873358796766</v>
      </c>
      <c r="AG272" s="16">
        <f t="shared" si="30"/>
        <v>-8.5146030649123841</v>
      </c>
    </row>
    <row r="273" spans="29:33" x14ac:dyDescent="0.25">
      <c r="AC273" s="16">
        <v>269</v>
      </c>
      <c r="AD273" s="16">
        <f t="shared" si="31"/>
        <v>1511.5868818448582</v>
      </c>
      <c r="AE273" s="16">
        <f t="shared" si="29"/>
        <v>11.449591994749474</v>
      </c>
      <c r="AF273" s="16">
        <f>'Gearing Calculator'!$C$17*Braking!AD273</f>
        <v>2267.3803227672875</v>
      </c>
      <c r="AG273" s="16">
        <f t="shared" si="30"/>
        <v>-8.5175819788402993</v>
      </c>
    </row>
    <row r="274" spans="29:33" x14ac:dyDescent="0.25">
      <c r="AC274" s="16">
        <v>270</v>
      </c>
      <c r="AD274" s="16">
        <f t="shared" si="31"/>
        <v>1512.1155397699322</v>
      </c>
      <c r="AE274" s="16">
        <f t="shared" si="29"/>
        <v>11.492155533763412</v>
      </c>
      <c r="AF274" s="16">
        <f>'Gearing Calculator'!$C$17*Braking!AD274</f>
        <v>2268.1733096548983</v>
      </c>
      <c r="AG274" s="16">
        <f t="shared" si="30"/>
        <v>-8.5205608927682128</v>
      </c>
    </row>
    <row r="275" spans="29:33" x14ac:dyDescent="0.25">
      <c r="AC275" s="16">
        <v>271</v>
      </c>
      <c r="AD275" s="16">
        <f t="shared" si="31"/>
        <v>1512.6441976950059</v>
      </c>
      <c r="AE275" s="16">
        <f t="shared" si="29"/>
        <v>11.534719072777351</v>
      </c>
      <c r="AF275" s="16">
        <f>'Gearing Calculator'!$C$17*Braking!AD275</f>
        <v>2268.9662965425086</v>
      </c>
      <c r="AG275" s="16">
        <f t="shared" si="30"/>
        <v>-8.5235398066961263</v>
      </c>
    </row>
    <row r="276" spans="29:33" x14ac:dyDescent="0.25">
      <c r="AC276" s="16">
        <v>272</v>
      </c>
      <c r="AD276" s="16">
        <f t="shared" si="31"/>
        <v>1513.1728556200799</v>
      </c>
      <c r="AE276" s="16">
        <f t="shared" si="29"/>
        <v>11.57728261179129</v>
      </c>
      <c r="AF276" s="16">
        <f>'Gearing Calculator'!$C$17*Braking!AD276</f>
        <v>2269.7592834301199</v>
      </c>
      <c r="AG276" s="16">
        <f t="shared" si="30"/>
        <v>-8.5265187206240416</v>
      </c>
    </row>
    <row r="277" spans="29:33" x14ac:dyDescent="0.25">
      <c r="AC277" s="16">
        <v>273</v>
      </c>
      <c r="AD277" s="16">
        <f t="shared" si="31"/>
        <v>1513.7015135451536</v>
      </c>
      <c r="AE277" s="16">
        <f t="shared" si="29"/>
        <v>11.619846150805229</v>
      </c>
      <c r="AF277" s="16">
        <f>'Gearing Calculator'!$C$17*Braking!AD277</f>
        <v>2270.5522703177303</v>
      </c>
      <c r="AG277" s="16">
        <f t="shared" si="30"/>
        <v>-8.5294976345519551</v>
      </c>
    </row>
    <row r="278" spans="29:33" x14ac:dyDescent="0.25">
      <c r="AC278" s="16">
        <v>274</v>
      </c>
      <c r="AD278" s="16">
        <f t="shared" si="31"/>
        <v>1514.2301714702273</v>
      </c>
      <c r="AE278" s="16">
        <f t="shared" si="29"/>
        <v>11.662409689819167</v>
      </c>
      <c r="AF278" s="16">
        <f>'Gearing Calculator'!$C$17*Braking!AD278</f>
        <v>2271.3452572053411</v>
      </c>
      <c r="AG278" s="16">
        <f t="shared" si="30"/>
        <v>-8.5324765484798686</v>
      </c>
    </row>
    <row r="279" spans="29:33" x14ac:dyDescent="0.25">
      <c r="AC279" s="16">
        <v>275</v>
      </c>
      <c r="AD279" s="16">
        <f t="shared" si="31"/>
        <v>1514.7588293953013</v>
      </c>
      <c r="AE279" s="16">
        <f t="shared" si="29"/>
        <v>11.704973228833104</v>
      </c>
      <c r="AF279" s="16">
        <f>'Gearing Calculator'!$C$17*Braking!AD279</f>
        <v>2272.1382440929519</v>
      </c>
      <c r="AG279" s="16">
        <f t="shared" si="30"/>
        <v>-8.5354554624077839</v>
      </c>
    </row>
    <row r="280" spans="29:33" x14ac:dyDescent="0.25">
      <c r="AC280" s="16">
        <v>276</v>
      </c>
      <c r="AD280" s="16">
        <f t="shared" si="31"/>
        <v>1515.287487320375</v>
      </c>
      <c r="AE280" s="16">
        <f t="shared" si="29"/>
        <v>11.747536767847043</v>
      </c>
      <c r="AF280" s="16">
        <f>'Gearing Calculator'!$C$17*Braking!AD280</f>
        <v>2272.9312309805628</v>
      </c>
      <c r="AG280" s="16">
        <f t="shared" si="30"/>
        <v>-8.5384343763356974</v>
      </c>
    </row>
    <row r="281" spans="29:33" x14ac:dyDescent="0.25">
      <c r="AC281" s="16">
        <v>277</v>
      </c>
      <c r="AD281" s="16">
        <f t="shared" si="31"/>
        <v>1515.816145245449</v>
      </c>
      <c r="AE281" s="16">
        <f t="shared" si="29"/>
        <v>11.790100306860982</v>
      </c>
      <c r="AF281" s="16">
        <f>'Gearing Calculator'!$C$17*Braking!AD281</f>
        <v>2273.7242178681736</v>
      </c>
      <c r="AG281" s="16">
        <f t="shared" si="30"/>
        <v>-8.5414132902636126</v>
      </c>
    </row>
    <row r="282" spans="29:33" x14ac:dyDescent="0.25">
      <c r="AC282" s="16">
        <v>278</v>
      </c>
      <c r="AD282" s="16">
        <f t="shared" si="31"/>
        <v>1516.3448031705227</v>
      </c>
      <c r="AE282" s="16">
        <f t="shared" si="29"/>
        <v>11.83266384587492</v>
      </c>
      <c r="AF282" s="16">
        <f>'Gearing Calculator'!$C$17*Braking!AD282</f>
        <v>2274.517204755784</v>
      </c>
      <c r="AG282" s="16">
        <f t="shared" si="30"/>
        <v>-8.5443922041915261</v>
      </c>
    </row>
    <row r="283" spans="29:33" x14ac:dyDescent="0.25">
      <c r="AC283" s="16">
        <v>279</v>
      </c>
      <c r="AD283" s="16">
        <f t="shared" si="31"/>
        <v>1516.8734610955964</v>
      </c>
      <c r="AE283" s="16">
        <f t="shared" si="29"/>
        <v>11.875227384888859</v>
      </c>
      <c r="AF283" s="16">
        <f>'Gearing Calculator'!$C$17*Braking!AD283</f>
        <v>2275.3101916433948</v>
      </c>
      <c r="AG283" s="16">
        <f t="shared" si="30"/>
        <v>-8.5473711181194396</v>
      </c>
    </row>
    <row r="284" spans="29:33" x14ac:dyDescent="0.25">
      <c r="AC284" s="16">
        <v>280</v>
      </c>
      <c r="AD284" s="16">
        <f t="shared" si="31"/>
        <v>1517.4021190206704</v>
      </c>
      <c r="AE284" s="16">
        <f t="shared" si="29"/>
        <v>11.917790923902798</v>
      </c>
      <c r="AF284" s="16">
        <f>'Gearing Calculator'!$C$17*Braking!AD284</f>
        <v>2276.1031785310056</v>
      </c>
      <c r="AG284" s="16">
        <f t="shared" si="30"/>
        <v>-8.5503500320473549</v>
      </c>
    </row>
    <row r="285" spans="29:33" x14ac:dyDescent="0.25">
      <c r="AC285" s="16">
        <v>281</v>
      </c>
      <c r="AD285" s="16">
        <f t="shared" si="31"/>
        <v>1517.9307769457441</v>
      </c>
      <c r="AE285" s="16">
        <f t="shared" si="29"/>
        <v>11.960354462916737</v>
      </c>
      <c r="AF285" s="16">
        <f>'Gearing Calculator'!$C$17*Braking!AD285</f>
        <v>2276.896165418616</v>
      </c>
      <c r="AG285" s="16">
        <f t="shared" si="30"/>
        <v>-8.5533289459752666</v>
      </c>
    </row>
    <row r="286" spans="29:33" x14ac:dyDescent="0.25">
      <c r="AC286" s="16">
        <v>282</v>
      </c>
      <c r="AD286" s="16">
        <f t="shared" si="31"/>
        <v>1518.4594348708181</v>
      </c>
      <c r="AE286" s="16">
        <f t="shared" si="29"/>
        <v>12.002918001930675</v>
      </c>
      <c r="AF286" s="16">
        <f>'Gearing Calculator'!$C$17*Braking!AD286</f>
        <v>2277.6891523062272</v>
      </c>
      <c r="AG286" s="16">
        <f t="shared" si="30"/>
        <v>-8.5563078599031837</v>
      </c>
    </row>
    <row r="287" spans="29:33" x14ac:dyDescent="0.25">
      <c r="AC287" s="16">
        <v>283</v>
      </c>
      <c r="AD287" s="16">
        <f t="shared" si="31"/>
        <v>1518.9880927958918</v>
      </c>
      <c r="AE287" s="16">
        <f t="shared" si="29"/>
        <v>12.045481540944614</v>
      </c>
      <c r="AF287" s="16">
        <f>'Gearing Calculator'!$C$17*Braking!AD287</f>
        <v>2278.4821391938376</v>
      </c>
      <c r="AG287" s="16">
        <f t="shared" si="30"/>
        <v>-8.5592867738310954</v>
      </c>
    </row>
    <row r="288" spans="29:33" x14ac:dyDescent="0.25">
      <c r="AC288" s="16">
        <v>284</v>
      </c>
      <c r="AD288" s="16">
        <f t="shared" si="31"/>
        <v>1519.5167507209655</v>
      </c>
      <c r="AE288" s="16">
        <f t="shared" si="29"/>
        <v>12.088045079958553</v>
      </c>
      <c r="AF288" s="16">
        <f>'Gearing Calculator'!$C$17*Braking!AD288</f>
        <v>2279.2751260814484</v>
      </c>
      <c r="AG288" s="16">
        <f t="shared" si="30"/>
        <v>-8.5622656877590106</v>
      </c>
    </row>
    <row r="289" spans="29:33" x14ac:dyDescent="0.25">
      <c r="AC289" s="16">
        <v>285</v>
      </c>
      <c r="AD289" s="16">
        <f t="shared" si="31"/>
        <v>1520.0454086460395</v>
      </c>
      <c r="AE289" s="16">
        <f t="shared" si="29"/>
        <v>12.130608618972492</v>
      </c>
      <c r="AF289" s="16">
        <f>'Gearing Calculator'!$C$17*Braking!AD289</f>
        <v>2280.0681129690593</v>
      </c>
      <c r="AG289" s="16">
        <f t="shared" si="30"/>
        <v>-8.5652446016869241</v>
      </c>
    </row>
    <row r="290" spans="29:33" x14ac:dyDescent="0.25">
      <c r="AC290" s="16">
        <v>286</v>
      </c>
      <c r="AD290" s="16">
        <f t="shared" si="31"/>
        <v>1520.5740665711132</v>
      </c>
      <c r="AE290" s="16">
        <f t="shared" si="29"/>
        <v>12.17317215798643</v>
      </c>
      <c r="AF290" s="16">
        <f>'Gearing Calculator'!$C$17*Braking!AD290</f>
        <v>2280.8610998566701</v>
      </c>
      <c r="AG290" s="16">
        <f t="shared" si="30"/>
        <v>-8.5682235156148394</v>
      </c>
    </row>
    <row r="291" spans="29:33" x14ac:dyDescent="0.25">
      <c r="AC291" s="16">
        <v>287</v>
      </c>
      <c r="AD291" s="16">
        <f t="shared" si="31"/>
        <v>1521.1027244961872</v>
      </c>
      <c r="AE291" s="16">
        <f t="shared" si="29"/>
        <v>12.215735697000369</v>
      </c>
      <c r="AF291" s="16">
        <f>'Gearing Calculator'!$C$17*Braking!AD291</f>
        <v>2281.6540867442809</v>
      </c>
      <c r="AG291" s="16">
        <f t="shared" si="30"/>
        <v>-8.5712024295427529</v>
      </c>
    </row>
    <row r="292" spans="29:33" x14ac:dyDescent="0.25">
      <c r="AC292" s="16">
        <v>288</v>
      </c>
      <c r="AD292" s="16">
        <f t="shared" si="31"/>
        <v>1521.6313824212609</v>
      </c>
      <c r="AE292" s="16">
        <f t="shared" si="29"/>
        <v>12.258299236014308</v>
      </c>
      <c r="AF292" s="16">
        <f>'Gearing Calculator'!$C$17*Braking!AD292</f>
        <v>2282.4470736318913</v>
      </c>
      <c r="AG292" s="16">
        <f t="shared" si="30"/>
        <v>-8.5741813434706664</v>
      </c>
    </row>
    <row r="293" spans="29:33" x14ac:dyDescent="0.25">
      <c r="AC293" s="16">
        <v>289</v>
      </c>
      <c r="AD293" s="16">
        <f t="shared" si="31"/>
        <v>1522.1600403463347</v>
      </c>
      <c r="AE293" s="16">
        <f t="shared" si="29"/>
        <v>12.300862775028245</v>
      </c>
      <c r="AF293" s="16">
        <f>'Gearing Calculator'!$C$17*Braking!AD293</f>
        <v>2283.2400605195021</v>
      </c>
      <c r="AG293" s="16">
        <f t="shared" si="30"/>
        <v>-8.5771602573985799</v>
      </c>
    </row>
    <row r="294" spans="29:33" x14ac:dyDescent="0.25">
      <c r="AC294" s="16">
        <v>290</v>
      </c>
      <c r="AD294" s="16">
        <f t="shared" si="31"/>
        <v>1522.6886982714086</v>
      </c>
      <c r="AE294" s="16">
        <f t="shared" si="29"/>
        <v>12.343426314042183</v>
      </c>
      <c r="AF294" s="16">
        <f>'Gearing Calculator'!$C$17*Braking!AD294</f>
        <v>2284.0330474071129</v>
      </c>
      <c r="AG294" s="16">
        <f t="shared" si="30"/>
        <v>-8.5801391713264952</v>
      </c>
    </row>
    <row r="295" spans="29:33" x14ac:dyDescent="0.25">
      <c r="AC295" s="16">
        <v>291</v>
      </c>
      <c r="AD295" s="16">
        <f t="shared" si="31"/>
        <v>1523.2173561964823</v>
      </c>
      <c r="AE295" s="16">
        <f t="shared" si="29"/>
        <v>12.385989853056122</v>
      </c>
      <c r="AF295" s="16">
        <f>'Gearing Calculator'!$C$17*Braking!AD295</f>
        <v>2284.8260342947233</v>
      </c>
      <c r="AG295" s="16">
        <f t="shared" si="30"/>
        <v>-8.5831180852544087</v>
      </c>
    </row>
    <row r="296" spans="29:33" x14ac:dyDescent="0.25">
      <c r="AC296" s="16">
        <v>292</v>
      </c>
      <c r="AD296" s="16">
        <f t="shared" si="31"/>
        <v>1523.7460141215563</v>
      </c>
      <c r="AE296" s="16">
        <f t="shared" si="29"/>
        <v>12.428553392070061</v>
      </c>
      <c r="AF296" s="16">
        <f>'Gearing Calculator'!$C$17*Braking!AD296</f>
        <v>2285.6190211823346</v>
      </c>
      <c r="AG296" s="16">
        <f t="shared" si="30"/>
        <v>-8.5860969991823239</v>
      </c>
    </row>
    <row r="297" spans="29:33" x14ac:dyDescent="0.25">
      <c r="AC297" s="16">
        <v>293</v>
      </c>
      <c r="AD297" s="16">
        <f t="shared" si="31"/>
        <v>1524.27467204663</v>
      </c>
      <c r="AE297" s="16">
        <f t="shared" si="29"/>
        <v>12.471116931084</v>
      </c>
      <c r="AF297" s="16">
        <f>'Gearing Calculator'!$C$17*Braking!AD297</f>
        <v>2286.4120080699449</v>
      </c>
      <c r="AG297" s="16">
        <f t="shared" si="30"/>
        <v>-8.5890759131102374</v>
      </c>
    </row>
    <row r="298" spans="29:33" x14ac:dyDescent="0.25">
      <c r="AC298" s="16">
        <v>294</v>
      </c>
      <c r="AD298" s="16">
        <f t="shared" si="31"/>
        <v>1524.8033299717038</v>
      </c>
      <c r="AE298" s="16">
        <f t="shared" si="29"/>
        <v>12.513680470097938</v>
      </c>
      <c r="AF298" s="16">
        <f>'Gearing Calculator'!$C$17*Braking!AD298</f>
        <v>2287.2049949575558</v>
      </c>
      <c r="AG298" s="16">
        <f t="shared" si="30"/>
        <v>-8.5920548270381509</v>
      </c>
    </row>
    <row r="299" spans="29:33" x14ac:dyDescent="0.25">
      <c r="AC299" s="16">
        <v>295</v>
      </c>
      <c r="AD299" s="16">
        <f t="shared" si="31"/>
        <v>1525.3319878967777</v>
      </c>
      <c r="AE299" s="16">
        <f t="shared" si="29"/>
        <v>12.556244009111875</v>
      </c>
      <c r="AF299" s="16">
        <f>'Gearing Calculator'!$C$17*Braking!AD299</f>
        <v>2287.9979818451666</v>
      </c>
      <c r="AG299" s="16">
        <f t="shared" si="30"/>
        <v>-8.5950337409660662</v>
      </c>
    </row>
    <row r="300" spans="29:33" x14ac:dyDescent="0.25">
      <c r="AC300" s="16">
        <v>296</v>
      </c>
      <c r="AD300" s="16">
        <f t="shared" si="31"/>
        <v>1525.8606458218514</v>
      </c>
      <c r="AE300" s="16">
        <f t="shared" si="29"/>
        <v>12.598807548125816</v>
      </c>
      <c r="AF300" s="16">
        <f>'Gearing Calculator'!$C$17*Braking!AD300</f>
        <v>2288.7909687327774</v>
      </c>
      <c r="AG300" s="16">
        <f t="shared" si="30"/>
        <v>-8.5980126548939797</v>
      </c>
    </row>
    <row r="301" spans="29:33" x14ac:dyDescent="0.25">
      <c r="AC301" s="16">
        <v>297</v>
      </c>
      <c r="AD301" s="16">
        <f t="shared" si="31"/>
        <v>1526.3893037469254</v>
      </c>
      <c r="AE301" s="16">
        <f t="shared" si="29"/>
        <v>12.641371087139753</v>
      </c>
      <c r="AF301" s="16">
        <f>'Gearing Calculator'!$C$17*Braking!AD301</f>
        <v>2289.5839556203882</v>
      </c>
      <c r="AG301" s="16">
        <f t="shared" si="30"/>
        <v>-8.600991568821895</v>
      </c>
    </row>
    <row r="302" spans="29:33" x14ac:dyDescent="0.25">
      <c r="AC302" s="16">
        <v>298</v>
      </c>
      <c r="AD302" s="16">
        <f t="shared" si="31"/>
        <v>1526.9179616719991</v>
      </c>
      <c r="AE302" s="16">
        <f t="shared" si="29"/>
        <v>12.683934626153693</v>
      </c>
      <c r="AF302" s="16">
        <f>'Gearing Calculator'!$C$17*Braking!AD302</f>
        <v>2290.3769425079986</v>
      </c>
      <c r="AG302" s="16">
        <f t="shared" si="30"/>
        <v>-8.6039704827498067</v>
      </c>
    </row>
    <row r="303" spans="29:33" x14ac:dyDescent="0.25">
      <c r="AC303" s="16">
        <v>299</v>
      </c>
      <c r="AD303" s="16">
        <f t="shared" si="31"/>
        <v>1527.4466195970731</v>
      </c>
      <c r="AE303" s="16">
        <f t="shared" si="29"/>
        <v>12.72649816516763</v>
      </c>
      <c r="AF303" s="16">
        <f>'Gearing Calculator'!$C$17*Braking!AD303</f>
        <v>2291.1699293956099</v>
      </c>
      <c r="AG303" s="16">
        <f t="shared" si="30"/>
        <v>-8.6069493966777237</v>
      </c>
    </row>
    <row r="304" spans="29:33" x14ac:dyDescent="0.25">
      <c r="AC304" s="16">
        <v>300</v>
      </c>
      <c r="AD304" s="16">
        <f t="shared" si="31"/>
        <v>1527.9752775221468</v>
      </c>
      <c r="AE304" s="16">
        <f t="shared" si="29"/>
        <v>12.769061704181569</v>
      </c>
      <c r="AF304" s="16">
        <f>'Gearing Calculator'!$C$17*Braking!AD304</f>
        <v>2291.9629162832202</v>
      </c>
      <c r="AG304" s="16">
        <f t="shared" si="30"/>
        <v>-8.6099283106056355</v>
      </c>
    </row>
    <row r="305" spans="29:33" x14ac:dyDescent="0.25">
      <c r="AC305" s="16">
        <v>301</v>
      </c>
      <c r="AD305" s="16">
        <f t="shared" si="31"/>
        <v>1528.5039354472206</v>
      </c>
      <c r="AE305" s="16">
        <f t="shared" si="29"/>
        <v>12.811625243195508</v>
      </c>
      <c r="AF305" s="16">
        <f>'Gearing Calculator'!$C$17*Braking!AD305</f>
        <v>2292.7559031708306</v>
      </c>
      <c r="AG305" s="16">
        <f t="shared" si="30"/>
        <v>-8.612907224533549</v>
      </c>
    </row>
    <row r="306" spans="29:33" x14ac:dyDescent="0.25">
      <c r="AC306" s="16">
        <v>302</v>
      </c>
      <c r="AD306" s="16">
        <f t="shared" si="31"/>
        <v>1529.0325933722945</v>
      </c>
      <c r="AE306" s="16">
        <f t="shared" si="29"/>
        <v>12.854188782209446</v>
      </c>
      <c r="AF306" s="16">
        <f>'Gearing Calculator'!$C$17*Braking!AD306</f>
        <v>2293.5488900584419</v>
      </c>
      <c r="AG306" s="16">
        <f t="shared" si="30"/>
        <v>-8.6158861384614642</v>
      </c>
    </row>
    <row r="307" spans="29:33" x14ac:dyDescent="0.25">
      <c r="AC307" s="16">
        <v>303</v>
      </c>
      <c r="AD307" s="16">
        <f t="shared" si="31"/>
        <v>1529.5612512973682</v>
      </c>
      <c r="AE307" s="16">
        <f t="shared" si="29"/>
        <v>12.896752321223385</v>
      </c>
      <c r="AF307" s="16">
        <f>'Gearing Calculator'!$C$17*Braking!AD307</f>
        <v>2294.3418769460523</v>
      </c>
      <c r="AG307" s="16">
        <f t="shared" si="30"/>
        <v>-8.6188650523893777</v>
      </c>
    </row>
    <row r="308" spans="29:33" x14ac:dyDescent="0.25">
      <c r="AC308" s="16">
        <v>304</v>
      </c>
      <c r="AD308" s="16">
        <f t="shared" si="31"/>
        <v>1530.0899092224422</v>
      </c>
      <c r="AE308" s="16">
        <f t="shared" si="29"/>
        <v>12.939315860237324</v>
      </c>
      <c r="AF308" s="16">
        <f>'Gearing Calculator'!$C$17*Braking!AD308</f>
        <v>2295.1348638336631</v>
      </c>
      <c r="AG308" s="16">
        <f t="shared" si="30"/>
        <v>-8.621843966317293</v>
      </c>
    </row>
    <row r="309" spans="29:33" x14ac:dyDescent="0.25">
      <c r="AC309" s="16">
        <v>305</v>
      </c>
      <c r="AD309" s="16">
        <f t="shared" si="31"/>
        <v>1530.6185671475159</v>
      </c>
      <c r="AE309" s="16">
        <f t="shared" si="29"/>
        <v>12.981879399251262</v>
      </c>
      <c r="AF309" s="16">
        <f>'Gearing Calculator'!$C$17*Braking!AD309</f>
        <v>2295.9278507212739</v>
      </c>
      <c r="AG309" s="16">
        <f t="shared" si="30"/>
        <v>-8.6248228802452065</v>
      </c>
    </row>
    <row r="310" spans="29:33" x14ac:dyDescent="0.25">
      <c r="AC310" s="16">
        <v>306</v>
      </c>
      <c r="AD310" s="16">
        <f t="shared" si="31"/>
        <v>1531.1472250725897</v>
      </c>
      <c r="AE310" s="16">
        <f t="shared" si="29"/>
        <v>13.024442938265201</v>
      </c>
      <c r="AF310" s="16">
        <f>'Gearing Calculator'!$C$17*Braking!AD310</f>
        <v>2296.7208376088847</v>
      </c>
      <c r="AG310" s="16">
        <f t="shared" si="30"/>
        <v>-8.6278017941731218</v>
      </c>
    </row>
    <row r="311" spans="29:33" x14ac:dyDescent="0.25">
      <c r="AC311" s="16">
        <v>307</v>
      </c>
      <c r="AD311" s="16">
        <f t="shared" si="31"/>
        <v>1531.6758829976636</v>
      </c>
      <c r="AE311" s="16">
        <f t="shared" si="29"/>
        <v>13.067006477279138</v>
      </c>
      <c r="AF311" s="16">
        <f>'Gearing Calculator'!$C$17*Braking!AD311</f>
        <v>2297.5138244964955</v>
      </c>
      <c r="AG311" s="16">
        <f t="shared" si="30"/>
        <v>-8.6307807081010353</v>
      </c>
    </row>
    <row r="312" spans="29:33" x14ac:dyDescent="0.25">
      <c r="AC312" s="16">
        <v>308</v>
      </c>
      <c r="AD312" s="16">
        <f t="shared" si="31"/>
        <v>1532.2045409227374</v>
      </c>
      <c r="AE312" s="16">
        <f t="shared" si="29"/>
        <v>13.109570016293079</v>
      </c>
      <c r="AF312" s="16">
        <f>'Gearing Calculator'!$C$17*Braking!AD312</f>
        <v>2298.3068113841059</v>
      </c>
      <c r="AG312" s="16">
        <f t="shared" si="30"/>
        <v>-8.6337596220289488</v>
      </c>
    </row>
    <row r="313" spans="29:33" x14ac:dyDescent="0.25">
      <c r="AC313" s="16">
        <v>309</v>
      </c>
      <c r="AD313" s="16">
        <f t="shared" si="31"/>
        <v>1532.7331988478113</v>
      </c>
      <c r="AE313" s="16">
        <f t="shared" si="29"/>
        <v>13.152133555307016</v>
      </c>
      <c r="AF313" s="16">
        <f>'Gearing Calculator'!$C$17*Braking!AD313</f>
        <v>2299.0997982717172</v>
      </c>
      <c r="AG313" s="16">
        <f t="shared" si="30"/>
        <v>-8.636738535956864</v>
      </c>
    </row>
    <row r="314" spans="29:33" x14ac:dyDescent="0.25">
      <c r="AC314" s="16">
        <v>310</v>
      </c>
      <c r="AD314" s="16">
        <f t="shared" si="31"/>
        <v>1533.261856772885</v>
      </c>
      <c r="AE314" s="16">
        <f t="shared" si="29"/>
        <v>13.194697094320954</v>
      </c>
      <c r="AF314" s="16">
        <f>'Gearing Calculator'!$C$17*Braking!AD314</f>
        <v>2299.8927851593276</v>
      </c>
      <c r="AG314" s="16">
        <f t="shared" si="30"/>
        <v>-8.6397174498847775</v>
      </c>
    </row>
    <row r="315" spans="29:33" x14ac:dyDescent="0.25">
      <c r="AC315" s="16">
        <v>311</v>
      </c>
      <c r="AD315" s="16">
        <f t="shared" si="31"/>
        <v>1533.7905146979588</v>
      </c>
      <c r="AE315" s="16">
        <f t="shared" si="29"/>
        <v>13.237260633334893</v>
      </c>
      <c r="AF315" s="16">
        <f>'Gearing Calculator'!$C$17*Braking!AD315</f>
        <v>2300.6857720469379</v>
      </c>
      <c r="AG315" s="16">
        <f t="shared" si="30"/>
        <v>-8.6426963638126892</v>
      </c>
    </row>
    <row r="316" spans="29:33" x14ac:dyDescent="0.25">
      <c r="AC316" s="16">
        <v>312</v>
      </c>
      <c r="AD316" s="16">
        <f t="shared" si="31"/>
        <v>1534.3191726230327</v>
      </c>
      <c r="AE316" s="16">
        <f t="shared" si="29"/>
        <v>13.279824172348832</v>
      </c>
      <c r="AF316" s="16">
        <f>'Gearing Calculator'!$C$17*Braking!AD316</f>
        <v>2301.4787589345492</v>
      </c>
      <c r="AG316" s="16">
        <f t="shared" si="30"/>
        <v>-8.6456752777406063</v>
      </c>
    </row>
    <row r="317" spans="29:33" x14ac:dyDescent="0.25">
      <c r="AC317" s="16">
        <v>313</v>
      </c>
      <c r="AD317" s="16">
        <f t="shared" si="31"/>
        <v>1534.8478305481065</v>
      </c>
      <c r="AE317" s="16">
        <f t="shared" si="29"/>
        <v>13.32238771136277</v>
      </c>
      <c r="AF317" s="16">
        <f>'Gearing Calculator'!$C$17*Braking!AD317</f>
        <v>2302.2717458221596</v>
      </c>
      <c r="AG317" s="16">
        <f t="shared" si="30"/>
        <v>-8.648654191668518</v>
      </c>
    </row>
    <row r="318" spans="29:33" x14ac:dyDescent="0.25">
      <c r="AC318" s="16">
        <v>314</v>
      </c>
      <c r="AD318" s="16">
        <f t="shared" si="31"/>
        <v>1535.3764884731804</v>
      </c>
      <c r="AE318" s="16">
        <f t="shared" si="29"/>
        <v>13.364951250376707</v>
      </c>
      <c r="AF318" s="16">
        <f>'Gearing Calculator'!$C$17*Braking!AD318</f>
        <v>2303.0647327097704</v>
      </c>
      <c r="AG318" s="16">
        <f t="shared" si="30"/>
        <v>-8.6516331055964333</v>
      </c>
    </row>
    <row r="319" spans="29:33" x14ac:dyDescent="0.25">
      <c r="AC319" s="16">
        <v>315</v>
      </c>
      <c r="AD319" s="16">
        <f t="shared" si="31"/>
        <v>1535.9051463982541</v>
      </c>
      <c r="AE319" s="16">
        <f t="shared" si="29"/>
        <v>13.407514789390648</v>
      </c>
      <c r="AF319" s="16">
        <f>'Gearing Calculator'!$C$17*Braking!AD319</f>
        <v>2303.8577195973812</v>
      </c>
      <c r="AG319" s="16">
        <f t="shared" si="30"/>
        <v>-8.6546120195243468</v>
      </c>
    </row>
    <row r="320" spans="29:33" x14ac:dyDescent="0.25">
      <c r="AC320" s="16">
        <v>316</v>
      </c>
      <c r="AD320" s="16">
        <f t="shared" si="31"/>
        <v>1536.4338043233279</v>
      </c>
      <c r="AE320" s="16">
        <f t="shared" si="29"/>
        <v>13.450078328404585</v>
      </c>
      <c r="AF320" s="16">
        <f>'Gearing Calculator'!$C$17*Braking!AD320</f>
        <v>2304.650706484992</v>
      </c>
      <c r="AG320" s="16">
        <f t="shared" si="30"/>
        <v>-8.657590933452262</v>
      </c>
    </row>
    <row r="321" spans="29:33" x14ac:dyDescent="0.25">
      <c r="AC321" s="16">
        <v>317</v>
      </c>
      <c r="AD321" s="16">
        <f t="shared" si="31"/>
        <v>1536.9624622484018</v>
      </c>
      <c r="AE321" s="16">
        <f t="shared" si="29"/>
        <v>13.492641867418525</v>
      </c>
      <c r="AF321" s="16">
        <f>'Gearing Calculator'!$C$17*Braking!AD321</f>
        <v>2305.4436933726029</v>
      </c>
      <c r="AG321" s="16">
        <f t="shared" si="30"/>
        <v>-8.6605698473801755</v>
      </c>
    </row>
    <row r="322" spans="29:33" x14ac:dyDescent="0.25">
      <c r="AC322" s="16">
        <v>318</v>
      </c>
      <c r="AD322" s="16">
        <f t="shared" si="31"/>
        <v>1537.4911201734756</v>
      </c>
      <c r="AE322" s="16">
        <f t="shared" si="29"/>
        <v>13.535205406432462</v>
      </c>
      <c r="AF322" s="16">
        <f>'Gearing Calculator'!$C$17*Braking!AD322</f>
        <v>2306.2366802602132</v>
      </c>
      <c r="AG322" s="16">
        <f t="shared" si="30"/>
        <v>-8.663548761308089</v>
      </c>
    </row>
    <row r="323" spans="29:33" x14ac:dyDescent="0.25">
      <c r="AC323" s="16">
        <v>319</v>
      </c>
      <c r="AD323" s="16">
        <f t="shared" si="31"/>
        <v>1538.0197780985495</v>
      </c>
      <c r="AE323" s="16">
        <f t="shared" si="29"/>
        <v>13.577768945446403</v>
      </c>
      <c r="AF323" s="16">
        <f>'Gearing Calculator'!$C$17*Braking!AD323</f>
        <v>2307.0296671478245</v>
      </c>
      <c r="AG323" s="16">
        <f t="shared" si="30"/>
        <v>-8.6665276752360061</v>
      </c>
    </row>
    <row r="324" spans="29:33" x14ac:dyDescent="0.25">
      <c r="AC324" s="16">
        <v>320</v>
      </c>
      <c r="AD324" s="16">
        <f t="shared" si="31"/>
        <v>1538.5484360236233</v>
      </c>
      <c r="AE324" s="16">
        <f t="shared" si="29"/>
        <v>13.62033248446034</v>
      </c>
      <c r="AF324" s="16">
        <f>'Gearing Calculator'!$C$17*Braking!AD324</f>
        <v>2307.8226540354349</v>
      </c>
      <c r="AG324" s="16">
        <f t="shared" si="30"/>
        <v>-8.6695065891639178</v>
      </c>
    </row>
    <row r="325" spans="29:33" x14ac:dyDescent="0.25">
      <c r="AC325" s="16">
        <v>321</v>
      </c>
      <c r="AD325" s="16">
        <f t="shared" si="31"/>
        <v>1539.077093948697</v>
      </c>
      <c r="AE325" s="16">
        <f t="shared" si="29"/>
        <v>13.66289602347428</v>
      </c>
      <c r="AF325" s="16">
        <f>'Gearing Calculator'!$C$17*Braking!AD325</f>
        <v>2308.6156409230452</v>
      </c>
      <c r="AG325" s="16">
        <f t="shared" si="30"/>
        <v>-8.6724855030918313</v>
      </c>
    </row>
    <row r="326" spans="29:33" x14ac:dyDescent="0.25">
      <c r="AC326" s="16">
        <v>322</v>
      </c>
      <c r="AD326" s="16">
        <f t="shared" si="31"/>
        <v>1539.6057518737709</v>
      </c>
      <c r="AE326" s="16">
        <f t="shared" ref="AE326:AE389" si="32">(AC326/$X$104)*100</f>
        <v>13.705459562488217</v>
      </c>
      <c r="AF326" s="16">
        <f>'Gearing Calculator'!$C$17*Braking!AD326</f>
        <v>2309.4086278106565</v>
      </c>
      <c r="AG326" s="16">
        <f t="shared" ref="AG326:AG389" si="33">-(AF326/$C$3)</f>
        <v>-8.6754644170197466</v>
      </c>
    </row>
    <row r="327" spans="29:33" x14ac:dyDescent="0.25">
      <c r="AC327" s="16">
        <v>323</v>
      </c>
      <c r="AD327" s="16">
        <f t="shared" ref="AD327:AD390" si="34">($C$3*$C$4)*($C$9/$C$8)+(AC327*($C$10/$C$8))</f>
        <v>1540.1344097988447</v>
      </c>
      <c r="AE327" s="16">
        <f t="shared" si="32"/>
        <v>13.748023101502154</v>
      </c>
      <c r="AF327" s="16">
        <f>'Gearing Calculator'!$C$17*Braking!AD327</f>
        <v>2310.2016146982669</v>
      </c>
      <c r="AG327" s="16">
        <f t="shared" si="33"/>
        <v>-8.6784433309476601</v>
      </c>
    </row>
    <row r="328" spans="29:33" x14ac:dyDescent="0.25">
      <c r="AC328" s="16">
        <v>324</v>
      </c>
      <c r="AD328" s="16">
        <f t="shared" si="34"/>
        <v>1540.6630677239186</v>
      </c>
      <c r="AE328" s="16">
        <f t="shared" si="32"/>
        <v>13.790586640516095</v>
      </c>
      <c r="AF328" s="16">
        <f>'Gearing Calculator'!$C$17*Braking!AD328</f>
        <v>2310.9946015858777</v>
      </c>
      <c r="AG328" s="16">
        <f t="shared" si="33"/>
        <v>-8.6814222448755736</v>
      </c>
    </row>
    <row r="329" spans="29:33" x14ac:dyDescent="0.25">
      <c r="AC329" s="16">
        <v>325</v>
      </c>
      <c r="AD329" s="16">
        <f t="shared" si="34"/>
        <v>1541.1917256489924</v>
      </c>
      <c r="AE329" s="16">
        <f t="shared" si="32"/>
        <v>13.833150179530032</v>
      </c>
      <c r="AF329" s="16">
        <f>'Gearing Calculator'!$C$17*Braking!AD329</f>
        <v>2311.7875884734885</v>
      </c>
      <c r="AG329" s="16">
        <f t="shared" si="33"/>
        <v>-8.6844011588034888</v>
      </c>
    </row>
    <row r="330" spans="29:33" x14ac:dyDescent="0.25">
      <c r="AC330" s="16">
        <v>326</v>
      </c>
      <c r="AD330" s="16">
        <f t="shared" si="34"/>
        <v>1541.7203835740661</v>
      </c>
      <c r="AE330" s="16">
        <f t="shared" si="32"/>
        <v>13.875713718543972</v>
      </c>
      <c r="AF330" s="16">
        <f>'Gearing Calculator'!$C$17*Braking!AD330</f>
        <v>2312.5805753610994</v>
      </c>
      <c r="AG330" s="16">
        <f t="shared" si="33"/>
        <v>-8.6873800727314023</v>
      </c>
    </row>
    <row r="331" spans="29:33" x14ac:dyDescent="0.25">
      <c r="AC331" s="16">
        <v>327</v>
      </c>
      <c r="AD331" s="16">
        <f t="shared" si="34"/>
        <v>1542.24904149914</v>
      </c>
      <c r="AE331" s="16">
        <f t="shared" si="32"/>
        <v>13.918277257557909</v>
      </c>
      <c r="AF331" s="16">
        <f>'Gearing Calculator'!$C$17*Braking!AD331</f>
        <v>2313.3735622487102</v>
      </c>
      <c r="AG331" s="16">
        <f t="shared" si="33"/>
        <v>-8.6903589866593176</v>
      </c>
    </row>
    <row r="332" spans="29:33" x14ac:dyDescent="0.25">
      <c r="AC332" s="16">
        <v>328</v>
      </c>
      <c r="AD332" s="16">
        <f t="shared" si="34"/>
        <v>1542.7776994242138</v>
      </c>
      <c r="AE332" s="16">
        <f t="shared" si="32"/>
        <v>13.96084079657185</v>
      </c>
      <c r="AF332" s="16">
        <f>'Gearing Calculator'!$C$17*Braking!AD332</f>
        <v>2314.1665491363206</v>
      </c>
      <c r="AG332" s="16">
        <f t="shared" si="33"/>
        <v>-8.6933379005872293</v>
      </c>
    </row>
    <row r="333" spans="29:33" x14ac:dyDescent="0.25">
      <c r="AC333" s="16">
        <v>329</v>
      </c>
      <c r="AD333" s="16">
        <f t="shared" si="34"/>
        <v>1543.3063573492877</v>
      </c>
      <c r="AE333" s="16">
        <f t="shared" si="32"/>
        <v>14.003404335585786</v>
      </c>
      <c r="AF333" s="16">
        <f>'Gearing Calculator'!$C$17*Braking!AD333</f>
        <v>2314.9595360239318</v>
      </c>
      <c r="AG333" s="16">
        <f t="shared" si="33"/>
        <v>-8.6963168145151464</v>
      </c>
    </row>
    <row r="334" spans="29:33" x14ac:dyDescent="0.25">
      <c r="AC334" s="16">
        <v>330</v>
      </c>
      <c r="AD334" s="16">
        <f t="shared" si="34"/>
        <v>1543.8350152743615</v>
      </c>
      <c r="AE334" s="16">
        <f t="shared" si="32"/>
        <v>14.045967874599727</v>
      </c>
      <c r="AF334" s="16">
        <f>'Gearing Calculator'!$C$17*Braking!AD334</f>
        <v>2315.7525229115422</v>
      </c>
      <c r="AG334" s="16">
        <f t="shared" si="33"/>
        <v>-8.6992957284430581</v>
      </c>
    </row>
    <row r="335" spans="29:33" x14ac:dyDescent="0.25">
      <c r="AC335" s="16">
        <v>331</v>
      </c>
      <c r="AD335" s="16">
        <f t="shared" si="34"/>
        <v>1544.3636731994352</v>
      </c>
      <c r="AE335" s="16">
        <f t="shared" si="32"/>
        <v>14.088531413613664</v>
      </c>
      <c r="AF335" s="16">
        <f>'Gearing Calculator'!$C$17*Braking!AD335</f>
        <v>2316.5455097991526</v>
      </c>
      <c r="AG335" s="16">
        <f t="shared" si="33"/>
        <v>-8.7022746423709716</v>
      </c>
    </row>
    <row r="336" spans="29:33" x14ac:dyDescent="0.25">
      <c r="AC336" s="16">
        <v>332</v>
      </c>
      <c r="AD336" s="16">
        <f t="shared" si="34"/>
        <v>1544.8923311245092</v>
      </c>
      <c r="AE336" s="16">
        <f t="shared" si="32"/>
        <v>14.131094952627604</v>
      </c>
      <c r="AF336" s="16">
        <f>'Gearing Calculator'!$C$17*Braking!AD336</f>
        <v>2317.3384966867638</v>
      </c>
      <c r="AG336" s="16">
        <f t="shared" si="33"/>
        <v>-8.7052535562988886</v>
      </c>
    </row>
    <row r="337" spans="29:33" x14ac:dyDescent="0.25">
      <c r="AC337" s="16">
        <v>333</v>
      </c>
      <c r="AD337" s="16">
        <f t="shared" si="34"/>
        <v>1545.4209890495829</v>
      </c>
      <c r="AE337" s="16">
        <f t="shared" si="32"/>
        <v>14.173658491641541</v>
      </c>
      <c r="AF337" s="16">
        <f>'Gearing Calculator'!$C$17*Braking!AD337</f>
        <v>2318.1314835743742</v>
      </c>
      <c r="AG337" s="16">
        <f t="shared" si="33"/>
        <v>-8.7082324702268004</v>
      </c>
    </row>
    <row r="338" spans="29:33" x14ac:dyDescent="0.25">
      <c r="AC338" s="16">
        <v>334</v>
      </c>
      <c r="AD338" s="16">
        <f t="shared" si="34"/>
        <v>1545.9496469746568</v>
      </c>
      <c r="AE338" s="16">
        <f t="shared" si="32"/>
        <v>14.216222030655482</v>
      </c>
      <c r="AF338" s="16">
        <f>'Gearing Calculator'!$C$17*Braking!AD338</f>
        <v>2318.924470461985</v>
      </c>
      <c r="AG338" s="16">
        <f t="shared" si="33"/>
        <v>-8.7112113841547156</v>
      </c>
    </row>
    <row r="339" spans="29:33" x14ac:dyDescent="0.25">
      <c r="AC339" s="16">
        <v>335</v>
      </c>
      <c r="AD339" s="16">
        <f t="shared" si="34"/>
        <v>1546.4783048997306</v>
      </c>
      <c r="AE339" s="16">
        <f t="shared" si="32"/>
        <v>14.258785569669419</v>
      </c>
      <c r="AF339" s="16">
        <f>'Gearing Calculator'!$C$17*Braking!AD339</f>
        <v>2319.7174573495959</v>
      </c>
      <c r="AG339" s="16">
        <f t="shared" si="33"/>
        <v>-8.7141902980826291</v>
      </c>
    </row>
    <row r="340" spans="29:33" x14ac:dyDescent="0.25">
      <c r="AC340" s="16">
        <v>336</v>
      </c>
      <c r="AD340" s="16">
        <f t="shared" si="34"/>
        <v>1547.0069628248043</v>
      </c>
      <c r="AE340" s="16">
        <f t="shared" si="32"/>
        <v>14.301349108683356</v>
      </c>
      <c r="AF340" s="16">
        <f>'Gearing Calculator'!$C$17*Braking!AD340</f>
        <v>2320.5104442372067</v>
      </c>
      <c r="AG340" s="16">
        <f t="shared" si="33"/>
        <v>-8.7171692120105444</v>
      </c>
    </row>
    <row r="341" spans="29:33" x14ac:dyDescent="0.25">
      <c r="AC341" s="16">
        <v>337</v>
      </c>
      <c r="AD341" s="16">
        <f t="shared" si="34"/>
        <v>1547.5356207498783</v>
      </c>
      <c r="AE341" s="16">
        <f t="shared" si="32"/>
        <v>14.343912647697296</v>
      </c>
      <c r="AF341" s="16">
        <f>'Gearing Calculator'!$C$17*Braking!AD341</f>
        <v>2321.3034311248175</v>
      </c>
      <c r="AG341" s="16">
        <f t="shared" si="33"/>
        <v>-8.7201481259384579</v>
      </c>
    </row>
    <row r="342" spans="29:33" x14ac:dyDescent="0.25">
      <c r="AC342" s="16">
        <v>338</v>
      </c>
      <c r="AD342" s="16">
        <f t="shared" si="34"/>
        <v>1548.064278674952</v>
      </c>
      <c r="AE342" s="16">
        <f t="shared" si="32"/>
        <v>14.386476186711233</v>
      </c>
      <c r="AF342" s="16">
        <f>'Gearing Calculator'!$C$17*Braking!AD342</f>
        <v>2322.0964180124279</v>
      </c>
      <c r="AG342" s="16">
        <f t="shared" si="33"/>
        <v>-8.7231270398663714</v>
      </c>
    </row>
    <row r="343" spans="29:33" x14ac:dyDescent="0.25">
      <c r="AC343" s="16">
        <v>339</v>
      </c>
      <c r="AD343" s="16">
        <f t="shared" si="34"/>
        <v>1548.592936600026</v>
      </c>
      <c r="AE343" s="16">
        <f t="shared" si="32"/>
        <v>14.429039725725174</v>
      </c>
      <c r="AF343" s="16">
        <f>'Gearing Calculator'!$C$17*Braking!AD343</f>
        <v>2322.8894049000392</v>
      </c>
      <c r="AG343" s="16">
        <f t="shared" si="33"/>
        <v>-8.7261059537942867</v>
      </c>
    </row>
    <row r="344" spans="29:33" x14ac:dyDescent="0.25">
      <c r="AC344" s="16">
        <v>340</v>
      </c>
      <c r="AD344" s="16">
        <f t="shared" si="34"/>
        <v>1549.1215945250997</v>
      </c>
      <c r="AE344" s="16">
        <f t="shared" si="32"/>
        <v>14.471603264739111</v>
      </c>
      <c r="AF344" s="16">
        <f>'Gearing Calculator'!$C$17*Braking!AD344</f>
        <v>2323.6823917876495</v>
      </c>
      <c r="AG344" s="16">
        <f t="shared" si="33"/>
        <v>-8.7290848677222002</v>
      </c>
    </row>
    <row r="345" spans="29:33" x14ac:dyDescent="0.25">
      <c r="AC345" s="16">
        <v>341</v>
      </c>
      <c r="AD345" s="16">
        <f t="shared" si="34"/>
        <v>1549.6502524501734</v>
      </c>
      <c r="AE345" s="16">
        <f t="shared" si="32"/>
        <v>14.514166803753051</v>
      </c>
      <c r="AF345" s="16">
        <f>'Gearing Calculator'!$C$17*Braking!AD345</f>
        <v>2324.4753786752599</v>
      </c>
      <c r="AG345" s="16">
        <f t="shared" si="33"/>
        <v>-8.7320637816501119</v>
      </c>
    </row>
    <row r="346" spans="29:33" x14ac:dyDescent="0.25">
      <c r="AC346" s="16">
        <v>342</v>
      </c>
      <c r="AD346" s="16">
        <f t="shared" si="34"/>
        <v>1550.1789103752474</v>
      </c>
      <c r="AE346" s="16">
        <f t="shared" si="32"/>
        <v>14.556730342766988</v>
      </c>
      <c r="AF346" s="16">
        <f>'Gearing Calculator'!$C$17*Braking!AD346</f>
        <v>2325.2683655628712</v>
      </c>
      <c r="AG346" s="16">
        <f t="shared" si="33"/>
        <v>-8.7350426955780289</v>
      </c>
    </row>
    <row r="347" spans="29:33" x14ac:dyDescent="0.25">
      <c r="AC347" s="16">
        <v>343</v>
      </c>
      <c r="AD347" s="16">
        <f t="shared" si="34"/>
        <v>1550.7075683003211</v>
      </c>
      <c r="AE347" s="16">
        <f t="shared" si="32"/>
        <v>14.599293881780929</v>
      </c>
      <c r="AF347" s="16">
        <f>'Gearing Calculator'!$C$17*Braking!AD347</f>
        <v>2326.0613524504815</v>
      </c>
      <c r="AG347" s="16">
        <f t="shared" si="33"/>
        <v>-8.7380216095059406</v>
      </c>
    </row>
    <row r="348" spans="29:33" x14ac:dyDescent="0.25">
      <c r="AC348" s="16">
        <v>344</v>
      </c>
      <c r="AD348" s="16">
        <f t="shared" si="34"/>
        <v>1551.2362262253951</v>
      </c>
      <c r="AE348" s="16">
        <f t="shared" si="32"/>
        <v>14.641857420794866</v>
      </c>
      <c r="AF348" s="16">
        <f>'Gearing Calculator'!$C$17*Braking!AD348</f>
        <v>2326.8543393380924</v>
      </c>
      <c r="AG348" s="16">
        <f t="shared" si="33"/>
        <v>-8.7410005234338559</v>
      </c>
    </row>
    <row r="349" spans="29:33" x14ac:dyDescent="0.25">
      <c r="AC349" s="16">
        <v>345</v>
      </c>
      <c r="AD349" s="16">
        <f t="shared" si="34"/>
        <v>1551.7648841504688</v>
      </c>
      <c r="AE349" s="16">
        <f t="shared" si="32"/>
        <v>14.684420959808806</v>
      </c>
      <c r="AF349" s="16">
        <f>'Gearing Calculator'!$C$17*Braking!AD349</f>
        <v>2327.6473262257032</v>
      </c>
      <c r="AG349" s="16">
        <f t="shared" si="33"/>
        <v>-8.7439794373617712</v>
      </c>
    </row>
    <row r="350" spans="29:33" x14ac:dyDescent="0.25">
      <c r="AC350" s="16">
        <v>346</v>
      </c>
      <c r="AD350" s="16">
        <f t="shared" si="34"/>
        <v>1552.2935420755425</v>
      </c>
      <c r="AE350" s="16">
        <f t="shared" si="32"/>
        <v>14.726984498822743</v>
      </c>
      <c r="AF350" s="16">
        <f>'Gearing Calculator'!$C$17*Braking!AD350</f>
        <v>2328.440313113314</v>
      </c>
      <c r="AG350" s="16">
        <f t="shared" si="33"/>
        <v>-8.7469583512896847</v>
      </c>
    </row>
    <row r="351" spans="29:33" x14ac:dyDescent="0.25">
      <c r="AC351" s="16">
        <v>347</v>
      </c>
      <c r="AD351" s="16">
        <f t="shared" si="34"/>
        <v>1552.8222000006165</v>
      </c>
      <c r="AE351" s="16">
        <f t="shared" si="32"/>
        <v>14.769548037836683</v>
      </c>
      <c r="AF351" s="16">
        <f>'Gearing Calculator'!$C$17*Braking!AD351</f>
        <v>2329.2333000009248</v>
      </c>
      <c r="AG351" s="16">
        <f t="shared" si="33"/>
        <v>-8.7499372652176</v>
      </c>
    </row>
    <row r="352" spans="29:33" x14ac:dyDescent="0.25">
      <c r="AC352" s="16">
        <v>348</v>
      </c>
      <c r="AD352" s="16">
        <f t="shared" si="34"/>
        <v>1553.3508579256902</v>
      </c>
      <c r="AE352" s="16">
        <f t="shared" si="32"/>
        <v>14.81211157685062</v>
      </c>
      <c r="AF352" s="16">
        <f>'Gearing Calculator'!$C$17*Braking!AD352</f>
        <v>2330.0262868885352</v>
      </c>
      <c r="AG352" s="16">
        <f t="shared" si="33"/>
        <v>-8.7529161791455117</v>
      </c>
    </row>
    <row r="353" spans="29:33" x14ac:dyDescent="0.25">
      <c r="AC353" s="16">
        <v>349</v>
      </c>
      <c r="AD353" s="16">
        <f t="shared" si="34"/>
        <v>1553.8795158507642</v>
      </c>
      <c r="AE353" s="16">
        <f t="shared" si="32"/>
        <v>14.854675115864557</v>
      </c>
      <c r="AF353" s="16">
        <f>'Gearing Calculator'!$C$17*Braking!AD353</f>
        <v>2330.8192737761465</v>
      </c>
      <c r="AG353" s="16">
        <f t="shared" si="33"/>
        <v>-8.7558950930734287</v>
      </c>
    </row>
    <row r="354" spans="29:33" x14ac:dyDescent="0.25">
      <c r="AC354" s="16">
        <v>350</v>
      </c>
      <c r="AD354" s="16">
        <f t="shared" si="34"/>
        <v>1554.4081737758379</v>
      </c>
      <c r="AE354" s="16">
        <f t="shared" si="32"/>
        <v>14.897238654878498</v>
      </c>
      <c r="AF354" s="16">
        <f>'Gearing Calculator'!$C$17*Braking!AD354</f>
        <v>2331.6122606637568</v>
      </c>
      <c r="AG354" s="16">
        <f t="shared" si="33"/>
        <v>-8.7588740070013404</v>
      </c>
    </row>
    <row r="355" spans="29:33" x14ac:dyDescent="0.25">
      <c r="AC355" s="16">
        <v>351</v>
      </c>
      <c r="AD355" s="16">
        <f t="shared" si="34"/>
        <v>1554.9368317009116</v>
      </c>
      <c r="AE355" s="16">
        <f t="shared" si="32"/>
        <v>14.939802193892435</v>
      </c>
      <c r="AF355" s="16">
        <f>'Gearing Calculator'!$C$17*Braking!AD355</f>
        <v>2332.4052475513672</v>
      </c>
      <c r="AG355" s="16">
        <f t="shared" si="33"/>
        <v>-8.7618529209292539</v>
      </c>
    </row>
    <row r="356" spans="29:33" x14ac:dyDescent="0.25">
      <c r="AC356" s="16">
        <v>352</v>
      </c>
      <c r="AD356" s="16">
        <f t="shared" si="34"/>
        <v>1555.4654896259856</v>
      </c>
      <c r="AE356" s="16">
        <f t="shared" si="32"/>
        <v>14.982365732906375</v>
      </c>
      <c r="AF356" s="16">
        <f>'Gearing Calculator'!$C$17*Braking!AD356</f>
        <v>2333.1982344389785</v>
      </c>
      <c r="AG356" s="16">
        <f t="shared" si="33"/>
        <v>-8.7648318348571692</v>
      </c>
    </row>
    <row r="357" spans="29:33" x14ac:dyDescent="0.25">
      <c r="AC357" s="16">
        <v>353</v>
      </c>
      <c r="AD357" s="16">
        <f t="shared" si="34"/>
        <v>1555.9941475510593</v>
      </c>
      <c r="AE357" s="16">
        <f t="shared" si="32"/>
        <v>15.024929271920312</v>
      </c>
      <c r="AF357" s="16">
        <f>'Gearing Calculator'!$C$17*Braking!AD357</f>
        <v>2333.9912213265889</v>
      </c>
      <c r="AG357" s="16">
        <f t="shared" si="33"/>
        <v>-8.7678107487850827</v>
      </c>
    </row>
    <row r="358" spans="29:33" x14ac:dyDescent="0.25">
      <c r="AC358" s="16">
        <v>354</v>
      </c>
      <c r="AD358" s="16">
        <f t="shared" si="34"/>
        <v>1556.5228054761333</v>
      </c>
      <c r="AE358" s="16">
        <f t="shared" si="32"/>
        <v>15.067492810934253</v>
      </c>
      <c r="AF358" s="16">
        <f>'Gearing Calculator'!$C$17*Braking!AD358</f>
        <v>2334.7842082141997</v>
      </c>
      <c r="AG358" s="16">
        <f t="shared" si="33"/>
        <v>-8.7707896627129962</v>
      </c>
    </row>
    <row r="359" spans="29:33" x14ac:dyDescent="0.25">
      <c r="AC359" s="16">
        <v>355</v>
      </c>
      <c r="AD359" s="16">
        <f t="shared" si="34"/>
        <v>1557.051463401207</v>
      </c>
      <c r="AE359" s="16">
        <f t="shared" si="32"/>
        <v>15.11005634994819</v>
      </c>
      <c r="AF359" s="16">
        <f>'Gearing Calculator'!$C$17*Braking!AD359</f>
        <v>2335.5771951018105</v>
      </c>
      <c r="AG359" s="16">
        <f t="shared" si="33"/>
        <v>-8.7737685766409115</v>
      </c>
    </row>
    <row r="360" spans="29:33" x14ac:dyDescent="0.25">
      <c r="AC360" s="16">
        <v>356</v>
      </c>
      <c r="AD360" s="16">
        <f t="shared" si="34"/>
        <v>1557.5801213262807</v>
      </c>
      <c r="AE360" s="16">
        <f t="shared" si="32"/>
        <v>15.15261988896213</v>
      </c>
      <c r="AF360" s="16">
        <f>'Gearing Calculator'!$C$17*Braking!AD360</f>
        <v>2336.3701819894213</v>
      </c>
      <c r="AG360" s="16">
        <f t="shared" si="33"/>
        <v>-8.776747490568825</v>
      </c>
    </row>
    <row r="361" spans="29:33" x14ac:dyDescent="0.25">
      <c r="AC361" s="16">
        <v>357</v>
      </c>
      <c r="AD361" s="16">
        <f t="shared" si="34"/>
        <v>1558.1087792513547</v>
      </c>
      <c r="AE361" s="16">
        <f t="shared" si="32"/>
        <v>15.195183427976067</v>
      </c>
      <c r="AF361" s="16">
        <f>'Gearing Calculator'!$C$17*Braking!AD361</f>
        <v>2337.1631688770321</v>
      </c>
      <c r="AG361" s="16">
        <f t="shared" si="33"/>
        <v>-8.7797264044967402</v>
      </c>
    </row>
    <row r="362" spans="29:33" x14ac:dyDescent="0.25">
      <c r="AC362" s="16">
        <v>358</v>
      </c>
      <c r="AD362" s="16">
        <f t="shared" si="34"/>
        <v>1558.6374371764284</v>
      </c>
      <c r="AE362" s="16">
        <f t="shared" si="32"/>
        <v>15.237746966990006</v>
      </c>
      <c r="AF362" s="16">
        <f>'Gearing Calculator'!$C$17*Braking!AD362</f>
        <v>2337.9561557646425</v>
      </c>
      <c r="AG362" s="16">
        <f t="shared" si="33"/>
        <v>-8.7827053184246537</v>
      </c>
    </row>
    <row r="363" spans="29:33" x14ac:dyDescent="0.25">
      <c r="AC363" s="16">
        <v>359</v>
      </c>
      <c r="AD363" s="16">
        <f t="shared" si="34"/>
        <v>1559.1660951015024</v>
      </c>
      <c r="AE363" s="16">
        <f t="shared" si="32"/>
        <v>15.280310506003945</v>
      </c>
      <c r="AF363" s="16">
        <f>'Gearing Calculator'!$C$17*Braking!AD363</f>
        <v>2338.7491426522538</v>
      </c>
      <c r="AG363" s="16">
        <f t="shared" si="33"/>
        <v>-8.785684232352569</v>
      </c>
    </row>
    <row r="364" spans="29:33" x14ac:dyDescent="0.25">
      <c r="AC364" s="16">
        <v>360</v>
      </c>
      <c r="AD364" s="16">
        <f t="shared" si="34"/>
        <v>1559.6947530265761</v>
      </c>
      <c r="AE364" s="16">
        <f t="shared" si="32"/>
        <v>15.322874045017883</v>
      </c>
      <c r="AF364" s="16">
        <f>'Gearing Calculator'!$C$17*Braking!AD364</f>
        <v>2339.5421295398642</v>
      </c>
      <c r="AG364" s="16">
        <f t="shared" si="33"/>
        <v>-8.7886631462804825</v>
      </c>
    </row>
    <row r="365" spans="29:33" x14ac:dyDescent="0.25">
      <c r="AC365" s="16">
        <v>361</v>
      </c>
      <c r="AD365" s="16">
        <f t="shared" si="34"/>
        <v>1560.2234109516498</v>
      </c>
      <c r="AE365" s="16">
        <f t="shared" si="32"/>
        <v>15.365437584031822</v>
      </c>
      <c r="AF365" s="16">
        <f>'Gearing Calculator'!$C$17*Braking!AD365</f>
        <v>2340.3351164274745</v>
      </c>
      <c r="AG365" s="16">
        <f t="shared" si="33"/>
        <v>-8.7916420602083942</v>
      </c>
    </row>
    <row r="366" spans="29:33" x14ac:dyDescent="0.25">
      <c r="AC366" s="16">
        <v>362</v>
      </c>
      <c r="AD366" s="16">
        <f t="shared" si="34"/>
        <v>1560.7520688767238</v>
      </c>
      <c r="AE366" s="16">
        <f t="shared" si="32"/>
        <v>15.408001123045759</v>
      </c>
      <c r="AF366" s="16">
        <f>'Gearing Calculator'!$C$17*Braking!AD366</f>
        <v>2341.1281033150858</v>
      </c>
      <c r="AG366" s="16">
        <f t="shared" si="33"/>
        <v>-8.7946209741363113</v>
      </c>
    </row>
    <row r="367" spans="29:33" x14ac:dyDescent="0.25">
      <c r="AC367" s="16">
        <v>363</v>
      </c>
      <c r="AD367" s="16">
        <f t="shared" si="34"/>
        <v>1561.2807268017975</v>
      </c>
      <c r="AE367" s="16">
        <f t="shared" si="32"/>
        <v>15.450564662059699</v>
      </c>
      <c r="AF367" s="16">
        <f>'Gearing Calculator'!$C$17*Braking!AD367</f>
        <v>2341.9210902026962</v>
      </c>
      <c r="AG367" s="16">
        <f t="shared" si="33"/>
        <v>-8.797599888064223</v>
      </c>
    </row>
    <row r="368" spans="29:33" x14ac:dyDescent="0.25">
      <c r="AC368" s="16">
        <v>364</v>
      </c>
      <c r="AD368" s="16">
        <f t="shared" si="34"/>
        <v>1561.8093847268715</v>
      </c>
      <c r="AE368" s="16">
        <f t="shared" si="32"/>
        <v>15.493128201073636</v>
      </c>
      <c r="AF368" s="16">
        <f>'Gearing Calculator'!$C$17*Braking!AD368</f>
        <v>2342.714077090307</v>
      </c>
      <c r="AG368" s="16">
        <f t="shared" si="33"/>
        <v>-8.8005788019921383</v>
      </c>
    </row>
    <row r="369" spans="29:33" x14ac:dyDescent="0.25">
      <c r="AC369" s="16">
        <v>365</v>
      </c>
      <c r="AD369" s="16">
        <f t="shared" si="34"/>
        <v>1562.3380426519452</v>
      </c>
      <c r="AE369" s="16">
        <f t="shared" si="32"/>
        <v>15.535691740087575</v>
      </c>
      <c r="AF369" s="16">
        <f>'Gearing Calculator'!$C$17*Braking!AD369</f>
        <v>2343.5070639779178</v>
      </c>
      <c r="AG369" s="16">
        <f t="shared" si="33"/>
        <v>-8.8035577159200518</v>
      </c>
    </row>
    <row r="370" spans="29:33" x14ac:dyDescent="0.25">
      <c r="AC370" s="16">
        <v>366</v>
      </c>
      <c r="AD370" s="16">
        <f t="shared" si="34"/>
        <v>1562.8667005770189</v>
      </c>
      <c r="AE370" s="16">
        <f t="shared" si="32"/>
        <v>15.578255279101514</v>
      </c>
      <c r="AF370" s="16">
        <f>'Gearing Calculator'!$C$17*Braking!AD370</f>
        <v>2344.3000508655286</v>
      </c>
      <c r="AG370" s="16">
        <f t="shared" si="33"/>
        <v>-8.806536629847967</v>
      </c>
    </row>
    <row r="371" spans="29:33" x14ac:dyDescent="0.25">
      <c r="AC371" s="16">
        <v>367</v>
      </c>
      <c r="AD371" s="16">
        <f t="shared" si="34"/>
        <v>1563.3953585020929</v>
      </c>
      <c r="AE371" s="16">
        <f t="shared" si="32"/>
        <v>15.620818818115453</v>
      </c>
      <c r="AF371" s="16">
        <f>'Gearing Calculator'!$C$17*Braking!AD371</f>
        <v>2345.0930377531395</v>
      </c>
      <c r="AG371" s="16">
        <f t="shared" si="33"/>
        <v>-8.8095155437758805</v>
      </c>
    </row>
    <row r="372" spans="29:33" x14ac:dyDescent="0.25">
      <c r="AC372" s="16">
        <v>368</v>
      </c>
      <c r="AD372" s="16">
        <f t="shared" si="34"/>
        <v>1563.9240164271666</v>
      </c>
      <c r="AE372" s="16">
        <f t="shared" si="32"/>
        <v>15.663382357129391</v>
      </c>
      <c r="AF372" s="16">
        <f>'Gearing Calculator'!$C$17*Braking!AD372</f>
        <v>2345.8860246407498</v>
      </c>
      <c r="AG372" s="16">
        <f t="shared" si="33"/>
        <v>-8.812494457703794</v>
      </c>
    </row>
    <row r="373" spans="29:33" x14ac:dyDescent="0.25">
      <c r="AC373" s="16">
        <v>369</v>
      </c>
      <c r="AD373" s="16">
        <f t="shared" si="34"/>
        <v>1564.4526743522406</v>
      </c>
      <c r="AE373" s="16">
        <f t="shared" si="32"/>
        <v>15.70594589614333</v>
      </c>
      <c r="AF373" s="16">
        <f>'Gearing Calculator'!$C$17*Braking!AD373</f>
        <v>2346.6790115283611</v>
      </c>
      <c r="AG373" s="16">
        <f t="shared" si="33"/>
        <v>-8.8154733716317093</v>
      </c>
    </row>
    <row r="374" spans="29:33" x14ac:dyDescent="0.25">
      <c r="AC374" s="16">
        <v>370</v>
      </c>
      <c r="AD374" s="16">
        <f t="shared" si="34"/>
        <v>1564.9813322773143</v>
      </c>
      <c r="AE374" s="16">
        <f t="shared" si="32"/>
        <v>15.748509435157269</v>
      </c>
      <c r="AF374" s="16">
        <f>'Gearing Calculator'!$C$17*Braking!AD374</f>
        <v>2347.4719984159715</v>
      </c>
      <c r="AG374" s="16">
        <f t="shared" si="33"/>
        <v>-8.8184522855596228</v>
      </c>
    </row>
    <row r="375" spans="29:33" x14ac:dyDescent="0.25">
      <c r="AC375" s="16">
        <v>371</v>
      </c>
      <c r="AD375" s="16">
        <f t="shared" si="34"/>
        <v>1565.5099902023881</v>
      </c>
      <c r="AE375" s="16">
        <f t="shared" si="32"/>
        <v>15.791072974171207</v>
      </c>
      <c r="AF375" s="16">
        <f>'Gearing Calculator'!$C$17*Braking!AD375</f>
        <v>2348.2649853035819</v>
      </c>
      <c r="AG375" s="16">
        <f t="shared" si="33"/>
        <v>-8.8214311994875363</v>
      </c>
    </row>
    <row r="376" spans="29:33" x14ac:dyDescent="0.25">
      <c r="AC376" s="16">
        <v>372</v>
      </c>
      <c r="AD376" s="16">
        <f t="shared" si="34"/>
        <v>1566.038648127462</v>
      </c>
      <c r="AE376" s="16">
        <f t="shared" si="32"/>
        <v>15.833636513185144</v>
      </c>
      <c r="AF376" s="16">
        <f>'Gearing Calculator'!$C$17*Braking!AD376</f>
        <v>2349.0579721911931</v>
      </c>
      <c r="AG376" s="16">
        <f t="shared" si="33"/>
        <v>-8.8244101134154516</v>
      </c>
    </row>
    <row r="377" spans="29:33" x14ac:dyDescent="0.25">
      <c r="AC377" s="16">
        <v>373</v>
      </c>
      <c r="AD377" s="16">
        <f t="shared" si="34"/>
        <v>1566.5673060525357</v>
      </c>
      <c r="AE377" s="16">
        <f t="shared" si="32"/>
        <v>15.876200052199085</v>
      </c>
      <c r="AF377" s="16">
        <f>'Gearing Calculator'!$C$17*Braking!AD377</f>
        <v>2349.8509590788035</v>
      </c>
      <c r="AG377" s="16">
        <f t="shared" si="33"/>
        <v>-8.8273890273433651</v>
      </c>
    </row>
    <row r="378" spans="29:33" x14ac:dyDescent="0.25">
      <c r="AC378" s="16">
        <v>374</v>
      </c>
      <c r="AD378" s="16">
        <f t="shared" si="34"/>
        <v>1567.0959639776097</v>
      </c>
      <c r="AE378" s="16">
        <f t="shared" si="32"/>
        <v>15.918763591213022</v>
      </c>
      <c r="AF378" s="16">
        <f>'Gearing Calculator'!$C$17*Braking!AD378</f>
        <v>2350.6439459664143</v>
      </c>
      <c r="AG378" s="16">
        <f t="shared" si="33"/>
        <v>-8.8303679412712786</v>
      </c>
    </row>
    <row r="379" spans="29:33" x14ac:dyDescent="0.25">
      <c r="AC379" s="16">
        <v>375</v>
      </c>
      <c r="AD379" s="16">
        <f t="shared" si="34"/>
        <v>1567.6246219026834</v>
      </c>
      <c r="AE379" s="16">
        <f t="shared" si="32"/>
        <v>15.961327130226962</v>
      </c>
      <c r="AF379" s="16">
        <f>'Gearing Calculator'!$C$17*Braking!AD379</f>
        <v>2351.4369328540251</v>
      </c>
      <c r="AG379" s="16">
        <f t="shared" si="33"/>
        <v>-8.8333468551991938</v>
      </c>
    </row>
    <row r="380" spans="29:33" x14ac:dyDescent="0.25">
      <c r="AC380" s="16">
        <v>376</v>
      </c>
      <c r="AD380" s="16">
        <f t="shared" si="34"/>
        <v>1568.1532798277572</v>
      </c>
      <c r="AE380" s="16">
        <f t="shared" si="32"/>
        <v>16.003890669240899</v>
      </c>
      <c r="AF380" s="16">
        <f>'Gearing Calculator'!$C$17*Braking!AD380</f>
        <v>2352.229919741636</v>
      </c>
      <c r="AG380" s="16">
        <f t="shared" si="33"/>
        <v>-8.8363257691271073</v>
      </c>
    </row>
    <row r="381" spans="29:33" x14ac:dyDescent="0.25">
      <c r="AC381" s="16">
        <v>377</v>
      </c>
      <c r="AD381" s="16">
        <f t="shared" si="34"/>
        <v>1568.6819377528311</v>
      </c>
      <c r="AE381" s="16">
        <f t="shared" si="32"/>
        <v>16.046454208254836</v>
      </c>
      <c r="AF381" s="16">
        <f>'Gearing Calculator'!$C$17*Braking!AD381</f>
        <v>2353.0229066292468</v>
      </c>
      <c r="AG381" s="16">
        <f t="shared" si="33"/>
        <v>-8.8393046830550226</v>
      </c>
    </row>
    <row r="382" spans="29:33" x14ac:dyDescent="0.25">
      <c r="AC382" s="16">
        <v>378</v>
      </c>
      <c r="AD382" s="16">
        <f t="shared" si="34"/>
        <v>1569.2105956779048</v>
      </c>
      <c r="AE382" s="16">
        <f t="shared" si="32"/>
        <v>16.089017747268777</v>
      </c>
      <c r="AF382" s="16">
        <f>'Gearing Calculator'!$C$17*Braking!AD382</f>
        <v>2353.8158935168572</v>
      </c>
      <c r="AG382" s="16">
        <f t="shared" si="33"/>
        <v>-8.8422835969829343</v>
      </c>
    </row>
    <row r="383" spans="29:33" x14ac:dyDescent="0.25">
      <c r="AC383" s="16">
        <v>379</v>
      </c>
      <c r="AD383" s="16">
        <f t="shared" si="34"/>
        <v>1569.7392536029788</v>
      </c>
      <c r="AE383" s="16">
        <f t="shared" si="32"/>
        <v>16.131581286282714</v>
      </c>
      <c r="AF383" s="16">
        <f>'Gearing Calculator'!$C$17*Braking!AD383</f>
        <v>2354.6088804044684</v>
      </c>
      <c r="AG383" s="16">
        <f t="shared" si="33"/>
        <v>-8.8452625109108514</v>
      </c>
    </row>
    <row r="384" spans="29:33" x14ac:dyDescent="0.25">
      <c r="AC384" s="16">
        <v>380</v>
      </c>
      <c r="AD384" s="16">
        <f t="shared" si="34"/>
        <v>1570.2679115280525</v>
      </c>
      <c r="AE384" s="16">
        <f t="shared" si="32"/>
        <v>16.174144825296654</v>
      </c>
      <c r="AF384" s="16">
        <f>'Gearing Calculator'!$C$17*Braking!AD384</f>
        <v>2355.4018672920788</v>
      </c>
      <c r="AG384" s="16">
        <f t="shared" si="33"/>
        <v>-8.8482414248387631</v>
      </c>
    </row>
    <row r="385" spans="29:33" x14ac:dyDescent="0.25">
      <c r="AC385" s="16">
        <v>381</v>
      </c>
      <c r="AD385" s="16">
        <f t="shared" si="34"/>
        <v>1570.7965694531263</v>
      </c>
      <c r="AE385" s="16">
        <f t="shared" si="32"/>
        <v>16.216708364310591</v>
      </c>
      <c r="AF385" s="16">
        <f>'Gearing Calculator'!$C$17*Braking!AD385</f>
        <v>2356.1948541796892</v>
      </c>
      <c r="AG385" s="16">
        <f t="shared" si="33"/>
        <v>-8.8512203387666766</v>
      </c>
    </row>
    <row r="386" spans="29:33" x14ac:dyDescent="0.25">
      <c r="AC386" s="16">
        <v>382</v>
      </c>
      <c r="AD386" s="16">
        <f t="shared" si="34"/>
        <v>1571.3252273782002</v>
      </c>
      <c r="AE386" s="16">
        <f t="shared" si="32"/>
        <v>16.259271903324532</v>
      </c>
      <c r="AF386" s="16">
        <f>'Gearing Calculator'!$C$17*Braking!AD386</f>
        <v>2356.9878410673005</v>
      </c>
      <c r="AG386" s="16">
        <f t="shared" si="33"/>
        <v>-8.8541992526945918</v>
      </c>
    </row>
    <row r="387" spans="29:33" x14ac:dyDescent="0.25">
      <c r="AC387" s="16">
        <v>383</v>
      </c>
      <c r="AD387" s="16">
        <f t="shared" si="34"/>
        <v>1571.853885303274</v>
      </c>
      <c r="AE387" s="16">
        <f t="shared" si="32"/>
        <v>16.301835442338469</v>
      </c>
      <c r="AF387" s="16">
        <f>'Gearing Calculator'!$C$17*Braking!AD387</f>
        <v>2357.7808279549108</v>
      </c>
      <c r="AG387" s="16">
        <f t="shared" si="33"/>
        <v>-8.8571781666225053</v>
      </c>
    </row>
    <row r="388" spans="29:33" x14ac:dyDescent="0.25">
      <c r="AC388" s="16">
        <v>384</v>
      </c>
      <c r="AD388" s="16">
        <f t="shared" si="34"/>
        <v>1572.3825432283479</v>
      </c>
      <c r="AE388" s="16">
        <f t="shared" si="32"/>
        <v>16.344398981352409</v>
      </c>
      <c r="AF388" s="16">
        <f>'Gearing Calculator'!$C$17*Braking!AD388</f>
        <v>2358.5738148425216</v>
      </c>
      <c r="AG388" s="16">
        <f t="shared" si="33"/>
        <v>-8.8601570805504206</v>
      </c>
    </row>
    <row r="389" spans="29:33" x14ac:dyDescent="0.25">
      <c r="AC389" s="16">
        <v>385</v>
      </c>
      <c r="AD389" s="16">
        <f t="shared" si="34"/>
        <v>1572.9112011534216</v>
      </c>
      <c r="AE389" s="16">
        <f t="shared" si="32"/>
        <v>16.386962520366346</v>
      </c>
      <c r="AF389" s="16">
        <f>'Gearing Calculator'!$C$17*Braking!AD389</f>
        <v>2359.3668017301325</v>
      </c>
      <c r="AG389" s="16">
        <f t="shared" si="33"/>
        <v>-8.8631359944783341</v>
      </c>
    </row>
    <row r="390" spans="29:33" x14ac:dyDescent="0.25">
      <c r="AC390" s="16">
        <v>386</v>
      </c>
      <c r="AD390" s="16">
        <f t="shared" si="34"/>
        <v>1573.4398590784954</v>
      </c>
      <c r="AE390" s="16">
        <f t="shared" ref="AE390:AE453" si="35">(AC390/$X$104)*100</f>
        <v>16.429526059380287</v>
      </c>
      <c r="AF390" s="16">
        <f>'Gearing Calculator'!$C$17*Braking!AD390</f>
        <v>2360.1597886177433</v>
      </c>
      <c r="AG390" s="16">
        <f t="shared" ref="AG390:AG453" si="36">-(AF390/$C$3)</f>
        <v>-8.8661149084062494</v>
      </c>
    </row>
    <row r="391" spans="29:33" x14ac:dyDescent="0.25">
      <c r="AC391" s="16">
        <v>387</v>
      </c>
      <c r="AD391" s="16">
        <f t="shared" ref="AD391:AD454" si="37">($C$3*$C$4)*($C$9/$C$8)+(AC391*($C$10/$C$8))</f>
        <v>1573.9685170035693</v>
      </c>
      <c r="AE391" s="16">
        <f t="shared" si="35"/>
        <v>16.472089598394223</v>
      </c>
      <c r="AF391" s="16">
        <f>'Gearing Calculator'!$C$17*Braking!AD391</f>
        <v>2360.9527755053541</v>
      </c>
      <c r="AG391" s="16">
        <f t="shared" si="36"/>
        <v>-8.8690938223341629</v>
      </c>
    </row>
    <row r="392" spans="29:33" x14ac:dyDescent="0.25">
      <c r="AC392" s="16">
        <v>388</v>
      </c>
      <c r="AD392" s="16">
        <f t="shared" si="37"/>
        <v>1574.4971749286431</v>
      </c>
      <c r="AE392" s="16">
        <f t="shared" si="35"/>
        <v>16.514653137408164</v>
      </c>
      <c r="AF392" s="16">
        <f>'Gearing Calculator'!$C$17*Braking!AD392</f>
        <v>2361.7457623929645</v>
      </c>
      <c r="AG392" s="16">
        <f t="shared" si="36"/>
        <v>-8.8720727362620764</v>
      </c>
    </row>
    <row r="393" spans="29:33" x14ac:dyDescent="0.25">
      <c r="AC393" s="16">
        <v>389</v>
      </c>
      <c r="AD393" s="16">
        <f t="shared" si="37"/>
        <v>1575.025832853717</v>
      </c>
      <c r="AE393" s="16">
        <f t="shared" si="35"/>
        <v>16.557216676422101</v>
      </c>
      <c r="AF393" s="16">
        <f>'Gearing Calculator'!$C$17*Braking!AD393</f>
        <v>2362.5387492805758</v>
      </c>
      <c r="AG393" s="16">
        <f t="shared" si="36"/>
        <v>-8.8750516501899916</v>
      </c>
    </row>
    <row r="394" spans="29:33" x14ac:dyDescent="0.25">
      <c r="AC394" s="16">
        <v>390</v>
      </c>
      <c r="AD394" s="16">
        <f t="shared" si="37"/>
        <v>1575.5544907787908</v>
      </c>
      <c r="AE394" s="16">
        <f t="shared" si="35"/>
        <v>16.599780215436038</v>
      </c>
      <c r="AF394" s="16">
        <f>'Gearing Calculator'!$C$17*Braking!AD394</f>
        <v>2363.3317361681861</v>
      </c>
      <c r="AG394" s="16">
        <f t="shared" si="36"/>
        <v>-8.8780305641179051</v>
      </c>
    </row>
    <row r="395" spans="29:33" x14ac:dyDescent="0.25">
      <c r="AC395" s="16">
        <v>391</v>
      </c>
      <c r="AD395" s="16">
        <f t="shared" si="37"/>
        <v>1576.0831487038645</v>
      </c>
      <c r="AE395" s="16">
        <f t="shared" si="35"/>
        <v>16.642343754449978</v>
      </c>
      <c r="AF395" s="16">
        <f>'Gearing Calculator'!$C$17*Braking!AD395</f>
        <v>2364.1247230557965</v>
      </c>
      <c r="AG395" s="16">
        <f t="shared" si="36"/>
        <v>-8.8810094780458169</v>
      </c>
    </row>
    <row r="396" spans="29:33" x14ac:dyDescent="0.25">
      <c r="AC396" s="16">
        <v>392</v>
      </c>
      <c r="AD396" s="16">
        <f t="shared" si="37"/>
        <v>1576.6118066289384</v>
      </c>
      <c r="AE396" s="16">
        <f t="shared" si="35"/>
        <v>16.684907293463915</v>
      </c>
      <c r="AF396" s="16">
        <f>'Gearing Calculator'!$C$17*Braking!AD396</f>
        <v>2364.9177099434078</v>
      </c>
      <c r="AG396" s="16">
        <f t="shared" si="36"/>
        <v>-8.8839883919737339</v>
      </c>
    </row>
    <row r="397" spans="29:33" x14ac:dyDescent="0.25">
      <c r="AC397" s="16">
        <v>393</v>
      </c>
      <c r="AD397" s="16">
        <f t="shared" si="37"/>
        <v>1577.1404645540122</v>
      </c>
      <c r="AE397" s="16">
        <f t="shared" si="35"/>
        <v>16.727470832477856</v>
      </c>
      <c r="AF397" s="16">
        <f>'Gearing Calculator'!$C$17*Braking!AD397</f>
        <v>2365.7106968310181</v>
      </c>
      <c r="AG397" s="16">
        <f t="shared" si="36"/>
        <v>-8.8869673059016456</v>
      </c>
    </row>
    <row r="398" spans="29:33" x14ac:dyDescent="0.25">
      <c r="AC398" s="16">
        <v>394</v>
      </c>
      <c r="AD398" s="16">
        <f t="shared" si="37"/>
        <v>1577.6691224790861</v>
      </c>
      <c r="AE398" s="16">
        <f t="shared" si="35"/>
        <v>16.770034371491793</v>
      </c>
      <c r="AF398" s="16">
        <f>'Gearing Calculator'!$C$17*Braking!AD398</f>
        <v>2366.503683718629</v>
      </c>
      <c r="AG398" s="16">
        <f t="shared" si="36"/>
        <v>-8.8899462198295609</v>
      </c>
    </row>
    <row r="399" spans="29:33" x14ac:dyDescent="0.25">
      <c r="AC399" s="16">
        <v>395</v>
      </c>
      <c r="AD399" s="16">
        <f t="shared" si="37"/>
        <v>1578.1977804041599</v>
      </c>
      <c r="AE399" s="16">
        <f t="shared" si="35"/>
        <v>16.812597910505733</v>
      </c>
      <c r="AF399" s="16">
        <f>'Gearing Calculator'!$C$17*Braking!AD399</f>
        <v>2367.2966706062398</v>
      </c>
      <c r="AG399" s="16">
        <f t="shared" si="36"/>
        <v>-8.8929251337574744</v>
      </c>
    </row>
    <row r="400" spans="29:33" x14ac:dyDescent="0.25">
      <c r="AC400" s="16">
        <v>396</v>
      </c>
      <c r="AD400" s="16">
        <f t="shared" si="37"/>
        <v>1578.7264383292336</v>
      </c>
      <c r="AE400" s="16">
        <f t="shared" si="35"/>
        <v>16.85516144951967</v>
      </c>
      <c r="AF400" s="16">
        <f>'Gearing Calculator'!$C$17*Braking!AD400</f>
        <v>2368.0896574938506</v>
      </c>
      <c r="AG400" s="16">
        <f t="shared" si="36"/>
        <v>-8.8959040476853897</v>
      </c>
    </row>
    <row r="401" spans="29:33" x14ac:dyDescent="0.25">
      <c r="AC401" s="16">
        <v>397</v>
      </c>
      <c r="AD401" s="16">
        <f t="shared" si="37"/>
        <v>1579.2550962543075</v>
      </c>
      <c r="AE401" s="16">
        <f t="shared" si="35"/>
        <v>16.897724988533611</v>
      </c>
      <c r="AF401" s="16">
        <f>'Gearing Calculator'!$C$17*Braking!AD401</f>
        <v>2368.8826443814614</v>
      </c>
      <c r="AG401" s="16">
        <f t="shared" si="36"/>
        <v>-8.8988829616133032</v>
      </c>
    </row>
    <row r="402" spans="29:33" x14ac:dyDescent="0.25">
      <c r="AC402" s="16">
        <v>398</v>
      </c>
      <c r="AD402" s="16">
        <f t="shared" si="37"/>
        <v>1579.7837541793813</v>
      </c>
      <c r="AE402" s="16">
        <f t="shared" si="35"/>
        <v>16.940288527547548</v>
      </c>
      <c r="AF402" s="16">
        <f>'Gearing Calculator'!$C$17*Braking!AD402</f>
        <v>2369.6756312690718</v>
      </c>
      <c r="AG402" s="16">
        <f t="shared" si="36"/>
        <v>-8.9018618755412167</v>
      </c>
    </row>
    <row r="403" spans="29:33" x14ac:dyDescent="0.25">
      <c r="AC403" s="16">
        <v>399</v>
      </c>
      <c r="AD403" s="16">
        <f t="shared" si="37"/>
        <v>1580.3124121044552</v>
      </c>
      <c r="AE403" s="16">
        <f t="shared" si="35"/>
        <v>16.982852066561488</v>
      </c>
      <c r="AF403" s="16">
        <f>'Gearing Calculator'!$C$17*Braking!AD403</f>
        <v>2370.4686181566831</v>
      </c>
      <c r="AG403" s="16">
        <f t="shared" si="36"/>
        <v>-8.9048407894691337</v>
      </c>
    </row>
    <row r="404" spans="29:33" x14ac:dyDescent="0.25">
      <c r="AC404" s="16">
        <v>400</v>
      </c>
      <c r="AD404" s="16">
        <f t="shared" si="37"/>
        <v>1580.841070029529</v>
      </c>
      <c r="AE404" s="16">
        <f t="shared" si="35"/>
        <v>17.025415605575425</v>
      </c>
      <c r="AF404" s="16">
        <f>'Gearing Calculator'!$C$17*Braking!AD404</f>
        <v>2371.2616050442934</v>
      </c>
      <c r="AG404" s="16">
        <f t="shared" si="36"/>
        <v>-8.9078197033970454</v>
      </c>
    </row>
    <row r="405" spans="29:33" x14ac:dyDescent="0.25">
      <c r="AC405" s="16">
        <v>401</v>
      </c>
      <c r="AD405" s="16">
        <f t="shared" si="37"/>
        <v>1581.3697279546027</v>
      </c>
      <c r="AE405" s="16">
        <f t="shared" si="35"/>
        <v>17.067979144589366</v>
      </c>
      <c r="AF405" s="16">
        <f>'Gearing Calculator'!$C$17*Braking!AD405</f>
        <v>2372.0545919319038</v>
      </c>
      <c r="AG405" s="16">
        <f t="shared" si="36"/>
        <v>-8.9107986173249589</v>
      </c>
    </row>
    <row r="406" spans="29:33" x14ac:dyDescent="0.25">
      <c r="AC406" s="16">
        <v>402</v>
      </c>
      <c r="AD406" s="16">
        <f t="shared" si="37"/>
        <v>1581.8983858796767</v>
      </c>
      <c r="AE406" s="16">
        <f t="shared" si="35"/>
        <v>17.110542683603303</v>
      </c>
      <c r="AF406" s="16">
        <f>'Gearing Calculator'!$C$17*Braking!AD406</f>
        <v>2372.8475788195151</v>
      </c>
      <c r="AG406" s="16">
        <f t="shared" si="36"/>
        <v>-8.9137775312528742</v>
      </c>
    </row>
    <row r="407" spans="29:33" x14ac:dyDescent="0.25">
      <c r="AC407" s="16">
        <v>403</v>
      </c>
      <c r="AD407" s="16">
        <f t="shared" si="37"/>
        <v>1582.4270438047504</v>
      </c>
      <c r="AE407" s="16">
        <f t="shared" si="35"/>
        <v>17.153106222617239</v>
      </c>
      <c r="AF407" s="16">
        <f>'Gearing Calculator'!$C$17*Braking!AD407</f>
        <v>2373.6405657071255</v>
      </c>
      <c r="AG407" s="16">
        <f t="shared" si="36"/>
        <v>-8.9167564451807877</v>
      </c>
    </row>
    <row r="408" spans="29:33" x14ac:dyDescent="0.25">
      <c r="AC408" s="16">
        <v>404</v>
      </c>
      <c r="AD408" s="16">
        <f t="shared" si="37"/>
        <v>1582.9557017298243</v>
      </c>
      <c r="AE408" s="16">
        <f t="shared" si="35"/>
        <v>17.19566976163118</v>
      </c>
      <c r="AF408" s="16">
        <f>'Gearing Calculator'!$C$17*Braking!AD408</f>
        <v>2374.4335525947363</v>
      </c>
      <c r="AG408" s="16">
        <f t="shared" si="36"/>
        <v>-8.9197353591087012</v>
      </c>
    </row>
    <row r="409" spans="29:33" x14ac:dyDescent="0.25">
      <c r="AC409" s="16">
        <v>405</v>
      </c>
      <c r="AD409" s="16">
        <f t="shared" si="37"/>
        <v>1583.4843596548981</v>
      </c>
      <c r="AE409" s="16">
        <f t="shared" si="35"/>
        <v>17.238233300645117</v>
      </c>
      <c r="AF409" s="16">
        <f>'Gearing Calculator'!$C$17*Braking!AD409</f>
        <v>2375.2265394823471</v>
      </c>
      <c r="AG409" s="16">
        <f t="shared" si="36"/>
        <v>-8.9227142730366165</v>
      </c>
    </row>
    <row r="410" spans="29:33" x14ac:dyDescent="0.25">
      <c r="AC410" s="16">
        <v>406</v>
      </c>
      <c r="AD410" s="16">
        <f t="shared" si="37"/>
        <v>1584.0130175799718</v>
      </c>
      <c r="AE410" s="16">
        <f t="shared" si="35"/>
        <v>17.280796839659057</v>
      </c>
      <c r="AF410" s="16">
        <f>'Gearing Calculator'!$C$17*Braking!AD410</f>
        <v>2376.0195263699579</v>
      </c>
      <c r="AG410" s="16">
        <f t="shared" si="36"/>
        <v>-8.92569318696453</v>
      </c>
    </row>
    <row r="411" spans="29:33" x14ac:dyDescent="0.25">
      <c r="AC411" s="16">
        <v>407</v>
      </c>
      <c r="AD411" s="16">
        <f t="shared" si="37"/>
        <v>1584.5416755050458</v>
      </c>
      <c r="AE411" s="16">
        <f t="shared" si="35"/>
        <v>17.323360378672994</v>
      </c>
      <c r="AF411" s="16">
        <f>'Gearing Calculator'!$C$17*Braking!AD411</f>
        <v>2376.8125132575688</v>
      </c>
      <c r="AG411" s="16">
        <f t="shared" si="36"/>
        <v>-8.9286721008924452</v>
      </c>
    </row>
    <row r="412" spans="29:33" x14ac:dyDescent="0.25">
      <c r="AC412" s="16">
        <v>408</v>
      </c>
      <c r="AD412" s="16">
        <f t="shared" si="37"/>
        <v>1585.0703334301195</v>
      </c>
      <c r="AE412" s="16">
        <f t="shared" si="35"/>
        <v>17.365923917686935</v>
      </c>
      <c r="AF412" s="16">
        <f>'Gearing Calculator'!$C$17*Braking!AD412</f>
        <v>2377.6055001451791</v>
      </c>
      <c r="AG412" s="16">
        <f t="shared" si="36"/>
        <v>-8.9316510148203569</v>
      </c>
    </row>
    <row r="413" spans="29:33" x14ac:dyDescent="0.25">
      <c r="AC413" s="16">
        <v>409</v>
      </c>
      <c r="AD413" s="16">
        <f t="shared" si="37"/>
        <v>1585.5989913551934</v>
      </c>
      <c r="AE413" s="16">
        <f t="shared" si="35"/>
        <v>17.408487456700872</v>
      </c>
      <c r="AF413" s="16">
        <f>'Gearing Calculator'!$C$17*Braking!AD413</f>
        <v>2378.3984870327904</v>
      </c>
      <c r="AG413" s="16">
        <f t="shared" si="36"/>
        <v>-8.934629928748274</v>
      </c>
    </row>
    <row r="414" spans="29:33" x14ac:dyDescent="0.25">
      <c r="AC414" s="16">
        <v>410</v>
      </c>
      <c r="AD414" s="16">
        <f t="shared" si="37"/>
        <v>1586.1276492802672</v>
      </c>
      <c r="AE414" s="16">
        <f t="shared" si="35"/>
        <v>17.451050995714812</v>
      </c>
      <c r="AF414" s="16">
        <f>'Gearing Calculator'!$C$17*Braking!AD414</f>
        <v>2379.1914739204008</v>
      </c>
      <c r="AG414" s="16">
        <f t="shared" si="36"/>
        <v>-8.9376088426761857</v>
      </c>
    </row>
    <row r="415" spans="29:33" x14ac:dyDescent="0.25">
      <c r="AC415" s="16">
        <v>411</v>
      </c>
      <c r="AD415" s="16">
        <f t="shared" si="37"/>
        <v>1586.6563072053411</v>
      </c>
      <c r="AE415" s="16">
        <f t="shared" si="35"/>
        <v>17.493614534728749</v>
      </c>
      <c r="AF415" s="16">
        <f>'Gearing Calculator'!$C$17*Braking!AD415</f>
        <v>2379.9844608080116</v>
      </c>
      <c r="AG415" s="16">
        <f t="shared" si="36"/>
        <v>-8.940587756604101</v>
      </c>
    </row>
    <row r="416" spans="29:33" x14ac:dyDescent="0.25">
      <c r="AC416" s="16">
        <v>412</v>
      </c>
      <c r="AD416" s="16">
        <f t="shared" si="37"/>
        <v>1587.1849651304149</v>
      </c>
      <c r="AE416" s="16">
        <f t="shared" si="35"/>
        <v>17.53617807374269</v>
      </c>
      <c r="AF416" s="16">
        <f>'Gearing Calculator'!$C$17*Braking!AD416</f>
        <v>2380.7774476956224</v>
      </c>
      <c r="AG416" s="16">
        <f t="shared" si="36"/>
        <v>-8.9435666705320163</v>
      </c>
    </row>
    <row r="417" spans="29:33" x14ac:dyDescent="0.25">
      <c r="AC417" s="16">
        <v>413</v>
      </c>
      <c r="AD417" s="16">
        <f t="shared" si="37"/>
        <v>1587.7136230554886</v>
      </c>
      <c r="AE417" s="16">
        <f t="shared" si="35"/>
        <v>17.578741612756627</v>
      </c>
      <c r="AF417" s="16">
        <f>'Gearing Calculator'!$C$17*Braking!AD417</f>
        <v>2381.5704345832328</v>
      </c>
      <c r="AG417" s="16">
        <f t="shared" si="36"/>
        <v>-8.946545584459928</v>
      </c>
    </row>
    <row r="418" spans="29:33" x14ac:dyDescent="0.25">
      <c r="AC418" s="16">
        <v>414</v>
      </c>
      <c r="AD418" s="16">
        <f t="shared" si="37"/>
        <v>1588.2422809805626</v>
      </c>
      <c r="AE418" s="16">
        <f t="shared" si="35"/>
        <v>17.621305151770567</v>
      </c>
      <c r="AF418" s="16">
        <f>'Gearing Calculator'!$C$17*Braking!AD418</f>
        <v>2382.3634214708436</v>
      </c>
      <c r="AG418" s="16">
        <f t="shared" si="36"/>
        <v>-8.9495244983878433</v>
      </c>
    </row>
    <row r="419" spans="29:33" x14ac:dyDescent="0.25">
      <c r="AC419" s="16">
        <v>415</v>
      </c>
      <c r="AD419" s="16">
        <f t="shared" si="37"/>
        <v>1588.7709389056363</v>
      </c>
      <c r="AE419" s="16">
        <f t="shared" si="35"/>
        <v>17.663868690784504</v>
      </c>
      <c r="AF419" s="16">
        <f>'Gearing Calculator'!$C$17*Braking!AD419</f>
        <v>2383.1564083584544</v>
      </c>
      <c r="AG419" s="16">
        <f t="shared" si="36"/>
        <v>-8.9525034123157567</v>
      </c>
    </row>
    <row r="420" spans="29:33" x14ac:dyDescent="0.25">
      <c r="AC420" s="16">
        <v>416</v>
      </c>
      <c r="AD420" s="16">
        <f t="shared" si="37"/>
        <v>1589.2995968307102</v>
      </c>
      <c r="AE420" s="16">
        <f t="shared" si="35"/>
        <v>17.706432229798441</v>
      </c>
      <c r="AF420" s="16">
        <f>'Gearing Calculator'!$C$17*Braking!AD420</f>
        <v>2383.9493952460653</v>
      </c>
      <c r="AG420" s="16">
        <f t="shared" si="36"/>
        <v>-8.955482326243672</v>
      </c>
    </row>
    <row r="421" spans="29:33" x14ac:dyDescent="0.25">
      <c r="AC421" s="16">
        <v>417</v>
      </c>
      <c r="AD421" s="16">
        <f t="shared" si="37"/>
        <v>1589.828254755784</v>
      </c>
      <c r="AE421" s="16">
        <f t="shared" si="35"/>
        <v>17.748995768812382</v>
      </c>
      <c r="AF421" s="16">
        <f>'Gearing Calculator'!$C$17*Braking!AD421</f>
        <v>2384.7423821336761</v>
      </c>
      <c r="AG421" s="16">
        <f t="shared" si="36"/>
        <v>-8.9584612401715855</v>
      </c>
    </row>
    <row r="422" spans="29:33" x14ac:dyDescent="0.25">
      <c r="AC422" s="16">
        <v>418</v>
      </c>
      <c r="AD422" s="16">
        <f t="shared" si="37"/>
        <v>1590.3569126808577</v>
      </c>
      <c r="AE422" s="16">
        <f t="shared" si="35"/>
        <v>17.791559307826319</v>
      </c>
      <c r="AF422" s="16">
        <f>'Gearing Calculator'!$C$17*Braking!AD422</f>
        <v>2385.5353690212864</v>
      </c>
      <c r="AG422" s="16">
        <f t="shared" si="36"/>
        <v>-8.961440154099499</v>
      </c>
    </row>
    <row r="423" spans="29:33" x14ac:dyDescent="0.25">
      <c r="AC423" s="16">
        <v>419</v>
      </c>
      <c r="AD423" s="16">
        <f t="shared" si="37"/>
        <v>1590.8855706059317</v>
      </c>
      <c r="AE423" s="16">
        <f t="shared" si="35"/>
        <v>17.834122846840259</v>
      </c>
      <c r="AF423" s="16">
        <f>'Gearing Calculator'!$C$17*Braking!AD423</f>
        <v>2386.3283559088977</v>
      </c>
      <c r="AG423" s="16">
        <f t="shared" si="36"/>
        <v>-8.9644190680274143</v>
      </c>
    </row>
    <row r="424" spans="29:33" x14ac:dyDescent="0.25">
      <c r="AC424" s="16">
        <v>420</v>
      </c>
      <c r="AD424" s="16">
        <f t="shared" si="37"/>
        <v>1591.4142285310054</v>
      </c>
      <c r="AE424" s="16">
        <f t="shared" si="35"/>
        <v>17.876686385854196</v>
      </c>
      <c r="AF424" s="16">
        <f>'Gearing Calculator'!$C$17*Braking!AD424</f>
        <v>2387.1213427965081</v>
      </c>
      <c r="AG424" s="16">
        <f t="shared" si="36"/>
        <v>-8.9673979819553278</v>
      </c>
    </row>
    <row r="425" spans="29:33" x14ac:dyDescent="0.25">
      <c r="AC425" s="16">
        <v>421</v>
      </c>
      <c r="AD425" s="16">
        <f t="shared" si="37"/>
        <v>1591.9428864560793</v>
      </c>
      <c r="AE425" s="16">
        <f t="shared" si="35"/>
        <v>17.919249924868137</v>
      </c>
      <c r="AF425" s="16">
        <f>'Gearing Calculator'!$C$17*Braking!AD425</f>
        <v>2387.9143296841189</v>
      </c>
      <c r="AG425" s="16">
        <f t="shared" si="36"/>
        <v>-8.9703768958832413</v>
      </c>
    </row>
    <row r="426" spans="29:33" x14ac:dyDescent="0.25">
      <c r="AC426" s="16">
        <v>422</v>
      </c>
      <c r="AD426" s="16">
        <f t="shared" si="37"/>
        <v>1592.4715443811531</v>
      </c>
      <c r="AE426" s="16">
        <f t="shared" si="35"/>
        <v>17.961813463882073</v>
      </c>
      <c r="AF426" s="16">
        <f>'Gearing Calculator'!$C$17*Braking!AD426</f>
        <v>2388.7073165717297</v>
      </c>
      <c r="AG426" s="16">
        <f t="shared" si="36"/>
        <v>-8.9733558098111565</v>
      </c>
    </row>
    <row r="427" spans="29:33" x14ac:dyDescent="0.25">
      <c r="AC427" s="16">
        <v>423</v>
      </c>
      <c r="AD427" s="16">
        <f t="shared" si="37"/>
        <v>1593.0002023062268</v>
      </c>
      <c r="AE427" s="16">
        <f t="shared" si="35"/>
        <v>18.004377002896014</v>
      </c>
      <c r="AF427" s="16">
        <f>'Gearing Calculator'!$C$17*Braking!AD427</f>
        <v>2389.5003034593401</v>
      </c>
      <c r="AG427" s="16">
        <f t="shared" si="36"/>
        <v>-8.9763347237390683</v>
      </c>
    </row>
    <row r="428" spans="29:33" x14ac:dyDescent="0.25">
      <c r="AC428" s="16">
        <v>424</v>
      </c>
      <c r="AD428" s="16">
        <f t="shared" si="37"/>
        <v>1593.5288602313008</v>
      </c>
      <c r="AE428" s="16">
        <f t="shared" si="35"/>
        <v>18.046940541909951</v>
      </c>
      <c r="AF428" s="16">
        <f>'Gearing Calculator'!$C$17*Braking!AD428</f>
        <v>2390.2932903469509</v>
      </c>
      <c r="AG428" s="16">
        <f t="shared" si="36"/>
        <v>-8.9793136376669835</v>
      </c>
    </row>
    <row r="429" spans="29:33" x14ac:dyDescent="0.25">
      <c r="AC429" s="16">
        <v>425</v>
      </c>
      <c r="AD429" s="16">
        <f t="shared" si="37"/>
        <v>1594.0575181563745</v>
      </c>
      <c r="AE429" s="16">
        <f t="shared" si="35"/>
        <v>18.089504080923891</v>
      </c>
      <c r="AF429" s="16">
        <f>'Gearing Calculator'!$C$17*Braking!AD429</f>
        <v>2391.0862772345617</v>
      </c>
      <c r="AG429" s="16">
        <f t="shared" si="36"/>
        <v>-8.9822925515948988</v>
      </c>
    </row>
    <row r="430" spans="29:33" x14ac:dyDescent="0.25">
      <c r="AC430" s="16">
        <v>426</v>
      </c>
      <c r="AD430" s="16">
        <f t="shared" si="37"/>
        <v>1594.5861760814485</v>
      </c>
      <c r="AE430" s="16">
        <f t="shared" si="35"/>
        <v>18.132067619937828</v>
      </c>
      <c r="AF430" s="16">
        <f>'Gearing Calculator'!$C$17*Braking!AD430</f>
        <v>2391.8792641221726</v>
      </c>
      <c r="AG430" s="16">
        <f t="shared" si="36"/>
        <v>-8.9852714655228123</v>
      </c>
    </row>
    <row r="431" spans="29:33" x14ac:dyDescent="0.25">
      <c r="AC431" s="16">
        <v>427</v>
      </c>
      <c r="AD431" s="16">
        <f t="shared" si="37"/>
        <v>1595.1148340065222</v>
      </c>
      <c r="AE431" s="16">
        <f t="shared" si="35"/>
        <v>18.174631158951769</v>
      </c>
      <c r="AF431" s="16">
        <f>'Gearing Calculator'!$C$17*Braking!AD431</f>
        <v>2392.6722510097834</v>
      </c>
      <c r="AG431" s="16">
        <f t="shared" si="36"/>
        <v>-8.9882503794507276</v>
      </c>
    </row>
    <row r="432" spans="29:33" x14ac:dyDescent="0.25">
      <c r="AC432" s="16">
        <v>428</v>
      </c>
      <c r="AD432" s="16">
        <f t="shared" si="37"/>
        <v>1595.6434919315959</v>
      </c>
      <c r="AE432" s="16">
        <f t="shared" si="35"/>
        <v>18.217194697965706</v>
      </c>
      <c r="AF432" s="16">
        <f>'Gearing Calculator'!$C$17*Braking!AD432</f>
        <v>2393.4652378973938</v>
      </c>
      <c r="AG432" s="16">
        <f t="shared" si="36"/>
        <v>-8.9912292933786393</v>
      </c>
    </row>
    <row r="433" spans="29:33" x14ac:dyDescent="0.25">
      <c r="AC433" s="16">
        <v>429</v>
      </c>
      <c r="AD433" s="16">
        <f t="shared" si="37"/>
        <v>1596.1721498566699</v>
      </c>
      <c r="AE433" s="16">
        <f t="shared" si="35"/>
        <v>18.259758236979643</v>
      </c>
      <c r="AF433" s="16">
        <f>'Gearing Calculator'!$C$17*Braking!AD433</f>
        <v>2394.258224785005</v>
      </c>
      <c r="AG433" s="16">
        <f t="shared" si="36"/>
        <v>-8.9942082073065563</v>
      </c>
    </row>
    <row r="434" spans="29:33" x14ac:dyDescent="0.25">
      <c r="AC434" s="16">
        <v>430</v>
      </c>
      <c r="AD434" s="16">
        <f t="shared" si="37"/>
        <v>1596.7008077817436</v>
      </c>
      <c r="AE434" s="16">
        <f t="shared" si="35"/>
        <v>18.302321775993583</v>
      </c>
      <c r="AF434" s="16">
        <f>'Gearing Calculator'!$C$17*Braking!AD434</f>
        <v>2395.0512116726154</v>
      </c>
      <c r="AG434" s="16">
        <f t="shared" si="36"/>
        <v>-8.9971871212344681</v>
      </c>
    </row>
    <row r="435" spans="29:33" x14ac:dyDescent="0.25">
      <c r="AC435" s="16">
        <v>431</v>
      </c>
      <c r="AD435" s="16">
        <f t="shared" si="37"/>
        <v>1597.2294657068176</v>
      </c>
      <c r="AE435" s="16">
        <f t="shared" si="35"/>
        <v>18.34488531500752</v>
      </c>
      <c r="AF435" s="16">
        <f>'Gearing Calculator'!$C$17*Braking!AD435</f>
        <v>2395.8441985602262</v>
      </c>
      <c r="AG435" s="16">
        <f t="shared" si="36"/>
        <v>-9.0001660351623833</v>
      </c>
    </row>
    <row r="436" spans="29:33" x14ac:dyDescent="0.25">
      <c r="AC436" s="16">
        <v>432</v>
      </c>
      <c r="AD436" s="16">
        <f t="shared" si="37"/>
        <v>1597.7581236318913</v>
      </c>
      <c r="AE436" s="16">
        <f t="shared" si="35"/>
        <v>18.387448854021461</v>
      </c>
      <c r="AF436" s="16">
        <f>'Gearing Calculator'!$C$17*Braking!AD436</f>
        <v>2396.6371854478371</v>
      </c>
      <c r="AG436" s="16">
        <f t="shared" si="36"/>
        <v>-9.0031449490902968</v>
      </c>
    </row>
    <row r="437" spans="29:33" x14ac:dyDescent="0.25">
      <c r="AC437" s="16">
        <v>433</v>
      </c>
      <c r="AD437" s="16">
        <f t="shared" si="37"/>
        <v>1598.286781556965</v>
      </c>
      <c r="AE437" s="16">
        <f t="shared" si="35"/>
        <v>18.430012393035398</v>
      </c>
      <c r="AF437" s="16">
        <f>'Gearing Calculator'!$C$17*Braking!AD437</f>
        <v>2397.4301723354474</v>
      </c>
      <c r="AG437" s="16">
        <f t="shared" si="36"/>
        <v>-9.0061238630182103</v>
      </c>
    </row>
    <row r="438" spans="29:33" x14ac:dyDescent="0.25">
      <c r="AC438" s="16">
        <v>434</v>
      </c>
      <c r="AD438" s="16">
        <f t="shared" si="37"/>
        <v>1598.815439482039</v>
      </c>
      <c r="AE438" s="16">
        <f t="shared" si="35"/>
        <v>18.472575932049338</v>
      </c>
      <c r="AF438" s="16">
        <f>'Gearing Calculator'!$C$17*Braking!AD438</f>
        <v>2398.2231592230582</v>
      </c>
      <c r="AG438" s="16">
        <f t="shared" si="36"/>
        <v>-9.0091027769461238</v>
      </c>
    </row>
    <row r="439" spans="29:33" x14ac:dyDescent="0.25">
      <c r="AC439" s="16">
        <v>435</v>
      </c>
      <c r="AD439" s="16">
        <f t="shared" si="37"/>
        <v>1599.3440974071127</v>
      </c>
      <c r="AE439" s="16">
        <f t="shared" si="35"/>
        <v>18.515139471063275</v>
      </c>
      <c r="AF439" s="16">
        <f>'Gearing Calculator'!$C$17*Braking!AD439</f>
        <v>2399.0161461106691</v>
      </c>
      <c r="AG439" s="16">
        <f t="shared" si="36"/>
        <v>-9.0120816908740391</v>
      </c>
    </row>
    <row r="440" spans="29:33" x14ac:dyDescent="0.25">
      <c r="AC440" s="16">
        <v>436</v>
      </c>
      <c r="AD440" s="16">
        <f t="shared" si="37"/>
        <v>1599.8727553321867</v>
      </c>
      <c r="AE440" s="16">
        <f t="shared" si="35"/>
        <v>18.557703010077216</v>
      </c>
      <c r="AF440" s="16">
        <f>'Gearing Calculator'!$C$17*Braking!AD440</f>
        <v>2399.8091329982799</v>
      </c>
      <c r="AG440" s="16">
        <f t="shared" si="36"/>
        <v>-9.0150606048019526</v>
      </c>
    </row>
    <row r="441" spans="29:33" x14ac:dyDescent="0.25">
      <c r="AC441" s="16">
        <v>437</v>
      </c>
      <c r="AD441" s="16">
        <f t="shared" si="37"/>
        <v>1600.4014132572604</v>
      </c>
      <c r="AE441" s="16">
        <f t="shared" si="35"/>
        <v>18.600266549091153</v>
      </c>
      <c r="AF441" s="16">
        <f>'Gearing Calculator'!$C$17*Braking!AD441</f>
        <v>2400.6021198858907</v>
      </c>
      <c r="AG441" s="16">
        <f t="shared" si="36"/>
        <v>-9.0180395187298679</v>
      </c>
    </row>
    <row r="442" spans="29:33" x14ac:dyDescent="0.25">
      <c r="AC442" s="16">
        <v>438</v>
      </c>
      <c r="AD442" s="16">
        <f t="shared" si="37"/>
        <v>1600.9300711823344</v>
      </c>
      <c r="AE442" s="16">
        <f t="shared" si="35"/>
        <v>18.642830088105093</v>
      </c>
      <c r="AF442" s="16">
        <f>'Gearing Calculator'!$C$17*Braking!AD442</f>
        <v>2401.3951067735015</v>
      </c>
      <c r="AG442" s="16">
        <f t="shared" si="36"/>
        <v>-9.0210184326577831</v>
      </c>
    </row>
    <row r="443" spans="29:33" x14ac:dyDescent="0.25">
      <c r="AC443" s="16">
        <v>439</v>
      </c>
      <c r="AD443" s="16">
        <f t="shared" si="37"/>
        <v>1601.4587291074081</v>
      </c>
      <c r="AE443" s="16">
        <f t="shared" si="35"/>
        <v>18.68539362711903</v>
      </c>
      <c r="AF443" s="16">
        <f>'Gearing Calculator'!$C$17*Braking!AD443</f>
        <v>2402.1880936611124</v>
      </c>
      <c r="AG443" s="16">
        <f t="shared" si="36"/>
        <v>-9.0239973465856966</v>
      </c>
    </row>
    <row r="444" spans="29:33" x14ac:dyDescent="0.25">
      <c r="AC444" s="16">
        <v>440</v>
      </c>
      <c r="AD444" s="16">
        <f t="shared" si="37"/>
        <v>1601.9873870324818</v>
      </c>
      <c r="AE444" s="16">
        <f t="shared" si="35"/>
        <v>18.72795716613297</v>
      </c>
      <c r="AF444" s="16">
        <f>'Gearing Calculator'!$C$17*Braking!AD444</f>
        <v>2402.9810805487227</v>
      </c>
      <c r="AG444" s="16">
        <f t="shared" si="36"/>
        <v>-9.0269762605136101</v>
      </c>
    </row>
    <row r="445" spans="29:33" x14ac:dyDescent="0.25">
      <c r="AC445" s="16">
        <v>441</v>
      </c>
      <c r="AD445" s="16">
        <f t="shared" si="37"/>
        <v>1602.5160449575558</v>
      </c>
      <c r="AE445" s="16">
        <f t="shared" si="35"/>
        <v>18.770520705146907</v>
      </c>
      <c r="AF445" s="16">
        <f>'Gearing Calculator'!$C$17*Braking!AD445</f>
        <v>2403.7740674363336</v>
      </c>
      <c r="AG445" s="16">
        <f t="shared" si="36"/>
        <v>-9.0299551744415236</v>
      </c>
    </row>
    <row r="446" spans="29:33" x14ac:dyDescent="0.25">
      <c r="AC446" s="16">
        <v>442</v>
      </c>
      <c r="AD446" s="16">
        <f t="shared" si="37"/>
        <v>1603.0447028826295</v>
      </c>
      <c r="AE446" s="16">
        <f t="shared" si="35"/>
        <v>18.813084244160848</v>
      </c>
      <c r="AF446" s="16">
        <f>'Gearing Calculator'!$C$17*Braking!AD446</f>
        <v>2404.5670543239444</v>
      </c>
      <c r="AG446" s="16">
        <f t="shared" si="36"/>
        <v>-9.0329340883694389</v>
      </c>
    </row>
    <row r="447" spans="29:33" x14ac:dyDescent="0.25">
      <c r="AC447" s="16">
        <v>443</v>
      </c>
      <c r="AD447" s="16">
        <f t="shared" si="37"/>
        <v>1603.5733608077035</v>
      </c>
      <c r="AE447" s="16">
        <f t="shared" si="35"/>
        <v>18.855647783174785</v>
      </c>
      <c r="AF447" s="16">
        <f>'Gearing Calculator'!$C$17*Braking!AD447</f>
        <v>2405.3600412115552</v>
      </c>
      <c r="AG447" s="16">
        <f t="shared" si="36"/>
        <v>-9.0359130022973524</v>
      </c>
    </row>
    <row r="448" spans="29:33" x14ac:dyDescent="0.25">
      <c r="AC448" s="16">
        <v>444</v>
      </c>
      <c r="AD448" s="16">
        <f t="shared" si="37"/>
        <v>1604.1020187327772</v>
      </c>
      <c r="AE448" s="16">
        <f t="shared" si="35"/>
        <v>18.898211322188722</v>
      </c>
      <c r="AF448" s="16">
        <f>'Gearing Calculator'!$C$17*Braking!AD448</f>
        <v>2406.1530280991656</v>
      </c>
      <c r="AG448" s="16">
        <f t="shared" si="36"/>
        <v>-9.0388919162252659</v>
      </c>
    </row>
    <row r="449" spans="29:33" x14ac:dyDescent="0.25">
      <c r="AC449" s="16">
        <v>445</v>
      </c>
      <c r="AD449" s="16">
        <f t="shared" si="37"/>
        <v>1604.6306766578509</v>
      </c>
      <c r="AE449" s="16">
        <f t="shared" si="35"/>
        <v>18.940774861202662</v>
      </c>
      <c r="AF449" s="16">
        <f>'Gearing Calculator'!$C$17*Braking!AD449</f>
        <v>2406.9460149867764</v>
      </c>
      <c r="AG449" s="16">
        <f t="shared" si="36"/>
        <v>-9.0418708301531794</v>
      </c>
    </row>
    <row r="450" spans="29:33" x14ac:dyDescent="0.25">
      <c r="AC450" s="16">
        <v>446</v>
      </c>
      <c r="AD450" s="16">
        <f t="shared" si="37"/>
        <v>1605.1593345829249</v>
      </c>
      <c r="AE450" s="16">
        <f t="shared" si="35"/>
        <v>18.983338400216599</v>
      </c>
      <c r="AF450" s="16">
        <f>'Gearing Calculator'!$C$17*Braking!AD450</f>
        <v>2407.7390018743872</v>
      </c>
      <c r="AG450" s="16">
        <f t="shared" si="36"/>
        <v>-9.0448497440810947</v>
      </c>
    </row>
    <row r="451" spans="29:33" x14ac:dyDescent="0.25">
      <c r="AC451" s="16">
        <v>447</v>
      </c>
      <c r="AD451" s="16">
        <f t="shared" si="37"/>
        <v>1605.6879925079986</v>
      </c>
      <c r="AE451" s="16">
        <f t="shared" si="35"/>
        <v>19.02590193923054</v>
      </c>
      <c r="AF451" s="16">
        <f>'Gearing Calculator'!$C$17*Braking!AD451</f>
        <v>2408.531988761998</v>
      </c>
      <c r="AG451" s="16">
        <f t="shared" si="36"/>
        <v>-9.0478286580090082</v>
      </c>
    </row>
    <row r="452" spans="29:33" x14ac:dyDescent="0.25">
      <c r="AC452" s="16">
        <v>448</v>
      </c>
      <c r="AD452" s="16">
        <f t="shared" si="37"/>
        <v>1606.2166504330726</v>
      </c>
      <c r="AE452" s="16">
        <f t="shared" si="35"/>
        <v>19.068465478244477</v>
      </c>
      <c r="AF452" s="16">
        <f>'Gearing Calculator'!$C$17*Braking!AD452</f>
        <v>2409.3249756496089</v>
      </c>
      <c r="AG452" s="16">
        <f t="shared" si="36"/>
        <v>-9.0508075719369234</v>
      </c>
    </row>
    <row r="453" spans="29:33" x14ac:dyDescent="0.25">
      <c r="AC453" s="16">
        <v>449</v>
      </c>
      <c r="AD453" s="16">
        <f t="shared" si="37"/>
        <v>1606.7453083581463</v>
      </c>
      <c r="AE453" s="16">
        <f t="shared" si="35"/>
        <v>19.111029017258417</v>
      </c>
      <c r="AF453" s="16">
        <f>'Gearing Calculator'!$C$17*Braking!AD453</f>
        <v>2410.1179625372197</v>
      </c>
      <c r="AG453" s="16">
        <f t="shared" si="36"/>
        <v>-9.0537864858648369</v>
      </c>
    </row>
    <row r="454" spans="29:33" x14ac:dyDescent="0.25">
      <c r="AC454" s="16">
        <v>450</v>
      </c>
      <c r="AD454" s="16">
        <f t="shared" si="37"/>
        <v>1607.27396628322</v>
      </c>
      <c r="AE454" s="16">
        <f t="shared" ref="AE454:AE517" si="38">(AC454/$X$104)*100</f>
        <v>19.153592556272354</v>
      </c>
      <c r="AF454" s="16">
        <f>'Gearing Calculator'!$C$17*Braking!AD454</f>
        <v>2410.9109494248301</v>
      </c>
      <c r="AG454" s="16">
        <f t="shared" ref="AG454:AG517" si="39">-(AF454/$C$3)</f>
        <v>-9.0567653997927504</v>
      </c>
    </row>
    <row r="455" spans="29:33" x14ac:dyDescent="0.25">
      <c r="AC455" s="16">
        <v>451</v>
      </c>
      <c r="AD455" s="16">
        <f t="shared" ref="AD455:AD518" si="40">($C$3*$C$4)*($C$9/$C$8)+(AC455*($C$10/$C$8))</f>
        <v>1607.802624208294</v>
      </c>
      <c r="AE455" s="16">
        <f t="shared" si="38"/>
        <v>19.196156095286295</v>
      </c>
      <c r="AF455" s="16">
        <f>'Gearing Calculator'!$C$17*Braking!AD455</f>
        <v>2411.7039363124409</v>
      </c>
      <c r="AG455" s="16">
        <f t="shared" si="39"/>
        <v>-9.0597443137206657</v>
      </c>
    </row>
    <row r="456" spans="29:33" x14ac:dyDescent="0.25">
      <c r="AC456" s="16">
        <v>452</v>
      </c>
      <c r="AD456" s="16">
        <f t="shared" si="40"/>
        <v>1608.3312821333677</v>
      </c>
      <c r="AE456" s="16">
        <f t="shared" si="38"/>
        <v>19.238719634300232</v>
      </c>
      <c r="AF456" s="16">
        <f>'Gearing Calculator'!$C$17*Braking!AD456</f>
        <v>2412.4969232000517</v>
      </c>
      <c r="AG456" s="16">
        <f t="shared" si="39"/>
        <v>-9.0627232276485792</v>
      </c>
    </row>
    <row r="457" spans="29:33" x14ac:dyDescent="0.25">
      <c r="AC457" s="16">
        <v>453</v>
      </c>
      <c r="AD457" s="16">
        <f t="shared" si="40"/>
        <v>1608.8599400584417</v>
      </c>
      <c r="AE457" s="16">
        <f t="shared" si="38"/>
        <v>19.281283173314172</v>
      </c>
      <c r="AF457" s="16">
        <f>'Gearing Calculator'!$C$17*Braking!AD457</f>
        <v>2413.2899100876625</v>
      </c>
      <c r="AG457" s="16">
        <f t="shared" si="39"/>
        <v>-9.0657021415764945</v>
      </c>
    </row>
    <row r="458" spans="29:33" x14ac:dyDescent="0.25">
      <c r="AC458" s="16">
        <v>454</v>
      </c>
      <c r="AD458" s="16">
        <f t="shared" si="40"/>
        <v>1609.3885979835154</v>
      </c>
      <c r="AE458" s="16">
        <f t="shared" si="38"/>
        <v>19.323846712328109</v>
      </c>
      <c r="AF458" s="16">
        <f>'Gearing Calculator'!$C$17*Braking!AD458</f>
        <v>2414.0828969752729</v>
      </c>
      <c r="AG458" s="16">
        <f t="shared" si="39"/>
        <v>-9.0686810555044062</v>
      </c>
    </row>
    <row r="459" spans="29:33" x14ac:dyDescent="0.25">
      <c r="AC459" s="16">
        <v>455</v>
      </c>
      <c r="AD459" s="16">
        <f t="shared" si="40"/>
        <v>1609.9172559085891</v>
      </c>
      <c r="AE459" s="16">
        <f t="shared" si="38"/>
        <v>19.366410251342046</v>
      </c>
      <c r="AF459" s="16">
        <f>'Gearing Calculator'!$C$17*Braking!AD459</f>
        <v>2414.8758838628837</v>
      </c>
      <c r="AG459" s="16">
        <f t="shared" si="39"/>
        <v>-9.0716599694323214</v>
      </c>
    </row>
    <row r="460" spans="29:33" x14ac:dyDescent="0.25">
      <c r="AC460" s="16">
        <v>456</v>
      </c>
      <c r="AD460" s="16">
        <f t="shared" si="40"/>
        <v>1610.4459138336631</v>
      </c>
      <c r="AE460" s="16">
        <f t="shared" si="38"/>
        <v>19.408973790355986</v>
      </c>
      <c r="AF460" s="16">
        <f>'Gearing Calculator'!$C$17*Braking!AD460</f>
        <v>2415.6688707504945</v>
      </c>
      <c r="AG460" s="16">
        <f t="shared" si="39"/>
        <v>-9.0746388833602349</v>
      </c>
    </row>
    <row r="461" spans="29:33" x14ac:dyDescent="0.25">
      <c r="AC461" s="16">
        <v>457</v>
      </c>
      <c r="AD461" s="16">
        <f t="shared" si="40"/>
        <v>1610.9745717587368</v>
      </c>
      <c r="AE461" s="16">
        <f t="shared" si="38"/>
        <v>19.451537329369923</v>
      </c>
      <c r="AF461" s="16">
        <f>'Gearing Calculator'!$C$17*Braking!AD461</f>
        <v>2416.4618576381054</v>
      </c>
      <c r="AG461" s="16">
        <f t="shared" si="39"/>
        <v>-9.0776177972881502</v>
      </c>
    </row>
    <row r="462" spans="29:33" x14ac:dyDescent="0.25">
      <c r="AC462" s="16">
        <v>458</v>
      </c>
      <c r="AD462" s="16">
        <f t="shared" si="40"/>
        <v>1611.5032296838108</v>
      </c>
      <c r="AE462" s="16">
        <f t="shared" si="38"/>
        <v>19.494100868383864</v>
      </c>
      <c r="AF462" s="16">
        <f>'Gearing Calculator'!$C$17*Braking!AD462</f>
        <v>2417.2548445257162</v>
      </c>
      <c r="AG462" s="16">
        <f t="shared" si="39"/>
        <v>-9.0805967112160637</v>
      </c>
    </row>
    <row r="463" spans="29:33" x14ac:dyDescent="0.25">
      <c r="AC463" s="16">
        <v>459</v>
      </c>
      <c r="AD463" s="16">
        <f t="shared" si="40"/>
        <v>1612.0318876088845</v>
      </c>
      <c r="AE463" s="16">
        <f t="shared" si="38"/>
        <v>19.536664407397801</v>
      </c>
      <c r="AF463" s="16">
        <f>'Gearing Calculator'!$C$17*Braking!AD463</f>
        <v>2418.047831413327</v>
      </c>
      <c r="AG463" s="16">
        <f t="shared" si="39"/>
        <v>-9.083575625143979</v>
      </c>
    </row>
    <row r="464" spans="29:33" x14ac:dyDescent="0.25">
      <c r="AC464" s="16">
        <v>460</v>
      </c>
      <c r="AD464" s="16">
        <f t="shared" si="40"/>
        <v>1612.5605455339582</v>
      </c>
      <c r="AE464" s="16">
        <f t="shared" si="38"/>
        <v>19.579227946411741</v>
      </c>
      <c r="AF464" s="16">
        <f>'Gearing Calculator'!$C$17*Braking!AD464</f>
        <v>2418.8408183009374</v>
      </c>
      <c r="AG464" s="16">
        <f t="shared" si="39"/>
        <v>-9.0865545390718907</v>
      </c>
    </row>
    <row r="465" spans="29:33" x14ac:dyDescent="0.25">
      <c r="AC465" s="16">
        <v>461</v>
      </c>
      <c r="AD465" s="16">
        <f t="shared" si="40"/>
        <v>1613.0892034590322</v>
      </c>
      <c r="AE465" s="16">
        <f t="shared" si="38"/>
        <v>19.621791485425678</v>
      </c>
      <c r="AF465" s="16">
        <f>'Gearing Calculator'!$C$17*Braking!AD465</f>
        <v>2419.6338051885482</v>
      </c>
      <c r="AG465" s="16">
        <f t="shared" si="39"/>
        <v>-9.089533452999806</v>
      </c>
    </row>
    <row r="466" spans="29:33" x14ac:dyDescent="0.25">
      <c r="AC466" s="16">
        <v>462</v>
      </c>
      <c r="AD466" s="16">
        <f t="shared" si="40"/>
        <v>1613.6178613841059</v>
      </c>
      <c r="AE466" s="16">
        <f t="shared" si="38"/>
        <v>19.664355024439615</v>
      </c>
      <c r="AF466" s="16">
        <f>'Gearing Calculator'!$C$17*Braking!AD466</f>
        <v>2420.426792076159</v>
      </c>
      <c r="AG466" s="16">
        <f t="shared" si="39"/>
        <v>-9.0925123669277195</v>
      </c>
    </row>
    <row r="467" spans="29:33" x14ac:dyDescent="0.25">
      <c r="AC467" s="16">
        <v>463</v>
      </c>
      <c r="AD467" s="16">
        <f t="shared" si="40"/>
        <v>1614.1465193091799</v>
      </c>
      <c r="AE467" s="16">
        <f t="shared" si="38"/>
        <v>19.706918563453556</v>
      </c>
      <c r="AF467" s="16">
        <f>'Gearing Calculator'!$C$17*Braking!AD467</f>
        <v>2421.2197789637698</v>
      </c>
      <c r="AG467" s="16">
        <f t="shared" si="39"/>
        <v>-9.0954912808556347</v>
      </c>
    </row>
    <row r="468" spans="29:33" x14ac:dyDescent="0.25">
      <c r="AC468" s="16">
        <v>464</v>
      </c>
      <c r="AD468" s="16">
        <f t="shared" si="40"/>
        <v>1614.6751772342536</v>
      </c>
      <c r="AE468" s="16">
        <f t="shared" si="38"/>
        <v>19.749482102467493</v>
      </c>
      <c r="AF468" s="16">
        <f>'Gearing Calculator'!$C$17*Braking!AD468</f>
        <v>2422.0127658513802</v>
      </c>
      <c r="AG468" s="16">
        <f t="shared" si="39"/>
        <v>-9.0984701947835482</v>
      </c>
    </row>
    <row r="469" spans="29:33" x14ac:dyDescent="0.25">
      <c r="AC469" s="16">
        <v>465</v>
      </c>
      <c r="AD469" s="16">
        <f t="shared" si="40"/>
        <v>1615.2038351593274</v>
      </c>
      <c r="AE469" s="16">
        <f t="shared" si="38"/>
        <v>19.792045641481433</v>
      </c>
      <c r="AF469" s="16">
        <f>'Gearing Calculator'!$C$17*Braking!AD469</f>
        <v>2422.805752738991</v>
      </c>
      <c r="AG469" s="16">
        <f t="shared" si="39"/>
        <v>-9.1014491087114617</v>
      </c>
    </row>
    <row r="470" spans="29:33" x14ac:dyDescent="0.25">
      <c r="AC470" s="16">
        <v>466</v>
      </c>
      <c r="AD470" s="16">
        <f t="shared" si="40"/>
        <v>1615.7324930844013</v>
      </c>
      <c r="AE470" s="16">
        <f t="shared" si="38"/>
        <v>19.83460918049537</v>
      </c>
      <c r="AF470" s="16">
        <f>'Gearing Calculator'!$C$17*Braking!AD470</f>
        <v>2423.5987396266019</v>
      </c>
      <c r="AG470" s="16">
        <f t="shared" si="39"/>
        <v>-9.104428022639377</v>
      </c>
    </row>
    <row r="471" spans="29:33" x14ac:dyDescent="0.25">
      <c r="AC471" s="16">
        <v>467</v>
      </c>
      <c r="AD471" s="16">
        <f t="shared" si="40"/>
        <v>1616.261151009475</v>
      </c>
      <c r="AE471" s="16">
        <f t="shared" si="38"/>
        <v>19.877172719509311</v>
      </c>
      <c r="AF471" s="16">
        <f>'Gearing Calculator'!$C$17*Braking!AD471</f>
        <v>2424.3917265142127</v>
      </c>
      <c r="AG471" s="16">
        <f t="shared" si="39"/>
        <v>-9.1074069365672905</v>
      </c>
    </row>
    <row r="472" spans="29:33" x14ac:dyDescent="0.25">
      <c r="AC472" s="16">
        <v>468</v>
      </c>
      <c r="AD472" s="16">
        <f t="shared" si="40"/>
        <v>1616.789808934549</v>
      </c>
      <c r="AE472" s="16">
        <f t="shared" si="38"/>
        <v>19.919736258523248</v>
      </c>
      <c r="AF472" s="16">
        <f>'Gearing Calculator'!$C$17*Braking!AD472</f>
        <v>2425.1847134018235</v>
      </c>
      <c r="AG472" s="16">
        <f t="shared" si="39"/>
        <v>-9.1103858504952058</v>
      </c>
    </row>
    <row r="473" spans="29:33" x14ac:dyDescent="0.25">
      <c r="AC473" s="16">
        <v>469</v>
      </c>
      <c r="AD473" s="16">
        <f t="shared" si="40"/>
        <v>1617.3184668596227</v>
      </c>
      <c r="AE473" s="16">
        <f t="shared" si="38"/>
        <v>19.962299797537185</v>
      </c>
      <c r="AF473" s="16">
        <f>'Gearing Calculator'!$C$17*Braking!AD473</f>
        <v>2425.9777002894343</v>
      </c>
      <c r="AG473" s="16">
        <f t="shared" si="39"/>
        <v>-9.1133647644231193</v>
      </c>
    </row>
    <row r="474" spans="29:33" x14ac:dyDescent="0.25">
      <c r="AC474" s="16">
        <v>470</v>
      </c>
      <c r="AD474" s="16">
        <f t="shared" si="40"/>
        <v>1617.8471247846965</v>
      </c>
      <c r="AE474" s="16">
        <f t="shared" si="38"/>
        <v>20.004863336551125</v>
      </c>
      <c r="AF474" s="16">
        <f>'Gearing Calculator'!$C$17*Braking!AD474</f>
        <v>2426.7706871770447</v>
      </c>
      <c r="AG474" s="16">
        <f t="shared" si="39"/>
        <v>-9.1163436783510328</v>
      </c>
    </row>
    <row r="475" spans="29:33" x14ac:dyDescent="0.25">
      <c r="AC475" s="16">
        <v>471</v>
      </c>
      <c r="AD475" s="16">
        <f t="shared" si="40"/>
        <v>1618.3757827097704</v>
      </c>
      <c r="AE475" s="16">
        <f t="shared" si="38"/>
        <v>20.047426875565062</v>
      </c>
      <c r="AF475" s="16">
        <f>'Gearing Calculator'!$C$17*Braking!AD475</f>
        <v>2427.5636740646555</v>
      </c>
      <c r="AG475" s="16">
        <f t="shared" si="39"/>
        <v>-9.1193225922789463</v>
      </c>
    </row>
    <row r="476" spans="29:33" x14ac:dyDescent="0.25">
      <c r="AC476" s="16">
        <v>472</v>
      </c>
      <c r="AD476" s="16">
        <f t="shared" si="40"/>
        <v>1618.9044406348441</v>
      </c>
      <c r="AE476" s="16">
        <f t="shared" si="38"/>
        <v>20.089990414579002</v>
      </c>
      <c r="AF476" s="16">
        <f>'Gearing Calculator'!$C$17*Braking!AD476</f>
        <v>2428.3566609522663</v>
      </c>
      <c r="AG476" s="16">
        <f t="shared" si="39"/>
        <v>-9.1223015062068615</v>
      </c>
    </row>
    <row r="477" spans="29:33" x14ac:dyDescent="0.25">
      <c r="AC477" s="16">
        <v>473</v>
      </c>
      <c r="AD477" s="16">
        <f t="shared" si="40"/>
        <v>1619.4330985599181</v>
      </c>
      <c r="AE477" s="16">
        <f t="shared" si="38"/>
        <v>20.132553953592939</v>
      </c>
      <c r="AF477" s="16">
        <f>'Gearing Calculator'!$C$17*Braking!AD477</f>
        <v>2429.1496478398772</v>
      </c>
      <c r="AG477" s="16">
        <f t="shared" si="39"/>
        <v>-9.125280420134775</v>
      </c>
    </row>
    <row r="478" spans="29:33" x14ac:dyDescent="0.25">
      <c r="AC478" s="16">
        <v>474</v>
      </c>
      <c r="AD478" s="16">
        <f t="shared" si="40"/>
        <v>1619.9617564849918</v>
      </c>
      <c r="AE478" s="16">
        <f t="shared" si="38"/>
        <v>20.17511749260688</v>
      </c>
      <c r="AF478" s="16">
        <f>'Gearing Calculator'!$C$17*Braking!AD478</f>
        <v>2429.9426347274875</v>
      </c>
      <c r="AG478" s="16">
        <f t="shared" si="39"/>
        <v>-9.1282593340626885</v>
      </c>
    </row>
    <row r="479" spans="29:33" x14ac:dyDescent="0.25">
      <c r="AC479" s="16">
        <v>475</v>
      </c>
      <c r="AD479" s="16">
        <f t="shared" si="40"/>
        <v>1620.4904144100656</v>
      </c>
      <c r="AE479" s="16">
        <f t="shared" si="38"/>
        <v>20.217681031620817</v>
      </c>
      <c r="AF479" s="16">
        <f>'Gearing Calculator'!$C$17*Braking!AD479</f>
        <v>2430.7356216150984</v>
      </c>
      <c r="AG479" s="16">
        <f t="shared" si="39"/>
        <v>-9.131238247990602</v>
      </c>
    </row>
    <row r="480" spans="29:33" x14ac:dyDescent="0.25">
      <c r="AC480" s="16">
        <v>476</v>
      </c>
      <c r="AD480" s="16">
        <f t="shared" si="40"/>
        <v>1621.0190723351395</v>
      </c>
      <c r="AE480" s="16">
        <f t="shared" si="38"/>
        <v>20.260244570634754</v>
      </c>
      <c r="AF480" s="16">
        <f>'Gearing Calculator'!$C$17*Braking!AD480</f>
        <v>2431.5286085027092</v>
      </c>
      <c r="AG480" s="16">
        <f t="shared" si="39"/>
        <v>-9.1342171619185173</v>
      </c>
    </row>
    <row r="481" spans="29:33" x14ac:dyDescent="0.25">
      <c r="AC481" s="16">
        <v>477</v>
      </c>
      <c r="AD481" s="16">
        <f t="shared" si="40"/>
        <v>1621.5477302602133</v>
      </c>
      <c r="AE481" s="16">
        <f t="shared" si="38"/>
        <v>20.302808109648694</v>
      </c>
      <c r="AF481" s="16">
        <f>'Gearing Calculator'!$C$17*Braking!AD481</f>
        <v>2432.32159539032</v>
      </c>
      <c r="AG481" s="16">
        <f t="shared" si="39"/>
        <v>-9.1371960758464308</v>
      </c>
    </row>
    <row r="482" spans="29:33" x14ac:dyDescent="0.25">
      <c r="AC482" s="16">
        <v>478</v>
      </c>
      <c r="AD482" s="16">
        <f t="shared" si="40"/>
        <v>1622.0763881852872</v>
      </c>
      <c r="AE482" s="16">
        <f t="shared" si="38"/>
        <v>20.345371648662631</v>
      </c>
      <c r="AF482" s="16">
        <f>'Gearing Calculator'!$C$17*Braking!AD482</f>
        <v>2433.1145822779308</v>
      </c>
      <c r="AG482" s="16">
        <f t="shared" si="39"/>
        <v>-9.1401749897743461</v>
      </c>
    </row>
    <row r="483" spans="29:33" x14ac:dyDescent="0.25">
      <c r="AC483" s="16">
        <v>479</v>
      </c>
      <c r="AD483" s="16">
        <f t="shared" si="40"/>
        <v>1622.6050461103609</v>
      </c>
      <c r="AE483" s="16">
        <f t="shared" si="38"/>
        <v>20.387935187676572</v>
      </c>
      <c r="AF483" s="16">
        <f>'Gearing Calculator'!$C$17*Braking!AD483</f>
        <v>2433.9075691655416</v>
      </c>
      <c r="AG483" s="16">
        <f t="shared" si="39"/>
        <v>-9.1431539037022613</v>
      </c>
    </row>
    <row r="484" spans="29:33" x14ac:dyDescent="0.25">
      <c r="AC484" s="16">
        <v>480</v>
      </c>
      <c r="AD484" s="16">
        <f t="shared" si="40"/>
        <v>1623.1337040354347</v>
      </c>
      <c r="AE484" s="16">
        <f t="shared" si="38"/>
        <v>20.430498726690509</v>
      </c>
      <c r="AF484" s="16">
        <f>'Gearing Calculator'!$C$17*Braking!AD484</f>
        <v>2434.700556053152</v>
      </c>
      <c r="AG484" s="16">
        <f t="shared" si="39"/>
        <v>-9.1461328176301731</v>
      </c>
    </row>
    <row r="485" spans="29:33" x14ac:dyDescent="0.25">
      <c r="AC485" s="16">
        <v>481</v>
      </c>
      <c r="AD485" s="16">
        <f t="shared" si="40"/>
        <v>1623.6623619605086</v>
      </c>
      <c r="AE485" s="16">
        <f t="shared" si="38"/>
        <v>20.473062265704449</v>
      </c>
      <c r="AF485" s="16">
        <f>'Gearing Calculator'!$C$17*Braking!AD485</f>
        <v>2435.4935429407628</v>
      </c>
      <c r="AG485" s="16">
        <f t="shared" si="39"/>
        <v>-9.1491117315580883</v>
      </c>
    </row>
    <row r="486" spans="29:33" x14ac:dyDescent="0.25">
      <c r="AC486" s="16">
        <v>482</v>
      </c>
      <c r="AD486" s="16">
        <f t="shared" si="40"/>
        <v>1624.1910198855824</v>
      </c>
      <c r="AE486" s="16">
        <f t="shared" si="38"/>
        <v>20.515625804718386</v>
      </c>
      <c r="AF486" s="16">
        <f>'Gearing Calculator'!$C$17*Braking!AD486</f>
        <v>2436.2865298283737</v>
      </c>
      <c r="AG486" s="16">
        <f t="shared" si="39"/>
        <v>-9.1520906454860018</v>
      </c>
    </row>
    <row r="487" spans="29:33" x14ac:dyDescent="0.25">
      <c r="AC487" s="16">
        <v>483</v>
      </c>
      <c r="AD487" s="16">
        <f t="shared" si="40"/>
        <v>1624.7196778106563</v>
      </c>
      <c r="AE487" s="16">
        <f t="shared" si="38"/>
        <v>20.558189343732323</v>
      </c>
      <c r="AF487" s="16">
        <f>'Gearing Calculator'!$C$17*Braking!AD487</f>
        <v>2437.0795167159845</v>
      </c>
      <c r="AG487" s="16">
        <f t="shared" si="39"/>
        <v>-9.1550695594139171</v>
      </c>
    </row>
    <row r="488" spans="29:33" x14ac:dyDescent="0.25">
      <c r="AC488" s="16">
        <v>484</v>
      </c>
      <c r="AD488" s="16">
        <f t="shared" si="40"/>
        <v>1625.2483357357301</v>
      </c>
      <c r="AE488" s="16">
        <f t="shared" si="38"/>
        <v>20.600752882746264</v>
      </c>
      <c r="AF488" s="16">
        <f>'Gearing Calculator'!$C$17*Braking!AD488</f>
        <v>2437.8725036035949</v>
      </c>
      <c r="AG488" s="16">
        <f t="shared" si="39"/>
        <v>-9.1580484733418288</v>
      </c>
    </row>
    <row r="489" spans="29:33" x14ac:dyDescent="0.25">
      <c r="AC489" s="16">
        <v>485</v>
      </c>
      <c r="AD489" s="16">
        <f t="shared" si="40"/>
        <v>1625.7769936608038</v>
      </c>
      <c r="AE489" s="16">
        <f t="shared" si="38"/>
        <v>20.643316421760201</v>
      </c>
      <c r="AF489" s="16">
        <f>'Gearing Calculator'!$C$17*Braking!AD489</f>
        <v>2438.6654904912057</v>
      </c>
      <c r="AG489" s="16">
        <f t="shared" si="39"/>
        <v>-9.1610273872697441</v>
      </c>
    </row>
    <row r="490" spans="29:33" x14ac:dyDescent="0.25">
      <c r="AC490" s="16">
        <v>486</v>
      </c>
      <c r="AD490" s="16">
        <f t="shared" si="40"/>
        <v>1626.3056515858777</v>
      </c>
      <c r="AE490" s="16">
        <f t="shared" si="38"/>
        <v>20.685879960774141</v>
      </c>
      <c r="AF490" s="16">
        <f>'Gearing Calculator'!$C$17*Braking!AD490</f>
        <v>2439.4584773788165</v>
      </c>
      <c r="AG490" s="16">
        <f t="shared" si="39"/>
        <v>-9.1640063011976576</v>
      </c>
    </row>
    <row r="491" spans="29:33" x14ac:dyDescent="0.25">
      <c r="AC491" s="16">
        <v>487</v>
      </c>
      <c r="AD491" s="16">
        <f t="shared" si="40"/>
        <v>1626.8343095109515</v>
      </c>
      <c r="AE491" s="16">
        <f t="shared" si="38"/>
        <v>20.728443499788078</v>
      </c>
      <c r="AF491" s="16">
        <f>'Gearing Calculator'!$C$17*Braking!AD491</f>
        <v>2440.2514642664273</v>
      </c>
      <c r="AG491" s="16">
        <f t="shared" si="39"/>
        <v>-9.1669852151255729</v>
      </c>
    </row>
    <row r="492" spans="29:33" x14ac:dyDescent="0.25">
      <c r="AC492" s="16">
        <v>488</v>
      </c>
      <c r="AD492" s="16">
        <f t="shared" si="40"/>
        <v>1627.3629674360254</v>
      </c>
      <c r="AE492" s="16">
        <f t="shared" si="38"/>
        <v>20.771007038802018</v>
      </c>
      <c r="AF492" s="16">
        <f>'Gearing Calculator'!$C$17*Braking!AD492</f>
        <v>2441.0444511540381</v>
      </c>
      <c r="AG492" s="16">
        <f t="shared" si="39"/>
        <v>-9.1699641290534863</v>
      </c>
    </row>
    <row r="493" spans="29:33" x14ac:dyDescent="0.25">
      <c r="AC493" s="16">
        <v>489</v>
      </c>
      <c r="AD493" s="16">
        <f t="shared" si="40"/>
        <v>1627.8916253610992</v>
      </c>
      <c r="AE493" s="16">
        <f t="shared" si="38"/>
        <v>20.813570577815955</v>
      </c>
      <c r="AF493" s="16">
        <f>'Gearing Calculator'!$C$17*Braking!AD493</f>
        <v>2441.837438041649</v>
      </c>
      <c r="AG493" s="16">
        <f t="shared" si="39"/>
        <v>-9.1729430429814016</v>
      </c>
    </row>
    <row r="494" spans="29:33" x14ac:dyDescent="0.25">
      <c r="AC494" s="16">
        <v>490</v>
      </c>
      <c r="AD494" s="16">
        <f t="shared" si="40"/>
        <v>1628.4202832861729</v>
      </c>
      <c r="AE494" s="16">
        <f t="shared" si="38"/>
        <v>20.856134116829896</v>
      </c>
      <c r="AF494" s="16">
        <f>'Gearing Calculator'!$C$17*Braking!AD494</f>
        <v>2442.6304249292593</v>
      </c>
      <c r="AG494" s="16">
        <f t="shared" si="39"/>
        <v>-9.1759219569093133</v>
      </c>
    </row>
    <row r="495" spans="29:33" x14ac:dyDescent="0.25">
      <c r="AC495" s="16">
        <v>491</v>
      </c>
      <c r="AD495" s="16">
        <f t="shared" si="40"/>
        <v>1628.9489412112468</v>
      </c>
      <c r="AE495" s="16">
        <f t="shared" si="38"/>
        <v>20.898697655843833</v>
      </c>
      <c r="AF495" s="16">
        <f>'Gearing Calculator'!$C$17*Braking!AD495</f>
        <v>2443.4234118168702</v>
      </c>
      <c r="AG495" s="16">
        <f t="shared" si="39"/>
        <v>-9.1789008708372286</v>
      </c>
    </row>
    <row r="496" spans="29:33" x14ac:dyDescent="0.25">
      <c r="AC496" s="16">
        <v>492</v>
      </c>
      <c r="AD496" s="16">
        <f t="shared" si="40"/>
        <v>1629.4775991363206</v>
      </c>
      <c r="AE496" s="16">
        <f t="shared" si="38"/>
        <v>20.941261194857773</v>
      </c>
      <c r="AF496" s="16">
        <f>'Gearing Calculator'!$C$17*Braking!AD496</f>
        <v>2444.216398704481</v>
      </c>
      <c r="AG496" s="16">
        <f t="shared" si="39"/>
        <v>-9.1818797847651439</v>
      </c>
    </row>
    <row r="497" spans="29:33" x14ac:dyDescent="0.25">
      <c r="AC497" s="16">
        <v>493</v>
      </c>
      <c r="AD497" s="16">
        <f t="shared" si="40"/>
        <v>1630.0062570613945</v>
      </c>
      <c r="AE497" s="16">
        <f t="shared" si="38"/>
        <v>20.98382473387171</v>
      </c>
      <c r="AF497" s="16">
        <f>'Gearing Calculator'!$C$17*Braking!AD497</f>
        <v>2445.0093855920918</v>
      </c>
      <c r="AG497" s="16">
        <f t="shared" si="39"/>
        <v>-9.1848586986930574</v>
      </c>
    </row>
    <row r="498" spans="29:33" x14ac:dyDescent="0.25">
      <c r="AC498" s="16">
        <v>494</v>
      </c>
      <c r="AD498" s="16">
        <f t="shared" si="40"/>
        <v>1630.5349149864683</v>
      </c>
      <c r="AE498" s="16">
        <f t="shared" si="38"/>
        <v>21.026388272885651</v>
      </c>
      <c r="AF498" s="16">
        <f>'Gearing Calculator'!$C$17*Braking!AD498</f>
        <v>2445.8023724797022</v>
      </c>
      <c r="AG498" s="16">
        <f t="shared" si="39"/>
        <v>-9.1878376126209709</v>
      </c>
    </row>
    <row r="499" spans="29:33" x14ac:dyDescent="0.25">
      <c r="AC499" s="16">
        <v>495</v>
      </c>
      <c r="AD499" s="16">
        <f t="shared" si="40"/>
        <v>1631.063572911542</v>
      </c>
      <c r="AE499" s="16">
        <f t="shared" si="38"/>
        <v>21.068951811899588</v>
      </c>
      <c r="AF499" s="16">
        <f>'Gearing Calculator'!$C$17*Braking!AD499</f>
        <v>2446.595359367313</v>
      </c>
      <c r="AG499" s="16">
        <f t="shared" si="39"/>
        <v>-9.1908165265488844</v>
      </c>
    </row>
    <row r="500" spans="29:33" x14ac:dyDescent="0.25">
      <c r="AC500" s="16">
        <v>496</v>
      </c>
      <c r="AD500" s="16">
        <f t="shared" si="40"/>
        <v>1631.592230836616</v>
      </c>
      <c r="AE500" s="16">
        <f t="shared" si="38"/>
        <v>21.111515350913525</v>
      </c>
      <c r="AF500" s="16">
        <f>'Gearing Calculator'!$C$17*Braking!AD500</f>
        <v>2447.3883462549238</v>
      </c>
      <c r="AG500" s="16">
        <f t="shared" si="39"/>
        <v>-9.1937954404767996</v>
      </c>
    </row>
    <row r="501" spans="29:33" x14ac:dyDescent="0.25">
      <c r="AC501" s="16">
        <v>497</v>
      </c>
      <c r="AD501" s="16">
        <f t="shared" si="40"/>
        <v>1632.1208887616897</v>
      </c>
      <c r="AE501" s="16">
        <f t="shared" si="38"/>
        <v>21.154078889927465</v>
      </c>
      <c r="AF501" s="16">
        <f>'Gearing Calculator'!$C$17*Braking!AD501</f>
        <v>2448.1813331425346</v>
      </c>
      <c r="AG501" s="16">
        <f t="shared" si="39"/>
        <v>-9.1967743544047131</v>
      </c>
    </row>
    <row r="502" spans="29:33" x14ac:dyDescent="0.25">
      <c r="AC502" s="16">
        <v>498</v>
      </c>
      <c r="AD502" s="16">
        <f t="shared" si="40"/>
        <v>1632.6495466867636</v>
      </c>
      <c r="AE502" s="16">
        <f t="shared" si="38"/>
        <v>21.196642428941402</v>
      </c>
      <c r="AF502" s="16">
        <f>'Gearing Calculator'!$C$17*Braking!AD502</f>
        <v>2448.9743200301455</v>
      </c>
      <c r="AG502" s="16">
        <f t="shared" si="39"/>
        <v>-9.1997532683326284</v>
      </c>
    </row>
    <row r="503" spans="29:33" x14ac:dyDescent="0.25">
      <c r="AC503" s="16">
        <v>499</v>
      </c>
      <c r="AD503" s="16">
        <f t="shared" si="40"/>
        <v>1633.1782046118374</v>
      </c>
      <c r="AE503" s="16">
        <f t="shared" si="38"/>
        <v>21.239205967955343</v>
      </c>
      <c r="AF503" s="16">
        <f>'Gearing Calculator'!$C$17*Braking!AD503</f>
        <v>2449.7673069177563</v>
      </c>
      <c r="AG503" s="16">
        <f t="shared" si="39"/>
        <v>-9.2027321822605419</v>
      </c>
    </row>
    <row r="504" spans="29:33" x14ac:dyDescent="0.25">
      <c r="AC504" s="16">
        <v>500</v>
      </c>
      <c r="AD504" s="16">
        <f t="shared" si="40"/>
        <v>1633.7068625369111</v>
      </c>
      <c r="AE504" s="16">
        <f t="shared" si="38"/>
        <v>21.28176950696928</v>
      </c>
      <c r="AF504" s="16">
        <f>'Gearing Calculator'!$C$17*Braking!AD504</f>
        <v>2450.5602938053667</v>
      </c>
      <c r="AG504" s="16">
        <f t="shared" si="39"/>
        <v>-9.2057110961884554</v>
      </c>
    </row>
    <row r="505" spans="29:33" x14ac:dyDescent="0.25">
      <c r="AC505" s="16">
        <v>501</v>
      </c>
      <c r="AD505" s="16">
        <f t="shared" si="40"/>
        <v>1634.2355204619851</v>
      </c>
      <c r="AE505" s="16">
        <f t="shared" si="38"/>
        <v>21.32433304598322</v>
      </c>
      <c r="AF505" s="16">
        <f>'Gearing Calculator'!$C$17*Braking!AD505</f>
        <v>2451.3532806929775</v>
      </c>
      <c r="AG505" s="16">
        <f t="shared" si="39"/>
        <v>-9.2086900101163689</v>
      </c>
    </row>
    <row r="506" spans="29:33" x14ac:dyDescent="0.25">
      <c r="AC506" s="16">
        <v>502</v>
      </c>
      <c r="AD506" s="16">
        <f t="shared" si="40"/>
        <v>1634.7641783870588</v>
      </c>
      <c r="AE506" s="16">
        <f t="shared" si="38"/>
        <v>21.366896584997157</v>
      </c>
      <c r="AF506" s="16">
        <f>'Gearing Calculator'!$C$17*Braking!AD506</f>
        <v>2452.1462675805883</v>
      </c>
      <c r="AG506" s="16">
        <f t="shared" si="39"/>
        <v>-9.2116689240442842</v>
      </c>
    </row>
    <row r="507" spans="29:33" x14ac:dyDescent="0.25">
      <c r="AC507" s="16">
        <v>503</v>
      </c>
      <c r="AD507" s="16">
        <f t="shared" si="40"/>
        <v>1635.2928363121327</v>
      </c>
      <c r="AE507" s="16">
        <f t="shared" si="38"/>
        <v>21.409460124011098</v>
      </c>
      <c r="AF507" s="16">
        <f>'Gearing Calculator'!$C$17*Braking!AD507</f>
        <v>2452.9392544681991</v>
      </c>
      <c r="AG507" s="16">
        <f t="shared" si="39"/>
        <v>-9.2146478379721977</v>
      </c>
    </row>
    <row r="508" spans="29:33" x14ac:dyDescent="0.25">
      <c r="AC508" s="16">
        <v>504</v>
      </c>
      <c r="AD508" s="16">
        <f t="shared" si="40"/>
        <v>1635.8214942372065</v>
      </c>
      <c r="AE508" s="16">
        <f t="shared" si="38"/>
        <v>21.452023663025034</v>
      </c>
      <c r="AF508" s="16">
        <f>'Gearing Calculator'!$C$17*Braking!AD508</f>
        <v>2453.7322413558095</v>
      </c>
      <c r="AG508" s="16">
        <f t="shared" si="39"/>
        <v>-9.2176267519001112</v>
      </c>
    </row>
    <row r="509" spans="29:33" x14ac:dyDescent="0.25">
      <c r="AC509" s="16">
        <v>505</v>
      </c>
      <c r="AD509" s="16">
        <f t="shared" si="40"/>
        <v>1636.3501521622802</v>
      </c>
      <c r="AE509" s="16">
        <f t="shared" si="38"/>
        <v>21.494587202038975</v>
      </c>
      <c r="AF509" s="16">
        <f>'Gearing Calculator'!$C$17*Braking!AD509</f>
        <v>2454.5252282434203</v>
      </c>
      <c r="AG509" s="16">
        <f t="shared" si="39"/>
        <v>-9.2206056658280264</v>
      </c>
    </row>
    <row r="510" spans="29:33" x14ac:dyDescent="0.25">
      <c r="AC510" s="16">
        <v>506</v>
      </c>
      <c r="AD510" s="16">
        <f t="shared" si="40"/>
        <v>1636.8788100873542</v>
      </c>
      <c r="AE510" s="16">
        <f t="shared" si="38"/>
        <v>21.537150741052912</v>
      </c>
      <c r="AF510" s="16">
        <f>'Gearing Calculator'!$C$17*Braking!AD510</f>
        <v>2455.3182151310311</v>
      </c>
      <c r="AG510" s="16">
        <f t="shared" si="39"/>
        <v>-9.2235845797559399</v>
      </c>
    </row>
    <row r="511" spans="29:33" x14ac:dyDescent="0.25">
      <c r="AC511" s="16">
        <v>507</v>
      </c>
      <c r="AD511" s="16">
        <f t="shared" si="40"/>
        <v>1637.4074680124279</v>
      </c>
      <c r="AE511" s="16">
        <f t="shared" si="38"/>
        <v>21.579714280066852</v>
      </c>
      <c r="AF511" s="16">
        <f>'Gearing Calculator'!$C$17*Braking!AD511</f>
        <v>2456.111202018642</v>
      </c>
      <c r="AG511" s="16">
        <f t="shared" si="39"/>
        <v>-9.2265634936838552</v>
      </c>
    </row>
    <row r="512" spans="29:33" x14ac:dyDescent="0.25">
      <c r="AC512" s="16">
        <v>508</v>
      </c>
      <c r="AD512" s="16">
        <f t="shared" si="40"/>
        <v>1637.9361259375019</v>
      </c>
      <c r="AE512" s="16">
        <f t="shared" si="38"/>
        <v>21.622277819080789</v>
      </c>
      <c r="AF512" s="16">
        <f>'Gearing Calculator'!$C$17*Braking!AD512</f>
        <v>2456.9041889062528</v>
      </c>
      <c r="AG512" s="16">
        <f t="shared" si="39"/>
        <v>-9.2295424076117687</v>
      </c>
    </row>
    <row r="513" spans="29:33" x14ac:dyDescent="0.25">
      <c r="AC513" s="16">
        <v>509</v>
      </c>
      <c r="AD513" s="16">
        <f t="shared" si="40"/>
        <v>1638.4647838625756</v>
      </c>
      <c r="AE513" s="16">
        <f t="shared" si="38"/>
        <v>21.66484135809473</v>
      </c>
      <c r="AF513" s="16">
        <f>'Gearing Calculator'!$C$17*Braking!AD513</f>
        <v>2457.6971757938636</v>
      </c>
      <c r="AG513" s="16">
        <f t="shared" si="39"/>
        <v>-9.232521321539684</v>
      </c>
    </row>
    <row r="514" spans="29:33" x14ac:dyDescent="0.25">
      <c r="AC514" s="16">
        <v>510</v>
      </c>
      <c r="AD514" s="16">
        <f t="shared" si="40"/>
        <v>1638.9934417876493</v>
      </c>
      <c r="AE514" s="16">
        <f t="shared" si="38"/>
        <v>21.707404897108667</v>
      </c>
      <c r="AF514" s="16">
        <f>'Gearing Calculator'!$C$17*Braking!AD514</f>
        <v>2458.490162681474</v>
      </c>
      <c r="AG514" s="16">
        <f t="shared" si="39"/>
        <v>-9.2355002354675957</v>
      </c>
    </row>
    <row r="515" spans="29:33" x14ac:dyDescent="0.25">
      <c r="AC515" s="16">
        <v>511</v>
      </c>
      <c r="AD515" s="16">
        <f t="shared" si="40"/>
        <v>1639.5220997127233</v>
      </c>
      <c r="AE515" s="16">
        <f t="shared" si="38"/>
        <v>21.749968436122604</v>
      </c>
      <c r="AF515" s="16">
        <f>'Gearing Calculator'!$C$17*Braking!AD515</f>
        <v>2459.2831495690848</v>
      </c>
      <c r="AG515" s="16">
        <f t="shared" si="39"/>
        <v>-9.238479149395511</v>
      </c>
    </row>
    <row r="516" spans="29:33" x14ac:dyDescent="0.25">
      <c r="AC516" s="16">
        <v>512</v>
      </c>
      <c r="AD516" s="16">
        <f t="shared" si="40"/>
        <v>1640.050757637797</v>
      </c>
      <c r="AE516" s="16">
        <f t="shared" si="38"/>
        <v>21.792531975136544</v>
      </c>
      <c r="AF516" s="16">
        <f>'Gearing Calculator'!$C$17*Braking!AD516</f>
        <v>2460.0761364566956</v>
      </c>
      <c r="AG516" s="16">
        <f t="shared" si="39"/>
        <v>-9.2414580633234245</v>
      </c>
    </row>
    <row r="517" spans="29:33" x14ac:dyDescent="0.25">
      <c r="AC517" s="16">
        <v>513</v>
      </c>
      <c r="AD517" s="16">
        <f t="shared" si="40"/>
        <v>1640.579415562871</v>
      </c>
      <c r="AE517" s="16">
        <f t="shared" si="38"/>
        <v>21.835095514150481</v>
      </c>
      <c r="AF517" s="16">
        <f>'Gearing Calculator'!$C$17*Braking!AD517</f>
        <v>2460.8691233443064</v>
      </c>
      <c r="AG517" s="16">
        <f t="shared" si="39"/>
        <v>-9.2444369772513397</v>
      </c>
    </row>
    <row r="518" spans="29:33" x14ac:dyDescent="0.25">
      <c r="AC518" s="16">
        <v>514</v>
      </c>
      <c r="AD518" s="16">
        <f t="shared" si="40"/>
        <v>1641.1080734879447</v>
      </c>
      <c r="AE518" s="16">
        <f t="shared" ref="AE518:AE581" si="41">(AC518/$X$104)*100</f>
        <v>21.877659053164422</v>
      </c>
      <c r="AF518" s="16">
        <f>'Gearing Calculator'!$C$17*Braking!AD518</f>
        <v>2461.6621102319168</v>
      </c>
      <c r="AG518" s="16">
        <f t="shared" ref="AG518:AG581" si="42">-(AF518/$C$3)</f>
        <v>-9.2474158911792514</v>
      </c>
    </row>
    <row r="519" spans="29:33" x14ac:dyDescent="0.25">
      <c r="AC519" s="16">
        <v>515</v>
      </c>
      <c r="AD519" s="16">
        <f t="shared" ref="AD519:AD582" si="43">($C$3*$C$4)*($C$9/$C$8)+(AC519*($C$10/$C$8))</f>
        <v>1641.6367314130184</v>
      </c>
      <c r="AE519" s="16">
        <f t="shared" si="41"/>
        <v>21.920222592178359</v>
      </c>
      <c r="AF519" s="16">
        <f>'Gearing Calculator'!$C$17*Braking!AD519</f>
        <v>2462.4550971195276</v>
      </c>
      <c r="AG519" s="16">
        <f t="shared" si="42"/>
        <v>-9.2503948051071667</v>
      </c>
    </row>
    <row r="520" spans="29:33" x14ac:dyDescent="0.25">
      <c r="AC520" s="16">
        <v>516</v>
      </c>
      <c r="AD520" s="16">
        <f t="shared" si="43"/>
        <v>1642.1653893380924</v>
      </c>
      <c r="AE520" s="16">
        <f t="shared" si="41"/>
        <v>21.962786131192299</v>
      </c>
      <c r="AF520" s="16">
        <f>'Gearing Calculator'!$C$17*Braking!AD520</f>
        <v>2463.2480840071385</v>
      </c>
      <c r="AG520" s="16">
        <f t="shared" si="42"/>
        <v>-9.2533737190350802</v>
      </c>
    </row>
    <row r="521" spans="29:33" x14ac:dyDescent="0.25">
      <c r="AC521" s="16">
        <v>517</v>
      </c>
      <c r="AD521" s="16">
        <f t="shared" si="43"/>
        <v>1642.6940472631661</v>
      </c>
      <c r="AE521" s="16">
        <f t="shared" si="41"/>
        <v>22.005349670206236</v>
      </c>
      <c r="AF521" s="16">
        <f>'Gearing Calculator'!$C$17*Braking!AD521</f>
        <v>2464.0410708947493</v>
      </c>
      <c r="AG521" s="16">
        <f t="shared" si="42"/>
        <v>-9.2563526329629955</v>
      </c>
    </row>
    <row r="522" spans="29:33" x14ac:dyDescent="0.25">
      <c r="AC522" s="16">
        <v>518</v>
      </c>
      <c r="AD522" s="16">
        <f t="shared" si="43"/>
        <v>1643.2227051882401</v>
      </c>
      <c r="AE522" s="16">
        <f t="shared" si="41"/>
        <v>22.047913209220177</v>
      </c>
      <c r="AF522" s="16">
        <f>'Gearing Calculator'!$C$17*Braking!AD522</f>
        <v>2464.8340577823601</v>
      </c>
      <c r="AG522" s="16">
        <f t="shared" si="42"/>
        <v>-9.2593315468909108</v>
      </c>
    </row>
    <row r="523" spans="29:33" x14ac:dyDescent="0.25">
      <c r="AC523" s="16">
        <v>519</v>
      </c>
      <c r="AD523" s="16">
        <f t="shared" si="43"/>
        <v>1643.7513631133138</v>
      </c>
      <c r="AE523" s="16">
        <f t="shared" si="41"/>
        <v>22.090476748234114</v>
      </c>
      <c r="AF523" s="16">
        <f>'Gearing Calculator'!$C$17*Braking!AD523</f>
        <v>2465.6270446699709</v>
      </c>
      <c r="AG523" s="16">
        <f t="shared" si="42"/>
        <v>-9.2623104608188243</v>
      </c>
    </row>
    <row r="524" spans="29:33" x14ac:dyDescent="0.25">
      <c r="AC524" s="16">
        <v>520</v>
      </c>
      <c r="AD524" s="16">
        <f t="shared" si="43"/>
        <v>1644.2800210383875</v>
      </c>
      <c r="AE524" s="16">
        <f t="shared" si="41"/>
        <v>22.133040287248054</v>
      </c>
      <c r="AF524" s="16">
        <f>'Gearing Calculator'!$C$17*Braking!AD524</f>
        <v>2466.4200315575813</v>
      </c>
      <c r="AG524" s="16">
        <f t="shared" si="42"/>
        <v>-9.2652893747467377</v>
      </c>
    </row>
    <row r="525" spans="29:33" x14ac:dyDescent="0.25">
      <c r="AC525" s="16">
        <v>521</v>
      </c>
      <c r="AD525" s="16">
        <f t="shared" si="43"/>
        <v>1644.8086789634615</v>
      </c>
      <c r="AE525" s="16">
        <f t="shared" si="41"/>
        <v>22.175603826261991</v>
      </c>
      <c r="AF525" s="16">
        <f>'Gearing Calculator'!$C$17*Braking!AD525</f>
        <v>2467.2130184451921</v>
      </c>
      <c r="AG525" s="16">
        <f t="shared" si="42"/>
        <v>-9.2682682886746512</v>
      </c>
    </row>
    <row r="526" spans="29:33" x14ac:dyDescent="0.25">
      <c r="AC526" s="16">
        <v>522</v>
      </c>
      <c r="AD526" s="16">
        <f t="shared" si="43"/>
        <v>1645.3373368885352</v>
      </c>
      <c r="AE526" s="16">
        <f t="shared" si="41"/>
        <v>22.218167365275932</v>
      </c>
      <c r="AF526" s="16">
        <f>'Gearing Calculator'!$C$17*Braking!AD526</f>
        <v>2468.0060053328029</v>
      </c>
      <c r="AG526" s="16">
        <f t="shared" si="42"/>
        <v>-9.2712472026025665</v>
      </c>
    </row>
    <row r="527" spans="29:33" x14ac:dyDescent="0.25">
      <c r="AC527" s="16">
        <v>523</v>
      </c>
      <c r="AD527" s="16">
        <f t="shared" si="43"/>
        <v>1645.8659948136092</v>
      </c>
      <c r="AE527" s="16">
        <f t="shared" si="41"/>
        <v>22.260730904289868</v>
      </c>
      <c r="AF527" s="16">
        <f>'Gearing Calculator'!$C$17*Braking!AD527</f>
        <v>2468.7989922204138</v>
      </c>
      <c r="AG527" s="16">
        <f t="shared" si="42"/>
        <v>-9.27422611653048</v>
      </c>
    </row>
    <row r="528" spans="29:33" x14ac:dyDescent="0.25">
      <c r="AC528" s="16">
        <v>524</v>
      </c>
      <c r="AD528" s="16">
        <f t="shared" si="43"/>
        <v>1646.3946527386829</v>
      </c>
      <c r="AE528" s="16">
        <f t="shared" si="41"/>
        <v>22.303294443303805</v>
      </c>
      <c r="AF528" s="16">
        <f>'Gearing Calculator'!$C$17*Braking!AD528</f>
        <v>2469.5919791080241</v>
      </c>
      <c r="AG528" s="16">
        <f t="shared" si="42"/>
        <v>-9.2772050304583935</v>
      </c>
    </row>
    <row r="529" spans="29:33" x14ac:dyDescent="0.25">
      <c r="AC529" s="16">
        <v>525</v>
      </c>
      <c r="AD529" s="16">
        <f t="shared" si="43"/>
        <v>1646.9233106637566</v>
      </c>
      <c r="AE529" s="16">
        <f t="shared" si="41"/>
        <v>22.345857982317746</v>
      </c>
      <c r="AF529" s="16">
        <f>'Gearing Calculator'!$C$17*Braking!AD529</f>
        <v>2470.384965995635</v>
      </c>
      <c r="AG529" s="16">
        <f t="shared" si="42"/>
        <v>-9.280183944386307</v>
      </c>
    </row>
    <row r="530" spans="29:33" x14ac:dyDescent="0.25">
      <c r="AC530" s="16">
        <v>526</v>
      </c>
      <c r="AD530" s="16">
        <f t="shared" si="43"/>
        <v>1647.4519685888306</v>
      </c>
      <c r="AE530" s="16">
        <f t="shared" si="41"/>
        <v>22.388421521331683</v>
      </c>
      <c r="AF530" s="16">
        <f>'Gearing Calculator'!$C$17*Braking!AD530</f>
        <v>2471.1779528832458</v>
      </c>
      <c r="AG530" s="16">
        <f t="shared" si="42"/>
        <v>-9.2831628583142223</v>
      </c>
    </row>
    <row r="531" spans="29:33" x14ac:dyDescent="0.25">
      <c r="AC531" s="16">
        <v>527</v>
      </c>
      <c r="AD531" s="16">
        <f t="shared" si="43"/>
        <v>1647.9806265139043</v>
      </c>
      <c r="AE531" s="16">
        <f t="shared" si="41"/>
        <v>22.430985060345623</v>
      </c>
      <c r="AF531" s="16">
        <f>'Gearing Calculator'!$C$17*Braking!AD531</f>
        <v>2471.9709397708566</v>
      </c>
      <c r="AG531" s="16">
        <f t="shared" si="42"/>
        <v>-9.2861417722421358</v>
      </c>
    </row>
    <row r="532" spans="29:33" x14ac:dyDescent="0.25">
      <c r="AC532" s="16">
        <v>528</v>
      </c>
      <c r="AD532" s="16">
        <f t="shared" si="43"/>
        <v>1648.5092844389783</v>
      </c>
      <c r="AE532" s="16">
        <f t="shared" si="41"/>
        <v>22.47354859935956</v>
      </c>
      <c r="AF532" s="16">
        <f>'Gearing Calculator'!$C$17*Braking!AD532</f>
        <v>2472.7639266584674</v>
      </c>
      <c r="AG532" s="16">
        <f t="shared" si="42"/>
        <v>-9.289120686170051</v>
      </c>
    </row>
    <row r="533" spans="29:33" x14ac:dyDescent="0.25">
      <c r="AC533" s="16">
        <v>529</v>
      </c>
      <c r="AD533" s="16">
        <f t="shared" si="43"/>
        <v>1649.037942364052</v>
      </c>
      <c r="AE533" s="16">
        <f t="shared" si="41"/>
        <v>22.516112138373501</v>
      </c>
      <c r="AF533" s="16">
        <f>'Gearing Calculator'!$C$17*Braking!AD533</f>
        <v>2473.5569135460782</v>
      </c>
      <c r="AG533" s="16">
        <f t="shared" si="42"/>
        <v>-9.2920996000979645</v>
      </c>
    </row>
    <row r="534" spans="29:33" x14ac:dyDescent="0.25">
      <c r="AC534" s="16">
        <v>530</v>
      </c>
      <c r="AD534" s="16">
        <f t="shared" si="43"/>
        <v>1649.5666002891257</v>
      </c>
      <c r="AE534" s="16">
        <f t="shared" si="41"/>
        <v>22.558675677387438</v>
      </c>
      <c r="AF534" s="16">
        <f>'Gearing Calculator'!$C$17*Braking!AD534</f>
        <v>2474.3499004336886</v>
      </c>
      <c r="AG534" s="16">
        <f t="shared" si="42"/>
        <v>-9.295078514025878</v>
      </c>
    </row>
    <row r="535" spans="29:33" x14ac:dyDescent="0.25">
      <c r="AC535" s="16">
        <v>531</v>
      </c>
      <c r="AD535" s="16">
        <f t="shared" si="43"/>
        <v>1650.0952582141997</v>
      </c>
      <c r="AE535" s="16">
        <f t="shared" si="41"/>
        <v>22.601239216401378</v>
      </c>
      <c r="AF535" s="16">
        <f>'Gearing Calculator'!$C$17*Braking!AD535</f>
        <v>2475.1428873212994</v>
      </c>
      <c r="AG535" s="16">
        <f t="shared" si="42"/>
        <v>-9.2980574279537933</v>
      </c>
    </row>
    <row r="536" spans="29:33" x14ac:dyDescent="0.25">
      <c r="AC536" s="16">
        <v>532</v>
      </c>
      <c r="AD536" s="16">
        <f t="shared" si="43"/>
        <v>1650.6239161392734</v>
      </c>
      <c r="AE536" s="16">
        <f t="shared" si="41"/>
        <v>22.643802755415315</v>
      </c>
      <c r="AF536" s="16">
        <f>'Gearing Calculator'!$C$17*Braking!AD536</f>
        <v>2475.9358742089103</v>
      </c>
      <c r="AG536" s="16">
        <f t="shared" si="42"/>
        <v>-9.3010363418817068</v>
      </c>
    </row>
    <row r="537" spans="29:33" x14ac:dyDescent="0.25">
      <c r="AC537" s="16">
        <v>533</v>
      </c>
      <c r="AD537" s="16">
        <f t="shared" si="43"/>
        <v>1651.1525740643474</v>
      </c>
      <c r="AE537" s="16">
        <f t="shared" si="41"/>
        <v>22.686366294429256</v>
      </c>
      <c r="AF537" s="16">
        <f>'Gearing Calculator'!$C$17*Braking!AD537</f>
        <v>2476.7288610965211</v>
      </c>
      <c r="AG537" s="16">
        <f t="shared" si="42"/>
        <v>-9.3040152558096221</v>
      </c>
    </row>
    <row r="538" spans="29:33" x14ac:dyDescent="0.25">
      <c r="AC538" s="16">
        <v>534</v>
      </c>
      <c r="AD538" s="16">
        <f t="shared" si="43"/>
        <v>1651.6812319894211</v>
      </c>
      <c r="AE538" s="16">
        <f t="shared" si="41"/>
        <v>22.728929833443193</v>
      </c>
      <c r="AF538" s="16">
        <f>'Gearing Calculator'!$C$17*Braking!AD538</f>
        <v>2477.5218479841315</v>
      </c>
      <c r="AG538" s="16">
        <f t="shared" si="42"/>
        <v>-9.3069941697375338</v>
      </c>
    </row>
    <row r="539" spans="29:33" x14ac:dyDescent="0.25">
      <c r="AC539" s="16">
        <v>535</v>
      </c>
      <c r="AD539" s="16">
        <f t="shared" si="43"/>
        <v>1652.2098899144949</v>
      </c>
      <c r="AE539" s="16">
        <f t="shared" si="41"/>
        <v>22.771493372457133</v>
      </c>
      <c r="AF539" s="16">
        <f>'Gearing Calculator'!$C$17*Braking!AD539</f>
        <v>2478.3148348717423</v>
      </c>
      <c r="AG539" s="16">
        <f t="shared" si="42"/>
        <v>-9.3099730836654491</v>
      </c>
    </row>
    <row r="540" spans="29:33" x14ac:dyDescent="0.25">
      <c r="AC540" s="16">
        <v>536</v>
      </c>
      <c r="AD540" s="16">
        <f t="shared" si="43"/>
        <v>1652.7385478395688</v>
      </c>
      <c r="AE540" s="16">
        <f t="shared" si="41"/>
        <v>22.81405691147107</v>
      </c>
      <c r="AF540" s="16">
        <f>'Gearing Calculator'!$C$17*Braking!AD540</f>
        <v>2479.1078217593531</v>
      </c>
      <c r="AG540" s="16">
        <f t="shared" si="42"/>
        <v>-9.3129519975933626</v>
      </c>
    </row>
    <row r="541" spans="29:33" x14ac:dyDescent="0.25">
      <c r="AC541" s="16">
        <v>537</v>
      </c>
      <c r="AD541" s="16">
        <f t="shared" si="43"/>
        <v>1653.2672057646425</v>
      </c>
      <c r="AE541" s="16">
        <f t="shared" si="41"/>
        <v>22.856620450485007</v>
      </c>
      <c r="AF541" s="16">
        <f>'Gearing Calculator'!$C$17*Braking!AD541</f>
        <v>2479.9008086469639</v>
      </c>
      <c r="AG541" s="16">
        <f t="shared" si="42"/>
        <v>-9.3159309115212778</v>
      </c>
    </row>
    <row r="542" spans="29:33" x14ac:dyDescent="0.25">
      <c r="AC542" s="16">
        <v>538</v>
      </c>
      <c r="AD542" s="16">
        <f t="shared" si="43"/>
        <v>1653.7958636897165</v>
      </c>
      <c r="AE542" s="16">
        <f t="shared" si="41"/>
        <v>22.899183989498948</v>
      </c>
      <c r="AF542" s="16">
        <f>'Gearing Calculator'!$C$17*Braking!AD542</f>
        <v>2480.6937955345747</v>
      </c>
      <c r="AG542" s="16">
        <f t="shared" si="42"/>
        <v>-9.3189098254491913</v>
      </c>
    </row>
    <row r="543" spans="29:33" x14ac:dyDescent="0.25">
      <c r="AC543" s="16">
        <v>539</v>
      </c>
      <c r="AD543" s="16">
        <f t="shared" si="43"/>
        <v>1654.3245216147902</v>
      </c>
      <c r="AE543" s="16">
        <f t="shared" si="41"/>
        <v>22.941747528512884</v>
      </c>
      <c r="AF543" s="16">
        <f>'Gearing Calculator'!$C$17*Braking!AD543</f>
        <v>2481.4867824221856</v>
      </c>
      <c r="AG543" s="16">
        <f t="shared" si="42"/>
        <v>-9.3218887393771066</v>
      </c>
    </row>
    <row r="544" spans="29:33" x14ac:dyDescent="0.25">
      <c r="AC544" s="16">
        <v>540</v>
      </c>
      <c r="AD544" s="16">
        <f t="shared" si="43"/>
        <v>1654.853179539864</v>
      </c>
      <c r="AE544" s="16">
        <f t="shared" si="41"/>
        <v>22.984311067526825</v>
      </c>
      <c r="AF544" s="16">
        <f>'Gearing Calculator'!$C$17*Braking!AD544</f>
        <v>2482.2797693097959</v>
      </c>
      <c r="AG544" s="16">
        <f t="shared" si="42"/>
        <v>-9.3248676533050183</v>
      </c>
    </row>
    <row r="545" spans="29:33" x14ac:dyDescent="0.25">
      <c r="AC545" s="16">
        <v>541</v>
      </c>
      <c r="AD545" s="16">
        <f t="shared" si="43"/>
        <v>1655.3818374649379</v>
      </c>
      <c r="AE545" s="16">
        <f t="shared" si="41"/>
        <v>23.026874606540762</v>
      </c>
      <c r="AF545" s="16">
        <f>'Gearing Calculator'!$C$17*Braking!AD545</f>
        <v>2483.0727561974068</v>
      </c>
      <c r="AG545" s="16">
        <f t="shared" si="42"/>
        <v>-9.3278465672329336</v>
      </c>
    </row>
    <row r="546" spans="29:33" x14ac:dyDescent="0.25">
      <c r="AC546" s="16">
        <v>542</v>
      </c>
      <c r="AD546" s="16">
        <f t="shared" si="43"/>
        <v>1655.9104953900116</v>
      </c>
      <c r="AE546" s="16">
        <f t="shared" si="41"/>
        <v>23.069438145554702</v>
      </c>
      <c r="AF546" s="16">
        <f>'Gearing Calculator'!$C$17*Braking!AD546</f>
        <v>2483.8657430850176</v>
      </c>
      <c r="AG546" s="16">
        <f t="shared" si="42"/>
        <v>-9.3308254811608471</v>
      </c>
    </row>
    <row r="547" spans="29:33" x14ac:dyDescent="0.25">
      <c r="AC547" s="16">
        <v>543</v>
      </c>
      <c r="AD547" s="16">
        <f t="shared" si="43"/>
        <v>1656.4391533150856</v>
      </c>
      <c r="AE547" s="16">
        <f t="shared" si="41"/>
        <v>23.112001684568639</v>
      </c>
      <c r="AF547" s="16">
        <f>'Gearing Calculator'!$C$17*Braking!AD547</f>
        <v>2484.6587299726284</v>
      </c>
      <c r="AG547" s="16">
        <f t="shared" si="42"/>
        <v>-9.3338043950887624</v>
      </c>
    </row>
    <row r="548" spans="29:33" x14ac:dyDescent="0.25">
      <c r="AC548" s="16">
        <v>544</v>
      </c>
      <c r="AD548" s="16">
        <f t="shared" si="43"/>
        <v>1656.9678112401593</v>
      </c>
      <c r="AE548" s="16">
        <f t="shared" si="41"/>
        <v>23.15456522358258</v>
      </c>
      <c r="AF548" s="16">
        <f>'Gearing Calculator'!$C$17*Braking!AD548</f>
        <v>2485.4517168602388</v>
      </c>
      <c r="AG548" s="16">
        <f t="shared" si="42"/>
        <v>-9.3367833090166759</v>
      </c>
    </row>
    <row r="549" spans="29:33" x14ac:dyDescent="0.25">
      <c r="AC549" s="16">
        <v>545</v>
      </c>
      <c r="AD549" s="16">
        <f t="shared" si="43"/>
        <v>1657.4964691652331</v>
      </c>
      <c r="AE549" s="16">
        <f t="shared" si="41"/>
        <v>23.197128762596517</v>
      </c>
      <c r="AF549" s="16">
        <f>'Gearing Calculator'!$C$17*Braking!AD549</f>
        <v>2486.2447037478496</v>
      </c>
      <c r="AG549" s="16">
        <f t="shared" si="42"/>
        <v>-9.3397622229445894</v>
      </c>
    </row>
    <row r="550" spans="29:33" x14ac:dyDescent="0.25">
      <c r="AC550" s="16">
        <v>546</v>
      </c>
      <c r="AD550" s="16">
        <f t="shared" si="43"/>
        <v>1658.025127090307</v>
      </c>
      <c r="AE550" s="16">
        <f t="shared" si="41"/>
        <v>23.239692301610457</v>
      </c>
      <c r="AF550" s="16">
        <f>'Gearing Calculator'!$C$17*Braking!AD550</f>
        <v>2487.0376906354604</v>
      </c>
      <c r="AG550" s="16">
        <f t="shared" si="42"/>
        <v>-9.3427411368725046</v>
      </c>
    </row>
    <row r="551" spans="29:33" x14ac:dyDescent="0.25">
      <c r="AC551" s="16">
        <v>547</v>
      </c>
      <c r="AD551" s="16">
        <f t="shared" si="43"/>
        <v>1658.5537850153808</v>
      </c>
      <c r="AE551" s="16">
        <f t="shared" si="41"/>
        <v>23.282255840624394</v>
      </c>
      <c r="AF551" s="16">
        <f>'Gearing Calculator'!$C$17*Braking!AD551</f>
        <v>2487.8306775230712</v>
      </c>
      <c r="AG551" s="16">
        <f t="shared" si="42"/>
        <v>-9.3457200508004181</v>
      </c>
    </row>
    <row r="552" spans="29:33" x14ac:dyDescent="0.25">
      <c r="AC552" s="16">
        <v>548</v>
      </c>
      <c r="AD552" s="16">
        <f t="shared" si="43"/>
        <v>1659.0824429404547</v>
      </c>
      <c r="AE552" s="16">
        <f t="shared" si="41"/>
        <v>23.324819379638335</v>
      </c>
      <c r="AF552" s="16">
        <f>'Gearing Calculator'!$C$17*Braking!AD552</f>
        <v>2488.6236644106821</v>
      </c>
      <c r="AG552" s="16">
        <f t="shared" si="42"/>
        <v>-9.3486989647283334</v>
      </c>
    </row>
    <row r="553" spans="29:33" x14ac:dyDescent="0.25">
      <c r="AC553" s="16">
        <v>549</v>
      </c>
      <c r="AD553" s="16">
        <f t="shared" si="43"/>
        <v>1659.6111008655284</v>
      </c>
      <c r="AE553" s="16">
        <f t="shared" si="41"/>
        <v>23.367382918652272</v>
      </c>
      <c r="AF553" s="16">
        <f>'Gearing Calculator'!$C$17*Braking!AD553</f>
        <v>2489.4166512982929</v>
      </c>
      <c r="AG553" s="16">
        <f t="shared" si="42"/>
        <v>-9.3516778786562469</v>
      </c>
    </row>
    <row r="554" spans="29:33" x14ac:dyDescent="0.25">
      <c r="AC554" s="16">
        <v>550</v>
      </c>
      <c r="AD554" s="16">
        <f t="shared" si="43"/>
        <v>1660.1397587906022</v>
      </c>
      <c r="AE554" s="16">
        <f t="shared" si="41"/>
        <v>23.409946457666209</v>
      </c>
      <c r="AF554" s="16">
        <f>'Gearing Calculator'!$C$17*Braking!AD554</f>
        <v>2490.2096381859033</v>
      </c>
      <c r="AG554" s="16">
        <f t="shared" si="42"/>
        <v>-9.3546567925841604</v>
      </c>
    </row>
    <row r="555" spans="29:33" x14ac:dyDescent="0.25">
      <c r="AC555" s="16">
        <v>551</v>
      </c>
      <c r="AD555" s="16">
        <f t="shared" si="43"/>
        <v>1660.6684167156761</v>
      </c>
      <c r="AE555" s="16">
        <f t="shared" si="41"/>
        <v>23.452509996680149</v>
      </c>
      <c r="AF555" s="16">
        <f>'Gearing Calculator'!$C$17*Braking!AD555</f>
        <v>2491.0026250735141</v>
      </c>
      <c r="AG555" s="16">
        <f t="shared" si="42"/>
        <v>-9.3576357065120739</v>
      </c>
    </row>
    <row r="556" spans="29:33" x14ac:dyDescent="0.25">
      <c r="AC556" s="16">
        <v>552</v>
      </c>
      <c r="AD556" s="16">
        <f t="shared" si="43"/>
        <v>1661.1970746407499</v>
      </c>
      <c r="AE556" s="16">
        <f t="shared" si="41"/>
        <v>23.495073535694086</v>
      </c>
      <c r="AF556" s="16">
        <f>'Gearing Calculator'!$C$17*Braking!AD556</f>
        <v>2491.7956119611249</v>
      </c>
      <c r="AG556" s="16">
        <f t="shared" si="42"/>
        <v>-9.3606146204399892</v>
      </c>
    </row>
    <row r="557" spans="29:33" x14ac:dyDescent="0.25">
      <c r="AC557" s="16">
        <v>553</v>
      </c>
      <c r="AD557" s="16">
        <f t="shared" si="43"/>
        <v>1661.7257325658238</v>
      </c>
      <c r="AE557" s="16">
        <f t="shared" si="41"/>
        <v>23.537637074708027</v>
      </c>
      <c r="AF557" s="16">
        <f>'Gearing Calculator'!$C$17*Braking!AD557</f>
        <v>2492.5885988487357</v>
      </c>
      <c r="AG557" s="16">
        <f t="shared" si="42"/>
        <v>-9.3635935343679026</v>
      </c>
    </row>
    <row r="558" spans="29:33" x14ac:dyDescent="0.25">
      <c r="AC558" s="16">
        <v>554</v>
      </c>
      <c r="AD558" s="16">
        <f t="shared" si="43"/>
        <v>1662.2543904908975</v>
      </c>
      <c r="AE558" s="16">
        <f t="shared" si="41"/>
        <v>23.580200613721964</v>
      </c>
      <c r="AF558" s="16">
        <f>'Gearing Calculator'!$C$17*Braking!AD558</f>
        <v>2493.3815857363461</v>
      </c>
      <c r="AG558" s="16">
        <f t="shared" si="42"/>
        <v>-9.3665724482958161</v>
      </c>
    </row>
    <row r="559" spans="29:33" x14ac:dyDescent="0.25">
      <c r="AC559" s="16">
        <v>555</v>
      </c>
      <c r="AD559" s="16">
        <f t="shared" si="43"/>
        <v>1662.7830484159713</v>
      </c>
      <c r="AE559" s="16">
        <f t="shared" si="41"/>
        <v>23.622764152735904</v>
      </c>
      <c r="AF559" s="16">
        <f>'Gearing Calculator'!$C$17*Braking!AD559</f>
        <v>2494.1745726239569</v>
      </c>
      <c r="AG559" s="16">
        <f t="shared" si="42"/>
        <v>-9.3695513622237296</v>
      </c>
    </row>
    <row r="560" spans="29:33" x14ac:dyDescent="0.25">
      <c r="AC560" s="16">
        <v>556</v>
      </c>
      <c r="AD560" s="16">
        <f t="shared" si="43"/>
        <v>1663.3117063410452</v>
      </c>
      <c r="AE560" s="16">
        <f t="shared" si="41"/>
        <v>23.665327691749841</v>
      </c>
      <c r="AF560" s="16">
        <f>'Gearing Calculator'!$C$17*Braking!AD560</f>
        <v>2494.9675595115677</v>
      </c>
      <c r="AG560" s="16">
        <f t="shared" si="42"/>
        <v>-9.3725302761516449</v>
      </c>
    </row>
    <row r="561" spans="29:33" x14ac:dyDescent="0.25">
      <c r="AC561" s="16">
        <v>557</v>
      </c>
      <c r="AD561" s="16">
        <f t="shared" si="43"/>
        <v>1663.8403642661192</v>
      </c>
      <c r="AE561" s="16">
        <f t="shared" si="41"/>
        <v>23.707891230763781</v>
      </c>
      <c r="AF561" s="16">
        <f>'Gearing Calculator'!$C$17*Braking!AD561</f>
        <v>2495.7605463991786</v>
      </c>
      <c r="AG561" s="16">
        <f t="shared" si="42"/>
        <v>-9.3755091900795584</v>
      </c>
    </row>
    <row r="562" spans="29:33" x14ac:dyDescent="0.25">
      <c r="AC562" s="16">
        <v>558</v>
      </c>
      <c r="AD562" s="16">
        <f t="shared" si="43"/>
        <v>1664.3690221911929</v>
      </c>
      <c r="AE562" s="16">
        <f t="shared" si="41"/>
        <v>23.750454769777718</v>
      </c>
      <c r="AF562" s="16">
        <f>'Gearing Calculator'!$C$17*Braking!AD562</f>
        <v>2496.5535332867894</v>
      </c>
      <c r="AG562" s="16">
        <f t="shared" si="42"/>
        <v>-9.3784881040074737</v>
      </c>
    </row>
    <row r="563" spans="29:33" x14ac:dyDescent="0.25">
      <c r="AC563" s="16">
        <v>559</v>
      </c>
      <c r="AD563" s="16">
        <f t="shared" si="43"/>
        <v>1664.8976801162667</v>
      </c>
      <c r="AE563" s="16">
        <f t="shared" si="41"/>
        <v>23.793018308791659</v>
      </c>
      <c r="AF563" s="16">
        <f>'Gearing Calculator'!$C$17*Braking!AD563</f>
        <v>2497.3465201744002</v>
      </c>
      <c r="AG563" s="16">
        <f t="shared" si="42"/>
        <v>-9.381467017935389</v>
      </c>
    </row>
    <row r="564" spans="29:33" x14ac:dyDescent="0.25">
      <c r="AC564" s="16">
        <v>560</v>
      </c>
      <c r="AD564" s="16">
        <f t="shared" si="43"/>
        <v>1665.4263380413404</v>
      </c>
      <c r="AE564" s="16">
        <f t="shared" si="41"/>
        <v>23.835581847805596</v>
      </c>
      <c r="AF564" s="16">
        <f>'Gearing Calculator'!$C$17*Braking!AD564</f>
        <v>2498.1395070620106</v>
      </c>
      <c r="AG564" s="16">
        <f t="shared" si="42"/>
        <v>-9.3844459318633007</v>
      </c>
    </row>
    <row r="565" spans="29:33" x14ac:dyDescent="0.25">
      <c r="AC565" s="16">
        <v>561</v>
      </c>
      <c r="AD565" s="16">
        <f t="shared" si="43"/>
        <v>1665.9549959664143</v>
      </c>
      <c r="AE565" s="16">
        <f t="shared" si="41"/>
        <v>23.878145386819536</v>
      </c>
      <c r="AF565" s="16">
        <f>'Gearing Calculator'!$C$17*Braking!AD565</f>
        <v>2498.9324939496214</v>
      </c>
      <c r="AG565" s="16">
        <f t="shared" si="42"/>
        <v>-9.3874248457912159</v>
      </c>
    </row>
    <row r="566" spans="29:33" x14ac:dyDescent="0.25">
      <c r="AC566" s="16">
        <v>562</v>
      </c>
      <c r="AD566" s="16">
        <f t="shared" si="43"/>
        <v>1666.4836538914883</v>
      </c>
      <c r="AE566" s="16">
        <f t="shared" si="41"/>
        <v>23.920708925833473</v>
      </c>
      <c r="AF566" s="16">
        <f>'Gearing Calculator'!$C$17*Braking!AD566</f>
        <v>2499.7254808372327</v>
      </c>
      <c r="AG566" s="16">
        <f t="shared" si="42"/>
        <v>-9.3904037597191312</v>
      </c>
    </row>
    <row r="567" spans="29:33" x14ac:dyDescent="0.25">
      <c r="AC567" s="16">
        <v>563</v>
      </c>
      <c r="AD567" s="16">
        <f t="shared" si="43"/>
        <v>1667.012311816562</v>
      </c>
      <c r="AE567" s="16">
        <f t="shared" si="41"/>
        <v>23.96327246484741</v>
      </c>
      <c r="AF567" s="16">
        <f>'Gearing Calculator'!$C$17*Braking!AD567</f>
        <v>2500.518467724843</v>
      </c>
      <c r="AG567" s="16">
        <f t="shared" si="42"/>
        <v>-9.3933826736470447</v>
      </c>
    </row>
    <row r="568" spans="29:33" x14ac:dyDescent="0.25">
      <c r="AC568" s="16">
        <v>564</v>
      </c>
      <c r="AD568" s="16">
        <f t="shared" si="43"/>
        <v>1667.5409697416358</v>
      </c>
      <c r="AE568" s="16">
        <f t="shared" si="41"/>
        <v>24.005836003861351</v>
      </c>
      <c r="AF568" s="16">
        <f>'Gearing Calculator'!$C$17*Braking!AD568</f>
        <v>2501.3114546124534</v>
      </c>
      <c r="AG568" s="16">
        <f t="shared" si="42"/>
        <v>-9.3963615875749564</v>
      </c>
    </row>
    <row r="569" spans="29:33" x14ac:dyDescent="0.25">
      <c r="AC569" s="16">
        <v>565</v>
      </c>
      <c r="AD569" s="16">
        <f t="shared" si="43"/>
        <v>1668.0696276667095</v>
      </c>
      <c r="AE569" s="16">
        <f t="shared" si="41"/>
        <v>24.048399542875288</v>
      </c>
      <c r="AF569" s="16">
        <f>'Gearing Calculator'!$C$17*Braking!AD569</f>
        <v>2502.1044415000642</v>
      </c>
      <c r="AG569" s="16">
        <f t="shared" si="42"/>
        <v>-9.3993405015028717</v>
      </c>
    </row>
    <row r="570" spans="29:33" x14ac:dyDescent="0.25">
      <c r="AC570" s="16">
        <v>566</v>
      </c>
      <c r="AD570" s="16">
        <f t="shared" si="43"/>
        <v>1668.5982855917835</v>
      </c>
      <c r="AE570" s="16">
        <f t="shared" si="41"/>
        <v>24.090963081889228</v>
      </c>
      <c r="AF570" s="16">
        <f>'Gearing Calculator'!$C$17*Braking!AD570</f>
        <v>2502.8974283876751</v>
      </c>
      <c r="AG570" s="16">
        <f t="shared" si="42"/>
        <v>-9.4023194154307852</v>
      </c>
    </row>
    <row r="571" spans="29:33" x14ac:dyDescent="0.25">
      <c r="AC571" s="16">
        <v>567</v>
      </c>
      <c r="AD571" s="16">
        <f t="shared" si="43"/>
        <v>1669.1269435168574</v>
      </c>
      <c r="AE571" s="16">
        <f t="shared" si="41"/>
        <v>24.133526620903165</v>
      </c>
      <c r="AF571" s="16">
        <f>'Gearing Calculator'!$C$17*Braking!AD571</f>
        <v>2503.6904152752859</v>
      </c>
      <c r="AG571" s="16">
        <f t="shared" si="42"/>
        <v>-9.4052983293587005</v>
      </c>
    </row>
    <row r="572" spans="29:33" x14ac:dyDescent="0.25">
      <c r="AC572" s="16">
        <v>568</v>
      </c>
      <c r="AD572" s="16">
        <f t="shared" si="43"/>
        <v>1669.6556014419311</v>
      </c>
      <c r="AE572" s="16">
        <f t="shared" si="41"/>
        <v>24.176090159917106</v>
      </c>
      <c r="AF572" s="16">
        <f>'Gearing Calculator'!$C$17*Braking!AD572</f>
        <v>2504.4834021628967</v>
      </c>
      <c r="AG572" s="16">
        <f t="shared" si="42"/>
        <v>-9.408277243286614</v>
      </c>
    </row>
    <row r="573" spans="29:33" x14ac:dyDescent="0.25">
      <c r="AC573" s="16">
        <v>569</v>
      </c>
      <c r="AD573" s="16">
        <f t="shared" si="43"/>
        <v>1670.1842593670049</v>
      </c>
      <c r="AE573" s="16">
        <f t="shared" si="41"/>
        <v>24.218653698931043</v>
      </c>
      <c r="AF573" s="16">
        <f>'Gearing Calculator'!$C$17*Braking!AD573</f>
        <v>2505.2763890505075</v>
      </c>
      <c r="AG573" s="16">
        <f t="shared" si="42"/>
        <v>-9.4112561572145292</v>
      </c>
    </row>
    <row r="574" spans="29:33" x14ac:dyDescent="0.25">
      <c r="AC574" s="16">
        <v>570</v>
      </c>
      <c r="AD574" s="16">
        <f t="shared" si="43"/>
        <v>1670.7129172920786</v>
      </c>
      <c r="AE574" s="16">
        <f t="shared" si="41"/>
        <v>24.261217237944983</v>
      </c>
      <c r="AF574" s="16">
        <f>'Gearing Calculator'!$C$17*Braking!AD574</f>
        <v>2506.0693759381179</v>
      </c>
      <c r="AG574" s="16">
        <f t="shared" si="42"/>
        <v>-9.414235071142441</v>
      </c>
    </row>
    <row r="575" spans="29:33" x14ac:dyDescent="0.25">
      <c r="AC575" s="16">
        <v>571</v>
      </c>
      <c r="AD575" s="16">
        <f t="shared" si="43"/>
        <v>1671.2415752171526</v>
      </c>
      <c r="AE575" s="16">
        <f t="shared" si="41"/>
        <v>24.30378077695892</v>
      </c>
      <c r="AF575" s="16">
        <f>'Gearing Calculator'!$C$17*Braking!AD575</f>
        <v>2506.8623628257287</v>
      </c>
      <c r="AG575" s="16">
        <f t="shared" si="42"/>
        <v>-9.4172139850703562</v>
      </c>
    </row>
    <row r="576" spans="29:33" x14ac:dyDescent="0.25">
      <c r="AC576" s="16">
        <v>572</v>
      </c>
      <c r="AD576" s="16">
        <f t="shared" si="43"/>
        <v>1671.7702331422265</v>
      </c>
      <c r="AE576" s="16">
        <f t="shared" si="41"/>
        <v>24.346344315972861</v>
      </c>
      <c r="AF576" s="16">
        <f>'Gearing Calculator'!$C$17*Braking!AD576</f>
        <v>2507.65534971334</v>
      </c>
      <c r="AG576" s="16">
        <f t="shared" si="42"/>
        <v>-9.4201928989982715</v>
      </c>
    </row>
    <row r="577" spans="29:33" x14ac:dyDescent="0.25">
      <c r="AC577" s="16">
        <v>573</v>
      </c>
      <c r="AD577" s="16">
        <f t="shared" si="43"/>
        <v>1672.2988910673002</v>
      </c>
      <c r="AE577" s="16">
        <f t="shared" si="41"/>
        <v>24.388907854986797</v>
      </c>
      <c r="AF577" s="16">
        <f>'Gearing Calculator'!$C$17*Braking!AD577</f>
        <v>2508.4483366009504</v>
      </c>
      <c r="AG577" s="16">
        <f t="shared" si="42"/>
        <v>-9.423171812926185</v>
      </c>
    </row>
    <row r="578" spans="29:33" x14ac:dyDescent="0.25">
      <c r="AC578" s="16">
        <v>574</v>
      </c>
      <c r="AD578" s="16">
        <f t="shared" si="43"/>
        <v>1672.827548992374</v>
      </c>
      <c r="AE578" s="16">
        <f t="shared" si="41"/>
        <v>24.431471394000738</v>
      </c>
      <c r="AF578" s="16">
        <f>'Gearing Calculator'!$C$17*Braking!AD578</f>
        <v>2509.2413234885607</v>
      </c>
      <c r="AG578" s="16">
        <f t="shared" si="42"/>
        <v>-9.4261507268540985</v>
      </c>
    </row>
    <row r="579" spans="29:33" x14ac:dyDescent="0.25">
      <c r="AC579" s="16">
        <v>575</v>
      </c>
      <c r="AD579" s="16">
        <f t="shared" si="43"/>
        <v>1673.3562069174479</v>
      </c>
      <c r="AE579" s="16">
        <f t="shared" si="41"/>
        <v>24.474034933014675</v>
      </c>
      <c r="AF579" s="16">
        <f>'Gearing Calculator'!$C$17*Braking!AD579</f>
        <v>2510.034310376172</v>
      </c>
      <c r="AG579" s="16">
        <f t="shared" si="42"/>
        <v>-9.4291296407820138</v>
      </c>
    </row>
    <row r="580" spans="29:33" x14ac:dyDescent="0.25">
      <c r="AC580" s="16">
        <v>576</v>
      </c>
      <c r="AD580" s="16">
        <f t="shared" si="43"/>
        <v>1673.8848648425217</v>
      </c>
      <c r="AE580" s="16">
        <f t="shared" si="41"/>
        <v>24.516598472028615</v>
      </c>
      <c r="AF580" s="16">
        <f>'Gearing Calculator'!$C$17*Braking!AD580</f>
        <v>2510.8272972637824</v>
      </c>
      <c r="AG580" s="16">
        <f t="shared" si="42"/>
        <v>-9.4321085547099273</v>
      </c>
    </row>
    <row r="581" spans="29:33" x14ac:dyDescent="0.25">
      <c r="AC581" s="16">
        <v>577</v>
      </c>
      <c r="AD581" s="16">
        <f t="shared" si="43"/>
        <v>1674.4135227675956</v>
      </c>
      <c r="AE581" s="16">
        <f t="shared" si="41"/>
        <v>24.559162011042552</v>
      </c>
      <c r="AF581" s="16">
        <f>'Gearing Calculator'!$C$17*Braking!AD581</f>
        <v>2511.6202841513932</v>
      </c>
      <c r="AG581" s="16">
        <f t="shared" si="42"/>
        <v>-9.4350874686378408</v>
      </c>
    </row>
    <row r="582" spans="29:33" x14ac:dyDescent="0.25">
      <c r="AC582" s="16">
        <v>578</v>
      </c>
      <c r="AD582" s="16">
        <f t="shared" si="43"/>
        <v>1674.9421806926694</v>
      </c>
      <c r="AE582" s="16">
        <f t="shared" ref="AE582:AE645" si="44">(AC582/$X$104)*100</f>
        <v>24.601725550056489</v>
      </c>
      <c r="AF582" s="16">
        <f>'Gearing Calculator'!$C$17*Braking!AD582</f>
        <v>2512.413271039004</v>
      </c>
      <c r="AG582" s="16">
        <f t="shared" ref="AG582:AG645" si="45">-(AF582/$C$3)</f>
        <v>-9.438066382565756</v>
      </c>
    </row>
    <row r="583" spans="29:33" x14ac:dyDescent="0.25">
      <c r="AC583" s="16">
        <v>579</v>
      </c>
      <c r="AD583" s="16">
        <f t="shared" ref="AD583:AD646" si="46">($C$3*$C$4)*($C$9/$C$8)+(AC583*($C$10/$C$8))</f>
        <v>1675.4708386177431</v>
      </c>
      <c r="AE583" s="16">
        <f t="shared" si="44"/>
        <v>24.64428908907043</v>
      </c>
      <c r="AF583" s="16">
        <f>'Gearing Calculator'!$C$17*Braking!AD583</f>
        <v>2513.2062579266149</v>
      </c>
      <c r="AG583" s="16">
        <f t="shared" si="45"/>
        <v>-9.4410452964936695</v>
      </c>
    </row>
    <row r="584" spans="29:33" x14ac:dyDescent="0.25">
      <c r="AC584" s="16">
        <v>580</v>
      </c>
      <c r="AD584" s="16">
        <f t="shared" si="46"/>
        <v>1675.999496542817</v>
      </c>
      <c r="AE584" s="16">
        <f t="shared" si="44"/>
        <v>24.686852628084367</v>
      </c>
      <c r="AF584" s="16">
        <f>'Gearing Calculator'!$C$17*Braking!AD584</f>
        <v>2513.9992448142257</v>
      </c>
      <c r="AG584" s="16">
        <f t="shared" si="45"/>
        <v>-9.4440242104215848</v>
      </c>
    </row>
    <row r="585" spans="29:33" x14ac:dyDescent="0.25">
      <c r="AC585" s="16">
        <v>581</v>
      </c>
      <c r="AD585" s="16">
        <f t="shared" si="46"/>
        <v>1676.5281544678908</v>
      </c>
      <c r="AE585" s="16">
        <f t="shared" si="44"/>
        <v>24.729416167098307</v>
      </c>
      <c r="AF585" s="16">
        <f>'Gearing Calculator'!$C$17*Braking!AD585</f>
        <v>2514.792231701836</v>
      </c>
      <c r="AG585" s="16">
        <f t="shared" si="45"/>
        <v>-9.4470031243494965</v>
      </c>
    </row>
    <row r="586" spans="29:33" x14ac:dyDescent="0.25">
      <c r="AC586" s="16">
        <v>582</v>
      </c>
      <c r="AD586" s="16">
        <f t="shared" si="46"/>
        <v>1677.0568123929647</v>
      </c>
      <c r="AE586" s="16">
        <f t="shared" si="44"/>
        <v>24.771979706112244</v>
      </c>
      <c r="AF586" s="16">
        <f>'Gearing Calculator'!$C$17*Braking!AD586</f>
        <v>2515.5852185894473</v>
      </c>
      <c r="AG586" s="16">
        <f t="shared" si="45"/>
        <v>-9.4499820382774136</v>
      </c>
    </row>
    <row r="587" spans="29:33" x14ac:dyDescent="0.25">
      <c r="AC587" s="16">
        <v>583</v>
      </c>
      <c r="AD587" s="16">
        <f t="shared" si="46"/>
        <v>1677.5854703180385</v>
      </c>
      <c r="AE587" s="16">
        <f t="shared" si="44"/>
        <v>24.814543245126185</v>
      </c>
      <c r="AF587" s="16">
        <f>'Gearing Calculator'!$C$17*Braking!AD587</f>
        <v>2516.3782054770577</v>
      </c>
      <c r="AG587" s="16">
        <f t="shared" si="45"/>
        <v>-9.4529609522053253</v>
      </c>
    </row>
    <row r="588" spans="29:33" x14ac:dyDescent="0.25">
      <c r="AC588" s="16">
        <v>584</v>
      </c>
      <c r="AD588" s="16">
        <f t="shared" si="46"/>
        <v>1678.1141282431122</v>
      </c>
      <c r="AE588" s="16">
        <f t="shared" si="44"/>
        <v>24.857106784140122</v>
      </c>
      <c r="AF588" s="16">
        <f>'Gearing Calculator'!$C$17*Braking!AD588</f>
        <v>2517.1711923646681</v>
      </c>
      <c r="AG588" s="16">
        <f t="shared" si="45"/>
        <v>-9.4559398661332388</v>
      </c>
    </row>
    <row r="589" spans="29:33" x14ac:dyDescent="0.25">
      <c r="AC589" s="16">
        <v>585</v>
      </c>
      <c r="AD589" s="16">
        <f t="shared" si="46"/>
        <v>1678.6427861681861</v>
      </c>
      <c r="AE589" s="16">
        <f t="shared" si="44"/>
        <v>24.899670323154062</v>
      </c>
      <c r="AF589" s="16">
        <f>'Gearing Calculator'!$C$17*Braking!AD589</f>
        <v>2517.9641792522793</v>
      </c>
      <c r="AG589" s="16">
        <f t="shared" si="45"/>
        <v>-9.4589187800611541</v>
      </c>
    </row>
    <row r="590" spans="29:33" x14ac:dyDescent="0.25">
      <c r="AC590" s="16">
        <v>586</v>
      </c>
      <c r="AD590" s="16">
        <f t="shared" si="46"/>
        <v>1679.1714440932599</v>
      </c>
      <c r="AE590" s="16">
        <f t="shared" si="44"/>
        <v>24.942233862167999</v>
      </c>
      <c r="AF590" s="16">
        <f>'Gearing Calculator'!$C$17*Braking!AD590</f>
        <v>2518.7571661398897</v>
      </c>
      <c r="AG590" s="16">
        <f t="shared" si="45"/>
        <v>-9.4618976939890675</v>
      </c>
    </row>
    <row r="591" spans="29:33" x14ac:dyDescent="0.25">
      <c r="AC591" s="16">
        <v>587</v>
      </c>
      <c r="AD591" s="16">
        <f t="shared" si="46"/>
        <v>1679.7001020183338</v>
      </c>
      <c r="AE591" s="16">
        <f t="shared" si="44"/>
        <v>24.98479740118194</v>
      </c>
      <c r="AF591" s="16">
        <f>'Gearing Calculator'!$C$17*Braking!AD591</f>
        <v>2519.5501530275005</v>
      </c>
      <c r="AG591" s="16">
        <f t="shared" si="45"/>
        <v>-9.4648766079169828</v>
      </c>
    </row>
    <row r="592" spans="29:33" x14ac:dyDescent="0.25">
      <c r="AC592" s="16">
        <v>588</v>
      </c>
      <c r="AD592" s="16">
        <f t="shared" si="46"/>
        <v>1680.2287599434076</v>
      </c>
      <c r="AE592" s="16">
        <f t="shared" si="44"/>
        <v>25.027360940195877</v>
      </c>
      <c r="AF592" s="16">
        <f>'Gearing Calculator'!$C$17*Braking!AD592</f>
        <v>2520.3431399151114</v>
      </c>
      <c r="AG592" s="16">
        <f t="shared" si="45"/>
        <v>-9.4678555218448963</v>
      </c>
    </row>
    <row r="593" spans="29:33" x14ac:dyDescent="0.25">
      <c r="AC593" s="16">
        <v>589</v>
      </c>
      <c r="AD593" s="16">
        <f t="shared" si="46"/>
        <v>1680.7574178684813</v>
      </c>
      <c r="AE593" s="16">
        <f t="shared" si="44"/>
        <v>25.069924479209817</v>
      </c>
      <c r="AF593" s="16">
        <f>'Gearing Calculator'!$C$17*Braking!AD593</f>
        <v>2521.1361268027222</v>
      </c>
      <c r="AG593" s="16">
        <f t="shared" si="45"/>
        <v>-9.4708344357728116</v>
      </c>
    </row>
    <row r="594" spans="29:33" x14ac:dyDescent="0.25">
      <c r="AC594" s="16">
        <v>590</v>
      </c>
      <c r="AD594" s="16">
        <f t="shared" si="46"/>
        <v>1681.2860757935553</v>
      </c>
      <c r="AE594" s="16">
        <f t="shared" si="44"/>
        <v>25.11248801822375</v>
      </c>
      <c r="AF594" s="16">
        <f>'Gearing Calculator'!$C$17*Braking!AD594</f>
        <v>2521.929113690333</v>
      </c>
      <c r="AG594" s="16">
        <f t="shared" si="45"/>
        <v>-9.4738133497007251</v>
      </c>
    </row>
    <row r="595" spans="29:33" x14ac:dyDescent="0.25">
      <c r="AC595" s="16">
        <v>591</v>
      </c>
      <c r="AD595" s="16">
        <f t="shared" si="46"/>
        <v>1681.814733718629</v>
      </c>
      <c r="AE595" s="16">
        <f t="shared" si="44"/>
        <v>25.155051557237691</v>
      </c>
      <c r="AF595" s="16">
        <f>'Gearing Calculator'!$C$17*Braking!AD595</f>
        <v>2522.7221005779434</v>
      </c>
      <c r="AG595" s="16">
        <f t="shared" si="45"/>
        <v>-9.4767922636286386</v>
      </c>
    </row>
    <row r="596" spans="29:33" x14ac:dyDescent="0.25">
      <c r="AC596" s="16">
        <v>592</v>
      </c>
      <c r="AD596" s="16">
        <f t="shared" si="46"/>
        <v>1682.3433916437029</v>
      </c>
      <c r="AE596" s="16">
        <f t="shared" si="44"/>
        <v>25.197615096251631</v>
      </c>
      <c r="AF596" s="16">
        <f>'Gearing Calculator'!$C$17*Braking!AD596</f>
        <v>2523.5150874655546</v>
      </c>
      <c r="AG596" s="16">
        <f t="shared" si="45"/>
        <v>-9.4797711775565539</v>
      </c>
    </row>
    <row r="597" spans="29:33" x14ac:dyDescent="0.25">
      <c r="AC597" s="16">
        <v>593</v>
      </c>
      <c r="AD597" s="16">
        <f t="shared" si="46"/>
        <v>1682.8720495687767</v>
      </c>
      <c r="AE597" s="16">
        <f t="shared" si="44"/>
        <v>25.240178635265568</v>
      </c>
      <c r="AF597" s="16">
        <f>'Gearing Calculator'!$C$17*Braking!AD597</f>
        <v>2524.308074353165</v>
      </c>
      <c r="AG597" s="16">
        <f t="shared" si="45"/>
        <v>-9.4827500914844673</v>
      </c>
    </row>
    <row r="598" spans="29:33" x14ac:dyDescent="0.25">
      <c r="AC598" s="16">
        <v>594</v>
      </c>
      <c r="AD598" s="16">
        <f t="shared" si="46"/>
        <v>1683.4007074938504</v>
      </c>
      <c r="AE598" s="16">
        <f t="shared" si="44"/>
        <v>25.282742174279505</v>
      </c>
      <c r="AF598" s="16">
        <f>'Gearing Calculator'!$C$17*Braking!AD598</f>
        <v>2525.1010612407754</v>
      </c>
      <c r="AG598" s="16">
        <f t="shared" si="45"/>
        <v>-9.4857290054123791</v>
      </c>
    </row>
    <row r="599" spans="29:33" x14ac:dyDescent="0.25">
      <c r="AC599" s="16">
        <v>595</v>
      </c>
      <c r="AD599" s="16">
        <f t="shared" si="46"/>
        <v>1683.9293654189244</v>
      </c>
      <c r="AE599" s="16">
        <f t="shared" si="44"/>
        <v>25.325305713293446</v>
      </c>
      <c r="AF599" s="16">
        <f>'Gearing Calculator'!$C$17*Braking!AD599</f>
        <v>2525.8940481283867</v>
      </c>
      <c r="AG599" s="16">
        <f t="shared" si="45"/>
        <v>-9.4887079193402961</v>
      </c>
    </row>
    <row r="600" spans="29:33" x14ac:dyDescent="0.25">
      <c r="AC600" s="16">
        <v>596</v>
      </c>
      <c r="AD600" s="16">
        <f t="shared" si="46"/>
        <v>1684.4580233439981</v>
      </c>
      <c r="AE600" s="16">
        <f t="shared" si="44"/>
        <v>25.367869252307386</v>
      </c>
      <c r="AF600" s="16">
        <f>'Gearing Calculator'!$C$17*Braking!AD600</f>
        <v>2526.687035015997</v>
      </c>
      <c r="AG600" s="16">
        <f t="shared" si="45"/>
        <v>-9.4916868332682078</v>
      </c>
    </row>
    <row r="601" spans="29:33" x14ac:dyDescent="0.25">
      <c r="AC601" s="16">
        <v>597</v>
      </c>
      <c r="AD601" s="16">
        <f t="shared" si="46"/>
        <v>1684.9866812690721</v>
      </c>
      <c r="AE601" s="16">
        <f t="shared" si="44"/>
        <v>25.410432791321323</v>
      </c>
      <c r="AF601" s="16">
        <f>'Gearing Calculator'!$C$17*Braking!AD601</f>
        <v>2527.4800219036078</v>
      </c>
      <c r="AG601" s="16">
        <f t="shared" si="45"/>
        <v>-9.4946657471961231</v>
      </c>
    </row>
    <row r="602" spans="29:33" x14ac:dyDescent="0.25">
      <c r="AC602" s="16">
        <v>598</v>
      </c>
      <c r="AD602" s="16">
        <f t="shared" si="46"/>
        <v>1685.5153391941458</v>
      </c>
      <c r="AE602" s="16">
        <f t="shared" si="44"/>
        <v>25.45299633033526</v>
      </c>
      <c r="AF602" s="16">
        <f>'Gearing Calculator'!$C$17*Braking!AD602</f>
        <v>2528.2730087912187</v>
      </c>
      <c r="AG602" s="16">
        <f t="shared" si="45"/>
        <v>-9.4976446611240366</v>
      </c>
    </row>
    <row r="603" spans="29:33" x14ac:dyDescent="0.25">
      <c r="AC603" s="16">
        <v>599</v>
      </c>
      <c r="AD603" s="16">
        <f t="shared" si="46"/>
        <v>1686.0439971192195</v>
      </c>
      <c r="AE603" s="16">
        <f t="shared" si="44"/>
        <v>25.495559869349201</v>
      </c>
      <c r="AF603" s="16">
        <f>'Gearing Calculator'!$C$17*Braking!AD603</f>
        <v>2529.0659956788295</v>
      </c>
      <c r="AG603" s="16">
        <f t="shared" si="45"/>
        <v>-9.5006235750519519</v>
      </c>
    </row>
    <row r="604" spans="29:33" x14ac:dyDescent="0.25">
      <c r="AC604" s="16">
        <v>600</v>
      </c>
      <c r="AD604" s="16">
        <f t="shared" si="46"/>
        <v>1686.5726550442935</v>
      </c>
      <c r="AE604" s="16">
        <f t="shared" si="44"/>
        <v>25.538123408363138</v>
      </c>
      <c r="AF604" s="16">
        <f>'Gearing Calculator'!$C$17*Braking!AD604</f>
        <v>2529.8589825664403</v>
      </c>
      <c r="AG604" s="16">
        <f t="shared" si="45"/>
        <v>-9.5036024889798671</v>
      </c>
    </row>
    <row r="605" spans="29:33" x14ac:dyDescent="0.25">
      <c r="AC605" s="16">
        <v>601</v>
      </c>
      <c r="AD605" s="16">
        <f t="shared" si="46"/>
        <v>1687.1013129693672</v>
      </c>
      <c r="AE605" s="16">
        <f t="shared" si="44"/>
        <v>25.580686947377078</v>
      </c>
      <c r="AF605" s="16">
        <f>'Gearing Calculator'!$C$17*Braking!AD605</f>
        <v>2530.6519694540507</v>
      </c>
      <c r="AG605" s="16">
        <f t="shared" si="45"/>
        <v>-9.5065814029077789</v>
      </c>
    </row>
    <row r="606" spans="29:33" x14ac:dyDescent="0.25">
      <c r="AC606" s="16">
        <v>602</v>
      </c>
      <c r="AD606" s="16">
        <f t="shared" si="46"/>
        <v>1687.6299708944412</v>
      </c>
      <c r="AE606" s="16">
        <f t="shared" si="44"/>
        <v>25.623250486391015</v>
      </c>
      <c r="AF606" s="16">
        <f>'Gearing Calculator'!$C$17*Braking!AD606</f>
        <v>2531.444956341662</v>
      </c>
      <c r="AG606" s="16">
        <f t="shared" si="45"/>
        <v>-9.5095603168356959</v>
      </c>
    </row>
    <row r="607" spans="29:33" x14ac:dyDescent="0.25">
      <c r="AC607" s="16">
        <v>603</v>
      </c>
      <c r="AD607" s="16">
        <f t="shared" si="46"/>
        <v>1688.1586288195149</v>
      </c>
      <c r="AE607" s="16">
        <f t="shared" si="44"/>
        <v>25.665814025404956</v>
      </c>
      <c r="AF607" s="16">
        <f>'Gearing Calculator'!$C$17*Braking!AD607</f>
        <v>2532.2379432292723</v>
      </c>
      <c r="AG607" s="16">
        <f t="shared" si="45"/>
        <v>-9.5125392307636076</v>
      </c>
    </row>
    <row r="608" spans="29:33" x14ac:dyDescent="0.25">
      <c r="AC608" s="16">
        <v>604</v>
      </c>
      <c r="AD608" s="16">
        <f t="shared" si="46"/>
        <v>1688.6872867445886</v>
      </c>
      <c r="AE608" s="16">
        <f t="shared" si="44"/>
        <v>25.708377564418893</v>
      </c>
      <c r="AF608" s="16">
        <f>'Gearing Calculator'!$C$17*Braking!AD608</f>
        <v>2533.0309301168827</v>
      </c>
      <c r="AG608" s="16">
        <f t="shared" si="45"/>
        <v>-9.5155181446915211</v>
      </c>
    </row>
    <row r="609" spans="29:33" x14ac:dyDescent="0.25">
      <c r="AC609" s="16">
        <v>605</v>
      </c>
      <c r="AD609" s="16">
        <f t="shared" si="46"/>
        <v>1689.2159446696626</v>
      </c>
      <c r="AE609" s="16">
        <f t="shared" si="44"/>
        <v>25.750941103432829</v>
      </c>
      <c r="AF609" s="16">
        <f>'Gearing Calculator'!$C$17*Braking!AD609</f>
        <v>2533.823917004494</v>
      </c>
      <c r="AG609" s="16">
        <f t="shared" si="45"/>
        <v>-9.5184970586194364</v>
      </c>
    </row>
    <row r="610" spans="29:33" x14ac:dyDescent="0.25">
      <c r="AC610" s="16">
        <v>606</v>
      </c>
      <c r="AD610" s="16">
        <f t="shared" si="46"/>
        <v>1689.7446025947363</v>
      </c>
      <c r="AE610" s="16">
        <f t="shared" si="44"/>
        <v>25.79350464244677</v>
      </c>
      <c r="AF610" s="16">
        <f>'Gearing Calculator'!$C$17*Braking!AD610</f>
        <v>2534.6169038921043</v>
      </c>
      <c r="AG610" s="16">
        <f t="shared" si="45"/>
        <v>-9.5214759725473499</v>
      </c>
    </row>
    <row r="611" spans="29:33" x14ac:dyDescent="0.25">
      <c r="AC611" s="16">
        <v>607</v>
      </c>
      <c r="AD611" s="16">
        <f t="shared" si="46"/>
        <v>1690.2732605198103</v>
      </c>
      <c r="AE611" s="16">
        <f t="shared" si="44"/>
        <v>25.836068181460707</v>
      </c>
      <c r="AF611" s="16">
        <f>'Gearing Calculator'!$C$17*Braking!AD611</f>
        <v>2535.4098907797152</v>
      </c>
      <c r="AG611" s="16">
        <f t="shared" si="45"/>
        <v>-9.5244548864752634</v>
      </c>
    </row>
    <row r="612" spans="29:33" x14ac:dyDescent="0.25">
      <c r="AC612" s="16">
        <v>608</v>
      </c>
      <c r="AD612" s="16">
        <f t="shared" si="46"/>
        <v>1690.801918444884</v>
      </c>
      <c r="AE612" s="16">
        <f t="shared" si="44"/>
        <v>25.878631720474647</v>
      </c>
      <c r="AF612" s="16">
        <f>'Gearing Calculator'!$C$17*Braking!AD612</f>
        <v>2536.202877667326</v>
      </c>
      <c r="AG612" s="16">
        <f t="shared" si="45"/>
        <v>-9.5274338004031787</v>
      </c>
    </row>
    <row r="613" spans="29:33" x14ac:dyDescent="0.25">
      <c r="AC613" s="16">
        <v>609</v>
      </c>
      <c r="AD613" s="16">
        <f t="shared" si="46"/>
        <v>1691.3305763699577</v>
      </c>
      <c r="AE613" s="16">
        <f t="shared" si="44"/>
        <v>25.921195259488584</v>
      </c>
      <c r="AF613" s="16">
        <f>'Gearing Calculator'!$C$17*Braking!AD613</f>
        <v>2536.9958645549368</v>
      </c>
      <c r="AG613" s="16">
        <f t="shared" si="45"/>
        <v>-9.5304127143310922</v>
      </c>
    </row>
    <row r="614" spans="29:33" x14ac:dyDescent="0.25">
      <c r="AC614" s="16">
        <v>610</v>
      </c>
      <c r="AD614" s="16">
        <f t="shared" si="46"/>
        <v>1691.8592342950317</v>
      </c>
      <c r="AE614" s="16">
        <f t="shared" si="44"/>
        <v>25.963758798502525</v>
      </c>
      <c r="AF614" s="16">
        <f>'Gearing Calculator'!$C$17*Braking!AD614</f>
        <v>2537.7888514425476</v>
      </c>
      <c r="AG614" s="16">
        <f t="shared" si="45"/>
        <v>-9.5333916282590074</v>
      </c>
    </row>
    <row r="615" spans="29:33" x14ac:dyDescent="0.25">
      <c r="AC615" s="16">
        <v>611</v>
      </c>
      <c r="AD615" s="16">
        <f t="shared" si="46"/>
        <v>1692.3878922201054</v>
      </c>
      <c r="AE615" s="16">
        <f t="shared" si="44"/>
        <v>26.006322337516462</v>
      </c>
      <c r="AF615" s="16">
        <f>'Gearing Calculator'!$C$17*Braking!AD615</f>
        <v>2538.581838330158</v>
      </c>
      <c r="AG615" s="16">
        <f t="shared" si="45"/>
        <v>-9.5363705421869209</v>
      </c>
    </row>
    <row r="616" spans="29:33" x14ac:dyDescent="0.25">
      <c r="AC616" s="16">
        <v>612</v>
      </c>
      <c r="AD616" s="16">
        <f t="shared" si="46"/>
        <v>1692.9165501451794</v>
      </c>
      <c r="AE616" s="16">
        <f t="shared" si="44"/>
        <v>26.048885876530402</v>
      </c>
      <c r="AF616" s="16">
        <f>'Gearing Calculator'!$C$17*Braking!AD616</f>
        <v>2539.3748252177693</v>
      </c>
      <c r="AG616" s="16">
        <f t="shared" si="45"/>
        <v>-9.5393494561148362</v>
      </c>
    </row>
    <row r="617" spans="29:33" x14ac:dyDescent="0.25">
      <c r="AC617" s="16">
        <v>613</v>
      </c>
      <c r="AD617" s="16">
        <f t="shared" si="46"/>
        <v>1693.4452080702531</v>
      </c>
      <c r="AE617" s="16">
        <f t="shared" si="44"/>
        <v>26.091449415544339</v>
      </c>
      <c r="AF617" s="16">
        <f>'Gearing Calculator'!$C$17*Braking!AD617</f>
        <v>2540.1678121053797</v>
      </c>
      <c r="AG617" s="16">
        <f t="shared" si="45"/>
        <v>-9.5423283700427497</v>
      </c>
    </row>
    <row r="618" spans="29:33" x14ac:dyDescent="0.25">
      <c r="AC618" s="16">
        <v>614</v>
      </c>
      <c r="AD618" s="16">
        <f t="shared" si="46"/>
        <v>1693.9738659953268</v>
      </c>
      <c r="AE618" s="16">
        <f t="shared" si="44"/>
        <v>26.134012954558276</v>
      </c>
      <c r="AF618" s="16">
        <f>'Gearing Calculator'!$C$17*Braking!AD618</f>
        <v>2540.96079899299</v>
      </c>
      <c r="AG618" s="16">
        <f t="shared" si="45"/>
        <v>-9.5453072839706614</v>
      </c>
    </row>
    <row r="619" spans="29:33" x14ac:dyDescent="0.25">
      <c r="AC619" s="16">
        <v>615</v>
      </c>
      <c r="AD619" s="16">
        <f t="shared" si="46"/>
        <v>1694.5025239204008</v>
      </c>
      <c r="AE619" s="16">
        <f t="shared" si="44"/>
        <v>26.176576493572217</v>
      </c>
      <c r="AF619" s="16">
        <f>'Gearing Calculator'!$C$17*Braking!AD619</f>
        <v>2541.7537858806013</v>
      </c>
      <c r="AG619" s="16">
        <f t="shared" si="45"/>
        <v>-9.5482861978985785</v>
      </c>
    </row>
    <row r="620" spans="29:33" x14ac:dyDescent="0.25">
      <c r="AC620" s="16">
        <v>616</v>
      </c>
      <c r="AD620" s="16">
        <f t="shared" si="46"/>
        <v>1695.0311818454745</v>
      </c>
      <c r="AE620" s="16">
        <f t="shared" si="44"/>
        <v>26.219140032586157</v>
      </c>
      <c r="AF620" s="16">
        <f>'Gearing Calculator'!$C$17*Braking!AD620</f>
        <v>2542.5467727682117</v>
      </c>
      <c r="AG620" s="16">
        <f t="shared" si="45"/>
        <v>-9.5512651118264902</v>
      </c>
    </row>
    <row r="621" spans="29:33" x14ac:dyDescent="0.25">
      <c r="AC621" s="16">
        <v>617</v>
      </c>
      <c r="AD621" s="16">
        <f t="shared" si="46"/>
        <v>1695.5598397705485</v>
      </c>
      <c r="AE621" s="16">
        <f t="shared" si="44"/>
        <v>26.261703571600094</v>
      </c>
      <c r="AF621" s="16">
        <f>'Gearing Calculator'!$C$17*Braking!AD621</f>
        <v>2543.3397596558225</v>
      </c>
      <c r="AG621" s="16">
        <f t="shared" si="45"/>
        <v>-9.5542440257544055</v>
      </c>
    </row>
    <row r="622" spans="29:33" x14ac:dyDescent="0.25">
      <c r="AC622" s="16">
        <v>618</v>
      </c>
      <c r="AD622" s="16">
        <f t="shared" si="46"/>
        <v>1696.0884976956222</v>
      </c>
      <c r="AE622" s="16">
        <f t="shared" si="44"/>
        <v>26.304267110614031</v>
      </c>
      <c r="AF622" s="16">
        <f>'Gearing Calculator'!$C$17*Braking!AD622</f>
        <v>2544.1327465434333</v>
      </c>
      <c r="AG622" s="16">
        <f t="shared" si="45"/>
        <v>-9.557222939682319</v>
      </c>
    </row>
    <row r="623" spans="29:33" x14ac:dyDescent="0.25">
      <c r="AC623" s="16">
        <v>619</v>
      </c>
      <c r="AD623" s="16">
        <f t="shared" si="46"/>
        <v>1696.6171556206959</v>
      </c>
      <c r="AE623" s="16">
        <f t="shared" si="44"/>
        <v>26.346830649627972</v>
      </c>
      <c r="AF623" s="16">
        <f>'Gearing Calculator'!$C$17*Braking!AD623</f>
        <v>2544.9257334310441</v>
      </c>
      <c r="AG623" s="16">
        <f t="shared" si="45"/>
        <v>-9.5602018536102342</v>
      </c>
    </row>
    <row r="624" spans="29:33" x14ac:dyDescent="0.25">
      <c r="AC624" s="16">
        <v>620</v>
      </c>
      <c r="AD624" s="16">
        <f t="shared" si="46"/>
        <v>1697.1458135457699</v>
      </c>
      <c r="AE624" s="16">
        <f t="shared" si="44"/>
        <v>26.389394188641909</v>
      </c>
      <c r="AF624" s="16">
        <f>'Gearing Calculator'!$C$17*Braking!AD624</f>
        <v>2545.718720318655</v>
      </c>
      <c r="AG624" s="16">
        <f t="shared" si="45"/>
        <v>-9.5631807675381477</v>
      </c>
    </row>
    <row r="625" spans="29:33" x14ac:dyDescent="0.25">
      <c r="AC625" s="16">
        <v>621</v>
      </c>
      <c r="AD625" s="16">
        <f t="shared" si="46"/>
        <v>1697.6744714708436</v>
      </c>
      <c r="AE625" s="16">
        <f t="shared" si="44"/>
        <v>26.431957727655846</v>
      </c>
      <c r="AF625" s="16">
        <f>'Gearing Calculator'!$C$17*Braking!AD625</f>
        <v>2546.5117072062653</v>
      </c>
      <c r="AG625" s="16">
        <f t="shared" si="45"/>
        <v>-9.5661596814660612</v>
      </c>
    </row>
    <row r="626" spans="29:33" x14ac:dyDescent="0.25">
      <c r="AC626" s="16">
        <v>622</v>
      </c>
      <c r="AD626" s="16">
        <f t="shared" si="46"/>
        <v>1698.2031293959176</v>
      </c>
      <c r="AE626" s="16">
        <f t="shared" si="44"/>
        <v>26.474521266669786</v>
      </c>
      <c r="AF626" s="16">
        <f>'Gearing Calculator'!$C$17*Braking!AD626</f>
        <v>2547.3046940938766</v>
      </c>
      <c r="AG626" s="16">
        <f t="shared" si="45"/>
        <v>-9.5691385953939765</v>
      </c>
    </row>
    <row r="627" spans="29:33" x14ac:dyDescent="0.25">
      <c r="AC627" s="16">
        <v>623</v>
      </c>
      <c r="AD627" s="16">
        <f t="shared" si="46"/>
        <v>1698.7317873209913</v>
      </c>
      <c r="AE627" s="16">
        <f t="shared" si="44"/>
        <v>26.517084805683727</v>
      </c>
      <c r="AF627" s="16">
        <f>'Gearing Calculator'!$C$17*Braking!AD627</f>
        <v>2548.097680981487</v>
      </c>
      <c r="AG627" s="16">
        <f t="shared" si="45"/>
        <v>-9.57211750932189</v>
      </c>
    </row>
    <row r="628" spans="29:33" x14ac:dyDescent="0.25">
      <c r="AC628" s="16">
        <v>624</v>
      </c>
      <c r="AD628" s="16">
        <f t="shared" si="46"/>
        <v>1699.260445246065</v>
      </c>
      <c r="AE628" s="16">
        <f t="shared" si="44"/>
        <v>26.559648344697663</v>
      </c>
      <c r="AF628" s="16">
        <f>'Gearing Calculator'!$C$17*Braking!AD628</f>
        <v>2548.8906678690973</v>
      </c>
      <c r="AG628" s="16">
        <f t="shared" si="45"/>
        <v>-9.5750964232498035</v>
      </c>
    </row>
    <row r="629" spans="29:33" x14ac:dyDescent="0.25">
      <c r="AC629" s="16">
        <v>625</v>
      </c>
      <c r="AD629" s="16">
        <f t="shared" si="46"/>
        <v>1699.789103171139</v>
      </c>
      <c r="AE629" s="16">
        <f t="shared" si="44"/>
        <v>26.6022118837116</v>
      </c>
      <c r="AF629" s="16">
        <f>'Gearing Calculator'!$C$17*Braking!AD629</f>
        <v>2549.6836547567086</v>
      </c>
      <c r="AG629" s="16">
        <f t="shared" si="45"/>
        <v>-9.5780753371777188</v>
      </c>
    </row>
    <row r="630" spans="29:33" x14ac:dyDescent="0.25">
      <c r="AC630" s="16">
        <v>626</v>
      </c>
      <c r="AD630" s="16">
        <f t="shared" si="46"/>
        <v>1700.3177610962127</v>
      </c>
      <c r="AE630" s="16">
        <f t="shared" si="44"/>
        <v>26.644775422725541</v>
      </c>
      <c r="AF630" s="16">
        <f>'Gearing Calculator'!$C$17*Braking!AD630</f>
        <v>2550.476641644319</v>
      </c>
      <c r="AG630" s="16">
        <f t="shared" si="45"/>
        <v>-9.5810542511056322</v>
      </c>
    </row>
    <row r="631" spans="29:33" x14ac:dyDescent="0.25">
      <c r="AC631" s="16">
        <v>627</v>
      </c>
      <c r="AD631" s="16">
        <f t="shared" si="46"/>
        <v>1700.8464190212867</v>
      </c>
      <c r="AE631" s="16">
        <f t="shared" si="44"/>
        <v>26.687338961739481</v>
      </c>
      <c r="AF631" s="16">
        <f>'Gearing Calculator'!$C$17*Braking!AD631</f>
        <v>2551.2696285319298</v>
      </c>
      <c r="AG631" s="16">
        <f t="shared" si="45"/>
        <v>-9.5840331650335457</v>
      </c>
    </row>
    <row r="632" spans="29:33" x14ac:dyDescent="0.25">
      <c r="AC632" s="16">
        <v>628</v>
      </c>
      <c r="AD632" s="16">
        <f t="shared" si="46"/>
        <v>1701.3750769463604</v>
      </c>
      <c r="AE632" s="16">
        <f t="shared" si="44"/>
        <v>26.729902500753415</v>
      </c>
      <c r="AF632" s="16">
        <f>'Gearing Calculator'!$C$17*Braking!AD632</f>
        <v>2552.0626154195406</v>
      </c>
      <c r="AG632" s="16">
        <f t="shared" si="45"/>
        <v>-9.587012078961461</v>
      </c>
    </row>
    <row r="633" spans="29:33" x14ac:dyDescent="0.25">
      <c r="AC633" s="16">
        <v>629</v>
      </c>
      <c r="AD633" s="16">
        <f t="shared" si="46"/>
        <v>1701.9037348714342</v>
      </c>
      <c r="AE633" s="16">
        <f t="shared" si="44"/>
        <v>26.772466039767355</v>
      </c>
      <c r="AF633" s="16">
        <f>'Gearing Calculator'!$C$17*Braking!AD633</f>
        <v>2552.8556023071515</v>
      </c>
      <c r="AG633" s="16">
        <f t="shared" si="45"/>
        <v>-9.5899909928893745</v>
      </c>
    </row>
    <row r="634" spans="29:33" x14ac:dyDescent="0.25">
      <c r="AC634" s="16">
        <v>630</v>
      </c>
      <c r="AD634" s="16">
        <f t="shared" si="46"/>
        <v>1702.4323927965081</v>
      </c>
      <c r="AE634" s="16">
        <f t="shared" si="44"/>
        <v>26.815029578781296</v>
      </c>
      <c r="AF634" s="16">
        <f>'Gearing Calculator'!$C$17*Braking!AD634</f>
        <v>2553.6485891947623</v>
      </c>
      <c r="AG634" s="16">
        <f t="shared" si="45"/>
        <v>-9.5929699068172898</v>
      </c>
    </row>
    <row r="635" spans="29:33" x14ac:dyDescent="0.25">
      <c r="AC635" s="16">
        <v>631</v>
      </c>
      <c r="AD635" s="16">
        <f t="shared" si="46"/>
        <v>1702.9610507215818</v>
      </c>
      <c r="AE635" s="16">
        <f t="shared" si="44"/>
        <v>26.857593117795233</v>
      </c>
      <c r="AF635" s="16">
        <f>'Gearing Calculator'!$C$17*Braking!AD635</f>
        <v>2554.4415760823726</v>
      </c>
      <c r="AG635" s="16">
        <f t="shared" si="45"/>
        <v>-9.5959488207452015</v>
      </c>
    </row>
    <row r="636" spans="29:33" x14ac:dyDescent="0.25">
      <c r="AC636" s="16">
        <v>632</v>
      </c>
      <c r="AD636" s="16">
        <f t="shared" si="46"/>
        <v>1703.4897086466558</v>
      </c>
      <c r="AE636" s="16">
        <f t="shared" si="44"/>
        <v>26.90015665680917</v>
      </c>
      <c r="AF636" s="16">
        <f>'Gearing Calculator'!$C$17*Braking!AD636</f>
        <v>2555.2345629699839</v>
      </c>
      <c r="AG636" s="16">
        <f t="shared" si="45"/>
        <v>-9.5989277346731186</v>
      </c>
    </row>
    <row r="637" spans="29:33" x14ac:dyDescent="0.25">
      <c r="AC637" s="16">
        <v>633</v>
      </c>
      <c r="AD637" s="16">
        <f t="shared" si="46"/>
        <v>1704.0183665717295</v>
      </c>
      <c r="AE637" s="16">
        <f t="shared" si="44"/>
        <v>26.94272019582311</v>
      </c>
      <c r="AF637" s="16">
        <f>'Gearing Calculator'!$C$17*Braking!AD637</f>
        <v>2556.0275498575943</v>
      </c>
      <c r="AG637" s="16">
        <f t="shared" si="45"/>
        <v>-9.6019066486010303</v>
      </c>
    </row>
    <row r="638" spans="29:33" x14ac:dyDescent="0.25">
      <c r="AC638" s="16">
        <v>634</v>
      </c>
      <c r="AD638" s="16">
        <f t="shared" si="46"/>
        <v>1704.5470244968033</v>
      </c>
      <c r="AE638" s="16">
        <f t="shared" si="44"/>
        <v>26.985283734837051</v>
      </c>
      <c r="AF638" s="16">
        <f>'Gearing Calculator'!$C$17*Braking!AD638</f>
        <v>2556.8205367452047</v>
      </c>
      <c r="AG638" s="16">
        <f t="shared" si="45"/>
        <v>-9.6048855625289438</v>
      </c>
    </row>
    <row r="639" spans="29:33" x14ac:dyDescent="0.25">
      <c r="AC639" s="16">
        <v>635</v>
      </c>
      <c r="AD639" s="16">
        <f t="shared" si="46"/>
        <v>1705.0756824218772</v>
      </c>
      <c r="AE639" s="16">
        <f t="shared" si="44"/>
        <v>27.027847273850984</v>
      </c>
      <c r="AF639" s="16">
        <f>'Gearing Calculator'!$C$17*Braking!AD639</f>
        <v>2557.6135236328159</v>
      </c>
      <c r="AG639" s="16">
        <f t="shared" si="45"/>
        <v>-9.607864476456859</v>
      </c>
    </row>
    <row r="640" spans="29:33" x14ac:dyDescent="0.25">
      <c r="AC640" s="16">
        <v>636</v>
      </c>
      <c r="AD640" s="16">
        <f t="shared" si="46"/>
        <v>1705.6043403469509</v>
      </c>
      <c r="AE640" s="16">
        <f t="shared" si="44"/>
        <v>27.070410812864925</v>
      </c>
      <c r="AF640" s="16">
        <f>'Gearing Calculator'!$C$17*Braking!AD640</f>
        <v>2558.4065105204263</v>
      </c>
      <c r="AG640" s="16">
        <f t="shared" si="45"/>
        <v>-9.6108433903847725</v>
      </c>
    </row>
    <row r="641" spans="29:33" x14ac:dyDescent="0.25">
      <c r="AC641" s="16">
        <v>637</v>
      </c>
      <c r="AD641" s="16">
        <f t="shared" si="46"/>
        <v>1706.1329982720249</v>
      </c>
      <c r="AE641" s="16">
        <f t="shared" si="44"/>
        <v>27.112974351878865</v>
      </c>
      <c r="AF641" s="16">
        <f>'Gearing Calculator'!$C$17*Braking!AD641</f>
        <v>2559.1994974080371</v>
      </c>
      <c r="AG641" s="16">
        <f t="shared" si="45"/>
        <v>-9.613822304312686</v>
      </c>
    </row>
    <row r="642" spans="29:33" x14ac:dyDescent="0.25">
      <c r="AC642" s="16">
        <v>638</v>
      </c>
      <c r="AD642" s="16">
        <f t="shared" si="46"/>
        <v>1706.6616561970986</v>
      </c>
      <c r="AE642" s="16">
        <f t="shared" si="44"/>
        <v>27.155537890892806</v>
      </c>
      <c r="AF642" s="16">
        <f>'Gearing Calculator'!$C$17*Braking!AD642</f>
        <v>2559.992484295648</v>
      </c>
      <c r="AG642" s="16">
        <f t="shared" si="45"/>
        <v>-9.6168012182406013</v>
      </c>
    </row>
    <row r="643" spans="29:33" x14ac:dyDescent="0.25">
      <c r="AC643" s="16">
        <v>639</v>
      </c>
      <c r="AD643" s="16">
        <f t="shared" si="46"/>
        <v>1707.1903141221724</v>
      </c>
      <c r="AE643" s="16">
        <f t="shared" si="44"/>
        <v>27.198101429906739</v>
      </c>
      <c r="AF643" s="16">
        <f>'Gearing Calculator'!$C$17*Braking!AD643</f>
        <v>2560.7854711832588</v>
      </c>
      <c r="AG643" s="16">
        <f t="shared" si="45"/>
        <v>-9.6197801321685166</v>
      </c>
    </row>
    <row r="644" spans="29:33" x14ac:dyDescent="0.25">
      <c r="AC644" s="16">
        <v>640</v>
      </c>
      <c r="AD644" s="16">
        <f t="shared" si="46"/>
        <v>1707.7189720472463</v>
      </c>
      <c r="AE644" s="16">
        <f t="shared" si="44"/>
        <v>27.240664968920679</v>
      </c>
      <c r="AF644" s="16">
        <f>'Gearing Calculator'!$C$17*Braking!AD644</f>
        <v>2561.5784580708696</v>
      </c>
      <c r="AG644" s="16">
        <f t="shared" si="45"/>
        <v>-9.6227590460964301</v>
      </c>
    </row>
    <row r="645" spans="29:33" x14ac:dyDescent="0.25">
      <c r="AC645" s="16">
        <v>641</v>
      </c>
      <c r="AD645" s="16">
        <f t="shared" si="46"/>
        <v>1708.2476299723201</v>
      </c>
      <c r="AE645" s="16">
        <f t="shared" si="44"/>
        <v>27.28322850793462</v>
      </c>
      <c r="AF645" s="16">
        <f>'Gearing Calculator'!$C$17*Braking!AD645</f>
        <v>2562.37144495848</v>
      </c>
      <c r="AG645" s="16">
        <f t="shared" si="45"/>
        <v>-9.6257379600243436</v>
      </c>
    </row>
    <row r="646" spans="29:33" x14ac:dyDescent="0.25">
      <c r="AC646" s="16">
        <v>642</v>
      </c>
      <c r="AD646" s="16">
        <f t="shared" si="46"/>
        <v>1708.776287897394</v>
      </c>
      <c r="AE646" s="16">
        <f t="shared" ref="AE646:AE709" si="47">(AC646/$X$104)*100</f>
        <v>27.32579204694856</v>
      </c>
      <c r="AF646" s="16">
        <f>'Gearing Calculator'!$C$17*Braking!AD646</f>
        <v>2563.1644318460912</v>
      </c>
      <c r="AG646" s="16">
        <f t="shared" ref="AG646:AG709" si="48">-(AF646/$C$3)</f>
        <v>-9.6287168739522588</v>
      </c>
    </row>
    <row r="647" spans="29:33" x14ac:dyDescent="0.25">
      <c r="AC647" s="16">
        <v>643</v>
      </c>
      <c r="AD647" s="16">
        <f t="shared" ref="AD647:AD710" si="49">($C$3*$C$4)*($C$9/$C$8)+(AC647*($C$10/$C$8))</f>
        <v>1709.3049458224677</v>
      </c>
      <c r="AE647" s="16">
        <f t="shared" si="47"/>
        <v>27.368355585962494</v>
      </c>
      <c r="AF647" s="16">
        <f>'Gearing Calculator'!$C$17*Braking!AD647</f>
        <v>2563.9574187337016</v>
      </c>
      <c r="AG647" s="16">
        <f t="shared" si="48"/>
        <v>-9.6316957878801723</v>
      </c>
    </row>
    <row r="648" spans="29:33" x14ac:dyDescent="0.25">
      <c r="AC648" s="16">
        <v>644</v>
      </c>
      <c r="AD648" s="16">
        <f t="shared" si="49"/>
        <v>1709.8336037475415</v>
      </c>
      <c r="AE648" s="16">
        <f t="shared" si="47"/>
        <v>27.410919124976434</v>
      </c>
      <c r="AF648" s="16">
        <f>'Gearing Calculator'!$C$17*Braking!AD648</f>
        <v>2564.750405621312</v>
      </c>
      <c r="AG648" s="16">
        <f t="shared" si="48"/>
        <v>-9.6346747018080841</v>
      </c>
    </row>
    <row r="649" spans="29:33" x14ac:dyDescent="0.25">
      <c r="AC649" s="16">
        <v>645</v>
      </c>
      <c r="AD649" s="16">
        <f t="shared" si="49"/>
        <v>1710.3622616726154</v>
      </c>
      <c r="AE649" s="16">
        <f t="shared" si="47"/>
        <v>27.453482663990375</v>
      </c>
      <c r="AF649" s="16">
        <f>'Gearing Calculator'!$C$17*Braking!AD649</f>
        <v>2565.5433925089233</v>
      </c>
      <c r="AG649" s="16">
        <f t="shared" si="48"/>
        <v>-9.6376536157360011</v>
      </c>
    </row>
    <row r="650" spans="29:33" x14ac:dyDescent="0.25">
      <c r="AC650" s="16">
        <v>646</v>
      </c>
      <c r="AD650" s="16">
        <f t="shared" si="49"/>
        <v>1710.8909195976892</v>
      </c>
      <c r="AE650" s="16">
        <f t="shared" si="47"/>
        <v>27.496046203004308</v>
      </c>
      <c r="AF650" s="16">
        <f>'Gearing Calculator'!$C$17*Braking!AD650</f>
        <v>2566.3363793965336</v>
      </c>
      <c r="AG650" s="16">
        <f t="shared" si="48"/>
        <v>-9.6406325296639128</v>
      </c>
    </row>
    <row r="651" spans="29:33" x14ac:dyDescent="0.25">
      <c r="AC651" s="16">
        <v>647</v>
      </c>
      <c r="AD651" s="16">
        <f t="shared" si="49"/>
        <v>1711.4195775227631</v>
      </c>
      <c r="AE651" s="16">
        <f t="shared" si="47"/>
        <v>27.538609742018249</v>
      </c>
      <c r="AF651" s="16">
        <f>'Gearing Calculator'!$C$17*Braking!AD651</f>
        <v>2567.1293662841445</v>
      </c>
      <c r="AG651" s="16">
        <f t="shared" si="48"/>
        <v>-9.6436114435918281</v>
      </c>
    </row>
    <row r="652" spans="29:33" x14ac:dyDescent="0.25">
      <c r="AC652" s="16">
        <v>648</v>
      </c>
      <c r="AD652" s="16">
        <f t="shared" si="49"/>
        <v>1711.9482354478369</v>
      </c>
      <c r="AE652" s="16">
        <f t="shared" si="47"/>
        <v>27.581173281032189</v>
      </c>
      <c r="AF652" s="16">
        <f>'Gearing Calculator'!$C$17*Braking!AD652</f>
        <v>2567.9223531717553</v>
      </c>
      <c r="AG652" s="16">
        <f t="shared" si="48"/>
        <v>-9.6465903575197416</v>
      </c>
    </row>
    <row r="653" spans="29:33" x14ac:dyDescent="0.25">
      <c r="AC653" s="16">
        <v>649</v>
      </c>
      <c r="AD653" s="16">
        <f t="shared" si="49"/>
        <v>1712.4768933729106</v>
      </c>
      <c r="AE653" s="16">
        <f t="shared" si="47"/>
        <v>27.62373682004613</v>
      </c>
      <c r="AF653" s="16">
        <f>'Gearing Calculator'!$C$17*Braking!AD653</f>
        <v>2568.7153400593661</v>
      </c>
      <c r="AG653" s="16">
        <f t="shared" si="48"/>
        <v>-9.6495692714476569</v>
      </c>
    </row>
    <row r="654" spans="29:33" x14ac:dyDescent="0.25">
      <c r="AC654" s="16">
        <v>650</v>
      </c>
      <c r="AD654" s="16">
        <f t="shared" si="49"/>
        <v>1713.0055512979845</v>
      </c>
      <c r="AE654" s="16">
        <f t="shared" si="47"/>
        <v>27.666300359060063</v>
      </c>
      <c r="AF654" s="16">
        <f>'Gearing Calculator'!$C$17*Braking!AD654</f>
        <v>2569.5083269469769</v>
      </c>
      <c r="AG654" s="16">
        <f t="shared" si="48"/>
        <v>-9.6525481853755704</v>
      </c>
    </row>
    <row r="655" spans="29:33" x14ac:dyDescent="0.25">
      <c r="AC655" s="16">
        <v>651</v>
      </c>
      <c r="AD655" s="16">
        <f t="shared" si="49"/>
        <v>1713.5342092230583</v>
      </c>
      <c r="AE655" s="16">
        <f t="shared" si="47"/>
        <v>27.708863898074004</v>
      </c>
      <c r="AF655" s="16">
        <f>'Gearing Calculator'!$C$17*Braking!AD655</f>
        <v>2570.3013138345873</v>
      </c>
      <c r="AG655" s="16">
        <f t="shared" si="48"/>
        <v>-9.6555270993034839</v>
      </c>
    </row>
    <row r="656" spans="29:33" x14ac:dyDescent="0.25">
      <c r="AC656" s="16">
        <v>652</v>
      </c>
      <c r="AD656" s="16">
        <f t="shared" si="49"/>
        <v>1714.0628671481322</v>
      </c>
      <c r="AE656" s="16">
        <f t="shared" si="47"/>
        <v>27.751427437087944</v>
      </c>
      <c r="AF656" s="16">
        <f>'Gearing Calculator'!$C$17*Braking!AD656</f>
        <v>2571.0943007221986</v>
      </c>
      <c r="AG656" s="16">
        <f t="shared" si="48"/>
        <v>-9.6585060132313991</v>
      </c>
    </row>
    <row r="657" spans="29:33" x14ac:dyDescent="0.25">
      <c r="AC657" s="16">
        <v>653</v>
      </c>
      <c r="AD657" s="16">
        <f t="shared" si="49"/>
        <v>1714.591525073206</v>
      </c>
      <c r="AE657" s="16">
        <f t="shared" si="47"/>
        <v>27.793990976101885</v>
      </c>
      <c r="AF657" s="16">
        <f>'Gearing Calculator'!$C$17*Braking!AD657</f>
        <v>2571.8872876098089</v>
      </c>
      <c r="AG657" s="16">
        <f t="shared" si="48"/>
        <v>-9.6614849271593126</v>
      </c>
    </row>
    <row r="658" spans="29:33" x14ac:dyDescent="0.25">
      <c r="AC658" s="16">
        <v>654</v>
      </c>
      <c r="AD658" s="16">
        <f t="shared" si="49"/>
        <v>1715.1201829982797</v>
      </c>
      <c r="AE658" s="16">
        <f t="shared" si="47"/>
        <v>27.836554515115818</v>
      </c>
      <c r="AF658" s="16">
        <f>'Gearing Calculator'!$C$17*Braking!AD658</f>
        <v>2572.6802744974193</v>
      </c>
      <c r="AG658" s="16">
        <f t="shared" si="48"/>
        <v>-9.6644638410872261</v>
      </c>
    </row>
    <row r="659" spans="29:33" x14ac:dyDescent="0.25">
      <c r="AC659" s="16">
        <v>655</v>
      </c>
      <c r="AD659" s="16">
        <f t="shared" si="49"/>
        <v>1715.6488409233536</v>
      </c>
      <c r="AE659" s="16">
        <f t="shared" si="47"/>
        <v>27.879118054129759</v>
      </c>
      <c r="AF659" s="16">
        <f>'Gearing Calculator'!$C$17*Braking!AD659</f>
        <v>2573.4732613850306</v>
      </c>
      <c r="AG659" s="16">
        <f t="shared" si="48"/>
        <v>-9.6674427550151414</v>
      </c>
    </row>
    <row r="660" spans="29:33" x14ac:dyDescent="0.25">
      <c r="AC660" s="16">
        <v>656</v>
      </c>
      <c r="AD660" s="16">
        <f t="shared" si="49"/>
        <v>1716.1774988484274</v>
      </c>
      <c r="AE660" s="16">
        <f t="shared" si="47"/>
        <v>27.921681593143699</v>
      </c>
      <c r="AF660" s="16">
        <f>'Gearing Calculator'!$C$17*Braking!AD660</f>
        <v>2574.266248272641</v>
      </c>
      <c r="AG660" s="16">
        <f t="shared" si="48"/>
        <v>-9.6704216689430549</v>
      </c>
    </row>
    <row r="661" spans="29:33" x14ac:dyDescent="0.25">
      <c r="AC661" s="16">
        <v>657</v>
      </c>
      <c r="AD661" s="16">
        <f t="shared" si="49"/>
        <v>1716.7061567735013</v>
      </c>
      <c r="AE661" s="16">
        <f t="shared" si="47"/>
        <v>27.964245132157632</v>
      </c>
      <c r="AF661" s="16">
        <f>'Gearing Calculator'!$C$17*Braking!AD661</f>
        <v>2575.0592351602518</v>
      </c>
      <c r="AG661" s="16">
        <f t="shared" si="48"/>
        <v>-9.6734005828709684</v>
      </c>
    </row>
    <row r="662" spans="29:33" x14ac:dyDescent="0.25">
      <c r="AC662" s="16">
        <v>658</v>
      </c>
      <c r="AD662" s="16">
        <f t="shared" si="49"/>
        <v>1717.2348146985751</v>
      </c>
      <c r="AE662" s="16">
        <f t="shared" si="47"/>
        <v>28.006808671171573</v>
      </c>
      <c r="AF662" s="16">
        <f>'Gearing Calculator'!$C$17*Braking!AD662</f>
        <v>2575.8522220478626</v>
      </c>
      <c r="AG662" s="16">
        <f t="shared" si="48"/>
        <v>-9.6763794967988837</v>
      </c>
    </row>
    <row r="663" spans="29:33" x14ac:dyDescent="0.25">
      <c r="AC663" s="16">
        <v>659</v>
      </c>
      <c r="AD663" s="16">
        <f t="shared" si="49"/>
        <v>1717.7634726236488</v>
      </c>
      <c r="AE663" s="16">
        <f t="shared" si="47"/>
        <v>28.049372210185513</v>
      </c>
      <c r="AF663" s="16">
        <f>'Gearing Calculator'!$C$17*Braking!AD663</f>
        <v>2576.6452089354734</v>
      </c>
      <c r="AG663" s="16">
        <f t="shared" si="48"/>
        <v>-9.6793584107267971</v>
      </c>
    </row>
    <row r="664" spans="29:33" x14ac:dyDescent="0.25">
      <c r="AC664" s="16">
        <v>660</v>
      </c>
      <c r="AD664" s="16">
        <f t="shared" si="49"/>
        <v>1718.2921305487228</v>
      </c>
      <c r="AE664" s="16">
        <f t="shared" si="47"/>
        <v>28.091935749199454</v>
      </c>
      <c r="AF664" s="16">
        <f>'Gearing Calculator'!$C$17*Braking!AD664</f>
        <v>2577.4381958230842</v>
      </c>
      <c r="AG664" s="16">
        <f t="shared" si="48"/>
        <v>-9.6823373246547124</v>
      </c>
    </row>
    <row r="665" spans="29:33" x14ac:dyDescent="0.25">
      <c r="AC665" s="16">
        <v>661</v>
      </c>
      <c r="AD665" s="16">
        <f t="shared" si="49"/>
        <v>1718.8207884737965</v>
      </c>
      <c r="AE665" s="16">
        <f t="shared" si="47"/>
        <v>28.134499288213387</v>
      </c>
      <c r="AF665" s="16">
        <f>'Gearing Calculator'!$C$17*Braking!AD665</f>
        <v>2578.2311827106946</v>
      </c>
      <c r="AG665" s="16">
        <f t="shared" si="48"/>
        <v>-9.6853162385826241</v>
      </c>
    </row>
    <row r="666" spans="29:33" x14ac:dyDescent="0.25">
      <c r="AC666" s="16">
        <v>662</v>
      </c>
      <c r="AD666" s="16">
        <f t="shared" si="49"/>
        <v>1719.3494463988704</v>
      </c>
      <c r="AE666" s="16">
        <f t="shared" si="47"/>
        <v>28.177062827227328</v>
      </c>
      <c r="AF666" s="16">
        <f>'Gearing Calculator'!$C$17*Braking!AD666</f>
        <v>2579.0241695983059</v>
      </c>
      <c r="AG666" s="16">
        <f t="shared" si="48"/>
        <v>-9.6882951525105412</v>
      </c>
    </row>
    <row r="667" spans="29:33" x14ac:dyDescent="0.25">
      <c r="AC667" s="16">
        <v>663</v>
      </c>
      <c r="AD667" s="16">
        <f t="shared" si="49"/>
        <v>1719.8781043239442</v>
      </c>
      <c r="AE667" s="16">
        <f t="shared" si="47"/>
        <v>28.219626366241268</v>
      </c>
      <c r="AF667" s="16">
        <f>'Gearing Calculator'!$C$17*Braking!AD667</f>
        <v>2579.8171564859163</v>
      </c>
      <c r="AG667" s="16">
        <f t="shared" si="48"/>
        <v>-9.6912740664384529</v>
      </c>
    </row>
    <row r="668" spans="29:33" x14ac:dyDescent="0.25">
      <c r="AC668" s="16">
        <v>664</v>
      </c>
      <c r="AD668" s="16">
        <f t="shared" si="49"/>
        <v>1720.4067622490179</v>
      </c>
      <c r="AE668" s="16">
        <f t="shared" si="47"/>
        <v>28.262189905255209</v>
      </c>
      <c r="AF668" s="16">
        <f>'Gearing Calculator'!$C$17*Braking!AD668</f>
        <v>2580.6101433735266</v>
      </c>
      <c r="AG668" s="16">
        <f t="shared" si="48"/>
        <v>-9.6942529803663664</v>
      </c>
    </row>
    <row r="669" spans="29:33" x14ac:dyDescent="0.25">
      <c r="AC669" s="16">
        <v>665</v>
      </c>
      <c r="AD669" s="16">
        <f t="shared" si="49"/>
        <v>1720.9354201740919</v>
      </c>
      <c r="AE669" s="16">
        <f t="shared" si="47"/>
        <v>28.304753444269142</v>
      </c>
      <c r="AF669" s="16">
        <f>'Gearing Calculator'!$C$17*Braking!AD669</f>
        <v>2581.4031302611379</v>
      </c>
      <c r="AG669" s="16">
        <f t="shared" si="48"/>
        <v>-9.6972318942942817</v>
      </c>
    </row>
    <row r="670" spans="29:33" x14ac:dyDescent="0.25">
      <c r="AC670" s="16">
        <v>666</v>
      </c>
      <c r="AD670" s="16">
        <f t="shared" si="49"/>
        <v>1721.4640780991656</v>
      </c>
      <c r="AE670" s="16">
        <f t="shared" si="47"/>
        <v>28.347316983283083</v>
      </c>
      <c r="AF670" s="16">
        <f>'Gearing Calculator'!$C$17*Braking!AD670</f>
        <v>2582.1961171487483</v>
      </c>
      <c r="AG670" s="16">
        <f t="shared" si="48"/>
        <v>-9.7002108082221952</v>
      </c>
    </row>
    <row r="671" spans="29:33" x14ac:dyDescent="0.25">
      <c r="AC671" s="16">
        <v>667</v>
      </c>
      <c r="AD671" s="16">
        <f t="shared" si="49"/>
        <v>1721.9927360242395</v>
      </c>
      <c r="AE671" s="16">
        <f t="shared" si="47"/>
        <v>28.389880522297023</v>
      </c>
      <c r="AF671" s="16">
        <f>'Gearing Calculator'!$C$17*Braking!AD671</f>
        <v>2582.9891040363591</v>
      </c>
      <c r="AG671" s="16">
        <f t="shared" si="48"/>
        <v>-9.7031897221501104</v>
      </c>
    </row>
    <row r="672" spans="29:33" x14ac:dyDescent="0.25">
      <c r="AC672" s="16">
        <v>668</v>
      </c>
      <c r="AD672" s="16">
        <f t="shared" si="49"/>
        <v>1722.5213939493133</v>
      </c>
      <c r="AE672" s="16">
        <f t="shared" si="47"/>
        <v>28.432444061310964</v>
      </c>
      <c r="AF672" s="16">
        <f>'Gearing Calculator'!$C$17*Braking!AD672</f>
        <v>2583.7820909239699</v>
      </c>
      <c r="AG672" s="16">
        <f t="shared" si="48"/>
        <v>-9.7061686360780239</v>
      </c>
    </row>
    <row r="673" spans="29:33" x14ac:dyDescent="0.25">
      <c r="AC673" s="16">
        <v>669</v>
      </c>
      <c r="AD673" s="16">
        <f t="shared" si="49"/>
        <v>1723.050051874387</v>
      </c>
      <c r="AE673" s="16">
        <f t="shared" si="47"/>
        <v>28.475007600324897</v>
      </c>
      <c r="AF673" s="16">
        <f>'Gearing Calculator'!$C$17*Braking!AD673</f>
        <v>2584.5750778115807</v>
      </c>
      <c r="AG673" s="16">
        <f t="shared" si="48"/>
        <v>-9.7091475500059392</v>
      </c>
    </row>
    <row r="674" spans="29:33" x14ac:dyDescent="0.25">
      <c r="AC674" s="16">
        <v>670</v>
      </c>
      <c r="AD674" s="16">
        <f t="shared" si="49"/>
        <v>1723.578709799461</v>
      </c>
      <c r="AE674" s="16">
        <f t="shared" si="47"/>
        <v>28.517571139338838</v>
      </c>
      <c r="AF674" s="16">
        <f>'Gearing Calculator'!$C$17*Braking!AD674</f>
        <v>2585.3680646991916</v>
      </c>
      <c r="AG674" s="16">
        <f t="shared" si="48"/>
        <v>-9.7121264639338527</v>
      </c>
    </row>
    <row r="675" spans="29:33" x14ac:dyDescent="0.25">
      <c r="AC675" s="16">
        <v>671</v>
      </c>
      <c r="AD675" s="16">
        <f t="shared" si="49"/>
        <v>1724.1073677245347</v>
      </c>
      <c r="AE675" s="16">
        <f t="shared" si="47"/>
        <v>28.560134678352778</v>
      </c>
      <c r="AF675" s="16">
        <f>'Gearing Calculator'!$C$17*Braking!AD675</f>
        <v>2586.1610515868019</v>
      </c>
      <c r="AG675" s="16">
        <f t="shared" si="48"/>
        <v>-9.7151053778617662</v>
      </c>
    </row>
    <row r="676" spans="29:33" x14ac:dyDescent="0.25">
      <c r="AC676" s="16">
        <v>672</v>
      </c>
      <c r="AD676" s="16">
        <f t="shared" si="49"/>
        <v>1724.6360256496087</v>
      </c>
      <c r="AE676" s="16">
        <f t="shared" si="47"/>
        <v>28.602698217366711</v>
      </c>
      <c r="AF676" s="16">
        <f>'Gearing Calculator'!$C$17*Braking!AD676</f>
        <v>2586.9540384744132</v>
      </c>
      <c r="AG676" s="16">
        <f t="shared" si="48"/>
        <v>-9.7180842917896815</v>
      </c>
    </row>
    <row r="677" spans="29:33" x14ac:dyDescent="0.25">
      <c r="AC677" s="16">
        <v>673</v>
      </c>
      <c r="AD677" s="16">
        <f t="shared" si="49"/>
        <v>1725.1646835746824</v>
      </c>
      <c r="AE677" s="16">
        <f t="shared" si="47"/>
        <v>28.645261756380652</v>
      </c>
      <c r="AF677" s="16">
        <f>'Gearing Calculator'!$C$17*Braking!AD677</f>
        <v>2587.7470253620236</v>
      </c>
      <c r="AG677" s="16">
        <f t="shared" si="48"/>
        <v>-9.721063205717595</v>
      </c>
    </row>
    <row r="678" spans="29:33" x14ac:dyDescent="0.25">
      <c r="AC678" s="16">
        <v>674</v>
      </c>
      <c r="AD678" s="16">
        <f t="shared" si="49"/>
        <v>1725.6933414997561</v>
      </c>
      <c r="AE678" s="16">
        <f t="shared" si="47"/>
        <v>28.687825295394592</v>
      </c>
      <c r="AF678" s="16">
        <f>'Gearing Calculator'!$C$17*Braking!AD678</f>
        <v>2588.5400122496339</v>
      </c>
      <c r="AG678" s="16">
        <f t="shared" si="48"/>
        <v>-9.7240421196455067</v>
      </c>
    </row>
    <row r="679" spans="29:33" x14ac:dyDescent="0.25">
      <c r="AC679" s="16">
        <v>675</v>
      </c>
      <c r="AD679" s="16">
        <f t="shared" si="49"/>
        <v>1726.2219994248301</v>
      </c>
      <c r="AE679" s="16">
        <f t="shared" si="47"/>
        <v>28.730388834408533</v>
      </c>
      <c r="AF679" s="16">
        <f>'Gearing Calculator'!$C$17*Braking!AD679</f>
        <v>2589.3329991372452</v>
      </c>
      <c r="AG679" s="16">
        <f t="shared" si="48"/>
        <v>-9.7270210335734237</v>
      </c>
    </row>
    <row r="680" spans="29:33" x14ac:dyDescent="0.25">
      <c r="AC680" s="16">
        <v>676</v>
      </c>
      <c r="AD680" s="16">
        <f t="shared" si="49"/>
        <v>1726.7506573499038</v>
      </c>
      <c r="AE680" s="16">
        <f t="shared" si="47"/>
        <v>28.772952373422466</v>
      </c>
      <c r="AF680" s="16">
        <f>'Gearing Calculator'!$C$17*Braking!AD680</f>
        <v>2590.1259860248556</v>
      </c>
      <c r="AG680" s="16">
        <f t="shared" si="48"/>
        <v>-9.7299999475013355</v>
      </c>
    </row>
    <row r="681" spans="29:33" x14ac:dyDescent="0.25">
      <c r="AC681" s="16">
        <v>677</v>
      </c>
      <c r="AD681" s="16">
        <f t="shared" si="49"/>
        <v>1727.2793152749778</v>
      </c>
      <c r="AE681" s="16">
        <f t="shared" si="47"/>
        <v>28.815515912436407</v>
      </c>
      <c r="AF681" s="16">
        <f>'Gearing Calculator'!$C$17*Braking!AD681</f>
        <v>2590.9189729124664</v>
      </c>
      <c r="AG681" s="16">
        <f t="shared" si="48"/>
        <v>-9.7329788614292507</v>
      </c>
    </row>
    <row r="682" spans="29:33" x14ac:dyDescent="0.25">
      <c r="AC682" s="16">
        <v>678</v>
      </c>
      <c r="AD682" s="16">
        <f t="shared" si="49"/>
        <v>1727.8079732000515</v>
      </c>
      <c r="AE682" s="16">
        <f t="shared" si="47"/>
        <v>28.858079451450347</v>
      </c>
      <c r="AF682" s="16">
        <f>'Gearing Calculator'!$C$17*Braking!AD682</f>
        <v>2591.7119598000772</v>
      </c>
      <c r="AG682" s="16">
        <f t="shared" si="48"/>
        <v>-9.7359577753571642</v>
      </c>
    </row>
    <row r="683" spans="29:33" x14ac:dyDescent="0.25">
      <c r="AC683" s="16">
        <v>679</v>
      </c>
      <c r="AD683" s="16">
        <f t="shared" si="49"/>
        <v>1728.3366311251252</v>
      </c>
      <c r="AE683" s="16">
        <f t="shared" si="47"/>
        <v>28.900642990464288</v>
      </c>
      <c r="AF683" s="16">
        <f>'Gearing Calculator'!$C$17*Braking!AD683</f>
        <v>2592.5049466876881</v>
      </c>
      <c r="AG683" s="16">
        <f t="shared" si="48"/>
        <v>-9.7389366892850795</v>
      </c>
    </row>
    <row r="684" spans="29:33" x14ac:dyDescent="0.25">
      <c r="AC684" s="16">
        <v>680</v>
      </c>
      <c r="AD684" s="16">
        <f t="shared" si="49"/>
        <v>1728.8652890501992</v>
      </c>
      <c r="AE684" s="16">
        <f t="shared" si="47"/>
        <v>28.943206529478221</v>
      </c>
      <c r="AF684" s="16">
        <f>'Gearing Calculator'!$C$17*Braking!AD684</f>
        <v>2593.2979335752989</v>
      </c>
      <c r="AG684" s="16">
        <f t="shared" si="48"/>
        <v>-9.7419156032129948</v>
      </c>
    </row>
    <row r="685" spans="29:33" x14ac:dyDescent="0.25">
      <c r="AC685" s="16">
        <v>681</v>
      </c>
      <c r="AD685" s="16">
        <f t="shared" si="49"/>
        <v>1729.3939469752729</v>
      </c>
      <c r="AE685" s="16">
        <f t="shared" si="47"/>
        <v>28.985770068492162</v>
      </c>
      <c r="AF685" s="16">
        <f>'Gearing Calculator'!$C$17*Braking!AD685</f>
        <v>2594.0909204629093</v>
      </c>
      <c r="AG685" s="16">
        <f t="shared" si="48"/>
        <v>-9.7448945171409065</v>
      </c>
    </row>
    <row r="686" spans="29:33" x14ac:dyDescent="0.25">
      <c r="AC686" s="16">
        <v>682</v>
      </c>
      <c r="AD686" s="16">
        <f t="shared" si="49"/>
        <v>1729.9226049003469</v>
      </c>
      <c r="AE686" s="16">
        <f t="shared" si="47"/>
        <v>29.028333607506102</v>
      </c>
      <c r="AF686" s="16">
        <f>'Gearing Calculator'!$C$17*Braking!AD686</f>
        <v>2594.8839073505205</v>
      </c>
      <c r="AG686" s="16">
        <f t="shared" si="48"/>
        <v>-9.7478734310688235</v>
      </c>
    </row>
    <row r="687" spans="29:33" x14ac:dyDescent="0.25">
      <c r="AC687" s="16">
        <v>683</v>
      </c>
      <c r="AD687" s="16">
        <f t="shared" si="49"/>
        <v>1730.4512628254206</v>
      </c>
      <c r="AE687" s="16">
        <f t="shared" si="47"/>
        <v>29.070897146520043</v>
      </c>
      <c r="AF687" s="16">
        <f>'Gearing Calculator'!$C$17*Braking!AD687</f>
        <v>2595.6768942381309</v>
      </c>
      <c r="AG687" s="16">
        <f t="shared" si="48"/>
        <v>-9.7508523449967353</v>
      </c>
    </row>
    <row r="688" spans="29:33" x14ac:dyDescent="0.25">
      <c r="AC688" s="16">
        <v>684</v>
      </c>
      <c r="AD688" s="16">
        <f t="shared" si="49"/>
        <v>1730.9799207504943</v>
      </c>
      <c r="AE688" s="16">
        <f t="shared" si="47"/>
        <v>29.113460685533976</v>
      </c>
      <c r="AF688" s="16">
        <f>'Gearing Calculator'!$C$17*Braking!AD688</f>
        <v>2596.4698811257413</v>
      </c>
      <c r="AG688" s="16">
        <f t="shared" si="48"/>
        <v>-9.7538312589246488</v>
      </c>
    </row>
    <row r="689" spans="29:33" x14ac:dyDescent="0.25">
      <c r="AC689" s="16">
        <v>685</v>
      </c>
      <c r="AD689" s="16">
        <f t="shared" si="49"/>
        <v>1731.5085786755683</v>
      </c>
      <c r="AE689" s="16">
        <f t="shared" si="47"/>
        <v>29.156024224547917</v>
      </c>
      <c r="AF689" s="16">
        <f>'Gearing Calculator'!$C$17*Braking!AD689</f>
        <v>2597.2628680133525</v>
      </c>
      <c r="AG689" s="16">
        <f t="shared" si="48"/>
        <v>-9.756810172852564</v>
      </c>
    </row>
    <row r="690" spans="29:33" x14ac:dyDescent="0.25">
      <c r="AC690" s="16">
        <v>686</v>
      </c>
      <c r="AD690" s="16">
        <f t="shared" si="49"/>
        <v>1732.037236600642</v>
      </c>
      <c r="AE690" s="16">
        <f t="shared" si="47"/>
        <v>29.198587763561857</v>
      </c>
      <c r="AF690" s="16">
        <f>'Gearing Calculator'!$C$17*Braking!AD690</f>
        <v>2598.0558549009629</v>
      </c>
      <c r="AG690" s="16">
        <f t="shared" si="48"/>
        <v>-9.7597890867804775</v>
      </c>
    </row>
    <row r="691" spans="29:33" x14ac:dyDescent="0.25">
      <c r="AC691" s="16">
        <v>687</v>
      </c>
      <c r="AD691" s="16">
        <f t="shared" si="49"/>
        <v>1732.565894525716</v>
      </c>
      <c r="AE691" s="16">
        <f t="shared" si="47"/>
        <v>29.241151302575791</v>
      </c>
      <c r="AF691" s="16">
        <f>'Gearing Calculator'!$C$17*Braking!AD691</f>
        <v>2598.8488417885737</v>
      </c>
      <c r="AG691" s="16">
        <f t="shared" si="48"/>
        <v>-9.762768000708391</v>
      </c>
    </row>
    <row r="692" spans="29:33" x14ac:dyDescent="0.25">
      <c r="AC692" s="16">
        <v>688</v>
      </c>
      <c r="AD692" s="16">
        <f t="shared" si="49"/>
        <v>1733.0945524507897</v>
      </c>
      <c r="AE692" s="16">
        <f t="shared" si="47"/>
        <v>29.283714841589731</v>
      </c>
      <c r="AF692" s="16">
        <f>'Gearing Calculator'!$C$17*Braking!AD692</f>
        <v>2599.6418286761846</v>
      </c>
      <c r="AG692" s="16">
        <f t="shared" si="48"/>
        <v>-9.7657469146363063</v>
      </c>
    </row>
    <row r="693" spans="29:33" x14ac:dyDescent="0.25">
      <c r="AC693" s="16">
        <v>689</v>
      </c>
      <c r="AD693" s="16">
        <f t="shared" si="49"/>
        <v>1733.6232103758634</v>
      </c>
      <c r="AE693" s="16">
        <f t="shared" si="47"/>
        <v>29.326278380603672</v>
      </c>
      <c r="AF693" s="16">
        <f>'Gearing Calculator'!$C$17*Braking!AD693</f>
        <v>2600.4348155637954</v>
      </c>
      <c r="AG693" s="16">
        <f t="shared" si="48"/>
        <v>-9.7687258285642198</v>
      </c>
    </row>
    <row r="694" spans="29:33" x14ac:dyDescent="0.25">
      <c r="AC694" s="16">
        <v>690</v>
      </c>
      <c r="AD694" s="16">
        <f t="shared" si="49"/>
        <v>1734.1518683009374</v>
      </c>
      <c r="AE694" s="16">
        <f t="shared" si="47"/>
        <v>29.368841919617612</v>
      </c>
      <c r="AF694" s="16">
        <f>'Gearing Calculator'!$C$17*Braking!AD694</f>
        <v>2601.2278024514062</v>
      </c>
      <c r="AG694" s="16">
        <f t="shared" si="48"/>
        <v>-9.7717047424921351</v>
      </c>
    </row>
    <row r="695" spans="29:33" x14ac:dyDescent="0.25">
      <c r="AC695" s="16">
        <v>691</v>
      </c>
      <c r="AD695" s="16">
        <f t="shared" si="49"/>
        <v>1734.6805262260111</v>
      </c>
      <c r="AE695" s="16">
        <f t="shared" si="47"/>
        <v>29.411405458631545</v>
      </c>
      <c r="AF695" s="16">
        <f>'Gearing Calculator'!$C$17*Braking!AD695</f>
        <v>2602.0207893390166</v>
      </c>
      <c r="AG695" s="16">
        <f t="shared" si="48"/>
        <v>-9.7746836564200468</v>
      </c>
    </row>
    <row r="696" spans="29:33" x14ac:dyDescent="0.25">
      <c r="AC696" s="16">
        <v>692</v>
      </c>
      <c r="AD696" s="16">
        <f t="shared" si="49"/>
        <v>1735.2091841510851</v>
      </c>
      <c r="AE696" s="16">
        <f t="shared" si="47"/>
        <v>29.453968997645486</v>
      </c>
      <c r="AF696" s="16">
        <f>'Gearing Calculator'!$C$17*Braking!AD696</f>
        <v>2602.8137762266279</v>
      </c>
      <c r="AG696" s="16">
        <f t="shared" si="48"/>
        <v>-9.7776625703479638</v>
      </c>
    </row>
    <row r="697" spans="29:33" x14ac:dyDescent="0.25">
      <c r="AC697" s="16">
        <v>693</v>
      </c>
      <c r="AD697" s="16">
        <f t="shared" si="49"/>
        <v>1735.7378420761588</v>
      </c>
      <c r="AE697" s="16">
        <f t="shared" si="47"/>
        <v>29.496532536659426</v>
      </c>
      <c r="AF697" s="16">
        <f>'Gearing Calculator'!$C$17*Braking!AD697</f>
        <v>2603.6067631142382</v>
      </c>
      <c r="AG697" s="16">
        <f t="shared" si="48"/>
        <v>-9.7806414842758773</v>
      </c>
    </row>
    <row r="698" spans="29:33" x14ac:dyDescent="0.25">
      <c r="AC698" s="16">
        <v>694</v>
      </c>
      <c r="AD698" s="16">
        <f t="shared" si="49"/>
        <v>1736.2665000012325</v>
      </c>
      <c r="AE698" s="16">
        <f t="shared" si="47"/>
        <v>29.539096075673367</v>
      </c>
      <c r="AF698" s="16">
        <f>'Gearing Calculator'!$C$17*Braking!AD698</f>
        <v>2604.3997500018486</v>
      </c>
      <c r="AG698" s="16">
        <f t="shared" si="48"/>
        <v>-9.783620398203789</v>
      </c>
    </row>
    <row r="699" spans="29:33" x14ac:dyDescent="0.25">
      <c r="AC699" s="16">
        <v>695</v>
      </c>
      <c r="AD699" s="16">
        <f t="shared" si="49"/>
        <v>1736.7951579263065</v>
      </c>
      <c r="AE699" s="16">
        <f t="shared" si="47"/>
        <v>29.5816596146873</v>
      </c>
      <c r="AF699" s="16">
        <f>'Gearing Calculator'!$C$17*Braking!AD699</f>
        <v>2605.1927368894599</v>
      </c>
      <c r="AG699" s="16">
        <f t="shared" si="48"/>
        <v>-9.7865993121317061</v>
      </c>
    </row>
    <row r="700" spans="29:33" x14ac:dyDescent="0.25">
      <c r="AC700" s="16">
        <v>696</v>
      </c>
      <c r="AD700" s="16">
        <f t="shared" si="49"/>
        <v>1737.3238158513802</v>
      </c>
      <c r="AE700" s="16">
        <f t="shared" si="47"/>
        <v>29.624223153701241</v>
      </c>
      <c r="AF700" s="16">
        <f>'Gearing Calculator'!$C$17*Braking!AD700</f>
        <v>2605.9857237770702</v>
      </c>
      <c r="AG700" s="16">
        <f t="shared" si="48"/>
        <v>-9.7895782260596178</v>
      </c>
    </row>
    <row r="701" spans="29:33" x14ac:dyDescent="0.25">
      <c r="AC701" s="16">
        <v>697</v>
      </c>
      <c r="AD701" s="16">
        <f t="shared" si="49"/>
        <v>1737.8524737764542</v>
      </c>
      <c r="AE701" s="16">
        <f t="shared" si="47"/>
        <v>29.666786692715181</v>
      </c>
      <c r="AF701" s="16">
        <f>'Gearing Calculator'!$C$17*Braking!AD701</f>
        <v>2606.7787106646811</v>
      </c>
      <c r="AG701" s="16">
        <f t="shared" si="48"/>
        <v>-9.7925571399875331</v>
      </c>
    </row>
    <row r="702" spans="29:33" x14ac:dyDescent="0.25">
      <c r="AC702" s="16">
        <v>698</v>
      </c>
      <c r="AD702" s="16">
        <f t="shared" si="49"/>
        <v>1738.3811317015279</v>
      </c>
      <c r="AE702" s="16">
        <f t="shared" si="47"/>
        <v>29.709350231729115</v>
      </c>
      <c r="AF702" s="16">
        <f>'Gearing Calculator'!$C$17*Braking!AD702</f>
        <v>2607.5716975522919</v>
      </c>
      <c r="AG702" s="16">
        <f t="shared" si="48"/>
        <v>-9.7955360539154466</v>
      </c>
    </row>
    <row r="703" spans="29:33" x14ac:dyDescent="0.25">
      <c r="AC703" s="16">
        <v>699</v>
      </c>
      <c r="AD703" s="16">
        <f t="shared" si="49"/>
        <v>1738.9097896266017</v>
      </c>
      <c r="AE703" s="16">
        <f t="shared" si="47"/>
        <v>29.751913770743055</v>
      </c>
      <c r="AF703" s="16">
        <f>'Gearing Calculator'!$C$17*Braking!AD703</f>
        <v>2608.3646844399027</v>
      </c>
      <c r="AG703" s="16">
        <f t="shared" si="48"/>
        <v>-9.7985149678433618</v>
      </c>
    </row>
    <row r="704" spans="29:33" x14ac:dyDescent="0.25">
      <c r="AC704" s="16">
        <v>700</v>
      </c>
      <c r="AD704" s="16">
        <f t="shared" si="49"/>
        <v>1739.4384475516756</v>
      </c>
      <c r="AE704" s="16">
        <f t="shared" si="47"/>
        <v>29.794477309756996</v>
      </c>
      <c r="AF704" s="16">
        <f>'Gearing Calculator'!$C$17*Braking!AD704</f>
        <v>2609.1576713275135</v>
      </c>
      <c r="AG704" s="16">
        <f t="shared" si="48"/>
        <v>-9.8014938817712753</v>
      </c>
    </row>
    <row r="705" spans="29:33" x14ac:dyDescent="0.25">
      <c r="AC705" s="16">
        <v>701</v>
      </c>
      <c r="AD705" s="16">
        <f t="shared" si="49"/>
        <v>1739.9671054767496</v>
      </c>
      <c r="AE705" s="16">
        <f t="shared" si="47"/>
        <v>29.837040848770936</v>
      </c>
      <c r="AF705" s="16">
        <f>'Gearing Calculator'!$C$17*Braking!AD705</f>
        <v>2609.9506582151243</v>
      </c>
      <c r="AG705" s="16">
        <f t="shared" si="48"/>
        <v>-9.8044727956991906</v>
      </c>
    </row>
    <row r="706" spans="29:33" x14ac:dyDescent="0.25">
      <c r="AC706" s="16">
        <v>702</v>
      </c>
      <c r="AD706" s="16">
        <f t="shared" si="49"/>
        <v>1740.4957634018233</v>
      </c>
      <c r="AE706" s="16">
        <f t="shared" si="47"/>
        <v>29.87960438778487</v>
      </c>
      <c r="AF706" s="16">
        <f>'Gearing Calculator'!$C$17*Braking!AD706</f>
        <v>2610.7436451027352</v>
      </c>
      <c r="AG706" s="16">
        <f t="shared" si="48"/>
        <v>-9.8074517096271041</v>
      </c>
    </row>
    <row r="707" spans="29:33" x14ac:dyDescent="0.25">
      <c r="AC707" s="16">
        <v>703</v>
      </c>
      <c r="AD707" s="16">
        <f t="shared" si="49"/>
        <v>1741.024421326897</v>
      </c>
      <c r="AE707" s="16">
        <f t="shared" si="47"/>
        <v>29.92216792679881</v>
      </c>
      <c r="AF707" s="16">
        <f>'Gearing Calculator'!$C$17*Braking!AD707</f>
        <v>2611.5366319903455</v>
      </c>
      <c r="AG707" s="16">
        <f t="shared" si="48"/>
        <v>-9.8104306235550176</v>
      </c>
    </row>
    <row r="708" spans="29:33" x14ac:dyDescent="0.25">
      <c r="AC708" s="16">
        <v>704</v>
      </c>
      <c r="AD708" s="16">
        <f t="shared" si="49"/>
        <v>1741.5530792519708</v>
      </c>
      <c r="AE708" s="16">
        <f t="shared" si="47"/>
        <v>29.964731465812751</v>
      </c>
      <c r="AF708" s="16">
        <f>'Gearing Calculator'!$C$17*Braking!AD708</f>
        <v>2612.3296188779559</v>
      </c>
      <c r="AG708" s="16">
        <f t="shared" si="48"/>
        <v>-9.8134095374829293</v>
      </c>
    </row>
    <row r="709" spans="29:33" x14ac:dyDescent="0.25">
      <c r="AC709" s="16">
        <v>705</v>
      </c>
      <c r="AD709" s="16">
        <f t="shared" si="49"/>
        <v>1742.0817371770447</v>
      </c>
      <c r="AE709" s="16">
        <f t="shared" si="47"/>
        <v>30.007295004826691</v>
      </c>
      <c r="AF709" s="16">
        <f>'Gearing Calculator'!$C$17*Braking!AD709</f>
        <v>2613.1226057655672</v>
      </c>
      <c r="AG709" s="16">
        <f t="shared" si="48"/>
        <v>-9.8163884514108464</v>
      </c>
    </row>
    <row r="710" spans="29:33" x14ac:dyDescent="0.25">
      <c r="AC710" s="16">
        <v>706</v>
      </c>
      <c r="AD710" s="16">
        <f t="shared" si="49"/>
        <v>1742.6103951021187</v>
      </c>
      <c r="AE710" s="16">
        <f t="shared" ref="AE710:AE765" si="50">(AC710/$X$104)*100</f>
        <v>30.049858543840624</v>
      </c>
      <c r="AF710" s="16">
        <f>'Gearing Calculator'!$C$17*Braking!AD710</f>
        <v>2613.915592653178</v>
      </c>
      <c r="AG710" s="16">
        <f t="shared" ref="AG710:AG773" si="51">-(AF710/$C$3)</f>
        <v>-9.8193673653387616</v>
      </c>
    </row>
    <row r="711" spans="29:33" x14ac:dyDescent="0.25">
      <c r="AC711" s="16">
        <v>707</v>
      </c>
      <c r="AD711" s="16">
        <f t="shared" ref="AD711:AD774" si="52">($C$3*$C$4)*($C$9/$C$8)+(AC711*($C$10/$C$8))</f>
        <v>1743.1390530271924</v>
      </c>
      <c r="AE711" s="16">
        <f t="shared" si="50"/>
        <v>30.092422082854565</v>
      </c>
      <c r="AF711" s="16">
        <f>'Gearing Calculator'!$C$17*Braking!AD711</f>
        <v>2614.7085795407884</v>
      </c>
      <c r="AG711" s="16">
        <f t="shared" si="51"/>
        <v>-9.8223462792666734</v>
      </c>
    </row>
    <row r="712" spans="29:33" x14ac:dyDescent="0.25">
      <c r="AC712" s="16">
        <v>708</v>
      </c>
      <c r="AD712" s="16">
        <f t="shared" si="52"/>
        <v>1743.6677109522661</v>
      </c>
      <c r="AE712" s="16">
        <f t="shared" si="50"/>
        <v>30.134985621868505</v>
      </c>
      <c r="AF712" s="16">
        <f>'Gearing Calculator'!$C$17*Braking!AD712</f>
        <v>2615.5015664283992</v>
      </c>
      <c r="AG712" s="16">
        <f t="shared" si="51"/>
        <v>-9.8253251931945886</v>
      </c>
    </row>
    <row r="713" spans="29:33" x14ac:dyDescent="0.25">
      <c r="AC713" s="16">
        <v>709</v>
      </c>
      <c r="AD713" s="16">
        <f t="shared" si="52"/>
        <v>1744.1963688773399</v>
      </c>
      <c r="AE713" s="16">
        <f t="shared" si="50"/>
        <v>30.177549160882442</v>
      </c>
      <c r="AF713" s="16">
        <f>'Gearing Calculator'!$C$17*Braking!AD713</f>
        <v>2616.29455331601</v>
      </c>
      <c r="AG713" s="16">
        <f t="shared" si="51"/>
        <v>-9.8283041071225021</v>
      </c>
    </row>
    <row r="714" spans="29:33" x14ac:dyDescent="0.25">
      <c r="AC714" s="16">
        <v>710</v>
      </c>
      <c r="AD714" s="16">
        <f t="shared" si="52"/>
        <v>1744.7250268024138</v>
      </c>
      <c r="AE714" s="16">
        <f t="shared" si="50"/>
        <v>30.220112699896379</v>
      </c>
      <c r="AF714" s="16">
        <f>'Gearing Calculator'!$C$17*Braking!AD714</f>
        <v>2617.0875402036208</v>
      </c>
      <c r="AG714" s="16">
        <f t="shared" si="51"/>
        <v>-9.8312830210504174</v>
      </c>
    </row>
    <row r="715" spans="29:33" x14ac:dyDescent="0.25">
      <c r="AC715" s="16">
        <v>711</v>
      </c>
      <c r="AD715" s="16">
        <f t="shared" si="52"/>
        <v>1745.2536847274878</v>
      </c>
      <c r="AE715" s="16">
        <f t="shared" si="50"/>
        <v>30.26267623891032</v>
      </c>
      <c r="AF715" s="16">
        <f>'Gearing Calculator'!$C$17*Braking!AD715</f>
        <v>2617.8805270912317</v>
      </c>
      <c r="AG715" s="16">
        <f t="shared" si="51"/>
        <v>-9.8342619349783309</v>
      </c>
    </row>
    <row r="716" spans="29:33" x14ac:dyDescent="0.25">
      <c r="AC716" s="16">
        <v>712</v>
      </c>
      <c r="AD716" s="16">
        <f t="shared" si="52"/>
        <v>1745.7823426525615</v>
      </c>
      <c r="AE716" s="16">
        <f t="shared" si="50"/>
        <v>30.30523977792426</v>
      </c>
      <c r="AF716" s="16">
        <f>'Gearing Calculator'!$C$17*Braking!AD716</f>
        <v>2618.6735139788425</v>
      </c>
      <c r="AG716" s="16">
        <f t="shared" si="51"/>
        <v>-9.8372408489062462</v>
      </c>
    </row>
    <row r="717" spans="29:33" x14ac:dyDescent="0.25">
      <c r="AC717" s="16">
        <v>713</v>
      </c>
      <c r="AD717" s="16">
        <f t="shared" si="52"/>
        <v>1746.3110005776352</v>
      </c>
      <c r="AE717" s="16">
        <f t="shared" si="50"/>
        <v>30.347803316938194</v>
      </c>
      <c r="AF717" s="16">
        <f>'Gearing Calculator'!$C$17*Braking!AD717</f>
        <v>2619.4665008664529</v>
      </c>
      <c r="AG717" s="16">
        <f t="shared" si="51"/>
        <v>-9.8402197628341579</v>
      </c>
    </row>
    <row r="718" spans="29:33" x14ac:dyDescent="0.25">
      <c r="AC718" s="16">
        <v>714</v>
      </c>
      <c r="AD718" s="16">
        <f t="shared" si="52"/>
        <v>1746.839658502709</v>
      </c>
      <c r="AE718" s="16">
        <f t="shared" si="50"/>
        <v>30.390366855952134</v>
      </c>
      <c r="AF718" s="16">
        <f>'Gearing Calculator'!$C$17*Braking!AD718</f>
        <v>2620.2594877540632</v>
      </c>
      <c r="AG718" s="16">
        <f t="shared" si="51"/>
        <v>-9.8431986767620714</v>
      </c>
    </row>
    <row r="719" spans="29:33" x14ac:dyDescent="0.25">
      <c r="AC719" s="16">
        <v>715</v>
      </c>
      <c r="AD719" s="16">
        <f t="shared" si="52"/>
        <v>1747.3683164277829</v>
      </c>
      <c r="AE719" s="16">
        <f t="shared" si="50"/>
        <v>30.432930394966075</v>
      </c>
      <c r="AF719" s="16">
        <f>'Gearing Calculator'!$C$17*Braking!AD719</f>
        <v>2621.0524746416745</v>
      </c>
      <c r="AG719" s="16">
        <f t="shared" si="51"/>
        <v>-9.8461775906899867</v>
      </c>
    </row>
    <row r="720" spans="29:33" x14ac:dyDescent="0.25">
      <c r="AC720" s="16">
        <v>716</v>
      </c>
      <c r="AD720" s="16">
        <f t="shared" si="52"/>
        <v>1747.8969743528569</v>
      </c>
      <c r="AE720" s="16">
        <f t="shared" si="50"/>
        <v>30.475493933980012</v>
      </c>
      <c r="AF720" s="16">
        <f>'Gearing Calculator'!$C$17*Braking!AD720</f>
        <v>2621.8454615292853</v>
      </c>
      <c r="AG720" s="16">
        <f t="shared" si="51"/>
        <v>-9.8491565046179019</v>
      </c>
    </row>
    <row r="721" spans="29:33" x14ac:dyDescent="0.25">
      <c r="AC721" s="16">
        <v>717</v>
      </c>
      <c r="AD721" s="16">
        <f t="shared" si="52"/>
        <v>1748.4256322779306</v>
      </c>
      <c r="AE721" s="16">
        <f t="shared" si="50"/>
        <v>30.518057472993949</v>
      </c>
      <c r="AF721" s="16">
        <f>'Gearing Calculator'!$C$17*Braking!AD721</f>
        <v>2622.6384484168957</v>
      </c>
      <c r="AG721" s="16">
        <f t="shared" si="51"/>
        <v>-9.8521354185458136</v>
      </c>
    </row>
    <row r="722" spans="29:33" x14ac:dyDescent="0.25">
      <c r="AC722" s="16">
        <v>718</v>
      </c>
      <c r="AD722" s="16">
        <f t="shared" si="52"/>
        <v>1748.9542902030043</v>
      </c>
      <c r="AE722" s="16">
        <f t="shared" si="50"/>
        <v>30.560621012007889</v>
      </c>
      <c r="AF722" s="16">
        <f>'Gearing Calculator'!$C$17*Braking!AD722</f>
        <v>2623.4314353045065</v>
      </c>
      <c r="AG722" s="16">
        <f t="shared" si="51"/>
        <v>-9.8551143324737289</v>
      </c>
    </row>
    <row r="723" spans="29:33" x14ac:dyDescent="0.25">
      <c r="AC723" s="16">
        <v>719</v>
      </c>
      <c r="AD723" s="16">
        <f t="shared" si="52"/>
        <v>1749.4829481280783</v>
      </c>
      <c r="AE723" s="16">
        <f t="shared" si="50"/>
        <v>30.60318455102183</v>
      </c>
      <c r="AF723" s="16">
        <f>'Gearing Calculator'!$C$17*Braking!AD723</f>
        <v>2624.2244221921173</v>
      </c>
      <c r="AG723" s="16">
        <f t="shared" si="51"/>
        <v>-9.8580932464016442</v>
      </c>
    </row>
    <row r="724" spans="29:33" x14ac:dyDescent="0.25">
      <c r="AC724" s="16">
        <v>720</v>
      </c>
      <c r="AD724" s="16">
        <f t="shared" si="52"/>
        <v>1750.011606053152</v>
      </c>
      <c r="AE724" s="16">
        <f t="shared" si="50"/>
        <v>30.645748090035767</v>
      </c>
      <c r="AF724" s="16">
        <f>'Gearing Calculator'!$C$17*Braking!AD724</f>
        <v>2625.0174090797282</v>
      </c>
      <c r="AG724" s="16">
        <f t="shared" si="51"/>
        <v>-9.8610721603295577</v>
      </c>
    </row>
    <row r="725" spans="29:33" x14ac:dyDescent="0.25">
      <c r="AC725" s="16">
        <v>721</v>
      </c>
      <c r="AD725" s="16">
        <f t="shared" si="52"/>
        <v>1750.540263978226</v>
      </c>
      <c r="AE725" s="16">
        <f t="shared" si="50"/>
        <v>30.688311629049704</v>
      </c>
      <c r="AF725" s="16">
        <f>'Gearing Calculator'!$C$17*Braking!AD725</f>
        <v>2625.810395967339</v>
      </c>
      <c r="AG725" s="16">
        <f t="shared" si="51"/>
        <v>-9.864051074257473</v>
      </c>
    </row>
    <row r="726" spans="29:33" x14ac:dyDescent="0.25">
      <c r="AC726" s="16">
        <v>722</v>
      </c>
      <c r="AD726" s="16">
        <f t="shared" si="52"/>
        <v>1751.0689219032997</v>
      </c>
      <c r="AE726" s="16">
        <f t="shared" si="50"/>
        <v>30.730875168063644</v>
      </c>
      <c r="AF726" s="16">
        <f>'Gearing Calculator'!$C$17*Braking!AD726</f>
        <v>2626.6033828549498</v>
      </c>
      <c r="AG726" s="16">
        <f t="shared" si="51"/>
        <v>-9.8670299881853865</v>
      </c>
    </row>
    <row r="727" spans="29:33" x14ac:dyDescent="0.25">
      <c r="AC727" s="16">
        <v>723</v>
      </c>
      <c r="AD727" s="16">
        <f t="shared" si="52"/>
        <v>1751.5975798283735</v>
      </c>
      <c r="AE727" s="16">
        <f t="shared" si="50"/>
        <v>30.773438707077581</v>
      </c>
      <c r="AF727" s="16">
        <f>'Gearing Calculator'!$C$17*Braking!AD727</f>
        <v>2627.3963697425602</v>
      </c>
      <c r="AG727" s="16">
        <f t="shared" si="51"/>
        <v>-9.8700089021133</v>
      </c>
    </row>
    <row r="728" spans="29:33" x14ac:dyDescent="0.25">
      <c r="AC728" s="16">
        <v>724</v>
      </c>
      <c r="AD728" s="16">
        <f t="shared" si="52"/>
        <v>1752.1262377534474</v>
      </c>
      <c r="AE728" s="16">
        <f t="shared" si="50"/>
        <v>30.816002246091518</v>
      </c>
      <c r="AF728" s="16">
        <f>'Gearing Calculator'!$C$17*Braking!AD728</f>
        <v>2628.189356630171</v>
      </c>
      <c r="AG728" s="16">
        <f t="shared" si="51"/>
        <v>-9.8729878160412134</v>
      </c>
    </row>
    <row r="729" spans="29:33" x14ac:dyDescent="0.25">
      <c r="AC729" s="16">
        <v>725</v>
      </c>
      <c r="AD729" s="16">
        <f t="shared" si="52"/>
        <v>1752.6548956785211</v>
      </c>
      <c r="AE729" s="16">
        <f t="shared" si="50"/>
        <v>30.858565785105458</v>
      </c>
      <c r="AF729" s="16">
        <f>'Gearing Calculator'!$C$17*Braking!AD729</f>
        <v>2628.9823435177818</v>
      </c>
      <c r="AG729" s="16">
        <f t="shared" si="51"/>
        <v>-9.8759667299691287</v>
      </c>
    </row>
    <row r="730" spans="29:33" x14ac:dyDescent="0.25">
      <c r="AC730" s="16">
        <v>726</v>
      </c>
      <c r="AD730" s="16">
        <f t="shared" si="52"/>
        <v>1753.1835536035951</v>
      </c>
      <c r="AE730" s="16">
        <f t="shared" si="50"/>
        <v>30.901129324119399</v>
      </c>
      <c r="AF730" s="16">
        <f>'Gearing Calculator'!$C$17*Braking!AD730</f>
        <v>2629.7753304053927</v>
      </c>
      <c r="AG730" s="16">
        <f t="shared" si="51"/>
        <v>-9.8789456438970422</v>
      </c>
    </row>
    <row r="731" spans="29:33" x14ac:dyDescent="0.25">
      <c r="AC731" s="16">
        <v>727</v>
      </c>
      <c r="AD731" s="16">
        <f t="shared" si="52"/>
        <v>1753.7122115286688</v>
      </c>
      <c r="AE731" s="16">
        <f t="shared" si="50"/>
        <v>30.943692863133336</v>
      </c>
      <c r="AF731" s="16">
        <f>'Gearing Calculator'!$C$17*Braking!AD731</f>
        <v>2630.568317293003</v>
      </c>
      <c r="AG731" s="16">
        <f t="shared" si="51"/>
        <v>-9.8819245578249557</v>
      </c>
    </row>
    <row r="732" spans="29:33" x14ac:dyDescent="0.25">
      <c r="AC732" s="16">
        <v>728</v>
      </c>
      <c r="AD732" s="16">
        <f t="shared" si="52"/>
        <v>1754.2408694537426</v>
      </c>
      <c r="AE732" s="16">
        <f t="shared" si="50"/>
        <v>30.986256402147273</v>
      </c>
      <c r="AF732" s="16">
        <f>'Gearing Calculator'!$C$17*Braking!AD732</f>
        <v>2631.3613041806138</v>
      </c>
      <c r="AG732" s="16">
        <f t="shared" si="51"/>
        <v>-9.8849034717528692</v>
      </c>
    </row>
    <row r="733" spans="29:33" x14ac:dyDescent="0.25">
      <c r="AC733" s="16">
        <v>729</v>
      </c>
      <c r="AD733" s="16">
        <f t="shared" si="52"/>
        <v>1754.7695273788165</v>
      </c>
      <c r="AE733" s="16">
        <f t="shared" si="50"/>
        <v>31.028819941161213</v>
      </c>
      <c r="AF733" s="16">
        <f>'Gearing Calculator'!$C$17*Braking!AD733</f>
        <v>2632.1542910682247</v>
      </c>
      <c r="AG733" s="16">
        <f t="shared" si="51"/>
        <v>-9.8878823856807845</v>
      </c>
    </row>
    <row r="734" spans="29:33" x14ac:dyDescent="0.25">
      <c r="AC734" s="16">
        <v>730</v>
      </c>
      <c r="AD734" s="16">
        <f t="shared" si="52"/>
        <v>1755.2981853038902</v>
      </c>
      <c r="AE734" s="16">
        <f t="shared" si="50"/>
        <v>31.07138348017515</v>
      </c>
      <c r="AF734" s="16">
        <f>'Gearing Calculator'!$C$17*Braking!AD734</f>
        <v>2632.9472779558355</v>
      </c>
      <c r="AG734" s="16">
        <f t="shared" si="51"/>
        <v>-9.890861299608698</v>
      </c>
    </row>
    <row r="735" spans="29:33" x14ac:dyDescent="0.25">
      <c r="AC735" s="16">
        <v>731</v>
      </c>
      <c r="AD735" s="16">
        <f t="shared" si="52"/>
        <v>1755.8268432289642</v>
      </c>
      <c r="AE735" s="16">
        <f t="shared" si="50"/>
        <v>31.113947019189091</v>
      </c>
      <c r="AF735" s="16">
        <f>'Gearing Calculator'!$C$17*Braking!AD735</f>
        <v>2633.7402648434463</v>
      </c>
      <c r="AG735" s="16">
        <f t="shared" si="51"/>
        <v>-9.8938402135366132</v>
      </c>
    </row>
    <row r="736" spans="29:33" x14ac:dyDescent="0.25">
      <c r="AC736" s="16">
        <v>732</v>
      </c>
      <c r="AD736" s="16">
        <f t="shared" si="52"/>
        <v>1756.3555011540379</v>
      </c>
      <c r="AE736" s="16">
        <f t="shared" si="50"/>
        <v>31.156510558203028</v>
      </c>
      <c r="AF736" s="16">
        <f>'Gearing Calculator'!$C$17*Braking!AD736</f>
        <v>2634.5332517310571</v>
      </c>
      <c r="AG736" s="16">
        <f t="shared" si="51"/>
        <v>-9.8968191274645267</v>
      </c>
    </row>
    <row r="737" spans="29:33" x14ac:dyDescent="0.25">
      <c r="AC737" s="16">
        <v>733</v>
      </c>
      <c r="AD737" s="16">
        <f t="shared" si="52"/>
        <v>1756.8841590791117</v>
      </c>
      <c r="AE737" s="16">
        <f t="shared" si="50"/>
        <v>31.199074097216968</v>
      </c>
      <c r="AF737" s="16">
        <f>'Gearing Calculator'!$C$17*Braking!AD737</f>
        <v>2635.3262386186675</v>
      </c>
      <c r="AG737" s="16">
        <f t="shared" si="51"/>
        <v>-9.8997980413924402</v>
      </c>
    </row>
    <row r="738" spans="29:33" x14ac:dyDescent="0.25">
      <c r="AC738" s="16">
        <v>734</v>
      </c>
      <c r="AD738" s="16">
        <f t="shared" si="52"/>
        <v>1757.4128170041856</v>
      </c>
      <c r="AE738" s="16">
        <f t="shared" si="50"/>
        <v>31.241637636230905</v>
      </c>
      <c r="AF738" s="16">
        <f>'Gearing Calculator'!$C$17*Braking!AD738</f>
        <v>2636.1192255062783</v>
      </c>
      <c r="AG738" s="16">
        <f t="shared" si="51"/>
        <v>-9.9027769553203555</v>
      </c>
    </row>
    <row r="739" spans="29:33" x14ac:dyDescent="0.25">
      <c r="AC739" s="16">
        <v>735</v>
      </c>
      <c r="AD739" s="16">
        <f t="shared" si="52"/>
        <v>1757.9414749292594</v>
      </c>
      <c r="AE739" s="16">
        <f t="shared" si="50"/>
        <v>31.284201175244846</v>
      </c>
      <c r="AF739" s="16">
        <f>'Gearing Calculator'!$C$17*Braking!AD739</f>
        <v>2636.9122123938891</v>
      </c>
      <c r="AG739" s="16">
        <f t="shared" si="51"/>
        <v>-9.905755869248269</v>
      </c>
    </row>
    <row r="740" spans="29:33" x14ac:dyDescent="0.25">
      <c r="AC740" s="16">
        <v>736</v>
      </c>
      <c r="AD740" s="16">
        <f t="shared" si="52"/>
        <v>1758.4701328543333</v>
      </c>
      <c r="AE740" s="16">
        <f t="shared" si="50"/>
        <v>31.326764714258783</v>
      </c>
      <c r="AF740" s="16">
        <f>'Gearing Calculator'!$C$17*Braking!AD740</f>
        <v>2637.7051992815</v>
      </c>
      <c r="AG740" s="16">
        <f t="shared" si="51"/>
        <v>-9.9087347831761843</v>
      </c>
    </row>
    <row r="741" spans="29:33" x14ac:dyDescent="0.25">
      <c r="AC741" s="16">
        <v>737</v>
      </c>
      <c r="AD741" s="16">
        <f t="shared" si="52"/>
        <v>1758.998790779407</v>
      </c>
      <c r="AE741" s="16">
        <f t="shared" si="50"/>
        <v>31.36932825327272</v>
      </c>
      <c r="AF741" s="16">
        <f>'Gearing Calculator'!$C$17*Braking!AD741</f>
        <v>2638.4981861691103</v>
      </c>
      <c r="AG741" s="16">
        <f t="shared" si="51"/>
        <v>-9.911713697104096</v>
      </c>
    </row>
    <row r="742" spans="29:33" x14ac:dyDescent="0.25">
      <c r="AC742" s="16">
        <v>738</v>
      </c>
      <c r="AD742" s="16">
        <f t="shared" si="52"/>
        <v>1759.5274487044808</v>
      </c>
      <c r="AE742" s="16">
        <f t="shared" si="50"/>
        <v>31.41189179228666</v>
      </c>
      <c r="AF742" s="16">
        <f>'Gearing Calculator'!$C$17*Braking!AD742</f>
        <v>2639.2911730567212</v>
      </c>
      <c r="AG742" s="16">
        <f t="shared" si="51"/>
        <v>-9.9146926110320113</v>
      </c>
    </row>
    <row r="743" spans="29:33" x14ac:dyDescent="0.25">
      <c r="AC743" s="16">
        <v>739</v>
      </c>
      <c r="AD743" s="16">
        <f t="shared" si="52"/>
        <v>1760.0561066295547</v>
      </c>
      <c r="AE743" s="16">
        <f t="shared" si="50"/>
        <v>31.454455331300597</v>
      </c>
      <c r="AF743" s="16">
        <f>'Gearing Calculator'!$C$17*Braking!AD743</f>
        <v>2640.084159944332</v>
      </c>
      <c r="AG743" s="16">
        <f t="shared" si="51"/>
        <v>-9.9176715249599248</v>
      </c>
    </row>
    <row r="744" spans="29:33" x14ac:dyDescent="0.25">
      <c r="AC744" s="16">
        <v>740</v>
      </c>
      <c r="AD744" s="16">
        <f t="shared" si="52"/>
        <v>1760.5847645546285</v>
      </c>
      <c r="AE744" s="16">
        <f t="shared" si="50"/>
        <v>31.497018870314538</v>
      </c>
      <c r="AF744" s="16">
        <f>'Gearing Calculator'!$C$17*Braking!AD744</f>
        <v>2640.8771468319428</v>
      </c>
      <c r="AG744" s="16">
        <f t="shared" si="51"/>
        <v>-9.92065043888784</v>
      </c>
    </row>
    <row r="745" spans="29:33" x14ac:dyDescent="0.25">
      <c r="AC745" s="16">
        <v>741</v>
      </c>
      <c r="AD745" s="16">
        <f t="shared" si="52"/>
        <v>1761.1134224797024</v>
      </c>
      <c r="AE745" s="16">
        <f t="shared" si="50"/>
        <v>31.539582409328474</v>
      </c>
      <c r="AF745" s="16">
        <f>'Gearing Calculator'!$C$17*Braking!AD745</f>
        <v>2641.6701337195536</v>
      </c>
      <c r="AG745" s="16">
        <f t="shared" si="51"/>
        <v>-9.9236293528157535</v>
      </c>
    </row>
    <row r="746" spans="29:33" x14ac:dyDescent="0.25">
      <c r="AC746" s="16">
        <v>742</v>
      </c>
      <c r="AD746" s="16">
        <f t="shared" si="52"/>
        <v>1761.6420804047762</v>
      </c>
      <c r="AE746" s="16">
        <f t="shared" si="50"/>
        <v>31.582145948342415</v>
      </c>
      <c r="AF746" s="16">
        <f>'Gearing Calculator'!$C$17*Braking!AD746</f>
        <v>2642.4631206071645</v>
      </c>
      <c r="AG746" s="16">
        <f t="shared" si="51"/>
        <v>-9.9266082667436688</v>
      </c>
    </row>
    <row r="747" spans="29:33" x14ac:dyDescent="0.25">
      <c r="AC747" s="16">
        <v>743</v>
      </c>
      <c r="AD747" s="16">
        <f t="shared" si="52"/>
        <v>1762.1707383298499</v>
      </c>
      <c r="AE747" s="16">
        <f t="shared" si="50"/>
        <v>31.624709487356352</v>
      </c>
      <c r="AF747" s="16">
        <f>'Gearing Calculator'!$C$17*Braking!AD747</f>
        <v>2643.2561074947748</v>
      </c>
      <c r="AG747" s="16">
        <f t="shared" si="51"/>
        <v>-9.9295871806715805</v>
      </c>
    </row>
    <row r="748" spans="29:33" x14ac:dyDescent="0.25">
      <c r="AC748" s="16">
        <v>744</v>
      </c>
      <c r="AD748" s="16">
        <f t="shared" si="52"/>
        <v>1762.6993962549238</v>
      </c>
      <c r="AE748" s="16">
        <f t="shared" si="50"/>
        <v>31.667273026370289</v>
      </c>
      <c r="AF748" s="16">
        <f>'Gearing Calculator'!$C$17*Braking!AD748</f>
        <v>2644.0490943823856</v>
      </c>
      <c r="AG748" s="16">
        <f t="shared" si="51"/>
        <v>-9.9325660945994958</v>
      </c>
    </row>
    <row r="749" spans="29:33" x14ac:dyDescent="0.25">
      <c r="AC749" s="16">
        <v>745</v>
      </c>
      <c r="AD749" s="16">
        <f t="shared" si="52"/>
        <v>1763.2280541799976</v>
      </c>
      <c r="AE749" s="16">
        <f t="shared" si="50"/>
        <v>31.709836565384229</v>
      </c>
      <c r="AF749" s="16">
        <f>'Gearing Calculator'!$C$17*Braking!AD749</f>
        <v>2644.8420812699965</v>
      </c>
      <c r="AG749" s="16">
        <f t="shared" si="51"/>
        <v>-9.9355450085274093</v>
      </c>
    </row>
    <row r="750" spans="29:33" x14ac:dyDescent="0.25">
      <c r="AC750" s="16">
        <v>746</v>
      </c>
      <c r="AD750" s="16">
        <f t="shared" si="52"/>
        <v>1763.7567121050715</v>
      </c>
      <c r="AE750" s="16">
        <f t="shared" si="50"/>
        <v>31.75240010439817</v>
      </c>
      <c r="AF750" s="16">
        <f>'Gearing Calculator'!$C$17*Braking!AD750</f>
        <v>2645.6350681576073</v>
      </c>
      <c r="AG750" s="16">
        <f t="shared" si="51"/>
        <v>-9.9385239224553246</v>
      </c>
    </row>
    <row r="751" spans="29:33" x14ac:dyDescent="0.25">
      <c r="AC751" s="16">
        <v>747</v>
      </c>
      <c r="AD751" s="16">
        <f t="shared" si="52"/>
        <v>1764.2853700301453</v>
      </c>
      <c r="AE751" s="16">
        <f t="shared" si="50"/>
        <v>31.794963643412107</v>
      </c>
      <c r="AF751" s="16">
        <f>'Gearing Calculator'!$C$17*Braking!AD751</f>
        <v>2646.4280550452177</v>
      </c>
      <c r="AG751" s="16">
        <f t="shared" si="51"/>
        <v>-9.9415028363832381</v>
      </c>
    </row>
    <row r="752" spans="29:33" x14ac:dyDescent="0.25">
      <c r="AC752" s="16">
        <v>748</v>
      </c>
      <c r="AD752" s="16">
        <f t="shared" si="52"/>
        <v>1764.814027955219</v>
      </c>
      <c r="AE752" s="16">
        <f t="shared" si="50"/>
        <v>31.837527182426044</v>
      </c>
      <c r="AF752" s="16">
        <f>'Gearing Calculator'!$C$17*Braking!AD752</f>
        <v>2647.2210419328285</v>
      </c>
      <c r="AG752" s="16">
        <f t="shared" si="51"/>
        <v>-9.9444817503111516</v>
      </c>
    </row>
    <row r="753" spans="29:33" x14ac:dyDescent="0.25">
      <c r="AC753" s="16">
        <v>749</v>
      </c>
      <c r="AD753" s="16">
        <f t="shared" si="52"/>
        <v>1765.3426858802929</v>
      </c>
      <c r="AE753" s="16">
        <f t="shared" si="50"/>
        <v>31.880090721439984</v>
      </c>
      <c r="AF753" s="16">
        <f>'Gearing Calculator'!$C$17*Braking!AD753</f>
        <v>2648.0140288204393</v>
      </c>
      <c r="AG753" s="16">
        <f t="shared" si="51"/>
        <v>-9.9474606642390668</v>
      </c>
    </row>
    <row r="754" spans="29:33" x14ac:dyDescent="0.25">
      <c r="AC754" s="16">
        <v>750</v>
      </c>
      <c r="AD754" s="16">
        <f t="shared" si="52"/>
        <v>1765.8713438053667</v>
      </c>
      <c r="AE754" s="16">
        <f t="shared" si="50"/>
        <v>31.922654260453925</v>
      </c>
      <c r="AF754" s="16">
        <f>'Gearing Calculator'!$C$17*Braking!AD754</f>
        <v>2648.8070157080501</v>
      </c>
      <c r="AG754" s="16">
        <f t="shared" si="51"/>
        <v>-9.9504395781669803</v>
      </c>
    </row>
    <row r="755" spans="29:33" x14ac:dyDescent="0.25">
      <c r="AC755" s="16">
        <v>751</v>
      </c>
      <c r="AD755" s="16">
        <f t="shared" si="52"/>
        <v>1766.4000017304406</v>
      </c>
      <c r="AE755" s="16">
        <f t="shared" si="50"/>
        <v>31.965217799467858</v>
      </c>
      <c r="AF755" s="16">
        <f>'Gearing Calculator'!$C$17*Braking!AD755</f>
        <v>2649.600002595661</v>
      </c>
      <c r="AG755" s="16">
        <f t="shared" si="51"/>
        <v>-9.9534184920948956</v>
      </c>
    </row>
    <row r="756" spans="29:33" x14ac:dyDescent="0.25">
      <c r="AC756" s="16">
        <v>752</v>
      </c>
      <c r="AD756" s="16">
        <f t="shared" si="52"/>
        <v>1766.9286596555144</v>
      </c>
      <c r="AE756" s="16">
        <f t="shared" si="50"/>
        <v>32.007781338481799</v>
      </c>
      <c r="AF756" s="16">
        <f>'Gearing Calculator'!$C$17*Braking!AD756</f>
        <v>2650.3929894832718</v>
      </c>
      <c r="AG756" s="16">
        <f t="shared" si="51"/>
        <v>-9.9563974060228091</v>
      </c>
    </row>
    <row r="757" spans="29:33" x14ac:dyDescent="0.25">
      <c r="AC757" s="16">
        <v>753</v>
      </c>
      <c r="AD757" s="16">
        <f t="shared" si="52"/>
        <v>1767.4573175805881</v>
      </c>
      <c r="AE757" s="16">
        <f t="shared" si="50"/>
        <v>32.050344877495739</v>
      </c>
      <c r="AF757" s="16">
        <f>'Gearing Calculator'!$C$17*Braking!AD757</f>
        <v>2651.1859763708821</v>
      </c>
      <c r="AG757" s="16">
        <f t="shared" si="51"/>
        <v>-9.9593763199507226</v>
      </c>
    </row>
    <row r="758" spans="29:33" x14ac:dyDescent="0.25">
      <c r="AC758" s="16">
        <v>754</v>
      </c>
      <c r="AD758" s="16">
        <f t="shared" si="52"/>
        <v>1767.9859755056621</v>
      </c>
      <c r="AE758" s="16">
        <f t="shared" si="50"/>
        <v>32.092908416509673</v>
      </c>
      <c r="AF758" s="16">
        <f>'Gearing Calculator'!$C$17*Braking!AD758</f>
        <v>2651.978963258493</v>
      </c>
      <c r="AG758" s="16">
        <f t="shared" si="51"/>
        <v>-9.9623552338786361</v>
      </c>
    </row>
    <row r="759" spans="29:33" x14ac:dyDescent="0.25">
      <c r="AC759" s="16">
        <v>755</v>
      </c>
      <c r="AD759" s="16">
        <f t="shared" si="52"/>
        <v>1768.5146334307358</v>
      </c>
      <c r="AE759" s="16">
        <f t="shared" si="50"/>
        <v>32.135471955523613</v>
      </c>
      <c r="AF759" s="16">
        <f>'Gearing Calculator'!$C$17*Braking!AD759</f>
        <v>2652.7719501461038</v>
      </c>
      <c r="AG759" s="16">
        <f t="shared" si="51"/>
        <v>-9.9653341478065514</v>
      </c>
    </row>
    <row r="760" spans="29:33" x14ac:dyDescent="0.25">
      <c r="AC760" s="16">
        <v>756</v>
      </c>
      <c r="AD760" s="16">
        <f t="shared" si="52"/>
        <v>1769.0432913558097</v>
      </c>
      <c r="AE760" s="16">
        <f t="shared" si="50"/>
        <v>32.178035494537554</v>
      </c>
      <c r="AF760" s="16">
        <f>'Gearing Calculator'!$C$17*Braking!AD760</f>
        <v>2653.5649370337146</v>
      </c>
      <c r="AG760" s="16">
        <f t="shared" si="51"/>
        <v>-9.9683130617344649</v>
      </c>
    </row>
    <row r="761" spans="29:33" x14ac:dyDescent="0.25">
      <c r="AC761" s="16">
        <v>757</v>
      </c>
      <c r="AD761" s="16">
        <f t="shared" si="52"/>
        <v>1769.5719492808835</v>
      </c>
      <c r="AE761" s="16">
        <f t="shared" si="50"/>
        <v>32.220599033551494</v>
      </c>
      <c r="AF761" s="16">
        <f>'Gearing Calculator'!$C$17*Braking!AD761</f>
        <v>2654.357923921325</v>
      </c>
      <c r="AG761" s="16">
        <f t="shared" si="51"/>
        <v>-9.9712919756623783</v>
      </c>
    </row>
    <row r="762" spans="29:33" x14ac:dyDescent="0.25">
      <c r="AC762" s="16">
        <v>758</v>
      </c>
      <c r="AD762" s="16">
        <f t="shared" si="52"/>
        <v>1770.1006072059572</v>
      </c>
      <c r="AE762" s="16">
        <f t="shared" si="50"/>
        <v>32.263162572565427</v>
      </c>
      <c r="AF762" s="16">
        <f>'Gearing Calculator'!$C$17*Braking!AD762</f>
        <v>2655.1509108089358</v>
      </c>
      <c r="AG762" s="16">
        <f t="shared" si="51"/>
        <v>-9.9742708895902918</v>
      </c>
    </row>
    <row r="763" spans="29:33" x14ac:dyDescent="0.25">
      <c r="AC763" s="16">
        <v>759</v>
      </c>
      <c r="AD763" s="16">
        <f t="shared" si="52"/>
        <v>1770.6292651310312</v>
      </c>
      <c r="AE763" s="16">
        <f t="shared" si="50"/>
        <v>32.305726111579368</v>
      </c>
      <c r="AF763" s="16">
        <f>'Gearing Calculator'!$C$17*Braking!AD763</f>
        <v>2655.9438976965466</v>
      </c>
      <c r="AG763" s="16">
        <f t="shared" si="51"/>
        <v>-9.9772498035182071</v>
      </c>
    </row>
    <row r="764" spans="29:33" x14ac:dyDescent="0.25">
      <c r="AC764" s="16">
        <v>760</v>
      </c>
      <c r="AD764" s="16">
        <f t="shared" si="52"/>
        <v>1771.1579230561049</v>
      </c>
      <c r="AE764" s="16">
        <f t="shared" si="50"/>
        <v>32.348289650593308</v>
      </c>
      <c r="AF764" s="16">
        <f>'Gearing Calculator'!$C$17*Braking!AD764</f>
        <v>2656.7368845841575</v>
      </c>
      <c r="AG764" s="16">
        <f t="shared" si="51"/>
        <v>-9.9802287174461224</v>
      </c>
    </row>
    <row r="765" spans="29:33" x14ac:dyDescent="0.25">
      <c r="AC765" s="16">
        <v>761</v>
      </c>
      <c r="AD765" s="16">
        <f t="shared" si="52"/>
        <v>1771.6865809811788</v>
      </c>
      <c r="AE765" s="16">
        <f t="shared" si="50"/>
        <v>32.390853189607249</v>
      </c>
      <c r="AF765" s="16">
        <f>'Gearing Calculator'!$C$17*Braking!AD765</f>
        <v>2657.5298714717683</v>
      </c>
      <c r="AG765" s="16">
        <f t="shared" si="51"/>
        <v>-9.9832076313740359</v>
      </c>
    </row>
    <row r="766" spans="29:33" x14ac:dyDescent="0.25">
      <c r="AC766" s="16">
        <v>762</v>
      </c>
      <c r="AD766" s="16">
        <f t="shared" si="52"/>
        <v>1772.2152389062526</v>
      </c>
      <c r="AE766" s="16">
        <f>(AC766/$X$104)*100</f>
        <v>32.433416728621182</v>
      </c>
      <c r="AF766" s="16">
        <f>'Gearing Calculator'!$C$17*Braking!AD766</f>
        <v>2658.3228583593791</v>
      </c>
      <c r="AG766" s="16">
        <f t="shared" si="51"/>
        <v>-9.9861865453019512</v>
      </c>
    </row>
    <row r="767" spans="29:33" x14ac:dyDescent="0.25">
      <c r="AC767" s="16">
        <v>763</v>
      </c>
      <c r="AD767" s="16">
        <f t="shared" si="52"/>
        <v>1772.7438968313263</v>
      </c>
      <c r="AE767" s="16">
        <f t="shared" ref="AE767:AE830" si="53">(AC767/$X$104)*100</f>
        <v>32.475980267635123</v>
      </c>
      <c r="AF767" s="16">
        <f>'Gearing Calculator'!$C$17*Braking!AD767</f>
        <v>2659.1158452469895</v>
      </c>
      <c r="AG767" s="16">
        <f t="shared" si="51"/>
        <v>-9.9891654592298629</v>
      </c>
    </row>
    <row r="768" spans="29:33" x14ac:dyDescent="0.25">
      <c r="AC768" s="16">
        <v>764</v>
      </c>
      <c r="AD768" s="16">
        <f t="shared" si="52"/>
        <v>1773.2725547564003</v>
      </c>
      <c r="AE768" s="16">
        <f t="shared" si="53"/>
        <v>32.518543806649063</v>
      </c>
      <c r="AF768" s="16">
        <f>'Gearing Calculator'!$C$17*Braking!AD768</f>
        <v>2659.9088321346003</v>
      </c>
      <c r="AG768" s="16">
        <f t="shared" si="51"/>
        <v>-9.9921443731577781</v>
      </c>
    </row>
    <row r="769" spans="29:33" x14ac:dyDescent="0.25">
      <c r="AC769" s="16">
        <v>765</v>
      </c>
      <c r="AD769" s="16">
        <f t="shared" si="52"/>
        <v>1773.801212681474</v>
      </c>
      <c r="AE769" s="16">
        <f t="shared" si="53"/>
        <v>32.561107345662997</v>
      </c>
      <c r="AF769" s="16">
        <f>'Gearing Calculator'!$C$17*Braking!AD769</f>
        <v>2660.7018190222111</v>
      </c>
      <c r="AG769" s="16">
        <f t="shared" si="51"/>
        <v>-9.9951232870856916</v>
      </c>
    </row>
    <row r="770" spans="29:33" x14ac:dyDescent="0.25">
      <c r="AC770" s="16">
        <v>766</v>
      </c>
      <c r="AD770" s="16">
        <f t="shared" si="52"/>
        <v>1774.329870606548</v>
      </c>
      <c r="AE770" s="16">
        <f t="shared" si="53"/>
        <v>32.603670884676937</v>
      </c>
      <c r="AF770" s="16">
        <f>'Gearing Calculator'!$C$17*Braking!AD770</f>
        <v>2661.4948059098219</v>
      </c>
      <c r="AG770" s="16">
        <f t="shared" si="51"/>
        <v>-9.9981022010136069</v>
      </c>
    </row>
    <row r="771" spans="29:33" x14ac:dyDescent="0.25">
      <c r="AC771" s="16">
        <v>767</v>
      </c>
      <c r="AD771" s="16">
        <f t="shared" si="52"/>
        <v>1774.8585285316217</v>
      </c>
      <c r="AE771" s="16">
        <f t="shared" si="53"/>
        <v>32.646234423690878</v>
      </c>
      <c r="AF771" s="16">
        <f>'Gearing Calculator'!$C$17*Braking!AD771</f>
        <v>2662.2877927974323</v>
      </c>
      <c r="AG771" s="16">
        <f t="shared" si="51"/>
        <v>-10.001081114941519</v>
      </c>
    </row>
    <row r="772" spans="29:33" x14ac:dyDescent="0.25">
      <c r="AC772" s="16">
        <v>768</v>
      </c>
      <c r="AD772" s="16">
        <f t="shared" si="52"/>
        <v>1775.3871864566954</v>
      </c>
      <c r="AE772" s="16">
        <f t="shared" si="53"/>
        <v>32.688797962704818</v>
      </c>
      <c r="AF772" s="16">
        <f>'Gearing Calculator'!$C$17*Braking!AD772</f>
        <v>2663.0807796850431</v>
      </c>
      <c r="AG772" s="16">
        <f t="shared" si="51"/>
        <v>-10.004060028869434</v>
      </c>
    </row>
    <row r="773" spans="29:33" x14ac:dyDescent="0.25">
      <c r="AC773" s="16">
        <v>769</v>
      </c>
      <c r="AD773" s="16">
        <f t="shared" si="52"/>
        <v>1775.9158443817694</v>
      </c>
      <c r="AE773" s="16">
        <f t="shared" si="53"/>
        <v>32.731361501718752</v>
      </c>
      <c r="AF773" s="16">
        <f>'Gearing Calculator'!$C$17*Braking!AD773</f>
        <v>2663.8737665726539</v>
      </c>
      <c r="AG773" s="16">
        <f t="shared" si="51"/>
        <v>-10.007038942797347</v>
      </c>
    </row>
    <row r="774" spans="29:33" x14ac:dyDescent="0.25">
      <c r="AC774" s="16">
        <v>770</v>
      </c>
      <c r="AD774" s="16">
        <f t="shared" si="52"/>
        <v>1776.4445023068431</v>
      </c>
      <c r="AE774" s="16">
        <f t="shared" si="53"/>
        <v>32.773925040732692</v>
      </c>
      <c r="AF774" s="16">
        <f>'Gearing Calculator'!$C$17*Braking!AD774</f>
        <v>2664.6667534602648</v>
      </c>
      <c r="AG774" s="16">
        <f t="shared" ref="AG774:AG837" si="54">-(AF774/$C$3)</f>
        <v>-10.010017856725263</v>
      </c>
    </row>
    <row r="775" spans="29:33" x14ac:dyDescent="0.25">
      <c r="AC775" s="16">
        <v>771</v>
      </c>
      <c r="AD775" s="16">
        <f t="shared" ref="AD775:AD838" si="55">($C$3*$C$4)*($C$9/$C$8)+(AC775*($C$10/$C$8))</f>
        <v>1776.9731602319171</v>
      </c>
      <c r="AE775" s="16">
        <f t="shared" si="53"/>
        <v>32.816488579746633</v>
      </c>
      <c r="AF775" s="16">
        <f>'Gearing Calculator'!$C$17*Braking!AD775</f>
        <v>2665.4597403478756</v>
      </c>
      <c r="AG775" s="16">
        <f t="shared" si="54"/>
        <v>-10.012996770653176</v>
      </c>
    </row>
    <row r="776" spans="29:33" x14ac:dyDescent="0.25">
      <c r="AC776" s="16">
        <v>772</v>
      </c>
      <c r="AD776" s="16">
        <f t="shared" si="55"/>
        <v>1777.5018181569908</v>
      </c>
      <c r="AE776" s="16">
        <f t="shared" si="53"/>
        <v>32.859052118760573</v>
      </c>
      <c r="AF776" s="16">
        <f>'Gearing Calculator'!$C$17*Braking!AD776</f>
        <v>2666.2527272354864</v>
      </c>
      <c r="AG776" s="16">
        <f t="shared" si="54"/>
        <v>-10.015975684581091</v>
      </c>
    </row>
    <row r="777" spans="29:33" x14ac:dyDescent="0.25">
      <c r="AC777" s="16">
        <v>773</v>
      </c>
      <c r="AD777" s="16">
        <f t="shared" si="55"/>
        <v>1778.0304760820645</v>
      </c>
      <c r="AE777" s="16">
        <f t="shared" si="53"/>
        <v>32.901615657774506</v>
      </c>
      <c r="AF777" s="16">
        <f>'Gearing Calculator'!$C$17*Braking!AD777</f>
        <v>2667.0457141230968</v>
      </c>
      <c r="AG777" s="16">
        <f t="shared" si="54"/>
        <v>-10.018954598509005</v>
      </c>
    </row>
    <row r="778" spans="29:33" x14ac:dyDescent="0.25">
      <c r="AC778" s="16">
        <v>774</v>
      </c>
      <c r="AD778" s="16">
        <f t="shared" si="55"/>
        <v>1778.5591340071385</v>
      </c>
      <c r="AE778" s="16">
        <f t="shared" si="53"/>
        <v>32.944179196788447</v>
      </c>
      <c r="AF778" s="16">
        <f>'Gearing Calculator'!$C$17*Braking!AD778</f>
        <v>2667.8387010107076</v>
      </c>
      <c r="AG778" s="16">
        <f t="shared" si="54"/>
        <v>-10.021933512436918</v>
      </c>
    </row>
    <row r="779" spans="29:33" x14ac:dyDescent="0.25">
      <c r="AC779" s="16">
        <v>775</v>
      </c>
      <c r="AD779" s="16">
        <f t="shared" si="55"/>
        <v>1779.0877919322122</v>
      </c>
      <c r="AE779" s="16">
        <f t="shared" si="53"/>
        <v>32.986742735802387</v>
      </c>
      <c r="AF779" s="16">
        <f>'Gearing Calculator'!$C$17*Braking!AD779</f>
        <v>2668.6316878983184</v>
      </c>
      <c r="AG779" s="16">
        <f t="shared" si="54"/>
        <v>-10.024912426364834</v>
      </c>
    </row>
    <row r="780" spans="29:33" x14ac:dyDescent="0.25">
      <c r="AC780" s="16">
        <v>776</v>
      </c>
      <c r="AD780" s="16">
        <f t="shared" si="55"/>
        <v>1779.6164498572862</v>
      </c>
      <c r="AE780" s="16">
        <f t="shared" si="53"/>
        <v>33.029306274816328</v>
      </c>
      <c r="AF780" s="16">
        <f>'Gearing Calculator'!$C$17*Braking!AD780</f>
        <v>2669.4246747859293</v>
      </c>
      <c r="AG780" s="16">
        <f t="shared" si="54"/>
        <v>-10.027891340292747</v>
      </c>
    </row>
    <row r="781" spans="29:33" x14ac:dyDescent="0.25">
      <c r="AC781" s="16">
        <v>777</v>
      </c>
      <c r="AD781" s="16">
        <f t="shared" si="55"/>
        <v>1780.1451077823599</v>
      </c>
      <c r="AE781" s="16">
        <f t="shared" si="53"/>
        <v>33.071869813830261</v>
      </c>
      <c r="AF781" s="16">
        <f>'Gearing Calculator'!$C$17*Braking!AD781</f>
        <v>2670.2176616735396</v>
      </c>
      <c r="AG781" s="16">
        <f t="shared" si="54"/>
        <v>-10.030870254220661</v>
      </c>
    </row>
    <row r="782" spans="29:33" x14ac:dyDescent="0.25">
      <c r="AC782" s="16">
        <v>778</v>
      </c>
      <c r="AD782" s="16">
        <f t="shared" si="55"/>
        <v>1780.6737657074336</v>
      </c>
      <c r="AE782" s="16">
        <f t="shared" si="53"/>
        <v>33.114433352844202</v>
      </c>
      <c r="AF782" s="16">
        <f>'Gearing Calculator'!$C$17*Braking!AD782</f>
        <v>2671.0106485611504</v>
      </c>
      <c r="AG782" s="16">
        <f t="shared" si="54"/>
        <v>-10.033849168148574</v>
      </c>
    </row>
    <row r="783" spans="29:33" x14ac:dyDescent="0.25">
      <c r="AC783" s="16">
        <v>779</v>
      </c>
      <c r="AD783" s="16">
        <f t="shared" si="55"/>
        <v>1781.2024236325076</v>
      </c>
      <c r="AE783" s="16">
        <f t="shared" si="53"/>
        <v>33.156996891858142</v>
      </c>
      <c r="AF783" s="16">
        <f>'Gearing Calculator'!$C$17*Braking!AD783</f>
        <v>2671.8036354487613</v>
      </c>
      <c r="AG783" s="16">
        <f t="shared" si="54"/>
        <v>-10.036828082076489</v>
      </c>
    </row>
    <row r="784" spans="29:33" x14ac:dyDescent="0.25">
      <c r="AC784" s="16">
        <v>780</v>
      </c>
      <c r="AD784" s="16">
        <f t="shared" si="55"/>
        <v>1781.7310815575813</v>
      </c>
      <c r="AE784" s="16">
        <f t="shared" si="53"/>
        <v>33.199560430872076</v>
      </c>
      <c r="AF784" s="16">
        <f>'Gearing Calculator'!$C$17*Braking!AD784</f>
        <v>2672.5966223363721</v>
      </c>
      <c r="AG784" s="16">
        <f t="shared" si="54"/>
        <v>-10.039806996004403</v>
      </c>
    </row>
    <row r="785" spans="29:33" x14ac:dyDescent="0.25">
      <c r="AC785" s="16">
        <v>781</v>
      </c>
      <c r="AD785" s="16">
        <f t="shared" si="55"/>
        <v>1782.2597394826553</v>
      </c>
      <c r="AE785" s="16">
        <f t="shared" si="53"/>
        <v>33.242123969886016</v>
      </c>
      <c r="AF785" s="16">
        <f>'Gearing Calculator'!$C$17*Braking!AD785</f>
        <v>2673.3896092239829</v>
      </c>
      <c r="AG785" s="16">
        <f t="shared" si="54"/>
        <v>-10.042785909932318</v>
      </c>
    </row>
    <row r="786" spans="29:33" x14ac:dyDescent="0.25">
      <c r="AC786" s="16">
        <v>782</v>
      </c>
      <c r="AD786" s="16">
        <f t="shared" si="55"/>
        <v>1782.788397407729</v>
      </c>
      <c r="AE786" s="16">
        <f t="shared" si="53"/>
        <v>33.284687508899957</v>
      </c>
      <c r="AF786" s="16">
        <f>'Gearing Calculator'!$C$17*Braking!AD786</f>
        <v>2674.1825961115937</v>
      </c>
      <c r="AG786" s="16">
        <f t="shared" si="54"/>
        <v>-10.045764823860232</v>
      </c>
    </row>
    <row r="787" spans="29:33" x14ac:dyDescent="0.25">
      <c r="AC787" s="16">
        <v>783</v>
      </c>
      <c r="AD787" s="16">
        <f t="shared" si="55"/>
        <v>1783.3170553328027</v>
      </c>
      <c r="AE787" s="16">
        <f t="shared" si="53"/>
        <v>33.327251047913897</v>
      </c>
      <c r="AF787" s="16">
        <f>'Gearing Calculator'!$C$17*Braking!AD787</f>
        <v>2674.9755829992041</v>
      </c>
      <c r="AG787" s="16">
        <f t="shared" si="54"/>
        <v>-10.048743737788145</v>
      </c>
    </row>
    <row r="788" spans="29:33" x14ac:dyDescent="0.25">
      <c r="AC788" s="16">
        <v>784</v>
      </c>
      <c r="AD788" s="16">
        <f t="shared" si="55"/>
        <v>1783.8457132578767</v>
      </c>
      <c r="AE788" s="16">
        <f t="shared" si="53"/>
        <v>33.369814586927831</v>
      </c>
      <c r="AF788" s="16">
        <f>'Gearing Calculator'!$C$17*Braking!AD788</f>
        <v>2675.7685698868149</v>
      </c>
      <c r="AG788" s="16">
        <f t="shared" si="54"/>
        <v>-10.051722651716059</v>
      </c>
    </row>
    <row r="789" spans="29:33" x14ac:dyDescent="0.25">
      <c r="AC789" s="16">
        <v>785</v>
      </c>
      <c r="AD789" s="16">
        <f t="shared" si="55"/>
        <v>1784.3743711829504</v>
      </c>
      <c r="AE789" s="16">
        <f t="shared" si="53"/>
        <v>33.412378125941771</v>
      </c>
      <c r="AF789" s="16">
        <f>'Gearing Calculator'!$C$17*Braking!AD789</f>
        <v>2676.5615567744258</v>
      </c>
      <c r="AG789" s="16">
        <f t="shared" si="54"/>
        <v>-10.054701565643974</v>
      </c>
    </row>
    <row r="790" spans="29:33" x14ac:dyDescent="0.25">
      <c r="AC790" s="16">
        <v>786</v>
      </c>
      <c r="AD790" s="16">
        <f t="shared" si="55"/>
        <v>1784.9030291080244</v>
      </c>
      <c r="AE790" s="16">
        <f t="shared" si="53"/>
        <v>33.454941664955712</v>
      </c>
      <c r="AF790" s="16">
        <f>'Gearing Calculator'!$C$17*Braking!AD790</f>
        <v>2677.3545436620366</v>
      </c>
      <c r="AG790" s="16">
        <f t="shared" si="54"/>
        <v>-10.057680479571889</v>
      </c>
    </row>
    <row r="791" spans="29:33" x14ac:dyDescent="0.25">
      <c r="AC791" s="16">
        <v>787</v>
      </c>
      <c r="AD791" s="16">
        <f t="shared" si="55"/>
        <v>1785.4316870330981</v>
      </c>
      <c r="AE791" s="16">
        <f t="shared" si="53"/>
        <v>33.497505203969652</v>
      </c>
      <c r="AF791" s="16">
        <f>'Gearing Calculator'!$C$17*Braking!AD791</f>
        <v>2678.1475305496469</v>
      </c>
      <c r="AG791" s="16">
        <f t="shared" si="54"/>
        <v>-10.060659393499801</v>
      </c>
    </row>
    <row r="792" spans="29:33" x14ac:dyDescent="0.25">
      <c r="AC792" s="16">
        <v>788</v>
      </c>
      <c r="AD792" s="16">
        <f t="shared" si="55"/>
        <v>1785.9603449581718</v>
      </c>
      <c r="AE792" s="16">
        <f t="shared" si="53"/>
        <v>33.540068742983586</v>
      </c>
      <c r="AF792" s="16">
        <f>'Gearing Calculator'!$C$17*Braking!AD792</f>
        <v>2678.9405174372578</v>
      </c>
      <c r="AG792" s="16">
        <f t="shared" si="54"/>
        <v>-10.063638307427716</v>
      </c>
    </row>
    <row r="793" spans="29:33" x14ac:dyDescent="0.25">
      <c r="AC793" s="16">
        <v>789</v>
      </c>
      <c r="AD793" s="16">
        <f t="shared" si="55"/>
        <v>1786.4890028832458</v>
      </c>
      <c r="AE793" s="16">
        <f t="shared" si="53"/>
        <v>33.582632281997526</v>
      </c>
      <c r="AF793" s="16">
        <f>'Gearing Calculator'!$C$17*Braking!AD793</f>
        <v>2679.7335043248686</v>
      </c>
      <c r="AG793" s="16">
        <f t="shared" si="54"/>
        <v>-10.06661722135563</v>
      </c>
    </row>
    <row r="794" spans="29:33" x14ac:dyDescent="0.25">
      <c r="AC794" s="16">
        <v>790</v>
      </c>
      <c r="AD794" s="16">
        <f t="shared" si="55"/>
        <v>1787.0176608083195</v>
      </c>
      <c r="AE794" s="16">
        <f t="shared" si="53"/>
        <v>33.625195821011467</v>
      </c>
      <c r="AF794" s="16">
        <f>'Gearing Calculator'!$C$17*Braking!AD794</f>
        <v>2680.5264912124794</v>
      </c>
      <c r="AG794" s="16">
        <f t="shared" si="54"/>
        <v>-10.069596135283545</v>
      </c>
    </row>
    <row r="795" spans="29:33" x14ac:dyDescent="0.25">
      <c r="AC795" s="16">
        <v>791</v>
      </c>
      <c r="AD795" s="16">
        <f t="shared" si="55"/>
        <v>1787.5463187333935</v>
      </c>
      <c r="AE795" s="16">
        <f t="shared" si="53"/>
        <v>33.6677593600254</v>
      </c>
      <c r="AF795" s="16">
        <f>'Gearing Calculator'!$C$17*Braking!AD795</f>
        <v>2681.3194781000902</v>
      </c>
      <c r="AG795" s="16">
        <f t="shared" si="54"/>
        <v>-10.072575049211459</v>
      </c>
    </row>
    <row r="796" spans="29:33" x14ac:dyDescent="0.25">
      <c r="AC796" s="16">
        <v>792</v>
      </c>
      <c r="AD796" s="16">
        <f t="shared" si="55"/>
        <v>1788.0749766584672</v>
      </c>
      <c r="AE796" s="16">
        <f t="shared" si="53"/>
        <v>33.71032289903934</v>
      </c>
      <c r="AF796" s="16">
        <f>'Gearing Calculator'!$C$17*Braking!AD796</f>
        <v>2682.1124649877011</v>
      </c>
      <c r="AG796" s="16">
        <f t="shared" si="54"/>
        <v>-10.075553963139374</v>
      </c>
    </row>
    <row r="797" spans="29:33" x14ac:dyDescent="0.25">
      <c r="AC797" s="16">
        <v>793</v>
      </c>
      <c r="AD797" s="16">
        <f t="shared" si="55"/>
        <v>1788.603634583541</v>
      </c>
      <c r="AE797" s="16">
        <f t="shared" si="53"/>
        <v>33.752886438053281</v>
      </c>
      <c r="AF797" s="16">
        <f>'Gearing Calculator'!$C$17*Braking!AD797</f>
        <v>2682.9054518753114</v>
      </c>
      <c r="AG797" s="16">
        <f t="shared" si="54"/>
        <v>-10.078532877067286</v>
      </c>
    </row>
    <row r="798" spans="29:33" x14ac:dyDescent="0.25">
      <c r="AC798" s="16">
        <v>794</v>
      </c>
      <c r="AD798" s="16">
        <f t="shared" si="55"/>
        <v>1789.1322925086149</v>
      </c>
      <c r="AE798" s="16">
        <f t="shared" si="53"/>
        <v>33.795449977067221</v>
      </c>
      <c r="AF798" s="16">
        <f>'Gearing Calculator'!$C$17*Braking!AD798</f>
        <v>2683.6984387629223</v>
      </c>
      <c r="AG798" s="16">
        <f t="shared" si="54"/>
        <v>-10.081511790995201</v>
      </c>
    </row>
    <row r="799" spans="29:33" x14ac:dyDescent="0.25">
      <c r="AC799" s="16">
        <v>795</v>
      </c>
      <c r="AD799" s="16">
        <f t="shared" si="55"/>
        <v>1789.6609504336886</v>
      </c>
      <c r="AE799" s="16">
        <f t="shared" si="53"/>
        <v>33.838013516081155</v>
      </c>
      <c r="AF799" s="16">
        <f>'Gearing Calculator'!$C$17*Braking!AD799</f>
        <v>2684.4914256505331</v>
      </c>
      <c r="AG799" s="16">
        <f t="shared" si="54"/>
        <v>-10.084490704923114</v>
      </c>
    </row>
    <row r="800" spans="29:33" x14ac:dyDescent="0.25">
      <c r="AC800" s="16">
        <v>796</v>
      </c>
      <c r="AD800" s="16">
        <f t="shared" si="55"/>
        <v>1790.1896083587626</v>
      </c>
      <c r="AE800" s="16">
        <f t="shared" si="53"/>
        <v>33.880577055095095</v>
      </c>
      <c r="AF800" s="16">
        <f>'Gearing Calculator'!$C$17*Braking!AD800</f>
        <v>2685.2844125381439</v>
      </c>
      <c r="AG800" s="16">
        <f t="shared" si="54"/>
        <v>-10.08746961885103</v>
      </c>
    </row>
    <row r="801" spans="29:33" x14ac:dyDescent="0.25">
      <c r="AC801" s="16">
        <v>797</v>
      </c>
      <c r="AD801" s="16">
        <f t="shared" si="55"/>
        <v>1790.7182662838363</v>
      </c>
      <c r="AE801" s="16">
        <f t="shared" si="53"/>
        <v>33.923140594109036</v>
      </c>
      <c r="AF801" s="16">
        <f>'Gearing Calculator'!$C$17*Braking!AD801</f>
        <v>2686.0773994257543</v>
      </c>
      <c r="AG801" s="16">
        <f t="shared" si="54"/>
        <v>-10.090448532778941</v>
      </c>
    </row>
    <row r="802" spans="29:33" x14ac:dyDescent="0.25">
      <c r="AC802" s="16">
        <v>798</v>
      </c>
      <c r="AD802" s="16">
        <f t="shared" si="55"/>
        <v>1791.2469242089101</v>
      </c>
      <c r="AE802" s="16">
        <f t="shared" si="53"/>
        <v>33.965704133122976</v>
      </c>
      <c r="AF802" s="16">
        <f>'Gearing Calculator'!$C$17*Braking!AD802</f>
        <v>2686.8703863133651</v>
      </c>
      <c r="AG802" s="16">
        <f t="shared" si="54"/>
        <v>-10.093427446706857</v>
      </c>
    </row>
    <row r="803" spans="29:33" x14ac:dyDescent="0.25">
      <c r="AC803" s="16">
        <v>799</v>
      </c>
      <c r="AD803" s="16">
        <f t="shared" si="55"/>
        <v>1791.775582133984</v>
      </c>
      <c r="AE803" s="16">
        <f t="shared" si="53"/>
        <v>34.00826767213691</v>
      </c>
      <c r="AF803" s="16">
        <f>'Gearing Calculator'!$C$17*Braking!AD803</f>
        <v>2687.6633732009759</v>
      </c>
      <c r="AG803" s="16">
        <f t="shared" si="54"/>
        <v>-10.096406360634772</v>
      </c>
    </row>
    <row r="804" spans="29:33" x14ac:dyDescent="0.25">
      <c r="AC804" s="16">
        <v>800</v>
      </c>
      <c r="AD804" s="16">
        <f t="shared" si="55"/>
        <v>1792.3042400590577</v>
      </c>
      <c r="AE804" s="16">
        <f t="shared" si="53"/>
        <v>34.05083121115085</v>
      </c>
      <c r="AF804" s="16">
        <f>'Gearing Calculator'!$C$17*Braking!AD804</f>
        <v>2688.4563600885867</v>
      </c>
      <c r="AG804" s="16">
        <f t="shared" si="54"/>
        <v>-10.099385274562685</v>
      </c>
    </row>
    <row r="805" spans="29:33" x14ac:dyDescent="0.25">
      <c r="AC805" s="16">
        <v>801</v>
      </c>
      <c r="AD805" s="16">
        <f t="shared" si="55"/>
        <v>1792.8328979841317</v>
      </c>
      <c r="AE805" s="16">
        <f t="shared" si="53"/>
        <v>34.093394750164791</v>
      </c>
      <c r="AF805" s="16">
        <f>'Gearing Calculator'!$C$17*Braking!AD805</f>
        <v>2689.2493469761976</v>
      </c>
      <c r="AG805" s="16">
        <f t="shared" si="54"/>
        <v>-10.102364188490601</v>
      </c>
    </row>
    <row r="806" spans="29:33" x14ac:dyDescent="0.25">
      <c r="AC806" s="16">
        <v>802</v>
      </c>
      <c r="AD806" s="16">
        <f t="shared" si="55"/>
        <v>1793.3615559092054</v>
      </c>
      <c r="AE806" s="16">
        <f t="shared" si="53"/>
        <v>34.135958289178731</v>
      </c>
      <c r="AF806" s="16">
        <f>'Gearing Calculator'!$C$17*Braking!AD806</f>
        <v>2690.0423338638084</v>
      </c>
      <c r="AG806" s="16">
        <f t="shared" si="54"/>
        <v>-10.105343102418514</v>
      </c>
    </row>
    <row r="807" spans="29:33" x14ac:dyDescent="0.25">
      <c r="AC807" s="16">
        <v>803</v>
      </c>
      <c r="AD807" s="16">
        <f t="shared" si="55"/>
        <v>1793.8902138342792</v>
      </c>
      <c r="AE807" s="16">
        <f t="shared" si="53"/>
        <v>34.178521828192665</v>
      </c>
      <c r="AF807" s="16">
        <f>'Gearing Calculator'!$C$17*Braking!AD807</f>
        <v>2690.8353207514187</v>
      </c>
      <c r="AG807" s="16">
        <f t="shared" si="54"/>
        <v>-10.108322016346428</v>
      </c>
    </row>
    <row r="808" spans="29:33" x14ac:dyDescent="0.25">
      <c r="AC808" s="16">
        <v>804</v>
      </c>
      <c r="AD808" s="16">
        <f t="shared" si="55"/>
        <v>1794.4188717593531</v>
      </c>
      <c r="AE808" s="16">
        <f t="shared" si="53"/>
        <v>34.221085367206605</v>
      </c>
      <c r="AF808" s="16">
        <f>'Gearing Calculator'!$C$17*Braking!AD808</f>
        <v>2691.6283076390296</v>
      </c>
      <c r="AG808" s="16">
        <f t="shared" si="54"/>
        <v>-10.111300930274341</v>
      </c>
    </row>
    <row r="809" spans="29:33" x14ac:dyDescent="0.25">
      <c r="AC809" s="16">
        <v>805</v>
      </c>
      <c r="AD809" s="16">
        <f t="shared" si="55"/>
        <v>1794.9475296844269</v>
      </c>
      <c r="AE809" s="16">
        <f t="shared" si="53"/>
        <v>34.263648906220546</v>
      </c>
      <c r="AF809" s="16">
        <f>'Gearing Calculator'!$C$17*Braking!AD809</f>
        <v>2692.4212945266404</v>
      </c>
      <c r="AG809" s="16">
        <f t="shared" si="54"/>
        <v>-10.114279844202256</v>
      </c>
    </row>
    <row r="810" spans="29:33" x14ac:dyDescent="0.25">
      <c r="AC810" s="16">
        <v>806</v>
      </c>
      <c r="AD810" s="16">
        <f t="shared" si="55"/>
        <v>1795.4761876095008</v>
      </c>
      <c r="AE810" s="16">
        <f t="shared" si="53"/>
        <v>34.306212445234479</v>
      </c>
      <c r="AF810" s="16">
        <f>'Gearing Calculator'!$C$17*Braking!AD810</f>
        <v>2693.2142814142512</v>
      </c>
      <c r="AG810" s="16">
        <f t="shared" si="54"/>
        <v>-10.11725875813017</v>
      </c>
    </row>
    <row r="811" spans="29:33" x14ac:dyDescent="0.25">
      <c r="AC811" s="16">
        <v>807</v>
      </c>
      <c r="AD811" s="16">
        <f t="shared" si="55"/>
        <v>1796.0048455345745</v>
      </c>
      <c r="AE811" s="16">
        <f t="shared" si="53"/>
        <v>34.348775984248419</v>
      </c>
      <c r="AF811" s="16">
        <f>'Gearing Calculator'!$C$17*Braking!AD811</f>
        <v>2694.0072683018616</v>
      </c>
      <c r="AG811" s="16">
        <f t="shared" si="54"/>
        <v>-10.120237672058083</v>
      </c>
    </row>
    <row r="812" spans="29:33" x14ac:dyDescent="0.25">
      <c r="AC812" s="16">
        <v>808</v>
      </c>
      <c r="AD812" s="16">
        <f t="shared" si="55"/>
        <v>1796.5335034596483</v>
      </c>
      <c r="AE812" s="16">
        <f t="shared" si="53"/>
        <v>34.39133952326236</v>
      </c>
      <c r="AF812" s="16">
        <f>'Gearing Calculator'!$C$17*Braking!AD812</f>
        <v>2694.8002551894724</v>
      </c>
      <c r="AG812" s="16">
        <f t="shared" si="54"/>
        <v>-10.123216585985997</v>
      </c>
    </row>
    <row r="813" spans="29:33" x14ac:dyDescent="0.25">
      <c r="AC813" s="16">
        <v>809</v>
      </c>
      <c r="AD813" s="16">
        <f t="shared" si="55"/>
        <v>1797.0621613847222</v>
      </c>
      <c r="AE813" s="16">
        <f t="shared" si="53"/>
        <v>34.4339030622763</v>
      </c>
      <c r="AF813" s="16">
        <f>'Gearing Calculator'!$C$17*Braking!AD813</f>
        <v>2695.5932420770832</v>
      </c>
      <c r="AG813" s="16">
        <f t="shared" si="54"/>
        <v>-10.126195499913912</v>
      </c>
    </row>
    <row r="814" spans="29:33" x14ac:dyDescent="0.25">
      <c r="AC814" s="16">
        <v>810</v>
      </c>
      <c r="AD814" s="16">
        <f t="shared" si="55"/>
        <v>1797.590819309796</v>
      </c>
      <c r="AE814" s="16">
        <f t="shared" si="53"/>
        <v>34.476466601290234</v>
      </c>
      <c r="AF814" s="16">
        <f>'Gearing Calculator'!$C$17*Braking!AD814</f>
        <v>2696.3862289646941</v>
      </c>
      <c r="AG814" s="16">
        <f t="shared" si="54"/>
        <v>-10.129174413841826</v>
      </c>
    </row>
    <row r="815" spans="29:33" x14ac:dyDescent="0.25">
      <c r="AC815" s="16">
        <v>811</v>
      </c>
      <c r="AD815" s="16">
        <f t="shared" si="55"/>
        <v>1798.1194772348699</v>
      </c>
      <c r="AE815" s="16">
        <f t="shared" si="53"/>
        <v>34.519030140304174</v>
      </c>
      <c r="AF815" s="16">
        <f>'Gearing Calculator'!$C$17*Braking!AD815</f>
        <v>2697.1792158523049</v>
      </c>
      <c r="AG815" s="16">
        <f t="shared" si="54"/>
        <v>-10.132153327769741</v>
      </c>
    </row>
    <row r="816" spans="29:33" x14ac:dyDescent="0.25">
      <c r="AC816" s="16">
        <v>812</v>
      </c>
      <c r="AD816" s="16">
        <f t="shared" si="55"/>
        <v>1798.6481351599436</v>
      </c>
      <c r="AE816" s="16">
        <f t="shared" si="53"/>
        <v>34.561593679318115</v>
      </c>
      <c r="AF816" s="16">
        <f>'Gearing Calculator'!$C$17*Braking!AD816</f>
        <v>2697.9722027399157</v>
      </c>
      <c r="AG816" s="16">
        <f t="shared" si="54"/>
        <v>-10.135132241697654</v>
      </c>
    </row>
    <row r="817" spans="29:33" x14ac:dyDescent="0.25">
      <c r="AC817" s="16">
        <v>813</v>
      </c>
      <c r="AD817" s="16">
        <f t="shared" si="55"/>
        <v>1799.1767930850174</v>
      </c>
      <c r="AE817" s="16">
        <f t="shared" si="53"/>
        <v>34.604157218332055</v>
      </c>
      <c r="AF817" s="16">
        <f>'Gearing Calculator'!$C$17*Braking!AD817</f>
        <v>2698.7651896275261</v>
      </c>
      <c r="AG817" s="16">
        <f t="shared" si="54"/>
        <v>-10.138111155625568</v>
      </c>
    </row>
    <row r="818" spans="29:33" x14ac:dyDescent="0.25">
      <c r="AC818" s="16">
        <v>814</v>
      </c>
      <c r="AD818" s="16">
        <f t="shared" si="55"/>
        <v>1799.7054510100913</v>
      </c>
      <c r="AE818" s="16">
        <f t="shared" si="53"/>
        <v>34.646720757345989</v>
      </c>
      <c r="AF818" s="16">
        <f>'Gearing Calculator'!$C$17*Braking!AD818</f>
        <v>2699.5581765151369</v>
      </c>
      <c r="AG818" s="16">
        <f t="shared" si="54"/>
        <v>-10.141090069553483</v>
      </c>
    </row>
    <row r="819" spans="29:33" x14ac:dyDescent="0.25">
      <c r="AC819" s="16">
        <v>815</v>
      </c>
      <c r="AD819" s="16">
        <f t="shared" si="55"/>
        <v>1800.2341089351651</v>
      </c>
      <c r="AE819" s="16">
        <f t="shared" si="53"/>
        <v>34.689284296359929</v>
      </c>
      <c r="AF819" s="16">
        <f>'Gearing Calculator'!$C$17*Braking!AD819</f>
        <v>2700.3511634027477</v>
      </c>
      <c r="AG819" s="16">
        <f t="shared" si="54"/>
        <v>-10.144068983481397</v>
      </c>
    </row>
    <row r="820" spans="29:33" x14ac:dyDescent="0.25">
      <c r="AC820" s="16">
        <v>816</v>
      </c>
      <c r="AD820" s="16">
        <f t="shared" si="55"/>
        <v>1800.762766860239</v>
      </c>
      <c r="AE820" s="16">
        <f t="shared" si="53"/>
        <v>34.73184783537387</v>
      </c>
      <c r="AF820" s="16">
        <f>'Gearing Calculator'!$C$17*Braking!AD820</f>
        <v>2701.1441502903585</v>
      </c>
      <c r="AG820" s="16">
        <f t="shared" si="54"/>
        <v>-10.147047897409312</v>
      </c>
    </row>
    <row r="821" spans="29:33" x14ac:dyDescent="0.25">
      <c r="AC821" s="16">
        <v>817</v>
      </c>
      <c r="AD821" s="16">
        <f t="shared" si="55"/>
        <v>1801.2914247853128</v>
      </c>
      <c r="AE821" s="16">
        <f t="shared" si="53"/>
        <v>34.77441137438781</v>
      </c>
      <c r="AF821" s="16">
        <f>'Gearing Calculator'!$C$17*Braking!AD821</f>
        <v>2701.9371371779689</v>
      </c>
      <c r="AG821" s="16">
        <f t="shared" si="54"/>
        <v>-10.150026811337224</v>
      </c>
    </row>
    <row r="822" spans="29:33" x14ac:dyDescent="0.25">
      <c r="AC822" s="16">
        <v>818</v>
      </c>
      <c r="AD822" s="16">
        <f t="shared" si="55"/>
        <v>1801.8200827103865</v>
      </c>
      <c r="AE822" s="16">
        <f t="shared" si="53"/>
        <v>34.816974913401744</v>
      </c>
      <c r="AF822" s="16">
        <f>'Gearing Calculator'!$C$17*Braking!AD822</f>
        <v>2702.7301240655797</v>
      </c>
      <c r="AG822" s="16">
        <f t="shared" si="54"/>
        <v>-10.153005725265139</v>
      </c>
    </row>
    <row r="823" spans="29:33" x14ac:dyDescent="0.25">
      <c r="AC823" s="16">
        <v>819</v>
      </c>
      <c r="AD823" s="16">
        <f t="shared" si="55"/>
        <v>1802.3487406354604</v>
      </c>
      <c r="AE823" s="16">
        <f t="shared" si="53"/>
        <v>34.859538452415684</v>
      </c>
      <c r="AF823" s="16">
        <f>'Gearing Calculator'!$C$17*Braking!AD823</f>
        <v>2703.5231109531906</v>
      </c>
      <c r="AG823" s="16">
        <f t="shared" si="54"/>
        <v>-10.155984639193052</v>
      </c>
    </row>
    <row r="824" spans="29:33" x14ac:dyDescent="0.25">
      <c r="AC824" s="16">
        <v>820</v>
      </c>
      <c r="AD824" s="16">
        <f t="shared" si="55"/>
        <v>1802.8773985605342</v>
      </c>
      <c r="AE824" s="16">
        <f t="shared" si="53"/>
        <v>34.902101991429625</v>
      </c>
      <c r="AF824" s="16">
        <f>'Gearing Calculator'!$C$17*Braking!AD824</f>
        <v>2704.3160978408014</v>
      </c>
      <c r="AG824" s="16">
        <f t="shared" si="54"/>
        <v>-10.158963553120968</v>
      </c>
    </row>
    <row r="825" spans="29:33" x14ac:dyDescent="0.25">
      <c r="AC825" s="16">
        <v>821</v>
      </c>
      <c r="AD825" s="16">
        <f t="shared" si="55"/>
        <v>1803.4060564856081</v>
      </c>
      <c r="AE825" s="16">
        <f t="shared" si="53"/>
        <v>34.944665530443558</v>
      </c>
      <c r="AF825" s="16">
        <f>'Gearing Calculator'!$C$17*Braking!AD825</f>
        <v>2705.1090847284122</v>
      </c>
      <c r="AG825" s="16">
        <f t="shared" si="54"/>
        <v>-10.161942467048881</v>
      </c>
    </row>
    <row r="826" spans="29:33" x14ac:dyDescent="0.25">
      <c r="AC826" s="16">
        <v>822</v>
      </c>
      <c r="AD826" s="16">
        <f t="shared" si="55"/>
        <v>1803.9347144106819</v>
      </c>
      <c r="AE826" s="16">
        <f t="shared" si="53"/>
        <v>34.987229069457499</v>
      </c>
      <c r="AF826" s="16">
        <f>'Gearing Calculator'!$C$17*Braking!AD826</f>
        <v>2705.902071616023</v>
      </c>
      <c r="AG826" s="16">
        <f t="shared" si="54"/>
        <v>-10.164921380976796</v>
      </c>
    </row>
    <row r="827" spans="29:33" x14ac:dyDescent="0.25">
      <c r="AC827" s="16">
        <v>823</v>
      </c>
      <c r="AD827" s="16">
        <f t="shared" si="55"/>
        <v>1804.4633723357556</v>
      </c>
      <c r="AE827" s="16">
        <f t="shared" si="53"/>
        <v>35.029792608471439</v>
      </c>
      <c r="AF827" s="16">
        <f>'Gearing Calculator'!$C$17*Braking!AD827</f>
        <v>2706.6950585036334</v>
      </c>
      <c r="AG827" s="16">
        <f t="shared" si="54"/>
        <v>-10.167900294904708</v>
      </c>
    </row>
    <row r="828" spans="29:33" x14ac:dyDescent="0.25">
      <c r="AC828" s="16">
        <v>824</v>
      </c>
      <c r="AD828" s="16">
        <f t="shared" si="55"/>
        <v>1804.9920302608296</v>
      </c>
      <c r="AE828" s="16">
        <f t="shared" si="53"/>
        <v>35.07235614748538</v>
      </c>
      <c r="AF828" s="16">
        <f>'Gearing Calculator'!$C$17*Braking!AD828</f>
        <v>2707.4880453912442</v>
      </c>
      <c r="AG828" s="16">
        <f t="shared" si="54"/>
        <v>-10.170879208832623</v>
      </c>
    </row>
    <row r="829" spans="29:33" x14ac:dyDescent="0.25">
      <c r="AC829" s="16">
        <v>825</v>
      </c>
      <c r="AD829" s="16">
        <f t="shared" si="55"/>
        <v>1805.5206881859033</v>
      </c>
      <c r="AE829" s="16">
        <f t="shared" si="53"/>
        <v>35.114919686499313</v>
      </c>
      <c r="AF829" s="16">
        <f>'Gearing Calculator'!$C$17*Braking!AD829</f>
        <v>2708.281032278855</v>
      </c>
      <c r="AG829" s="16">
        <f t="shared" si="54"/>
        <v>-10.173858122760537</v>
      </c>
    </row>
    <row r="830" spans="29:33" x14ac:dyDescent="0.25">
      <c r="AC830" s="16">
        <v>826</v>
      </c>
      <c r="AD830" s="16">
        <f t="shared" si="55"/>
        <v>1806.0493461109772</v>
      </c>
      <c r="AE830" s="16">
        <f t="shared" si="53"/>
        <v>35.157483225513253</v>
      </c>
      <c r="AF830" s="16">
        <f>'Gearing Calculator'!$C$17*Braking!AD830</f>
        <v>2709.0740191664659</v>
      </c>
      <c r="AG830" s="16">
        <f t="shared" si="54"/>
        <v>-10.176837036688452</v>
      </c>
    </row>
    <row r="831" spans="29:33" x14ac:dyDescent="0.25">
      <c r="AC831" s="16">
        <v>827</v>
      </c>
      <c r="AD831" s="16">
        <f t="shared" si="55"/>
        <v>1806.578004036051</v>
      </c>
      <c r="AE831" s="16">
        <f t="shared" ref="AE831:AE894" si="56">(AC831/$X$104)*100</f>
        <v>35.200046764527194</v>
      </c>
      <c r="AF831" s="16">
        <f>'Gearing Calculator'!$C$17*Braking!AD831</f>
        <v>2709.8670060540762</v>
      </c>
      <c r="AG831" s="16">
        <f t="shared" si="54"/>
        <v>-10.179815950616366</v>
      </c>
    </row>
    <row r="832" spans="29:33" x14ac:dyDescent="0.25">
      <c r="AC832" s="16">
        <v>828</v>
      </c>
      <c r="AD832" s="16">
        <f t="shared" si="55"/>
        <v>1807.1066619611247</v>
      </c>
      <c r="AE832" s="16">
        <f t="shared" si="56"/>
        <v>35.242610303541134</v>
      </c>
      <c r="AF832" s="16">
        <f>'Gearing Calculator'!$C$17*Braking!AD832</f>
        <v>2710.6599929416871</v>
      </c>
      <c r="AG832" s="16">
        <f t="shared" si="54"/>
        <v>-10.182794864544279</v>
      </c>
    </row>
    <row r="833" spans="29:33" x14ac:dyDescent="0.25">
      <c r="AC833" s="16">
        <v>829</v>
      </c>
      <c r="AD833" s="16">
        <f t="shared" si="55"/>
        <v>1807.6353198861987</v>
      </c>
      <c r="AE833" s="16">
        <f t="shared" si="56"/>
        <v>35.285173842555068</v>
      </c>
      <c r="AF833" s="16">
        <f>'Gearing Calculator'!$C$17*Braking!AD833</f>
        <v>2711.4529798292979</v>
      </c>
      <c r="AG833" s="16">
        <f t="shared" si="54"/>
        <v>-10.185773778472194</v>
      </c>
    </row>
    <row r="834" spans="29:33" x14ac:dyDescent="0.25">
      <c r="AC834" s="16">
        <v>830</v>
      </c>
      <c r="AD834" s="16">
        <f t="shared" si="55"/>
        <v>1808.1639778112724</v>
      </c>
      <c r="AE834" s="16">
        <f t="shared" si="56"/>
        <v>35.327737381569008</v>
      </c>
      <c r="AF834" s="16">
        <f>'Gearing Calculator'!$C$17*Braking!AD834</f>
        <v>2712.2459667169087</v>
      </c>
      <c r="AG834" s="16">
        <f t="shared" si="54"/>
        <v>-10.188752692400108</v>
      </c>
    </row>
    <row r="835" spans="29:33" x14ac:dyDescent="0.25">
      <c r="AC835" s="16">
        <v>831</v>
      </c>
      <c r="AD835" s="16">
        <f t="shared" si="55"/>
        <v>1808.6926357363463</v>
      </c>
      <c r="AE835" s="16">
        <f t="shared" si="56"/>
        <v>35.370300920582949</v>
      </c>
      <c r="AF835" s="16">
        <f>'Gearing Calculator'!$C$17*Braking!AD835</f>
        <v>2713.0389536045195</v>
      </c>
      <c r="AG835" s="16">
        <f t="shared" si="54"/>
        <v>-10.191731606328023</v>
      </c>
    </row>
    <row r="836" spans="29:33" x14ac:dyDescent="0.25">
      <c r="AC836" s="16">
        <v>832</v>
      </c>
      <c r="AD836" s="16">
        <f t="shared" si="55"/>
        <v>1809.2212936614201</v>
      </c>
      <c r="AE836" s="16">
        <f t="shared" si="56"/>
        <v>35.412864459596882</v>
      </c>
      <c r="AF836" s="16">
        <f>'Gearing Calculator'!$C$17*Braking!AD836</f>
        <v>2713.8319404921303</v>
      </c>
      <c r="AG836" s="16">
        <f t="shared" si="54"/>
        <v>-10.194710520255937</v>
      </c>
    </row>
    <row r="837" spans="29:33" x14ac:dyDescent="0.25">
      <c r="AC837" s="16">
        <v>833</v>
      </c>
      <c r="AD837" s="16">
        <f t="shared" si="55"/>
        <v>1809.7499515864938</v>
      </c>
      <c r="AE837" s="16">
        <f t="shared" si="56"/>
        <v>35.455427998610823</v>
      </c>
      <c r="AF837" s="16">
        <f>'Gearing Calculator'!$C$17*Braking!AD837</f>
        <v>2714.6249273797407</v>
      </c>
      <c r="AG837" s="16">
        <f t="shared" si="54"/>
        <v>-10.19768943418385</v>
      </c>
    </row>
    <row r="838" spans="29:33" x14ac:dyDescent="0.25">
      <c r="AC838" s="16">
        <v>834</v>
      </c>
      <c r="AD838" s="16">
        <f t="shared" si="55"/>
        <v>1810.2786095115678</v>
      </c>
      <c r="AE838" s="16">
        <f t="shared" si="56"/>
        <v>35.497991537624763</v>
      </c>
      <c r="AF838" s="16">
        <f>'Gearing Calculator'!$C$17*Braking!AD838</f>
        <v>2715.4179142673515</v>
      </c>
      <c r="AG838" s="16">
        <f t="shared" ref="AG838:AG901" si="57">-(AF838/$C$3)</f>
        <v>-10.200668348111764</v>
      </c>
    </row>
    <row r="839" spans="29:33" x14ac:dyDescent="0.25">
      <c r="AC839" s="16">
        <v>835</v>
      </c>
      <c r="AD839" s="16">
        <f t="shared" ref="AD839:AD902" si="58">($C$3*$C$4)*($C$9/$C$8)+(AC839*($C$10/$C$8))</f>
        <v>1810.8072674366415</v>
      </c>
      <c r="AE839" s="16">
        <f t="shared" si="56"/>
        <v>35.540555076638704</v>
      </c>
      <c r="AF839" s="16">
        <f>'Gearing Calculator'!$C$17*Braking!AD839</f>
        <v>2716.2109011549624</v>
      </c>
      <c r="AG839" s="16">
        <f t="shared" si="57"/>
        <v>-10.203647262039679</v>
      </c>
    </row>
    <row r="840" spans="29:33" x14ac:dyDescent="0.25">
      <c r="AC840" s="16">
        <v>836</v>
      </c>
      <c r="AD840" s="16">
        <f t="shared" si="58"/>
        <v>1811.3359253617155</v>
      </c>
      <c r="AE840" s="16">
        <f t="shared" si="56"/>
        <v>35.583118615652637</v>
      </c>
      <c r="AF840" s="16">
        <f>'Gearing Calculator'!$C$17*Braking!AD840</f>
        <v>2717.0038880425732</v>
      </c>
      <c r="AG840" s="16">
        <f t="shared" si="57"/>
        <v>-10.206626175967592</v>
      </c>
    </row>
    <row r="841" spans="29:33" x14ac:dyDescent="0.25">
      <c r="AC841" s="16">
        <v>837</v>
      </c>
      <c r="AD841" s="16">
        <f t="shared" si="58"/>
        <v>1811.8645832867892</v>
      </c>
      <c r="AE841" s="16">
        <f t="shared" si="56"/>
        <v>35.625682154666578</v>
      </c>
      <c r="AF841" s="16">
        <f>'Gearing Calculator'!$C$17*Braking!AD841</f>
        <v>2717.7968749301835</v>
      </c>
      <c r="AG841" s="16">
        <f t="shared" si="57"/>
        <v>-10.209605089895506</v>
      </c>
    </row>
    <row r="842" spans="29:33" x14ac:dyDescent="0.25">
      <c r="AC842" s="16">
        <v>838</v>
      </c>
      <c r="AD842" s="16">
        <f t="shared" si="58"/>
        <v>1812.3932412118629</v>
      </c>
      <c r="AE842" s="16">
        <f t="shared" si="56"/>
        <v>35.668245693680518</v>
      </c>
      <c r="AF842" s="16">
        <f>'Gearing Calculator'!$C$17*Braking!AD842</f>
        <v>2718.5898618177944</v>
      </c>
      <c r="AG842" s="16">
        <f t="shared" si="57"/>
        <v>-10.212584003823419</v>
      </c>
    </row>
    <row r="843" spans="29:33" x14ac:dyDescent="0.25">
      <c r="AC843" s="16">
        <v>839</v>
      </c>
      <c r="AD843" s="16">
        <f t="shared" si="58"/>
        <v>1812.9218991369369</v>
      </c>
      <c r="AE843" s="16">
        <f t="shared" si="56"/>
        <v>35.710809232694459</v>
      </c>
      <c r="AF843" s="16">
        <f>'Gearing Calculator'!$C$17*Braking!AD843</f>
        <v>2719.3828487054052</v>
      </c>
      <c r="AG843" s="16">
        <f t="shared" si="57"/>
        <v>-10.215562917751335</v>
      </c>
    </row>
    <row r="844" spans="29:33" x14ac:dyDescent="0.25">
      <c r="AC844" s="16">
        <v>840</v>
      </c>
      <c r="AD844" s="16">
        <f t="shared" si="58"/>
        <v>1813.4505570620108</v>
      </c>
      <c r="AE844" s="16">
        <f t="shared" si="56"/>
        <v>35.753372771708392</v>
      </c>
      <c r="AF844" s="16">
        <f>'Gearing Calculator'!$C$17*Braking!AD844</f>
        <v>2720.175835593016</v>
      </c>
      <c r="AG844" s="16">
        <f t="shared" si="57"/>
        <v>-10.21854183167925</v>
      </c>
    </row>
    <row r="845" spans="29:33" x14ac:dyDescent="0.25">
      <c r="AC845" s="16">
        <v>841</v>
      </c>
      <c r="AD845" s="16">
        <f t="shared" si="58"/>
        <v>1813.9792149870846</v>
      </c>
      <c r="AE845" s="16">
        <f t="shared" si="56"/>
        <v>35.795936310722333</v>
      </c>
      <c r="AF845" s="16">
        <f>'Gearing Calculator'!$C$17*Braking!AD845</f>
        <v>2720.9688224806268</v>
      </c>
      <c r="AG845" s="16">
        <f t="shared" si="57"/>
        <v>-10.221520745607164</v>
      </c>
    </row>
    <row r="846" spans="29:33" x14ac:dyDescent="0.25">
      <c r="AC846" s="16">
        <v>842</v>
      </c>
      <c r="AD846" s="16">
        <f t="shared" si="58"/>
        <v>1814.5078729121583</v>
      </c>
      <c r="AE846" s="16">
        <f t="shared" si="56"/>
        <v>35.838499849736273</v>
      </c>
      <c r="AF846" s="16">
        <f>'Gearing Calculator'!$C$17*Braking!AD846</f>
        <v>2721.7618093682377</v>
      </c>
      <c r="AG846" s="16">
        <f t="shared" si="57"/>
        <v>-10.224499659535079</v>
      </c>
    </row>
    <row r="847" spans="29:33" x14ac:dyDescent="0.25">
      <c r="AC847" s="16">
        <v>843</v>
      </c>
      <c r="AD847" s="16">
        <f t="shared" si="58"/>
        <v>1815.036530837232</v>
      </c>
      <c r="AE847" s="16">
        <f t="shared" si="56"/>
        <v>35.881063388750214</v>
      </c>
      <c r="AF847" s="16">
        <f>'Gearing Calculator'!$C$17*Braking!AD847</f>
        <v>2722.554796255848</v>
      </c>
      <c r="AG847" s="16">
        <f t="shared" si="57"/>
        <v>-10.22747857346299</v>
      </c>
    </row>
    <row r="848" spans="29:33" x14ac:dyDescent="0.25">
      <c r="AC848" s="16">
        <v>844</v>
      </c>
      <c r="AD848" s="16">
        <f t="shared" si="58"/>
        <v>1815.565188762306</v>
      </c>
      <c r="AE848" s="16">
        <f t="shared" si="56"/>
        <v>35.923626927764147</v>
      </c>
      <c r="AF848" s="16">
        <f>'Gearing Calculator'!$C$17*Braking!AD848</f>
        <v>2723.3477831434589</v>
      </c>
      <c r="AG848" s="16">
        <f t="shared" si="57"/>
        <v>-10.230457487390906</v>
      </c>
    </row>
    <row r="849" spans="29:33" x14ac:dyDescent="0.25">
      <c r="AC849" s="16">
        <v>845</v>
      </c>
      <c r="AD849" s="16">
        <f t="shared" si="58"/>
        <v>1816.0938466873799</v>
      </c>
      <c r="AE849" s="16">
        <f t="shared" si="56"/>
        <v>35.966190466778087</v>
      </c>
      <c r="AF849" s="16">
        <f>'Gearing Calculator'!$C$17*Braking!AD849</f>
        <v>2724.1407700310701</v>
      </c>
      <c r="AG849" s="16">
        <f t="shared" si="57"/>
        <v>-10.233436401318821</v>
      </c>
    </row>
    <row r="850" spans="29:33" x14ac:dyDescent="0.25">
      <c r="AC850" s="16">
        <v>846</v>
      </c>
      <c r="AD850" s="16">
        <f t="shared" si="58"/>
        <v>1816.6225046124537</v>
      </c>
      <c r="AE850" s="16">
        <f t="shared" si="56"/>
        <v>36.008754005792028</v>
      </c>
      <c r="AF850" s="16">
        <f>'Gearing Calculator'!$C$17*Braking!AD850</f>
        <v>2724.9337569186805</v>
      </c>
      <c r="AG850" s="16">
        <f t="shared" si="57"/>
        <v>-10.236415315246735</v>
      </c>
    </row>
    <row r="851" spans="29:33" x14ac:dyDescent="0.25">
      <c r="AC851" s="16">
        <v>847</v>
      </c>
      <c r="AD851" s="16">
        <f t="shared" si="58"/>
        <v>1817.1511625375274</v>
      </c>
      <c r="AE851" s="16">
        <f t="shared" si="56"/>
        <v>36.051317544805961</v>
      </c>
      <c r="AF851" s="16">
        <f>'Gearing Calculator'!$C$17*Braking!AD851</f>
        <v>2725.7267438062909</v>
      </c>
      <c r="AG851" s="16">
        <f t="shared" si="57"/>
        <v>-10.239394229174646</v>
      </c>
    </row>
    <row r="852" spans="29:33" x14ac:dyDescent="0.25">
      <c r="AC852" s="16">
        <v>848</v>
      </c>
      <c r="AD852" s="16">
        <f t="shared" si="58"/>
        <v>1817.6798204626011</v>
      </c>
      <c r="AE852" s="16">
        <f t="shared" si="56"/>
        <v>36.093881083819902</v>
      </c>
      <c r="AF852" s="16">
        <f>'Gearing Calculator'!$C$17*Braking!AD852</f>
        <v>2726.5197306939017</v>
      </c>
      <c r="AG852" s="16">
        <f t="shared" si="57"/>
        <v>-10.242373143102562</v>
      </c>
    </row>
    <row r="853" spans="29:33" x14ac:dyDescent="0.25">
      <c r="AC853" s="16">
        <v>849</v>
      </c>
      <c r="AD853" s="16">
        <f t="shared" si="58"/>
        <v>1818.2084783876751</v>
      </c>
      <c r="AE853" s="16">
        <f t="shared" si="56"/>
        <v>36.136444622833842</v>
      </c>
      <c r="AF853" s="16">
        <f>'Gearing Calculator'!$C$17*Braking!AD853</f>
        <v>2727.3127175815125</v>
      </c>
      <c r="AG853" s="16">
        <f t="shared" si="57"/>
        <v>-10.245352057030475</v>
      </c>
    </row>
    <row r="854" spans="29:33" x14ac:dyDescent="0.25">
      <c r="AC854" s="16">
        <v>850</v>
      </c>
      <c r="AD854" s="16">
        <f t="shared" si="58"/>
        <v>1818.737136312749</v>
      </c>
      <c r="AE854" s="16">
        <f t="shared" si="56"/>
        <v>36.179008161847783</v>
      </c>
      <c r="AF854" s="16">
        <f>'Gearing Calculator'!$C$17*Braking!AD854</f>
        <v>2728.1057044691233</v>
      </c>
      <c r="AG854" s="16">
        <f t="shared" si="57"/>
        <v>-10.24833097095839</v>
      </c>
    </row>
    <row r="855" spans="29:33" x14ac:dyDescent="0.25">
      <c r="AC855" s="16">
        <v>851</v>
      </c>
      <c r="AD855" s="16">
        <f t="shared" si="58"/>
        <v>1819.2657942378228</v>
      </c>
      <c r="AE855" s="16">
        <f t="shared" si="56"/>
        <v>36.221571700861716</v>
      </c>
      <c r="AF855" s="16">
        <f>'Gearing Calculator'!$C$17*Braking!AD855</f>
        <v>2728.8986913567342</v>
      </c>
      <c r="AG855" s="16">
        <f t="shared" si="57"/>
        <v>-10.251309884886304</v>
      </c>
    </row>
    <row r="856" spans="29:33" x14ac:dyDescent="0.25">
      <c r="AC856" s="16">
        <v>852</v>
      </c>
      <c r="AD856" s="16">
        <f t="shared" si="58"/>
        <v>1819.7944521628965</v>
      </c>
      <c r="AE856" s="16">
        <f t="shared" si="56"/>
        <v>36.264135239875657</v>
      </c>
      <c r="AF856" s="16">
        <f>'Gearing Calculator'!$C$17*Braking!AD856</f>
        <v>2729.691678244345</v>
      </c>
      <c r="AG856" s="16">
        <f t="shared" si="57"/>
        <v>-10.254288798814219</v>
      </c>
    </row>
    <row r="857" spans="29:33" x14ac:dyDescent="0.25">
      <c r="AC857" s="16">
        <v>853</v>
      </c>
      <c r="AD857" s="16">
        <f t="shared" si="58"/>
        <v>1820.3231100879702</v>
      </c>
      <c r="AE857" s="16">
        <f t="shared" si="56"/>
        <v>36.306698778889597</v>
      </c>
      <c r="AF857" s="16">
        <f>'Gearing Calculator'!$C$17*Braking!AD857</f>
        <v>2730.4846651319554</v>
      </c>
      <c r="AG857" s="16">
        <f t="shared" si="57"/>
        <v>-10.257267712742133</v>
      </c>
    </row>
    <row r="858" spans="29:33" x14ac:dyDescent="0.25">
      <c r="AC858" s="16">
        <v>854</v>
      </c>
      <c r="AD858" s="16">
        <f t="shared" si="58"/>
        <v>1820.8517680130442</v>
      </c>
      <c r="AE858" s="16">
        <f t="shared" si="56"/>
        <v>36.349262317903538</v>
      </c>
      <c r="AF858" s="16">
        <f>'Gearing Calculator'!$C$17*Braking!AD858</f>
        <v>2731.2776520195662</v>
      </c>
      <c r="AG858" s="16">
        <f t="shared" si="57"/>
        <v>-10.260246626670046</v>
      </c>
    </row>
    <row r="859" spans="29:33" x14ac:dyDescent="0.25">
      <c r="AC859" s="16">
        <v>855</v>
      </c>
      <c r="AD859" s="16">
        <f t="shared" si="58"/>
        <v>1821.3804259381182</v>
      </c>
      <c r="AE859" s="16">
        <f t="shared" si="56"/>
        <v>36.391825856917471</v>
      </c>
      <c r="AF859" s="16">
        <f>'Gearing Calculator'!$C$17*Braking!AD859</f>
        <v>2732.0706389071775</v>
      </c>
      <c r="AG859" s="16">
        <f t="shared" si="57"/>
        <v>-10.263225540597963</v>
      </c>
    </row>
    <row r="860" spans="29:33" x14ac:dyDescent="0.25">
      <c r="AC860" s="16">
        <v>856</v>
      </c>
      <c r="AD860" s="16">
        <f t="shared" si="58"/>
        <v>1821.9090838631919</v>
      </c>
      <c r="AE860" s="16">
        <f t="shared" si="56"/>
        <v>36.434389395931412</v>
      </c>
      <c r="AF860" s="16">
        <f>'Gearing Calculator'!$C$17*Braking!AD860</f>
        <v>2732.8636257947878</v>
      </c>
      <c r="AG860" s="16">
        <f t="shared" si="57"/>
        <v>-10.266204454525875</v>
      </c>
    </row>
    <row r="861" spans="29:33" x14ac:dyDescent="0.25">
      <c r="AC861" s="16">
        <v>857</v>
      </c>
      <c r="AD861" s="16">
        <f t="shared" si="58"/>
        <v>1822.4377417882656</v>
      </c>
      <c r="AE861" s="16">
        <f t="shared" si="56"/>
        <v>36.476952934945352</v>
      </c>
      <c r="AF861" s="16">
        <f>'Gearing Calculator'!$C$17*Braking!AD861</f>
        <v>2733.6566126823982</v>
      </c>
      <c r="AG861" s="16">
        <f t="shared" si="57"/>
        <v>-10.269183368453788</v>
      </c>
    </row>
    <row r="862" spans="29:33" x14ac:dyDescent="0.25">
      <c r="AC862" s="16">
        <v>858</v>
      </c>
      <c r="AD862" s="16">
        <f t="shared" si="58"/>
        <v>1822.9663997133396</v>
      </c>
      <c r="AE862" s="16">
        <f t="shared" si="56"/>
        <v>36.519516473959285</v>
      </c>
      <c r="AF862" s="16">
        <f>'Gearing Calculator'!$C$17*Braking!AD862</f>
        <v>2734.4495995700095</v>
      </c>
      <c r="AG862" s="16">
        <f t="shared" si="57"/>
        <v>-10.272162282381704</v>
      </c>
    </row>
    <row r="863" spans="29:33" x14ac:dyDescent="0.25">
      <c r="AC863" s="16">
        <v>859</v>
      </c>
      <c r="AD863" s="16">
        <f t="shared" si="58"/>
        <v>1823.4950576384133</v>
      </c>
      <c r="AE863" s="16">
        <f t="shared" si="56"/>
        <v>36.562080012973226</v>
      </c>
      <c r="AF863" s="16">
        <f>'Gearing Calculator'!$C$17*Braking!AD863</f>
        <v>2735.2425864576198</v>
      </c>
      <c r="AG863" s="16">
        <f t="shared" si="57"/>
        <v>-10.275141196309617</v>
      </c>
    </row>
    <row r="864" spans="29:33" x14ac:dyDescent="0.25">
      <c r="AC864" s="16">
        <v>860</v>
      </c>
      <c r="AD864" s="16">
        <f t="shared" si="58"/>
        <v>1824.0237155634873</v>
      </c>
      <c r="AE864" s="16">
        <f t="shared" si="56"/>
        <v>36.604643551987166</v>
      </c>
      <c r="AF864" s="16">
        <f>'Gearing Calculator'!$C$17*Braking!AD864</f>
        <v>2736.0355733452307</v>
      </c>
      <c r="AG864" s="16">
        <f t="shared" si="57"/>
        <v>-10.278120110237531</v>
      </c>
    </row>
    <row r="865" spans="29:33" x14ac:dyDescent="0.25">
      <c r="AC865" s="16">
        <v>861</v>
      </c>
      <c r="AD865" s="16">
        <f t="shared" si="58"/>
        <v>1824.552373488561</v>
      </c>
      <c r="AE865" s="16">
        <f t="shared" si="56"/>
        <v>36.647207091001107</v>
      </c>
      <c r="AF865" s="16">
        <f>'Gearing Calculator'!$C$17*Braking!AD865</f>
        <v>2736.8285602328415</v>
      </c>
      <c r="AG865" s="16">
        <f t="shared" si="57"/>
        <v>-10.281099024165446</v>
      </c>
    </row>
    <row r="866" spans="29:33" x14ac:dyDescent="0.25">
      <c r="AC866" s="16">
        <v>862</v>
      </c>
      <c r="AD866" s="16">
        <f t="shared" si="58"/>
        <v>1825.0810314136347</v>
      </c>
      <c r="AE866" s="16">
        <f t="shared" si="56"/>
        <v>36.68977063001504</v>
      </c>
      <c r="AF866" s="16">
        <f>'Gearing Calculator'!$C$17*Braking!AD866</f>
        <v>2737.6215471204523</v>
      </c>
      <c r="AG866" s="16">
        <f t="shared" si="57"/>
        <v>-10.284077938093359</v>
      </c>
    </row>
    <row r="867" spans="29:33" x14ac:dyDescent="0.25">
      <c r="AC867" s="16">
        <v>863</v>
      </c>
      <c r="AD867" s="16">
        <f t="shared" si="58"/>
        <v>1825.6096893387087</v>
      </c>
      <c r="AE867" s="16">
        <f t="shared" si="56"/>
        <v>36.732334169028981</v>
      </c>
      <c r="AF867" s="16">
        <f>'Gearing Calculator'!$C$17*Braking!AD867</f>
        <v>2738.4145340080631</v>
      </c>
      <c r="AG867" s="16">
        <f t="shared" si="57"/>
        <v>-10.287056852021275</v>
      </c>
    </row>
    <row r="868" spans="29:33" x14ac:dyDescent="0.25">
      <c r="AC868" s="16">
        <v>864</v>
      </c>
      <c r="AD868" s="16">
        <f t="shared" si="58"/>
        <v>1826.1383472637824</v>
      </c>
      <c r="AE868" s="16">
        <f t="shared" si="56"/>
        <v>36.774897708042921</v>
      </c>
      <c r="AF868" s="16">
        <f>'Gearing Calculator'!$C$17*Braking!AD868</f>
        <v>2739.2075208956735</v>
      </c>
      <c r="AG868" s="16">
        <f t="shared" si="57"/>
        <v>-10.290035765949186</v>
      </c>
    </row>
    <row r="869" spans="29:33" x14ac:dyDescent="0.25">
      <c r="AC869" s="16">
        <v>865</v>
      </c>
      <c r="AD869" s="16">
        <f t="shared" si="58"/>
        <v>1826.6670051888564</v>
      </c>
      <c r="AE869" s="16">
        <f t="shared" si="56"/>
        <v>36.817461247056862</v>
      </c>
      <c r="AF869" s="16">
        <f>'Gearing Calculator'!$C$17*Braking!AD869</f>
        <v>2740.0005077832848</v>
      </c>
      <c r="AG869" s="16">
        <f t="shared" si="57"/>
        <v>-10.293014679877103</v>
      </c>
    </row>
    <row r="870" spans="29:33" x14ac:dyDescent="0.25">
      <c r="AC870" s="16">
        <v>866</v>
      </c>
      <c r="AD870" s="16">
        <f t="shared" si="58"/>
        <v>1827.1956631139301</v>
      </c>
      <c r="AE870" s="16">
        <f t="shared" si="56"/>
        <v>36.860024786070795</v>
      </c>
      <c r="AF870" s="16">
        <f>'Gearing Calculator'!$C$17*Braking!AD870</f>
        <v>2740.7934946708951</v>
      </c>
      <c r="AG870" s="16">
        <f t="shared" si="57"/>
        <v>-10.295993593805017</v>
      </c>
    </row>
    <row r="871" spans="29:33" x14ac:dyDescent="0.25">
      <c r="AC871" s="16">
        <v>867</v>
      </c>
      <c r="AD871" s="16">
        <f t="shared" si="58"/>
        <v>1827.7243210390038</v>
      </c>
      <c r="AE871" s="16">
        <f t="shared" si="56"/>
        <v>36.902588325084736</v>
      </c>
      <c r="AF871" s="16">
        <f>'Gearing Calculator'!$C$17*Braking!AD871</f>
        <v>2741.5864815585055</v>
      </c>
      <c r="AG871" s="16">
        <f t="shared" si="57"/>
        <v>-10.298972507732929</v>
      </c>
    </row>
    <row r="872" spans="29:33" x14ac:dyDescent="0.25">
      <c r="AC872" s="16">
        <v>868</v>
      </c>
      <c r="AD872" s="16">
        <f t="shared" si="58"/>
        <v>1828.2529789640778</v>
      </c>
      <c r="AE872" s="16">
        <f t="shared" si="56"/>
        <v>36.945151864098676</v>
      </c>
      <c r="AF872" s="16">
        <f>'Gearing Calculator'!$C$17*Braking!AD872</f>
        <v>2742.3794684461168</v>
      </c>
      <c r="AG872" s="16">
        <f t="shared" si="57"/>
        <v>-10.301951421660846</v>
      </c>
    </row>
    <row r="873" spans="29:33" x14ac:dyDescent="0.25">
      <c r="AC873" s="16">
        <v>869</v>
      </c>
      <c r="AD873" s="16">
        <f t="shared" si="58"/>
        <v>1828.7816368891515</v>
      </c>
      <c r="AE873" s="16">
        <f t="shared" si="56"/>
        <v>36.987715403112617</v>
      </c>
      <c r="AF873" s="16">
        <f>'Gearing Calculator'!$C$17*Braking!AD873</f>
        <v>2743.1724553337272</v>
      </c>
      <c r="AG873" s="16">
        <f t="shared" si="57"/>
        <v>-10.304930335588757</v>
      </c>
    </row>
    <row r="874" spans="29:33" x14ac:dyDescent="0.25">
      <c r="AC874" s="16">
        <v>870</v>
      </c>
      <c r="AD874" s="16">
        <f t="shared" si="58"/>
        <v>1829.3102948142255</v>
      </c>
      <c r="AE874" s="16">
        <f t="shared" si="56"/>
        <v>37.03027894212655</v>
      </c>
      <c r="AF874" s="16">
        <f>'Gearing Calculator'!$C$17*Braking!AD874</f>
        <v>2743.965442221338</v>
      </c>
      <c r="AG874" s="16">
        <f t="shared" si="57"/>
        <v>-10.307909249516673</v>
      </c>
    </row>
    <row r="875" spans="29:33" x14ac:dyDescent="0.25">
      <c r="AC875" s="16">
        <v>871</v>
      </c>
      <c r="AD875" s="16">
        <f t="shared" si="58"/>
        <v>1829.8389527392992</v>
      </c>
      <c r="AE875" s="16">
        <f t="shared" si="56"/>
        <v>37.072842481140491</v>
      </c>
      <c r="AF875" s="16">
        <f>'Gearing Calculator'!$C$17*Braking!AD875</f>
        <v>2744.7584291089488</v>
      </c>
      <c r="AG875" s="16">
        <f t="shared" si="57"/>
        <v>-10.310888163444586</v>
      </c>
    </row>
    <row r="876" spans="29:33" x14ac:dyDescent="0.25">
      <c r="AC876" s="16">
        <v>872</v>
      </c>
      <c r="AD876" s="16">
        <f t="shared" si="58"/>
        <v>1830.3676106643729</v>
      </c>
      <c r="AE876" s="16">
        <f t="shared" si="56"/>
        <v>37.115406020154431</v>
      </c>
      <c r="AF876" s="16">
        <f>'Gearing Calculator'!$C$17*Braking!AD876</f>
        <v>2745.5514159965596</v>
      </c>
      <c r="AG876" s="16">
        <f t="shared" si="57"/>
        <v>-10.313867077372501</v>
      </c>
    </row>
    <row r="877" spans="29:33" x14ac:dyDescent="0.25">
      <c r="AC877" s="16">
        <v>873</v>
      </c>
      <c r="AD877" s="16">
        <f t="shared" si="58"/>
        <v>1830.8962685894469</v>
      </c>
      <c r="AE877" s="16">
        <f t="shared" si="56"/>
        <v>37.157969559168365</v>
      </c>
      <c r="AF877" s="16">
        <f>'Gearing Calculator'!$C$17*Braking!AD877</f>
        <v>2746.3444028841704</v>
      </c>
      <c r="AG877" s="16">
        <f t="shared" si="57"/>
        <v>-10.316845991300415</v>
      </c>
    </row>
    <row r="878" spans="29:33" x14ac:dyDescent="0.25">
      <c r="AC878" s="16">
        <v>874</v>
      </c>
      <c r="AD878" s="16">
        <f t="shared" si="58"/>
        <v>1831.4249265145206</v>
      </c>
      <c r="AE878" s="16">
        <f t="shared" si="56"/>
        <v>37.200533098182305</v>
      </c>
      <c r="AF878" s="16">
        <f>'Gearing Calculator'!$C$17*Braking!AD878</f>
        <v>2747.1373897717808</v>
      </c>
      <c r="AG878" s="16">
        <f t="shared" si="57"/>
        <v>-10.319824905228328</v>
      </c>
    </row>
    <row r="879" spans="29:33" x14ac:dyDescent="0.25">
      <c r="AC879" s="16">
        <v>875</v>
      </c>
      <c r="AD879" s="16">
        <f t="shared" si="58"/>
        <v>1831.9535844395946</v>
      </c>
      <c r="AE879" s="16">
        <f t="shared" si="56"/>
        <v>37.243096637196246</v>
      </c>
      <c r="AF879" s="16">
        <f>'Gearing Calculator'!$C$17*Braking!AD879</f>
        <v>2747.9303766593921</v>
      </c>
      <c r="AG879" s="16">
        <f t="shared" si="57"/>
        <v>-10.322803819156244</v>
      </c>
    </row>
    <row r="880" spans="29:33" x14ac:dyDescent="0.25">
      <c r="AC880" s="16">
        <v>876</v>
      </c>
      <c r="AD880" s="16">
        <f t="shared" si="58"/>
        <v>1832.4822423646683</v>
      </c>
      <c r="AE880" s="16">
        <f t="shared" si="56"/>
        <v>37.285660176210186</v>
      </c>
      <c r="AF880" s="16">
        <f>'Gearing Calculator'!$C$17*Braking!AD880</f>
        <v>2748.7233635470025</v>
      </c>
      <c r="AG880" s="16">
        <f t="shared" si="57"/>
        <v>-10.325782733084157</v>
      </c>
    </row>
    <row r="881" spans="29:33" x14ac:dyDescent="0.25">
      <c r="AC881" s="16">
        <v>877</v>
      </c>
      <c r="AD881" s="16">
        <f t="shared" si="58"/>
        <v>1833.010900289742</v>
      </c>
      <c r="AE881" s="16">
        <f t="shared" si="56"/>
        <v>37.328223715224119</v>
      </c>
      <c r="AF881" s="16">
        <f>'Gearing Calculator'!$C$17*Braking!AD881</f>
        <v>2749.5163504346128</v>
      </c>
      <c r="AG881" s="16">
        <f t="shared" si="57"/>
        <v>-10.328761647012069</v>
      </c>
    </row>
    <row r="882" spans="29:33" x14ac:dyDescent="0.25">
      <c r="AC882" s="16">
        <v>878</v>
      </c>
      <c r="AD882" s="16">
        <f t="shared" si="58"/>
        <v>1833.539558214816</v>
      </c>
      <c r="AE882" s="16">
        <f t="shared" si="56"/>
        <v>37.37078725423806</v>
      </c>
      <c r="AF882" s="16">
        <f>'Gearing Calculator'!$C$17*Braking!AD882</f>
        <v>2750.3093373222241</v>
      </c>
      <c r="AG882" s="16">
        <f t="shared" si="57"/>
        <v>-10.331740560939986</v>
      </c>
    </row>
    <row r="883" spans="29:33" x14ac:dyDescent="0.25">
      <c r="AC883" s="16">
        <v>879</v>
      </c>
      <c r="AD883" s="16">
        <f t="shared" si="58"/>
        <v>1834.0682161398897</v>
      </c>
      <c r="AE883" s="16">
        <f t="shared" si="56"/>
        <v>37.413350793252</v>
      </c>
      <c r="AF883" s="16">
        <f>'Gearing Calculator'!$C$17*Braking!AD883</f>
        <v>2751.1023242098345</v>
      </c>
      <c r="AG883" s="16">
        <f t="shared" si="57"/>
        <v>-10.334719474867899</v>
      </c>
    </row>
    <row r="884" spans="29:33" x14ac:dyDescent="0.25">
      <c r="AC884" s="16">
        <v>880</v>
      </c>
      <c r="AD884" s="16">
        <f t="shared" si="58"/>
        <v>1834.5968740649637</v>
      </c>
      <c r="AE884" s="16">
        <f t="shared" si="56"/>
        <v>37.455914332265941</v>
      </c>
      <c r="AF884" s="16">
        <f>'Gearing Calculator'!$C$17*Braking!AD884</f>
        <v>2751.8953110974453</v>
      </c>
      <c r="AG884" s="16">
        <f t="shared" si="57"/>
        <v>-10.337698388795813</v>
      </c>
    </row>
    <row r="885" spans="29:33" x14ac:dyDescent="0.25">
      <c r="AC885" s="16">
        <v>881</v>
      </c>
      <c r="AD885" s="16">
        <f t="shared" si="58"/>
        <v>1835.1255319900374</v>
      </c>
      <c r="AE885" s="16">
        <f t="shared" si="56"/>
        <v>37.498477871279874</v>
      </c>
      <c r="AF885" s="16">
        <f>'Gearing Calculator'!$C$17*Braking!AD885</f>
        <v>2752.6882979850561</v>
      </c>
      <c r="AG885" s="16">
        <f t="shared" si="57"/>
        <v>-10.340677302723728</v>
      </c>
    </row>
    <row r="886" spans="29:33" x14ac:dyDescent="0.25">
      <c r="AC886" s="16">
        <v>882</v>
      </c>
      <c r="AD886" s="16">
        <f t="shared" si="58"/>
        <v>1835.6541899151111</v>
      </c>
      <c r="AE886" s="16">
        <f t="shared" si="56"/>
        <v>37.541041410293815</v>
      </c>
      <c r="AF886" s="16">
        <f>'Gearing Calculator'!$C$17*Braking!AD886</f>
        <v>2753.4812848726669</v>
      </c>
      <c r="AG886" s="16">
        <f t="shared" si="57"/>
        <v>-10.343656216651642</v>
      </c>
    </row>
    <row r="887" spans="29:33" x14ac:dyDescent="0.25">
      <c r="AC887" s="16">
        <v>883</v>
      </c>
      <c r="AD887" s="16">
        <f t="shared" si="58"/>
        <v>1836.1828478401851</v>
      </c>
      <c r="AE887" s="16">
        <f t="shared" si="56"/>
        <v>37.583604949307755</v>
      </c>
      <c r="AF887" s="16">
        <f>'Gearing Calculator'!$C$17*Braking!AD887</f>
        <v>2754.2742717602778</v>
      </c>
      <c r="AG887" s="16">
        <f t="shared" si="57"/>
        <v>-10.346635130579557</v>
      </c>
    </row>
    <row r="888" spans="29:33" x14ac:dyDescent="0.25">
      <c r="AC888" s="16">
        <v>884</v>
      </c>
      <c r="AD888" s="16">
        <f t="shared" si="58"/>
        <v>1836.7115057652588</v>
      </c>
      <c r="AE888" s="16">
        <f t="shared" si="56"/>
        <v>37.626168488321696</v>
      </c>
      <c r="AF888" s="16">
        <f>'Gearing Calculator'!$C$17*Braking!AD888</f>
        <v>2755.0672586478881</v>
      </c>
      <c r="AG888" s="16">
        <f t="shared" si="57"/>
        <v>-10.349614044507469</v>
      </c>
    </row>
    <row r="889" spans="29:33" x14ac:dyDescent="0.25">
      <c r="AC889" s="16">
        <v>885</v>
      </c>
      <c r="AD889" s="16">
        <f t="shared" si="58"/>
        <v>1837.2401636903328</v>
      </c>
      <c r="AE889" s="16">
        <f t="shared" si="56"/>
        <v>37.668732027335629</v>
      </c>
      <c r="AF889" s="16">
        <f>'Gearing Calculator'!$C$17*Braking!AD889</f>
        <v>2755.8602455354994</v>
      </c>
      <c r="AG889" s="16">
        <f t="shared" si="57"/>
        <v>-10.352592958435386</v>
      </c>
    </row>
    <row r="890" spans="29:33" x14ac:dyDescent="0.25">
      <c r="AC890" s="16">
        <v>886</v>
      </c>
      <c r="AD890" s="16">
        <f t="shared" si="58"/>
        <v>1837.7688216154065</v>
      </c>
      <c r="AE890" s="16">
        <f t="shared" si="56"/>
        <v>37.71129556634957</v>
      </c>
      <c r="AF890" s="16">
        <f>'Gearing Calculator'!$C$17*Braking!AD890</f>
        <v>2756.6532324231098</v>
      </c>
      <c r="AG890" s="16">
        <f t="shared" si="57"/>
        <v>-10.355571872363297</v>
      </c>
    </row>
    <row r="891" spans="29:33" x14ac:dyDescent="0.25">
      <c r="AC891" s="16">
        <v>887</v>
      </c>
      <c r="AD891" s="16">
        <f t="shared" si="58"/>
        <v>1838.2974795404803</v>
      </c>
      <c r="AE891" s="16">
        <f t="shared" si="56"/>
        <v>37.75385910536351</v>
      </c>
      <c r="AF891" s="16">
        <f>'Gearing Calculator'!$C$17*Braking!AD891</f>
        <v>2757.4462193107202</v>
      </c>
      <c r="AG891" s="16">
        <f t="shared" si="57"/>
        <v>-10.358550786291211</v>
      </c>
    </row>
    <row r="892" spans="29:33" x14ac:dyDescent="0.25">
      <c r="AC892" s="16">
        <v>888</v>
      </c>
      <c r="AD892" s="16">
        <f t="shared" si="58"/>
        <v>1838.8261374655542</v>
      </c>
      <c r="AE892" s="16">
        <f t="shared" si="56"/>
        <v>37.796422644377444</v>
      </c>
      <c r="AF892" s="16">
        <f>'Gearing Calculator'!$C$17*Braking!AD892</f>
        <v>2758.2392061983314</v>
      </c>
      <c r="AG892" s="16">
        <f t="shared" si="57"/>
        <v>-10.361529700219126</v>
      </c>
    </row>
    <row r="893" spans="29:33" x14ac:dyDescent="0.25">
      <c r="AC893" s="16">
        <v>889</v>
      </c>
      <c r="AD893" s="16">
        <f t="shared" si="58"/>
        <v>1839.3547953906279</v>
      </c>
      <c r="AE893" s="16">
        <f t="shared" si="56"/>
        <v>37.838986183391384</v>
      </c>
      <c r="AF893" s="16">
        <f>'Gearing Calculator'!$C$17*Braking!AD893</f>
        <v>2759.0321930859418</v>
      </c>
      <c r="AG893" s="16">
        <f t="shared" si="57"/>
        <v>-10.36450861414704</v>
      </c>
    </row>
    <row r="894" spans="29:33" x14ac:dyDescent="0.25">
      <c r="AC894" s="16">
        <v>890</v>
      </c>
      <c r="AD894" s="16">
        <f t="shared" si="58"/>
        <v>1839.8834533157019</v>
      </c>
      <c r="AE894" s="16">
        <f t="shared" si="56"/>
        <v>37.881549722405325</v>
      </c>
      <c r="AF894" s="16">
        <f>'Gearing Calculator'!$C$17*Braking!AD894</f>
        <v>2759.8251799735526</v>
      </c>
      <c r="AG894" s="16">
        <f t="shared" si="57"/>
        <v>-10.367487528074953</v>
      </c>
    </row>
    <row r="895" spans="29:33" x14ac:dyDescent="0.25">
      <c r="AC895" s="16">
        <v>891</v>
      </c>
      <c r="AD895" s="16">
        <f t="shared" si="58"/>
        <v>1840.4121112407756</v>
      </c>
      <c r="AE895" s="16">
        <f t="shared" ref="AE895:AE958" si="59">(AC895/$X$104)*100</f>
        <v>37.924113261419265</v>
      </c>
      <c r="AF895" s="16">
        <f>'Gearing Calculator'!$C$17*Braking!AD895</f>
        <v>2760.6181668611634</v>
      </c>
      <c r="AG895" s="16">
        <f t="shared" si="57"/>
        <v>-10.370466442002868</v>
      </c>
    </row>
    <row r="896" spans="29:33" x14ac:dyDescent="0.25">
      <c r="AC896" s="16">
        <v>892</v>
      </c>
      <c r="AD896" s="16">
        <f t="shared" si="58"/>
        <v>1840.9407691658494</v>
      </c>
      <c r="AE896" s="16">
        <f t="shared" si="59"/>
        <v>37.966676800433198</v>
      </c>
      <c r="AF896" s="16">
        <f>'Gearing Calculator'!$C$17*Braking!AD896</f>
        <v>2761.4111537487743</v>
      </c>
      <c r="AG896" s="16">
        <f t="shared" si="57"/>
        <v>-10.373445355930782</v>
      </c>
    </row>
    <row r="897" spans="29:33" x14ac:dyDescent="0.25">
      <c r="AC897" s="16">
        <v>893</v>
      </c>
      <c r="AD897" s="16">
        <f t="shared" si="58"/>
        <v>1841.4694270909233</v>
      </c>
      <c r="AE897" s="16">
        <f t="shared" si="59"/>
        <v>38.009240339447139</v>
      </c>
      <c r="AF897" s="16">
        <f>'Gearing Calculator'!$C$17*Braking!AD897</f>
        <v>2762.2041406363851</v>
      </c>
      <c r="AG897" s="16">
        <f t="shared" si="57"/>
        <v>-10.376424269858697</v>
      </c>
    </row>
    <row r="898" spans="29:33" x14ac:dyDescent="0.25">
      <c r="AC898" s="16">
        <v>894</v>
      </c>
      <c r="AD898" s="16">
        <f t="shared" si="58"/>
        <v>1841.998085015997</v>
      </c>
      <c r="AE898" s="16">
        <f t="shared" si="59"/>
        <v>38.051803878461079</v>
      </c>
      <c r="AF898" s="16">
        <f>'Gearing Calculator'!$C$17*Braking!AD898</f>
        <v>2762.9971275239955</v>
      </c>
      <c r="AG898" s="16">
        <f t="shared" si="57"/>
        <v>-10.379403183786611</v>
      </c>
    </row>
    <row r="899" spans="29:33" x14ac:dyDescent="0.25">
      <c r="AC899" s="16">
        <v>895</v>
      </c>
      <c r="AD899" s="16">
        <f t="shared" si="58"/>
        <v>1842.526742941071</v>
      </c>
      <c r="AE899" s="16">
        <f t="shared" si="59"/>
        <v>38.09436741747502</v>
      </c>
      <c r="AF899" s="16">
        <f>'Gearing Calculator'!$C$17*Braking!AD899</f>
        <v>2763.7901144116067</v>
      </c>
      <c r="AG899" s="16">
        <f t="shared" si="57"/>
        <v>-10.382382097714526</v>
      </c>
    </row>
    <row r="900" spans="29:33" x14ac:dyDescent="0.25">
      <c r="AC900" s="16">
        <v>896</v>
      </c>
      <c r="AD900" s="16">
        <f t="shared" si="58"/>
        <v>1843.0554008661447</v>
      </c>
      <c r="AE900" s="16">
        <f t="shared" si="59"/>
        <v>38.136930956488953</v>
      </c>
      <c r="AF900" s="16">
        <f>'Gearing Calculator'!$C$17*Braking!AD900</f>
        <v>2764.5831012992171</v>
      </c>
      <c r="AG900" s="16">
        <f t="shared" si="57"/>
        <v>-10.38536101164244</v>
      </c>
    </row>
    <row r="901" spans="29:33" x14ac:dyDescent="0.25">
      <c r="AC901" s="16">
        <v>897</v>
      </c>
      <c r="AD901" s="16">
        <f t="shared" si="58"/>
        <v>1843.5840587912185</v>
      </c>
      <c r="AE901" s="16">
        <f t="shared" si="59"/>
        <v>38.179494495502894</v>
      </c>
      <c r="AF901" s="16">
        <f>'Gearing Calculator'!$C$17*Braking!AD901</f>
        <v>2765.3760881868275</v>
      </c>
      <c r="AG901" s="16">
        <f t="shared" si="57"/>
        <v>-10.388339925570351</v>
      </c>
    </row>
    <row r="902" spans="29:33" x14ac:dyDescent="0.25">
      <c r="AC902" s="16">
        <v>898</v>
      </c>
      <c r="AD902" s="16">
        <f t="shared" si="58"/>
        <v>1844.1127167162924</v>
      </c>
      <c r="AE902" s="16">
        <f t="shared" si="59"/>
        <v>38.222058034516834</v>
      </c>
      <c r="AF902" s="16">
        <f>'Gearing Calculator'!$C$17*Braking!AD902</f>
        <v>2766.1690750744388</v>
      </c>
      <c r="AG902" s="16">
        <f t="shared" ref="AG902:AG965" si="60">-(AF902/$C$3)</f>
        <v>-10.391318839498268</v>
      </c>
    </row>
    <row r="903" spans="29:33" x14ac:dyDescent="0.25">
      <c r="AC903" s="16">
        <v>899</v>
      </c>
      <c r="AD903" s="16">
        <f t="shared" ref="AD903:AD966" si="61">($C$3*$C$4)*($C$9/$C$8)+(AC903*($C$10/$C$8))</f>
        <v>1844.6413746413662</v>
      </c>
      <c r="AE903" s="16">
        <f t="shared" si="59"/>
        <v>38.264621573530768</v>
      </c>
      <c r="AF903" s="16">
        <f>'Gearing Calculator'!$C$17*Braking!AD903</f>
        <v>2766.9620619620491</v>
      </c>
      <c r="AG903" s="16">
        <f t="shared" si="60"/>
        <v>-10.39429775342618</v>
      </c>
    </row>
    <row r="904" spans="29:33" x14ac:dyDescent="0.25">
      <c r="AC904" s="16">
        <v>900</v>
      </c>
      <c r="AD904" s="16">
        <f t="shared" si="61"/>
        <v>1845.1700325664401</v>
      </c>
      <c r="AE904" s="16">
        <f t="shared" si="59"/>
        <v>38.307185112544708</v>
      </c>
      <c r="AF904" s="16">
        <f>'Gearing Calculator'!$C$17*Braking!AD904</f>
        <v>2767.7550488496599</v>
      </c>
      <c r="AG904" s="16">
        <f t="shared" si="60"/>
        <v>-10.397276667354095</v>
      </c>
    </row>
    <row r="905" spans="29:33" x14ac:dyDescent="0.25">
      <c r="AC905" s="16">
        <v>901</v>
      </c>
      <c r="AD905" s="16">
        <f t="shared" si="61"/>
        <v>1845.6986904915138</v>
      </c>
      <c r="AE905" s="16">
        <f t="shared" si="59"/>
        <v>38.349748651558649</v>
      </c>
      <c r="AF905" s="16">
        <f>'Gearing Calculator'!$C$17*Braking!AD905</f>
        <v>2768.5480357372708</v>
      </c>
      <c r="AG905" s="16">
        <f t="shared" si="60"/>
        <v>-10.400255581282009</v>
      </c>
    </row>
    <row r="906" spans="29:33" x14ac:dyDescent="0.25">
      <c r="AC906" s="16">
        <v>902</v>
      </c>
      <c r="AD906" s="16">
        <f t="shared" si="61"/>
        <v>1846.2273484165876</v>
      </c>
      <c r="AE906" s="16">
        <f t="shared" si="59"/>
        <v>38.392312190572589</v>
      </c>
      <c r="AF906" s="16">
        <f>'Gearing Calculator'!$C$17*Braking!AD906</f>
        <v>2769.3410226248816</v>
      </c>
      <c r="AG906" s="16">
        <f t="shared" si="60"/>
        <v>-10.403234495209924</v>
      </c>
    </row>
    <row r="907" spans="29:33" x14ac:dyDescent="0.25">
      <c r="AC907" s="16">
        <v>903</v>
      </c>
      <c r="AD907" s="16">
        <f t="shared" si="61"/>
        <v>1846.7560063416615</v>
      </c>
      <c r="AE907" s="16">
        <f t="shared" si="59"/>
        <v>38.434875729586523</v>
      </c>
      <c r="AF907" s="16">
        <f>'Gearing Calculator'!$C$17*Braking!AD907</f>
        <v>2770.1340095124924</v>
      </c>
      <c r="AG907" s="16">
        <f t="shared" si="60"/>
        <v>-10.406213409137838</v>
      </c>
    </row>
    <row r="908" spans="29:33" x14ac:dyDescent="0.25">
      <c r="AC908" s="16">
        <v>904</v>
      </c>
      <c r="AD908" s="16">
        <f t="shared" si="61"/>
        <v>1847.2846642667353</v>
      </c>
      <c r="AE908" s="16">
        <f t="shared" si="59"/>
        <v>38.477439268600463</v>
      </c>
      <c r="AF908" s="16">
        <f>'Gearing Calculator'!$C$17*Braking!AD908</f>
        <v>2770.9269964001028</v>
      </c>
      <c r="AG908" s="16">
        <f t="shared" si="60"/>
        <v>-10.409192323065751</v>
      </c>
    </row>
    <row r="909" spans="29:33" x14ac:dyDescent="0.25">
      <c r="AC909" s="16">
        <v>905</v>
      </c>
      <c r="AD909" s="16">
        <f t="shared" si="61"/>
        <v>1847.8133221918092</v>
      </c>
      <c r="AE909" s="16">
        <f t="shared" si="59"/>
        <v>38.520002807614404</v>
      </c>
      <c r="AF909" s="16">
        <f>'Gearing Calculator'!$C$17*Braking!AD909</f>
        <v>2771.7199832877141</v>
      </c>
      <c r="AG909" s="16">
        <f t="shared" si="60"/>
        <v>-10.412171236993666</v>
      </c>
    </row>
    <row r="910" spans="29:33" x14ac:dyDescent="0.25">
      <c r="AC910" s="16">
        <v>906</v>
      </c>
      <c r="AD910" s="16">
        <f t="shared" si="61"/>
        <v>1848.341980116883</v>
      </c>
      <c r="AE910" s="16">
        <f t="shared" si="59"/>
        <v>38.562566346628344</v>
      </c>
      <c r="AF910" s="16">
        <f>'Gearing Calculator'!$C$17*Braking!AD910</f>
        <v>2772.5129701753244</v>
      </c>
      <c r="AG910" s="16">
        <f t="shared" si="60"/>
        <v>-10.41515015092158</v>
      </c>
    </row>
    <row r="911" spans="29:33" x14ac:dyDescent="0.25">
      <c r="AC911" s="16">
        <v>907</v>
      </c>
      <c r="AD911" s="16">
        <f t="shared" si="61"/>
        <v>1848.8706380419567</v>
      </c>
      <c r="AE911" s="16">
        <f t="shared" si="59"/>
        <v>38.605129885642278</v>
      </c>
      <c r="AF911" s="16">
        <f>'Gearing Calculator'!$C$17*Braking!AD911</f>
        <v>2773.3059570629348</v>
      </c>
      <c r="AG911" s="16">
        <f t="shared" si="60"/>
        <v>-10.418129064849493</v>
      </c>
    </row>
    <row r="912" spans="29:33" x14ac:dyDescent="0.25">
      <c r="AC912" s="16">
        <v>908</v>
      </c>
      <c r="AD912" s="16">
        <f t="shared" si="61"/>
        <v>1849.3992959670306</v>
      </c>
      <c r="AE912" s="16">
        <f t="shared" si="59"/>
        <v>38.647693424656218</v>
      </c>
      <c r="AF912" s="16">
        <f>'Gearing Calculator'!$C$17*Braking!AD912</f>
        <v>2774.0989439505461</v>
      </c>
      <c r="AG912" s="16">
        <f t="shared" si="60"/>
        <v>-10.421107978777409</v>
      </c>
    </row>
    <row r="913" spans="29:33" x14ac:dyDescent="0.25">
      <c r="AC913" s="16">
        <v>909</v>
      </c>
      <c r="AD913" s="16">
        <f t="shared" si="61"/>
        <v>1849.9279538921044</v>
      </c>
      <c r="AE913" s="16">
        <f t="shared" si="59"/>
        <v>38.690256963670159</v>
      </c>
      <c r="AF913" s="16">
        <f>'Gearing Calculator'!$C$17*Braking!AD913</f>
        <v>2774.8919308381564</v>
      </c>
      <c r="AG913" s="16">
        <f t="shared" si="60"/>
        <v>-10.424086892705322</v>
      </c>
    </row>
    <row r="914" spans="29:33" x14ac:dyDescent="0.25">
      <c r="AC914" s="16">
        <v>910</v>
      </c>
      <c r="AD914" s="16">
        <f t="shared" si="61"/>
        <v>1850.4566118171783</v>
      </c>
      <c r="AE914" s="16">
        <f t="shared" si="59"/>
        <v>38.732820502684092</v>
      </c>
      <c r="AF914" s="16">
        <f>'Gearing Calculator'!$C$17*Braking!AD914</f>
        <v>2775.6849177257673</v>
      </c>
      <c r="AG914" s="16">
        <f t="shared" si="60"/>
        <v>-10.427065806633236</v>
      </c>
    </row>
    <row r="915" spans="29:33" x14ac:dyDescent="0.25">
      <c r="AC915" s="16">
        <v>911</v>
      </c>
      <c r="AD915" s="16">
        <f t="shared" si="61"/>
        <v>1850.9852697422521</v>
      </c>
      <c r="AE915" s="16">
        <f t="shared" si="59"/>
        <v>38.775384041698032</v>
      </c>
      <c r="AF915" s="16">
        <f>'Gearing Calculator'!$C$17*Braking!AD915</f>
        <v>2776.4779046133781</v>
      </c>
      <c r="AG915" s="16">
        <f t="shared" si="60"/>
        <v>-10.430044720561151</v>
      </c>
    </row>
    <row r="916" spans="29:33" x14ac:dyDescent="0.25">
      <c r="AC916" s="16">
        <v>912</v>
      </c>
      <c r="AD916" s="16">
        <f t="shared" si="61"/>
        <v>1851.5139276673258</v>
      </c>
      <c r="AE916" s="16">
        <f t="shared" si="59"/>
        <v>38.817947580711973</v>
      </c>
      <c r="AF916" s="16">
        <f>'Gearing Calculator'!$C$17*Braking!AD916</f>
        <v>2777.2708915009889</v>
      </c>
      <c r="AG916" s="16">
        <f t="shared" si="60"/>
        <v>-10.433023634489064</v>
      </c>
    </row>
    <row r="917" spans="29:33" x14ac:dyDescent="0.25">
      <c r="AC917" s="16">
        <v>913</v>
      </c>
      <c r="AD917" s="16">
        <f t="shared" si="61"/>
        <v>1852.0425855923997</v>
      </c>
      <c r="AE917" s="16">
        <f t="shared" si="59"/>
        <v>38.860511119725913</v>
      </c>
      <c r="AF917" s="16">
        <f>'Gearing Calculator'!$C$17*Braking!AD917</f>
        <v>2778.0638783885997</v>
      </c>
      <c r="AG917" s="16">
        <f t="shared" si="60"/>
        <v>-10.43600254841698</v>
      </c>
    </row>
    <row r="918" spans="29:33" x14ac:dyDescent="0.25">
      <c r="AC918" s="16">
        <v>914</v>
      </c>
      <c r="AD918" s="16">
        <f t="shared" si="61"/>
        <v>1852.5712435174735</v>
      </c>
      <c r="AE918" s="16">
        <f t="shared" si="59"/>
        <v>38.903074658739847</v>
      </c>
      <c r="AF918" s="16">
        <f>'Gearing Calculator'!$C$17*Braking!AD918</f>
        <v>2778.8568652762101</v>
      </c>
      <c r="AG918" s="16">
        <f t="shared" si="60"/>
        <v>-10.438981462344891</v>
      </c>
    </row>
    <row r="919" spans="29:33" x14ac:dyDescent="0.25">
      <c r="AC919" s="16">
        <v>915</v>
      </c>
      <c r="AD919" s="16">
        <f t="shared" si="61"/>
        <v>1853.0999014425474</v>
      </c>
      <c r="AE919" s="16">
        <f t="shared" si="59"/>
        <v>38.945638197753787</v>
      </c>
      <c r="AF919" s="16">
        <f>'Gearing Calculator'!$C$17*Braking!AD919</f>
        <v>2779.6498521638214</v>
      </c>
      <c r="AG919" s="16">
        <f t="shared" si="60"/>
        <v>-10.441960376272808</v>
      </c>
    </row>
    <row r="920" spans="29:33" x14ac:dyDescent="0.25">
      <c r="AC920" s="16">
        <v>916</v>
      </c>
      <c r="AD920" s="16">
        <f t="shared" si="61"/>
        <v>1853.6285593676212</v>
      </c>
      <c r="AE920" s="16">
        <f t="shared" si="59"/>
        <v>38.988201736767728</v>
      </c>
      <c r="AF920" s="16">
        <f>'Gearing Calculator'!$C$17*Braking!AD920</f>
        <v>2780.4428390514317</v>
      </c>
      <c r="AG920" s="16">
        <f t="shared" si="60"/>
        <v>-10.44493929020072</v>
      </c>
    </row>
    <row r="921" spans="29:33" x14ac:dyDescent="0.25">
      <c r="AC921" s="16">
        <v>917</v>
      </c>
      <c r="AD921" s="16">
        <f t="shared" si="61"/>
        <v>1854.1572172926949</v>
      </c>
      <c r="AE921" s="16">
        <f t="shared" si="59"/>
        <v>39.030765275781661</v>
      </c>
      <c r="AF921" s="16">
        <f>'Gearing Calculator'!$C$17*Braking!AD921</f>
        <v>2781.2358259390421</v>
      </c>
      <c r="AG921" s="16">
        <f t="shared" si="60"/>
        <v>-10.447918204128634</v>
      </c>
    </row>
    <row r="922" spans="29:33" x14ac:dyDescent="0.25">
      <c r="AC922" s="16">
        <v>918</v>
      </c>
      <c r="AD922" s="16">
        <f t="shared" si="61"/>
        <v>1854.6858752177689</v>
      </c>
      <c r="AE922" s="16">
        <f t="shared" si="59"/>
        <v>39.073328814795602</v>
      </c>
      <c r="AF922" s="16">
        <f>'Gearing Calculator'!$C$17*Braking!AD922</f>
        <v>2782.0288128266534</v>
      </c>
      <c r="AG922" s="16">
        <f t="shared" si="60"/>
        <v>-10.450897118056549</v>
      </c>
    </row>
    <row r="923" spans="29:33" x14ac:dyDescent="0.25">
      <c r="AC923" s="16">
        <v>919</v>
      </c>
      <c r="AD923" s="16">
        <f t="shared" si="61"/>
        <v>1855.2145331428426</v>
      </c>
      <c r="AE923" s="16">
        <f t="shared" si="59"/>
        <v>39.115892353809542</v>
      </c>
      <c r="AF923" s="16">
        <f>'Gearing Calculator'!$C$17*Braking!AD923</f>
        <v>2782.8217997142638</v>
      </c>
      <c r="AG923" s="16">
        <f t="shared" si="60"/>
        <v>-10.453876031984462</v>
      </c>
    </row>
    <row r="924" spans="29:33" x14ac:dyDescent="0.25">
      <c r="AC924" s="16">
        <v>920</v>
      </c>
      <c r="AD924" s="16">
        <f t="shared" si="61"/>
        <v>1855.7431910679165</v>
      </c>
      <c r="AE924" s="16">
        <f t="shared" si="59"/>
        <v>39.158455892823483</v>
      </c>
      <c r="AF924" s="16">
        <f>'Gearing Calculator'!$C$17*Braking!AD924</f>
        <v>2783.6147866018746</v>
      </c>
      <c r="AG924" s="16">
        <f t="shared" si="60"/>
        <v>-10.456854945912378</v>
      </c>
    </row>
    <row r="925" spans="29:33" x14ac:dyDescent="0.25">
      <c r="AC925" s="16">
        <v>921</v>
      </c>
      <c r="AD925" s="16">
        <f t="shared" si="61"/>
        <v>1856.2718489929903</v>
      </c>
      <c r="AE925" s="16">
        <f t="shared" si="59"/>
        <v>39.201019431837416</v>
      </c>
      <c r="AF925" s="16">
        <f>'Gearing Calculator'!$C$17*Braking!AD925</f>
        <v>2784.4077734894854</v>
      </c>
      <c r="AG925" s="16">
        <f t="shared" si="60"/>
        <v>-10.459833859840291</v>
      </c>
    </row>
    <row r="926" spans="29:33" x14ac:dyDescent="0.25">
      <c r="AC926" s="16">
        <v>922</v>
      </c>
      <c r="AD926" s="16">
        <f t="shared" si="61"/>
        <v>1856.800506918064</v>
      </c>
      <c r="AE926" s="16">
        <f t="shared" si="59"/>
        <v>39.243582970851357</v>
      </c>
      <c r="AF926" s="16">
        <f>'Gearing Calculator'!$C$17*Braking!AD926</f>
        <v>2785.2007603770962</v>
      </c>
      <c r="AG926" s="16">
        <f t="shared" si="60"/>
        <v>-10.462812773768206</v>
      </c>
    </row>
    <row r="927" spans="29:33" x14ac:dyDescent="0.25">
      <c r="AC927" s="16">
        <v>923</v>
      </c>
      <c r="AD927" s="16">
        <f t="shared" si="61"/>
        <v>1857.329164843138</v>
      </c>
      <c r="AE927" s="16">
        <f t="shared" si="59"/>
        <v>39.286146509865297</v>
      </c>
      <c r="AF927" s="16">
        <f>'Gearing Calculator'!$C$17*Braking!AD927</f>
        <v>2785.9937472647071</v>
      </c>
      <c r="AG927" s="16">
        <f t="shared" si="60"/>
        <v>-10.46579168769612</v>
      </c>
    </row>
    <row r="928" spans="29:33" x14ac:dyDescent="0.25">
      <c r="AC928" s="16">
        <v>924</v>
      </c>
      <c r="AD928" s="16">
        <f t="shared" si="61"/>
        <v>1857.8578227682117</v>
      </c>
      <c r="AE928" s="16">
        <f t="shared" si="59"/>
        <v>39.32871004887923</v>
      </c>
      <c r="AF928" s="16">
        <f>'Gearing Calculator'!$C$17*Braking!AD928</f>
        <v>2786.7867341523174</v>
      </c>
      <c r="AG928" s="16">
        <f t="shared" si="60"/>
        <v>-10.468770601624033</v>
      </c>
    </row>
    <row r="929" spans="29:33" x14ac:dyDescent="0.25">
      <c r="AC929" s="16">
        <v>925</v>
      </c>
      <c r="AD929" s="16">
        <f t="shared" si="61"/>
        <v>1858.3864806932856</v>
      </c>
      <c r="AE929" s="16">
        <f t="shared" si="59"/>
        <v>39.371273587893171</v>
      </c>
      <c r="AF929" s="16">
        <f>'Gearing Calculator'!$C$17*Braking!AD929</f>
        <v>2787.5797210399287</v>
      </c>
      <c r="AG929" s="16">
        <f t="shared" si="60"/>
        <v>-10.471749515551949</v>
      </c>
    </row>
    <row r="930" spans="29:33" x14ac:dyDescent="0.25">
      <c r="AC930" s="16">
        <v>926</v>
      </c>
      <c r="AD930" s="16">
        <f t="shared" si="61"/>
        <v>1858.9151386183594</v>
      </c>
      <c r="AE930" s="16">
        <f t="shared" si="59"/>
        <v>39.413837126907111</v>
      </c>
      <c r="AF930" s="16">
        <f>'Gearing Calculator'!$C$17*Braking!AD930</f>
        <v>2788.3727079275391</v>
      </c>
      <c r="AG930" s="16">
        <f t="shared" si="60"/>
        <v>-10.474728429479862</v>
      </c>
    </row>
    <row r="931" spans="29:33" x14ac:dyDescent="0.25">
      <c r="AC931" s="16">
        <v>927</v>
      </c>
      <c r="AD931" s="16">
        <f t="shared" si="61"/>
        <v>1859.4437965434331</v>
      </c>
      <c r="AE931" s="16">
        <f t="shared" si="59"/>
        <v>39.456400665921052</v>
      </c>
      <c r="AF931" s="16">
        <f>'Gearing Calculator'!$C$17*Braking!AD931</f>
        <v>2789.1656948151494</v>
      </c>
      <c r="AG931" s="16">
        <f t="shared" si="60"/>
        <v>-10.477707343407774</v>
      </c>
    </row>
    <row r="932" spans="29:33" x14ac:dyDescent="0.25">
      <c r="AC932" s="16">
        <v>928</v>
      </c>
      <c r="AD932" s="16">
        <f t="shared" si="61"/>
        <v>1859.9724544685071</v>
      </c>
      <c r="AE932" s="16">
        <f t="shared" si="59"/>
        <v>39.498964204934985</v>
      </c>
      <c r="AF932" s="16">
        <f>'Gearing Calculator'!$C$17*Braking!AD932</f>
        <v>2789.9586817027607</v>
      </c>
      <c r="AG932" s="16">
        <f t="shared" si="60"/>
        <v>-10.480686257335691</v>
      </c>
    </row>
    <row r="933" spans="29:33" x14ac:dyDescent="0.25">
      <c r="AC933" s="16">
        <v>929</v>
      </c>
      <c r="AD933" s="16">
        <f t="shared" si="61"/>
        <v>1860.5011123935808</v>
      </c>
      <c r="AE933" s="16">
        <f t="shared" si="59"/>
        <v>39.541527743948926</v>
      </c>
      <c r="AF933" s="16">
        <f>'Gearing Calculator'!$C$17*Braking!AD933</f>
        <v>2790.7516685903711</v>
      </c>
      <c r="AG933" s="16">
        <f t="shared" si="60"/>
        <v>-10.483665171263603</v>
      </c>
    </row>
    <row r="934" spans="29:33" x14ac:dyDescent="0.25">
      <c r="AC934" s="16">
        <v>930</v>
      </c>
      <c r="AD934" s="16">
        <f t="shared" si="61"/>
        <v>1861.0297703186548</v>
      </c>
      <c r="AE934" s="16">
        <f t="shared" si="59"/>
        <v>39.584091282962866</v>
      </c>
      <c r="AF934" s="16">
        <f>'Gearing Calculator'!$C$17*Braking!AD934</f>
        <v>2791.5446554779819</v>
      </c>
      <c r="AG934" s="16">
        <f t="shared" si="60"/>
        <v>-10.486644085191518</v>
      </c>
    </row>
    <row r="935" spans="29:33" x14ac:dyDescent="0.25">
      <c r="AC935" s="16">
        <v>931</v>
      </c>
      <c r="AD935" s="16">
        <f t="shared" si="61"/>
        <v>1861.5584282437285</v>
      </c>
      <c r="AE935" s="16">
        <f t="shared" si="59"/>
        <v>39.6266548219768</v>
      </c>
      <c r="AF935" s="16">
        <f>'Gearing Calculator'!$C$17*Braking!AD935</f>
        <v>2792.3376423655927</v>
      </c>
      <c r="AG935" s="16">
        <f t="shared" si="60"/>
        <v>-10.489622999119431</v>
      </c>
    </row>
    <row r="936" spans="29:33" x14ac:dyDescent="0.25">
      <c r="AC936" s="16">
        <v>932</v>
      </c>
      <c r="AD936" s="16">
        <f t="shared" si="61"/>
        <v>1862.0870861688022</v>
      </c>
      <c r="AE936" s="16">
        <f t="shared" si="59"/>
        <v>39.66921836099074</v>
      </c>
      <c r="AF936" s="16">
        <f>'Gearing Calculator'!$C$17*Braking!AD936</f>
        <v>2793.1306292532036</v>
      </c>
      <c r="AG936" s="16">
        <f t="shared" si="60"/>
        <v>-10.492601913047347</v>
      </c>
    </row>
    <row r="937" spans="29:33" x14ac:dyDescent="0.25">
      <c r="AC937" s="16">
        <v>933</v>
      </c>
      <c r="AD937" s="16">
        <f t="shared" si="61"/>
        <v>1862.6157440938762</v>
      </c>
      <c r="AE937" s="16">
        <f t="shared" si="59"/>
        <v>39.711781900004681</v>
      </c>
      <c r="AF937" s="16">
        <f>'Gearing Calculator'!$C$17*Braking!AD937</f>
        <v>2793.9236161408144</v>
      </c>
      <c r="AG937" s="16">
        <f t="shared" si="60"/>
        <v>-10.49558082697526</v>
      </c>
    </row>
    <row r="938" spans="29:33" x14ac:dyDescent="0.25">
      <c r="AC938" s="16">
        <v>934</v>
      </c>
      <c r="AD938" s="16">
        <f t="shared" si="61"/>
        <v>1863.1444020189499</v>
      </c>
      <c r="AE938" s="16">
        <f t="shared" si="59"/>
        <v>39.754345439018621</v>
      </c>
      <c r="AF938" s="16">
        <f>'Gearing Calculator'!$C$17*Braking!AD938</f>
        <v>2794.7166030284247</v>
      </c>
      <c r="AG938" s="16">
        <f t="shared" si="60"/>
        <v>-10.498559740903174</v>
      </c>
    </row>
    <row r="939" spans="29:33" x14ac:dyDescent="0.25">
      <c r="AC939" s="16">
        <v>935</v>
      </c>
      <c r="AD939" s="16">
        <f t="shared" si="61"/>
        <v>1863.6730599440239</v>
      </c>
      <c r="AE939" s="16">
        <f t="shared" si="59"/>
        <v>39.796908978032555</v>
      </c>
      <c r="AF939" s="16">
        <f>'Gearing Calculator'!$C$17*Braking!AD939</f>
        <v>2795.509589916036</v>
      </c>
      <c r="AG939" s="16">
        <f t="shared" si="60"/>
        <v>-10.501538654831091</v>
      </c>
    </row>
    <row r="940" spans="29:33" x14ac:dyDescent="0.25">
      <c r="AC940" s="16">
        <v>936</v>
      </c>
      <c r="AD940" s="16">
        <f t="shared" si="61"/>
        <v>1864.2017178690976</v>
      </c>
      <c r="AE940" s="16">
        <f t="shared" si="59"/>
        <v>39.839472517046495</v>
      </c>
      <c r="AF940" s="16">
        <f>'Gearing Calculator'!$C$17*Braking!AD940</f>
        <v>2796.3025768036464</v>
      </c>
      <c r="AG940" s="16">
        <f t="shared" si="60"/>
        <v>-10.504517568759002</v>
      </c>
    </row>
    <row r="941" spans="29:33" x14ac:dyDescent="0.25">
      <c r="AC941" s="16">
        <v>937</v>
      </c>
      <c r="AD941" s="16">
        <f t="shared" si="61"/>
        <v>1864.7303757941713</v>
      </c>
      <c r="AE941" s="16">
        <f t="shared" si="59"/>
        <v>39.882036056060436</v>
      </c>
      <c r="AF941" s="16">
        <f>'Gearing Calculator'!$C$17*Braking!AD941</f>
        <v>2797.0955636912568</v>
      </c>
      <c r="AG941" s="16">
        <f t="shared" si="60"/>
        <v>-10.507496482686916</v>
      </c>
    </row>
    <row r="942" spans="29:33" x14ac:dyDescent="0.25">
      <c r="AC942" s="16">
        <v>938</v>
      </c>
      <c r="AD942" s="16">
        <f t="shared" si="61"/>
        <v>1865.2590337192453</v>
      </c>
      <c r="AE942" s="16">
        <f t="shared" si="59"/>
        <v>39.924599595074369</v>
      </c>
      <c r="AF942" s="16">
        <f>'Gearing Calculator'!$C$17*Braking!AD942</f>
        <v>2797.888550578868</v>
      </c>
      <c r="AG942" s="16">
        <f t="shared" si="60"/>
        <v>-10.510475396614831</v>
      </c>
    </row>
    <row r="943" spans="29:33" x14ac:dyDescent="0.25">
      <c r="AC943" s="16">
        <v>939</v>
      </c>
      <c r="AD943" s="16">
        <f t="shared" si="61"/>
        <v>1865.787691644319</v>
      </c>
      <c r="AE943" s="16">
        <f t="shared" si="59"/>
        <v>39.96716313408831</v>
      </c>
      <c r="AF943" s="16">
        <f>'Gearing Calculator'!$C$17*Braking!AD943</f>
        <v>2798.6815374664784</v>
      </c>
      <c r="AG943" s="16">
        <f t="shared" si="60"/>
        <v>-10.513454310542745</v>
      </c>
    </row>
    <row r="944" spans="29:33" x14ac:dyDescent="0.25">
      <c r="AC944" s="16">
        <v>940</v>
      </c>
      <c r="AD944" s="16">
        <f t="shared" si="61"/>
        <v>1866.316349569393</v>
      </c>
      <c r="AE944" s="16">
        <f t="shared" si="59"/>
        <v>40.00972667310225</v>
      </c>
      <c r="AF944" s="16">
        <f>'Gearing Calculator'!$C$17*Braking!AD944</f>
        <v>2799.4745243540892</v>
      </c>
      <c r="AG944" s="16">
        <f t="shared" si="60"/>
        <v>-10.516433224470658</v>
      </c>
    </row>
    <row r="945" spans="29:33" x14ac:dyDescent="0.25">
      <c r="AC945" s="16">
        <v>941</v>
      </c>
      <c r="AD945" s="16">
        <f t="shared" si="61"/>
        <v>1866.8450074944667</v>
      </c>
      <c r="AE945" s="16">
        <f t="shared" si="59"/>
        <v>40.052290212116191</v>
      </c>
      <c r="AF945" s="16">
        <f>'Gearing Calculator'!$C$17*Braking!AD945</f>
        <v>2800.2675112417</v>
      </c>
      <c r="AG945" s="16">
        <f t="shared" si="60"/>
        <v>-10.519412138398573</v>
      </c>
    </row>
    <row r="946" spans="29:33" x14ac:dyDescent="0.25">
      <c r="AC946" s="16">
        <v>942</v>
      </c>
      <c r="AD946" s="16">
        <f t="shared" si="61"/>
        <v>1867.3736654195404</v>
      </c>
      <c r="AE946" s="16">
        <f t="shared" si="59"/>
        <v>40.094853751130124</v>
      </c>
      <c r="AF946" s="16">
        <f>'Gearing Calculator'!$C$17*Braking!AD946</f>
        <v>2801.0604981293109</v>
      </c>
      <c r="AG946" s="16">
        <f t="shared" si="60"/>
        <v>-10.522391052326487</v>
      </c>
    </row>
    <row r="947" spans="29:33" x14ac:dyDescent="0.25">
      <c r="AC947" s="16">
        <v>943</v>
      </c>
      <c r="AD947" s="16">
        <f t="shared" si="61"/>
        <v>1867.9023233446144</v>
      </c>
      <c r="AE947" s="16">
        <f t="shared" si="59"/>
        <v>40.137417290144064</v>
      </c>
      <c r="AF947" s="16">
        <f>'Gearing Calculator'!$C$17*Braking!AD947</f>
        <v>2801.8534850169217</v>
      </c>
      <c r="AG947" s="16">
        <f t="shared" si="60"/>
        <v>-10.525369966254402</v>
      </c>
    </row>
    <row r="948" spans="29:33" x14ac:dyDescent="0.25">
      <c r="AC948" s="16">
        <v>944</v>
      </c>
      <c r="AD948" s="16">
        <f t="shared" si="61"/>
        <v>1868.4309812696881</v>
      </c>
      <c r="AE948" s="16">
        <f t="shared" si="59"/>
        <v>40.179980829158005</v>
      </c>
      <c r="AF948" s="16">
        <f>'Gearing Calculator'!$C$17*Braking!AD948</f>
        <v>2802.6464719045321</v>
      </c>
      <c r="AG948" s="16">
        <f t="shared" si="60"/>
        <v>-10.528348880182314</v>
      </c>
    </row>
    <row r="949" spans="29:33" x14ac:dyDescent="0.25">
      <c r="AC949" s="16">
        <v>945</v>
      </c>
      <c r="AD949" s="16">
        <f t="shared" si="61"/>
        <v>1868.9596391947621</v>
      </c>
      <c r="AE949" s="16">
        <f t="shared" si="59"/>
        <v>40.222544368171938</v>
      </c>
      <c r="AF949" s="16">
        <f>'Gearing Calculator'!$C$17*Braking!AD949</f>
        <v>2803.4394587921433</v>
      </c>
      <c r="AG949" s="16">
        <f t="shared" si="60"/>
        <v>-10.531327794110231</v>
      </c>
    </row>
    <row r="950" spans="29:33" x14ac:dyDescent="0.25">
      <c r="AC950" s="16">
        <v>946</v>
      </c>
      <c r="AD950" s="16">
        <f t="shared" si="61"/>
        <v>1869.4882971198358</v>
      </c>
      <c r="AE950" s="16">
        <f t="shared" si="59"/>
        <v>40.265107907185879</v>
      </c>
      <c r="AF950" s="16">
        <f>'Gearing Calculator'!$C$17*Braking!AD950</f>
        <v>2804.2324456797537</v>
      </c>
      <c r="AG950" s="16">
        <f t="shared" si="60"/>
        <v>-10.534306708038143</v>
      </c>
    </row>
    <row r="951" spans="29:33" x14ac:dyDescent="0.25">
      <c r="AC951" s="16">
        <v>947</v>
      </c>
      <c r="AD951" s="16">
        <f t="shared" si="61"/>
        <v>1870.0169550449095</v>
      </c>
      <c r="AE951" s="16">
        <f t="shared" si="59"/>
        <v>40.307671446199819</v>
      </c>
      <c r="AF951" s="16">
        <f>'Gearing Calculator'!$C$17*Braking!AD951</f>
        <v>2805.0254325673641</v>
      </c>
      <c r="AG951" s="16">
        <f t="shared" si="60"/>
        <v>-10.537285621966056</v>
      </c>
    </row>
    <row r="952" spans="29:33" x14ac:dyDescent="0.25">
      <c r="AC952" s="16">
        <v>948</v>
      </c>
      <c r="AD952" s="16">
        <f t="shared" si="61"/>
        <v>1870.5456129699835</v>
      </c>
      <c r="AE952" s="16">
        <f t="shared" si="59"/>
        <v>40.35023498521376</v>
      </c>
      <c r="AF952" s="16">
        <f>'Gearing Calculator'!$C$17*Braking!AD952</f>
        <v>2805.8184194549754</v>
      </c>
      <c r="AG952" s="16">
        <f t="shared" si="60"/>
        <v>-10.540264535893973</v>
      </c>
    </row>
    <row r="953" spans="29:33" x14ac:dyDescent="0.25">
      <c r="AC953" s="16">
        <v>949</v>
      </c>
      <c r="AD953" s="16">
        <f t="shared" si="61"/>
        <v>1871.0742708950572</v>
      </c>
      <c r="AE953" s="16">
        <f t="shared" si="59"/>
        <v>40.392798524227693</v>
      </c>
      <c r="AF953" s="16">
        <f>'Gearing Calculator'!$C$17*Braking!AD953</f>
        <v>2806.6114063425857</v>
      </c>
      <c r="AG953" s="16">
        <f t="shared" si="60"/>
        <v>-10.543243449821885</v>
      </c>
    </row>
    <row r="954" spans="29:33" x14ac:dyDescent="0.25">
      <c r="AC954" s="16">
        <v>950</v>
      </c>
      <c r="AD954" s="16">
        <f t="shared" si="61"/>
        <v>1871.6029288201312</v>
      </c>
      <c r="AE954" s="16">
        <f t="shared" si="59"/>
        <v>40.435362063241634</v>
      </c>
      <c r="AF954" s="16">
        <f>'Gearing Calculator'!$C$17*Braking!AD954</f>
        <v>2807.4043932301965</v>
      </c>
      <c r="AG954" s="16">
        <f t="shared" si="60"/>
        <v>-10.5462223637498</v>
      </c>
    </row>
    <row r="955" spans="29:33" x14ac:dyDescent="0.25">
      <c r="AC955" s="16">
        <v>951</v>
      </c>
      <c r="AD955" s="16">
        <f t="shared" si="61"/>
        <v>1872.1315867452049</v>
      </c>
      <c r="AE955" s="16">
        <f t="shared" si="59"/>
        <v>40.477925602255574</v>
      </c>
      <c r="AF955" s="16">
        <f>'Gearing Calculator'!$C$17*Braking!AD955</f>
        <v>2808.1973801178074</v>
      </c>
      <c r="AG955" s="16">
        <f t="shared" si="60"/>
        <v>-10.549201277677714</v>
      </c>
    </row>
    <row r="956" spans="29:33" x14ac:dyDescent="0.25">
      <c r="AC956" s="16">
        <v>952</v>
      </c>
      <c r="AD956" s="16">
        <f t="shared" si="61"/>
        <v>1872.6602446702786</v>
      </c>
      <c r="AE956" s="16">
        <f t="shared" si="59"/>
        <v>40.520489141269508</v>
      </c>
      <c r="AF956" s="16">
        <f>'Gearing Calculator'!$C$17*Braking!AD956</f>
        <v>2808.9903670054182</v>
      </c>
      <c r="AG956" s="16">
        <f t="shared" si="60"/>
        <v>-10.552180191605629</v>
      </c>
    </row>
    <row r="957" spans="29:33" x14ac:dyDescent="0.25">
      <c r="AC957" s="16">
        <v>953</v>
      </c>
      <c r="AD957" s="16">
        <f t="shared" si="61"/>
        <v>1873.1889025953526</v>
      </c>
      <c r="AE957" s="16">
        <f t="shared" si="59"/>
        <v>40.563052680283448</v>
      </c>
      <c r="AF957" s="16">
        <f>'Gearing Calculator'!$C$17*Braking!AD957</f>
        <v>2809.783353893029</v>
      </c>
      <c r="AG957" s="16">
        <f t="shared" si="60"/>
        <v>-10.555159105533543</v>
      </c>
    </row>
    <row r="958" spans="29:33" x14ac:dyDescent="0.25">
      <c r="AC958" s="16">
        <v>954</v>
      </c>
      <c r="AD958" s="16">
        <f t="shared" si="61"/>
        <v>1873.7175605204263</v>
      </c>
      <c r="AE958" s="16">
        <f t="shared" si="59"/>
        <v>40.605616219297389</v>
      </c>
      <c r="AF958" s="16">
        <f>'Gearing Calculator'!$C$17*Braking!AD958</f>
        <v>2810.5763407806394</v>
      </c>
      <c r="AG958" s="16">
        <f t="shared" si="60"/>
        <v>-10.558138019461456</v>
      </c>
    </row>
    <row r="959" spans="29:33" x14ac:dyDescent="0.25">
      <c r="AC959" s="16">
        <v>955</v>
      </c>
      <c r="AD959" s="16">
        <f t="shared" si="61"/>
        <v>1874.2462184455003</v>
      </c>
      <c r="AE959" s="16">
        <f t="shared" ref="AE959:AE1022" si="62">(AC959/$X$104)*100</f>
        <v>40.648179758311329</v>
      </c>
      <c r="AF959" s="16">
        <f>'Gearing Calculator'!$C$17*Braking!AD959</f>
        <v>2811.3693276682507</v>
      </c>
      <c r="AG959" s="16">
        <f t="shared" si="60"/>
        <v>-10.561116933389371</v>
      </c>
    </row>
    <row r="960" spans="29:33" x14ac:dyDescent="0.25">
      <c r="AC960" s="16">
        <v>956</v>
      </c>
      <c r="AD960" s="16">
        <f t="shared" si="61"/>
        <v>1874.774876370574</v>
      </c>
      <c r="AE960" s="16">
        <f t="shared" si="62"/>
        <v>40.690743297325263</v>
      </c>
      <c r="AF960" s="16">
        <f>'Gearing Calculator'!$C$17*Braking!AD960</f>
        <v>2812.162314555861</v>
      </c>
      <c r="AG960" s="16">
        <f t="shared" si="60"/>
        <v>-10.564095847317285</v>
      </c>
    </row>
    <row r="961" spans="29:33" x14ac:dyDescent="0.25">
      <c r="AC961" s="16">
        <v>957</v>
      </c>
      <c r="AD961" s="16">
        <f t="shared" si="61"/>
        <v>1875.3035342956478</v>
      </c>
      <c r="AE961" s="16">
        <f t="shared" si="62"/>
        <v>40.733306836339203</v>
      </c>
      <c r="AF961" s="16">
        <f>'Gearing Calculator'!$C$17*Braking!AD961</f>
        <v>2812.9553014434714</v>
      </c>
      <c r="AG961" s="16">
        <f t="shared" si="60"/>
        <v>-10.567074761245197</v>
      </c>
    </row>
    <row r="962" spans="29:33" x14ac:dyDescent="0.25">
      <c r="AC962" s="16">
        <v>958</v>
      </c>
      <c r="AD962" s="16">
        <f t="shared" si="61"/>
        <v>1875.8321922207217</v>
      </c>
      <c r="AE962" s="16">
        <f t="shared" si="62"/>
        <v>40.775870375353144</v>
      </c>
      <c r="AF962" s="16">
        <f>'Gearing Calculator'!$C$17*Braking!AD962</f>
        <v>2813.7482883310827</v>
      </c>
      <c r="AG962" s="16">
        <f t="shared" si="60"/>
        <v>-10.570053675173114</v>
      </c>
    </row>
    <row r="963" spans="29:33" x14ac:dyDescent="0.25">
      <c r="AC963" s="16">
        <v>959</v>
      </c>
      <c r="AD963" s="16">
        <f t="shared" si="61"/>
        <v>1876.3608501457954</v>
      </c>
      <c r="AE963" s="16">
        <f t="shared" si="62"/>
        <v>40.818433914367077</v>
      </c>
      <c r="AF963" s="16">
        <f>'Gearing Calculator'!$C$17*Braking!AD963</f>
        <v>2814.541275218693</v>
      </c>
      <c r="AG963" s="16">
        <f t="shared" si="60"/>
        <v>-10.573032589101025</v>
      </c>
    </row>
    <row r="964" spans="29:33" x14ac:dyDescent="0.25">
      <c r="AC964" s="16">
        <v>960</v>
      </c>
      <c r="AD964" s="16">
        <f t="shared" si="61"/>
        <v>1876.8895080708694</v>
      </c>
      <c r="AE964" s="16">
        <f t="shared" si="62"/>
        <v>40.860997453381017</v>
      </c>
      <c r="AF964" s="16">
        <f>'Gearing Calculator'!$C$17*Braking!AD964</f>
        <v>2815.3342621063039</v>
      </c>
      <c r="AG964" s="16">
        <f t="shared" si="60"/>
        <v>-10.576011503028941</v>
      </c>
    </row>
    <row r="965" spans="29:33" x14ac:dyDescent="0.25">
      <c r="AC965" s="16">
        <v>961</v>
      </c>
      <c r="AD965" s="16">
        <f t="shared" si="61"/>
        <v>1877.4181659959431</v>
      </c>
      <c r="AE965" s="16">
        <f t="shared" si="62"/>
        <v>40.903560992394958</v>
      </c>
      <c r="AF965" s="16">
        <f>'Gearing Calculator'!$C$17*Braking!AD965</f>
        <v>2816.1272489939147</v>
      </c>
      <c r="AG965" s="16">
        <f t="shared" si="60"/>
        <v>-10.578990416956856</v>
      </c>
    </row>
    <row r="966" spans="29:33" x14ac:dyDescent="0.25">
      <c r="AC966" s="16">
        <v>962</v>
      </c>
      <c r="AD966" s="16">
        <f t="shared" si="61"/>
        <v>1877.9468239210169</v>
      </c>
      <c r="AE966" s="16">
        <f t="shared" si="62"/>
        <v>40.946124531408898</v>
      </c>
      <c r="AF966" s="16">
        <f>'Gearing Calculator'!$C$17*Braking!AD966</f>
        <v>2816.9202358815255</v>
      </c>
      <c r="AG966" s="16">
        <f t="shared" ref="AG966:AG1029" si="63">-(AF966/$C$3)</f>
        <v>-10.581969330884769</v>
      </c>
    </row>
    <row r="967" spans="29:33" x14ac:dyDescent="0.25">
      <c r="AC967" s="16">
        <v>963</v>
      </c>
      <c r="AD967" s="16">
        <f t="shared" ref="AD967:AD1030" si="64">($C$3*$C$4)*($C$9/$C$8)+(AC967*($C$10/$C$8))</f>
        <v>1878.4754818460908</v>
      </c>
      <c r="AE967" s="16">
        <f t="shared" si="62"/>
        <v>40.988688070422832</v>
      </c>
      <c r="AF967" s="16">
        <f>'Gearing Calculator'!$C$17*Braking!AD967</f>
        <v>2817.7132227691363</v>
      </c>
      <c r="AG967" s="16">
        <f t="shared" si="63"/>
        <v>-10.584948244812685</v>
      </c>
    </row>
    <row r="968" spans="29:33" x14ac:dyDescent="0.25">
      <c r="AC968" s="16">
        <v>964</v>
      </c>
      <c r="AD968" s="16">
        <f t="shared" si="64"/>
        <v>1879.0041397711645</v>
      </c>
      <c r="AE968" s="16">
        <f t="shared" si="62"/>
        <v>41.031251609436772</v>
      </c>
      <c r="AF968" s="16">
        <f>'Gearing Calculator'!$C$17*Braking!AD968</f>
        <v>2818.5062096567467</v>
      </c>
      <c r="AG968" s="16">
        <f t="shared" si="63"/>
        <v>-10.587927158740596</v>
      </c>
    </row>
    <row r="969" spans="29:33" x14ac:dyDescent="0.25">
      <c r="AC969" s="16">
        <v>965</v>
      </c>
      <c r="AD969" s="16">
        <f t="shared" si="64"/>
        <v>1879.5327976962385</v>
      </c>
      <c r="AE969" s="16">
        <f t="shared" si="62"/>
        <v>41.073815148450713</v>
      </c>
      <c r="AF969" s="16">
        <f>'Gearing Calculator'!$C$17*Braking!AD969</f>
        <v>2819.299196544358</v>
      </c>
      <c r="AG969" s="16">
        <f t="shared" si="63"/>
        <v>-10.590906072668513</v>
      </c>
    </row>
    <row r="970" spans="29:33" x14ac:dyDescent="0.25">
      <c r="AC970" s="16">
        <v>966</v>
      </c>
      <c r="AD970" s="16">
        <f t="shared" si="64"/>
        <v>1880.0614556213122</v>
      </c>
      <c r="AE970" s="16">
        <f t="shared" si="62"/>
        <v>41.116378687464646</v>
      </c>
      <c r="AF970" s="16">
        <f>'Gearing Calculator'!$C$17*Braking!AD970</f>
        <v>2820.0921834319684</v>
      </c>
      <c r="AG970" s="16">
        <f t="shared" si="63"/>
        <v>-10.593884986596425</v>
      </c>
    </row>
    <row r="971" spans="29:33" x14ac:dyDescent="0.25">
      <c r="AC971" s="16">
        <v>967</v>
      </c>
      <c r="AD971" s="16">
        <f t="shared" si="64"/>
        <v>1880.590113546386</v>
      </c>
      <c r="AE971" s="16">
        <f t="shared" si="62"/>
        <v>41.158942226478587</v>
      </c>
      <c r="AF971" s="16">
        <f>'Gearing Calculator'!$C$17*Braking!AD971</f>
        <v>2820.8851703195787</v>
      </c>
      <c r="AG971" s="16">
        <f t="shared" si="63"/>
        <v>-10.596863900524339</v>
      </c>
    </row>
    <row r="972" spans="29:33" x14ac:dyDescent="0.25">
      <c r="AC972" s="16">
        <v>968</v>
      </c>
      <c r="AD972" s="16">
        <f t="shared" si="64"/>
        <v>1881.1187714714599</v>
      </c>
      <c r="AE972" s="16">
        <f t="shared" si="62"/>
        <v>41.201505765492527</v>
      </c>
      <c r="AF972" s="16">
        <f>'Gearing Calculator'!$C$17*Braking!AD972</f>
        <v>2821.67815720719</v>
      </c>
      <c r="AG972" s="16">
        <f t="shared" si="63"/>
        <v>-10.599842814452254</v>
      </c>
    </row>
    <row r="973" spans="29:33" x14ac:dyDescent="0.25">
      <c r="AC973" s="16">
        <v>969</v>
      </c>
      <c r="AD973" s="16">
        <f t="shared" si="64"/>
        <v>1881.6474293965339</v>
      </c>
      <c r="AE973" s="16">
        <f t="shared" si="62"/>
        <v>41.244069304506468</v>
      </c>
      <c r="AF973" s="16">
        <f>'Gearing Calculator'!$C$17*Braking!AD973</f>
        <v>2822.4711440948008</v>
      </c>
      <c r="AG973" s="16">
        <f t="shared" si="63"/>
        <v>-10.602821728380169</v>
      </c>
    </row>
    <row r="974" spans="29:33" x14ac:dyDescent="0.25">
      <c r="AC974" s="16">
        <v>970</v>
      </c>
      <c r="AD974" s="16">
        <f t="shared" si="64"/>
        <v>1882.1760873216076</v>
      </c>
      <c r="AE974" s="16">
        <f t="shared" si="62"/>
        <v>41.286632843520401</v>
      </c>
      <c r="AF974" s="16">
        <f>'Gearing Calculator'!$C$17*Braking!AD974</f>
        <v>2823.2641309824112</v>
      </c>
      <c r="AG974" s="16">
        <f t="shared" si="63"/>
        <v>-10.605800642308081</v>
      </c>
    </row>
    <row r="975" spans="29:33" x14ac:dyDescent="0.25">
      <c r="AC975" s="16">
        <v>971</v>
      </c>
      <c r="AD975" s="16">
        <f t="shared" si="64"/>
        <v>1882.7047452466813</v>
      </c>
      <c r="AE975" s="16">
        <f t="shared" si="62"/>
        <v>41.329196382534342</v>
      </c>
      <c r="AF975" s="16">
        <f>'Gearing Calculator'!$C$17*Braking!AD975</f>
        <v>2824.057117870022</v>
      </c>
      <c r="AG975" s="16">
        <f t="shared" si="63"/>
        <v>-10.608779556235996</v>
      </c>
    </row>
    <row r="976" spans="29:33" x14ac:dyDescent="0.25">
      <c r="AC976" s="16">
        <v>972</v>
      </c>
      <c r="AD976" s="16">
        <f t="shared" si="64"/>
        <v>1883.2334031717551</v>
      </c>
      <c r="AE976" s="16">
        <f t="shared" si="62"/>
        <v>41.371759921548282</v>
      </c>
      <c r="AF976" s="16">
        <f>'Gearing Calculator'!$C$17*Braking!AD976</f>
        <v>2824.8501047576328</v>
      </c>
      <c r="AG976" s="16">
        <f t="shared" si="63"/>
        <v>-10.61175847016391</v>
      </c>
    </row>
    <row r="977" spans="29:33" x14ac:dyDescent="0.25">
      <c r="AC977" s="16">
        <v>973</v>
      </c>
      <c r="AD977" s="16">
        <f t="shared" si="64"/>
        <v>1883.762061096829</v>
      </c>
      <c r="AE977" s="16">
        <f t="shared" si="62"/>
        <v>41.414323460562223</v>
      </c>
      <c r="AF977" s="16">
        <f>'Gearing Calculator'!$C$17*Braking!AD977</f>
        <v>2825.6430916452437</v>
      </c>
      <c r="AG977" s="16">
        <f t="shared" si="63"/>
        <v>-10.614737384091825</v>
      </c>
    </row>
    <row r="978" spans="29:33" x14ac:dyDescent="0.25">
      <c r="AC978" s="16">
        <v>974</v>
      </c>
      <c r="AD978" s="16">
        <f t="shared" si="64"/>
        <v>1884.290719021903</v>
      </c>
      <c r="AE978" s="16">
        <f t="shared" si="62"/>
        <v>41.456886999576156</v>
      </c>
      <c r="AF978" s="16">
        <f>'Gearing Calculator'!$C$17*Braking!AD978</f>
        <v>2826.4360785328545</v>
      </c>
      <c r="AG978" s="16">
        <f t="shared" si="63"/>
        <v>-10.61771629801974</v>
      </c>
    </row>
    <row r="979" spans="29:33" x14ac:dyDescent="0.25">
      <c r="AC979" s="16">
        <v>975</v>
      </c>
      <c r="AD979" s="16">
        <f t="shared" si="64"/>
        <v>1884.8193769469767</v>
      </c>
      <c r="AE979" s="16">
        <f t="shared" si="62"/>
        <v>41.499450538590096</v>
      </c>
      <c r="AF979" s="16">
        <f>'Gearing Calculator'!$C$17*Braking!AD979</f>
        <v>2827.2290654204653</v>
      </c>
      <c r="AG979" s="16">
        <f t="shared" si="63"/>
        <v>-10.620695211947654</v>
      </c>
    </row>
    <row r="980" spans="29:33" x14ac:dyDescent="0.25">
      <c r="AC980" s="16">
        <v>976</v>
      </c>
      <c r="AD980" s="16">
        <f t="shared" si="64"/>
        <v>1885.3480348720504</v>
      </c>
      <c r="AE980" s="16">
        <f t="shared" si="62"/>
        <v>41.542014077604037</v>
      </c>
      <c r="AF980" s="16">
        <f>'Gearing Calculator'!$C$17*Braking!AD980</f>
        <v>2828.0220523080757</v>
      </c>
      <c r="AG980" s="16">
        <f t="shared" si="63"/>
        <v>-10.623674125875567</v>
      </c>
    </row>
    <row r="981" spans="29:33" x14ac:dyDescent="0.25">
      <c r="AC981" s="16">
        <v>977</v>
      </c>
      <c r="AD981" s="16">
        <f t="shared" si="64"/>
        <v>1885.8766927971242</v>
      </c>
      <c r="AE981" s="16">
        <f t="shared" si="62"/>
        <v>41.584577616617977</v>
      </c>
      <c r="AF981" s="16">
        <f>'Gearing Calculator'!$C$17*Braking!AD981</f>
        <v>2828.815039195686</v>
      </c>
      <c r="AG981" s="16">
        <f t="shared" si="63"/>
        <v>-10.626653039803479</v>
      </c>
    </row>
    <row r="982" spans="29:33" x14ac:dyDescent="0.25">
      <c r="AC982" s="16">
        <v>978</v>
      </c>
      <c r="AD982" s="16">
        <f t="shared" si="64"/>
        <v>1886.4053507221981</v>
      </c>
      <c r="AE982" s="16">
        <f t="shared" si="62"/>
        <v>41.627141155631911</v>
      </c>
      <c r="AF982" s="16">
        <f>'Gearing Calculator'!$C$17*Braking!AD982</f>
        <v>2829.6080260832973</v>
      </c>
      <c r="AG982" s="16">
        <f t="shared" si="63"/>
        <v>-10.629631953731396</v>
      </c>
    </row>
    <row r="983" spans="29:33" x14ac:dyDescent="0.25">
      <c r="AC983" s="16">
        <v>979</v>
      </c>
      <c r="AD983" s="16">
        <f t="shared" si="64"/>
        <v>1886.9340086472721</v>
      </c>
      <c r="AE983" s="16">
        <f t="shared" si="62"/>
        <v>41.669704694645851</v>
      </c>
      <c r="AF983" s="16">
        <f>'Gearing Calculator'!$C$17*Braking!AD983</f>
        <v>2830.4010129709081</v>
      </c>
      <c r="AG983" s="16">
        <f t="shared" si="63"/>
        <v>-10.632610867659309</v>
      </c>
    </row>
    <row r="984" spans="29:33" x14ac:dyDescent="0.25">
      <c r="AC984" s="16">
        <v>980</v>
      </c>
      <c r="AD984" s="16">
        <f t="shared" si="64"/>
        <v>1887.4626665723458</v>
      </c>
      <c r="AE984" s="16">
        <f t="shared" si="62"/>
        <v>41.712268233659792</v>
      </c>
      <c r="AF984" s="16">
        <f>'Gearing Calculator'!$C$17*Braking!AD984</f>
        <v>2831.1939998585185</v>
      </c>
      <c r="AG984" s="16">
        <f t="shared" si="63"/>
        <v>-10.635589781587223</v>
      </c>
    </row>
    <row r="985" spans="29:33" x14ac:dyDescent="0.25">
      <c r="AC985" s="16">
        <v>981</v>
      </c>
      <c r="AD985" s="16">
        <f t="shared" si="64"/>
        <v>1887.9913244974196</v>
      </c>
      <c r="AE985" s="16">
        <f t="shared" si="62"/>
        <v>41.754831772673725</v>
      </c>
      <c r="AF985" s="16">
        <f>'Gearing Calculator'!$C$17*Braking!AD985</f>
        <v>2831.9869867461293</v>
      </c>
      <c r="AG985" s="16">
        <f t="shared" si="63"/>
        <v>-10.638568695515136</v>
      </c>
    </row>
    <row r="986" spans="29:33" x14ac:dyDescent="0.25">
      <c r="AC986" s="16">
        <v>982</v>
      </c>
      <c r="AD986" s="16">
        <f t="shared" si="64"/>
        <v>1888.5199824224933</v>
      </c>
      <c r="AE986" s="16">
        <f t="shared" si="62"/>
        <v>41.797395311687666</v>
      </c>
      <c r="AF986" s="16">
        <f>'Gearing Calculator'!$C$17*Braking!AD986</f>
        <v>2832.7799736337402</v>
      </c>
      <c r="AG986" s="16">
        <f t="shared" si="63"/>
        <v>-10.641547609443052</v>
      </c>
    </row>
    <row r="987" spans="29:33" x14ac:dyDescent="0.25">
      <c r="AC987" s="16">
        <v>983</v>
      </c>
      <c r="AD987" s="16">
        <f t="shared" si="64"/>
        <v>1889.0486403475672</v>
      </c>
      <c r="AE987" s="16">
        <f t="shared" si="62"/>
        <v>41.839958850701606</v>
      </c>
      <c r="AF987" s="16">
        <f>'Gearing Calculator'!$C$17*Braking!AD987</f>
        <v>2833.572960521351</v>
      </c>
      <c r="AG987" s="16">
        <f t="shared" si="63"/>
        <v>-10.644526523370965</v>
      </c>
    </row>
    <row r="988" spans="29:33" x14ac:dyDescent="0.25">
      <c r="AC988" s="16">
        <v>984</v>
      </c>
      <c r="AD988" s="16">
        <f t="shared" si="64"/>
        <v>1889.5772982726412</v>
      </c>
      <c r="AE988" s="16">
        <f t="shared" si="62"/>
        <v>41.882522389715547</v>
      </c>
      <c r="AF988" s="16">
        <f>'Gearing Calculator'!$C$17*Braking!AD988</f>
        <v>2834.3659474089618</v>
      </c>
      <c r="AG988" s="16">
        <f t="shared" si="63"/>
        <v>-10.64750543729888</v>
      </c>
    </row>
    <row r="989" spans="29:33" x14ac:dyDescent="0.25">
      <c r="AC989" s="16">
        <v>985</v>
      </c>
      <c r="AD989" s="16">
        <f t="shared" si="64"/>
        <v>1890.1059561977149</v>
      </c>
      <c r="AE989" s="16">
        <f t="shared" si="62"/>
        <v>41.92508592872948</v>
      </c>
      <c r="AF989" s="16">
        <f>'Gearing Calculator'!$C$17*Braking!AD989</f>
        <v>2835.1589342965726</v>
      </c>
      <c r="AG989" s="16">
        <f t="shared" si="63"/>
        <v>-10.650484351226794</v>
      </c>
    </row>
    <row r="990" spans="29:33" x14ac:dyDescent="0.25">
      <c r="AC990" s="16">
        <v>986</v>
      </c>
      <c r="AD990" s="16">
        <f t="shared" si="64"/>
        <v>1890.6346141227887</v>
      </c>
      <c r="AE990" s="16">
        <f t="shared" si="62"/>
        <v>41.967649467743421</v>
      </c>
      <c r="AF990" s="16">
        <f>'Gearing Calculator'!$C$17*Braking!AD990</f>
        <v>2835.951921184183</v>
      </c>
      <c r="AG990" s="16">
        <f t="shared" si="63"/>
        <v>-10.653463265154707</v>
      </c>
    </row>
    <row r="991" spans="29:33" x14ac:dyDescent="0.25">
      <c r="AC991" s="16">
        <v>987</v>
      </c>
      <c r="AD991" s="16">
        <f t="shared" si="64"/>
        <v>1891.1632720478624</v>
      </c>
      <c r="AE991" s="16">
        <f t="shared" si="62"/>
        <v>42.010213006757361</v>
      </c>
      <c r="AF991" s="16">
        <f>'Gearing Calculator'!$C$17*Braking!AD991</f>
        <v>2836.7449080717934</v>
      </c>
      <c r="AG991" s="16">
        <f t="shared" si="63"/>
        <v>-10.656442179082621</v>
      </c>
    </row>
    <row r="992" spans="29:33" x14ac:dyDescent="0.25">
      <c r="AC992" s="16">
        <v>988</v>
      </c>
      <c r="AD992" s="16">
        <f t="shared" si="64"/>
        <v>1891.6919299729364</v>
      </c>
      <c r="AE992" s="16">
        <f t="shared" si="62"/>
        <v>42.052776545771302</v>
      </c>
      <c r="AF992" s="16">
        <f>'Gearing Calculator'!$C$17*Braking!AD992</f>
        <v>2837.5378949594046</v>
      </c>
      <c r="AG992" s="16">
        <f t="shared" si="63"/>
        <v>-10.659421093010536</v>
      </c>
    </row>
    <row r="993" spans="29:33" x14ac:dyDescent="0.25">
      <c r="AC993" s="16">
        <v>989</v>
      </c>
      <c r="AD993" s="16">
        <f t="shared" si="64"/>
        <v>1892.2205878980103</v>
      </c>
      <c r="AE993" s="16">
        <f t="shared" si="62"/>
        <v>42.095340084785235</v>
      </c>
      <c r="AF993" s="16">
        <f>'Gearing Calculator'!$C$17*Braking!AD993</f>
        <v>2838.3308818470155</v>
      </c>
      <c r="AG993" s="16">
        <f t="shared" si="63"/>
        <v>-10.662400006938451</v>
      </c>
    </row>
    <row r="994" spans="29:33" x14ac:dyDescent="0.25">
      <c r="AC994" s="16">
        <v>990</v>
      </c>
      <c r="AD994" s="16">
        <f t="shared" si="64"/>
        <v>1892.749245823084</v>
      </c>
      <c r="AE994" s="16">
        <f t="shared" si="62"/>
        <v>42.137903623799176</v>
      </c>
      <c r="AF994" s="16">
        <f>'Gearing Calculator'!$C$17*Braking!AD994</f>
        <v>2839.1238687346258</v>
      </c>
      <c r="AG994" s="16">
        <f t="shared" si="63"/>
        <v>-10.665378920866363</v>
      </c>
    </row>
    <row r="995" spans="29:33" x14ac:dyDescent="0.25">
      <c r="AC995" s="16">
        <v>991</v>
      </c>
      <c r="AD995" s="16">
        <f t="shared" si="64"/>
        <v>1893.2779037481578</v>
      </c>
      <c r="AE995" s="16">
        <f t="shared" si="62"/>
        <v>42.180467162813116</v>
      </c>
      <c r="AF995" s="16">
        <f>'Gearing Calculator'!$C$17*Braking!AD995</f>
        <v>2839.9168556222367</v>
      </c>
      <c r="AG995" s="16">
        <f t="shared" si="63"/>
        <v>-10.668357834794278</v>
      </c>
    </row>
    <row r="996" spans="29:33" x14ac:dyDescent="0.25">
      <c r="AC996" s="16">
        <v>992</v>
      </c>
      <c r="AD996" s="16">
        <f t="shared" si="64"/>
        <v>1893.8065616732315</v>
      </c>
      <c r="AE996" s="16">
        <f t="shared" si="62"/>
        <v>42.223030701827049</v>
      </c>
      <c r="AF996" s="16">
        <f>'Gearing Calculator'!$C$17*Braking!AD996</f>
        <v>2840.7098425098475</v>
      </c>
      <c r="AG996" s="16">
        <f t="shared" si="63"/>
        <v>-10.671336748722192</v>
      </c>
    </row>
    <row r="997" spans="29:33" x14ac:dyDescent="0.25">
      <c r="AC997" s="16">
        <v>993</v>
      </c>
      <c r="AD997" s="16">
        <f t="shared" si="64"/>
        <v>1894.3352195983055</v>
      </c>
      <c r="AE997" s="16">
        <f t="shared" si="62"/>
        <v>42.26559424084099</v>
      </c>
      <c r="AF997" s="16">
        <f>'Gearing Calculator'!$C$17*Braking!AD997</f>
        <v>2841.5028293974583</v>
      </c>
      <c r="AG997" s="16">
        <f t="shared" si="63"/>
        <v>-10.674315662650107</v>
      </c>
    </row>
    <row r="998" spans="29:33" x14ac:dyDescent="0.25">
      <c r="AC998" s="16">
        <v>994</v>
      </c>
      <c r="AD998" s="16">
        <f t="shared" si="64"/>
        <v>1894.8638775233794</v>
      </c>
      <c r="AE998" s="16">
        <f t="shared" si="62"/>
        <v>42.30815777985493</v>
      </c>
      <c r="AF998" s="16">
        <f>'Gearing Calculator'!$C$17*Braking!AD998</f>
        <v>2842.2958162850691</v>
      </c>
      <c r="AG998" s="16">
        <f t="shared" si="63"/>
        <v>-10.677294576578021</v>
      </c>
    </row>
    <row r="999" spans="29:33" x14ac:dyDescent="0.25">
      <c r="AC999" s="16">
        <v>995</v>
      </c>
      <c r="AD999" s="16">
        <f t="shared" si="64"/>
        <v>1895.3925354484531</v>
      </c>
      <c r="AE999" s="16">
        <f t="shared" si="62"/>
        <v>42.350721318868871</v>
      </c>
      <c r="AF999" s="16">
        <f>'Gearing Calculator'!$C$17*Braking!AD999</f>
        <v>2843.0888031726799</v>
      </c>
      <c r="AG999" s="16">
        <f t="shared" si="63"/>
        <v>-10.680273490505936</v>
      </c>
    </row>
    <row r="1000" spans="29:33" x14ac:dyDescent="0.25">
      <c r="AC1000" s="16">
        <v>996</v>
      </c>
      <c r="AD1000" s="16">
        <f t="shared" si="64"/>
        <v>1895.9211933735269</v>
      </c>
      <c r="AE1000" s="16">
        <f t="shared" si="62"/>
        <v>42.393284857882804</v>
      </c>
      <c r="AF1000" s="16">
        <f>'Gearing Calculator'!$C$17*Braking!AD1000</f>
        <v>2843.8817900602903</v>
      </c>
      <c r="AG1000" s="16">
        <f t="shared" si="63"/>
        <v>-10.683252404433848</v>
      </c>
    </row>
    <row r="1001" spans="29:33" x14ac:dyDescent="0.25">
      <c r="AC1001" s="16">
        <v>997</v>
      </c>
      <c r="AD1001" s="16">
        <f t="shared" si="64"/>
        <v>1896.4498512986006</v>
      </c>
      <c r="AE1001" s="16">
        <f t="shared" si="62"/>
        <v>42.435848396896745</v>
      </c>
      <c r="AF1001" s="16">
        <f>'Gearing Calculator'!$C$17*Braking!AD1001</f>
        <v>2844.6747769479007</v>
      </c>
      <c r="AG1001" s="16">
        <f t="shared" si="63"/>
        <v>-10.686231318361761</v>
      </c>
    </row>
    <row r="1002" spans="29:33" x14ac:dyDescent="0.25">
      <c r="AC1002" s="16">
        <v>998</v>
      </c>
      <c r="AD1002" s="16">
        <f t="shared" si="64"/>
        <v>1896.9785092236746</v>
      </c>
      <c r="AE1002" s="16">
        <f t="shared" si="62"/>
        <v>42.478411935910685</v>
      </c>
      <c r="AF1002" s="16">
        <f>'Gearing Calculator'!$C$17*Braking!AD1002</f>
        <v>2845.467763835512</v>
      </c>
      <c r="AG1002" s="16">
        <f t="shared" si="63"/>
        <v>-10.689210232289676</v>
      </c>
    </row>
    <row r="1003" spans="29:33" x14ac:dyDescent="0.25">
      <c r="AC1003" s="16">
        <v>999</v>
      </c>
      <c r="AD1003" s="16">
        <f t="shared" si="64"/>
        <v>1897.5071671487485</v>
      </c>
      <c r="AE1003" s="16">
        <f t="shared" si="62"/>
        <v>42.520975474924626</v>
      </c>
      <c r="AF1003" s="16">
        <f>'Gearing Calculator'!$C$17*Braking!AD1003</f>
        <v>2846.2607507231228</v>
      </c>
      <c r="AG1003" s="16">
        <f t="shared" si="63"/>
        <v>-10.692189146217592</v>
      </c>
    </row>
    <row r="1004" spans="29:33" x14ac:dyDescent="0.25">
      <c r="AC1004" s="16">
        <v>1000</v>
      </c>
      <c r="AD1004" s="16">
        <f t="shared" si="64"/>
        <v>1898.0358250738223</v>
      </c>
      <c r="AE1004" s="16">
        <f t="shared" si="62"/>
        <v>42.563539013938559</v>
      </c>
      <c r="AF1004" s="16">
        <f>'Gearing Calculator'!$C$17*Braking!AD1004</f>
        <v>2847.0537376107332</v>
      </c>
      <c r="AG1004" s="16">
        <f t="shared" si="63"/>
        <v>-10.695168060145505</v>
      </c>
    </row>
    <row r="1005" spans="29:33" x14ac:dyDescent="0.25">
      <c r="AC1005" s="16">
        <v>1001</v>
      </c>
      <c r="AD1005" s="16">
        <f t="shared" si="64"/>
        <v>1898.564482998896</v>
      </c>
      <c r="AE1005" s="16">
        <f t="shared" si="62"/>
        <v>42.6061025529525</v>
      </c>
      <c r="AF1005" s="16">
        <f>'Gearing Calculator'!$C$17*Braking!AD1005</f>
        <v>2847.846724498344</v>
      </c>
      <c r="AG1005" s="16">
        <f t="shared" si="63"/>
        <v>-10.698146974073419</v>
      </c>
    </row>
    <row r="1006" spans="29:33" x14ac:dyDescent="0.25">
      <c r="AC1006" s="16">
        <v>1002</v>
      </c>
      <c r="AD1006" s="16">
        <f t="shared" si="64"/>
        <v>1899.0931409239697</v>
      </c>
      <c r="AE1006" s="16">
        <f t="shared" si="62"/>
        <v>42.64866609196644</v>
      </c>
      <c r="AF1006" s="16">
        <f>'Gearing Calculator'!$C$17*Braking!AD1006</f>
        <v>2848.6397113859548</v>
      </c>
      <c r="AG1006" s="16">
        <f t="shared" si="63"/>
        <v>-10.701125888001334</v>
      </c>
    </row>
    <row r="1007" spans="29:33" x14ac:dyDescent="0.25">
      <c r="AC1007" s="16">
        <v>1003</v>
      </c>
      <c r="AD1007" s="16">
        <f t="shared" si="64"/>
        <v>1899.6217988490437</v>
      </c>
      <c r="AE1007" s="16">
        <f t="shared" si="62"/>
        <v>42.691229630980381</v>
      </c>
      <c r="AF1007" s="16">
        <f>'Gearing Calculator'!$C$17*Braking!AD1007</f>
        <v>2849.4326982735656</v>
      </c>
      <c r="AG1007" s="16">
        <f t="shared" si="63"/>
        <v>-10.704104801929248</v>
      </c>
    </row>
    <row r="1008" spans="29:33" x14ac:dyDescent="0.25">
      <c r="AC1008" s="16">
        <v>1004</v>
      </c>
      <c r="AD1008" s="16">
        <f t="shared" si="64"/>
        <v>1900.1504567741176</v>
      </c>
      <c r="AE1008" s="16">
        <f t="shared" si="62"/>
        <v>42.733793169994314</v>
      </c>
      <c r="AF1008" s="16">
        <f>'Gearing Calculator'!$C$17*Braking!AD1008</f>
        <v>2850.2256851611764</v>
      </c>
      <c r="AG1008" s="16">
        <f t="shared" si="63"/>
        <v>-10.707083715857163</v>
      </c>
    </row>
    <row r="1009" spans="29:33" x14ac:dyDescent="0.25">
      <c r="AC1009" s="16">
        <v>1005</v>
      </c>
      <c r="AD1009" s="16">
        <f t="shared" si="64"/>
        <v>1900.6791146991914</v>
      </c>
      <c r="AE1009" s="16">
        <f t="shared" si="62"/>
        <v>42.776356709008255</v>
      </c>
      <c r="AF1009" s="16">
        <f>'Gearing Calculator'!$C$17*Braking!AD1009</f>
        <v>2851.0186720487873</v>
      </c>
      <c r="AG1009" s="16">
        <f t="shared" si="63"/>
        <v>-10.710062629785076</v>
      </c>
    </row>
    <row r="1010" spans="29:33" x14ac:dyDescent="0.25">
      <c r="AC1010" s="16">
        <v>1006</v>
      </c>
      <c r="AD1010" s="16">
        <f t="shared" si="64"/>
        <v>1901.2077726242651</v>
      </c>
      <c r="AE1010" s="16">
        <f t="shared" si="62"/>
        <v>42.818920248022195</v>
      </c>
      <c r="AF1010" s="16">
        <f>'Gearing Calculator'!$C$17*Braking!AD1010</f>
        <v>2851.8116589363976</v>
      </c>
      <c r="AG1010" s="16">
        <f t="shared" si="63"/>
        <v>-10.71304154371299</v>
      </c>
    </row>
    <row r="1011" spans="29:33" x14ac:dyDescent="0.25">
      <c r="AC1011" s="16">
        <v>1007</v>
      </c>
      <c r="AD1011" s="16">
        <f t="shared" si="64"/>
        <v>1901.7364305493388</v>
      </c>
      <c r="AE1011" s="16">
        <f t="shared" si="62"/>
        <v>42.861483787036128</v>
      </c>
      <c r="AF1011" s="16">
        <f>'Gearing Calculator'!$C$17*Braking!AD1011</f>
        <v>2852.604645824008</v>
      </c>
      <c r="AG1011" s="16">
        <f t="shared" si="63"/>
        <v>-10.716020457640901</v>
      </c>
    </row>
    <row r="1012" spans="29:33" x14ac:dyDescent="0.25">
      <c r="AC1012" s="16">
        <v>1008</v>
      </c>
      <c r="AD1012" s="16">
        <f t="shared" si="64"/>
        <v>1902.2650884744128</v>
      </c>
      <c r="AE1012" s="16">
        <f t="shared" si="62"/>
        <v>42.904047326050069</v>
      </c>
      <c r="AF1012" s="16">
        <f>'Gearing Calculator'!$C$17*Braking!AD1012</f>
        <v>2853.3976327116193</v>
      </c>
      <c r="AG1012" s="16">
        <f t="shared" si="63"/>
        <v>-10.718999371568819</v>
      </c>
    </row>
    <row r="1013" spans="29:33" x14ac:dyDescent="0.25">
      <c r="AC1013" s="16">
        <v>1009</v>
      </c>
      <c r="AD1013" s="16">
        <f t="shared" si="64"/>
        <v>1902.7937463994867</v>
      </c>
      <c r="AE1013" s="16">
        <f t="shared" si="62"/>
        <v>42.946610865064009</v>
      </c>
      <c r="AF1013" s="16">
        <f>'Gearing Calculator'!$C$17*Braking!AD1013</f>
        <v>2854.1906195992301</v>
      </c>
      <c r="AG1013" s="16">
        <f t="shared" si="63"/>
        <v>-10.721978285496732</v>
      </c>
    </row>
    <row r="1014" spans="29:33" x14ac:dyDescent="0.25">
      <c r="AC1014" s="16">
        <v>1010</v>
      </c>
      <c r="AD1014" s="16">
        <f t="shared" si="64"/>
        <v>1903.3224043245605</v>
      </c>
      <c r="AE1014" s="16">
        <f t="shared" si="62"/>
        <v>42.98917440407795</v>
      </c>
      <c r="AF1014" s="16">
        <f>'Gearing Calculator'!$C$17*Braking!AD1014</f>
        <v>2854.9836064868405</v>
      </c>
      <c r="AG1014" s="16">
        <f t="shared" si="63"/>
        <v>-10.724957199424646</v>
      </c>
    </row>
    <row r="1015" spans="29:33" x14ac:dyDescent="0.25">
      <c r="AC1015" s="16">
        <v>1011</v>
      </c>
      <c r="AD1015" s="16">
        <f t="shared" si="64"/>
        <v>1903.8510622496342</v>
      </c>
      <c r="AE1015" s="16">
        <f t="shared" si="62"/>
        <v>43.031737943091883</v>
      </c>
      <c r="AF1015" s="16">
        <f>'Gearing Calculator'!$C$17*Braking!AD1015</f>
        <v>2855.7765933744513</v>
      </c>
      <c r="AG1015" s="16">
        <f t="shared" si="63"/>
        <v>-10.727936113352559</v>
      </c>
    </row>
    <row r="1016" spans="29:33" x14ac:dyDescent="0.25">
      <c r="AC1016" s="16">
        <v>1012</v>
      </c>
      <c r="AD1016" s="16">
        <f t="shared" si="64"/>
        <v>1904.3797201747079</v>
      </c>
      <c r="AE1016" s="16">
        <f t="shared" si="62"/>
        <v>43.074301482105824</v>
      </c>
      <c r="AF1016" s="16">
        <f>'Gearing Calculator'!$C$17*Braking!AD1016</f>
        <v>2856.5695802620621</v>
      </c>
      <c r="AG1016" s="16">
        <f t="shared" si="63"/>
        <v>-10.730915027280474</v>
      </c>
    </row>
    <row r="1017" spans="29:33" x14ac:dyDescent="0.25">
      <c r="AC1017" s="16">
        <v>1013</v>
      </c>
      <c r="AD1017" s="16">
        <f t="shared" si="64"/>
        <v>1904.9083780997819</v>
      </c>
      <c r="AE1017" s="16">
        <f t="shared" si="62"/>
        <v>43.116865021119764</v>
      </c>
      <c r="AF1017" s="16">
        <f>'Gearing Calculator'!$C$17*Braking!AD1017</f>
        <v>2857.3625671496729</v>
      </c>
      <c r="AG1017" s="16">
        <f t="shared" si="63"/>
        <v>-10.733893941208388</v>
      </c>
    </row>
    <row r="1018" spans="29:33" x14ac:dyDescent="0.25">
      <c r="AC1018" s="16">
        <v>1014</v>
      </c>
      <c r="AD1018" s="16">
        <f t="shared" si="64"/>
        <v>1905.4370360248558</v>
      </c>
      <c r="AE1018" s="16">
        <f t="shared" si="62"/>
        <v>43.159428560133705</v>
      </c>
      <c r="AF1018" s="16">
        <f>'Gearing Calculator'!$C$17*Braking!AD1018</f>
        <v>2858.1555540372838</v>
      </c>
      <c r="AG1018" s="16">
        <f t="shared" si="63"/>
        <v>-10.736872855136303</v>
      </c>
    </row>
    <row r="1019" spans="29:33" x14ac:dyDescent="0.25">
      <c r="AC1019" s="16">
        <v>1015</v>
      </c>
      <c r="AD1019" s="16">
        <f t="shared" si="64"/>
        <v>1905.9656939499296</v>
      </c>
      <c r="AE1019" s="16">
        <f t="shared" si="62"/>
        <v>43.201992099147638</v>
      </c>
      <c r="AF1019" s="16">
        <f>'Gearing Calculator'!$C$17*Braking!AD1019</f>
        <v>2858.9485409248946</v>
      </c>
      <c r="AG1019" s="16">
        <f t="shared" si="63"/>
        <v>-10.739851769064218</v>
      </c>
    </row>
    <row r="1020" spans="29:33" x14ac:dyDescent="0.25">
      <c r="AC1020" s="16">
        <v>1016</v>
      </c>
      <c r="AD1020" s="16">
        <f t="shared" si="64"/>
        <v>1906.4943518750033</v>
      </c>
      <c r="AE1020" s="16">
        <f t="shared" si="62"/>
        <v>43.244555638161579</v>
      </c>
      <c r="AF1020" s="16">
        <f>'Gearing Calculator'!$C$17*Braking!AD1020</f>
        <v>2859.741527812505</v>
      </c>
      <c r="AG1020" s="16">
        <f t="shared" si="63"/>
        <v>-10.74283068299213</v>
      </c>
    </row>
    <row r="1021" spans="29:33" x14ac:dyDescent="0.25">
      <c r="AC1021" s="16">
        <v>1017</v>
      </c>
      <c r="AD1021" s="16">
        <f t="shared" si="64"/>
        <v>1907.023009800077</v>
      </c>
      <c r="AE1021" s="16">
        <f t="shared" si="62"/>
        <v>43.287119177175519</v>
      </c>
      <c r="AF1021" s="16">
        <f>'Gearing Calculator'!$C$17*Braking!AD1021</f>
        <v>2860.5345147001153</v>
      </c>
      <c r="AG1021" s="16">
        <f t="shared" si="63"/>
        <v>-10.745809596920044</v>
      </c>
    </row>
    <row r="1022" spans="29:33" x14ac:dyDescent="0.25">
      <c r="AC1022" s="16">
        <v>1018</v>
      </c>
      <c r="AD1022" s="16">
        <f t="shared" si="64"/>
        <v>1907.551667725151</v>
      </c>
      <c r="AE1022" s="16">
        <f t="shared" si="62"/>
        <v>43.32968271618946</v>
      </c>
      <c r="AF1022" s="16">
        <f>'Gearing Calculator'!$C$17*Braking!AD1022</f>
        <v>2861.3275015877266</v>
      </c>
      <c r="AG1022" s="16">
        <f t="shared" si="63"/>
        <v>-10.748788510847959</v>
      </c>
    </row>
    <row r="1023" spans="29:33" x14ac:dyDescent="0.25">
      <c r="AC1023" s="16">
        <v>1019</v>
      </c>
      <c r="AD1023" s="16">
        <f t="shared" si="64"/>
        <v>1908.0803256502249</v>
      </c>
      <c r="AE1023" s="16">
        <f t="shared" ref="AE1023:AE1086" si="65">(AC1023/$X$104)*100</f>
        <v>43.372246255203393</v>
      </c>
      <c r="AF1023" s="16">
        <f>'Gearing Calculator'!$C$17*Braking!AD1023</f>
        <v>2862.1204884753374</v>
      </c>
      <c r="AG1023" s="16">
        <f t="shared" si="63"/>
        <v>-10.751767424775874</v>
      </c>
    </row>
    <row r="1024" spans="29:33" x14ac:dyDescent="0.25">
      <c r="AC1024" s="16">
        <v>1020</v>
      </c>
      <c r="AD1024" s="16">
        <f t="shared" si="64"/>
        <v>1908.6089835752987</v>
      </c>
      <c r="AE1024" s="16">
        <f t="shared" si="65"/>
        <v>43.414809794217334</v>
      </c>
      <c r="AF1024" s="16">
        <f>'Gearing Calculator'!$C$17*Braking!AD1024</f>
        <v>2862.9134753629478</v>
      </c>
      <c r="AG1024" s="16">
        <f t="shared" si="63"/>
        <v>-10.754746338703786</v>
      </c>
    </row>
    <row r="1025" spans="29:33" x14ac:dyDescent="0.25">
      <c r="AC1025" s="16">
        <v>1021</v>
      </c>
      <c r="AD1025" s="16">
        <f t="shared" si="64"/>
        <v>1909.1376415003724</v>
      </c>
      <c r="AE1025" s="16">
        <f t="shared" si="65"/>
        <v>43.457373333231274</v>
      </c>
      <c r="AF1025" s="16">
        <f>'Gearing Calculator'!$C$17*Braking!AD1025</f>
        <v>2863.7064622505586</v>
      </c>
      <c r="AG1025" s="16">
        <f t="shared" si="63"/>
        <v>-10.757725252631701</v>
      </c>
    </row>
    <row r="1026" spans="29:33" x14ac:dyDescent="0.25">
      <c r="AC1026" s="16">
        <v>1022</v>
      </c>
      <c r="AD1026" s="16">
        <f t="shared" si="64"/>
        <v>1909.6662994254461</v>
      </c>
      <c r="AE1026" s="16">
        <f t="shared" si="65"/>
        <v>43.499936872245208</v>
      </c>
      <c r="AF1026" s="16">
        <f>'Gearing Calculator'!$C$17*Braking!AD1026</f>
        <v>2864.4994491381694</v>
      </c>
      <c r="AG1026" s="16">
        <f t="shared" si="63"/>
        <v>-10.760704166559615</v>
      </c>
    </row>
    <row r="1027" spans="29:33" x14ac:dyDescent="0.25">
      <c r="AC1027" s="16">
        <v>1023</v>
      </c>
      <c r="AD1027" s="16">
        <f t="shared" si="64"/>
        <v>1910.1949573505201</v>
      </c>
      <c r="AE1027" s="16">
        <f t="shared" si="65"/>
        <v>43.542500411259148</v>
      </c>
      <c r="AF1027" s="16">
        <f>'Gearing Calculator'!$C$17*Braking!AD1027</f>
        <v>2865.2924360257803</v>
      </c>
      <c r="AG1027" s="16">
        <f t="shared" si="63"/>
        <v>-10.76368308048753</v>
      </c>
    </row>
    <row r="1028" spans="29:33" x14ac:dyDescent="0.25">
      <c r="AC1028" s="16">
        <v>1024</v>
      </c>
      <c r="AD1028" s="16">
        <f t="shared" si="64"/>
        <v>1910.7236152755941</v>
      </c>
      <c r="AE1028" s="16">
        <f t="shared" si="65"/>
        <v>43.585063950273089</v>
      </c>
      <c r="AF1028" s="16">
        <f>'Gearing Calculator'!$C$17*Braking!AD1028</f>
        <v>2866.0854229133911</v>
      </c>
      <c r="AG1028" s="16">
        <f t="shared" si="63"/>
        <v>-10.766661994415443</v>
      </c>
    </row>
    <row r="1029" spans="29:33" x14ac:dyDescent="0.25">
      <c r="AC1029" s="16">
        <v>1025</v>
      </c>
      <c r="AD1029" s="16">
        <f t="shared" si="64"/>
        <v>1911.2522732006678</v>
      </c>
      <c r="AE1029" s="16">
        <f t="shared" si="65"/>
        <v>43.627627489287029</v>
      </c>
      <c r="AF1029" s="16">
        <f>'Gearing Calculator'!$C$17*Braking!AD1029</f>
        <v>2866.8784098010019</v>
      </c>
      <c r="AG1029" s="16">
        <f t="shared" si="63"/>
        <v>-10.769640908343359</v>
      </c>
    </row>
    <row r="1030" spans="29:33" x14ac:dyDescent="0.25">
      <c r="AC1030" s="16">
        <v>1026</v>
      </c>
      <c r="AD1030" s="16">
        <f t="shared" si="64"/>
        <v>1911.7809311257415</v>
      </c>
      <c r="AE1030" s="16">
        <f t="shared" si="65"/>
        <v>43.670191028300962</v>
      </c>
      <c r="AF1030" s="16">
        <f>'Gearing Calculator'!$C$17*Braking!AD1030</f>
        <v>2867.6713966886123</v>
      </c>
      <c r="AG1030" s="16">
        <f t="shared" ref="AG1030:AG1093" si="66">-(AF1030/$C$3)</f>
        <v>-10.77261982227127</v>
      </c>
    </row>
    <row r="1031" spans="29:33" x14ac:dyDescent="0.25">
      <c r="AC1031" s="16">
        <v>1027</v>
      </c>
      <c r="AD1031" s="16">
        <f t="shared" ref="AD1031:AD1094" si="67">($C$3*$C$4)*($C$9/$C$8)+(AC1031*($C$10/$C$8))</f>
        <v>1912.3095890508152</v>
      </c>
      <c r="AE1031" s="16">
        <f t="shared" si="65"/>
        <v>43.712754567314903</v>
      </c>
      <c r="AF1031" s="16">
        <f>'Gearing Calculator'!$C$17*Braking!AD1031</f>
        <v>2868.4643835762226</v>
      </c>
      <c r="AG1031" s="16">
        <f t="shared" si="66"/>
        <v>-10.775598736199184</v>
      </c>
    </row>
    <row r="1032" spans="29:33" x14ac:dyDescent="0.25">
      <c r="AC1032" s="16">
        <v>1028</v>
      </c>
      <c r="AD1032" s="16">
        <f t="shared" si="67"/>
        <v>1912.8382469758892</v>
      </c>
      <c r="AE1032" s="16">
        <f t="shared" si="65"/>
        <v>43.755318106328843</v>
      </c>
      <c r="AF1032" s="16">
        <f>'Gearing Calculator'!$C$17*Braking!AD1032</f>
        <v>2869.2573704638339</v>
      </c>
      <c r="AG1032" s="16">
        <f t="shared" si="66"/>
        <v>-10.778577650127101</v>
      </c>
    </row>
    <row r="1033" spans="29:33" x14ac:dyDescent="0.25">
      <c r="AC1033" s="16">
        <v>1029</v>
      </c>
      <c r="AD1033" s="16">
        <f t="shared" si="67"/>
        <v>1913.3669049009632</v>
      </c>
      <c r="AE1033" s="16">
        <f t="shared" si="65"/>
        <v>43.797881645342784</v>
      </c>
      <c r="AF1033" s="16">
        <f>'Gearing Calculator'!$C$17*Braking!AD1033</f>
        <v>2870.0503573514447</v>
      </c>
      <c r="AG1033" s="16">
        <f t="shared" si="66"/>
        <v>-10.781556564055014</v>
      </c>
    </row>
    <row r="1034" spans="29:33" x14ac:dyDescent="0.25">
      <c r="AC1034" s="16">
        <v>1030</v>
      </c>
      <c r="AD1034" s="16">
        <f t="shared" si="67"/>
        <v>1913.8955628260369</v>
      </c>
      <c r="AE1034" s="16">
        <f t="shared" si="65"/>
        <v>43.840445184356717</v>
      </c>
      <c r="AF1034" s="16">
        <f>'Gearing Calculator'!$C$17*Braking!AD1034</f>
        <v>2870.8433442390551</v>
      </c>
      <c r="AG1034" s="16">
        <f t="shared" si="66"/>
        <v>-10.784535477982928</v>
      </c>
    </row>
    <row r="1035" spans="29:33" x14ac:dyDescent="0.25">
      <c r="AC1035" s="16">
        <v>1031</v>
      </c>
      <c r="AD1035" s="16">
        <f t="shared" si="67"/>
        <v>1914.4242207511106</v>
      </c>
      <c r="AE1035" s="16">
        <f t="shared" si="65"/>
        <v>43.883008723370658</v>
      </c>
      <c r="AF1035" s="16">
        <f>'Gearing Calculator'!$C$17*Braking!AD1035</f>
        <v>2871.6363311266659</v>
      </c>
      <c r="AG1035" s="16">
        <f t="shared" si="66"/>
        <v>-10.787514391910841</v>
      </c>
    </row>
    <row r="1036" spans="29:33" x14ac:dyDescent="0.25">
      <c r="AC1036" s="16">
        <v>1032</v>
      </c>
      <c r="AD1036" s="16">
        <f t="shared" si="67"/>
        <v>1914.9528786761844</v>
      </c>
      <c r="AE1036" s="16">
        <f t="shared" si="65"/>
        <v>43.925572262384598</v>
      </c>
      <c r="AF1036" s="16">
        <f>'Gearing Calculator'!$C$17*Braking!AD1036</f>
        <v>2872.4293180142768</v>
      </c>
      <c r="AG1036" s="16">
        <f t="shared" si="66"/>
        <v>-10.790493305838757</v>
      </c>
    </row>
    <row r="1037" spans="29:33" x14ac:dyDescent="0.25">
      <c r="AC1037" s="16">
        <v>1033</v>
      </c>
      <c r="AD1037" s="16">
        <f t="shared" si="67"/>
        <v>1915.4815366012583</v>
      </c>
      <c r="AE1037" s="16">
        <f t="shared" si="65"/>
        <v>43.968135801398532</v>
      </c>
      <c r="AF1037" s="16">
        <f>'Gearing Calculator'!$C$17*Braking!AD1037</f>
        <v>2873.2223049018876</v>
      </c>
      <c r="AG1037" s="16">
        <f t="shared" si="66"/>
        <v>-10.79347221976667</v>
      </c>
    </row>
    <row r="1038" spans="29:33" x14ac:dyDescent="0.25">
      <c r="AC1038" s="16">
        <v>1034</v>
      </c>
      <c r="AD1038" s="16">
        <f t="shared" si="67"/>
        <v>1916.0101945263323</v>
      </c>
      <c r="AE1038" s="16">
        <f t="shared" si="65"/>
        <v>44.010699340412472</v>
      </c>
      <c r="AF1038" s="16">
        <f>'Gearing Calculator'!$C$17*Braking!AD1038</f>
        <v>2874.0152917894984</v>
      </c>
      <c r="AG1038" s="16">
        <f t="shared" si="66"/>
        <v>-10.796451133694585</v>
      </c>
    </row>
    <row r="1039" spans="29:33" x14ac:dyDescent="0.25">
      <c r="AC1039" s="16">
        <v>1035</v>
      </c>
      <c r="AD1039" s="16">
        <f t="shared" si="67"/>
        <v>1916.538852451406</v>
      </c>
      <c r="AE1039" s="16">
        <f t="shared" si="65"/>
        <v>44.053262879426413</v>
      </c>
      <c r="AF1039" s="16">
        <f>'Gearing Calculator'!$C$17*Braking!AD1039</f>
        <v>2874.8082786771092</v>
      </c>
      <c r="AG1039" s="16">
        <f t="shared" si="66"/>
        <v>-10.799430047622499</v>
      </c>
    </row>
    <row r="1040" spans="29:33" x14ac:dyDescent="0.25">
      <c r="AC1040" s="16">
        <v>1036</v>
      </c>
      <c r="AD1040" s="16">
        <f t="shared" si="67"/>
        <v>1917.0675103764797</v>
      </c>
      <c r="AE1040" s="16">
        <f t="shared" si="65"/>
        <v>44.095826418440353</v>
      </c>
      <c r="AF1040" s="16">
        <f>'Gearing Calculator'!$C$17*Braking!AD1040</f>
        <v>2875.6012655647196</v>
      </c>
      <c r="AG1040" s="16">
        <f t="shared" si="66"/>
        <v>-10.802408961550412</v>
      </c>
    </row>
    <row r="1041" spans="29:33" x14ac:dyDescent="0.25">
      <c r="AC1041" s="16">
        <v>1037</v>
      </c>
      <c r="AD1041" s="16">
        <f t="shared" si="67"/>
        <v>1917.5961683015535</v>
      </c>
      <c r="AE1041" s="16">
        <f t="shared" si="65"/>
        <v>44.138389957454287</v>
      </c>
      <c r="AF1041" s="16">
        <f>'Gearing Calculator'!$C$17*Braking!AD1041</f>
        <v>2876.39425245233</v>
      </c>
      <c r="AG1041" s="16">
        <f t="shared" si="66"/>
        <v>-10.805387875478324</v>
      </c>
    </row>
    <row r="1042" spans="29:33" x14ac:dyDescent="0.25">
      <c r="AC1042" s="16">
        <v>1038</v>
      </c>
      <c r="AD1042" s="16">
        <f t="shared" si="67"/>
        <v>1918.1248262266274</v>
      </c>
      <c r="AE1042" s="16">
        <f t="shared" si="65"/>
        <v>44.180953496468227</v>
      </c>
      <c r="AF1042" s="16">
        <f>'Gearing Calculator'!$C$17*Braking!AD1042</f>
        <v>2877.1872393399412</v>
      </c>
      <c r="AG1042" s="16">
        <f t="shared" si="66"/>
        <v>-10.808366789406241</v>
      </c>
    </row>
    <row r="1043" spans="29:33" x14ac:dyDescent="0.25">
      <c r="AC1043" s="16">
        <v>1039</v>
      </c>
      <c r="AD1043" s="16">
        <f t="shared" si="67"/>
        <v>1918.6534841517014</v>
      </c>
      <c r="AE1043" s="16">
        <f t="shared" si="65"/>
        <v>44.223517035482168</v>
      </c>
      <c r="AF1043" s="16">
        <f>'Gearing Calculator'!$C$17*Braking!AD1043</f>
        <v>2877.9802262275521</v>
      </c>
      <c r="AG1043" s="16">
        <f t="shared" si="66"/>
        <v>-10.811345703334155</v>
      </c>
    </row>
    <row r="1044" spans="29:33" x14ac:dyDescent="0.25">
      <c r="AC1044" s="16">
        <v>1040</v>
      </c>
      <c r="AD1044" s="16">
        <f t="shared" si="67"/>
        <v>1919.1821420767751</v>
      </c>
      <c r="AE1044" s="16">
        <f t="shared" si="65"/>
        <v>44.266080574496108</v>
      </c>
      <c r="AF1044" s="16">
        <f>'Gearing Calculator'!$C$17*Braking!AD1044</f>
        <v>2878.7732131151624</v>
      </c>
      <c r="AG1044" s="16">
        <f t="shared" si="66"/>
        <v>-10.814324617262068</v>
      </c>
    </row>
    <row r="1045" spans="29:33" x14ac:dyDescent="0.25">
      <c r="AC1045" s="16">
        <v>1041</v>
      </c>
      <c r="AD1045" s="16">
        <f t="shared" si="67"/>
        <v>1919.7108000018488</v>
      </c>
      <c r="AE1045" s="16">
        <f t="shared" si="65"/>
        <v>44.308644113510042</v>
      </c>
      <c r="AF1045" s="16">
        <f>'Gearing Calculator'!$C$17*Braking!AD1045</f>
        <v>2879.5662000027733</v>
      </c>
      <c r="AG1045" s="16">
        <f t="shared" si="66"/>
        <v>-10.817303531189983</v>
      </c>
    </row>
    <row r="1046" spans="29:33" x14ac:dyDescent="0.25">
      <c r="AC1046" s="16">
        <v>1042</v>
      </c>
      <c r="AD1046" s="16">
        <f t="shared" si="67"/>
        <v>1920.2394579269228</v>
      </c>
      <c r="AE1046" s="16">
        <f t="shared" si="65"/>
        <v>44.351207652523982</v>
      </c>
      <c r="AF1046" s="16">
        <f>'Gearing Calculator'!$C$17*Braking!AD1046</f>
        <v>2880.3591868903841</v>
      </c>
      <c r="AG1046" s="16">
        <f t="shared" si="66"/>
        <v>-10.820282445117897</v>
      </c>
    </row>
    <row r="1047" spans="29:33" x14ac:dyDescent="0.25">
      <c r="AC1047" s="16">
        <v>1043</v>
      </c>
      <c r="AD1047" s="16">
        <f t="shared" si="67"/>
        <v>1920.7681158519965</v>
      </c>
      <c r="AE1047" s="16">
        <f t="shared" si="65"/>
        <v>44.393771191537923</v>
      </c>
      <c r="AF1047" s="16">
        <f>'Gearing Calculator'!$C$17*Braking!AD1047</f>
        <v>2881.1521737779949</v>
      </c>
      <c r="AG1047" s="16">
        <f t="shared" si="66"/>
        <v>-10.823261359045812</v>
      </c>
    </row>
    <row r="1048" spans="29:33" x14ac:dyDescent="0.25">
      <c r="AC1048" s="16">
        <v>1044</v>
      </c>
      <c r="AD1048" s="16">
        <f t="shared" si="67"/>
        <v>1921.2967737770705</v>
      </c>
      <c r="AE1048" s="16">
        <f t="shared" si="65"/>
        <v>44.436334730551863</v>
      </c>
      <c r="AF1048" s="16">
        <f>'Gearing Calculator'!$C$17*Braking!AD1048</f>
        <v>2881.9451606656057</v>
      </c>
      <c r="AG1048" s="16">
        <f t="shared" si="66"/>
        <v>-10.826240272973726</v>
      </c>
    </row>
    <row r="1049" spans="29:33" x14ac:dyDescent="0.25">
      <c r="AC1049" s="16">
        <v>1045</v>
      </c>
      <c r="AD1049" s="16">
        <f t="shared" si="67"/>
        <v>1921.8254317021442</v>
      </c>
      <c r="AE1049" s="16">
        <f t="shared" si="65"/>
        <v>44.478898269565796</v>
      </c>
      <c r="AF1049" s="16">
        <f>'Gearing Calculator'!$C$17*Braking!AD1049</f>
        <v>2882.7381475532165</v>
      </c>
      <c r="AG1049" s="16">
        <f t="shared" si="66"/>
        <v>-10.829219186901641</v>
      </c>
    </row>
    <row r="1050" spans="29:33" x14ac:dyDescent="0.25">
      <c r="AC1050" s="16">
        <v>1046</v>
      </c>
      <c r="AD1050" s="16">
        <f t="shared" si="67"/>
        <v>1922.3540896272179</v>
      </c>
      <c r="AE1050" s="16">
        <f t="shared" si="65"/>
        <v>44.521461808579737</v>
      </c>
      <c r="AF1050" s="16">
        <f>'Gearing Calculator'!$C$17*Braking!AD1050</f>
        <v>2883.5311344408269</v>
      </c>
      <c r="AG1050" s="16">
        <f t="shared" si="66"/>
        <v>-10.832198100829553</v>
      </c>
    </row>
    <row r="1051" spans="29:33" x14ac:dyDescent="0.25">
      <c r="AC1051" s="16">
        <v>1047</v>
      </c>
      <c r="AD1051" s="16">
        <f t="shared" si="67"/>
        <v>1922.8827475522919</v>
      </c>
      <c r="AE1051" s="16">
        <f t="shared" si="65"/>
        <v>44.564025347593677</v>
      </c>
      <c r="AF1051" s="16">
        <f>'Gearing Calculator'!$C$17*Braking!AD1051</f>
        <v>2884.3241213284377</v>
      </c>
      <c r="AG1051" s="16">
        <f t="shared" si="66"/>
        <v>-10.835177014757468</v>
      </c>
    </row>
    <row r="1052" spans="29:33" x14ac:dyDescent="0.25">
      <c r="AC1052" s="16">
        <v>1048</v>
      </c>
      <c r="AD1052" s="16">
        <f t="shared" si="67"/>
        <v>1923.4114054773656</v>
      </c>
      <c r="AE1052" s="16">
        <f t="shared" si="65"/>
        <v>44.606588886607611</v>
      </c>
      <c r="AF1052" s="16">
        <f>'Gearing Calculator'!$C$17*Braking!AD1052</f>
        <v>2885.1171082160486</v>
      </c>
      <c r="AG1052" s="16">
        <f t="shared" si="66"/>
        <v>-10.838155928685381</v>
      </c>
    </row>
    <row r="1053" spans="29:33" x14ac:dyDescent="0.25">
      <c r="AC1053" s="16">
        <v>1049</v>
      </c>
      <c r="AD1053" s="16">
        <f t="shared" si="67"/>
        <v>1923.9400634024396</v>
      </c>
      <c r="AE1053" s="16">
        <f t="shared" si="65"/>
        <v>44.649152425621551</v>
      </c>
      <c r="AF1053" s="16">
        <f>'Gearing Calculator'!$C$17*Braking!AD1053</f>
        <v>2885.9100951036594</v>
      </c>
      <c r="AG1053" s="16">
        <f t="shared" si="66"/>
        <v>-10.841134842613297</v>
      </c>
    </row>
    <row r="1054" spans="29:33" x14ac:dyDescent="0.25">
      <c r="AC1054" s="16">
        <v>1050</v>
      </c>
      <c r="AD1054" s="16">
        <f t="shared" si="67"/>
        <v>1924.4687213275133</v>
      </c>
      <c r="AE1054" s="16">
        <f t="shared" si="65"/>
        <v>44.691715964635492</v>
      </c>
      <c r="AF1054" s="16">
        <f>'Gearing Calculator'!$C$17*Braking!AD1054</f>
        <v>2886.7030819912698</v>
      </c>
      <c r="AG1054" s="16">
        <f t="shared" si="66"/>
        <v>-10.844113756541208</v>
      </c>
    </row>
    <row r="1055" spans="29:33" x14ac:dyDescent="0.25">
      <c r="AC1055" s="16">
        <v>1051</v>
      </c>
      <c r="AD1055" s="16">
        <f t="shared" si="67"/>
        <v>1924.9973792525871</v>
      </c>
      <c r="AE1055" s="16">
        <f t="shared" si="65"/>
        <v>44.734279503649432</v>
      </c>
      <c r="AF1055" s="16">
        <f>'Gearing Calculator'!$C$17*Braking!AD1055</f>
        <v>2887.4960688788806</v>
      </c>
      <c r="AG1055" s="16">
        <f t="shared" si="66"/>
        <v>-10.847092670469124</v>
      </c>
    </row>
    <row r="1056" spans="29:33" x14ac:dyDescent="0.25">
      <c r="AC1056" s="16">
        <v>1052</v>
      </c>
      <c r="AD1056" s="16">
        <f t="shared" si="67"/>
        <v>1925.526037177661</v>
      </c>
      <c r="AE1056" s="16">
        <f t="shared" si="65"/>
        <v>44.776843042663366</v>
      </c>
      <c r="AF1056" s="16">
        <f>'Gearing Calculator'!$C$17*Braking!AD1056</f>
        <v>2888.2890557664914</v>
      </c>
      <c r="AG1056" s="16">
        <f t="shared" si="66"/>
        <v>-10.850071584397037</v>
      </c>
    </row>
    <row r="1057" spans="29:33" x14ac:dyDescent="0.25">
      <c r="AC1057" s="16">
        <v>1053</v>
      </c>
      <c r="AD1057" s="16">
        <f t="shared" si="67"/>
        <v>1926.0546951027347</v>
      </c>
      <c r="AE1057" s="16">
        <f t="shared" si="65"/>
        <v>44.819406581677306</v>
      </c>
      <c r="AF1057" s="16">
        <f>'Gearing Calculator'!$C$17*Braking!AD1057</f>
        <v>2889.0820426541022</v>
      </c>
      <c r="AG1057" s="16">
        <f t="shared" si="66"/>
        <v>-10.853050498324952</v>
      </c>
    </row>
    <row r="1058" spans="29:33" x14ac:dyDescent="0.25">
      <c r="AC1058" s="16">
        <v>1054</v>
      </c>
      <c r="AD1058" s="16">
        <f t="shared" si="67"/>
        <v>1926.5833530278087</v>
      </c>
      <c r="AE1058" s="16">
        <f t="shared" si="65"/>
        <v>44.861970120691247</v>
      </c>
      <c r="AF1058" s="16">
        <f>'Gearing Calculator'!$C$17*Braking!AD1058</f>
        <v>2889.875029541713</v>
      </c>
      <c r="AG1058" s="16">
        <f t="shared" si="66"/>
        <v>-10.856029412252868</v>
      </c>
    </row>
    <row r="1059" spans="29:33" x14ac:dyDescent="0.25">
      <c r="AC1059" s="16">
        <v>1055</v>
      </c>
      <c r="AD1059" s="16">
        <f t="shared" si="67"/>
        <v>1927.1120109528824</v>
      </c>
      <c r="AE1059" s="16">
        <f t="shared" si="65"/>
        <v>44.904533659705187</v>
      </c>
      <c r="AF1059" s="16">
        <f>'Gearing Calculator'!$C$17*Braking!AD1059</f>
        <v>2890.6680164293239</v>
      </c>
      <c r="AG1059" s="16">
        <f t="shared" si="66"/>
        <v>-10.859008326180781</v>
      </c>
    </row>
    <row r="1060" spans="29:33" x14ac:dyDescent="0.25">
      <c r="AC1060" s="16">
        <v>1056</v>
      </c>
      <c r="AD1060" s="16">
        <f t="shared" si="67"/>
        <v>1927.6406688779562</v>
      </c>
      <c r="AE1060" s="16">
        <f t="shared" si="65"/>
        <v>44.947097198719121</v>
      </c>
      <c r="AF1060" s="16">
        <f>'Gearing Calculator'!$C$17*Braking!AD1060</f>
        <v>2891.4610033169342</v>
      </c>
      <c r="AG1060" s="16">
        <f t="shared" si="66"/>
        <v>-10.861987240108695</v>
      </c>
    </row>
    <row r="1061" spans="29:33" x14ac:dyDescent="0.25">
      <c r="AC1061" s="16">
        <v>1057</v>
      </c>
      <c r="AD1061" s="16">
        <f t="shared" si="67"/>
        <v>1928.1693268030301</v>
      </c>
      <c r="AE1061" s="16">
        <f t="shared" si="65"/>
        <v>44.989660737733061</v>
      </c>
      <c r="AF1061" s="16">
        <f>'Gearing Calculator'!$C$17*Braking!AD1061</f>
        <v>2892.2539902045451</v>
      </c>
      <c r="AG1061" s="16">
        <f t="shared" si="66"/>
        <v>-10.864966154036608</v>
      </c>
    </row>
    <row r="1062" spans="29:33" x14ac:dyDescent="0.25">
      <c r="AC1062" s="16">
        <v>1058</v>
      </c>
      <c r="AD1062" s="16">
        <f t="shared" si="67"/>
        <v>1928.6979847281038</v>
      </c>
      <c r="AE1062" s="16">
        <f t="shared" si="65"/>
        <v>45.032224276747002</v>
      </c>
      <c r="AF1062" s="16">
        <f>'Gearing Calculator'!$C$17*Braking!AD1062</f>
        <v>2893.0469770921559</v>
      </c>
      <c r="AG1062" s="16">
        <f t="shared" si="66"/>
        <v>-10.867945067964524</v>
      </c>
    </row>
    <row r="1063" spans="29:33" x14ac:dyDescent="0.25">
      <c r="AC1063" s="16">
        <v>1059</v>
      </c>
      <c r="AD1063" s="16">
        <f t="shared" si="67"/>
        <v>1929.2266426531778</v>
      </c>
      <c r="AE1063" s="16">
        <f t="shared" si="65"/>
        <v>45.074787815760935</v>
      </c>
      <c r="AF1063" s="16">
        <f>'Gearing Calculator'!$C$17*Braking!AD1063</f>
        <v>2893.8399639797667</v>
      </c>
      <c r="AG1063" s="16">
        <f t="shared" si="66"/>
        <v>-10.870923981892437</v>
      </c>
    </row>
    <row r="1064" spans="29:33" x14ac:dyDescent="0.25">
      <c r="AC1064" s="16">
        <v>1060</v>
      </c>
      <c r="AD1064" s="16">
        <f t="shared" si="67"/>
        <v>1929.7553005782515</v>
      </c>
      <c r="AE1064" s="16">
        <f t="shared" si="65"/>
        <v>45.117351354774875</v>
      </c>
      <c r="AF1064" s="16">
        <f>'Gearing Calculator'!$C$17*Braking!AD1064</f>
        <v>2894.6329508673771</v>
      </c>
      <c r="AG1064" s="16">
        <f t="shared" si="66"/>
        <v>-10.873902895820351</v>
      </c>
    </row>
    <row r="1065" spans="29:33" x14ac:dyDescent="0.25">
      <c r="AC1065" s="16">
        <v>1061</v>
      </c>
      <c r="AD1065" s="16">
        <f t="shared" si="67"/>
        <v>1930.2839585033253</v>
      </c>
      <c r="AE1065" s="16">
        <f t="shared" si="65"/>
        <v>45.159914893788816</v>
      </c>
      <c r="AF1065" s="16">
        <f>'Gearing Calculator'!$C$17*Braking!AD1065</f>
        <v>2895.4259377549879</v>
      </c>
      <c r="AG1065" s="16">
        <f t="shared" si="66"/>
        <v>-10.876881809748264</v>
      </c>
    </row>
    <row r="1066" spans="29:33" x14ac:dyDescent="0.25">
      <c r="AC1066" s="16">
        <v>1062</v>
      </c>
      <c r="AD1066" s="16">
        <f t="shared" si="67"/>
        <v>1930.8126164283992</v>
      </c>
      <c r="AE1066" s="16">
        <f t="shared" si="65"/>
        <v>45.202478432802756</v>
      </c>
      <c r="AF1066" s="16">
        <f>'Gearing Calculator'!$C$17*Braking!AD1066</f>
        <v>2896.2189246425987</v>
      </c>
      <c r="AG1066" s="16">
        <f t="shared" si="66"/>
        <v>-10.879860723676179</v>
      </c>
    </row>
    <row r="1067" spans="29:33" x14ac:dyDescent="0.25">
      <c r="AC1067" s="16">
        <v>1063</v>
      </c>
      <c r="AD1067" s="16">
        <f t="shared" si="67"/>
        <v>1931.341274353473</v>
      </c>
      <c r="AE1067" s="16">
        <f t="shared" si="65"/>
        <v>45.24504197181669</v>
      </c>
      <c r="AF1067" s="16">
        <f>'Gearing Calculator'!$C$17*Braking!AD1067</f>
        <v>2897.0119115302095</v>
      </c>
      <c r="AG1067" s="16">
        <f t="shared" si="66"/>
        <v>-10.882839637604093</v>
      </c>
    </row>
    <row r="1068" spans="29:33" x14ac:dyDescent="0.25">
      <c r="AC1068" s="16">
        <v>1064</v>
      </c>
      <c r="AD1068" s="16">
        <f t="shared" si="67"/>
        <v>1931.8699322785469</v>
      </c>
      <c r="AE1068" s="16">
        <f t="shared" si="65"/>
        <v>45.28760551083063</v>
      </c>
      <c r="AF1068" s="16">
        <f>'Gearing Calculator'!$C$17*Braking!AD1068</f>
        <v>2897.8048984178204</v>
      </c>
      <c r="AG1068" s="16">
        <f t="shared" si="66"/>
        <v>-10.885818551532008</v>
      </c>
    </row>
    <row r="1069" spans="29:33" x14ac:dyDescent="0.25">
      <c r="AC1069" s="16">
        <v>1065</v>
      </c>
      <c r="AD1069" s="16">
        <f t="shared" si="67"/>
        <v>1932.3985902036206</v>
      </c>
      <c r="AE1069" s="16">
        <f t="shared" si="65"/>
        <v>45.330169049844571</v>
      </c>
      <c r="AF1069" s="16">
        <f>'Gearing Calculator'!$C$17*Braking!AD1069</f>
        <v>2898.5978853054312</v>
      </c>
      <c r="AG1069" s="16">
        <f t="shared" si="66"/>
        <v>-10.888797465459922</v>
      </c>
    </row>
    <row r="1070" spans="29:33" x14ac:dyDescent="0.25">
      <c r="AC1070" s="16">
        <v>1066</v>
      </c>
      <c r="AD1070" s="16">
        <f t="shared" si="67"/>
        <v>1932.9272481286944</v>
      </c>
      <c r="AE1070" s="16">
        <f t="shared" si="65"/>
        <v>45.372732588858511</v>
      </c>
      <c r="AF1070" s="16">
        <f>'Gearing Calculator'!$C$17*Braking!AD1070</f>
        <v>2899.3908721930416</v>
      </c>
      <c r="AG1070" s="16">
        <f t="shared" si="66"/>
        <v>-10.891776379387835</v>
      </c>
    </row>
    <row r="1071" spans="29:33" x14ac:dyDescent="0.25">
      <c r="AC1071" s="16">
        <v>1067</v>
      </c>
      <c r="AD1071" s="16">
        <f t="shared" si="67"/>
        <v>1933.4559060537683</v>
      </c>
      <c r="AE1071" s="16">
        <f t="shared" si="65"/>
        <v>45.415296127872445</v>
      </c>
      <c r="AF1071" s="16">
        <f>'Gearing Calculator'!$C$17*Braking!AD1071</f>
        <v>2900.1838590806524</v>
      </c>
      <c r="AG1071" s="16">
        <f t="shared" si="66"/>
        <v>-10.89475529331575</v>
      </c>
    </row>
    <row r="1072" spans="29:33" x14ac:dyDescent="0.25">
      <c r="AC1072" s="16">
        <v>1068</v>
      </c>
      <c r="AD1072" s="16">
        <f t="shared" si="67"/>
        <v>1933.9845639788421</v>
      </c>
      <c r="AE1072" s="16">
        <f t="shared" si="65"/>
        <v>45.457859666886385</v>
      </c>
      <c r="AF1072" s="16">
        <f>'Gearing Calculator'!$C$17*Braking!AD1072</f>
        <v>2900.9768459682632</v>
      </c>
      <c r="AG1072" s="16">
        <f t="shared" si="66"/>
        <v>-10.897734207243664</v>
      </c>
    </row>
    <row r="1073" spans="29:33" x14ac:dyDescent="0.25">
      <c r="AC1073" s="16">
        <v>1069</v>
      </c>
      <c r="AD1073" s="16">
        <f t="shared" si="67"/>
        <v>1934.513221903916</v>
      </c>
      <c r="AE1073" s="16">
        <f t="shared" si="65"/>
        <v>45.500423205900326</v>
      </c>
      <c r="AF1073" s="16">
        <f>'Gearing Calculator'!$C$17*Braking!AD1073</f>
        <v>2901.769832855874</v>
      </c>
      <c r="AG1073" s="16">
        <f t="shared" si="66"/>
        <v>-10.900713121171579</v>
      </c>
    </row>
    <row r="1074" spans="29:33" x14ac:dyDescent="0.25">
      <c r="AC1074" s="16">
        <v>1070</v>
      </c>
      <c r="AD1074" s="16">
        <f t="shared" si="67"/>
        <v>1935.0418798289897</v>
      </c>
      <c r="AE1074" s="16">
        <f t="shared" si="65"/>
        <v>45.542986744914266</v>
      </c>
      <c r="AF1074" s="16">
        <f>'Gearing Calculator'!$C$17*Braking!AD1074</f>
        <v>2902.5628197434844</v>
      </c>
      <c r="AG1074" s="16">
        <f t="shared" si="66"/>
        <v>-10.903692035099491</v>
      </c>
    </row>
    <row r="1075" spans="29:33" x14ac:dyDescent="0.25">
      <c r="AC1075" s="16">
        <v>1071</v>
      </c>
      <c r="AD1075" s="16">
        <f t="shared" si="67"/>
        <v>1935.5705377540635</v>
      </c>
      <c r="AE1075" s="16">
        <f t="shared" si="65"/>
        <v>45.5855502839282</v>
      </c>
      <c r="AF1075" s="16">
        <f>'Gearing Calculator'!$C$17*Braking!AD1075</f>
        <v>2903.3558066310952</v>
      </c>
      <c r="AG1075" s="16">
        <f t="shared" si="66"/>
        <v>-10.906670949027406</v>
      </c>
    </row>
    <row r="1076" spans="29:33" x14ac:dyDescent="0.25">
      <c r="AC1076" s="16">
        <v>1072</v>
      </c>
      <c r="AD1076" s="16">
        <f t="shared" si="67"/>
        <v>1936.0991956791374</v>
      </c>
      <c r="AE1076" s="16">
        <f t="shared" si="65"/>
        <v>45.62811382294214</v>
      </c>
      <c r="AF1076" s="16">
        <f>'Gearing Calculator'!$C$17*Braking!AD1076</f>
        <v>2904.148793518706</v>
      </c>
      <c r="AG1076" s="16">
        <f t="shared" si="66"/>
        <v>-10.90964986295532</v>
      </c>
    </row>
    <row r="1077" spans="29:33" x14ac:dyDescent="0.25">
      <c r="AC1077" s="16">
        <v>1073</v>
      </c>
      <c r="AD1077" s="16">
        <f t="shared" si="67"/>
        <v>1936.6278536042112</v>
      </c>
      <c r="AE1077" s="16">
        <f t="shared" si="65"/>
        <v>45.670677361956081</v>
      </c>
      <c r="AF1077" s="16">
        <f>'Gearing Calculator'!$C$17*Braking!AD1077</f>
        <v>2904.9417804063169</v>
      </c>
      <c r="AG1077" s="16">
        <f t="shared" si="66"/>
        <v>-10.912628776883235</v>
      </c>
    </row>
    <row r="1078" spans="29:33" x14ac:dyDescent="0.25">
      <c r="AC1078" s="16">
        <v>1074</v>
      </c>
      <c r="AD1078" s="16">
        <f t="shared" si="67"/>
        <v>1937.1565115292851</v>
      </c>
      <c r="AE1078" s="16">
        <f t="shared" si="65"/>
        <v>45.713240900970014</v>
      </c>
      <c r="AF1078" s="16">
        <f>'Gearing Calculator'!$C$17*Braking!AD1078</f>
        <v>2905.7347672939277</v>
      </c>
      <c r="AG1078" s="16">
        <f t="shared" si="66"/>
        <v>-10.915607690811148</v>
      </c>
    </row>
    <row r="1079" spans="29:33" x14ac:dyDescent="0.25">
      <c r="AC1079" s="16">
        <v>1075</v>
      </c>
      <c r="AD1079" s="16">
        <f t="shared" si="67"/>
        <v>1937.6851694543589</v>
      </c>
      <c r="AE1079" s="16">
        <f t="shared" si="65"/>
        <v>45.755804439983955</v>
      </c>
      <c r="AF1079" s="16">
        <f>'Gearing Calculator'!$C$17*Braking!AD1079</f>
        <v>2906.5277541815385</v>
      </c>
      <c r="AG1079" s="16">
        <f t="shared" si="66"/>
        <v>-10.918586604739064</v>
      </c>
    </row>
    <row r="1080" spans="29:33" x14ac:dyDescent="0.25">
      <c r="AC1080" s="16">
        <v>1076</v>
      </c>
      <c r="AD1080" s="16">
        <f t="shared" si="67"/>
        <v>1938.2138273794326</v>
      </c>
      <c r="AE1080" s="16">
        <f t="shared" si="65"/>
        <v>45.798367978997895</v>
      </c>
      <c r="AF1080" s="16">
        <f>'Gearing Calculator'!$C$17*Braking!AD1080</f>
        <v>2907.3207410691489</v>
      </c>
      <c r="AG1080" s="16">
        <f t="shared" si="66"/>
        <v>-10.921565518666975</v>
      </c>
    </row>
    <row r="1081" spans="29:33" x14ac:dyDescent="0.25">
      <c r="AC1081" s="16">
        <v>1077</v>
      </c>
      <c r="AD1081" s="16">
        <f t="shared" si="67"/>
        <v>1938.7424853045065</v>
      </c>
      <c r="AE1081" s="16">
        <f t="shared" si="65"/>
        <v>45.840931518011836</v>
      </c>
      <c r="AF1081" s="16">
        <f>'Gearing Calculator'!$C$17*Braking!AD1081</f>
        <v>2908.1137279567597</v>
      </c>
      <c r="AG1081" s="16">
        <f t="shared" si="66"/>
        <v>-10.924544432594891</v>
      </c>
    </row>
    <row r="1082" spans="29:33" x14ac:dyDescent="0.25">
      <c r="AC1082" s="16">
        <v>1078</v>
      </c>
      <c r="AD1082" s="16">
        <f t="shared" si="67"/>
        <v>1939.2711432295805</v>
      </c>
      <c r="AE1082" s="16">
        <f t="shared" si="65"/>
        <v>45.883495057025769</v>
      </c>
      <c r="AF1082" s="16">
        <f>'Gearing Calculator'!$C$17*Braking!AD1082</f>
        <v>2908.906714844371</v>
      </c>
      <c r="AG1082" s="16">
        <f t="shared" si="66"/>
        <v>-10.927523346522806</v>
      </c>
    </row>
    <row r="1083" spans="29:33" x14ac:dyDescent="0.25">
      <c r="AC1083" s="16">
        <v>1079</v>
      </c>
      <c r="AD1083" s="16">
        <f t="shared" si="67"/>
        <v>1939.7998011546542</v>
      </c>
      <c r="AE1083" s="16">
        <f t="shared" si="65"/>
        <v>45.926058596039709</v>
      </c>
      <c r="AF1083" s="16">
        <f>'Gearing Calculator'!$C$17*Braking!AD1083</f>
        <v>2909.6997017319813</v>
      </c>
      <c r="AG1083" s="16">
        <f t="shared" si="66"/>
        <v>-10.930502260450719</v>
      </c>
    </row>
    <row r="1084" spans="29:33" x14ac:dyDescent="0.25">
      <c r="AC1084" s="16">
        <v>1080</v>
      </c>
      <c r="AD1084" s="16">
        <f t="shared" si="67"/>
        <v>1940.328459079728</v>
      </c>
      <c r="AE1084" s="16">
        <f t="shared" si="65"/>
        <v>45.96862213505365</v>
      </c>
      <c r="AF1084" s="16">
        <f>'Gearing Calculator'!$C$17*Braking!AD1084</f>
        <v>2910.4926886195917</v>
      </c>
      <c r="AG1084" s="16">
        <f t="shared" si="66"/>
        <v>-10.933481174378633</v>
      </c>
    </row>
    <row r="1085" spans="29:33" x14ac:dyDescent="0.25">
      <c r="AC1085" s="16">
        <v>1081</v>
      </c>
      <c r="AD1085" s="16">
        <f t="shared" si="67"/>
        <v>1940.8571170048017</v>
      </c>
      <c r="AE1085" s="16">
        <f t="shared" si="65"/>
        <v>46.01118567406759</v>
      </c>
      <c r="AF1085" s="16">
        <f>'Gearing Calculator'!$C$17*Braking!AD1085</f>
        <v>2911.2856755072025</v>
      </c>
      <c r="AG1085" s="16">
        <f t="shared" si="66"/>
        <v>-10.936460088306546</v>
      </c>
    </row>
    <row r="1086" spans="29:33" x14ac:dyDescent="0.25">
      <c r="AC1086" s="16">
        <v>1082</v>
      </c>
      <c r="AD1086" s="16">
        <f t="shared" si="67"/>
        <v>1941.3857749298757</v>
      </c>
      <c r="AE1086" s="16">
        <f t="shared" si="65"/>
        <v>46.053749213081524</v>
      </c>
      <c r="AF1086" s="16">
        <f>'Gearing Calculator'!$C$17*Braking!AD1086</f>
        <v>2912.0786623948134</v>
      </c>
      <c r="AG1086" s="16">
        <f t="shared" si="66"/>
        <v>-10.939439002234462</v>
      </c>
    </row>
    <row r="1087" spans="29:33" x14ac:dyDescent="0.25">
      <c r="AC1087" s="16">
        <v>1083</v>
      </c>
      <c r="AD1087" s="16">
        <f t="shared" si="67"/>
        <v>1941.9144328549496</v>
      </c>
      <c r="AE1087" s="16">
        <f t="shared" ref="AE1087:AE1150" si="68">(AC1087/$X$104)*100</f>
        <v>46.096312752095464</v>
      </c>
      <c r="AF1087" s="16">
        <f>'Gearing Calculator'!$C$17*Braking!AD1087</f>
        <v>2912.8716492824242</v>
      </c>
      <c r="AG1087" s="16">
        <f t="shared" si="66"/>
        <v>-10.942417916162375</v>
      </c>
    </row>
    <row r="1088" spans="29:33" x14ac:dyDescent="0.25">
      <c r="AC1088" s="16">
        <v>1084</v>
      </c>
      <c r="AD1088" s="16">
        <f t="shared" si="67"/>
        <v>1942.4430907800233</v>
      </c>
      <c r="AE1088" s="16">
        <f t="shared" si="68"/>
        <v>46.138876291109405</v>
      </c>
      <c r="AF1088" s="16">
        <f>'Gearing Calculator'!$C$17*Braking!AD1088</f>
        <v>2913.664636170035</v>
      </c>
      <c r="AG1088" s="16">
        <f t="shared" si="66"/>
        <v>-10.94539683009029</v>
      </c>
    </row>
    <row r="1089" spans="29:33" x14ac:dyDescent="0.25">
      <c r="AC1089" s="16">
        <v>1085</v>
      </c>
      <c r="AD1089" s="16">
        <f t="shared" si="67"/>
        <v>1942.9717487050971</v>
      </c>
      <c r="AE1089" s="16">
        <f t="shared" si="68"/>
        <v>46.181439830123345</v>
      </c>
      <c r="AF1089" s="16">
        <f>'Gearing Calculator'!$C$17*Braking!AD1089</f>
        <v>2914.4576230576458</v>
      </c>
      <c r="AG1089" s="16">
        <f t="shared" si="66"/>
        <v>-10.948375744018204</v>
      </c>
    </row>
    <row r="1090" spans="29:33" x14ac:dyDescent="0.25">
      <c r="AC1090" s="16">
        <v>1086</v>
      </c>
      <c r="AD1090" s="16">
        <f t="shared" si="67"/>
        <v>1943.5004066301708</v>
      </c>
      <c r="AE1090" s="16">
        <f t="shared" si="68"/>
        <v>46.224003369137279</v>
      </c>
      <c r="AF1090" s="16">
        <f>'Gearing Calculator'!$C$17*Braking!AD1090</f>
        <v>2915.2506099452562</v>
      </c>
      <c r="AG1090" s="16">
        <f t="shared" si="66"/>
        <v>-10.951354657946117</v>
      </c>
    </row>
    <row r="1091" spans="29:33" x14ac:dyDescent="0.25">
      <c r="AC1091" s="16">
        <v>1087</v>
      </c>
      <c r="AD1091" s="16">
        <f t="shared" si="67"/>
        <v>1944.0290645552448</v>
      </c>
      <c r="AE1091" s="16">
        <f t="shared" si="68"/>
        <v>46.266566908151219</v>
      </c>
      <c r="AF1091" s="16">
        <f>'Gearing Calculator'!$C$17*Braking!AD1091</f>
        <v>2916.043596832867</v>
      </c>
      <c r="AG1091" s="16">
        <f t="shared" si="66"/>
        <v>-10.954333571874031</v>
      </c>
    </row>
    <row r="1092" spans="29:33" x14ac:dyDescent="0.25">
      <c r="AC1092" s="16">
        <v>1088</v>
      </c>
      <c r="AD1092" s="16">
        <f t="shared" si="67"/>
        <v>1944.5577224803187</v>
      </c>
      <c r="AE1092" s="16">
        <f t="shared" si="68"/>
        <v>46.30913044716516</v>
      </c>
      <c r="AF1092" s="16">
        <f>'Gearing Calculator'!$C$17*Braking!AD1092</f>
        <v>2916.8365837204783</v>
      </c>
      <c r="AG1092" s="16">
        <f t="shared" si="66"/>
        <v>-10.957312485801948</v>
      </c>
    </row>
    <row r="1093" spans="29:33" x14ac:dyDescent="0.25">
      <c r="AC1093" s="16">
        <v>1089</v>
      </c>
      <c r="AD1093" s="16">
        <f t="shared" si="67"/>
        <v>1945.0863804053924</v>
      </c>
      <c r="AE1093" s="16">
        <f t="shared" si="68"/>
        <v>46.351693986179093</v>
      </c>
      <c r="AF1093" s="16">
        <f>'Gearing Calculator'!$C$17*Braking!AD1093</f>
        <v>2917.6295706080887</v>
      </c>
      <c r="AG1093" s="16">
        <f t="shared" si="66"/>
        <v>-10.96029139972986</v>
      </c>
    </row>
    <row r="1094" spans="29:33" x14ac:dyDescent="0.25">
      <c r="AC1094" s="16">
        <v>1090</v>
      </c>
      <c r="AD1094" s="16">
        <f t="shared" si="67"/>
        <v>1945.6150383304662</v>
      </c>
      <c r="AE1094" s="16">
        <f t="shared" si="68"/>
        <v>46.394257525193034</v>
      </c>
      <c r="AF1094" s="16">
        <f>'Gearing Calculator'!$C$17*Braking!AD1094</f>
        <v>2918.422557495699</v>
      </c>
      <c r="AG1094" s="16">
        <f t="shared" ref="AG1094:AG1157" si="69">-(AF1094/$C$3)</f>
        <v>-10.963270313657773</v>
      </c>
    </row>
    <row r="1095" spans="29:33" x14ac:dyDescent="0.25">
      <c r="AC1095" s="16">
        <v>1091</v>
      </c>
      <c r="AD1095" s="16">
        <f t="shared" ref="AD1095:AD1158" si="70">($C$3*$C$4)*($C$9/$C$8)+(AC1095*($C$10/$C$8))</f>
        <v>1946.1436962555399</v>
      </c>
      <c r="AE1095" s="16">
        <f t="shared" si="68"/>
        <v>46.436821064206974</v>
      </c>
      <c r="AF1095" s="16">
        <f>'Gearing Calculator'!$C$17*Braking!AD1095</f>
        <v>2919.2155443833099</v>
      </c>
      <c r="AG1095" s="16">
        <f t="shared" si="69"/>
        <v>-10.966249227585687</v>
      </c>
    </row>
    <row r="1096" spans="29:33" x14ac:dyDescent="0.25">
      <c r="AC1096" s="16">
        <v>1092</v>
      </c>
      <c r="AD1096" s="16">
        <f t="shared" si="70"/>
        <v>1946.6723541806139</v>
      </c>
      <c r="AE1096" s="16">
        <f t="shared" si="68"/>
        <v>46.479384603220915</v>
      </c>
      <c r="AF1096" s="16">
        <f>'Gearing Calculator'!$C$17*Braking!AD1096</f>
        <v>2920.0085312709207</v>
      </c>
      <c r="AG1096" s="16">
        <f t="shared" si="69"/>
        <v>-10.969228141513602</v>
      </c>
    </row>
    <row r="1097" spans="29:33" x14ac:dyDescent="0.25">
      <c r="AC1097" s="16">
        <v>1093</v>
      </c>
      <c r="AD1097" s="16">
        <f t="shared" si="70"/>
        <v>1947.2010121056878</v>
      </c>
      <c r="AE1097" s="16">
        <f t="shared" si="68"/>
        <v>46.521948142234848</v>
      </c>
      <c r="AF1097" s="16">
        <f>'Gearing Calculator'!$C$17*Braking!AD1097</f>
        <v>2920.8015181585315</v>
      </c>
      <c r="AG1097" s="16">
        <f t="shared" si="69"/>
        <v>-10.972207055441515</v>
      </c>
    </row>
    <row r="1098" spans="29:33" x14ac:dyDescent="0.25">
      <c r="AC1098" s="16">
        <v>1094</v>
      </c>
      <c r="AD1098" s="16">
        <f t="shared" si="70"/>
        <v>1947.7296700307616</v>
      </c>
      <c r="AE1098" s="16">
        <f t="shared" si="68"/>
        <v>46.564511681248788</v>
      </c>
      <c r="AF1098" s="16">
        <f>'Gearing Calculator'!$C$17*Braking!AD1098</f>
        <v>2921.5945050461423</v>
      </c>
      <c r="AG1098" s="16">
        <f t="shared" si="69"/>
        <v>-10.975185969369431</v>
      </c>
    </row>
    <row r="1099" spans="29:33" x14ac:dyDescent="0.25">
      <c r="AC1099" s="16">
        <v>1095</v>
      </c>
      <c r="AD1099" s="16">
        <f t="shared" si="70"/>
        <v>1948.2583279558353</v>
      </c>
      <c r="AE1099" s="16">
        <f t="shared" si="68"/>
        <v>46.607075220262729</v>
      </c>
      <c r="AF1099" s="16">
        <f>'Gearing Calculator'!$C$17*Braking!AD1099</f>
        <v>2922.3874919337532</v>
      </c>
      <c r="AG1099" s="16">
        <f t="shared" si="69"/>
        <v>-10.978164883297346</v>
      </c>
    </row>
    <row r="1100" spans="29:33" x14ac:dyDescent="0.25">
      <c r="AC1100" s="16">
        <v>1096</v>
      </c>
      <c r="AD1100" s="16">
        <f t="shared" si="70"/>
        <v>1948.786985880909</v>
      </c>
      <c r="AE1100" s="16">
        <f t="shared" si="68"/>
        <v>46.649638759276669</v>
      </c>
      <c r="AF1100" s="16">
        <f>'Gearing Calculator'!$C$17*Braking!AD1100</f>
        <v>2923.1804788213635</v>
      </c>
      <c r="AG1100" s="16">
        <f t="shared" si="69"/>
        <v>-10.981143797225258</v>
      </c>
    </row>
    <row r="1101" spans="29:33" x14ac:dyDescent="0.25">
      <c r="AC1101" s="16">
        <v>1097</v>
      </c>
      <c r="AD1101" s="16">
        <f t="shared" si="70"/>
        <v>1949.315643805983</v>
      </c>
      <c r="AE1101" s="16">
        <f t="shared" si="68"/>
        <v>46.692202298290603</v>
      </c>
      <c r="AF1101" s="16">
        <f>'Gearing Calculator'!$C$17*Braking!AD1101</f>
        <v>2923.9734657089743</v>
      </c>
      <c r="AG1101" s="16">
        <f t="shared" si="69"/>
        <v>-10.984122711153173</v>
      </c>
    </row>
    <row r="1102" spans="29:33" x14ac:dyDescent="0.25">
      <c r="AC1102" s="16">
        <v>1098</v>
      </c>
      <c r="AD1102" s="16">
        <f t="shared" si="70"/>
        <v>1949.8443017310569</v>
      </c>
      <c r="AE1102" s="16">
        <f t="shared" si="68"/>
        <v>46.734765837304543</v>
      </c>
      <c r="AF1102" s="16">
        <f>'Gearing Calculator'!$C$17*Braking!AD1102</f>
        <v>2924.7664525965856</v>
      </c>
      <c r="AG1102" s="16">
        <f t="shared" si="69"/>
        <v>-10.987101625081088</v>
      </c>
    </row>
    <row r="1103" spans="29:33" x14ac:dyDescent="0.25">
      <c r="AC1103" s="16">
        <v>1099</v>
      </c>
      <c r="AD1103" s="16">
        <f t="shared" si="70"/>
        <v>1950.3729596561307</v>
      </c>
      <c r="AE1103" s="16">
        <f t="shared" si="68"/>
        <v>46.777329376318484</v>
      </c>
      <c r="AF1103" s="16">
        <f>'Gearing Calculator'!$C$17*Braking!AD1103</f>
        <v>2925.559439484196</v>
      </c>
      <c r="AG1103" s="16">
        <f t="shared" si="69"/>
        <v>-10.990080539009002</v>
      </c>
    </row>
    <row r="1104" spans="29:33" x14ac:dyDescent="0.25">
      <c r="AC1104" s="16">
        <v>1100</v>
      </c>
      <c r="AD1104" s="16">
        <f t="shared" si="70"/>
        <v>1950.9016175812044</v>
      </c>
      <c r="AE1104" s="16">
        <f t="shared" si="68"/>
        <v>46.819892915332417</v>
      </c>
      <c r="AF1104" s="16">
        <f>'Gearing Calculator'!$C$17*Braking!AD1104</f>
        <v>2926.3524263718064</v>
      </c>
      <c r="AG1104" s="16">
        <f t="shared" si="69"/>
        <v>-10.993059452936913</v>
      </c>
    </row>
    <row r="1105" spans="29:33" x14ac:dyDescent="0.25">
      <c r="AC1105" s="16">
        <v>1101</v>
      </c>
      <c r="AD1105" s="16">
        <f t="shared" si="70"/>
        <v>1951.4302755062781</v>
      </c>
      <c r="AE1105" s="16">
        <f t="shared" si="68"/>
        <v>46.862456454346358</v>
      </c>
      <c r="AF1105" s="16">
        <f>'Gearing Calculator'!$C$17*Braking!AD1105</f>
        <v>2927.1454132594172</v>
      </c>
      <c r="AG1105" s="16">
        <f t="shared" si="69"/>
        <v>-10.996038366864829</v>
      </c>
    </row>
    <row r="1106" spans="29:33" x14ac:dyDescent="0.25">
      <c r="AC1106" s="16">
        <v>1102</v>
      </c>
      <c r="AD1106" s="16">
        <f t="shared" si="70"/>
        <v>1951.9589334313521</v>
      </c>
      <c r="AE1106" s="16">
        <f t="shared" si="68"/>
        <v>46.905019993360298</v>
      </c>
      <c r="AF1106" s="16">
        <f>'Gearing Calculator'!$C$17*Braking!AD1106</f>
        <v>2927.938400147028</v>
      </c>
      <c r="AG1106" s="16">
        <f t="shared" si="69"/>
        <v>-10.999017280792742</v>
      </c>
    </row>
    <row r="1107" spans="29:33" x14ac:dyDescent="0.25">
      <c r="AC1107" s="16">
        <v>1103</v>
      </c>
      <c r="AD1107" s="16">
        <f t="shared" si="70"/>
        <v>1952.487591356426</v>
      </c>
      <c r="AE1107" s="16">
        <f t="shared" si="68"/>
        <v>46.947583532374239</v>
      </c>
      <c r="AF1107" s="16">
        <f>'Gearing Calculator'!$C$17*Braking!AD1107</f>
        <v>2928.7313870346388</v>
      </c>
      <c r="AG1107" s="16">
        <f t="shared" si="69"/>
        <v>-11.001996194720657</v>
      </c>
    </row>
    <row r="1108" spans="29:33" x14ac:dyDescent="0.25">
      <c r="AC1108" s="16">
        <v>1104</v>
      </c>
      <c r="AD1108" s="16">
        <f t="shared" si="70"/>
        <v>1953.0162492814998</v>
      </c>
      <c r="AE1108" s="16">
        <f t="shared" si="68"/>
        <v>46.990147071388172</v>
      </c>
      <c r="AF1108" s="16">
        <f>'Gearing Calculator'!$C$17*Braking!AD1108</f>
        <v>2929.5243739222497</v>
      </c>
      <c r="AG1108" s="16">
        <f t="shared" si="69"/>
        <v>-11.004975108648571</v>
      </c>
    </row>
    <row r="1109" spans="29:33" x14ac:dyDescent="0.25">
      <c r="AC1109" s="16">
        <v>1105</v>
      </c>
      <c r="AD1109" s="16">
        <f t="shared" si="70"/>
        <v>1953.5449072065735</v>
      </c>
      <c r="AE1109" s="16">
        <f t="shared" si="68"/>
        <v>47.032710610402113</v>
      </c>
      <c r="AF1109" s="16">
        <f>'Gearing Calculator'!$C$17*Braking!AD1109</f>
        <v>2930.3173608098605</v>
      </c>
      <c r="AG1109" s="16">
        <f t="shared" si="69"/>
        <v>-11.007954022576486</v>
      </c>
    </row>
    <row r="1110" spans="29:33" x14ac:dyDescent="0.25">
      <c r="AC1110" s="16">
        <v>1106</v>
      </c>
      <c r="AD1110" s="16">
        <f t="shared" si="70"/>
        <v>1954.0735651316472</v>
      </c>
      <c r="AE1110" s="16">
        <f t="shared" si="68"/>
        <v>47.075274149416053</v>
      </c>
      <c r="AF1110" s="16">
        <f>'Gearing Calculator'!$C$17*Braking!AD1110</f>
        <v>2931.1103476974708</v>
      </c>
      <c r="AG1110" s="16">
        <f t="shared" si="69"/>
        <v>-11.010932936504398</v>
      </c>
    </row>
    <row r="1111" spans="29:33" x14ac:dyDescent="0.25">
      <c r="AC1111" s="16">
        <v>1107</v>
      </c>
      <c r="AD1111" s="16">
        <f t="shared" si="70"/>
        <v>1954.6022230567212</v>
      </c>
      <c r="AE1111" s="16">
        <f t="shared" si="68"/>
        <v>47.117837688429994</v>
      </c>
      <c r="AF1111" s="16">
        <f>'Gearing Calculator'!$C$17*Braking!AD1111</f>
        <v>2931.9033345850817</v>
      </c>
      <c r="AG1111" s="16">
        <f t="shared" si="69"/>
        <v>-11.013911850432313</v>
      </c>
    </row>
    <row r="1112" spans="29:33" x14ac:dyDescent="0.25">
      <c r="AC1112" s="16">
        <v>1108</v>
      </c>
      <c r="AD1112" s="16">
        <f t="shared" si="70"/>
        <v>1955.1308809817951</v>
      </c>
      <c r="AE1112" s="16">
        <f t="shared" si="68"/>
        <v>47.160401227443927</v>
      </c>
      <c r="AF1112" s="16">
        <f>'Gearing Calculator'!$C$17*Braking!AD1112</f>
        <v>2932.6963214726929</v>
      </c>
      <c r="AG1112" s="16">
        <f t="shared" si="69"/>
        <v>-11.01689076436023</v>
      </c>
    </row>
    <row r="1113" spans="29:33" x14ac:dyDescent="0.25">
      <c r="AC1113" s="16">
        <v>1109</v>
      </c>
      <c r="AD1113" s="16">
        <f t="shared" si="70"/>
        <v>1955.6595389068689</v>
      </c>
      <c r="AE1113" s="16">
        <f t="shared" si="68"/>
        <v>47.202964766457868</v>
      </c>
      <c r="AF1113" s="16">
        <f>'Gearing Calculator'!$C$17*Braking!AD1113</f>
        <v>2933.4893083603033</v>
      </c>
      <c r="AG1113" s="16">
        <f t="shared" si="69"/>
        <v>-11.019869678288142</v>
      </c>
    </row>
    <row r="1114" spans="29:33" x14ac:dyDescent="0.25">
      <c r="AC1114" s="16">
        <v>1110</v>
      </c>
      <c r="AD1114" s="16">
        <f t="shared" si="70"/>
        <v>1956.1881968319426</v>
      </c>
      <c r="AE1114" s="16">
        <f t="shared" si="68"/>
        <v>47.245528305471808</v>
      </c>
      <c r="AF1114" s="16">
        <f>'Gearing Calculator'!$C$17*Braking!AD1114</f>
        <v>2934.2822952479137</v>
      </c>
      <c r="AG1114" s="16">
        <f t="shared" si="69"/>
        <v>-11.022848592216056</v>
      </c>
    </row>
    <row r="1115" spans="29:33" x14ac:dyDescent="0.25">
      <c r="AC1115" s="16">
        <v>1111</v>
      </c>
      <c r="AD1115" s="16">
        <f t="shared" si="70"/>
        <v>1956.7168547570163</v>
      </c>
      <c r="AE1115" s="16">
        <f t="shared" si="68"/>
        <v>47.288091844485749</v>
      </c>
      <c r="AF1115" s="16">
        <f>'Gearing Calculator'!$C$17*Braking!AD1115</f>
        <v>2935.0752821355245</v>
      </c>
      <c r="AG1115" s="16">
        <f t="shared" si="69"/>
        <v>-11.025827506143969</v>
      </c>
    </row>
    <row r="1116" spans="29:33" x14ac:dyDescent="0.25">
      <c r="AC1116" s="16">
        <v>1112</v>
      </c>
      <c r="AD1116" s="16">
        <f t="shared" si="70"/>
        <v>1957.2455126820903</v>
      </c>
      <c r="AE1116" s="16">
        <f t="shared" si="68"/>
        <v>47.330655383499682</v>
      </c>
      <c r="AF1116" s="16">
        <f>'Gearing Calculator'!$C$17*Braking!AD1116</f>
        <v>2935.8682690231353</v>
      </c>
      <c r="AG1116" s="16">
        <f t="shared" si="69"/>
        <v>-11.028806420071884</v>
      </c>
    </row>
    <row r="1117" spans="29:33" x14ac:dyDescent="0.25">
      <c r="AC1117" s="16">
        <v>1113</v>
      </c>
      <c r="AD1117" s="16">
        <f t="shared" si="70"/>
        <v>1957.7741706071643</v>
      </c>
      <c r="AE1117" s="16">
        <f t="shared" si="68"/>
        <v>47.373218922513622</v>
      </c>
      <c r="AF1117" s="16">
        <f>'Gearing Calculator'!$C$17*Braking!AD1117</f>
        <v>2936.6612559107461</v>
      </c>
      <c r="AG1117" s="16">
        <f t="shared" si="69"/>
        <v>-11.031785333999798</v>
      </c>
    </row>
    <row r="1118" spans="29:33" x14ac:dyDescent="0.25">
      <c r="AC1118" s="16">
        <v>1114</v>
      </c>
      <c r="AD1118" s="16">
        <f t="shared" si="70"/>
        <v>1958.302828532238</v>
      </c>
      <c r="AE1118" s="16">
        <f t="shared" si="68"/>
        <v>47.415782461527563</v>
      </c>
      <c r="AF1118" s="16">
        <f>'Gearing Calculator'!$C$17*Braking!AD1118</f>
        <v>2937.454242798357</v>
      </c>
      <c r="AG1118" s="16">
        <f t="shared" si="69"/>
        <v>-11.034764247927713</v>
      </c>
    </row>
    <row r="1119" spans="29:33" x14ac:dyDescent="0.25">
      <c r="AC1119" s="16">
        <v>1115</v>
      </c>
      <c r="AD1119" s="16">
        <f t="shared" si="70"/>
        <v>1958.8314864573117</v>
      </c>
      <c r="AE1119" s="16">
        <f t="shared" si="68"/>
        <v>47.458346000541496</v>
      </c>
      <c r="AF1119" s="16">
        <f>'Gearing Calculator'!$C$17*Braking!AD1119</f>
        <v>2938.2472296859678</v>
      </c>
      <c r="AG1119" s="16">
        <f t="shared" si="69"/>
        <v>-11.037743161855627</v>
      </c>
    </row>
    <row r="1120" spans="29:33" x14ac:dyDescent="0.25">
      <c r="AC1120" s="16">
        <v>1116</v>
      </c>
      <c r="AD1120" s="16">
        <f t="shared" si="70"/>
        <v>1959.3601443823854</v>
      </c>
      <c r="AE1120" s="16">
        <f t="shared" si="68"/>
        <v>47.500909539555437</v>
      </c>
      <c r="AF1120" s="16">
        <f>'Gearing Calculator'!$C$17*Braking!AD1120</f>
        <v>2939.0402165735782</v>
      </c>
      <c r="AG1120" s="16">
        <f t="shared" si="69"/>
        <v>-11.04072207578354</v>
      </c>
    </row>
    <row r="1121" spans="29:33" x14ac:dyDescent="0.25">
      <c r="AC1121" s="16">
        <v>1117</v>
      </c>
      <c r="AD1121" s="16">
        <f t="shared" si="70"/>
        <v>1959.8888023074594</v>
      </c>
      <c r="AE1121" s="16">
        <f t="shared" si="68"/>
        <v>47.543473078569377</v>
      </c>
      <c r="AF1121" s="16">
        <f>'Gearing Calculator'!$C$17*Braking!AD1121</f>
        <v>2939.833203461189</v>
      </c>
      <c r="AG1121" s="16">
        <f t="shared" si="69"/>
        <v>-11.043700989711454</v>
      </c>
    </row>
    <row r="1122" spans="29:33" x14ac:dyDescent="0.25">
      <c r="AC1122" s="16">
        <v>1118</v>
      </c>
      <c r="AD1122" s="16">
        <f t="shared" si="70"/>
        <v>1960.4174602325334</v>
      </c>
      <c r="AE1122" s="16">
        <f t="shared" si="68"/>
        <v>47.586036617583318</v>
      </c>
      <c r="AF1122" s="16">
        <f>'Gearing Calculator'!$C$17*Braking!AD1122</f>
        <v>2940.6261903488003</v>
      </c>
      <c r="AG1122" s="16">
        <f t="shared" si="69"/>
        <v>-11.046679903639371</v>
      </c>
    </row>
    <row r="1123" spans="29:33" x14ac:dyDescent="0.25">
      <c r="AC1123" s="16">
        <v>1119</v>
      </c>
      <c r="AD1123" s="16">
        <f t="shared" si="70"/>
        <v>1960.9461181576071</v>
      </c>
      <c r="AE1123" s="16">
        <f t="shared" si="68"/>
        <v>47.628600156597251</v>
      </c>
      <c r="AF1123" s="16">
        <f>'Gearing Calculator'!$C$17*Braking!AD1123</f>
        <v>2941.4191772364106</v>
      </c>
      <c r="AG1123" s="16">
        <f t="shared" si="69"/>
        <v>-11.049658817567282</v>
      </c>
    </row>
    <row r="1124" spans="29:33" x14ac:dyDescent="0.25">
      <c r="AC1124" s="16">
        <v>1120</v>
      </c>
      <c r="AD1124" s="16">
        <f t="shared" si="70"/>
        <v>1961.4747760826808</v>
      </c>
      <c r="AE1124" s="16">
        <f t="shared" si="68"/>
        <v>47.671163695611192</v>
      </c>
      <c r="AF1124" s="16">
        <f>'Gearing Calculator'!$C$17*Braking!AD1124</f>
        <v>2942.212164124021</v>
      </c>
      <c r="AG1124" s="16">
        <f t="shared" si="69"/>
        <v>-11.052637731495196</v>
      </c>
    </row>
    <row r="1125" spans="29:33" x14ac:dyDescent="0.25">
      <c r="AC1125" s="16">
        <v>1121</v>
      </c>
      <c r="AD1125" s="16">
        <f t="shared" si="70"/>
        <v>1962.0034340077545</v>
      </c>
      <c r="AE1125" s="16">
        <f t="shared" si="68"/>
        <v>47.713727234625132</v>
      </c>
      <c r="AF1125" s="16">
        <f>'Gearing Calculator'!$C$17*Braking!AD1125</f>
        <v>2943.0051510116318</v>
      </c>
      <c r="AG1125" s="16">
        <f t="shared" si="69"/>
        <v>-11.055616645423111</v>
      </c>
    </row>
    <row r="1126" spans="29:33" x14ac:dyDescent="0.25">
      <c r="AC1126" s="16">
        <v>1122</v>
      </c>
      <c r="AD1126" s="16">
        <f t="shared" si="70"/>
        <v>1962.5320919328285</v>
      </c>
      <c r="AE1126" s="16">
        <f t="shared" si="68"/>
        <v>47.756290773639073</v>
      </c>
      <c r="AF1126" s="16">
        <f>'Gearing Calculator'!$C$17*Braking!AD1126</f>
        <v>2943.7981378992426</v>
      </c>
      <c r="AG1126" s="16">
        <f t="shared" si="69"/>
        <v>-11.058595559351025</v>
      </c>
    </row>
    <row r="1127" spans="29:33" x14ac:dyDescent="0.25">
      <c r="AC1127" s="16">
        <v>1123</v>
      </c>
      <c r="AD1127" s="16">
        <f t="shared" si="70"/>
        <v>1963.0607498579025</v>
      </c>
      <c r="AE1127" s="16">
        <f t="shared" si="68"/>
        <v>47.798854312653006</v>
      </c>
      <c r="AF1127" s="16">
        <f>'Gearing Calculator'!$C$17*Braking!AD1127</f>
        <v>2944.5911247868535</v>
      </c>
      <c r="AG1127" s="16">
        <f t="shared" si="69"/>
        <v>-11.06157447327894</v>
      </c>
    </row>
    <row r="1128" spans="29:33" x14ac:dyDescent="0.25">
      <c r="AC1128" s="16">
        <v>1124</v>
      </c>
      <c r="AD1128" s="16">
        <f t="shared" si="70"/>
        <v>1963.5894077829762</v>
      </c>
      <c r="AE1128" s="16">
        <f t="shared" si="68"/>
        <v>47.841417851666947</v>
      </c>
      <c r="AF1128" s="16">
        <f>'Gearing Calculator'!$C$17*Braking!AD1128</f>
        <v>2945.3841116744643</v>
      </c>
      <c r="AG1128" s="16">
        <f t="shared" si="69"/>
        <v>-11.064553387206853</v>
      </c>
    </row>
    <row r="1129" spans="29:33" x14ac:dyDescent="0.25">
      <c r="AC1129" s="16">
        <v>1125</v>
      </c>
      <c r="AD1129" s="16">
        <f t="shared" si="70"/>
        <v>1964.1180657080499</v>
      </c>
      <c r="AE1129" s="16">
        <f t="shared" si="68"/>
        <v>47.883981390680887</v>
      </c>
      <c r="AF1129" s="16">
        <f>'Gearing Calculator'!$C$17*Braking!AD1129</f>
        <v>2946.1770985620751</v>
      </c>
      <c r="AG1129" s="16">
        <f t="shared" si="69"/>
        <v>-11.067532301134769</v>
      </c>
    </row>
    <row r="1130" spans="29:33" x14ac:dyDescent="0.25">
      <c r="AC1130" s="16">
        <v>1126</v>
      </c>
      <c r="AD1130" s="16">
        <f t="shared" si="70"/>
        <v>1964.6467236331237</v>
      </c>
      <c r="AE1130" s="16">
        <f t="shared" si="68"/>
        <v>47.92654492969482</v>
      </c>
      <c r="AF1130" s="16">
        <f>'Gearing Calculator'!$C$17*Braking!AD1130</f>
        <v>2946.9700854496855</v>
      </c>
      <c r="AG1130" s="16">
        <f t="shared" si="69"/>
        <v>-11.07051121506268</v>
      </c>
    </row>
    <row r="1131" spans="29:33" x14ac:dyDescent="0.25">
      <c r="AC1131" s="16">
        <v>1127</v>
      </c>
      <c r="AD1131" s="16">
        <f t="shared" si="70"/>
        <v>1965.1753815581976</v>
      </c>
      <c r="AE1131" s="16">
        <f t="shared" si="68"/>
        <v>47.969108468708761</v>
      </c>
      <c r="AF1131" s="16">
        <f>'Gearing Calculator'!$C$17*Braking!AD1131</f>
        <v>2947.7630723372963</v>
      </c>
      <c r="AG1131" s="16">
        <f t="shared" si="69"/>
        <v>-11.073490128990596</v>
      </c>
    </row>
    <row r="1132" spans="29:33" x14ac:dyDescent="0.25">
      <c r="AC1132" s="16">
        <v>1128</v>
      </c>
      <c r="AD1132" s="16">
        <f t="shared" si="70"/>
        <v>1965.7040394832716</v>
      </c>
      <c r="AE1132" s="16">
        <f t="shared" si="68"/>
        <v>48.011672007722701</v>
      </c>
      <c r="AF1132" s="16">
        <f>'Gearing Calculator'!$C$17*Braking!AD1132</f>
        <v>2948.5560592249076</v>
      </c>
      <c r="AG1132" s="16">
        <f t="shared" si="69"/>
        <v>-11.076469042918511</v>
      </c>
    </row>
    <row r="1133" spans="29:33" x14ac:dyDescent="0.25">
      <c r="AC1133" s="16">
        <v>1129</v>
      </c>
      <c r="AD1133" s="16">
        <f t="shared" si="70"/>
        <v>1966.2326974083453</v>
      </c>
      <c r="AE1133" s="16">
        <f t="shared" si="68"/>
        <v>48.054235546736642</v>
      </c>
      <c r="AF1133" s="16">
        <f>'Gearing Calculator'!$C$17*Braking!AD1133</f>
        <v>2949.349046112518</v>
      </c>
      <c r="AG1133" s="16">
        <f t="shared" si="69"/>
        <v>-11.079447956846424</v>
      </c>
    </row>
    <row r="1134" spans="29:33" x14ac:dyDescent="0.25">
      <c r="AC1134" s="16">
        <v>1130</v>
      </c>
      <c r="AD1134" s="16">
        <f t="shared" si="70"/>
        <v>1966.761355333419</v>
      </c>
      <c r="AE1134" s="16">
        <f t="shared" si="68"/>
        <v>48.096799085750575</v>
      </c>
      <c r="AF1134" s="16">
        <f>'Gearing Calculator'!$C$17*Braking!AD1134</f>
        <v>2950.1420330001283</v>
      </c>
      <c r="AG1134" s="16">
        <f t="shared" si="69"/>
        <v>-11.082426870774336</v>
      </c>
    </row>
    <row r="1135" spans="29:33" x14ac:dyDescent="0.25">
      <c r="AC1135" s="16">
        <v>1131</v>
      </c>
      <c r="AD1135" s="16">
        <f t="shared" si="70"/>
        <v>1967.2900132584928</v>
      </c>
      <c r="AE1135" s="16">
        <f t="shared" si="68"/>
        <v>48.139362624764516</v>
      </c>
      <c r="AF1135" s="16">
        <f>'Gearing Calculator'!$C$17*Braking!AD1135</f>
        <v>2950.9350198877391</v>
      </c>
      <c r="AG1135" s="16">
        <f t="shared" si="69"/>
        <v>-11.085405784702251</v>
      </c>
    </row>
    <row r="1136" spans="29:33" x14ac:dyDescent="0.25">
      <c r="AC1136" s="16">
        <v>1132</v>
      </c>
      <c r="AD1136" s="16">
        <f t="shared" si="70"/>
        <v>1967.8186711835667</v>
      </c>
      <c r="AE1136" s="16">
        <f t="shared" si="68"/>
        <v>48.181926163778456</v>
      </c>
      <c r="AF1136" s="16">
        <f>'Gearing Calculator'!$C$17*Braking!AD1136</f>
        <v>2951.72800677535</v>
      </c>
      <c r="AG1136" s="16">
        <f t="shared" si="69"/>
        <v>-11.088384698630165</v>
      </c>
    </row>
    <row r="1137" spans="29:33" x14ac:dyDescent="0.25">
      <c r="AC1137" s="16">
        <v>1133</v>
      </c>
      <c r="AD1137" s="16">
        <f t="shared" si="70"/>
        <v>1968.3473291086407</v>
      </c>
      <c r="AE1137" s="16">
        <f t="shared" si="68"/>
        <v>48.224489702792397</v>
      </c>
      <c r="AF1137" s="16">
        <f>'Gearing Calculator'!$C$17*Braking!AD1137</f>
        <v>2952.5209936629608</v>
      </c>
      <c r="AG1137" s="16">
        <f t="shared" si="69"/>
        <v>-11.09136361255808</v>
      </c>
    </row>
    <row r="1138" spans="29:33" x14ac:dyDescent="0.25">
      <c r="AC1138" s="16">
        <v>1134</v>
      </c>
      <c r="AD1138" s="16">
        <f t="shared" si="70"/>
        <v>1968.8759870337144</v>
      </c>
      <c r="AE1138" s="16">
        <f t="shared" si="68"/>
        <v>48.26705324180633</v>
      </c>
      <c r="AF1138" s="16">
        <f>'Gearing Calculator'!$C$17*Braking!AD1138</f>
        <v>2953.3139805505716</v>
      </c>
      <c r="AG1138" s="16">
        <f t="shared" si="69"/>
        <v>-11.094342526485995</v>
      </c>
    </row>
    <row r="1139" spans="29:33" x14ac:dyDescent="0.25">
      <c r="AC1139" s="16">
        <v>1135</v>
      </c>
      <c r="AD1139" s="16">
        <f t="shared" si="70"/>
        <v>1969.4046449587881</v>
      </c>
      <c r="AE1139" s="16">
        <f t="shared" si="68"/>
        <v>48.309616780820271</v>
      </c>
      <c r="AF1139" s="16">
        <f>'Gearing Calculator'!$C$17*Braking!AD1139</f>
        <v>2954.1069674381824</v>
      </c>
      <c r="AG1139" s="16">
        <f t="shared" si="69"/>
        <v>-11.097321440413909</v>
      </c>
    </row>
    <row r="1140" spans="29:33" x14ac:dyDescent="0.25">
      <c r="AC1140" s="16">
        <v>1136</v>
      </c>
      <c r="AD1140" s="16">
        <f t="shared" si="70"/>
        <v>1969.9333028838619</v>
      </c>
      <c r="AE1140" s="16">
        <f t="shared" si="68"/>
        <v>48.352180319834211</v>
      </c>
      <c r="AF1140" s="16">
        <f>'Gearing Calculator'!$C$17*Braking!AD1140</f>
        <v>2954.8999543257928</v>
      </c>
      <c r="AG1140" s="16">
        <f t="shared" si="69"/>
        <v>-11.100300354341822</v>
      </c>
    </row>
    <row r="1141" spans="29:33" x14ac:dyDescent="0.25">
      <c r="AC1141" s="16">
        <v>1137</v>
      </c>
      <c r="AD1141" s="16">
        <f t="shared" si="70"/>
        <v>1970.4619608089358</v>
      </c>
      <c r="AE1141" s="16">
        <f t="shared" si="68"/>
        <v>48.394743858848152</v>
      </c>
      <c r="AF1141" s="16">
        <f>'Gearing Calculator'!$C$17*Braking!AD1141</f>
        <v>2955.6929412134036</v>
      </c>
      <c r="AG1141" s="16">
        <f t="shared" si="69"/>
        <v>-11.103279268269736</v>
      </c>
    </row>
    <row r="1142" spans="29:33" x14ac:dyDescent="0.25">
      <c r="AC1142" s="16">
        <v>1138</v>
      </c>
      <c r="AD1142" s="16">
        <f t="shared" si="70"/>
        <v>1970.9906187340098</v>
      </c>
      <c r="AE1142" s="16">
        <f t="shared" si="68"/>
        <v>48.437307397862085</v>
      </c>
      <c r="AF1142" s="16">
        <f>'Gearing Calculator'!$C$17*Braking!AD1142</f>
        <v>2956.4859281010149</v>
      </c>
      <c r="AG1142" s="16">
        <f t="shared" si="69"/>
        <v>-11.106258182197653</v>
      </c>
    </row>
    <row r="1143" spans="29:33" x14ac:dyDescent="0.25">
      <c r="AC1143" s="16">
        <v>1139</v>
      </c>
      <c r="AD1143" s="16">
        <f t="shared" si="70"/>
        <v>1971.5192766590835</v>
      </c>
      <c r="AE1143" s="16">
        <f t="shared" si="68"/>
        <v>48.479870936876026</v>
      </c>
      <c r="AF1143" s="16">
        <f>'Gearing Calculator'!$C$17*Braking!AD1143</f>
        <v>2957.2789149886253</v>
      </c>
      <c r="AG1143" s="16">
        <f t="shared" si="69"/>
        <v>-11.109237096125565</v>
      </c>
    </row>
    <row r="1144" spans="29:33" x14ac:dyDescent="0.25">
      <c r="AC1144" s="16">
        <v>1140</v>
      </c>
      <c r="AD1144" s="16">
        <f t="shared" si="70"/>
        <v>1972.0479345841572</v>
      </c>
      <c r="AE1144" s="16">
        <f t="shared" si="68"/>
        <v>48.522434475889966</v>
      </c>
      <c r="AF1144" s="16">
        <f>'Gearing Calculator'!$C$17*Braking!AD1144</f>
        <v>2958.0719018762356</v>
      </c>
      <c r="AG1144" s="16">
        <f t="shared" si="69"/>
        <v>-11.112216010053478</v>
      </c>
    </row>
    <row r="1145" spans="29:33" x14ac:dyDescent="0.25">
      <c r="AC1145" s="16">
        <v>1141</v>
      </c>
      <c r="AD1145" s="16">
        <f t="shared" si="70"/>
        <v>1972.576592509231</v>
      </c>
      <c r="AE1145" s="16">
        <f t="shared" si="68"/>
        <v>48.5649980149039</v>
      </c>
      <c r="AF1145" s="16">
        <f>'Gearing Calculator'!$C$17*Braking!AD1145</f>
        <v>2958.8648887638465</v>
      </c>
      <c r="AG1145" s="16">
        <f t="shared" si="69"/>
        <v>-11.115194923981392</v>
      </c>
    </row>
    <row r="1146" spans="29:33" x14ac:dyDescent="0.25">
      <c r="AC1146" s="16">
        <v>1142</v>
      </c>
      <c r="AD1146" s="16">
        <f t="shared" si="70"/>
        <v>1973.1052504343049</v>
      </c>
      <c r="AE1146" s="16">
        <f t="shared" si="68"/>
        <v>48.60756155391784</v>
      </c>
      <c r="AF1146" s="16">
        <f>'Gearing Calculator'!$C$17*Braking!AD1146</f>
        <v>2959.6578756514573</v>
      </c>
      <c r="AG1146" s="16">
        <f t="shared" si="69"/>
        <v>-11.118173837909307</v>
      </c>
    </row>
    <row r="1147" spans="29:33" x14ac:dyDescent="0.25">
      <c r="AC1147" s="16">
        <v>1143</v>
      </c>
      <c r="AD1147" s="16">
        <f t="shared" si="70"/>
        <v>1973.6339083593789</v>
      </c>
      <c r="AE1147" s="16">
        <f t="shared" si="68"/>
        <v>48.650125092931781</v>
      </c>
      <c r="AF1147" s="16">
        <f>'Gearing Calculator'!$C$17*Braking!AD1147</f>
        <v>2960.4508625390681</v>
      </c>
      <c r="AG1147" s="16">
        <f t="shared" si="69"/>
        <v>-11.12115275183722</v>
      </c>
    </row>
    <row r="1148" spans="29:33" x14ac:dyDescent="0.25">
      <c r="AC1148" s="16">
        <v>1144</v>
      </c>
      <c r="AD1148" s="16">
        <f t="shared" si="70"/>
        <v>1974.1625662844526</v>
      </c>
      <c r="AE1148" s="16">
        <f t="shared" si="68"/>
        <v>48.692688631945721</v>
      </c>
      <c r="AF1148" s="16">
        <f>'Gearing Calculator'!$C$17*Braking!AD1148</f>
        <v>2961.2438494266789</v>
      </c>
      <c r="AG1148" s="16">
        <f t="shared" si="69"/>
        <v>-11.124131665765136</v>
      </c>
    </row>
    <row r="1149" spans="29:33" x14ac:dyDescent="0.25">
      <c r="AC1149" s="16">
        <v>1145</v>
      </c>
      <c r="AD1149" s="16">
        <f t="shared" si="70"/>
        <v>1974.6912242095264</v>
      </c>
      <c r="AE1149" s="16">
        <f t="shared" si="68"/>
        <v>48.735252170959654</v>
      </c>
      <c r="AF1149" s="16">
        <f>'Gearing Calculator'!$C$17*Braking!AD1149</f>
        <v>2962.0368363142898</v>
      </c>
      <c r="AG1149" s="16">
        <f t="shared" si="69"/>
        <v>-11.127110579693049</v>
      </c>
    </row>
    <row r="1150" spans="29:33" x14ac:dyDescent="0.25">
      <c r="AC1150" s="16">
        <v>1146</v>
      </c>
      <c r="AD1150" s="16">
        <f t="shared" si="70"/>
        <v>1975.2198821346001</v>
      </c>
      <c r="AE1150" s="16">
        <f t="shared" si="68"/>
        <v>48.777815709973595</v>
      </c>
      <c r="AF1150" s="16">
        <f>'Gearing Calculator'!$C$17*Braking!AD1150</f>
        <v>2962.8298232019001</v>
      </c>
      <c r="AG1150" s="16">
        <f t="shared" si="69"/>
        <v>-11.130089493620963</v>
      </c>
    </row>
    <row r="1151" spans="29:33" x14ac:dyDescent="0.25">
      <c r="AC1151" s="16">
        <v>1147</v>
      </c>
      <c r="AD1151" s="16">
        <f t="shared" si="70"/>
        <v>1975.748540059674</v>
      </c>
      <c r="AE1151" s="16">
        <f t="shared" ref="AE1151:AE1214" si="71">(AC1151/$X$104)*100</f>
        <v>48.820379248987535</v>
      </c>
      <c r="AF1151" s="16">
        <f>'Gearing Calculator'!$C$17*Braking!AD1151</f>
        <v>2963.6228100895109</v>
      </c>
      <c r="AG1151" s="16">
        <f t="shared" si="69"/>
        <v>-11.133068407548878</v>
      </c>
    </row>
    <row r="1152" spans="29:33" x14ac:dyDescent="0.25">
      <c r="AC1152" s="16">
        <v>1148</v>
      </c>
      <c r="AD1152" s="16">
        <f t="shared" si="70"/>
        <v>1976.277197984748</v>
      </c>
      <c r="AE1152" s="16">
        <f t="shared" si="71"/>
        <v>48.862942788001476</v>
      </c>
      <c r="AF1152" s="16">
        <f>'Gearing Calculator'!$C$17*Braking!AD1152</f>
        <v>2964.4157969771222</v>
      </c>
      <c r="AG1152" s="16">
        <f t="shared" si="69"/>
        <v>-11.136047321476793</v>
      </c>
    </row>
    <row r="1153" spans="29:33" x14ac:dyDescent="0.25">
      <c r="AC1153" s="16">
        <v>1149</v>
      </c>
      <c r="AD1153" s="16">
        <f t="shared" si="70"/>
        <v>1976.8058559098217</v>
      </c>
      <c r="AE1153" s="16">
        <f t="shared" si="71"/>
        <v>48.905506327015409</v>
      </c>
      <c r="AF1153" s="16">
        <f>'Gearing Calculator'!$C$17*Braking!AD1153</f>
        <v>2965.2087838647326</v>
      </c>
      <c r="AG1153" s="16">
        <f t="shared" si="69"/>
        <v>-11.139026235404707</v>
      </c>
    </row>
    <row r="1154" spans="29:33" x14ac:dyDescent="0.25">
      <c r="AC1154" s="16">
        <v>1150</v>
      </c>
      <c r="AD1154" s="16">
        <f t="shared" si="70"/>
        <v>1977.3345138348955</v>
      </c>
      <c r="AE1154" s="16">
        <f t="shared" si="71"/>
        <v>48.94806986602935</v>
      </c>
      <c r="AF1154" s="16">
        <f>'Gearing Calculator'!$C$17*Braking!AD1154</f>
        <v>2966.001770752343</v>
      </c>
      <c r="AG1154" s="16">
        <f t="shared" si="69"/>
        <v>-11.142005149332618</v>
      </c>
    </row>
    <row r="1155" spans="29:33" x14ac:dyDescent="0.25">
      <c r="AC1155" s="16">
        <v>1151</v>
      </c>
      <c r="AD1155" s="16">
        <f t="shared" si="70"/>
        <v>1977.8631717599692</v>
      </c>
      <c r="AE1155" s="16">
        <f t="shared" si="71"/>
        <v>48.99063340504329</v>
      </c>
      <c r="AF1155" s="16">
        <f>'Gearing Calculator'!$C$17*Braking!AD1155</f>
        <v>2966.7947576399538</v>
      </c>
      <c r="AG1155" s="16">
        <f t="shared" si="69"/>
        <v>-11.144984063260534</v>
      </c>
    </row>
    <row r="1156" spans="29:33" x14ac:dyDescent="0.25">
      <c r="AC1156" s="16">
        <v>1152</v>
      </c>
      <c r="AD1156" s="16">
        <f t="shared" si="70"/>
        <v>1978.3918296850431</v>
      </c>
      <c r="AE1156" s="16">
        <f t="shared" si="71"/>
        <v>49.033196944057231</v>
      </c>
      <c r="AF1156" s="16">
        <f>'Gearing Calculator'!$C$17*Braking!AD1156</f>
        <v>2967.5877445275646</v>
      </c>
      <c r="AG1156" s="16">
        <f t="shared" si="69"/>
        <v>-11.147962977188447</v>
      </c>
    </row>
    <row r="1157" spans="29:33" x14ac:dyDescent="0.25">
      <c r="AC1157" s="16">
        <v>1153</v>
      </c>
      <c r="AD1157" s="16">
        <f t="shared" si="70"/>
        <v>1978.9204876101171</v>
      </c>
      <c r="AE1157" s="16">
        <f t="shared" si="71"/>
        <v>49.075760483071164</v>
      </c>
      <c r="AF1157" s="16">
        <f>'Gearing Calculator'!$C$17*Braking!AD1157</f>
        <v>2968.3807314151754</v>
      </c>
      <c r="AG1157" s="16">
        <f t="shared" si="69"/>
        <v>-11.150941891116362</v>
      </c>
    </row>
    <row r="1158" spans="29:33" x14ac:dyDescent="0.25">
      <c r="AC1158" s="16">
        <v>1154</v>
      </c>
      <c r="AD1158" s="16">
        <f t="shared" si="70"/>
        <v>1979.4491455351908</v>
      </c>
      <c r="AE1158" s="16">
        <f t="shared" si="71"/>
        <v>49.118324022085105</v>
      </c>
      <c r="AF1158" s="16">
        <f>'Gearing Calculator'!$C$17*Braking!AD1158</f>
        <v>2969.1737183027863</v>
      </c>
      <c r="AG1158" s="16">
        <f t="shared" ref="AG1158:AG1221" si="72">-(AF1158/$C$3)</f>
        <v>-11.153920805044276</v>
      </c>
    </row>
    <row r="1159" spans="29:33" x14ac:dyDescent="0.25">
      <c r="AC1159" s="16">
        <v>1155</v>
      </c>
      <c r="AD1159" s="16">
        <f t="shared" ref="AD1159:AD1222" si="73">($C$3*$C$4)*($C$9/$C$8)+(AC1159*($C$10/$C$8))</f>
        <v>1979.9778034602646</v>
      </c>
      <c r="AE1159" s="16">
        <f t="shared" si="71"/>
        <v>49.160887561099045</v>
      </c>
      <c r="AF1159" s="16">
        <f>'Gearing Calculator'!$C$17*Braking!AD1159</f>
        <v>2969.9667051903971</v>
      </c>
      <c r="AG1159" s="16">
        <f t="shared" si="72"/>
        <v>-11.156899718972191</v>
      </c>
    </row>
    <row r="1160" spans="29:33" x14ac:dyDescent="0.25">
      <c r="AC1160" s="16">
        <v>1156</v>
      </c>
      <c r="AD1160" s="16">
        <f t="shared" si="73"/>
        <v>1980.5064613853383</v>
      </c>
      <c r="AE1160" s="16">
        <f t="shared" si="71"/>
        <v>49.203451100112979</v>
      </c>
      <c r="AF1160" s="16">
        <f>'Gearing Calculator'!$C$17*Braking!AD1160</f>
        <v>2970.7596920780074</v>
      </c>
      <c r="AG1160" s="16">
        <f t="shared" si="72"/>
        <v>-11.159878632900103</v>
      </c>
    </row>
    <row r="1161" spans="29:33" x14ac:dyDescent="0.25">
      <c r="AC1161" s="16">
        <v>1157</v>
      </c>
      <c r="AD1161" s="16">
        <f t="shared" si="73"/>
        <v>1981.0351193104123</v>
      </c>
      <c r="AE1161" s="16">
        <f t="shared" si="71"/>
        <v>49.246014639126919</v>
      </c>
      <c r="AF1161" s="16">
        <f>'Gearing Calculator'!$C$17*Braking!AD1161</f>
        <v>2971.5526789656183</v>
      </c>
      <c r="AG1161" s="16">
        <f t="shared" si="72"/>
        <v>-11.162857546828018</v>
      </c>
    </row>
    <row r="1162" spans="29:33" x14ac:dyDescent="0.25">
      <c r="AC1162" s="16">
        <v>1158</v>
      </c>
      <c r="AD1162" s="16">
        <f t="shared" si="73"/>
        <v>1981.5637772354862</v>
      </c>
      <c r="AE1162" s="16">
        <f t="shared" si="71"/>
        <v>49.28857817814086</v>
      </c>
      <c r="AF1162" s="16">
        <f>'Gearing Calculator'!$C$17*Braking!AD1162</f>
        <v>2972.3456658532295</v>
      </c>
      <c r="AG1162" s="16">
        <f t="shared" si="72"/>
        <v>-11.165836460755934</v>
      </c>
    </row>
    <row r="1163" spans="29:33" x14ac:dyDescent="0.25">
      <c r="AC1163" s="16">
        <v>1159</v>
      </c>
      <c r="AD1163" s="16">
        <f t="shared" si="73"/>
        <v>1982.0924351605599</v>
      </c>
      <c r="AE1163" s="16">
        <f t="shared" si="71"/>
        <v>49.3311417171548</v>
      </c>
      <c r="AF1163" s="16">
        <f>'Gearing Calculator'!$C$17*Braking!AD1163</f>
        <v>2973.1386527408399</v>
      </c>
      <c r="AG1163" s="16">
        <f t="shared" si="72"/>
        <v>-11.168815374683847</v>
      </c>
    </row>
    <row r="1164" spans="29:33" x14ac:dyDescent="0.25">
      <c r="AC1164" s="16">
        <v>1160</v>
      </c>
      <c r="AD1164" s="16">
        <f t="shared" si="73"/>
        <v>1982.6210930856337</v>
      </c>
      <c r="AE1164" s="16">
        <f t="shared" si="71"/>
        <v>49.373705256168734</v>
      </c>
      <c r="AF1164" s="16">
        <f>'Gearing Calculator'!$C$17*Braking!AD1164</f>
        <v>2973.9316396284503</v>
      </c>
      <c r="AG1164" s="16">
        <f t="shared" si="72"/>
        <v>-11.17179428861176</v>
      </c>
    </row>
    <row r="1165" spans="29:33" x14ac:dyDescent="0.25">
      <c r="AC1165" s="16">
        <v>1161</v>
      </c>
      <c r="AD1165" s="16">
        <f t="shared" si="73"/>
        <v>1983.1497510107074</v>
      </c>
      <c r="AE1165" s="16">
        <f t="shared" si="71"/>
        <v>49.416268795182674</v>
      </c>
      <c r="AF1165" s="16">
        <f>'Gearing Calculator'!$C$17*Braking!AD1165</f>
        <v>2974.7246265160611</v>
      </c>
      <c r="AG1165" s="16">
        <f t="shared" si="72"/>
        <v>-11.174773202539674</v>
      </c>
    </row>
    <row r="1166" spans="29:33" x14ac:dyDescent="0.25">
      <c r="AC1166" s="16">
        <v>1162</v>
      </c>
      <c r="AD1166" s="16">
        <f t="shared" si="73"/>
        <v>1983.6784089357814</v>
      </c>
      <c r="AE1166" s="16">
        <f t="shared" si="71"/>
        <v>49.458832334196615</v>
      </c>
      <c r="AF1166" s="16">
        <f>'Gearing Calculator'!$C$17*Braking!AD1166</f>
        <v>2975.5176134036719</v>
      </c>
      <c r="AG1166" s="16">
        <f t="shared" si="72"/>
        <v>-11.177752116467589</v>
      </c>
    </row>
    <row r="1167" spans="29:33" x14ac:dyDescent="0.25">
      <c r="AC1167" s="16">
        <v>1163</v>
      </c>
      <c r="AD1167" s="16">
        <f t="shared" si="73"/>
        <v>1984.2070668608553</v>
      </c>
      <c r="AE1167" s="16">
        <f t="shared" si="71"/>
        <v>49.501395873210555</v>
      </c>
      <c r="AF1167" s="16">
        <f>'Gearing Calculator'!$C$17*Braking!AD1167</f>
        <v>2976.3106002912828</v>
      </c>
      <c r="AG1167" s="16">
        <f t="shared" si="72"/>
        <v>-11.180731030395503</v>
      </c>
    </row>
    <row r="1168" spans="29:33" x14ac:dyDescent="0.25">
      <c r="AC1168" s="16">
        <v>1164</v>
      </c>
      <c r="AD1168" s="16">
        <f t="shared" si="73"/>
        <v>1984.7357247859291</v>
      </c>
      <c r="AE1168" s="16">
        <f t="shared" si="71"/>
        <v>49.543959412224488</v>
      </c>
      <c r="AF1168" s="16">
        <f>'Gearing Calculator'!$C$17*Braking!AD1168</f>
        <v>2977.1035871788936</v>
      </c>
      <c r="AG1168" s="16">
        <f t="shared" si="72"/>
        <v>-11.183709944323418</v>
      </c>
    </row>
    <row r="1169" spans="29:33" x14ac:dyDescent="0.25">
      <c r="AC1169" s="16">
        <v>1165</v>
      </c>
      <c r="AD1169" s="16">
        <f t="shared" si="73"/>
        <v>1985.2643827110028</v>
      </c>
      <c r="AE1169" s="16">
        <f t="shared" si="71"/>
        <v>49.586522951238429</v>
      </c>
      <c r="AF1169" s="16">
        <f>'Gearing Calculator'!$C$17*Braking!AD1169</f>
        <v>2977.8965740665044</v>
      </c>
      <c r="AG1169" s="16">
        <f t="shared" si="72"/>
        <v>-11.186688858251332</v>
      </c>
    </row>
    <row r="1170" spans="29:33" x14ac:dyDescent="0.25">
      <c r="AC1170" s="16">
        <v>1166</v>
      </c>
      <c r="AD1170" s="16">
        <f t="shared" si="73"/>
        <v>1985.7930406360765</v>
      </c>
      <c r="AE1170" s="16">
        <f t="shared" si="71"/>
        <v>49.629086490252369</v>
      </c>
      <c r="AF1170" s="16">
        <f>'Gearing Calculator'!$C$17*Braking!AD1170</f>
        <v>2978.6895609541148</v>
      </c>
      <c r="AG1170" s="16">
        <f t="shared" si="72"/>
        <v>-11.189667772179245</v>
      </c>
    </row>
    <row r="1171" spans="29:33" x14ac:dyDescent="0.25">
      <c r="AC1171" s="16">
        <v>1167</v>
      </c>
      <c r="AD1171" s="16">
        <f t="shared" si="73"/>
        <v>1986.3216985611505</v>
      </c>
      <c r="AE1171" s="16">
        <f t="shared" si="71"/>
        <v>49.671650029266303</v>
      </c>
      <c r="AF1171" s="16">
        <f>'Gearing Calculator'!$C$17*Braking!AD1171</f>
        <v>2979.4825478417256</v>
      </c>
      <c r="AG1171" s="16">
        <f t="shared" si="72"/>
        <v>-11.192646686107159</v>
      </c>
    </row>
    <row r="1172" spans="29:33" x14ac:dyDescent="0.25">
      <c r="AC1172" s="16">
        <v>1168</v>
      </c>
      <c r="AD1172" s="16">
        <f t="shared" si="73"/>
        <v>1986.8503564862244</v>
      </c>
      <c r="AE1172" s="16">
        <f t="shared" si="71"/>
        <v>49.714213568280243</v>
      </c>
      <c r="AF1172" s="16">
        <f>'Gearing Calculator'!$C$17*Braking!AD1172</f>
        <v>2980.2755347293369</v>
      </c>
      <c r="AG1172" s="16">
        <f t="shared" si="72"/>
        <v>-11.195625600035076</v>
      </c>
    </row>
    <row r="1173" spans="29:33" x14ac:dyDescent="0.25">
      <c r="AC1173" s="16">
        <v>1169</v>
      </c>
      <c r="AD1173" s="16">
        <f t="shared" si="73"/>
        <v>1987.3790144112982</v>
      </c>
      <c r="AE1173" s="16">
        <f t="shared" si="71"/>
        <v>49.756777107294184</v>
      </c>
      <c r="AF1173" s="16">
        <f>'Gearing Calculator'!$C$17*Braking!AD1173</f>
        <v>2981.0685216169472</v>
      </c>
      <c r="AG1173" s="16">
        <f t="shared" si="72"/>
        <v>-11.198604513962987</v>
      </c>
    </row>
    <row r="1174" spans="29:33" x14ac:dyDescent="0.25">
      <c r="AC1174" s="16">
        <v>1170</v>
      </c>
      <c r="AD1174" s="16">
        <f t="shared" si="73"/>
        <v>1987.9076723363719</v>
      </c>
      <c r="AE1174" s="16">
        <f t="shared" si="71"/>
        <v>49.799340646308124</v>
      </c>
      <c r="AF1174" s="16">
        <f>'Gearing Calculator'!$C$17*Braking!AD1174</f>
        <v>2981.8615085045576</v>
      </c>
      <c r="AG1174" s="16">
        <f t="shared" si="72"/>
        <v>-11.201583427890901</v>
      </c>
    </row>
    <row r="1175" spans="29:33" x14ac:dyDescent="0.25">
      <c r="AC1175" s="16">
        <v>1171</v>
      </c>
      <c r="AD1175" s="16">
        <f t="shared" si="73"/>
        <v>1988.4363302614456</v>
      </c>
      <c r="AE1175" s="16">
        <f t="shared" si="71"/>
        <v>49.841904185322058</v>
      </c>
      <c r="AF1175" s="16">
        <f>'Gearing Calculator'!$C$17*Braking!AD1175</f>
        <v>2982.6544953921684</v>
      </c>
      <c r="AG1175" s="16">
        <f t="shared" si="72"/>
        <v>-11.204562341818814</v>
      </c>
    </row>
    <row r="1176" spans="29:33" x14ac:dyDescent="0.25">
      <c r="AC1176" s="16">
        <v>1172</v>
      </c>
      <c r="AD1176" s="16">
        <f t="shared" si="73"/>
        <v>1988.9649881865196</v>
      </c>
      <c r="AE1176" s="16">
        <f t="shared" si="71"/>
        <v>49.884467724335998</v>
      </c>
      <c r="AF1176" s="16">
        <f>'Gearing Calculator'!$C$17*Braking!AD1176</f>
        <v>2983.4474822797793</v>
      </c>
      <c r="AG1176" s="16">
        <f t="shared" si="72"/>
        <v>-11.20754125574673</v>
      </c>
    </row>
    <row r="1177" spans="29:33" x14ac:dyDescent="0.25">
      <c r="AC1177" s="16">
        <v>1173</v>
      </c>
      <c r="AD1177" s="16">
        <f t="shared" si="73"/>
        <v>1989.4936461115935</v>
      </c>
      <c r="AE1177" s="16">
        <f t="shared" si="71"/>
        <v>49.927031263349939</v>
      </c>
      <c r="AF1177" s="16">
        <f>'Gearing Calculator'!$C$17*Braking!AD1177</f>
        <v>2984.2404691673901</v>
      </c>
      <c r="AG1177" s="16">
        <f t="shared" si="72"/>
        <v>-11.210520169674643</v>
      </c>
    </row>
    <row r="1178" spans="29:33" x14ac:dyDescent="0.25">
      <c r="AC1178" s="16">
        <v>1174</v>
      </c>
      <c r="AD1178" s="16">
        <f t="shared" si="73"/>
        <v>1990.0223040366673</v>
      </c>
      <c r="AE1178" s="16">
        <f t="shared" si="71"/>
        <v>49.969594802363879</v>
      </c>
      <c r="AF1178" s="16">
        <f>'Gearing Calculator'!$C$17*Braking!AD1178</f>
        <v>2985.0334560550009</v>
      </c>
      <c r="AG1178" s="16">
        <f t="shared" si="72"/>
        <v>-11.213499083602558</v>
      </c>
    </row>
    <row r="1179" spans="29:33" x14ac:dyDescent="0.25">
      <c r="AC1179" s="134">
        <v>1175</v>
      </c>
      <c r="AD1179" s="134">
        <f t="shared" si="73"/>
        <v>1990.550961961741</v>
      </c>
      <c r="AE1179" s="134">
        <f t="shared" si="71"/>
        <v>50.012158341377813</v>
      </c>
      <c r="AF1179" s="134">
        <f>'Gearing Calculator'!$C$17*Braking!AD1179</f>
        <v>2985.8264429426117</v>
      </c>
      <c r="AG1179" s="134">
        <f t="shared" si="72"/>
        <v>-11.216477997530474</v>
      </c>
    </row>
    <row r="1180" spans="29:33" x14ac:dyDescent="0.25">
      <c r="AC1180" s="16">
        <v>1176</v>
      </c>
      <c r="AD1180" s="16">
        <f t="shared" si="73"/>
        <v>1991.0796198868147</v>
      </c>
      <c r="AE1180" s="16">
        <f t="shared" si="71"/>
        <v>50.054721880391753</v>
      </c>
      <c r="AF1180" s="16">
        <f>'Gearing Calculator'!$C$17*Braking!AD1180</f>
        <v>2986.6194298302221</v>
      </c>
      <c r="AG1180" s="16">
        <f t="shared" si="72"/>
        <v>-11.219456911458385</v>
      </c>
    </row>
    <row r="1181" spans="29:33" x14ac:dyDescent="0.25">
      <c r="AC1181" s="16">
        <v>1177</v>
      </c>
      <c r="AD1181" s="16">
        <f t="shared" si="73"/>
        <v>1991.6082778118887</v>
      </c>
      <c r="AE1181" s="16">
        <f t="shared" si="71"/>
        <v>50.097285419405694</v>
      </c>
      <c r="AF1181" s="16">
        <f>'Gearing Calculator'!$C$17*Braking!AD1181</f>
        <v>2987.4124167178329</v>
      </c>
      <c r="AG1181" s="16">
        <f t="shared" si="72"/>
        <v>-11.222435825386301</v>
      </c>
    </row>
    <row r="1182" spans="29:33" x14ac:dyDescent="0.25">
      <c r="AC1182" s="16">
        <v>1178</v>
      </c>
      <c r="AD1182" s="16">
        <f t="shared" si="73"/>
        <v>1992.1369357369626</v>
      </c>
      <c r="AE1182" s="16">
        <f t="shared" si="71"/>
        <v>50.139848958419634</v>
      </c>
      <c r="AF1182" s="16">
        <f>'Gearing Calculator'!$C$17*Braking!AD1182</f>
        <v>2988.2054036054442</v>
      </c>
      <c r="AG1182" s="16">
        <f t="shared" si="72"/>
        <v>-11.225414739314216</v>
      </c>
    </row>
    <row r="1183" spans="29:33" x14ac:dyDescent="0.25">
      <c r="AC1183" s="16">
        <v>1179</v>
      </c>
      <c r="AD1183" s="16">
        <f t="shared" si="73"/>
        <v>1992.6655936620364</v>
      </c>
      <c r="AE1183" s="16">
        <f t="shared" si="71"/>
        <v>50.182412497433567</v>
      </c>
      <c r="AF1183" s="16">
        <f>'Gearing Calculator'!$C$17*Braking!AD1183</f>
        <v>2988.9983904930546</v>
      </c>
      <c r="AG1183" s="16">
        <f t="shared" si="72"/>
        <v>-11.228393653242129</v>
      </c>
    </row>
    <row r="1184" spans="29:33" x14ac:dyDescent="0.25">
      <c r="AC1184" s="16">
        <v>1180</v>
      </c>
      <c r="AD1184" s="16">
        <f t="shared" si="73"/>
        <v>1993.1942515871101</v>
      </c>
      <c r="AE1184" s="16">
        <f t="shared" si="71"/>
        <v>50.224976036447501</v>
      </c>
      <c r="AF1184" s="16">
        <f>'Gearing Calculator'!$C$17*Braking!AD1184</f>
        <v>2989.7913773806649</v>
      </c>
      <c r="AG1184" s="16">
        <f t="shared" si="72"/>
        <v>-11.231372567170041</v>
      </c>
    </row>
    <row r="1185" spans="29:33" x14ac:dyDescent="0.25">
      <c r="AC1185" s="16">
        <v>1181</v>
      </c>
      <c r="AD1185" s="16">
        <f t="shared" si="73"/>
        <v>1993.7229095121838</v>
      </c>
      <c r="AE1185" s="16">
        <f t="shared" si="71"/>
        <v>50.267539575461441</v>
      </c>
      <c r="AF1185" s="16">
        <f>'Gearing Calculator'!$C$17*Braking!AD1185</f>
        <v>2990.5843642682757</v>
      </c>
      <c r="AG1185" s="16">
        <f t="shared" si="72"/>
        <v>-11.234351481097956</v>
      </c>
    </row>
    <row r="1186" spans="29:33" x14ac:dyDescent="0.25">
      <c r="AC1186" s="16">
        <v>1182</v>
      </c>
      <c r="AD1186" s="16">
        <f t="shared" si="73"/>
        <v>1994.2515674372578</v>
      </c>
      <c r="AE1186" s="16">
        <f t="shared" si="71"/>
        <v>50.310103114475382</v>
      </c>
      <c r="AF1186" s="16">
        <f>'Gearing Calculator'!$C$17*Braking!AD1186</f>
        <v>2991.3773511558866</v>
      </c>
      <c r="AG1186" s="16">
        <f t="shared" si="72"/>
        <v>-11.23733039502587</v>
      </c>
    </row>
    <row r="1187" spans="29:33" x14ac:dyDescent="0.25">
      <c r="AC1187" s="16">
        <v>1183</v>
      </c>
      <c r="AD1187" s="16">
        <f t="shared" si="73"/>
        <v>1994.7802253623317</v>
      </c>
      <c r="AE1187" s="16">
        <f t="shared" si="71"/>
        <v>50.352666653489322</v>
      </c>
      <c r="AF1187" s="16">
        <f>'Gearing Calculator'!$C$17*Braking!AD1187</f>
        <v>2992.1703380434974</v>
      </c>
      <c r="AG1187" s="16">
        <f t="shared" si="72"/>
        <v>-11.240309308953785</v>
      </c>
    </row>
    <row r="1188" spans="29:33" x14ac:dyDescent="0.25">
      <c r="AC1188" s="16">
        <v>1184</v>
      </c>
      <c r="AD1188" s="16">
        <f t="shared" si="73"/>
        <v>1995.3088832874055</v>
      </c>
      <c r="AE1188" s="16">
        <f t="shared" si="71"/>
        <v>50.395230192503263</v>
      </c>
      <c r="AF1188" s="16">
        <f>'Gearing Calculator'!$C$17*Braking!AD1188</f>
        <v>2992.9633249311082</v>
      </c>
      <c r="AG1188" s="16">
        <f t="shared" si="72"/>
        <v>-11.243288222881699</v>
      </c>
    </row>
    <row r="1189" spans="29:33" x14ac:dyDescent="0.25">
      <c r="AC1189" s="16">
        <v>1185</v>
      </c>
      <c r="AD1189" s="16">
        <f t="shared" si="73"/>
        <v>1995.8375412124792</v>
      </c>
      <c r="AE1189" s="16">
        <f t="shared" si="71"/>
        <v>50.437793731517203</v>
      </c>
      <c r="AF1189" s="16">
        <f>'Gearing Calculator'!$C$17*Braking!AD1189</f>
        <v>2993.756311818719</v>
      </c>
      <c r="AG1189" s="16">
        <f t="shared" si="72"/>
        <v>-11.246267136809614</v>
      </c>
    </row>
    <row r="1190" spans="29:33" x14ac:dyDescent="0.25">
      <c r="AC1190" s="16">
        <v>1186</v>
      </c>
      <c r="AD1190" s="16">
        <f t="shared" si="73"/>
        <v>1996.3661991375532</v>
      </c>
      <c r="AE1190" s="16">
        <f t="shared" si="71"/>
        <v>50.480357270531137</v>
      </c>
      <c r="AF1190" s="16">
        <f>'Gearing Calculator'!$C$17*Braking!AD1190</f>
        <v>2994.5492987063299</v>
      </c>
      <c r="AG1190" s="16">
        <f t="shared" si="72"/>
        <v>-11.249246050737527</v>
      </c>
    </row>
    <row r="1191" spans="29:33" x14ac:dyDescent="0.25">
      <c r="AC1191" s="16">
        <v>1187</v>
      </c>
      <c r="AD1191" s="16">
        <f t="shared" si="73"/>
        <v>1996.8948570626269</v>
      </c>
      <c r="AE1191" s="16">
        <f t="shared" si="71"/>
        <v>50.522920809545077</v>
      </c>
      <c r="AF1191" s="16">
        <f>'Gearing Calculator'!$C$17*Braking!AD1191</f>
        <v>2995.3422855939402</v>
      </c>
      <c r="AG1191" s="16">
        <f t="shared" si="72"/>
        <v>-11.252224964665441</v>
      </c>
    </row>
    <row r="1192" spans="29:33" x14ac:dyDescent="0.25">
      <c r="AC1192" s="16">
        <v>1188</v>
      </c>
      <c r="AD1192" s="16">
        <f t="shared" si="73"/>
        <v>1997.4235149877009</v>
      </c>
      <c r="AE1192" s="16">
        <f t="shared" si="71"/>
        <v>50.565484348559011</v>
      </c>
      <c r="AF1192" s="16">
        <f>'Gearing Calculator'!$C$17*Braking!AD1192</f>
        <v>2996.1352724815515</v>
      </c>
      <c r="AG1192" s="16">
        <f t="shared" si="72"/>
        <v>-11.255203878593356</v>
      </c>
    </row>
    <row r="1193" spans="29:33" x14ac:dyDescent="0.25">
      <c r="AC1193" s="16">
        <v>1189</v>
      </c>
      <c r="AD1193" s="16">
        <f t="shared" si="73"/>
        <v>1997.9521729127746</v>
      </c>
      <c r="AE1193" s="16">
        <f t="shared" si="71"/>
        <v>50.608047887572951</v>
      </c>
      <c r="AF1193" s="16">
        <f>'Gearing Calculator'!$C$17*Braking!AD1193</f>
        <v>2996.9282593691619</v>
      </c>
      <c r="AG1193" s="16">
        <f t="shared" si="72"/>
        <v>-11.25818279252127</v>
      </c>
    </row>
    <row r="1194" spans="29:33" x14ac:dyDescent="0.25">
      <c r="AC1194" s="16">
        <v>1190</v>
      </c>
      <c r="AD1194" s="16">
        <f t="shared" si="73"/>
        <v>1998.4808308378483</v>
      </c>
      <c r="AE1194" s="16">
        <f t="shared" si="71"/>
        <v>50.650611426586892</v>
      </c>
      <c r="AF1194" s="16">
        <f>'Gearing Calculator'!$C$17*Braking!AD1194</f>
        <v>2997.7212462567722</v>
      </c>
      <c r="AG1194" s="16">
        <f t="shared" si="72"/>
        <v>-11.261161706449183</v>
      </c>
    </row>
    <row r="1195" spans="29:33" x14ac:dyDescent="0.25">
      <c r="AC1195" s="16">
        <v>1191</v>
      </c>
      <c r="AD1195" s="16">
        <f t="shared" si="73"/>
        <v>1999.0094887629223</v>
      </c>
      <c r="AE1195" s="16">
        <f t="shared" si="71"/>
        <v>50.693174965600832</v>
      </c>
      <c r="AF1195" s="16">
        <f>'Gearing Calculator'!$C$17*Braking!AD1195</f>
        <v>2998.5142331443835</v>
      </c>
      <c r="AG1195" s="16">
        <f t="shared" si="72"/>
        <v>-11.264140620377098</v>
      </c>
    </row>
    <row r="1196" spans="29:33" x14ac:dyDescent="0.25">
      <c r="AC1196" s="16">
        <v>1192</v>
      </c>
      <c r="AD1196" s="16">
        <f t="shared" si="73"/>
        <v>1999.538146687996</v>
      </c>
      <c r="AE1196" s="16">
        <f t="shared" si="71"/>
        <v>50.735738504614773</v>
      </c>
      <c r="AF1196" s="16">
        <f>'Gearing Calculator'!$C$17*Braking!AD1196</f>
        <v>2999.3072200319939</v>
      </c>
      <c r="AG1196" s="16">
        <f t="shared" si="72"/>
        <v>-11.267119534305012</v>
      </c>
    </row>
    <row r="1197" spans="29:33" x14ac:dyDescent="0.25">
      <c r="AC1197" s="16">
        <v>1193</v>
      </c>
      <c r="AD1197" s="16">
        <f t="shared" si="73"/>
        <v>2000.06680461307</v>
      </c>
      <c r="AE1197" s="16">
        <f t="shared" si="71"/>
        <v>50.778302043628706</v>
      </c>
      <c r="AF1197" s="16">
        <f>'Gearing Calculator'!$C$17*Braking!AD1197</f>
        <v>3000.1002069196047</v>
      </c>
      <c r="AG1197" s="16">
        <f t="shared" si="72"/>
        <v>-11.270098448232925</v>
      </c>
    </row>
    <row r="1198" spans="29:33" x14ac:dyDescent="0.25">
      <c r="AC1198" s="16">
        <v>1194</v>
      </c>
      <c r="AD1198" s="16">
        <f t="shared" si="73"/>
        <v>2000.5954625381437</v>
      </c>
      <c r="AE1198" s="16">
        <f t="shared" si="71"/>
        <v>50.820865582642647</v>
      </c>
      <c r="AF1198" s="16">
        <f>'Gearing Calculator'!$C$17*Braking!AD1198</f>
        <v>3000.8931938072155</v>
      </c>
      <c r="AG1198" s="16">
        <f t="shared" si="72"/>
        <v>-11.273077362160841</v>
      </c>
    </row>
    <row r="1199" spans="29:33" x14ac:dyDescent="0.25">
      <c r="AC1199" s="16">
        <v>1195</v>
      </c>
      <c r="AD1199" s="16">
        <f t="shared" si="73"/>
        <v>2001.1241204632174</v>
      </c>
      <c r="AE1199" s="16">
        <f t="shared" si="71"/>
        <v>50.86342912165658</v>
      </c>
      <c r="AF1199" s="16">
        <f>'Gearing Calculator'!$C$17*Braking!AD1199</f>
        <v>3001.6861806948264</v>
      </c>
      <c r="AG1199" s="16">
        <f t="shared" si="72"/>
        <v>-11.276056276088754</v>
      </c>
    </row>
    <row r="1200" spans="29:33" x14ac:dyDescent="0.25">
      <c r="AC1200" s="16">
        <v>1196</v>
      </c>
      <c r="AD1200" s="16">
        <f t="shared" si="73"/>
        <v>2001.6527783882914</v>
      </c>
      <c r="AE1200" s="16">
        <f t="shared" si="71"/>
        <v>50.90599266067052</v>
      </c>
      <c r="AF1200" s="16">
        <f>'Gearing Calculator'!$C$17*Braking!AD1200</f>
        <v>3002.4791675824372</v>
      </c>
      <c r="AG1200" s="16">
        <f t="shared" si="72"/>
        <v>-11.279035190016669</v>
      </c>
    </row>
    <row r="1201" spans="29:33" x14ac:dyDescent="0.25">
      <c r="AC1201" s="16">
        <v>1197</v>
      </c>
      <c r="AD1201" s="16">
        <f t="shared" si="73"/>
        <v>2002.1814363133651</v>
      </c>
      <c r="AE1201" s="16">
        <f t="shared" si="71"/>
        <v>50.948556199684461</v>
      </c>
      <c r="AF1201" s="16">
        <f>'Gearing Calculator'!$C$17*Braking!AD1201</f>
        <v>3003.2721544700476</v>
      </c>
      <c r="AG1201" s="16">
        <f t="shared" si="72"/>
        <v>-11.282014103944581</v>
      </c>
    </row>
    <row r="1202" spans="29:33" x14ac:dyDescent="0.25">
      <c r="AC1202" s="16">
        <v>1198</v>
      </c>
      <c r="AD1202" s="16">
        <f t="shared" si="73"/>
        <v>2002.7100942384391</v>
      </c>
      <c r="AE1202" s="16">
        <f t="shared" si="71"/>
        <v>50.991119738698401</v>
      </c>
      <c r="AF1202" s="16">
        <f>'Gearing Calculator'!$C$17*Braking!AD1202</f>
        <v>3004.0651413576588</v>
      </c>
      <c r="AG1202" s="16">
        <f t="shared" si="72"/>
        <v>-11.284993017872498</v>
      </c>
    </row>
    <row r="1203" spans="29:33" x14ac:dyDescent="0.25">
      <c r="AC1203" s="16">
        <v>1199</v>
      </c>
      <c r="AD1203" s="16">
        <f t="shared" si="73"/>
        <v>2003.2387521635128</v>
      </c>
      <c r="AE1203" s="16">
        <f t="shared" si="71"/>
        <v>51.033683277712342</v>
      </c>
      <c r="AF1203" s="16">
        <f>'Gearing Calculator'!$C$17*Braking!AD1203</f>
        <v>3004.8581282452692</v>
      </c>
      <c r="AG1203" s="16">
        <f t="shared" si="72"/>
        <v>-11.28797193180041</v>
      </c>
    </row>
    <row r="1204" spans="29:33" x14ac:dyDescent="0.25">
      <c r="AC1204" s="16">
        <v>1200</v>
      </c>
      <c r="AD1204" s="16">
        <f t="shared" si="73"/>
        <v>2003.7674100885865</v>
      </c>
      <c r="AE1204" s="16">
        <f t="shared" si="71"/>
        <v>51.076246816726275</v>
      </c>
      <c r="AF1204" s="16">
        <f>'Gearing Calculator'!$C$17*Braking!AD1204</f>
        <v>3005.6511151328796</v>
      </c>
      <c r="AG1204" s="16">
        <f t="shared" si="72"/>
        <v>-11.290950845728323</v>
      </c>
    </row>
    <row r="1205" spans="29:33" x14ac:dyDescent="0.25">
      <c r="AC1205" s="16">
        <v>1201</v>
      </c>
      <c r="AD1205" s="16">
        <f t="shared" si="73"/>
        <v>2004.2960680136605</v>
      </c>
      <c r="AE1205" s="16">
        <f t="shared" si="71"/>
        <v>51.118810355740216</v>
      </c>
      <c r="AF1205" s="16">
        <f>'Gearing Calculator'!$C$17*Braking!AD1205</f>
        <v>3006.4441020204908</v>
      </c>
      <c r="AG1205" s="16">
        <f t="shared" si="72"/>
        <v>-11.293929759656239</v>
      </c>
    </row>
    <row r="1206" spans="29:33" x14ac:dyDescent="0.25">
      <c r="AC1206" s="16">
        <v>1202</v>
      </c>
      <c r="AD1206" s="16">
        <f t="shared" si="73"/>
        <v>2004.8247259387342</v>
      </c>
      <c r="AE1206" s="16">
        <f t="shared" si="71"/>
        <v>51.161373894754156</v>
      </c>
      <c r="AF1206" s="16">
        <f>'Gearing Calculator'!$C$17*Braking!AD1206</f>
        <v>3007.2370889081012</v>
      </c>
      <c r="AG1206" s="16">
        <f t="shared" si="72"/>
        <v>-11.296908673584152</v>
      </c>
    </row>
    <row r="1207" spans="29:33" x14ac:dyDescent="0.25">
      <c r="AC1207" s="16">
        <v>1203</v>
      </c>
      <c r="AD1207" s="16">
        <f t="shared" si="73"/>
        <v>2005.3533838638082</v>
      </c>
      <c r="AE1207" s="16">
        <f t="shared" si="71"/>
        <v>51.20393743376809</v>
      </c>
      <c r="AF1207" s="16">
        <f>'Gearing Calculator'!$C$17*Braking!AD1207</f>
        <v>3008.030075795712</v>
      </c>
      <c r="AG1207" s="16">
        <f t="shared" si="72"/>
        <v>-11.299887587512067</v>
      </c>
    </row>
    <row r="1208" spans="29:33" x14ac:dyDescent="0.25">
      <c r="AC1208" s="16">
        <v>1204</v>
      </c>
      <c r="AD1208" s="16">
        <f t="shared" si="73"/>
        <v>2005.8820417888819</v>
      </c>
      <c r="AE1208" s="16">
        <f t="shared" si="71"/>
        <v>51.24650097278203</v>
      </c>
      <c r="AF1208" s="16">
        <f>'Gearing Calculator'!$C$17*Braking!AD1208</f>
        <v>3008.8230626833229</v>
      </c>
      <c r="AG1208" s="16">
        <f t="shared" si="72"/>
        <v>-11.302866501439981</v>
      </c>
    </row>
    <row r="1209" spans="29:33" x14ac:dyDescent="0.25">
      <c r="AC1209" s="16">
        <v>1205</v>
      </c>
      <c r="AD1209" s="16">
        <f t="shared" si="73"/>
        <v>2006.4106997139556</v>
      </c>
      <c r="AE1209" s="16">
        <f t="shared" si="71"/>
        <v>51.289064511795971</v>
      </c>
      <c r="AF1209" s="16">
        <f>'Gearing Calculator'!$C$17*Braking!AD1209</f>
        <v>3009.6160495709337</v>
      </c>
      <c r="AG1209" s="16">
        <f t="shared" si="72"/>
        <v>-11.305845415367896</v>
      </c>
    </row>
    <row r="1210" spans="29:33" x14ac:dyDescent="0.25">
      <c r="AC1210" s="16">
        <v>1206</v>
      </c>
      <c r="AD1210" s="16">
        <f t="shared" si="73"/>
        <v>2006.9393576390296</v>
      </c>
      <c r="AE1210" s="16">
        <f t="shared" si="71"/>
        <v>51.331628050809911</v>
      </c>
      <c r="AF1210" s="16">
        <f>'Gearing Calculator'!$C$17*Braking!AD1210</f>
        <v>3010.4090364585445</v>
      </c>
      <c r="AG1210" s="16">
        <f t="shared" si="72"/>
        <v>-11.30882432929581</v>
      </c>
    </row>
    <row r="1211" spans="29:33" x14ac:dyDescent="0.25">
      <c r="AC1211" s="16">
        <v>1207</v>
      </c>
      <c r="AD1211" s="16">
        <f t="shared" si="73"/>
        <v>2007.4680155641033</v>
      </c>
      <c r="AE1211" s="16">
        <f t="shared" si="71"/>
        <v>51.374191589823845</v>
      </c>
      <c r="AF1211" s="16">
        <f>'Gearing Calculator'!$C$17*Braking!AD1211</f>
        <v>3011.2020233461549</v>
      </c>
      <c r="AG1211" s="16">
        <f t="shared" si="72"/>
        <v>-11.311803243223723</v>
      </c>
    </row>
    <row r="1212" spans="29:33" x14ac:dyDescent="0.25">
      <c r="AC1212" s="16">
        <v>1208</v>
      </c>
      <c r="AD1212" s="16">
        <f t="shared" si="73"/>
        <v>2007.9966734891773</v>
      </c>
      <c r="AE1212" s="16">
        <f t="shared" si="71"/>
        <v>51.416755128837785</v>
      </c>
      <c r="AF1212" s="16">
        <f>'Gearing Calculator'!$C$17*Braking!AD1212</f>
        <v>3011.9950102337662</v>
      </c>
      <c r="AG1212" s="16">
        <f t="shared" si="72"/>
        <v>-11.314782157151638</v>
      </c>
    </row>
    <row r="1213" spans="29:33" x14ac:dyDescent="0.25">
      <c r="AC1213" s="16">
        <v>1209</v>
      </c>
      <c r="AD1213" s="16">
        <f t="shared" si="73"/>
        <v>2008.525331414251</v>
      </c>
      <c r="AE1213" s="16">
        <f t="shared" si="71"/>
        <v>51.459318667851726</v>
      </c>
      <c r="AF1213" s="16">
        <f>'Gearing Calculator'!$C$17*Braking!AD1213</f>
        <v>3012.7879971213765</v>
      </c>
      <c r="AG1213" s="16">
        <f t="shared" si="72"/>
        <v>-11.317761071079552</v>
      </c>
    </row>
    <row r="1214" spans="29:33" x14ac:dyDescent="0.25">
      <c r="AC1214" s="16">
        <v>1210</v>
      </c>
      <c r="AD1214" s="16">
        <f t="shared" si="73"/>
        <v>2009.0539893393247</v>
      </c>
      <c r="AE1214" s="16">
        <f t="shared" si="71"/>
        <v>51.501882206865659</v>
      </c>
      <c r="AF1214" s="16">
        <f>'Gearing Calculator'!$C$17*Braking!AD1214</f>
        <v>3013.5809840089869</v>
      </c>
      <c r="AG1214" s="16">
        <f t="shared" si="72"/>
        <v>-11.320739985007464</v>
      </c>
    </row>
    <row r="1215" spans="29:33" x14ac:dyDescent="0.25">
      <c r="AC1215" s="16">
        <v>1211</v>
      </c>
      <c r="AD1215" s="16">
        <f t="shared" si="73"/>
        <v>2009.5826472643987</v>
      </c>
      <c r="AE1215" s="16">
        <f t="shared" ref="AE1215:AE1278" si="74">(AC1215/$X$104)*100</f>
        <v>51.544445745879599</v>
      </c>
      <c r="AF1215" s="16">
        <f>'Gearing Calculator'!$C$17*Braking!AD1215</f>
        <v>3014.3739708965982</v>
      </c>
      <c r="AG1215" s="16">
        <f t="shared" si="72"/>
        <v>-11.323718898935381</v>
      </c>
    </row>
    <row r="1216" spans="29:33" x14ac:dyDescent="0.25">
      <c r="AC1216" s="16">
        <v>1212</v>
      </c>
      <c r="AD1216" s="16">
        <f t="shared" si="73"/>
        <v>2010.1113051894724</v>
      </c>
      <c r="AE1216" s="16">
        <f t="shared" si="74"/>
        <v>51.58700928489354</v>
      </c>
      <c r="AF1216" s="16">
        <f>'Gearing Calculator'!$C$17*Braking!AD1216</f>
        <v>3015.1669577842085</v>
      </c>
      <c r="AG1216" s="16">
        <f t="shared" si="72"/>
        <v>-11.326697812863292</v>
      </c>
    </row>
    <row r="1217" spans="29:33" x14ac:dyDescent="0.25">
      <c r="AC1217" s="16">
        <v>1213</v>
      </c>
      <c r="AD1217" s="16">
        <f t="shared" si="73"/>
        <v>2010.6399631145464</v>
      </c>
      <c r="AE1217" s="16">
        <f t="shared" si="74"/>
        <v>51.62957282390748</v>
      </c>
      <c r="AF1217" s="16">
        <f>'Gearing Calculator'!$C$17*Braking!AD1217</f>
        <v>3015.9599446718194</v>
      </c>
      <c r="AG1217" s="16">
        <f t="shared" si="72"/>
        <v>-11.329676726791208</v>
      </c>
    </row>
    <row r="1218" spans="29:33" x14ac:dyDescent="0.25">
      <c r="AC1218" s="16">
        <v>1214</v>
      </c>
      <c r="AD1218" s="16">
        <f t="shared" si="73"/>
        <v>2011.1686210396201</v>
      </c>
      <c r="AE1218" s="16">
        <f t="shared" si="74"/>
        <v>51.672136362921414</v>
      </c>
      <c r="AF1218" s="16">
        <f>'Gearing Calculator'!$C$17*Braking!AD1218</f>
        <v>3016.7529315594302</v>
      </c>
      <c r="AG1218" s="16">
        <f t="shared" si="72"/>
        <v>-11.332655640719121</v>
      </c>
    </row>
    <row r="1219" spans="29:33" x14ac:dyDescent="0.25">
      <c r="AC1219" s="16">
        <v>1215</v>
      </c>
      <c r="AD1219" s="16">
        <f t="shared" si="73"/>
        <v>2011.6972789646939</v>
      </c>
      <c r="AE1219" s="16">
        <f t="shared" si="74"/>
        <v>51.714699901935354</v>
      </c>
      <c r="AF1219" s="16">
        <f>'Gearing Calculator'!$C$17*Braking!AD1219</f>
        <v>3017.545918447041</v>
      </c>
      <c r="AG1219" s="16">
        <f t="shared" si="72"/>
        <v>-11.335634554647037</v>
      </c>
    </row>
    <row r="1220" spans="29:33" x14ac:dyDescent="0.25">
      <c r="AC1220" s="16">
        <v>1216</v>
      </c>
      <c r="AD1220" s="16">
        <f t="shared" si="73"/>
        <v>2012.2259368897678</v>
      </c>
      <c r="AE1220" s="16">
        <f t="shared" si="74"/>
        <v>51.757263440949295</v>
      </c>
      <c r="AF1220" s="16">
        <f>'Gearing Calculator'!$C$17*Braking!AD1220</f>
        <v>3018.3389053346518</v>
      </c>
      <c r="AG1220" s="16">
        <f t="shared" si="72"/>
        <v>-11.338613468574952</v>
      </c>
    </row>
    <row r="1221" spans="29:33" x14ac:dyDescent="0.25">
      <c r="AC1221" s="16">
        <v>1217</v>
      </c>
      <c r="AD1221" s="16">
        <f t="shared" si="73"/>
        <v>2012.7545948148415</v>
      </c>
      <c r="AE1221" s="16">
        <f t="shared" si="74"/>
        <v>51.799826979963235</v>
      </c>
      <c r="AF1221" s="16">
        <f>'Gearing Calculator'!$C$17*Braking!AD1221</f>
        <v>3019.1318922222622</v>
      </c>
      <c r="AG1221" s="16">
        <f t="shared" si="72"/>
        <v>-11.341592382502864</v>
      </c>
    </row>
    <row r="1222" spans="29:33" x14ac:dyDescent="0.25">
      <c r="AC1222" s="16">
        <v>1218</v>
      </c>
      <c r="AD1222" s="16">
        <f t="shared" si="73"/>
        <v>2013.2832527399155</v>
      </c>
      <c r="AE1222" s="16">
        <f t="shared" si="74"/>
        <v>51.842390518977169</v>
      </c>
      <c r="AF1222" s="16">
        <f>'Gearing Calculator'!$C$17*Braking!AD1222</f>
        <v>3019.9248791098735</v>
      </c>
      <c r="AG1222" s="16">
        <f t="shared" ref="AG1222:AG1285" si="75">-(AF1222/$C$3)</f>
        <v>-11.344571296430781</v>
      </c>
    </row>
    <row r="1223" spans="29:33" x14ac:dyDescent="0.25">
      <c r="AC1223" s="16">
        <v>1219</v>
      </c>
      <c r="AD1223" s="16">
        <f t="shared" ref="AD1223:AD1286" si="76">($C$3*$C$4)*($C$9/$C$8)+(AC1223*($C$10/$C$8))</f>
        <v>2013.8119106649892</v>
      </c>
      <c r="AE1223" s="16">
        <f t="shared" si="74"/>
        <v>51.884954057991109</v>
      </c>
      <c r="AF1223" s="16">
        <f>'Gearing Calculator'!$C$17*Braking!AD1223</f>
        <v>3020.7178659974838</v>
      </c>
      <c r="AG1223" s="16">
        <f t="shared" si="75"/>
        <v>-11.347550210358692</v>
      </c>
    </row>
    <row r="1224" spans="29:33" x14ac:dyDescent="0.25">
      <c r="AC1224" s="16">
        <v>1220</v>
      </c>
      <c r="AD1224" s="16">
        <f t="shared" si="76"/>
        <v>2014.340568590063</v>
      </c>
      <c r="AE1224" s="16">
        <f t="shared" si="74"/>
        <v>51.92751759700505</v>
      </c>
      <c r="AF1224" s="16">
        <f>'Gearing Calculator'!$C$17*Braking!AD1224</f>
        <v>3021.5108528850942</v>
      </c>
      <c r="AG1224" s="16">
        <f t="shared" si="75"/>
        <v>-11.350529124286606</v>
      </c>
    </row>
    <row r="1225" spans="29:33" x14ac:dyDescent="0.25">
      <c r="AC1225" s="16">
        <v>1221</v>
      </c>
      <c r="AD1225" s="16">
        <f t="shared" si="76"/>
        <v>2014.8692265151369</v>
      </c>
      <c r="AE1225" s="16">
        <f t="shared" si="74"/>
        <v>51.970081136018983</v>
      </c>
      <c r="AF1225" s="16">
        <f>'Gearing Calculator'!$C$17*Braking!AD1225</f>
        <v>3022.3038397727055</v>
      </c>
      <c r="AG1225" s="16">
        <f t="shared" si="75"/>
        <v>-11.353508038214521</v>
      </c>
    </row>
    <row r="1226" spans="29:33" x14ac:dyDescent="0.25">
      <c r="AC1226" s="16">
        <v>1222</v>
      </c>
      <c r="AD1226" s="16">
        <f t="shared" si="76"/>
        <v>2015.3978844402109</v>
      </c>
      <c r="AE1226" s="16">
        <f t="shared" si="74"/>
        <v>52.012644675032924</v>
      </c>
      <c r="AF1226" s="16">
        <f>'Gearing Calculator'!$C$17*Braking!AD1226</f>
        <v>3023.0968266603163</v>
      </c>
      <c r="AG1226" s="16">
        <f t="shared" si="75"/>
        <v>-11.356486952142436</v>
      </c>
    </row>
    <row r="1227" spans="29:33" x14ac:dyDescent="0.25">
      <c r="AC1227" s="16">
        <v>1223</v>
      </c>
      <c r="AD1227" s="16">
        <f t="shared" si="76"/>
        <v>2015.9265423652846</v>
      </c>
      <c r="AE1227" s="16">
        <f t="shared" si="74"/>
        <v>52.055208214046864</v>
      </c>
      <c r="AF1227" s="16">
        <f>'Gearing Calculator'!$C$17*Braking!AD1227</f>
        <v>3023.8898135479267</v>
      </c>
      <c r="AG1227" s="16">
        <f t="shared" si="75"/>
        <v>-11.359465866070348</v>
      </c>
    </row>
    <row r="1228" spans="29:33" x14ac:dyDescent="0.25">
      <c r="AC1228" s="16">
        <v>1224</v>
      </c>
      <c r="AD1228" s="16">
        <f t="shared" si="76"/>
        <v>2016.4552002903583</v>
      </c>
      <c r="AE1228" s="16">
        <f t="shared" si="74"/>
        <v>52.097771753060805</v>
      </c>
      <c r="AF1228" s="16">
        <f>'Gearing Calculator'!$C$17*Braking!AD1228</f>
        <v>3024.6828004355375</v>
      </c>
      <c r="AG1228" s="16">
        <f t="shared" si="75"/>
        <v>-11.362444779998263</v>
      </c>
    </row>
    <row r="1229" spans="29:33" x14ac:dyDescent="0.25">
      <c r="AC1229" s="16">
        <v>1225</v>
      </c>
      <c r="AD1229" s="16">
        <f t="shared" si="76"/>
        <v>2016.9838582154321</v>
      </c>
      <c r="AE1229" s="16">
        <f t="shared" si="74"/>
        <v>52.140335292074738</v>
      </c>
      <c r="AF1229" s="16">
        <f>'Gearing Calculator'!$C$17*Braking!AD1229</f>
        <v>3025.4757873231483</v>
      </c>
      <c r="AG1229" s="16">
        <f t="shared" si="75"/>
        <v>-11.365423693926177</v>
      </c>
    </row>
    <row r="1230" spans="29:33" x14ac:dyDescent="0.25">
      <c r="AC1230" s="16">
        <v>1226</v>
      </c>
      <c r="AD1230" s="16">
        <f t="shared" si="76"/>
        <v>2017.512516140506</v>
      </c>
      <c r="AE1230" s="16">
        <f t="shared" si="74"/>
        <v>52.182898831088679</v>
      </c>
      <c r="AF1230" s="16">
        <f>'Gearing Calculator'!$C$17*Braking!AD1230</f>
        <v>3026.2687742107591</v>
      </c>
      <c r="AG1230" s="16">
        <f t="shared" si="75"/>
        <v>-11.368402607854092</v>
      </c>
    </row>
    <row r="1231" spans="29:33" x14ac:dyDescent="0.25">
      <c r="AC1231" s="16">
        <v>1227</v>
      </c>
      <c r="AD1231" s="16">
        <f t="shared" si="76"/>
        <v>2018.04117406558</v>
      </c>
      <c r="AE1231" s="16">
        <f t="shared" si="74"/>
        <v>52.225462370102619</v>
      </c>
      <c r="AF1231" s="16">
        <f>'Gearing Calculator'!$C$17*Braking!AD1231</f>
        <v>3027.06176109837</v>
      </c>
      <c r="AG1231" s="16">
        <f t="shared" si="75"/>
        <v>-11.371381521782006</v>
      </c>
    </row>
    <row r="1232" spans="29:33" x14ac:dyDescent="0.25">
      <c r="AC1232" s="16">
        <v>1228</v>
      </c>
      <c r="AD1232" s="16">
        <f t="shared" si="76"/>
        <v>2018.5698319906537</v>
      </c>
      <c r="AE1232" s="16">
        <f t="shared" si="74"/>
        <v>52.268025909116552</v>
      </c>
      <c r="AF1232" s="16">
        <f>'Gearing Calculator'!$C$17*Braking!AD1232</f>
        <v>3027.8547479859808</v>
      </c>
      <c r="AG1232" s="16">
        <f t="shared" si="75"/>
        <v>-11.374360435709921</v>
      </c>
    </row>
    <row r="1233" spans="29:33" x14ac:dyDescent="0.25">
      <c r="AC1233" s="16">
        <v>1229</v>
      </c>
      <c r="AD1233" s="16">
        <f t="shared" si="76"/>
        <v>2019.0984899157274</v>
      </c>
      <c r="AE1233" s="16">
        <f t="shared" si="74"/>
        <v>52.310589448130493</v>
      </c>
      <c r="AF1233" s="16">
        <f>'Gearing Calculator'!$C$17*Braking!AD1233</f>
        <v>3028.6477348735912</v>
      </c>
      <c r="AG1233" s="16">
        <f t="shared" si="75"/>
        <v>-11.377339349637834</v>
      </c>
    </row>
    <row r="1234" spans="29:33" x14ac:dyDescent="0.25">
      <c r="AC1234" s="16">
        <v>1230</v>
      </c>
      <c r="AD1234" s="16">
        <f t="shared" si="76"/>
        <v>2019.6271478408012</v>
      </c>
      <c r="AE1234" s="16">
        <f t="shared" si="74"/>
        <v>52.353152987144433</v>
      </c>
      <c r="AF1234" s="16">
        <f>'Gearing Calculator'!$C$17*Braking!AD1234</f>
        <v>3029.4407217612015</v>
      </c>
      <c r="AG1234" s="16">
        <f t="shared" si="75"/>
        <v>-11.380318263565746</v>
      </c>
    </row>
    <row r="1235" spans="29:33" x14ac:dyDescent="0.25">
      <c r="AC1235" s="16">
        <v>1231</v>
      </c>
      <c r="AD1235" s="16">
        <f t="shared" si="76"/>
        <v>2020.1558057658751</v>
      </c>
      <c r="AE1235" s="16">
        <f t="shared" si="74"/>
        <v>52.395716526158374</v>
      </c>
      <c r="AF1235" s="16">
        <f>'Gearing Calculator'!$C$17*Braking!AD1235</f>
        <v>3030.2337086488128</v>
      </c>
      <c r="AG1235" s="16">
        <f t="shared" si="75"/>
        <v>-11.383297177493663</v>
      </c>
    </row>
    <row r="1236" spans="29:33" x14ac:dyDescent="0.25">
      <c r="AC1236" s="16">
        <v>1232</v>
      </c>
      <c r="AD1236" s="16">
        <f t="shared" si="76"/>
        <v>2020.6844636909491</v>
      </c>
      <c r="AE1236" s="16">
        <f t="shared" si="74"/>
        <v>52.438280065172314</v>
      </c>
      <c r="AF1236" s="16">
        <f>'Gearing Calculator'!$C$17*Braking!AD1236</f>
        <v>3031.0266955364236</v>
      </c>
      <c r="AG1236" s="16">
        <f t="shared" si="75"/>
        <v>-11.386276091421577</v>
      </c>
    </row>
    <row r="1237" spans="29:33" x14ac:dyDescent="0.25">
      <c r="AC1237" s="16">
        <v>1233</v>
      </c>
      <c r="AD1237" s="16">
        <f t="shared" si="76"/>
        <v>2021.2131216160228</v>
      </c>
      <c r="AE1237" s="16">
        <f t="shared" si="74"/>
        <v>52.480843604186248</v>
      </c>
      <c r="AF1237" s="16">
        <f>'Gearing Calculator'!$C$17*Braking!AD1237</f>
        <v>3031.819682424034</v>
      </c>
      <c r="AG1237" s="16">
        <f t="shared" si="75"/>
        <v>-11.38925500534949</v>
      </c>
    </row>
    <row r="1238" spans="29:33" x14ac:dyDescent="0.25">
      <c r="AC1238" s="16">
        <v>1234</v>
      </c>
      <c r="AD1238" s="16">
        <f t="shared" si="76"/>
        <v>2021.7417795410965</v>
      </c>
      <c r="AE1238" s="16">
        <f t="shared" si="74"/>
        <v>52.523407143200188</v>
      </c>
      <c r="AF1238" s="16">
        <f>'Gearing Calculator'!$C$17*Braking!AD1238</f>
        <v>3032.6126693116448</v>
      </c>
      <c r="AG1238" s="16">
        <f t="shared" si="75"/>
        <v>-11.392233919277404</v>
      </c>
    </row>
    <row r="1239" spans="29:33" x14ac:dyDescent="0.25">
      <c r="AC1239" s="16">
        <v>1235</v>
      </c>
      <c r="AD1239" s="16">
        <f t="shared" si="76"/>
        <v>2022.2704374661703</v>
      </c>
      <c r="AE1239" s="16">
        <f t="shared" si="74"/>
        <v>52.565970682214122</v>
      </c>
      <c r="AF1239" s="16">
        <f>'Gearing Calculator'!$C$17*Braking!AD1239</f>
        <v>3033.4056561992556</v>
      </c>
      <c r="AG1239" s="16">
        <f t="shared" si="75"/>
        <v>-11.395212833205319</v>
      </c>
    </row>
    <row r="1240" spans="29:33" x14ac:dyDescent="0.25">
      <c r="AC1240" s="16">
        <v>1236</v>
      </c>
      <c r="AD1240" s="16">
        <f t="shared" si="76"/>
        <v>2022.7990953912442</v>
      </c>
      <c r="AE1240" s="16">
        <f t="shared" si="74"/>
        <v>52.608534221228062</v>
      </c>
      <c r="AF1240" s="16">
        <f>'Gearing Calculator'!$C$17*Braking!AD1240</f>
        <v>3034.1986430868665</v>
      </c>
      <c r="AG1240" s="16">
        <f t="shared" si="75"/>
        <v>-11.398191747133232</v>
      </c>
    </row>
    <row r="1241" spans="29:33" x14ac:dyDescent="0.25">
      <c r="AC1241" s="16">
        <v>1237</v>
      </c>
      <c r="AD1241" s="16">
        <f t="shared" si="76"/>
        <v>2023.3277533163182</v>
      </c>
      <c r="AE1241" s="16">
        <f t="shared" si="74"/>
        <v>52.651097760242003</v>
      </c>
      <c r="AF1241" s="16">
        <f>'Gearing Calculator'!$C$17*Braking!AD1241</f>
        <v>3034.9916299744773</v>
      </c>
      <c r="AG1241" s="16">
        <f t="shared" si="75"/>
        <v>-11.401170661061148</v>
      </c>
    </row>
    <row r="1242" spans="29:33" x14ac:dyDescent="0.25">
      <c r="AC1242" s="16">
        <v>1238</v>
      </c>
      <c r="AD1242" s="16">
        <f t="shared" si="76"/>
        <v>2023.8564112413919</v>
      </c>
      <c r="AE1242" s="16">
        <f t="shared" si="74"/>
        <v>52.693661299255943</v>
      </c>
      <c r="AF1242" s="16">
        <f>'Gearing Calculator'!$C$17*Braking!AD1242</f>
        <v>3035.7846168620881</v>
      </c>
      <c r="AG1242" s="16">
        <f t="shared" si="75"/>
        <v>-11.404149574989061</v>
      </c>
    </row>
    <row r="1243" spans="29:33" x14ac:dyDescent="0.25">
      <c r="AC1243" s="16">
        <v>1239</v>
      </c>
      <c r="AD1243" s="16">
        <f t="shared" si="76"/>
        <v>2024.3850691664657</v>
      </c>
      <c r="AE1243" s="16">
        <f t="shared" si="74"/>
        <v>52.736224838269884</v>
      </c>
      <c r="AF1243" s="16">
        <f>'Gearing Calculator'!$C$17*Braking!AD1243</f>
        <v>3036.5776037496985</v>
      </c>
      <c r="AG1243" s="16">
        <f t="shared" si="75"/>
        <v>-11.407128488916975</v>
      </c>
    </row>
    <row r="1244" spans="29:33" x14ac:dyDescent="0.25">
      <c r="AC1244" s="16">
        <v>1240</v>
      </c>
      <c r="AD1244" s="16">
        <f t="shared" si="76"/>
        <v>2024.9137270915394</v>
      </c>
      <c r="AE1244" s="16">
        <f t="shared" si="74"/>
        <v>52.778788377283817</v>
      </c>
      <c r="AF1244" s="16">
        <f>'Gearing Calculator'!$C$17*Braking!AD1244</f>
        <v>3037.3705906373089</v>
      </c>
      <c r="AG1244" s="16">
        <f t="shared" si="75"/>
        <v>-11.410107402844888</v>
      </c>
    </row>
    <row r="1245" spans="29:33" x14ac:dyDescent="0.25">
      <c r="AC1245" s="16">
        <v>1241</v>
      </c>
      <c r="AD1245" s="16">
        <f t="shared" si="76"/>
        <v>2025.4423850166133</v>
      </c>
      <c r="AE1245" s="16">
        <f t="shared" si="74"/>
        <v>52.821351916297758</v>
      </c>
      <c r="AF1245" s="16">
        <f>'Gearing Calculator'!$C$17*Braking!AD1245</f>
        <v>3038.1635775249201</v>
      </c>
      <c r="AG1245" s="16">
        <f t="shared" si="75"/>
        <v>-11.413086316772803</v>
      </c>
    </row>
    <row r="1246" spans="29:33" x14ac:dyDescent="0.25">
      <c r="AC1246" s="16">
        <v>1242</v>
      </c>
      <c r="AD1246" s="16">
        <f t="shared" si="76"/>
        <v>2025.9710429416873</v>
      </c>
      <c r="AE1246" s="16">
        <f t="shared" si="74"/>
        <v>52.863915455311691</v>
      </c>
      <c r="AF1246" s="16">
        <f>'Gearing Calculator'!$C$17*Braking!AD1246</f>
        <v>3038.956564412531</v>
      </c>
      <c r="AG1246" s="16">
        <f t="shared" si="75"/>
        <v>-11.416065230700719</v>
      </c>
    </row>
    <row r="1247" spans="29:33" x14ac:dyDescent="0.25">
      <c r="AC1247" s="16">
        <v>1243</v>
      </c>
      <c r="AD1247" s="16">
        <f t="shared" si="76"/>
        <v>2026.499700866761</v>
      </c>
      <c r="AE1247" s="16">
        <f t="shared" si="74"/>
        <v>52.906478994325632</v>
      </c>
      <c r="AF1247" s="16">
        <f>'Gearing Calculator'!$C$17*Braking!AD1247</f>
        <v>3039.7495513001413</v>
      </c>
      <c r="AG1247" s="16">
        <f t="shared" si="75"/>
        <v>-11.41904414462863</v>
      </c>
    </row>
    <row r="1248" spans="29:33" x14ac:dyDescent="0.25">
      <c r="AC1248" s="16">
        <v>1244</v>
      </c>
      <c r="AD1248" s="16">
        <f t="shared" si="76"/>
        <v>2027.0283587918348</v>
      </c>
      <c r="AE1248" s="16">
        <f t="shared" si="74"/>
        <v>52.949042533339572</v>
      </c>
      <c r="AF1248" s="16">
        <f>'Gearing Calculator'!$C$17*Braking!AD1248</f>
        <v>3040.5425381877521</v>
      </c>
      <c r="AG1248" s="16">
        <f t="shared" si="75"/>
        <v>-11.422023058556546</v>
      </c>
    </row>
    <row r="1249" spans="29:33" x14ac:dyDescent="0.25">
      <c r="AC1249" s="16">
        <v>1245</v>
      </c>
      <c r="AD1249" s="16">
        <f t="shared" si="76"/>
        <v>2027.5570167169085</v>
      </c>
      <c r="AE1249" s="16">
        <f t="shared" si="74"/>
        <v>52.991606072353513</v>
      </c>
      <c r="AF1249" s="16">
        <f>'Gearing Calculator'!$C$17*Braking!AD1249</f>
        <v>3041.335525075363</v>
      </c>
      <c r="AG1249" s="16">
        <f t="shared" si="75"/>
        <v>-11.425001972484459</v>
      </c>
    </row>
    <row r="1250" spans="29:33" x14ac:dyDescent="0.25">
      <c r="AC1250" s="16">
        <v>1246</v>
      </c>
      <c r="AD1250" s="16">
        <f t="shared" si="76"/>
        <v>2028.0856746419825</v>
      </c>
      <c r="AE1250" s="16">
        <f t="shared" si="74"/>
        <v>53.034169611367453</v>
      </c>
      <c r="AF1250" s="16">
        <f>'Gearing Calculator'!$C$17*Braking!AD1250</f>
        <v>3042.1285119629738</v>
      </c>
      <c r="AG1250" s="16">
        <f t="shared" si="75"/>
        <v>-11.427980886412374</v>
      </c>
    </row>
    <row r="1251" spans="29:33" x14ac:dyDescent="0.25">
      <c r="AC1251" s="16">
        <v>1247</v>
      </c>
      <c r="AD1251" s="16">
        <f t="shared" si="76"/>
        <v>2028.6143325670564</v>
      </c>
      <c r="AE1251" s="16">
        <f t="shared" si="74"/>
        <v>53.076733150381386</v>
      </c>
      <c r="AF1251" s="16">
        <f>'Gearing Calculator'!$C$17*Braking!AD1251</f>
        <v>3042.9214988505846</v>
      </c>
      <c r="AG1251" s="16">
        <f t="shared" si="75"/>
        <v>-11.430959800340288</v>
      </c>
    </row>
    <row r="1252" spans="29:33" x14ac:dyDescent="0.25">
      <c r="AC1252" s="16">
        <v>1248</v>
      </c>
      <c r="AD1252" s="16">
        <f t="shared" si="76"/>
        <v>2029.1429904921301</v>
      </c>
      <c r="AE1252" s="16">
        <f t="shared" si="74"/>
        <v>53.119296689395327</v>
      </c>
      <c r="AF1252" s="16">
        <f>'Gearing Calculator'!$C$17*Braking!AD1252</f>
        <v>3043.7144857381954</v>
      </c>
      <c r="AG1252" s="16">
        <f t="shared" si="75"/>
        <v>-11.433938714268203</v>
      </c>
    </row>
    <row r="1253" spans="29:33" x14ac:dyDescent="0.25">
      <c r="AC1253" s="16">
        <v>1249</v>
      </c>
      <c r="AD1253" s="16">
        <f t="shared" si="76"/>
        <v>2029.6716484172039</v>
      </c>
      <c r="AE1253" s="16">
        <f t="shared" si="74"/>
        <v>53.16186022840926</v>
      </c>
      <c r="AF1253" s="16">
        <f>'Gearing Calculator'!$C$17*Braking!AD1253</f>
        <v>3044.5074726258058</v>
      </c>
      <c r="AG1253" s="16">
        <f t="shared" si="75"/>
        <v>-11.436917628196115</v>
      </c>
    </row>
    <row r="1254" spans="29:33" x14ac:dyDescent="0.25">
      <c r="AC1254" s="16">
        <v>1250</v>
      </c>
      <c r="AD1254" s="16">
        <f t="shared" si="76"/>
        <v>2030.2003063422776</v>
      </c>
      <c r="AE1254" s="16">
        <f t="shared" si="74"/>
        <v>53.204423767423201</v>
      </c>
      <c r="AF1254" s="16">
        <f>'Gearing Calculator'!$C$17*Braking!AD1254</f>
        <v>3045.3004595134162</v>
      </c>
      <c r="AG1254" s="16">
        <f t="shared" si="75"/>
        <v>-11.439896542124028</v>
      </c>
    </row>
    <row r="1255" spans="29:33" x14ac:dyDescent="0.25">
      <c r="AC1255" s="16">
        <v>1251</v>
      </c>
      <c r="AD1255" s="16">
        <f t="shared" si="76"/>
        <v>2030.7289642673516</v>
      </c>
      <c r="AE1255" s="16">
        <f t="shared" si="74"/>
        <v>53.246987306437141</v>
      </c>
      <c r="AF1255" s="16">
        <f>'Gearing Calculator'!$C$17*Braking!AD1255</f>
        <v>3046.0934464010274</v>
      </c>
      <c r="AG1255" s="16">
        <f t="shared" si="75"/>
        <v>-11.442875456051944</v>
      </c>
    </row>
    <row r="1256" spans="29:33" x14ac:dyDescent="0.25">
      <c r="AC1256" s="16">
        <v>1252</v>
      </c>
      <c r="AD1256" s="16">
        <f t="shared" si="76"/>
        <v>2031.2576221924255</v>
      </c>
      <c r="AE1256" s="16">
        <f t="shared" si="74"/>
        <v>53.289550845451082</v>
      </c>
      <c r="AF1256" s="16">
        <f>'Gearing Calculator'!$C$17*Braking!AD1256</f>
        <v>3046.8864332886383</v>
      </c>
      <c r="AG1256" s="16">
        <f t="shared" si="75"/>
        <v>-11.445854369979859</v>
      </c>
    </row>
    <row r="1257" spans="29:33" x14ac:dyDescent="0.25">
      <c r="AC1257" s="16">
        <v>1253</v>
      </c>
      <c r="AD1257" s="16">
        <f t="shared" si="76"/>
        <v>2031.7862801174992</v>
      </c>
      <c r="AE1257" s="16">
        <f t="shared" si="74"/>
        <v>53.332114384465022</v>
      </c>
      <c r="AF1257" s="16">
        <f>'Gearing Calculator'!$C$17*Braking!AD1257</f>
        <v>3047.6794201762486</v>
      </c>
      <c r="AG1257" s="16">
        <f t="shared" si="75"/>
        <v>-11.448833283907771</v>
      </c>
    </row>
    <row r="1258" spans="29:33" x14ac:dyDescent="0.25">
      <c r="AC1258" s="16">
        <v>1254</v>
      </c>
      <c r="AD1258" s="16">
        <f t="shared" si="76"/>
        <v>2032.314938042573</v>
      </c>
      <c r="AE1258" s="16">
        <f t="shared" si="74"/>
        <v>53.374677923478963</v>
      </c>
      <c r="AF1258" s="16">
        <f>'Gearing Calculator'!$C$17*Braking!AD1258</f>
        <v>3048.4724070638595</v>
      </c>
      <c r="AG1258" s="16">
        <f t="shared" si="75"/>
        <v>-11.451812197835686</v>
      </c>
    </row>
    <row r="1259" spans="29:33" x14ac:dyDescent="0.25">
      <c r="AC1259" s="16">
        <v>1255</v>
      </c>
      <c r="AD1259" s="16">
        <f t="shared" si="76"/>
        <v>2032.8435959676467</v>
      </c>
      <c r="AE1259" s="16">
        <f t="shared" si="74"/>
        <v>53.417241462492896</v>
      </c>
      <c r="AF1259" s="16">
        <f>'Gearing Calculator'!$C$17*Braking!AD1259</f>
        <v>3049.2653939514703</v>
      </c>
      <c r="AG1259" s="16">
        <f t="shared" si="75"/>
        <v>-11.454791111763601</v>
      </c>
    </row>
    <row r="1260" spans="29:33" x14ac:dyDescent="0.25">
      <c r="AC1260" s="16">
        <v>1256</v>
      </c>
      <c r="AD1260" s="16">
        <f t="shared" si="76"/>
        <v>2033.3722538927207</v>
      </c>
      <c r="AE1260" s="16">
        <f t="shared" si="74"/>
        <v>53.45980500150683</v>
      </c>
      <c r="AF1260" s="16">
        <f>'Gearing Calculator'!$C$17*Braking!AD1260</f>
        <v>3050.0583808390811</v>
      </c>
      <c r="AG1260" s="16">
        <f t="shared" si="75"/>
        <v>-11.457770025691515</v>
      </c>
    </row>
    <row r="1261" spans="29:33" x14ac:dyDescent="0.25">
      <c r="AC1261" s="16">
        <v>1257</v>
      </c>
      <c r="AD1261" s="16">
        <f t="shared" si="76"/>
        <v>2033.9009118177946</v>
      </c>
      <c r="AE1261" s="16">
        <f t="shared" si="74"/>
        <v>53.50236854052077</v>
      </c>
      <c r="AF1261" s="16">
        <f>'Gearing Calculator'!$C$17*Braking!AD1261</f>
        <v>3050.8513677266919</v>
      </c>
      <c r="AG1261" s="16">
        <f t="shared" si="75"/>
        <v>-11.46074893961943</v>
      </c>
    </row>
    <row r="1262" spans="29:33" x14ac:dyDescent="0.25">
      <c r="AC1262" s="16">
        <v>1258</v>
      </c>
      <c r="AD1262" s="16">
        <f t="shared" si="76"/>
        <v>2034.4295697428684</v>
      </c>
      <c r="AE1262" s="16">
        <f t="shared" si="74"/>
        <v>53.544932079534711</v>
      </c>
      <c r="AF1262" s="16">
        <f>'Gearing Calculator'!$C$17*Braking!AD1262</f>
        <v>3051.6443546143028</v>
      </c>
      <c r="AG1262" s="16">
        <f t="shared" si="75"/>
        <v>-11.463727853547343</v>
      </c>
    </row>
    <row r="1263" spans="29:33" x14ac:dyDescent="0.25">
      <c r="AC1263" s="16">
        <v>1259</v>
      </c>
      <c r="AD1263" s="16">
        <f t="shared" si="76"/>
        <v>2034.9582276679421</v>
      </c>
      <c r="AE1263" s="16">
        <f t="shared" si="74"/>
        <v>53.587495618548651</v>
      </c>
      <c r="AF1263" s="16">
        <f>'Gearing Calculator'!$C$17*Braking!AD1263</f>
        <v>3052.4373415019131</v>
      </c>
      <c r="AG1263" s="16">
        <f t="shared" si="75"/>
        <v>-11.466706767475257</v>
      </c>
    </row>
    <row r="1264" spans="29:33" x14ac:dyDescent="0.25">
      <c r="AC1264" s="16">
        <v>1260</v>
      </c>
      <c r="AD1264" s="16">
        <f t="shared" si="76"/>
        <v>2035.4868855930158</v>
      </c>
      <c r="AE1264" s="16">
        <f t="shared" si="74"/>
        <v>53.630059157562592</v>
      </c>
      <c r="AF1264" s="16">
        <f>'Gearing Calculator'!$C$17*Braking!AD1264</f>
        <v>3053.2303283895235</v>
      </c>
      <c r="AG1264" s="16">
        <f t="shared" si="75"/>
        <v>-11.469685681403169</v>
      </c>
    </row>
    <row r="1265" spans="29:33" x14ac:dyDescent="0.25">
      <c r="AC1265" s="16">
        <v>1261</v>
      </c>
      <c r="AD1265" s="16">
        <f t="shared" si="76"/>
        <v>2036.0155435180898</v>
      </c>
      <c r="AE1265" s="16">
        <f t="shared" si="74"/>
        <v>53.672622696576532</v>
      </c>
      <c r="AF1265" s="16">
        <f>'Gearing Calculator'!$C$17*Braking!AD1265</f>
        <v>3054.0233152771348</v>
      </c>
      <c r="AG1265" s="16">
        <f t="shared" si="75"/>
        <v>-11.472664595331086</v>
      </c>
    </row>
    <row r="1266" spans="29:33" x14ac:dyDescent="0.25">
      <c r="AC1266" s="16">
        <v>1262</v>
      </c>
      <c r="AD1266" s="16">
        <f t="shared" si="76"/>
        <v>2036.5442014431637</v>
      </c>
      <c r="AE1266" s="16">
        <f t="shared" si="74"/>
        <v>53.715186235590465</v>
      </c>
      <c r="AF1266" s="16">
        <f>'Gearing Calculator'!$C$17*Braking!AD1266</f>
        <v>3054.8163021647456</v>
      </c>
      <c r="AG1266" s="16">
        <f t="shared" si="75"/>
        <v>-11.475643509258999</v>
      </c>
    </row>
    <row r="1267" spans="29:33" x14ac:dyDescent="0.25">
      <c r="AC1267" s="16">
        <v>1263</v>
      </c>
      <c r="AD1267" s="16">
        <f t="shared" si="76"/>
        <v>2037.0728593682375</v>
      </c>
      <c r="AE1267" s="16">
        <f t="shared" si="74"/>
        <v>53.757749774604399</v>
      </c>
      <c r="AF1267" s="16">
        <f>'Gearing Calculator'!$C$17*Braking!AD1267</f>
        <v>3055.609289052356</v>
      </c>
      <c r="AG1267" s="16">
        <f t="shared" si="75"/>
        <v>-11.478622423186913</v>
      </c>
    </row>
    <row r="1268" spans="29:33" x14ac:dyDescent="0.25">
      <c r="AC1268" s="16">
        <v>1264</v>
      </c>
      <c r="AD1268" s="16">
        <f t="shared" si="76"/>
        <v>2037.6015172933112</v>
      </c>
      <c r="AE1268" s="16">
        <f t="shared" si="74"/>
        <v>53.800313313618339</v>
      </c>
      <c r="AF1268" s="16">
        <f>'Gearing Calculator'!$C$17*Braking!AD1268</f>
        <v>3056.4022759399668</v>
      </c>
      <c r="AG1268" s="16">
        <f t="shared" si="75"/>
        <v>-11.481601337114826</v>
      </c>
    </row>
    <row r="1269" spans="29:33" x14ac:dyDescent="0.25">
      <c r="AC1269" s="16">
        <v>1265</v>
      </c>
      <c r="AD1269" s="16">
        <f t="shared" si="76"/>
        <v>2038.1301752183849</v>
      </c>
      <c r="AE1269" s="16">
        <f t="shared" si="74"/>
        <v>53.84287685263228</v>
      </c>
      <c r="AF1269" s="16">
        <f>'Gearing Calculator'!$C$17*Braking!AD1269</f>
        <v>3057.1952628275776</v>
      </c>
      <c r="AG1269" s="16">
        <f t="shared" si="75"/>
        <v>-11.484580251042741</v>
      </c>
    </row>
    <row r="1270" spans="29:33" x14ac:dyDescent="0.25">
      <c r="AC1270" s="16">
        <v>1266</v>
      </c>
      <c r="AD1270" s="16">
        <f t="shared" si="76"/>
        <v>2038.6588331434589</v>
      </c>
      <c r="AE1270" s="16">
        <f t="shared" si="74"/>
        <v>53.88544039164622</v>
      </c>
      <c r="AF1270" s="16">
        <f>'Gearing Calculator'!$C$17*Braking!AD1270</f>
        <v>3057.9882497151884</v>
      </c>
      <c r="AG1270" s="16">
        <f t="shared" si="75"/>
        <v>-11.487559164970655</v>
      </c>
    </row>
    <row r="1271" spans="29:33" x14ac:dyDescent="0.25">
      <c r="AC1271" s="16">
        <v>1267</v>
      </c>
      <c r="AD1271" s="16">
        <f t="shared" si="76"/>
        <v>2039.1874910685328</v>
      </c>
      <c r="AE1271" s="16">
        <f t="shared" si="74"/>
        <v>53.928003930660161</v>
      </c>
      <c r="AF1271" s="16">
        <f>'Gearing Calculator'!$C$17*Braking!AD1271</f>
        <v>3058.7812366027993</v>
      </c>
      <c r="AG1271" s="16">
        <f t="shared" si="75"/>
        <v>-11.49053807889857</v>
      </c>
    </row>
    <row r="1272" spans="29:33" x14ac:dyDescent="0.25">
      <c r="AC1272" s="16">
        <v>1268</v>
      </c>
      <c r="AD1272" s="16">
        <f t="shared" si="76"/>
        <v>2039.7161489936066</v>
      </c>
      <c r="AE1272" s="16">
        <f t="shared" si="74"/>
        <v>53.970567469674101</v>
      </c>
      <c r="AF1272" s="16">
        <f>'Gearing Calculator'!$C$17*Braking!AD1272</f>
        <v>3059.5742234904101</v>
      </c>
      <c r="AG1272" s="16">
        <f t="shared" si="75"/>
        <v>-11.493516992826484</v>
      </c>
    </row>
    <row r="1273" spans="29:33" x14ac:dyDescent="0.25">
      <c r="AC1273" s="16">
        <v>1269</v>
      </c>
      <c r="AD1273" s="16">
        <f t="shared" si="76"/>
        <v>2040.2448069186803</v>
      </c>
      <c r="AE1273" s="16">
        <f t="shared" si="74"/>
        <v>54.013131008688042</v>
      </c>
      <c r="AF1273" s="16">
        <f>'Gearing Calculator'!$C$17*Braking!AD1273</f>
        <v>3060.3672103780204</v>
      </c>
      <c r="AG1273" s="16">
        <f t="shared" si="75"/>
        <v>-11.496495906754397</v>
      </c>
    </row>
    <row r="1274" spans="29:33" x14ac:dyDescent="0.25">
      <c r="AC1274" s="16">
        <v>1270</v>
      </c>
      <c r="AD1274" s="16">
        <f t="shared" si="76"/>
        <v>2040.773464843754</v>
      </c>
      <c r="AE1274" s="16">
        <f t="shared" si="74"/>
        <v>54.055694547701968</v>
      </c>
      <c r="AF1274" s="16">
        <f>'Gearing Calculator'!$C$17*Braking!AD1274</f>
        <v>3061.1601972656308</v>
      </c>
      <c r="AG1274" s="16">
        <f t="shared" si="75"/>
        <v>-11.499474820682311</v>
      </c>
    </row>
    <row r="1275" spans="29:33" x14ac:dyDescent="0.25">
      <c r="AC1275" s="16">
        <v>1271</v>
      </c>
      <c r="AD1275" s="16">
        <f t="shared" si="76"/>
        <v>2041.302122768828</v>
      </c>
      <c r="AE1275" s="16">
        <f t="shared" si="74"/>
        <v>54.098258086715909</v>
      </c>
      <c r="AF1275" s="16">
        <f>'Gearing Calculator'!$C$17*Braking!AD1275</f>
        <v>3061.9531841532421</v>
      </c>
      <c r="AG1275" s="16">
        <f t="shared" si="75"/>
        <v>-11.502453734610226</v>
      </c>
    </row>
    <row r="1276" spans="29:33" x14ac:dyDescent="0.25">
      <c r="AC1276" s="16">
        <v>1272</v>
      </c>
      <c r="AD1276" s="16">
        <f t="shared" si="76"/>
        <v>2041.8307806939019</v>
      </c>
      <c r="AE1276" s="16">
        <f t="shared" si="74"/>
        <v>54.140821625729849</v>
      </c>
      <c r="AF1276" s="16">
        <f>'Gearing Calculator'!$C$17*Braking!AD1276</f>
        <v>3062.7461710408529</v>
      </c>
      <c r="AG1276" s="16">
        <f t="shared" si="75"/>
        <v>-11.505432648538141</v>
      </c>
    </row>
    <row r="1277" spans="29:33" x14ac:dyDescent="0.25">
      <c r="AC1277" s="16">
        <v>1273</v>
      </c>
      <c r="AD1277" s="16">
        <f t="shared" si="76"/>
        <v>2042.3594386189757</v>
      </c>
      <c r="AE1277" s="16">
        <f t="shared" si="74"/>
        <v>54.18338516474379</v>
      </c>
      <c r="AF1277" s="16">
        <f>'Gearing Calculator'!$C$17*Braking!AD1277</f>
        <v>3063.5391579284633</v>
      </c>
      <c r="AG1277" s="16">
        <f t="shared" si="75"/>
        <v>-11.508411562466053</v>
      </c>
    </row>
    <row r="1278" spans="29:33" x14ac:dyDescent="0.25">
      <c r="AC1278" s="16">
        <v>1274</v>
      </c>
      <c r="AD1278" s="16">
        <f t="shared" si="76"/>
        <v>2042.8880965440494</v>
      </c>
      <c r="AE1278" s="16">
        <f t="shared" si="74"/>
        <v>54.22594870375773</v>
      </c>
      <c r="AF1278" s="16">
        <f>'Gearing Calculator'!$C$17*Braking!AD1278</f>
        <v>3064.3321448160741</v>
      </c>
      <c r="AG1278" s="16">
        <f t="shared" si="75"/>
        <v>-11.511390476393968</v>
      </c>
    </row>
    <row r="1279" spans="29:33" x14ac:dyDescent="0.25">
      <c r="AC1279" s="16">
        <v>1275</v>
      </c>
      <c r="AD1279" s="16">
        <f t="shared" si="76"/>
        <v>2043.4167544691231</v>
      </c>
      <c r="AE1279" s="16">
        <f t="shared" ref="AE1279:AE1342" si="77">(AC1279/$X$104)*100</f>
        <v>54.268512242771671</v>
      </c>
      <c r="AF1279" s="16">
        <f>'Gearing Calculator'!$C$17*Braking!AD1279</f>
        <v>3065.1251317036849</v>
      </c>
      <c r="AG1279" s="16">
        <f t="shared" si="75"/>
        <v>-11.514369390321882</v>
      </c>
    </row>
    <row r="1280" spans="29:33" x14ac:dyDescent="0.25">
      <c r="AC1280" s="16">
        <v>1276</v>
      </c>
      <c r="AD1280" s="16">
        <f t="shared" si="76"/>
        <v>2043.9454123941971</v>
      </c>
      <c r="AE1280" s="16">
        <f t="shared" si="77"/>
        <v>54.311075781785611</v>
      </c>
      <c r="AF1280" s="16">
        <f>'Gearing Calculator'!$C$17*Braking!AD1280</f>
        <v>3065.9181185912958</v>
      </c>
      <c r="AG1280" s="16">
        <f t="shared" si="75"/>
        <v>-11.517348304249797</v>
      </c>
    </row>
    <row r="1281" spans="29:33" x14ac:dyDescent="0.25">
      <c r="AC1281" s="16">
        <v>1277</v>
      </c>
      <c r="AD1281" s="16">
        <f t="shared" si="76"/>
        <v>2044.474070319271</v>
      </c>
      <c r="AE1281" s="16">
        <f t="shared" si="77"/>
        <v>54.353639320799537</v>
      </c>
      <c r="AF1281" s="16">
        <f>'Gearing Calculator'!$C$17*Braking!AD1281</f>
        <v>3066.7111054789066</v>
      </c>
      <c r="AG1281" s="16">
        <f t="shared" si="75"/>
        <v>-11.520327218177711</v>
      </c>
    </row>
    <row r="1282" spans="29:33" x14ac:dyDescent="0.25">
      <c r="AC1282" s="16">
        <v>1278</v>
      </c>
      <c r="AD1282" s="16">
        <f t="shared" si="76"/>
        <v>2045.0027282443448</v>
      </c>
      <c r="AE1282" s="16">
        <f t="shared" si="77"/>
        <v>54.396202859813478</v>
      </c>
      <c r="AF1282" s="16">
        <f>'Gearing Calculator'!$C$17*Braking!AD1282</f>
        <v>3067.5040923665174</v>
      </c>
      <c r="AG1282" s="16">
        <f t="shared" si="75"/>
        <v>-11.523306132105626</v>
      </c>
    </row>
    <row r="1283" spans="29:33" x14ac:dyDescent="0.25">
      <c r="AC1283" s="16">
        <v>1279</v>
      </c>
      <c r="AD1283" s="16">
        <f t="shared" si="76"/>
        <v>2045.5313861694185</v>
      </c>
      <c r="AE1283" s="16">
        <f t="shared" si="77"/>
        <v>54.438766398827418</v>
      </c>
      <c r="AF1283" s="16">
        <f>'Gearing Calculator'!$C$17*Braking!AD1283</f>
        <v>3068.2970792541278</v>
      </c>
      <c r="AG1283" s="16">
        <f t="shared" si="75"/>
        <v>-11.526285046033538</v>
      </c>
    </row>
    <row r="1284" spans="29:33" x14ac:dyDescent="0.25">
      <c r="AC1284" s="16">
        <v>1280</v>
      </c>
      <c r="AD1284" s="16">
        <f t="shared" si="76"/>
        <v>2046.0600440944922</v>
      </c>
      <c r="AE1284" s="16">
        <f t="shared" si="77"/>
        <v>54.481329937841359</v>
      </c>
      <c r="AF1284" s="16">
        <f>'Gearing Calculator'!$C$17*Braking!AD1284</f>
        <v>3069.0900661417381</v>
      </c>
      <c r="AG1284" s="16">
        <f t="shared" si="75"/>
        <v>-11.529263959961451</v>
      </c>
    </row>
    <row r="1285" spans="29:33" x14ac:dyDescent="0.25">
      <c r="AC1285" s="16">
        <v>1281</v>
      </c>
      <c r="AD1285" s="16">
        <f t="shared" si="76"/>
        <v>2046.5887020195662</v>
      </c>
      <c r="AE1285" s="16">
        <f t="shared" si="77"/>
        <v>54.523893476855299</v>
      </c>
      <c r="AF1285" s="16">
        <f>'Gearing Calculator'!$C$17*Braking!AD1285</f>
        <v>3069.8830530293494</v>
      </c>
      <c r="AG1285" s="16">
        <f t="shared" si="75"/>
        <v>-11.532242873889366</v>
      </c>
    </row>
    <row r="1286" spans="29:33" x14ac:dyDescent="0.25">
      <c r="AC1286" s="16">
        <v>1282</v>
      </c>
      <c r="AD1286" s="16">
        <f t="shared" si="76"/>
        <v>2047.1173599446402</v>
      </c>
      <c r="AE1286" s="16">
        <f t="shared" si="77"/>
        <v>54.56645701586924</v>
      </c>
      <c r="AF1286" s="16">
        <f>'Gearing Calculator'!$C$17*Braking!AD1286</f>
        <v>3070.6760399169602</v>
      </c>
      <c r="AG1286" s="16">
        <f t="shared" ref="AG1286:AG1349" si="78">-(AF1286/$C$3)</f>
        <v>-11.535221787817282</v>
      </c>
    </row>
    <row r="1287" spans="29:33" x14ac:dyDescent="0.25">
      <c r="AC1287" s="16">
        <v>1283</v>
      </c>
      <c r="AD1287" s="16">
        <f t="shared" ref="AD1287:AD1350" si="79">($C$3*$C$4)*($C$9/$C$8)+(AC1287*($C$10/$C$8))</f>
        <v>2047.6460178697139</v>
      </c>
      <c r="AE1287" s="16">
        <f t="shared" si="77"/>
        <v>54.60902055488318</v>
      </c>
      <c r="AF1287" s="16">
        <f>'Gearing Calculator'!$C$17*Braking!AD1287</f>
        <v>3071.4690268045706</v>
      </c>
      <c r="AG1287" s="16">
        <f t="shared" si="78"/>
        <v>-11.538200701745195</v>
      </c>
    </row>
    <row r="1288" spans="29:33" x14ac:dyDescent="0.25">
      <c r="AC1288" s="16">
        <v>1284</v>
      </c>
      <c r="AD1288" s="16">
        <f t="shared" si="79"/>
        <v>2048.1746757947876</v>
      </c>
      <c r="AE1288" s="16">
        <f t="shared" si="77"/>
        <v>54.651584093897121</v>
      </c>
      <c r="AF1288" s="16">
        <f>'Gearing Calculator'!$C$17*Braking!AD1288</f>
        <v>3072.2620136921814</v>
      </c>
      <c r="AG1288" s="16">
        <f t="shared" si="78"/>
        <v>-11.541179615673109</v>
      </c>
    </row>
    <row r="1289" spans="29:33" x14ac:dyDescent="0.25">
      <c r="AC1289" s="16">
        <v>1285</v>
      </c>
      <c r="AD1289" s="16">
        <f t="shared" si="79"/>
        <v>2048.7033337198613</v>
      </c>
      <c r="AE1289" s="16">
        <f t="shared" si="77"/>
        <v>54.694147632911047</v>
      </c>
      <c r="AF1289" s="16">
        <f>'Gearing Calculator'!$C$17*Braking!AD1289</f>
        <v>3073.0550005797922</v>
      </c>
      <c r="AG1289" s="16">
        <f t="shared" si="78"/>
        <v>-11.544158529601024</v>
      </c>
    </row>
    <row r="1290" spans="29:33" x14ac:dyDescent="0.25">
      <c r="AC1290" s="16">
        <v>1286</v>
      </c>
      <c r="AD1290" s="16">
        <f t="shared" si="79"/>
        <v>2049.2319916449351</v>
      </c>
      <c r="AE1290" s="16">
        <f t="shared" si="77"/>
        <v>54.736711171924988</v>
      </c>
      <c r="AF1290" s="16">
        <f>'Gearing Calculator'!$C$17*Braking!AD1290</f>
        <v>3073.8479874674026</v>
      </c>
      <c r="AG1290" s="16">
        <f t="shared" si="78"/>
        <v>-11.547137443528936</v>
      </c>
    </row>
    <row r="1291" spans="29:33" x14ac:dyDescent="0.25">
      <c r="AC1291" s="16">
        <v>1287</v>
      </c>
      <c r="AD1291" s="16">
        <f t="shared" si="79"/>
        <v>2049.7606495700093</v>
      </c>
      <c r="AE1291" s="16">
        <f t="shared" si="77"/>
        <v>54.779274710938928</v>
      </c>
      <c r="AF1291" s="16">
        <f>'Gearing Calculator'!$C$17*Braking!AD1291</f>
        <v>3074.6409743550139</v>
      </c>
      <c r="AG1291" s="16">
        <f t="shared" si="78"/>
        <v>-11.550116357456853</v>
      </c>
    </row>
    <row r="1292" spans="29:33" x14ac:dyDescent="0.25">
      <c r="AC1292" s="16">
        <v>1288</v>
      </c>
      <c r="AD1292" s="16">
        <f t="shared" si="79"/>
        <v>2050.289307495083</v>
      </c>
      <c r="AE1292" s="16">
        <f t="shared" si="77"/>
        <v>54.821838249952869</v>
      </c>
      <c r="AF1292" s="16">
        <f>'Gearing Calculator'!$C$17*Braking!AD1292</f>
        <v>3075.4339612426247</v>
      </c>
      <c r="AG1292" s="16">
        <f t="shared" si="78"/>
        <v>-11.553095271384766</v>
      </c>
    </row>
    <row r="1293" spans="29:33" x14ac:dyDescent="0.25">
      <c r="AC1293" s="16">
        <v>1289</v>
      </c>
      <c r="AD1293" s="16">
        <f t="shared" si="79"/>
        <v>2050.8179654201567</v>
      </c>
      <c r="AE1293" s="16">
        <f t="shared" si="77"/>
        <v>54.864401788966809</v>
      </c>
      <c r="AF1293" s="16">
        <f>'Gearing Calculator'!$C$17*Braking!AD1293</f>
        <v>3076.2269481302351</v>
      </c>
      <c r="AG1293" s="16">
        <f t="shared" si="78"/>
        <v>-11.55607418531268</v>
      </c>
    </row>
    <row r="1294" spans="29:33" x14ac:dyDescent="0.25">
      <c r="AC1294" s="16">
        <v>1290</v>
      </c>
      <c r="AD1294" s="16">
        <f t="shared" si="79"/>
        <v>2051.3466233452305</v>
      </c>
      <c r="AE1294" s="16">
        <f t="shared" si="77"/>
        <v>54.90696532798075</v>
      </c>
      <c r="AF1294" s="16">
        <f>'Gearing Calculator'!$C$17*Braking!AD1294</f>
        <v>3077.0199350178455</v>
      </c>
      <c r="AG1294" s="16">
        <f t="shared" si="78"/>
        <v>-11.559053099240591</v>
      </c>
    </row>
    <row r="1295" spans="29:33" x14ac:dyDescent="0.25">
      <c r="AC1295" s="16">
        <v>1291</v>
      </c>
      <c r="AD1295" s="16">
        <f t="shared" si="79"/>
        <v>2051.8752812703042</v>
      </c>
      <c r="AE1295" s="16">
        <f t="shared" si="77"/>
        <v>54.94952886699469</v>
      </c>
      <c r="AF1295" s="16">
        <f>'Gearing Calculator'!$C$17*Braking!AD1295</f>
        <v>3077.8129219054563</v>
      </c>
      <c r="AG1295" s="16">
        <f t="shared" si="78"/>
        <v>-11.562032013168507</v>
      </c>
    </row>
    <row r="1296" spans="29:33" x14ac:dyDescent="0.25">
      <c r="AC1296" s="16">
        <v>1292</v>
      </c>
      <c r="AD1296" s="16">
        <f t="shared" si="79"/>
        <v>2052.4039391953784</v>
      </c>
      <c r="AE1296" s="16">
        <f t="shared" si="77"/>
        <v>54.992092406008616</v>
      </c>
      <c r="AF1296" s="16">
        <f>'Gearing Calculator'!$C$17*Braking!AD1296</f>
        <v>3078.6059087930676</v>
      </c>
      <c r="AG1296" s="16">
        <f t="shared" si="78"/>
        <v>-11.565010927096422</v>
      </c>
    </row>
    <row r="1297" spans="29:33" x14ac:dyDescent="0.25">
      <c r="AC1297" s="16">
        <v>1293</v>
      </c>
      <c r="AD1297" s="16">
        <f t="shared" si="79"/>
        <v>2052.9325971204521</v>
      </c>
      <c r="AE1297" s="16">
        <f t="shared" si="77"/>
        <v>55.034655945022557</v>
      </c>
      <c r="AF1297" s="16">
        <f>'Gearing Calculator'!$C$17*Braking!AD1297</f>
        <v>3079.3988956806779</v>
      </c>
      <c r="AG1297" s="16">
        <f t="shared" si="78"/>
        <v>-11.567989841024335</v>
      </c>
    </row>
    <row r="1298" spans="29:33" x14ac:dyDescent="0.25">
      <c r="AC1298" s="16">
        <v>1294</v>
      </c>
      <c r="AD1298" s="16">
        <f t="shared" si="79"/>
        <v>2053.4612550455258</v>
      </c>
      <c r="AE1298" s="16">
        <f t="shared" si="77"/>
        <v>55.077219484036497</v>
      </c>
      <c r="AF1298" s="16">
        <f>'Gearing Calculator'!$C$17*Braking!AD1298</f>
        <v>3080.1918825682887</v>
      </c>
      <c r="AG1298" s="16">
        <f t="shared" si="78"/>
        <v>-11.570968754952249</v>
      </c>
    </row>
    <row r="1299" spans="29:33" x14ac:dyDescent="0.25">
      <c r="AC1299" s="16">
        <v>1295</v>
      </c>
      <c r="AD1299" s="16">
        <f t="shared" si="79"/>
        <v>2053.9899129705996</v>
      </c>
      <c r="AE1299" s="16">
        <f t="shared" si="77"/>
        <v>55.119783023050438</v>
      </c>
      <c r="AF1299" s="16">
        <f>'Gearing Calculator'!$C$17*Braking!AD1299</f>
        <v>3080.9848694558996</v>
      </c>
      <c r="AG1299" s="16">
        <f t="shared" si="78"/>
        <v>-11.573947668880164</v>
      </c>
    </row>
    <row r="1300" spans="29:33" x14ac:dyDescent="0.25">
      <c r="AC1300" s="16">
        <v>1296</v>
      </c>
      <c r="AD1300" s="16">
        <f t="shared" si="79"/>
        <v>2054.5185708956733</v>
      </c>
      <c r="AE1300" s="16">
        <f t="shared" si="77"/>
        <v>55.162346562064378</v>
      </c>
      <c r="AF1300" s="16">
        <f>'Gearing Calculator'!$C$17*Braking!AD1300</f>
        <v>3081.7778563435099</v>
      </c>
      <c r="AG1300" s="16">
        <f t="shared" si="78"/>
        <v>-11.576926582808078</v>
      </c>
    </row>
    <row r="1301" spans="29:33" x14ac:dyDescent="0.25">
      <c r="AC1301" s="16">
        <v>1297</v>
      </c>
      <c r="AD1301" s="16">
        <f t="shared" si="79"/>
        <v>2055.0472288207475</v>
      </c>
      <c r="AE1301" s="16">
        <f t="shared" si="77"/>
        <v>55.204910101078319</v>
      </c>
      <c r="AF1301" s="16">
        <f>'Gearing Calculator'!$C$17*Braking!AD1301</f>
        <v>3082.5708432311212</v>
      </c>
      <c r="AG1301" s="16">
        <f t="shared" si="78"/>
        <v>-11.579905496735993</v>
      </c>
    </row>
    <row r="1302" spans="29:33" x14ac:dyDescent="0.25">
      <c r="AC1302" s="16">
        <v>1298</v>
      </c>
      <c r="AD1302" s="16">
        <f t="shared" si="79"/>
        <v>2055.5758867458212</v>
      </c>
      <c r="AE1302" s="16">
        <f t="shared" si="77"/>
        <v>55.247473640092259</v>
      </c>
      <c r="AF1302" s="16">
        <f>'Gearing Calculator'!$C$17*Braking!AD1302</f>
        <v>3083.363830118732</v>
      </c>
      <c r="AG1302" s="16">
        <f t="shared" si="78"/>
        <v>-11.582884410663908</v>
      </c>
    </row>
    <row r="1303" spans="29:33" x14ac:dyDescent="0.25">
      <c r="AC1303" s="16">
        <v>1299</v>
      </c>
      <c r="AD1303" s="16">
        <f t="shared" si="79"/>
        <v>2056.1045446708949</v>
      </c>
      <c r="AE1303" s="16">
        <f t="shared" si="77"/>
        <v>55.2900371791062</v>
      </c>
      <c r="AF1303" s="16">
        <f>'Gearing Calculator'!$C$17*Braking!AD1303</f>
        <v>3084.1568170063424</v>
      </c>
      <c r="AG1303" s="16">
        <f t="shared" si="78"/>
        <v>-11.58586332459182</v>
      </c>
    </row>
    <row r="1304" spans="29:33" x14ac:dyDescent="0.25">
      <c r="AC1304" s="16">
        <v>1300</v>
      </c>
      <c r="AD1304" s="16">
        <f t="shared" si="79"/>
        <v>2056.6332025959687</v>
      </c>
      <c r="AE1304" s="16">
        <f t="shared" si="77"/>
        <v>55.332600718120126</v>
      </c>
      <c r="AF1304" s="16">
        <f>'Gearing Calculator'!$C$17*Braking!AD1304</f>
        <v>3084.9498038939528</v>
      </c>
      <c r="AG1304" s="16">
        <f t="shared" si="78"/>
        <v>-11.588842238519733</v>
      </c>
    </row>
    <row r="1305" spans="29:33" x14ac:dyDescent="0.25">
      <c r="AC1305" s="16">
        <v>1301</v>
      </c>
      <c r="AD1305" s="16">
        <f t="shared" si="79"/>
        <v>2057.1618605210424</v>
      </c>
      <c r="AE1305" s="16">
        <f t="shared" si="77"/>
        <v>55.375164257134067</v>
      </c>
      <c r="AF1305" s="16">
        <f>'Gearing Calculator'!$C$17*Braking!AD1305</f>
        <v>3085.7427907815636</v>
      </c>
      <c r="AG1305" s="16">
        <f t="shared" si="78"/>
        <v>-11.591821152447647</v>
      </c>
    </row>
    <row r="1306" spans="29:33" x14ac:dyDescent="0.25">
      <c r="AC1306" s="16">
        <v>1302</v>
      </c>
      <c r="AD1306" s="16">
        <f t="shared" si="79"/>
        <v>2057.6905184461166</v>
      </c>
      <c r="AE1306" s="16">
        <f t="shared" si="77"/>
        <v>55.417727796148007</v>
      </c>
      <c r="AF1306" s="16">
        <f>'Gearing Calculator'!$C$17*Braking!AD1306</f>
        <v>3086.5357776691749</v>
      </c>
      <c r="AG1306" s="16">
        <f t="shared" si="78"/>
        <v>-11.594800066375564</v>
      </c>
    </row>
    <row r="1307" spans="29:33" x14ac:dyDescent="0.25">
      <c r="AC1307" s="16">
        <v>1303</v>
      </c>
      <c r="AD1307" s="16">
        <f t="shared" si="79"/>
        <v>2058.2191763711903</v>
      </c>
      <c r="AE1307" s="16">
        <f t="shared" si="77"/>
        <v>55.460291335161948</v>
      </c>
      <c r="AF1307" s="16">
        <f>'Gearing Calculator'!$C$17*Braking!AD1307</f>
        <v>3087.3287645567852</v>
      </c>
      <c r="AG1307" s="16">
        <f t="shared" si="78"/>
        <v>-11.597778980303476</v>
      </c>
    </row>
    <row r="1308" spans="29:33" x14ac:dyDescent="0.25">
      <c r="AC1308" s="16">
        <v>1304</v>
      </c>
      <c r="AD1308" s="16">
        <f t="shared" si="79"/>
        <v>2058.747834296264</v>
      </c>
      <c r="AE1308" s="16">
        <f t="shared" si="77"/>
        <v>55.502854874175888</v>
      </c>
      <c r="AF1308" s="16">
        <f>'Gearing Calculator'!$C$17*Braking!AD1308</f>
        <v>3088.1217514443961</v>
      </c>
      <c r="AG1308" s="16">
        <f t="shared" si="78"/>
        <v>-11.600757894231391</v>
      </c>
    </row>
    <row r="1309" spans="29:33" x14ac:dyDescent="0.25">
      <c r="AC1309" s="16">
        <v>1305</v>
      </c>
      <c r="AD1309" s="16">
        <f t="shared" si="79"/>
        <v>2059.2764922213378</v>
      </c>
      <c r="AE1309" s="16">
        <f t="shared" si="77"/>
        <v>55.545418413189829</v>
      </c>
      <c r="AF1309" s="16">
        <f>'Gearing Calculator'!$C$17*Braking!AD1309</f>
        <v>3088.9147383320069</v>
      </c>
      <c r="AG1309" s="16">
        <f t="shared" si="78"/>
        <v>-11.603736808159304</v>
      </c>
    </row>
    <row r="1310" spans="29:33" x14ac:dyDescent="0.25">
      <c r="AC1310" s="16">
        <v>1306</v>
      </c>
      <c r="AD1310" s="16">
        <f t="shared" si="79"/>
        <v>2059.8051501464115</v>
      </c>
      <c r="AE1310" s="16">
        <f t="shared" si="77"/>
        <v>55.587981952203769</v>
      </c>
      <c r="AF1310" s="16">
        <f>'Gearing Calculator'!$C$17*Braking!AD1310</f>
        <v>3089.7077252196173</v>
      </c>
      <c r="AG1310" s="16">
        <f t="shared" si="78"/>
        <v>-11.606715722087218</v>
      </c>
    </row>
    <row r="1311" spans="29:33" x14ac:dyDescent="0.25">
      <c r="AC1311" s="16">
        <v>1307</v>
      </c>
      <c r="AD1311" s="16">
        <f t="shared" si="79"/>
        <v>2060.3338080714857</v>
      </c>
      <c r="AE1311" s="16">
        <f t="shared" si="77"/>
        <v>55.630545491217696</v>
      </c>
      <c r="AF1311" s="16">
        <f>'Gearing Calculator'!$C$17*Braking!AD1311</f>
        <v>3090.5007121072285</v>
      </c>
      <c r="AG1311" s="16">
        <f t="shared" si="78"/>
        <v>-11.609694636015133</v>
      </c>
    </row>
    <row r="1312" spans="29:33" x14ac:dyDescent="0.25">
      <c r="AC1312" s="16">
        <v>1308</v>
      </c>
      <c r="AD1312" s="16">
        <f t="shared" si="79"/>
        <v>2060.8624659965594</v>
      </c>
      <c r="AE1312" s="16">
        <f t="shared" si="77"/>
        <v>55.673109030231636</v>
      </c>
      <c r="AF1312" s="16">
        <f>'Gearing Calculator'!$C$17*Braking!AD1312</f>
        <v>3091.2936989948394</v>
      </c>
      <c r="AG1312" s="16">
        <f t="shared" si="78"/>
        <v>-11.612673549943048</v>
      </c>
    </row>
    <row r="1313" spans="29:33" x14ac:dyDescent="0.25">
      <c r="AC1313" s="16">
        <v>1309</v>
      </c>
      <c r="AD1313" s="16">
        <f t="shared" si="79"/>
        <v>2061.3911239216332</v>
      </c>
      <c r="AE1313" s="16">
        <f t="shared" si="77"/>
        <v>55.715672569245577</v>
      </c>
      <c r="AF1313" s="16">
        <f>'Gearing Calculator'!$C$17*Braking!AD1313</f>
        <v>3092.0866858824497</v>
      </c>
      <c r="AG1313" s="16">
        <f t="shared" si="78"/>
        <v>-11.615652463870962</v>
      </c>
    </row>
    <row r="1314" spans="29:33" x14ac:dyDescent="0.25">
      <c r="AC1314" s="16">
        <v>1310</v>
      </c>
      <c r="AD1314" s="16">
        <f t="shared" si="79"/>
        <v>2061.9197818467069</v>
      </c>
      <c r="AE1314" s="16">
        <f t="shared" si="77"/>
        <v>55.758236108259517</v>
      </c>
      <c r="AF1314" s="16">
        <f>'Gearing Calculator'!$C$17*Braking!AD1314</f>
        <v>3092.8796727700601</v>
      </c>
      <c r="AG1314" s="16">
        <f t="shared" si="78"/>
        <v>-11.618631377798874</v>
      </c>
    </row>
    <row r="1315" spans="29:33" x14ac:dyDescent="0.25">
      <c r="AC1315" s="16">
        <v>1311</v>
      </c>
      <c r="AD1315" s="16">
        <f t="shared" si="79"/>
        <v>2062.4484397717806</v>
      </c>
      <c r="AE1315" s="16">
        <f t="shared" si="77"/>
        <v>55.800799647273458</v>
      </c>
      <c r="AF1315" s="16">
        <f>'Gearing Calculator'!$C$17*Braking!AD1315</f>
        <v>3093.6726596576709</v>
      </c>
      <c r="AG1315" s="16">
        <f t="shared" si="78"/>
        <v>-11.621610291726789</v>
      </c>
    </row>
    <row r="1316" spans="29:33" x14ac:dyDescent="0.25">
      <c r="AC1316" s="16">
        <v>1312</v>
      </c>
      <c r="AD1316" s="16">
        <f t="shared" si="79"/>
        <v>2062.9770976968548</v>
      </c>
      <c r="AE1316" s="16">
        <f t="shared" si="77"/>
        <v>55.843363186287398</v>
      </c>
      <c r="AF1316" s="16">
        <f>'Gearing Calculator'!$C$17*Braking!AD1316</f>
        <v>3094.4656465452822</v>
      </c>
      <c r="AG1316" s="16">
        <f t="shared" si="78"/>
        <v>-11.624589205654704</v>
      </c>
    </row>
    <row r="1317" spans="29:33" x14ac:dyDescent="0.25">
      <c r="AC1317" s="16">
        <v>1313</v>
      </c>
      <c r="AD1317" s="16">
        <f t="shared" si="79"/>
        <v>2063.5057556219285</v>
      </c>
      <c r="AE1317" s="16">
        <f t="shared" si="77"/>
        <v>55.885926725301339</v>
      </c>
      <c r="AF1317" s="16">
        <f>'Gearing Calculator'!$C$17*Braking!AD1317</f>
        <v>3095.2586334328926</v>
      </c>
      <c r="AG1317" s="16">
        <f t="shared" si="78"/>
        <v>-11.627568119582618</v>
      </c>
    </row>
    <row r="1318" spans="29:33" x14ac:dyDescent="0.25">
      <c r="AC1318" s="16">
        <v>1314</v>
      </c>
      <c r="AD1318" s="16">
        <f t="shared" si="79"/>
        <v>2064.0344135470023</v>
      </c>
      <c r="AE1318" s="16">
        <f t="shared" si="77"/>
        <v>55.928490264315265</v>
      </c>
      <c r="AF1318" s="16">
        <f>'Gearing Calculator'!$C$17*Braking!AD1318</f>
        <v>3096.0516203205034</v>
      </c>
      <c r="AG1318" s="16">
        <f t="shared" si="78"/>
        <v>-11.630547033510531</v>
      </c>
    </row>
    <row r="1319" spans="29:33" x14ac:dyDescent="0.25">
      <c r="AC1319" s="16">
        <v>1315</v>
      </c>
      <c r="AD1319" s="16">
        <f t="shared" si="79"/>
        <v>2064.563071472076</v>
      </c>
      <c r="AE1319" s="16">
        <f t="shared" si="77"/>
        <v>55.971053803329205</v>
      </c>
      <c r="AF1319" s="16">
        <f>'Gearing Calculator'!$C$17*Braking!AD1319</f>
        <v>3096.8446072081142</v>
      </c>
      <c r="AG1319" s="16">
        <f t="shared" si="78"/>
        <v>-11.633525947438446</v>
      </c>
    </row>
    <row r="1320" spans="29:33" x14ac:dyDescent="0.25">
      <c r="AC1320" s="16">
        <v>1316</v>
      </c>
      <c r="AD1320" s="16">
        <f t="shared" si="79"/>
        <v>2065.0917293971497</v>
      </c>
      <c r="AE1320" s="16">
        <f t="shared" si="77"/>
        <v>56.013617342343146</v>
      </c>
      <c r="AF1320" s="16">
        <f>'Gearing Calculator'!$C$17*Braking!AD1320</f>
        <v>3097.6375940957246</v>
      </c>
      <c r="AG1320" s="16">
        <f t="shared" si="78"/>
        <v>-11.636504861366358</v>
      </c>
    </row>
    <row r="1321" spans="29:33" x14ac:dyDescent="0.25">
      <c r="AC1321" s="16">
        <v>1317</v>
      </c>
      <c r="AD1321" s="16">
        <f t="shared" si="79"/>
        <v>2065.6203873222239</v>
      </c>
      <c r="AE1321" s="16">
        <f t="shared" si="77"/>
        <v>56.056180881357086</v>
      </c>
      <c r="AF1321" s="16">
        <f>'Gearing Calculator'!$C$17*Braking!AD1321</f>
        <v>3098.4305809833359</v>
      </c>
      <c r="AG1321" s="16">
        <f t="shared" si="78"/>
        <v>-11.639483775294275</v>
      </c>
    </row>
    <row r="1322" spans="29:33" x14ac:dyDescent="0.25">
      <c r="AC1322" s="16">
        <v>1318</v>
      </c>
      <c r="AD1322" s="16">
        <f t="shared" si="79"/>
        <v>2066.1490452472976</v>
      </c>
      <c r="AE1322" s="16">
        <f t="shared" si="77"/>
        <v>56.098744420371027</v>
      </c>
      <c r="AF1322" s="16">
        <f>'Gearing Calculator'!$C$17*Braking!AD1322</f>
        <v>3099.2235678709467</v>
      </c>
      <c r="AG1322" s="16">
        <f t="shared" si="78"/>
        <v>-11.642462689222189</v>
      </c>
    </row>
    <row r="1323" spans="29:33" x14ac:dyDescent="0.25">
      <c r="AC1323" s="16">
        <v>1319</v>
      </c>
      <c r="AD1323" s="16">
        <f t="shared" si="79"/>
        <v>2066.6777031723714</v>
      </c>
      <c r="AE1323" s="16">
        <f t="shared" si="77"/>
        <v>56.141307959384967</v>
      </c>
      <c r="AF1323" s="16">
        <f>'Gearing Calculator'!$C$17*Braking!AD1323</f>
        <v>3100.016554758557</v>
      </c>
      <c r="AG1323" s="16">
        <f t="shared" si="78"/>
        <v>-11.645441603150102</v>
      </c>
    </row>
    <row r="1324" spans="29:33" x14ac:dyDescent="0.25">
      <c r="AC1324" s="16">
        <v>1320</v>
      </c>
      <c r="AD1324" s="16">
        <f t="shared" si="79"/>
        <v>2067.2063610974451</v>
      </c>
      <c r="AE1324" s="16">
        <f t="shared" si="77"/>
        <v>56.183871498398908</v>
      </c>
      <c r="AF1324" s="16">
        <f>'Gearing Calculator'!$C$17*Braking!AD1324</f>
        <v>3100.8095416461674</v>
      </c>
      <c r="AG1324" s="16">
        <f t="shared" si="78"/>
        <v>-11.648420517078014</v>
      </c>
    </row>
    <row r="1325" spans="29:33" x14ac:dyDescent="0.25">
      <c r="AC1325" s="16">
        <v>1321</v>
      </c>
      <c r="AD1325" s="16">
        <f t="shared" si="79"/>
        <v>2067.7350190225188</v>
      </c>
      <c r="AE1325" s="16">
        <f t="shared" si="77"/>
        <v>56.226435037412848</v>
      </c>
      <c r="AF1325" s="16">
        <f>'Gearing Calculator'!$C$17*Braking!AD1325</f>
        <v>3101.6025285337782</v>
      </c>
      <c r="AG1325" s="16">
        <f t="shared" si="78"/>
        <v>-11.651399431005929</v>
      </c>
    </row>
    <row r="1326" spans="29:33" x14ac:dyDescent="0.25">
      <c r="AC1326" s="16">
        <v>1322</v>
      </c>
      <c r="AD1326" s="16">
        <f t="shared" si="79"/>
        <v>2068.263676947593</v>
      </c>
      <c r="AE1326" s="16">
        <f t="shared" si="77"/>
        <v>56.268998576426775</v>
      </c>
      <c r="AF1326" s="16">
        <f>'Gearing Calculator'!$C$17*Braking!AD1326</f>
        <v>3102.3955154213895</v>
      </c>
      <c r="AG1326" s="16">
        <f t="shared" si="78"/>
        <v>-11.654378344933846</v>
      </c>
    </row>
    <row r="1327" spans="29:33" x14ac:dyDescent="0.25">
      <c r="AC1327" s="16">
        <v>1323</v>
      </c>
      <c r="AD1327" s="16">
        <f t="shared" si="79"/>
        <v>2068.7923348726667</v>
      </c>
      <c r="AE1327" s="16">
        <f t="shared" si="77"/>
        <v>56.311562115440715</v>
      </c>
      <c r="AF1327" s="16">
        <f>'Gearing Calculator'!$C$17*Braking!AD1327</f>
        <v>3103.1885023089999</v>
      </c>
      <c r="AG1327" s="16">
        <f t="shared" si="78"/>
        <v>-11.657357258861758</v>
      </c>
    </row>
    <row r="1328" spans="29:33" x14ac:dyDescent="0.25">
      <c r="AC1328" s="16">
        <v>1324</v>
      </c>
      <c r="AD1328" s="16">
        <f t="shared" si="79"/>
        <v>2069.3209927977405</v>
      </c>
      <c r="AE1328" s="16">
        <f t="shared" si="77"/>
        <v>56.354125654454656</v>
      </c>
      <c r="AF1328" s="16">
        <f>'Gearing Calculator'!$C$17*Braking!AD1328</f>
        <v>3103.9814891966107</v>
      </c>
      <c r="AG1328" s="16">
        <f t="shared" si="78"/>
        <v>-11.660336172789673</v>
      </c>
    </row>
    <row r="1329" spans="29:33" x14ac:dyDescent="0.25">
      <c r="AC1329" s="16">
        <v>1325</v>
      </c>
      <c r="AD1329" s="16">
        <f t="shared" si="79"/>
        <v>2069.8496507228147</v>
      </c>
      <c r="AE1329" s="16">
        <f t="shared" si="77"/>
        <v>56.396689193468596</v>
      </c>
      <c r="AF1329" s="16">
        <f>'Gearing Calculator'!$C$17*Braking!AD1329</f>
        <v>3104.774476084222</v>
      </c>
      <c r="AG1329" s="16">
        <f t="shared" si="78"/>
        <v>-11.663315086717589</v>
      </c>
    </row>
    <row r="1330" spans="29:33" x14ac:dyDescent="0.25">
      <c r="AC1330" s="16">
        <v>1326</v>
      </c>
      <c r="AD1330" s="16">
        <f t="shared" si="79"/>
        <v>2070.3783086478879</v>
      </c>
      <c r="AE1330" s="16">
        <f t="shared" si="77"/>
        <v>56.439252732482537</v>
      </c>
      <c r="AF1330" s="16">
        <f>'Gearing Calculator'!$C$17*Braking!AD1330</f>
        <v>3105.5674629718319</v>
      </c>
      <c r="AG1330" s="16">
        <f t="shared" si="78"/>
        <v>-11.6662940006455</v>
      </c>
    </row>
    <row r="1331" spans="29:33" x14ac:dyDescent="0.25">
      <c r="AC1331" s="16">
        <v>1327</v>
      </c>
      <c r="AD1331" s="16">
        <f t="shared" si="79"/>
        <v>2070.9069665729621</v>
      </c>
      <c r="AE1331" s="16">
        <f t="shared" si="77"/>
        <v>56.481816271496477</v>
      </c>
      <c r="AF1331" s="16">
        <f>'Gearing Calculator'!$C$17*Braking!AD1331</f>
        <v>3106.3604498594432</v>
      </c>
      <c r="AG1331" s="16">
        <f t="shared" si="78"/>
        <v>-11.669272914573416</v>
      </c>
    </row>
    <row r="1332" spans="29:33" x14ac:dyDescent="0.25">
      <c r="AC1332" s="16">
        <v>1328</v>
      </c>
      <c r="AD1332" s="16">
        <f t="shared" si="79"/>
        <v>2071.4356244980358</v>
      </c>
      <c r="AE1332" s="16">
        <f t="shared" si="77"/>
        <v>56.524379810510418</v>
      </c>
      <c r="AF1332" s="16">
        <f>'Gearing Calculator'!$C$17*Braking!AD1332</f>
        <v>3107.153436747054</v>
      </c>
      <c r="AG1332" s="16">
        <f t="shared" si="78"/>
        <v>-11.672251828501331</v>
      </c>
    </row>
    <row r="1333" spans="29:33" x14ac:dyDescent="0.25">
      <c r="AC1333" s="16">
        <v>1329</v>
      </c>
      <c r="AD1333" s="16">
        <f t="shared" si="79"/>
        <v>2071.9642824231096</v>
      </c>
      <c r="AE1333" s="16">
        <f t="shared" si="77"/>
        <v>56.566943349524344</v>
      </c>
      <c r="AF1333" s="16">
        <f>'Gearing Calculator'!$C$17*Braking!AD1333</f>
        <v>3107.9464236346644</v>
      </c>
      <c r="AG1333" s="16">
        <f t="shared" si="78"/>
        <v>-11.675230742429243</v>
      </c>
    </row>
    <row r="1334" spans="29:33" x14ac:dyDescent="0.25">
      <c r="AC1334" s="16">
        <v>1330</v>
      </c>
      <c r="AD1334" s="16">
        <f t="shared" si="79"/>
        <v>2072.4929403481838</v>
      </c>
      <c r="AE1334" s="16">
        <f t="shared" si="77"/>
        <v>56.609506888538284</v>
      </c>
      <c r="AF1334" s="16">
        <f>'Gearing Calculator'!$C$17*Braking!AD1334</f>
        <v>3108.7394105222756</v>
      </c>
      <c r="AG1334" s="16">
        <f t="shared" si="78"/>
        <v>-11.67820965635716</v>
      </c>
    </row>
    <row r="1335" spans="29:33" x14ac:dyDescent="0.25">
      <c r="AC1335" s="16">
        <v>1331</v>
      </c>
      <c r="AD1335" s="16">
        <f t="shared" si="79"/>
        <v>2073.021598273257</v>
      </c>
      <c r="AE1335" s="16">
        <f t="shared" si="77"/>
        <v>56.652070427552225</v>
      </c>
      <c r="AF1335" s="16">
        <f>'Gearing Calculator'!$C$17*Braking!AD1335</f>
        <v>3109.5323974098856</v>
      </c>
      <c r="AG1335" s="16">
        <f t="shared" si="78"/>
        <v>-11.68118857028507</v>
      </c>
    </row>
    <row r="1336" spans="29:33" x14ac:dyDescent="0.25">
      <c r="AC1336" s="16">
        <v>1332</v>
      </c>
      <c r="AD1336" s="16">
        <f t="shared" si="79"/>
        <v>2073.5502561983312</v>
      </c>
      <c r="AE1336" s="16">
        <f t="shared" si="77"/>
        <v>56.694633966566165</v>
      </c>
      <c r="AF1336" s="16">
        <f>'Gearing Calculator'!$C$17*Braking!AD1336</f>
        <v>3110.3253842974968</v>
      </c>
      <c r="AG1336" s="16">
        <f t="shared" si="78"/>
        <v>-11.684167484212987</v>
      </c>
    </row>
    <row r="1337" spans="29:33" x14ac:dyDescent="0.25">
      <c r="AC1337" s="16">
        <v>1333</v>
      </c>
      <c r="AD1337" s="16">
        <f t="shared" si="79"/>
        <v>2074.078914123405</v>
      </c>
      <c r="AE1337" s="16">
        <f t="shared" si="77"/>
        <v>56.737197505580106</v>
      </c>
      <c r="AF1337" s="16">
        <f>'Gearing Calculator'!$C$17*Braking!AD1337</f>
        <v>3111.1183711851072</v>
      </c>
      <c r="AG1337" s="16">
        <f t="shared" si="78"/>
        <v>-11.687146398140898</v>
      </c>
    </row>
    <row r="1338" spans="29:33" x14ac:dyDescent="0.25">
      <c r="AC1338" s="16">
        <v>1334</v>
      </c>
      <c r="AD1338" s="16">
        <f t="shared" si="79"/>
        <v>2074.6075720484787</v>
      </c>
      <c r="AE1338" s="16">
        <f t="shared" si="77"/>
        <v>56.779761044594046</v>
      </c>
      <c r="AF1338" s="16">
        <f>'Gearing Calculator'!$C$17*Braking!AD1338</f>
        <v>3111.911358072718</v>
      </c>
      <c r="AG1338" s="16">
        <f t="shared" si="78"/>
        <v>-11.690125312068814</v>
      </c>
    </row>
    <row r="1339" spans="29:33" x14ac:dyDescent="0.25">
      <c r="AC1339" s="16">
        <v>1335</v>
      </c>
      <c r="AD1339" s="16">
        <f t="shared" si="79"/>
        <v>2075.1362299735529</v>
      </c>
      <c r="AE1339" s="16">
        <f t="shared" si="77"/>
        <v>56.822324583607987</v>
      </c>
      <c r="AF1339" s="16">
        <f>'Gearing Calculator'!$C$17*Braking!AD1339</f>
        <v>3112.7043449603293</v>
      </c>
      <c r="AG1339" s="16">
        <f t="shared" si="78"/>
        <v>-11.693104225996729</v>
      </c>
    </row>
    <row r="1340" spans="29:33" x14ac:dyDescent="0.25">
      <c r="AC1340" s="16">
        <v>1336</v>
      </c>
      <c r="AD1340" s="16">
        <f t="shared" si="79"/>
        <v>2075.6648878986261</v>
      </c>
      <c r="AE1340" s="16">
        <f t="shared" si="77"/>
        <v>56.864888122621927</v>
      </c>
      <c r="AF1340" s="16">
        <f>'Gearing Calculator'!$C$17*Braking!AD1340</f>
        <v>3113.4973318479392</v>
      </c>
      <c r="AG1340" s="16">
        <f t="shared" si="78"/>
        <v>-11.696083139924641</v>
      </c>
    </row>
    <row r="1341" spans="29:33" x14ac:dyDescent="0.25">
      <c r="AC1341" s="16">
        <v>1337</v>
      </c>
      <c r="AD1341" s="16">
        <f t="shared" si="79"/>
        <v>2076.1935458237003</v>
      </c>
      <c r="AE1341" s="16">
        <f t="shared" si="77"/>
        <v>56.907451661635854</v>
      </c>
      <c r="AF1341" s="16">
        <f>'Gearing Calculator'!$C$17*Braking!AD1341</f>
        <v>3114.2903187355505</v>
      </c>
      <c r="AG1341" s="16">
        <f t="shared" si="78"/>
        <v>-11.699062053852558</v>
      </c>
    </row>
    <row r="1342" spans="29:33" x14ac:dyDescent="0.25">
      <c r="AC1342" s="16">
        <v>1338</v>
      </c>
      <c r="AD1342" s="16">
        <f t="shared" si="79"/>
        <v>2076.7222037487741</v>
      </c>
      <c r="AE1342" s="16">
        <f t="shared" si="77"/>
        <v>56.950015200649794</v>
      </c>
      <c r="AF1342" s="16">
        <f>'Gearing Calculator'!$C$17*Braking!AD1342</f>
        <v>3115.0833056231613</v>
      </c>
      <c r="AG1342" s="16">
        <f t="shared" si="78"/>
        <v>-11.702040967780471</v>
      </c>
    </row>
    <row r="1343" spans="29:33" x14ac:dyDescent="0.25">
      <c r="AC1343" s="16">
        <v>1339</v>
      </c>
      <c r="AD1343" s="16">
        <f t="shared" si="79"/>
        <v>2077.2508616738478</v>
      </c>
      <c r="AE1343" s="16">
        <f t="shared" ref="AE1343:AE1406" si="80">(AC1343/$X$104)*100</f>
        <v>56.992578739663735</v>
      </c>
      <c r="AF1343" s="16">
        <f>'Gearing Calculator'!$C$17*Braking!AD1343</f>
        <v>3115.8762925107717</v>
      </c>
      <c r="AG1343" s="16">
        <f t="shared" si="78"/>
        <v>-11.705019881708385</v>
      </c>
    </row>
    <row r="1344" spans="29:33" x14ac:dyDescent="0.25">
      <c r="AC1344" s="16">
        <v>1340</v>
      </c>
      <c r="AD1344" s="16">
        <f t="shared" si="79"/>
        <v>2077.779519598922</v>
      </c>
      <c r="AE1344" s="16">
        <f t="shared" si="80"/>
        <v>57.035142278677675</v>
      </c>
      <c r="AF1344" s="16">
        <f>'Gearing Calculator'!$C$17*Braking!AD1344</f>
        <v>3116.669279398383</v>
      </c>
      <c r="AG1344" s="16">
        <f t="shared" si="78"/>
        <v>-11.7079987956363</v>
      </c>
    </row>
    <row r="1345" spans="29:33" x14ac:dyDescent="0.25">
      <c r="AC1345" s="16">
        <v>1341</v>
      </c>
      <c r="AD1345" s="16">
        <f t="shared" si="79"/>
        <v>2078.3081775239953</v>
      </c>
      <c r="AE1345" s="16">
        <f t="shared" si="80"/>
        <v>57.077705817691616</v>
      </c>
      <c r="AF1345" s="16">
        <f>'Gearing Calculator'!$C$17*Braking!AD1345</f>
        <v>3117.4622662859929</v>
      </c>
      <c r="AG1345" s="16">
        <f t="shared" si="78"/>
        <v>-11.710977709564212</v>
      </c>
    </row>
    <row r="1346" spans="29:33" x14ac:dyDescent="0.25">
      <c r="AC1346" s="16">
        <v>1342</v>
      </c>
      <c r="AD1346" s="16">
        <f t="shared" si="79"/>
        <v>2078.8368354490694</v>
      </c>
      <c r="AE1346" s="16">
        <f t="shared" si="80"/>
        <v>57.120269356705556</v>
      </c>
      <c r="AF1346" s="16">
        <f>'Gearing Calculator'!$C$17*Braking!AD1346</f>
        <v>3118.2552531736042</v>
      </c>
      <c r="AG1346" s="16">
        <f t="shared" si="78"/>
        <v>-11.713956623492127</v>
      </c>
    </row>
    <row r="1347" spans="29:33" x14ac:dyDescent="0.25">
      <c r="AC1347" s="16">
        <v>1343</v>
      </c>
      <c r="AD1347" s="16">
        <f t="shared" si="79"/>
        <v>2079.3654933741432</v>
      </c>
      <c r="AE1347" s="16">
        <f t="shared" si="80"/>
        <v>57.162832895719497</v>
      </c>
      <c r="AF1347" s="16">
        <f>'Gearing Calculator'!$C$17*Braking!AD1347</f>
        <v>3119.0482400612145</v>
      </c>
      <c r="AG1347" s="16">
        <f t="shared" si="78"/>
        <v>-11.71693553742004</v>
      </c>
    </row>
    <row r="1348" spans="29:33" x14ac:dyDescent="0.25">
      <c r="AC1348" s="16">
        <v>1344</v>
      </c>
      <c r="AD1348" s="16">
        <f t="shared" si="79"/>
        <v>2079.8941512992169</v>
      </c>
      <c r="AE1348" s="16">
        <f t="shared" si="80"/>
        <v>57.205396434733423</v>
      </c>
      <c r="AF1348" s="16">
        <f>'Gearing Calculator'!$C$17*Braking!AD1348</f>
        <v>3119.8412269488254</v>
      </c>
      <c r="AG1348" s="16">
        <f t="shared" si="78"/>
        <v>-11.719914451347954</v>
      </c>
    </row>
    <row r="1349" spans="29:33" x14ac:dyDescent="0.25">
      <c r="AC1349" s="16">
        <v>1345</v>
      </c>
      <c r="AD1349" s="16">
        <f t="shared" si="79"/>
        <v>2080.4228092242911</v>
      </c>
      <c r="AE1349" s="16">
        <f t="shared" si="80"/>
        <v>57.247959973747363</v>
      </c>
      <c r="AF1349" s="16">
        <f>'Gearing Calculator'!$C$17*Braking!AD1349</f>
        <v>3120.6342138364366</v>
      </c>
      <c r="AG1349" s="16">
        <f t="shared" si="78"/>
        <v>-11.722893365275871</v>
      </c>
    </row>
    <row r="1350" spans="29:33" x14ac:dyDescent="0.25">
      <c r="AC1350" s="16">
        <v>1346</v>
      </c>
      <c r="AD1350" s="16">
        <f t="shared" si="79"/>
        <v>2080.9514671493644</v>
      </c>
      <c r="AE1350" s="16">
        <f t="shared" si="80"/>
        <v>57.290523512761304</v>
      </c>
      <c r="AF1350" s="16">
        <f>'Gearing Calculator'!$C$17*Braking!AD1350</f>
        <v>3121.4272007240465</v>
      </c>
      <c r="AG1350" s="16">
        <f t="shared" ref="AG1350:AG1413" si="81">-(AF1350/$C$3)</f>
        <v>-11.725872279203781</v>
      </c>
    </row>
    <row r="1351" spans="29:33" x14ac:dyDescent="0.25">
      <c r="AC1351" s="16">
        <v>1347</v>
      </c>
      <c r="AD1351" s="16">
        <f t="shared" ref="AD1351:AD1414" si="82">($C$3*$C$4)*($C$9/$C$8)+(AC1351*($C$10/$C$8))</f>
        <v>2081.4801250744385</v>
      </c>
      <c r="AE1351" s="16">
        <f t="shared" si="80"/>
        <v>57.333087051775244</v>
      </c>
      <c r="AF1351" s="16">
        <f>'Gearing Calculator'!$C$17*Braking!AD1351</f>
        <v>3122.2201876116578</v>
      </c>
      <c r="AG1351" s="16">
        <f t="shared" si="81"/>
        <v>-11.728851193131698</v>
      </c>
    </row>
    <row r="1352" spans="29:33" x14ac:dyDescent="0.25">
      <c r="AC1352" s="16">
        <v>1348</v>
      </c>
      <c r="AD1352" s="16">
        <f t="shared" si="82"/>
        <v>2082.0087829995123</v>
      </c>
      <c r="AE1352" s="16">
        <f t="shared" si="80"/>
        <v>57.375650590789185</v>
      </c>
      <c r="AF1352" s="16">
        <f>'Gearing Calculator'!$C$17*Braking!AD1352</f>
        <v>3123.0131744992686</v>
      </c>
      <c r="AG1352" s="16">
        <f t="shared" si="81"/>
        <v>-11.731830107059611</v>
      </c>
    </row>
    <row r="1353" spans="29:33" x14ac:dyDescent="0.25">
      <c r="AC1353" s="16">
        <v>1349</v>
      </c>
      <c r="AD1353" s="16">
        <f t="shared" si="82"/>
        <v>2082.537440924586</v>
      </c>
      <c r="AE1353" s="16">
        <f t="shared" si="80"/>
        <v>57.418214129803125</v>
      </c>
      <c r="AF1353" s="16">
        <f>'Gearing Calculator'!$C$17*Braking!AD1353</f>
        <v>3123.806161386879</v>
      </c>
      <c r="AG1353" s="16">
        <f t="shared" si="81"/>
        <v>-11.734809020987525</v>
      </c>
    </row>
    <row r="1354" spans="29:33" x14ac:dyDescent="0.25">
      <c r="AC1354" s="16">
        <v>1350</v>
      </c>
      <c r="AD1354" s="16">
        <f t="shared" si="82"/>
        <v>2083.0660988496602</v>
      </c>
      <c r="AE1354" s="16">
        <f t="shared" si="80"/>
        <v>57.460777668817066</v>
      </c>
      <c r="AF1354" s="16">
        <f>'Gearing Calculator'!$C$17*Braking!AD1354</f>
        <v>3124.5991482744903</v>
      </c>
      <c r="AG1354" s="16">
        <f t="shared" si="81"/>
        <v>-11.737787934915442</v>
      </c>
    </row>
    <row r="1355" spans="29:33" x14ac:dyDescent="0.25">
      <c r="AC1355" s="16">
        <v>1351</v>
      </c>
      <c r="AD1355" s="16">
        <f t="shared" si="82"/>
        <v>2083.5947567747335</v>
      </c>
      <c r="AE1355" s="16">
        <f t="shared" si="80"/>
        <v>57.503341207831006</v>
      </c>
      <c r="AF1355" s="16">
        <f>'Gearing Calculator'!$C$17*Braking!AD1355</f>
        <v>3125.3921351621002</v>
      </c>
      <c r="AG1355" s="16">
        <f t="shared" si="81"/>
        <v>-11.740766848843352</v>
      </c>
    </row>
    <row r="1356" spans="29:33" x14ac:dyDescent="0.25">
      <c r="AC1356" s="16">
        <v>1352</v>
      </c>
      <c r="AD1356" s="16">
        <f t="shared" si="82"/>
        <v>2084.1234146998077</v>
      </c>
      <c r="AE1356" s="16">
        <f t="shared" si="80"/>
        <v>57.545904746844933</v>
      </c>
      <c r="AF1356" s="16">
        <f>'Gearing Calculator'!$C$17*Braking!AD1356</f>
        <v>3126.1851220497115</v>
      </c>
      <c r="AG1356" s="16">
        <f t="shared" si="81"/>
        <v>-11.743745762771269</v>
      </c>
    </row>
    <row r="1357" spans="29:33" x14ac:dyDescent="0.25">
      <c r="AC1357" s="16">
        <v>1353</v>
      </c>
      <c r="AD1357" s="16">
        <f t="shared" si="82"/>
        <v>2084.6520726248814</v>
      </c>
      <c r="AE1357" s="16">
        <f t="shared" si="80"/>
        <v>57.588468285858873</v>
      </c>
      <c r="AF1357" s="16">
        <f>'Gearing Calculator'!$C$17*Braking!AD1357</f>
        <v>3126.9781089373218</v>
      </c>
      <c r="AG1357" s="16">
        <f t="shared" si="81"/>
        <v>-11.746724676699181</v>
      </c>
    </row>
    <row r="1358" spans="29:33" x14ac:dyDescent="0.25">
      <c r="AC1358" s="16">
        <v>1354</v>
      </c>
      <c r="AD1358" s="16">
        <f t="shared" si="82"/>
        <v>2085.1807305499551</v>
      </c>
      <c r="AE1358" s="16">
        <f t="shared" si="80"/>
        <v>57.631031824872814</v>
      </c>
      <c r="AF1358" s="16">
        <f>'Gearing Calculator'!$C$17*Braking!AD1358</f>
        <v>3127.7710958249327</v>
      </c>
      <c r="AG1358" s="16">
        <f t="shared" si="81"/>
        <v>-11.749703590627096</v>
      </c>
    </row>
    <row r="1359" spans="29:33" x14ac:dyDescent="0.25">
      <c r="AC1359" s="16">
        <v>1355</v>
      </c>
      <c r="AD1359" s="16">
        <f t="shared" si="82"/>
        <v>2085.7093884750293</v>
      </c>
      <c r="AE1359" s="16">
        <f t="shared" si="80"/>
        <v>57.673595363886754</v>
      </c>
      <c r="AF1359" s="16">
        <f>'Gearing Calculator'!$C$17*Braking!AD1359</f>
        <v>3128.564082712544</v>
      </c>
      <c r="AG1359" s="16">
        <f t="shared" si="81"/>
        <v>-11.752682504555011</v>
      </c>
    </row>
    <row r="1360" spans="29:33" x14ac:dyDescent="0.25">
      <c r="AC1360" s="16">
        <v>1356</v>
      </c>
      <c r="AD1360" s="16">
        <f t="shared" si="82"/>
        <v>2086.2380464001026</v>
      </c>
      <c r="AE1360" s="16">
        <f t="shared" si="80"/>
        <v>57.716158902900695</v>
      </c>
      <c r="AF1360" s="16">
        <f>'Gearing Calculator'!$C$17*Braking!AD1360</f>
        <v>3129.3570696001539</v>
      </c>
      <c r="AG1360" s="16">
        <f t="shared" si="81"/>
        <v>-11.755661418482923</v>
      </c>
    </row>
    <row r="1361" spans="29:33" x14ac:dyDescent="0.25">
      <c r="AC1361" s="16">
        <v>1357</v>
      </c>
      <c r="AD1361" s="16">
        <f t="shared" si="82"/>
        <v>2086.7667043251768</v>
      </c>
      <c r="AE1361" s="16">
        <f t="shared" si="80"/>
        <v>57.758722441914635</v>
      </c>
      <c r="AF1361" s="16">
        <f>'Gearing Calculator'!$C$17*Braking!AD1361</f>
        <v>3130.1500564877651</v>
      </c>
      <c r="AG1361" s="16">
        <f t="shared" si="81"/>
        <v>-11.758640332410838</v>
      </c>
    </row>
    <row r="1362" spans="29:33" x14ac:dyDescent="0.25">
      <c r="AC1362" s="16">
        <v>1358</v>
      </c>
      <c r="AD1362" s="16">
        <f t="shared" si="82"/>
        <v>2087.2953622502505</v>
      </c>
      <c r="AE1362" s="16">
        <f t="shared" si="80"/>
        <v>57.801285980928576</v>
      </c>
      <c r="AF1362" s="16">
        <f>'Gearing Calculator'!$C$17*Braking!AD1362</f>
        <v>3130.943043375376</v>
      </c>
      <c r="AG1362" s="16">
        <f t="shared" si="81"/>
        <v>-11.761619246338753</v>
      </c>
    </row>
    <row r="1363" spans="29:33" x14ac:dyDescent="0.25">
      <c r="AC1363" s="16">
        <v>1359</v>
      </c>
      <c r="AD1363" s="16">
        <f t="shared" si="82"/>
        <v>2087.8240201753242</v>
      </c>
      <c r="AE1363" s="16">
        <f t="shared" si="80"/>
        <v>57.843849519942502</v>
      </c>
      <c r="AF1363" s="16">
        <f>'Gearing Calculator'!$C$17*Braking!AD1363</f>
        <v>3131.7360302629863</v>
      </c>
      <c r="AG1363" s="16">
        <f t="shared" si="81"/>
        <v>-11.764598160266665</v>
      </c>
    </row>
    <row r="1364" spans="29:33" x14ac:dyDescent="0.25">
      <c r="AC1364" s="16">
        <v>1360</v>
      </c>
      <c r="AD1364" s="16">
        <f t="shared" si="82"/>
        <v>2088.3526781003984</v>
      </c>
      <c r="AE1364" s="16">
        <f t="shared" si="80"/>
        <v>57.886413058956443</v>
      </c>
      <c r="AF1364" s="16">
        <f>'Gearing Calculator'!$C$17*Braking!AD1364</f>
        <v>3132.5290171505976</v>
      </c>
      <c r="AG1364" s="16">
        <f t="shared" si="81"/>
        <v>-11.767577074194582</v>
      </c>
    </row>
    <row r="1365" spans="29:33" x14ac:dyDescent="0.25">
      <c r="AC1365" s="16">
        <v>1361</v>
      </c>
      <c r="AD1365" s="16">
        <f t="shared" si="82"/>
        <v>2088.8813360254721</v>
      </c>
      <c r="AE1365" s="16">
        <f t="shared" si="80"/>
        <v>57.928976597970383</v>
      </c>
      <c r="AF1365" s="16">
        <f>'Gearing Calculator'!$C$17*Braking!AD1365</f>
        <v>3133.3220040382084</v>
      </c>
      <c r="AG1365" s="16">
        <f t="shared" si="81"/>
        <v>-11.770555988122496</v>
      </c>
    </row>
    <row r="1366" spans="29:33" x14ac:dyDescent="0.25">
      <c r="AC1366" s="16">
        <v>1362</v>
      </c>
      <c r="AD1366" s="16">
        <f t="shared" si="82"/>
        <v>2089.4099939505459</v>
      </c>
      <c r="AE1366" s="16">
        <f t="shared" si="80"/>
        <v>57.971540136984324</v>
      </c>
      <c r="AF1366" s="16">
        <f>'Gearing Calculator'!$C$17*Braking!AD1366</f>
        <v>3134.1149909258188</v>
      </c>
      <c r="AG1366" s="16">
        <f t="shared" si="81"/>
        <v>-11.773534902050409</v>
      </c>
    </row>
    <row r="1367" spans="29:33" x14ac:dyDescent="0.25">
      <c r="AC1367" s="16">
        <v>1363</v>
      </c>
      <c r="AD1367" s="16">
        <f t="shared" si="82"/>
        <v>2089.9386518756196</v>
      </c>
      <c r="AE1367" s="16">
        <f t="shared" si="80"/>
        <v>58.014103675998264</v>
      </c>
      <c r="AF1367" s="16">
        <f>'Gearing Calculator'!$C$17*Braking!AD1367</f>
        <v>3134.9079778134292</v>
      </c>
      <c r="AG1367" s="16">
        <f t="shared" si="81"/>
        <v>-11.776513815978323</v>
      </c>
    </row>
    <row r="1368" spans="29:33" x14ac:dyDescent="0.25">
      <c r="AC1368" s="16">
        <v>1364</v>
      </c>
      <c r="AD1368" s="16">
        <f t="shared" si="82"/>
        <v>2090.4673098006933</v>
      </c>
      <c r="AE1368" s="16">
        <f t="shared" si="80"/>
        <v>58.056667215012205</v>
      </c>
      <c r="AF1368" s="16">
        <f>'Gearing Calculator'!$C$17*Braking!AD1368</f>
        <v>3135.70096470104</v>
      </c>
      <c r="AG1368" s="16">
        <f t="shared" si="81"/>
        <v>-11.779492729906236</v>
      </c>
    </row>
    <row r="1369" spans="29:33" x14ac:dyDescent="0.25">
      <c r="AC1369" s="16">
        <v>1365</v>
      </c>
      <c r="AD1369" s="16">
        <f t="shared" si="82"/>
        <v>2090.9959677257675</v>
      </c>
      <c r="AE1369" s="16">
        <f t="shared" si="80"/>
        <v>58.099230754026145</v>
      </c>
      <c r="AF1369" s="16">
        <f>'Gearing Calculator'!$C$17*Braking!AD1369</f>
        <v>3136.4939515886513</v>
      </c>
      <c r="AG1369" s="16">
        <f t="shared" si="81"/>
        <v>-11.782471643834153</v>
      </c>
    </row>
    <row r="1370" spans="29:33" x14ac:dyDescent="0.25">
      <c r="AC1370" s="16">
        <v>1366</v>
      </c>
      <c r="AD1370" s="16">
        <f t="shared" si="82"/>
        <v>2091.5246256508412</v>
      </c>
      <c r="AE1370" s="16">
        <f t="shared" si="80"/>
        <v>58.141794293040086</v>
      </c>
      <c r="AF1370" s="16">
        <f>'Gearing Calculator'!$C$17*Braking!AD1370</f>
        <v>3137.2869384762616</v>
      </c>
      <c r="AG1370" s="16">
        <f t="shared" si="81"/>
        <v>-11.785450557762065</v>
      </c>
    </row>
    <row r="1371" spans="29:33" x14ac:dyDescent="0.25">
      <c r="AC1371" s="16">
        <v>1367</v>
      </c>
      <c r="AD1371" s="16">
        <f t="shared" si="82"/>
        <v>2092.053283575915</v>
      </c>
      <c r="AE1371" s="16">
        <f t="shared" si="80"/>
        <v>58.184357832054012</v>
      </c>
      <c r="AF1371" s="16">
        <f>'Gearing Calculator'!$C$17*Braking!AD1371</f>
        <v>3138.0799253638725</v>
      </c>
      <c r="AG1371" s="16">
        <f t="shared" si="81"/>
        <v>-11.78842947168998</v>
      </c>
    </row>
    <row r="1372" spans="29:33" x14ac:dyDescent="0.25">
      <c r="AC1372" s="16">
        <v>1368</v>
      </c>
      <c r="AD1372" s="16">
        <f t="shared" si="82"/>
        <v>2092.5819415009887</v>
      </c>
      <c r="AE1372" s="16">
        <f t="shared" si="80"/>
        <v>58.226921371067952</v>
      </c>
      <c r="AF1372" s="16">
        <f>'Gearing Calculator'!$C$17*Braking!AD1372</f>
        <v>3138.8729122514833</v>
      </c>
      <c r="AG1372" s="16">
        <f t="shared" si="81"/>
        <v>-11.791408385617894</v>
      </c>
    </row>
    <row r="1373" spans="29:33" x14ac:dyDescent="0.25">
      <c r="AC1373" s="16">
        <v>1369</v>
      </c>
      <c r="AD1373" s="16">
        <f t="shared" si="82"/>
        <v>2093.1105994260624</v>
      </c>
      <c r="AE1373" s="16">
        <f t="shared" si="80"/>
        <v>58.269484910081893</v>
      </c>
      <c r="AF1373" s="16">
        <f>'Gearing Calculator'!$C$17*Braking!AD1373</f>
        <v>3139.6658991390937</v>
      </c>
      <c r="AG1373" s="16">
        <f t="shared" si="81"/>
        <v>-11.794387299545807</v>
      </c>
    </row>
    <row r="1374" spans="29:33" x14ac:dyDescent="0.25">
      <c r="AC1374" s="16">
        <v>1370</v>
      </c>
      <c r="AD1374" s="16">
        <f t="shared" si="82"/>
        <v>2093.6392573511366</v>
      </c>
      <c r="AE1374" s="16">
        <f t="shared" si="80"/>
        <v>58.312048449095833</v>
      </c>
      <c r="AF1374" s="16">
        <f>'Gearing Calculator'!$C$17*Braking!AD1374</f>
        <v>3140.4588860267049</v>
      </c>
      <c r="AG1374" s="16">
        <f t="shared" si="81"/>
        <v>-11.797366213473722</v>
      </c>
    </row>
    <row r="1375" spans="29:33" x14ac:dyDescent="0.25">
      <c r="AC1375" s="16">
        <v>1371</v>
      </c>
      <c r="AD1375" s="16">
        <f t="shared" si="82"/>
        <v>2094.1679152762104</v>
      </c>
      <c r="AE1375" s="16">
        <f t="shared" si="80"/>
        <v>58.354611988109774</v>
      </c>
      <c r="AF1375" s="16">
        <f>'Gearing Calculator'!$C$17*Braking!AD1375</f>
        <v>3141.2518729143158</v>
      </c>
      <c r="AG1375" s="16">
        <f t="shared" si="81"/>
        <v>-11.800345127401638</v>
      </c>
    </row>
    <row r="1376" spans="29:33" x14ac:dyDescent="0.25">
      <c r="AC1376" s="16">
        <v>1372</v>
      </c>
      <c r="AD1376" s="16">
        <f t="shared" si="82"/>
        <v>2094.6965732012841</v>
      </c>
      <c r="AE1376" s="16">
        <f t="shared" si="80"/>
        <v>58.397175527123714</v>
      </c>
      <c r="AF1376" s="16">
        <f>'Gearing Calculator'!$C$17*Braking!AD1376</f>
        <v>3142.0448598019261</v>
      </c>
      <c r="AG1376" s="16">
        <f t="shared" si="81"/>
        <v>-11.803324041329549</v>
      </c>
    </row>
    <row r="1377" spans="29:33" x14ac:dyDescent="0.25">
      <c r="AC1377" s="16">
        <v>1373</v>
      </c>
      <c r="AD1377" s="16">
        <f t="shared" si="82"/>
        <v>2095.2252311263578</v>
      </c>
      <c r="AE1377" s="16">
        <f t="shared" si="80"/>
        <v>58.439739066137655</v>
      </c>
      <c r="AF1377" s="16">
        <f>'Gearing Calculator'!$C$17*Braking!AD1377</f>
        <v>3142.8378466895365</v>
      </c>
      <c r="AG1377" s="16">
        <f t="shared" si="81"/>
        <v>-11.806302955257463</v>
      </c>
    </row>
    <row r="1378" spans="29:33" x14ac:dyDescent="0.25">
      <c r="AC1378" s="16">
        <v>1374</v>
      </c>
      <c r="AD1378" s="16">
        <f t="shared" si="82"/>
        <v>2095.7538890514315</v>
      </c>
      <c r="AE1378" s="16">
        <f t="shared" si="80"/>
        <v>58.482302605151581</v>
      </c>
      <c r="AF1378" s="16">
        <f>'Gearing Calculator'!$C$17*Braking!AD1378</f>
        <v>3143.6308335771473</v>
      </c>
      <c r="AG1378" s="16">
        <f t="shared" si="81"/>
        <v>-11.809281869185376</v>
      </c>
    </row>
    <row r="1379" spans="29:33" x14ac:dyDescent="0.25">
      <c r="AC1379" s="16">
        <v>1375</v>
      </c>
      <c r="AD1379" s="16">
        <f t="shared" si="82"/>
        <v>2096.2825469765057</v>
      </c>
      <c r="AE1379" s="16">
        <f t="shared" si="80"/>
        <v>58.524866144165522</v>
      </c>
      <c r="AF1379" s="16">
        <f>'Gearing Calculator'!$C$17*Braking!AD1379</f>
        <v>3144.4238204647586</v>
      </c>
      <c r="AG1379" s="16">
        <f t="shared" si="81"/>
        <v>-11.812260783113294</v>
      </c>
    </row>
    <row r="1380" spans="29:33" x14ac:dyDescent="0.25">
      <c r="AC1380" s="16">
        <v>1376</v>
      </c>
      <c r="AD1380" s="16">
        <f t="shared" si="82"/>
        <v>2096.8112049015795</v>
      </c>
      <c r="AE1380" s="16">
        <f t="shared" si="80"/>
        <v>58.567429683179462</v>
      </c>
      <c r="AF1380" s="16">
        <f>'Gearing Calculator'!$C$17*Braking!AD1380</f>
        <v>3145.216807352369</v>
      </c>
      <c r="AG1380" s="16">
        <f t="shared" si="81"/>
        <v>-11.815239697041207</v>
      </c>
    </row>
    <row r="1381" spans="29:33" x14ac:dyDescent="0.25">
      <c r="AC1381" s="16">
        <v>1377</v>
      </c>
      <c r="AD1381" s="16">
        <f t="shared" si="82"/>
        <v>2097.3398628266532</v>
      </c>
      <c r="AE1381" s="16">
        <f t="shared" si="80"/>
        <v>58.609993222193403</v>
      </c>
      <c r="AF1381" s="16">
        <f>'Gearing Calculator'!$C$17*Braking!AD1381</f>
        <v>3146.0097942399798</v>
      </c>
      <c r="AG1381" s="16">
        <f t="shared" si="81"/>
        <v>-11.818218610969121</v>
      </c>
    </row>
    <row r="1382" spans="29:33" x14ac:dyDescent="0.25">
      <c r="AC1382" s="16">
        <v>1378</v>
      </c>
      <c r="AD1382" s="16">
        <f t="shared" si="82"/>
        <v>2097.8685207517269</v>
      </c>
      <c r="AE1382" s="16">
        <f t="shared" si="80"/>
        <v>58.652556761207343</v>
      </c>
      <c r="AF1382" s="16">
        <f>'Gearing Calculator'!$C$17*Braking!AD1382</f>
        <v>3146.8027811275906</v>
      </c>
      <c r="AG1382" s="16">
        <f t="shared" si="81"/>
        <v>-11.821197524897036</v>
      </c>
    </row>
    <row r="1383" spans="29:33" x14ac:dyDescent="0.25">
      <c r="AC1383" s="16">
        <v>1379</v>
      </c>
      <c r="AD1383" s="16">
        <f t="shared" si="82"/>
        <v>2098.3971786768006</v>
      </c>
      <c r="AE1383" s="16">
        <f t="shared" si="80"/>
        <v>58.695120300221284</v>
      </c>
      <c r="AF1383" s="16">
        <f>'Gearing Calculator'!$C$17*Braking!AD1383</f>
        <v>3147.595768015201</v>
      </c>
      <c r="AG1383" s="16">
        <f t="shared" si="81"/>
        <v>-11.824176438824948</v>
      </c>
    </row>
    <row r="1384" spans="29:33" x14ac:dyDescent="0.25">
      <c r="AC1384" s="16">
        <v>1380</v>
      </c>
      <c r="AD1384" s="16">
        <f t="shared" si="82"/>
        <v>2098.9258366018748</v>
      </c>
      <c r="AE1384" s="16">
        <f t="shared" si="80"/>
        <v>58.737683839235224</v>
      </c>
      <c r="AF1384" s="16">
        <f>'Gearing Calculator'!$C$17*Braking!AD1384</f>
        <v>3148.3887549028123</v>
      </c>
      <c r="AG1384" s="16">
        <f t="shared" si="81"/>
        <v>-11.827155352752865</v>
      </c>
    </row>
    <row r="1385" spans="29:33" x14ac:dyDescent="0.25">
      <c r="AC1385" s="16">
        <v>1381</v>
      </c>
      <c r="AD1385" s="16">
        <f t="shared" si="82"/>
        <v>2099.4544945269486</v>
      </c>
      <c r="AE1385" s="16">
        <f t="shared" si="80"/>
        <v>58.78024737824915</v>
      </c>
      <c r="AF1385" s="16">
        <f>'Gearing Calculator'!$C$17*Braking!AD1385</f>
        <v>3149.1817417904231</v>
      </c>
      <c r="AG1385" s="16">
        <f t="shared" si="81"/>
        <v>-11.830134266680778</v>
      </c>
    </row>
    <row r="1386" spans="29:33" x14ac:dyDescent="0.25">
      <c r="AC1386" s="16">
        <v>1382</v>
      </c>
      <c r="AD1386" s="16">
        <f t="shared" si="82"/>
        <v>2099.9831524520223</v>
      </c>
      <c r="AE1386" s="16">
        <f t="shared" si="80"/>
        <v>58.822810917263091</v>
      </c>
      <c r="AF1386" s="16">
        <f>'Gearing Calculator'!$C$17*Braking!AD1386</f>
        <v>3149.9747286780334</v>
      </c>
      <c r="AG1386" s="16">
        <f t="shared" si="81"/>
        <v>-11.833113180608692</v>
      </c>
    </row>
    <row r="1387" spans="29:33" x14ac:dyDescent="0.25">
      <c r="AC1387" s="16">
        <v>1383</v>
      </c>
      <c r="AD1387" s="16">
        <f t="shared" si="82"/>
        <v>2100.511810377096</v>
      </c>
      <c r="AE1387" s="16">
        <f t="shared" si="80"/>
        <v>58.865374456277031</v>
      </c>
      <c r="AF1387" s="16">
        <f>'Gearing Calculator'!$C$17*Braking!AD1387</f>
        <v>3150.7677155656438</v>
      </c>
      <c r="AG1387" s="16">
        <f t="shared" si="81"/>
        <v>-11.836092094536603</v>
      </c>
    </row>
    <row r="1388" spans="29:33" x14ac:dyDescent="0.25">
      <c r="AC1388" s="16">
        <v>1384</v>
      </c>
      <c r="AD1388" s="16">
        <f t="shared" si="82"/>
        <v>2101.0404683021698</v>
      </c>
      <c r="AE1388" s="16">
        <f t="shared" si="80"/>
        <v>58.907937995290972</v>
      </c>
      <c r="AF1388" s="16">
        <f>'Gearing Calculator'!$C$17*Braking!AD1388</f>
        <v>3151.5607024532546</v>
      </c>
      <c r="AG1388" s="16">
        <f t="shared" si="81"/>
        <v>-11.839071008464519</v>
      </c>
    </row>
    <row r="1389" spans="29:33" x14ac:dyDescent="0.25">
      <c r="AC1389" s="16">
        <v>1385</v>
      </c>
      <c r="AD1389" s="16">
        <f t="shared" si="82"/>
        <v>2101.5691262272439</v>
      </c>
      <c r="AE1389" s="16">
        <f t="shared" si="80"/>
        <v>58.950501534304912</v>
      </c>
      <c r="AF1389" s="16">
        <f>'Gearing Calculator'!$C$17*Braking!AD1389</f>
        <v>3152.3536893408659</v>
      </c>
      <c r="AG1389" s="16">
        <f t="shared" si="81"/>
        <v>-11.842049922392434</v>
      </c>
    </row>
    <row r="1390" spans="29:33" x14ac:dyDescent="0.25">
      <c r="AC1390" s="16">
        <v>1386</v>
      </c>
      <c r="AD1390" s="16">
        <f t="shared" si="82"/>
        <v>2102.0977841523177</v>
      </c>
      <c r="AE1390" s="16">
        <f t="shared" si="80"/>
        <v>58.993065073318853</v>
      </c>
      <c r="AF1390" s="16">
        <f>'Gearing Calculator'!$C$17*Braking!AD1390</f>
        <v>3153.1466762284763</v>
      </c>
      <c r="AG1390" s="16">
        <f t="shared" si="81"/>
        <v>-11.845028836320347</v>
      </c>
    </row>
    <row r="1391" spans="29:33" x14ac:dyDescent="0.25">
      <c r="AC1391" s="16">
        <v>1387</v>
      </c>
      <c r="AD1391" s="16">
        <f t="shared" si="82"/>
        <v>2102.6264420773914</v>
      </c>
      <c r="AE1391" s="16">
        <f t="shared" si="80"/>
        <v>59.035628612332793</v>
      </c>
      <c r="AF1391" s="16">
        <f>'Gearing Calculator'!$C$17*Braking!AD1391</f>
        <v>3153.9396631160871</v>
      </c>
      <c r="AG1391" s="16">
        <f t="shared" si="81"/>
        <v>-11.848007750248261</v>
      </c>
    </row>
    <row r="1392" spans="29:33" x14ac:dyDescent="0.25">
      <c r="AC1392" s="16">
        <v>1388</v>
      </c>
      <c r="AD1392" s="16">
        <f t="shared" si="82"/>
        <v>2103.1551000024651</v>
      </c>
      <c r="AE1392" s="16">
        <f t="shared" si="80"/>
        <v>59.078192151346734</v>
      </c>
      <c r="AF1392" s="16">
        <f>'Gearing Calculator'!$C$17*Braking!AD1392</f>
        <v>3154.7326500036979</v>
      </c>
      <c r="AG1392" s="16">
        <f t="shared" si="81"/>
        <v>-11.850986664176176</v>
      </c>
    </row>
    <row r="1393" spans="29:33" x14ac:dyDescent="0.25">
      <c r="AC1393" s="16">
        <v>1389</v>
      </c>
      <c r="AD1393" s="16">
        <f t="shared" si="82"/>
        <v>2103.6837579275389</v>
      </c>
      <c r="AE1393" s="16">
        <f t="shared" si="80"/>
        <v>59.12075569036066</v>
      </c>
      <c r="AF1393" s="16">
        <f>'Gearing Calculator'!$C$17*Braking!AD1393</f>
        <v>3155.5256368913083</v>
      </c>
      <c r="AG1393" s="16">
        <f t="shared" si="81"/>
        <v>-11.85396557810409</v>
      </c>
    </row>
    <row r="1394" spans="29:33" x14ac:dyDescent="0.25">
      <c r="AC1394" s="16">
        <v>1390</v>
      </c>
      <c r="AD1394" s="16">
        <f t="shared" si="82"/>
        <v>2104.212415852613</v>
      </c>
      <c r="AE1394" s="16">
        <f t="shared" si="80"/>
        <v>59.163319229374601</v>
      </c>
      <c r="AF1394" s="16">
        <f>'Gearing Calculator'!$C$17*Braking!AD1394</f>
        <v>3156.3186237789196</v>
      </c>
      <c r="AG1394" s="16">
        <f t="shared" si="81"/>
        <v>-11.856944492032005</v>
      </c>
    </row>
    <row r="1395" spans="29:33" x14ac:dyDescent="0.25">
      <c r="AC1395" s="16">
        <v>1391</v>
      </c>
      <c r="AD1395" s="16">
        <f t="shared" si="82"/>
        <v>2104.7410737776868</v>
      </c>
      <c r="AE1395" s="16">
        <f t="shared" si="80"/>
        <v>59.205882768388541</v>
      </c>
      <c r="AF1395" s="16">
        <f>'Gearing Calculator'!$C$17*Braking!AD1395</f>
        <v>3157.1116106665304</v>
      </c>
      <c r="AG1395" s="16">
        <f t="shared" si="81"/>
        <v>-11.85992340595992</v>
      </c>
    </row>
    <row r="1396" spans="29:33" x14ac:dyDescent="0.25">
      <c r="AC1396" s="16">
        <v>1392</v>
      </c>
      <c r="AD1396" s="16">
        <f t="shared" si="82"/>
        <v>2105.2697317027605</v>
      </c>
      <c r="AE1396" s="16">
        <f t="shared" si="80"/>
        <v>59.248446307402482</v>
      </c>
      <c r="AF1396" s="16">
        <f>'Gearing Calculator'!$C$17*Braking!AD1396</f>
        <v>3157.9045975541408</v>
      </c>
      <c r="AG1396" s="16">
        <f t="shared" si="81"/>
        <v>-11.862902319887832</v>
      </c>
    </row>
    <row r="1397" spans="29:33" x14ac:dyDescent="0.25">
      <c r="AC1397" s="16">
        <v>1393</v>
      </c>
      <c r="AD1397" s="16">
        <f t="shared" si="82"/>
        <v>2105.7983896278342</v>
      </c>
      <c r="AE1397" s="16">
        <f t="shared" si="80"/>
        <v>59.291009846416422</v>
      </c>
      <c r="AF1397" s="16">
        <f>'Gearing Calculator'!$C$17*Braking!AD1397</f>
        <v>3158.6975844417511</v>
      </c>
      <c r="AG1397" s="16">
        <f t="shared" si="81"/>
        <v>-11.865881233815745</v>
      </c>
    </row>
    <row r="1398" spans="29:33" x14ac:dyDescent="0.25">
      <c r="AC1398" s="16">
        <v>1394</v>
      </c>
      <c r="AD1398" s="16">
        <f t="shared" si="82"/>
        <v>2106.327047552908</v>
      </c>
      <c r="AE1398" s="16">
        <f t="shared" si="80"/>
        <v>59.333573385430363</v>
      </c>
      <c r="AF1398" s="16">
        <f>'Gearing Calculator'!$C$17*Braking!AD1398</f>
        <v>3159.490571329362</v>
      </c>
      <c r="AG1398" s="16">
        <f t="shared" si="81"/>
        <v>-11.868860147743659</v>
      </c>
    </row>
    <row r="1399" spans="29:33" x14ac:dyDescent="0.25">
      <c r="AC1399" s="16">
        <v>1395</v>
      </c>
      <c r="AD1399" s="16">
        <f t="shared" si="82"/>
        <v>2106.8557054779822</v>
      </c>
      <c r="AE1399" s="16">
        <f t="shared" si="80"/>
        <v>59.376136924444303</v>
      </c>
      <c r="AF1399" s="16">
        <f>'Gearing Calculator'!$C$17*Braking!AD1399</f>
        <v>3160.2835582169732</v>
      </c>
      <c r="AG1399" s="16">
        <f t="shared" si="81"/>
        <v>-11.871839061671576</v>
      </c>
    </row>
    <row r="1400" spans="29:33" x14ac:dyDescent="0.25">
      <c r="AC1400" s="16">
        <v>1396</v>
      </c>
      <c r="AD1400" s="16">
        <f t="shared" si="82"/>
        <v>2107.3843634030559</v>
      </c>
      <c r="AE1400" s="16">
        <f t="shared" si="80"/>
        <v>59.418700463458229</v>
      </c>
      <c r="AF1400" s="16">
        <f>'Gearing Calculator'!$C$17*Braking!AD1400</f>
        <v>3161.0765451045836</v>
      </c>
      <c r="AG1400" s="16">
        <f t="shared" si="81"/>
        <v>-11.874817975599488</v>
      </c>
    </row>
    <row r="1401" spans="29:33" x14ac:dyDescent="0.25">
      <c r="AC1401" s="16">
        <v>1397</v>
      </c>
      <c r="AD1401" s="16">
        <f t="shared" si="82"/>
        <v>2107.9130213281296</v>
      </c>
      <c r="AE1401" s="16">
        <f t="shared" si="80"/>
        <v>59.46126400247217</v>
      </c>
      <c r="AF1401" s="16">
        <f>'Gearing Calculator'!$C$17*Braking!AD1401</f>
        <v>3161.8695319921944</v>
      </c>
      <c r="AG1401" s="16">
        <f t="shared" si="81"/>
        <v>-11.877796889527403</v>
      </c>
    </row>
    <row r="1402" spans="29:33" x14ac:dyDescent="0.25">
      <c r="AC1402" s="16">
        <v>1398</v>
      </c>
      <c r="AD1402" s="16">
        <f t="shared" si="82"/>
        <v>2108.4416792532033</v>
      </c>
      <c r="AE1402" s="16">
        <f t="shared" si="80"/>
        <v>59.50382754148611</v>
      </c>
      <c r="AF1402" s="16">
        <f>'Gearing Calculator'!$C$17*Braking!AD1402</f>
        <v>3162.6625188798052</v>
      </c>
      <c r="AG1402" s="16">
        <f t="shared" si="81"/>
        <v>-11.880775803455316</v>
      </c>
    </row>
    <row r="1403" spans="29:33" x14ac:dyDescent="0.25">
      <c r="AC1403" s="16">
        <v>1399</v>
      </c>
      <c r="AD1403" s="16">
        <f t="shared" si="82"/>
        <v>2108.9703371782771</v>
      </c>
      <c r="AE1403" s="16">
        <f t="shared" si="80"/>
        <v>59.546391080500051</v>
      </c>
      <c r="AF1403" s="16">
        <f>'Gearing Calculator'!$C$17*Braking!AD1403</f>
        <v>3163.4555057674156</v>
      </c>
      <c r="AG1403" s="16">
        <f t="shared" si="81"/>
        <v>-11.88375471738323</v>
      </c>
    </row>
    <row r="1404" spans="29:33" x14ac:dyDescent="0.25">
      <c r="AC1404" s="16">
        <v>1400</v>
      </c>
      <c r="AD1404" s="16">
        <f t="shared" si="82"/>
        <v>2109.4989951033513</v>
      </c>
      <c r="AE1404" s="16">
        <f t="shared" si="80"/>
        <v>59.588954619513991</v>
      </c>
      <c r="AF1404" s="16">
        <f>'Gearing Calculator'!$C$17*Braking!AD1404</f>
        <v>3164.2484926550269</v>
      </c>
      <c r="AG1404" s="16">
        <f t="shared" si="81"/>
        <v>-11.886733631311145</v>
      </c>
    </row>
    <row r="1405" spans="29:33" x14ac:dyDescent="0.25">
      <c r="AC1405" s="16">
        <v>1401</v>
      </c>
      <c r="AD1405" s="16">
        <f t="shared" si="82"/>
        <v>2110.027653028425</v>
      </c>
      <c r="AE1405" s="16">
        <f t="shared" si="80"/>
        <v>59.631518158527932</v>
      </c>
      <c r="AF1405" s="16">
        <f>'Gearing Calculator'!$C$17*Braking!AD1405</f>
        <v>3165.0414795426377</v>
      </c>
      <c r="AG1405" s="16">
        <f t="shared" si="81"/>
        <v>-11.88971254523906</v>
      </c>
    </row>
    <row r="1406" spans="29:33" x14ac:dyDescent="0.25">
      <c r="AC1406" s="16">
        <v>1402</v>
      </c>
      <c r="AD1406" s="16">
        <f t="shared" si="82"/>
        <v>2110.5563109534987</v>
      </c>
      <c r="AE1406" s="16">
        <f t="shared" si="80"/>
        <v>59.674081697541872</v>
      </c>
      <c r="AF1406" s="16">
        <f>'Gearing Calculator'!$C$17*Braking!AD1406</f>
        <v>3165.8344664302481</v>
      </c>
      <c r="AG1406" s="16">
        <f t="shared" si="81"/>
        <v>-11.892691459166974</v>
      </c>
    </row>
    <row r="1407" spans="29:33" x14ac:dyDescent="0.25">
      <c r="AC1407" s="16">
        <v>1403</v>
      </c>
      <c r="AD1407" s="16">
        <f t="shared" si="82"/>
        <v>2111.0849688785725</v>
      </c>
      <c r="AE1407" s="16">
        <f t="shared" ref="AE1407:AE1470" si="83">(AC1407/$X$104)*100</f>
        <v>59.716645236555813</v>
      </c>
      <c r="AF1407" s="16">
        <f>'Gearing Calculator'!$C$17*Braking!AD1407</f>
        <v>3166.6274533178585</v>
      </c>
      <c r="AG1407" s="16">
        <f t="shared" si="81"/>
        <v>-11.895670373094886</v>
      </c>
    </row>
    <row r="1408" spans="29:33" x14ac:dyDescent="0.25">
      <c r="AC1408" s="16">
        <v>1404</v>
      </c>
      <c r="AD1408" s="16">
        <f t="shared" si="82"/>
        <v>2111.6136268036462</v>
      </c>
      <c r="AE1408" s="16">
        <f t="shared" si="83"/>
        <v>59.759208775569739</v>
      </c>
      <c r="AF1408" s="16">
        <f>'Gearing Calculator'!$C$17*Braking!AD1408</f>
        <v>3167.4204402054693</v>
      </c>
      <c r="AG1408" s="16">
        <f t="shared" si="81"/>
        <v>-11.898649287022801</v>
      </c>
    </row>
    <row r="1409" spans="29:33" x14ac:dyDescent="0.25">
      <c r="AC1409" s="16">
        <v>1405</v>
      </c>
      <c r="AD1409" s="16">
        <f t="shared" si="82"/>
        <v>2112.1422847287204</v>
      </c>
      <c r="AE1409" s="16">
        <f t="shared" si="83"/>
        <v>59.80177231458368</v>
      </c>
      <c r="AF1409" s="16">
        <f>'Gearing Calculator'!$C$17*Braking!AD1409</f>
        <v>3168.2134270930806</v>
      </c>
      <c r="AG1409" s="16">
        <f t="shared" si="81"/>
        <v>-11.901628200950716</v>
      </c>
    </row>
    <row r="1410" spans="29:33" x14ac:dyDescent="0.25">
      <c r="AC1410" s="16">
        <v>1406</v>
      </c>
      <c r="AD1410" s="16">
        <f t="shared" si="82"/>
        <v>2112.6709426537941</v>
      </c>
      <c r="AE1410" s="16">
        <f t="shared" si="83"/>
        <v>59.84433585359762</v>
      </c>
      <c r="AF1410" s="16">
        <f>'Gearing Calculator'!$C$17*Braking!AD1410</f>
        <v>3169.0064139806909</v>
      </c>
      <c r="AG1410" s="16">
        <f t="shared" si="81"/>
        <v>-11.90460711487863</v>
      </c>
    </row>
    <row r="1411" spans="29:33" x14ac:dyDescent="0.25">
      <c r="AC1411" s="16">
        <v>1407</v>
      </c>
      <c r="AD1411" s="16">
        <f t="shared" si="82"/>
        <v>2113.1996005788678</v>
      </c>
      <c r="AE1411" s="16">
        <f t="shared" si="83"/>
        <v>59.886899392611561</v>
      </c>
      <c r="AF1411" s="16">
        <f>'Gearing Calculator'!$C$17*Braking!AD1411</f>
        <v>3169.7994008683017</v>
      </c>
      <c r="AG1411" s="16">
        <f t="shared" si="81"/>
        <v>-11.907586028806543</v>
      </c>
    </row>
    <row r="1412" spans="29:33" x14ac:dyDescent="0.25">
      <c r="AC1412" s="16">
        <v>1408</v>
      </c>
      <c r="AD1412" s="16">
        <f t="shared" si="82"/>
        <v>2113.7282585039416</v>
      </c>
      <c r="AE1412" s="16">
        <f t="shared" si="83"/>
        <v>59.929462931625501</v>
      </c>
      <c r="AF1412" s="16">
        <f>'Gearing Calculator'!$C$17*Braking!AD1412</f>
        <v>3170.5923877559126</v>
      </c>
      <c r="AG1412" s="16">
        <f t="shared" si="81"/>
        <v>-11.910564942734458</v>
      </c>
    </row>
    <row r="1413" spans="29:33" x14ac:dyDescent="0.25">
      <c r="AC1413" s="16">
        <v>1409</v>
      </c>
      <c r="AD1413" s="16">
        <f t="shared" si="82"/>
        <v>2114.2569164290153</v>
      </c>
      <c r="AE1413" s="16">
        <f t="shared" si="83"/>
        <v>59.972026470639442</v>
      </c>
      <c r="AF1413" s="16">
        <f>'Gearing Calculator'!$C$17*Braking!AD1413</f>
        <v>3171.3853746435229</v>
      </c>
      <c r="AG1413" s="16">
        <f t="shared" si="81"/>
        <v>-11.91354385666237</v>
      </c>
    </row>
    <row r="1414" spans="29:33" x14ac:dyDescent="0.25">
      <c r="AC1414" s="16">
        <v>1410</v>
      </c>
      <c r="AD1414" s="16">
        <f t="shared" si="82"/>
        <v>2114.7855743540895</v>
      </c>
      <c r="AE1414" s="16">
        <f t="shared" si="83"/>
        <v>60.014590009653382</v>
      </c>
      <c r="AF1414" s="16">
        <f>'Gearing Calculator'!$C$17*Braking!AD1414</f>
        <v>3172.1783615311342</v>
      </c>
      <c r="AG1414" s="16">
        <f t="shared" ref="AG1414:AG1477" si="84">-(AF1414/$C$3)</f>
        <v>-11.916522770590287</v>
      </c>
    </row>
    <row r="1415" spans="29:33" x14ac:dyDescent="0.25">
      <c r="AC1415" s="16">
        <v>1411</v>
      </c>
      <c r="AD1415" s="16">
        <f t="shared" ref="AD1415:AD1478" si="85">($C$3*$C$4)*($C$9/$C$8)+(AC1415*($C$10/$C$8))</f>
        <v>2115.3142322791632</v>
      </c>
      <c r="AE1415" s="16">
        <f t="shared" si="83"/>
        <v>60.057153548667308</v>
      </c>
      <c r="AF1415" s="16">
        <f>'Gearing Calculator'!$C$17*Braking!AD1415</f>
        <v>3172.971348418745</v>
      </c>
      <c r="AG1415" s="16">
        <f t="shared" si="84"/>
        <v>-11.919501684518201</v>
      </c>
    </row>
    <row r="1416" spans="29:33" x14ac:dyDescent="0.25">
      <c r="AC1416" s="16">
        <v>1412</v>
      </c>
      <c r="AD1416" s="16">
        <f t="shared" si="85"/>
        <v>2115.8428902042369</v>
      </c>
      <c r="AE1416" s="16">
        <f t="shared" si="83"/>
        <v>60.099717087681249</v>
      </c>
      <c r="AF1416" s="16">
        <f>'Gearing Calculator'!$C$17*Braking!AD1416</f>
        <v>3173.7643353063554</v>
      </c>
      <c r="AG1416" s="16">
        <f t="shared" si="84"/>
        <v>-11.922480598446114</v>
      </c>
    </row>
    <row r="1417" spans="29:33" x14ac:dyDescent="0.25">
      <c r="AC1417" s="16">
        <v>1413</v>
      </c>
      <c r="AD1417" s="16">
        <f t="shared" si="85"/>
        <v>2116.3715481293107</v>
      </c>
      <c r="AE1417" s="16">
        <f t="shared" si="83"/>
        <v>60.142280626695189</v>
      </c>
      <c r="AF1417" s="16">
        <f>'Gearing Calculator'!$C$17*Braking!AD1417</f>
        <v>3174.5573221939658</v>
      </c>
      <c r="AG1417" s="16">
        <f t="shared" si="84"/>
        <v>-11.925459512374026</v>
      </c>
    </row>
    <row r="1418" spans="29:33" x14ac:dyDescent="0.25">
      <c r="AC1418" s="16">
        <v>1414</v>
      </c>
      <c r="AD1418" s="16">
        <f t="shared" si="85"/>
        <v>2116.9002060543844</v>
      </c>
      <c r="AE1418" s="16">
        <f t="shared" si="83"/>
        <v>60.18484416570913</v>
      </c>
      <c r="AF1418" s="16">
        <f>'Gearing Calculator'!$C$17*Braking!AD1418</f>
        <v>3175.3503090815766</v>
      </c>
      <c r="AG1418" s="16">
        <f t="shared" si="84"/>
        <v>-11.928438426301941</v>
      </c>
    </row>
    <row r="1419" spans="29:33" x14ac:dyDescent="0.25">
      <c r="AC1419" s="16">
        <v>1415</v>
      </c>
      <c r="AD1419" s="16">
        <f t="shared" si="85"/>
        <v>2117.4288639794586</v>
      </c>
      <c r="AE1419" s="16">
        <f t="shared" si="83"/>
        <v>60.22740770472307</v>
      </c>
      <c r="AF1419" s="16">
        <f>'Gearing Calculator'!$C$17*Braking!AD1419</f>
        <v>3176.1432959691879</v>
      </c>
      <c r="AG1419" s="16">
        <f t="shared" si="84"/>
        <v>-11.931417340229856</v>
      </c>
    </row>
    <row r="1420" spans="29:33" x14ac:dyDescent="0.25">
      <c r="AC1420" s="16">
        <v>1416</v>
      </c>
      <c r="AD1420" s="16">
        <f t="shared" si="85"/>
        <v>2117.9575219045323</v>
      </c>
      <c r="AE1420" s="16">
        <f t="shared" si="83"/>
        <v>60.269971243737011</v>
      </c>
      <c r="AF1420" s="16">
        <f>'Gearing Calculator'!$C$17*Braking!AD1420</f>
        <v>3176.9362828567982</v>
      </c>
      <c r="AG1420" s="16">
        <f t="shared" si="84"/>
        <v>-11.93439625415777</v>
      </c>
    </row>
    <row r="1421" spans="29:33" x14ac:dyDescent="0.25">
      <c r="AC1421" s="16">
        <v>1417</v>
      </c>
      <c r="AD1421" s="16">
        <f t="shared" si="85"/>
        <v>2118.486179829606</v>
      </c>
      <c r="AE1421" s="16">
        <f t="shared" si="83"/>
        <v>60.312534782750951</v>
      </c>
      <c r="AF1421" s="16">
        <f>'Gearing Calculator'!$C$17*Braking!AD1421</f>
        <v>3177.7292697444091</v>
      </c>
      <c r="AG1421" s="16">
        <f t="shared" si="84"/>
        <v>-11.937375168085685</v>
      </c>
    </row>
    <row r="1422" spans="29:33" x14ac:dyDescent="0.25">
      <c r="AC1422" s="16">
        <v>1418</v>
      </c>
      <c r="AD1422" s="16">
        <f t="shared" si="85"/>
        <v>2119.0148377546798</v>
      </c>
      <c r="AE1422" s="16">
        <f t="shared" si="83"/>
        <v>60.355098321764885</v>
      </c>
      <c r="AF1422" s="16">
        <f>'Gearing Calculator'!$C$17*Braking!AD1422</f>
        <v>3178.5222566320199</v>
      </c>
      <c r="AG1422" s="16">
        <f t="shared" si="84"/>
        <v>-11.940354082013599</v>
      </c>
    </row>
    <row r="1423" spans="29:33" x14ac:dyDescent="0.25">
      <c r="AC1423" s="16">
        <v>1419</v>
      </c>
      <c r="AD1423" s="16">
        <f t="shared" si="85"/>
        <v>2119.5434956797535</v>
      </c>
      <c r="AE1423" s="16">
        <f t="shared" si="83"/>
        <v>60.397661860778818</v>
      </c>
      <c r="AF1423" s="16">
        <f>'Gearing Calculator'!$C$17*Braking!AD1423</f>
        <v>3179.3152435196303</v>
      </c>
      <c r="AG1423" s="16">
        <f t="shared" si="84"/>
        <v>-11.943332995941512</v>
      </c>
    </row>
    <row r="1424" spans="29:33" x14ac:dyDescent="0.25">
      <c r="AC1424" s="16">
        <v>1420</v>
      </c>
      <c r="AD1424" s="16">
        <f t="shared" si="85"/>
        <v>2120.0721536048277</v>
      </c>
      <c r="AE1424" s="16">
        <f t="shared" si="83"/>
        <v>60.440225399792759</v>
      </c>
      <c r="AF1424" s="16">
        <f>'Gearing Calculator'!$C$17*Braking!AD1424</f>
        <v>3180.1082304072415</v>
      </c>
      <c r="AG1424" s="16">
        <f t="shared" si="84"/>
        <v>-11.946311909869427</v>
      </c>
    </row>
    <row r="1425" spans="29:33" x14ac:dyDescent="0.25">
      <c r="AC1425" s="16">
        <v>1421</v>
      </c>
      <c r="AD1425" s="16">
        <f t="shared" si="85"/>
        <v>2120.6008115299014</v>
      </c>
      <c r="AE1425" s="16">
        <f t="shared" si="83"/>
        <v>60.482788938806699</v>
      </c>
      <c r="AF1425" s="16">
        <f>'Gearing Calculator'!$C$17*Braking!AD1425</f>
        <v>3180.9012172948524</v>
      </c>
      <c r="AG1425" s="16">
        <f t="shared" si="84"/>
        <v>-11.949290823797343</v>
      </c>
    </row>
    <row r="1426" spans="29:33" x14ac:dyDescent="0.25">
      <c r="AC1426" s="16">
        <v>1422</v>
      </c>
      <c r="AD1426" s="16">
        <f t="shared" si="85"/>
        <v>2121.1294694549752</v>
      </c>
      <c r="AE1426" s="16">
        <f t="shared" si="83"/>
        <v>60.52535247782064</v>
      </c>
      <c r="AF1426" s="16">
        <f>'Gearing Calculator'!$C$17*Braking!AD1426</f>
        <v>3181.6942041824627</v>
      </c>
      <c r="AG1426" s="16">
        <f t="shared" si="84"/>
        <v>-11.952269737725254</v>
      </c>
    </row>
    <row r="1427" spans="29:33" x14ac:dyDescent="0.25">
      <c r="AC1427" s="16">
        <v>1423</v>
      </c>
      <c r="AD1427" s="16">
        <f t="shared" si="85"/>
        <v>2121.6581273800489</v>
      </c>
      <c r="AE1427" s="16">
        <f t="shared" si="83"/>
        <v>60.56791601683458</v>
      </c>
      <c r="AF1427" s="16">
        <f>'Gearing Calculator'!$C$17*Braking!AD1427</f>
        <v>3182.4871910700731</v>
      </c>
      <c r="AG1427" s="16">
        <f t="shared" si="84"/>
        <v>-11.955248651653168</v>
      </c>
    </row>
    <row r="1428" spans="29:33" x14ac:dyDescent="0.25">
      <c r="AC1428" s="16">
        <v>1424</v>
      </c>
      <c r="AD1428" s="16">
        <f t="shared" si="85"/>
        <v>2122.1867853051226</v>
      </c>
      <c r="AE1428" s="16">
        <f t="shared" si="83"/>
        <v>60.610479555848521</v>
      </c>
      <c r="AF1428" s="16">
        <f>'Gearing Calculator'!$C$17*Braking!AD1428</f>
        <v>3183.2801779576839</v>
      </c>
      <c r="AG1428" s="16">
        <f t="shared" si="84"/>
        <v>-11.958227565581081</v>
      </c>
    </row>
    <row r="1429" spans="29:33" x14ac:dyDescent="0.25">
      <c r="AC1429" s="16">
        <v>1425</v>
      </c>
      <c r="AD1429" s="16">
        <f t="shared" si="85"/>
        <v>2122.7154432301968</v>
      </c>
      <c r="AE1429" s="16">
        <f t="shared" si="83"/>
        <v>60.653043094862454</v>
      </c>
      <c r="AF1429" s="16">
        <f>'Gearing Calculator'!$C$17*Braking!AD1429</f>
        <v>3184.0731648452952</v>
      </c>
      <c r="AG1429" s="16">
        <f t="shared" si="84"/>
        <v>-11.961206479508999</v>
      </c>
    </row>
    <row r="1430" spans="29:33" x14ac:dyDescent="0.25">
      <c r="AC1430" s="16">
        <v>1426</v>
      </c>
      <c r="AD1430" s="16">
        <f t="shared" si="85"/>
        <v>2123.2441011552705</v>
      </c>
      <c r="AE1430" s="16">
        <f t="shared" si="83"/>
        <v>60.695606633876388</v>
      </c>
      <c r="AF1430" s="16">
        <f>'Gearing Calculator'!$C$17*Braking!AD1430</f>
        <v>3184.8661517329056</v>
      </c>
      <c r="AG1430" s="16">
        <f t="shared" si="84"/>
        <v>-11.96418539343691</v>
      </c>
    </row>
    <row r="1431" spans="29:33" x14ac:dyDescent="0.25">
      <c r="AC1431" s="16">
        <v>1427</v>
      </c>
      <c r="AD1431" s="16">
        <f t="shared" si="85"/>
        <v>2123.7727590803443</v>
      </c>
      <c r="AE1431" s="16">
        <f t="shared" si="83"/>
        <v>60.738170172890328</v>
      </c>
      <c r="AF1431" s="16">
        <f>'Gearing Calculator'!$C$17*Braking!AD1431</f>
        <v>3185.6591386205164</v>
      </c>
      <c r="AG1431" s="16">
        <f t="shared" si="84"/>
        <v>-11.967164307364826</v>
      </c>
    </row>
    <row r="1432" spans="29:33" x14ac:dyDescent="0.25">
      <c r="AC1432" s="16">
        <v>1428</v>
      </c>
      <c r="AD1432" s="16">
        <f t="shared" si="85"/>
        <v>2124.301417005418</v>
      </c>
      <c r="AE1432" s="16">
        <f t="shared" si="83"/>
        <v>60.780733711904269</v>
      </c>
      <c r="AF1432" s="16">
        <f>'Gearing Calculator'!$C$17*Braking!AD1432</f>
        <v>3186.4521255081272</v>
      </c>
      <c r="AG1432" s="16">
        <f t="shared" si="84"/>
        <v>-11.970143221292739</v>
      </c>
    </row>
    <row r="1433" spans="29:33" x14ac:dyDescent="0.25">
      <c r="AC1433" s="16">
        <v>1429</v>
      </c>
      <c r="AD1433" s="16">
        <f t="shared" si="85"/>
        <v>2124.8300749304917</v>
      </c>
      <c r="AE1433" s="16">
        <f t="shared" si="83"/>
        <v>60.823297250918209</v>
      </c>
      <c r="AF1433" s="16">
        <f>'Gearing Calculator'!$C$17*Braking!AD1433</f>
        <v>3187.2451123957376</v>
      </c>
      <c r="AG1433" s="16">
        <f t="shared" si="84"/>
        <v>-11.973122135220652</v>
      </c>
    </row>
    <row r="1434" spans="29:33" x14ac:dyDescent="0.25">
      <c r="AC1434" s="16">
        <v>1430</v>
      </c>
      <c r="AD1434" s="16">
        <f t="shared" si="85"/>
        <v>2125.3587328555659</v>
      </c>
      <c r="AE1434" s="16">
        <f t="shared" si="83"/>
        <v>60.86586078993215</v>
      </c>
      <c r="AF1434" s="16">
        <f>'Gearing Calculator'!$C$17*Braking!AD1434</f>
        <v>3188.0380992833489</v>
      </c>
      <c r="AG1434" s="16">
        <f t="shared" si="84"/>
        <v>-11.97610104914857</v>
      </c>
    </row>
    <row r="1435" spans="29:33" x14ac:dyDescent="0.25">
      <c r="AC1435" s="16">
        <v>1431</v>
      </c>
      <c r="AD1435" s="16">
        <f t="shared" si="85"/>
        <v>2125.8873907806396</v>
      </c>
      <c r="AE1435" s="16">
        <f t="shared" si="83"/>
        <v>60.90842432894609</v>
      </c>
      <c r="AF1435" s="16">
        <f>'Gearing Calculator'!$C$17*Braking!AD1435</f>
        <v>3188.8310861709597</v>
      </c>
      <c r="AG1435" s="16">
        <f t="shared" si="84"/>
        <v>-11.979079963076483</v>
      </c>
    </row>
    <row r="1436" spans="29:33" x14ac:dyDescent="0.25">
      <c r="AC1436" s="16">
        <v>1432</v>
      </c>
      <c r="AD1436" s="16">
        <f t="shared" si="85"/>
        <v>2126.4160487057134</v>
      </c>
      <c r="AE1436" s="16">
        <f t="shared" si="83"/>
        <v>60.950987867960023</v>
      </c>
      <c r="AF1436" s="16">
        <f>'Gearing Calculator'!$C$17*Braking!AD1436</f>
        <v>3189.62407305857</v>
      </c>
      <c r="AG1436" s="16">
        <f t="shared" si="84"/>
        <v>-11.982058877004397</v>
      </c>
    </row>
    <row r="1437" spans="29:33" x14ac:dyDescent="0.25">
      <c r="AC1437" s="16">
        <v>1433</v>
      </c>
      <c r="AD1437" s="16">
        <f t="shared" si="85"/>
        <v>2126.9447066307871</v>
      </c>
      <c r="AE1437" s="16">
        <f t="shared" si="83"/>
        <v>60.993551406973964</v>
      </c>
      <c r="AF1437" s="16">
        <f>'Gearing Calculator'!$C$17*Braking!AD1437</f>
        <v>3190.4170599461804</v>
      </c>
      <c r="AG1437" s="16">
        <f t="shared" si="84"/>
        <v>-11.985037790932308</v>
      </c>
    </row>
    <row r="1438" spans="29:33" x14ac:dyDescent="0.25">
      <c r="AC1438" s="16">
        <v>1434</v>
      </c>
      <c r="AD1438" s="16">
        <f t="shared" si="85"/>
        <v>2127.4733645558608</v>
      </c>
      <c r="AE1438" s="16">
        <f t="shared" si="83"/>
        <v>61.036114945987897</v>
      </c>
      <c r="AF1438" s="16">
        <f>'Gearing Calculator'!$C$17*Braking!AD1438</f>
        <v>3191.2100468337912</v>
      </c>
      <c r="AG1438" s="16">
        <f t="shared" si="84"/>
        <v>-11.988016704860224</v>
      </c>
    </row>
    <row r="1439" spans="29:33" x14ac:dyDescent="0.25">
      <c r="AC1439" s="16">
        <v>1435</v>
      </c>
      <c r="AD1439" s="16">
        <f t="shared" si="85"/>
        <v>2128.002022480935</v>
      </c>
      <c r="AE1439" s="16">
        <f t="shared" si="83"/>
        <v>61.078678485001838</v>
      </c>
      <c r="AF1439" s="16">
        <f>'Gearing Calculator'!$C$17*Braking!AD1439</f>
        <v>3192.0030337214025</v>
      </c>
      <c r="AG1439" s="16">
        <f t="shared" si="84"/>
        <v>-11.990995618788139</v>
      </c>
    </row>
    <row r="1440" spans="29:33" x14ac:dyDescent="0.25">
      <c r="AC1440" s="16">
        <v>1436</v>
      </c>
      <c r="AD1440" s="16">
        <f t="shared" si="85"/>
        <v>2128.5306804060087</v>
      </c>
      <c r="AE1440" s="16">
        <f t="shared" si="83"/>
        <v>61.121242024015778</v>
      </c>
      <c r="AF1440" s="16">
        <f>'Gearing Calculator'!$C$17*Braking!AD1440</f>
        <v>3192.7960206090129</v>
      </c>
      <c r="AG1440" s="16">
        <f t="shared" si="84"/>
        <v>-11.993974532716052</v>
      </c>
    </row>
    <row r="1441" spans="29:33" x14ac:dyDescent="0.25">
      <c r="AC1441" s="16">
        <v>1437</v>
      </c>
      <c r="AD1441" s="16">
        <f t="shared" si="85"/>
        <v>2129.0593383310825</v>
      </c>
      <c r="AE1441" s="16">
        <f t="shared" si="83"/>
        <v>61.163805563029719</v>
      </c>
      <c r="AF1441" s="16">
        <f>'Gearing Calculator'!$C$17*Braking!AD1441</f>
        <v>3193.5890074966237</v>
      </c>
      <c r="AG1441" s="16">
        <f t="shared" si="84"/>
        <v>-11.996953446643966</v>
      </c>
    </row>
    <row r="1442" spans="29:33" x14ac:dyDescent="0.25">
      <c r="AC1442" s="16">
        <v>1438</v>
      </c>
      <c r="AD1442" s="16">
        <f t="shared" si="85"/>
        <v>2129.5879962561562</v>
      </c>
      <c r="AE1442" s="16">
        <f t="shared" si="83"/>
        <v>61.206369102043659</v>
      </c>
      <c r="AF1442" s="16">
        <f>'Gearing Calculator'!$C$17*Braking!AD1442</f>
        <v>3194.3819943842345</v>
      </c>
      <c r="AG1442" s="16">
        <f t="shared" si="84"/>
        <v>-11.999932360571881</v>
      </c>
    </row>
    <row r="1443" spans="29:33" x14ac:dyDescent="0.25">
      <c r="AC1443" s="16">
        <v>1439</v>
      </c>
      <c r="AD1443" s="16">
        <f t="shared" si="85"/>
        <v>2130.1166541812299</v>
      </c>
      <c r="AE1443" s="16">
        <f t="shared" si="83"/>
        <v>61.248932641057593</v>
      </c>
      <c r="AF1443" s="16">
        <f>'Gearing Calculator'!$C$17*Braking!AD1443</f>
        <v>3195.1749812718449</v>
      </c>
      <c r="AG1443" s="16">
        <f t="shared" si="84"/>
        <v>-12.002911274499793</v>
      </c>
    </row>
    <row r="1444" spans="29:33" x14ac:dyDescent="0.25">
      <c r="AC1444" s="16">
        <v>1440</v>
      </c>
      <c r="AD1444" s="16">
        <f t="shared" si="85"/>
        <v>2130.6453121063041</v>
      </c>
      <c r="AE1444" s="16">
        <f t="shared" si="83"/>
        <v>61.291496180071533</v>
      </c>
      <c r="AF1444" s="16">
        <f>'Gearing Calculator'!$C$17*Braking!AD1444</f>
        <v>3195.9679681594562</v>
      </c>
      <c r="AG1444" s="16">
        <f t="shared" si="84"/>
        <v>-12.00589018842771</v>
      </c>
    </row>
    <row r="1445" spans="29:33" x14ac:dyDescent="0.25">
      <c r="AC1445" s="16">
        <v>1441</v>
      </c>
      <c r="AD1445" s="16">
        <f t="shared" si="85"/>
        <v>2131.1739700313778</v>
      </c>
      <c r="AE1445" s="16">
        <f t="shared" si="83"/>
        <v>61.334059719085467</v>
      </c>
      <c r="AF1445" s="16">
        <f>'Gearing Calculator'!$C$17*Braking!AD1445</f>
        <v>3196.760955047067</v>
      </c>
      <c r="AG1445" s="16">
        <f t="shared" si="84"/>
        <v>-12.008869102355623</v>
      </c>
    </row>
    <row r="1446" spans="29:33" x14ac:dyDescent="0.25">
      <c r="AC1446" s="16">
        <v>1442</v>
      </c>
      <c r="AD1446" s="16">
        <f t="shared" si="85"/>
        <v>2131.7026279564516</v>
      </c>
      <c r="AE1446" s="16">
        <f t="shared" si="83"/>
        <v>61.376623258099407</v>
      </c>
      <c r="AF1446" s="16">
        <f>'Gearing Calculator'!$C$17*Braking!AD1446</f>
        <v>3197.5539419346774</v>
      </c>
      <c r="AG1446" s="16">
        <f t="shared" si="84"/>
        <v>-12.011848016283537</v>
      </c>
    </row>
    <row r="1447" spans="29:33" x14ac:dyDescent="0.25">
      <c r="AC1447" s="16">
        <v>1443</v>
      </c>
      <c r="AD1447" s="16">
        <f t="shared" si="85"/>
        <v>2132.2312858815253</v>
      </c>
      <c r="AE1447" s="16">
        <f t="shared" si="83"/>
        <v>61.419186797113348</v>
      </c>
      <c r="AF1447" s="16">
        <f>'Gearing Calculator'!$C$17*Braking!AD1447</f>
        <v>3198.3469288222877</v>
      </c>
      <c r="AG1447" s="16">
        <f t="shared" si="84"/>
        <v>-12.01482693021145</v>
      </c>
    </row>
    <row r="1448" spans="29:33" x14ac:dyDescent="0.25">
      <c r="AC1448" s="16">
        <v>1444</v>
      </c>
      <c r="AD1448" s="16">
        <f t="shared" si="85"/>
        <v>2132.759943806599</v>
      </c>
      <c r="AE1448" s="16">
        <f t="shared" si="83"/>
        <v>61.461750336127288</v>
      </c>
      <c r="AF1448" s="16">
        <f>'Gearing Calculator'!$C$17*Braking!AD1448</f>
        <v>3199.1399157098986</v>
      </c>
      <c r="AG1448" s="16">
        <f t="shared" si="84"/>
        <v>-12.017805844139364</v>
      </c>
    </row>
    <row r="1449" spans="29:33" x14ac:dyDescent="0.25">
      <c r="AC1449" s="16">
        <v>1445</v>
      </c>
      <c r="AD1449" s="16">
        <f t="shared" si="85"/>
        <v>2133.2886017316732</v>
      </c>
      <c r="AE1449" s="16">
        <f t="shared" si="83"/>
        <v>61.504313875141229</v>
      </c>
      <c r="AF1449" s="16">
        <f>'Gearing Calculator'!$C$17*Braking!AD1449</f>
        <v>3199.9329025975098</v>
      </c>
      <c r="AG1449" s="16">
        <f t="shared" si="84"/>
        <v>-12.020784758067281</v>
      </c>
    </row>
    <row r="1450" spans="29:33" x14ac:dyDescent="0.25">
      <c r="AC1450" s="16">
        <v>1446</v>
      </c>
      <c r="AD1450" s="16">
        <f t="shared" si="85"/>
        <v>2133.817259656747</v>
      </c>
      <c r="AE1450" s="16">
        <f t="shared" si="83"/>
        <v>61.546877414155162</v>
      </c>
      <c r="AF1450" s="16">
        <f>'Gearing Calculator'!$C$17*Braking!AD1450</f>
        <v>3200.7258894851202</v>
      </c>
      <c r="AG1450" s="16">
        <f t="shared" si="84"/>
        <v>-12.023763671995193</v>
      </c>
    </row>
    <row r="1451" spans="29:33" x14ac:dyDescent="0.25">
      <c r="AC1451" s="16">
        <v>1447</v>
      </c>
      <c r="AD1451" s="16">
        <f t="shared" si="85"/>
        <v>2134.3459175818207</v>
      </c>
      <c r="AE1451" s="16">
        <f t="shared" si="83"/>
        <v>61.589440953169102</v>
      </c>
      <c r="AF1451" s="16">
        <f>'Gearing Calculator'!$C$17*Braking!AD1451</f>
        <v>3201.518876372731</v>
      </c>
      <c r="AG1451" s="16">
        <f t="shared" si="84"/>
        <v>-12.026742585923108</v>
      </c>
    </row>
    <row r="1452" spans="29:33" x14ac:dyDescent="0.25">
      <c r="AC1452" s="16">
        <v>1448</v>
      </c>
      <c r="AD1452" s="16">
        <f t="shared" si="85"/>
        <v>2134.8745755068944</v>
      </c>
      <c r="AE1452" s="16">
        <f t="shared" si="83"/>
        <v>61.632004492183036</v>
      </c>
      <c r="AF1452" s="16">
        <f>'Gearing Calculator'!$C$17*Braking!AD1452</f>
        <v>3202.3118632603419</v>
      </c>
      <c r="AG1452" s="16">
        <f t="shared" si="84"/>
        <v>-12.029721499851021</v>
      </c>
    </row>
    <row r="1453" spans="29:33" x14ac:dyDescent="0.25">
      <c r="AC1453" s="16">
        <v>1449</v>
      </c>
      <c r="AD1453" s="16">
        <f t="shared" si="85"/>
        <v>2135.4032334319681</v>
      </c>
      <c r="AE1453" s="16">
        <f t="shared" si="83"/>
        <v>61.674568031196976</v>
      </c>
      <c r="AF1453" s="16">
        <f>'Gearing Calculator'!$C$17*Braking!AD1453</f>
        <v>3203.1048501479522</v>
      </c>
      <c r="AG1453" s="16">
        <f t="shared" si="84"/>
        <v>-12.032700413778935</v>
      </c>
    </row>
    <row r="1454" spans="29:33" x14ac:dyDescent="0.25">
      <c r="AC1454" s="16">
        <v>1450</v>
      </c>
      <c r="AD1454" s="16">
        <f t="shared" si="85"/>
        <v>2135.9318913570423</v>
      </c>
      <c r="AE1454" s="16">
        <f t="shared" si="83"/>
        <v>61.717131570210917</v>
      </c>
      <c r="AF1454" s="16">
        <f>'Gearing Calculator'!$C$17*Braking!AD1454</f>
        <v>3203.8978370355635</v>
      </c>
      <c r="AG1454" s="16">
        <f t="shared" si="84"/>
        <v>-12.03567932770685</v>
      </c>
    </row>
    <row r="1455" spans="29:33" x14ac:dyDescent="0.25">
      <c r="AC1455" s="16">
        <v>1451</v>
      </c>
      <c r="AD1455" s="16">
        <f t="shared" si="85"/>
        <v>2136.4605492821161</v>
      </c>
      <c r="AE1455" s="16">
        <f t="shared" si="83"/>
        <v>61.759695109224857</v>
      </c>
      <c r="AF1455" s="16">
        <f>'Gearing Calculator'!$C$17*Braking!AD1455</f>
        <v>3204.6908239231743</v>
      </c>
      <c r="AG1455" s="16">
        <f t="shared" si="84"/>
        <v>-12.038658241634765</v>
      </c>
    </row>
    <row r="1456" spans="29:33" x14ac:dyDescent="0.25">
      <c r="AC1456" s="16">
        <v>1452</v>
      </c>
      <c r="AD1456" s="16">
        <f t="shared" si="85"/>
        <v>2136.9892072071898</v>
      </c>
      <c r="AE1456" s="16">
        <f t="shared" si="83"/>
        <v>61.802258648238798</v>
      </c>
      <c r="AF1456" s="16">
        <f>'Gearing Calculator'!$C$17*Braking!AD1456</f>
        <v>3205.4838108107847</v>
      </c>
      <c r="AG1456" s="16">
        <f t="shared" si="84"/>
        <v>-12.041637155562677</v>
      </c>
    </row>
    <row r="1457" spans="29:33" x14ac:dyDescent="0.25">
      <c r="AC1457" s="16">
        <v>1453</v>
      </c>
      <c r="AD1457" s="16">
        <f t="shared" si="85"/>
        <v>2137.5178651322635</v>
      </c>
      <c r="AE1457" s="16">
        <f t="shared" si="83"/>
        <v>61.844822187252731</v>
      </c>
      <c r="AF1457" s="16">
        <f>'Gearing Calculator'!$C$17*Braking!AD1457</f>
        <v>3206.2767976983951</v>
      </c>
      <c r="AG1457" s="16">
        <f t="shared" si="84"/>
        <v>-12.044616069490591</v>
      </c>
    </row>
    <row r="1458" spans="29:33" x14ac:dyDescent="0.25">
      <c r="AC1458" s="16">
        <v>1454</v>
      </c>
      <c r="AD1458" s="16">
        <f t="shared" si="85"/>
        <v>2138.0465230573373</v>
      </c>
      <c r="AE1458" s="16">
        <f t="shared" si="83"/>
        <v>61.887385726266672</v>
      </c>
      <c r="AF1458" s="16">
        <f>'Gearing Calculator'!$C$17*Braking!AD1458</f>
        <v>3207.0697845860059</v>
      </c>
      <c r="AG1458" s="16">
        <f t="shared" si="84"/>
        <v>-12.047594983418504</v>
      </c>
    </row>
    <row r="1459" spans="29:33" x14ac:dyDescent="0.25">
      <c r="AC1459" s="16">
        <v>1455</v>
      </c>
      <c r="AD1459" s="16">
        <f t="shared" si="85"/>
        <v>2138.5751809824114</v>
      </c>
      <c r="AE1459" s="16">
        <f t="shared" si="83"/>
        <v>61.929949265280612</v>
      </c>
      <c r="AF1459" s="16">
        <f>'Gearing Calculator'!$C$17*Braking!AD1459</f>
        <v>3207.8627714736172</v>
      </c>
      <c r="AG1459" s="16">
        <f t="shared" si="84"/>
        <v>-12.050573897346421</v>
      </c>
    </row>
    <row r="1460" spans="29:33" x14ac:dyDescent="0.25">
      <c r="AC1460" s="16">
        <v>1456</v>
      </c>
      <c r="AD1460" s="16">
        <f t="shared" si="85"/>
        <v>2139.1038389074852</v>
      </c>
      <c r="AE1460" s="16">
        <f t="shared" si="83"/>
        <v>61.972512804294546</v>
      </c>
      <c r="AF1460" s="16">
        <f>'Gearing Calculator'!$C$17*Braking!AD1460</f>
        <v>3208.6557583612275</v>
      </c>
      <c r="AG1460" s="16">
        <f t="shared" si="84"/>
        <v>-12.053552811274335</v>
      </c>
    </row>
    <row r="1461" spans="29:33" x14ac:dyDescent="0.25">
      <c r="AC1461" s="16">
        <v>1457</v>
      </c>
      <c r="AD1461" s="16">
        <f t="shared" si="85"/>
        <v>2139.6324968325589</v>
      </c>
      <c r="AE1461" s="16">
        <f t="shared" si="83"/>
        <v>62.015076343308486</v>
      </c>
      <c r="AF1461" s="16">
        <f>'Gearing Calculator'!$C$17*Braking!AD1461</f>
        <v>3209.4487452488383</v>
      </c>
      <c r="AG1461" s="16">
        <f t="shared" si="84"/>
        <v>-12.056531725202248</v>
      </c>
    </row>
    <row r="1462" spans="29:33" x14ac:dyDescent="0.25">
      <c r="AC1462" s="16">
        <v>1458</v>
      </c>
      <c r="AD1462" s="16">
        <f t="shared" si="85"/>
        <v>2140.1611547576326</v>
      </c>
      <c r="AE1462" s="16">
        <f t="shared" si="83"/>
        <v>62.057639882322427</v>
      </c>
      <c r="AF1462" s="16">
        <f>'Gearing Calculator'!$C$17*Braking!AD1462</f>
        <v>3210.2417321364492</v>
      </c>
      <c r="AG1462" s="16">
        <f t="shared" si="84"/>
        <v>-12.059510639130163</v>
      </c>
    </row>
    <row r="1463" spans="29:33" x14ac:dyDescent="0.25">
      <c r="AC1463" s="16">
        <v>1459</v>
      </c>
      <c r="AD1463" s="16">
        <f t="shared" si="85"/>
        <v>2140.6898126827064</v>
      </c>
      <c r="AE1463" s="16">
        <f t="shared" si="83"/>
        <v>62.100203421336367</v>
      </c>
      <c r="AF1463" s="16">
        <f>'Gearing Calculator'!$C$17*Braking!AD1463</f>
        <v>3211.0347190240595</v>
      </c>
      <c r="AG1463" s="16">
        <f t="shared" si="84"/>
        <v>-12.062489553058075</v>
      </c>
    </row>
    <row r="1464" spans="29:33" x14ac:dyDescent="0.25">
      <c r="AC1464" s="16">
        <v>1460</v>
      </c>
      <c r="AD1464" s="16">
        <f t="shared" si="85"/>
        <v>2141.2184706077805</v>
      </c>
      <c r="AE1464" s="16">
        <f t="shared" si="83"/>
        <v>62.142766960350301</v>
      </c>
      <c r="AF1464" s="16">
        <f>'Gearing Calculator'!$C$17*Braking!AD1464</f>
        <v>3211.8277059116708</v>
      </c>
      <c r="AG1464" s="16">
        <f t="shared" si="84"/>
        <v>-12.065468466985992</v>
      </c>
    </row>
    <row r="1465" spans="29:33" x14ac:dyDescent="0.25">
      <c r="AC1465" s="16">
        <v>1461</v>
      </c>
      <c r="AD1465" s="16">
        <f t="shared" si="85"/>
        <v>2141.7471285328543</v>
      </c>
      <c r="AE1465" s="16">
        <f t="shared" si="83"/>
        <v>62.185330499364241</v>
      </c>
      <c r="AF1465" s="16">
        <f>'Gearing Calculator'!$C$17*Braking!AD1465</f>
        <v>3212.6206927992816</v>
      </c>
      <c r="AG1465" s="16">
        <f t="shared" si="84"/>
        <v>-12.068447380913906</v>
      </c>
    </row>
    <row r="1466" spans="29:33" x14ac:dyDescent="0.25">
      <c r="AC1466" s="16">
        <v>1462</v>
      </c>
      <c r="AD1466" s="16">
        <f t="shared" si="85"/>
        <v>2142.275786457928</v>
      </c>
      <c r="AE1466" s="16">
        <f t="shared" si="83"/>
        <v>62.227894038378182</v>
      </c>
      <c r="AF1466" s="16">
        <f>'Gearing Calculator'!$C$17*Braking!AD1466</f>
        <v>3213.413679686892</v>
      </c>
      <c r="AG1466" s="16">
        <f t="shared" si="84"/>
        <v>-12.071426294841819</v>
      </c>
    </row>
    <row r="1467" spans="29:33" x14ac:dyDescent="0.25">
      <c r="AC1467" s="16">
        <v>1463</v>
      </c>
      <c r="AD1467" s="16">
        <f t="shared" si="85"/>
        <v>2142.8044443830017</v>
      </c>
      <c r="AE1467" s="16">
        <f t="shared" si="83"/>
        <v>62.270457577392115</v>
      </c>
      <c r="AF1467" s="16">
        <f>'Gearing Calculator'!$C$17*Braking!AD1467</f>
        <v>3214.2066665745024</v>
      </c>
      <c r="AG1467" s="16">
        <f t="shared" si="84"/>
        <v>-12.074405208769731</v>
      </c>
    </row>
    <row r="1468" spans="29:33" x14ac:dyDescent="0.25">
      <c r="AC1468" s="16">
        <v>1464</v>
      </c>
      <c r="AD1468" s="16">
        <f t="shared" si="85"/>
        <v>2143.3331023080755</v>
      </c>
      <c r="AE1468" s="16">
        <f t="shared" si="83"/>
        <v>62.313021116406055</v>
      </c>
      <c r="AF1468" s="16">
        <f>'Gearing Calculator'!$C$17*Braking!AD1468</f>
        <v>3214.9996534621132</v>
      </c>
      <c r="AG1468" s="16">
        <f t="shared" si="84"/>
        <v>-12.077384122697646</v>
      </c>
    </row>
    <row r="1469" spans="29:33" x14ac:dyDescent="0.25">
      <c r="AC1469" s="16">
        <v>1465</v>
      </c>
      <c r="AD1469" s="16">
        <f t="shared" si="85"/>
        <v>2143.8617602331497</v>
      </c>
      <c r="AE1469" s="16">
        <f t="shared" si="83"/>
        <v>62.355584655419996</v>
      </c>
      <c r="AF1469" s="16">
        <f>'Gearing Calculator'!$C$17*Braking!AD1469</f>
        <v>3215.7926403497245</v>
      </c>
      <c r="AG1469" s="16">
        <f t="shared" si="84"/>
        <v>-12.080363036625561</v>
      </c>
    </row>
    <row r="1470" spans="29:33" x14ac:dyDescent="0.25">
      <c r="AC1470" s="16">
        <v>1466</v>
      </c>
      <c r="AD1470" s="16">
        <f t="shared" si="85"/>
        <v>2144.3904181582234</v>
      </c>
      <c r="AE1470" s="16">
        <f t="shared" si="83"/>
        <v>62.398148194433936</v>
      </c>
      <c r="AF1470" s="16">
        <f>'Gearing Calculator'!$C$17*Braking!AD1470</f>
        <v>3216.5856272373348</v>
      </c>
      <c r="AG1470" s="16">
        <f t="shared" si="84"/>
        <v>-12.083341950553475</v>
      </c>
    </row>
    <row r="1471" spans="29:33" x14ac:dyDescent="0.25">
      <c r="AC1471" s="16">
        <v>1467</v>
      </c>
      <c r="AD1471" s="16">
        <f t="shared" si="85"/>
        <v>2144.9190760832971</v>
      </c>
      <c r="AE1471" s="16">
        <f t="shared" ref="AE1471:AE1534" si="86">(AC1471/$X$104)*100</f>
        <v>62.44071173344787</v>
      </c>
      <c r="AF1471" s="16">
        <f>'Gearing Calculator'!$C$17*Braking!AD1471</f>
        <v>3217.3786141249457</v>
      </c>
      <c r="AG1471" s="16">
        <f t="shared" si="84"/>
        <v>-12.086320864481388</v>
      </c>
    </row>
    <row r="1472" spans="29:33" x14ac:dyDescent="0.25">
      <c r="AC1472" s="16">
        <v>1468</v>
      </c>
      <c r="AD1472" s="16">
        <f t="shared" si="85"/>
        <v>2145.4477340083708</v>
      </c>
      <c r="AE1472" s="16">
        <f t="shared" si="86"/>
        <v>62.48327527246181</v>
      </c>
      <c r="AF1472" s="16">
        <f>'Gearing Calculator'!$C$17*Braking!AD1472</f>
        <v>3218.1716010125565</v>
      </c>
      <c r="AG1472" s="16">
        <f t="shared" si="84"/>
        <v>-12.089299778409304</v>
      </c>
    </row>
    <row r="1473" spans="29:33" x14ac:dyDescent="0.25">
      <c r="AC1473" s="16">
        <v>1469</v>
      </c>
      <c r="AD1473" s="16">
        <f t="shared" si="85"/>
        <v>2145.9763919334446</v>
      </c>
      <c r="AE1473" s="16">
        <f t="shared" si="86"/>
        <v>62.525838811475751</v>
      </c>
      <c r="AF1473" s="16">
        <f>'Gearing Calculator'!$C$17*Braking!AD1473</f>
        <v>3218.9645879001669</v>
      </c>
      <c r="AG1473" s="16">
        <f t="shared" si="84"/>
        <v>-12.092278692337217</v>
      </c>
    </row>
    <row r="1474" spans="29:33" x14ac:dyDescent="0.25">
      <c r="AC1474" s="16">
        <v>1470</v>
      </c>
      <c r="AD1474" s="16">
        <f t="shared" si="85"/>
        <v>2146.5050498585188</v>
      </c>
      <c r="AE1474" s="16">
        <f t="shared" si="86"/>
        <v>62.568402350489691</v>
      </c>
      <c r="AF1474" s="16">
        <f>'Gearing Calculator'!$C$17*Braking!AD1474</f>
        <v>3219.7575747877781</v>
      </c>
      <c r="AG1474" s="16">
        <f t="shared" si="84"/>
        <v>-12.095257606265132</v>
      </c>
    </row>
    <row r="1475" spans="29:33" x14ac:dyDescent="0.25">
      <c r="AC1475" s="16">
        <v>1471</v>
      </c>
      <c r="AD1475" s="16">
        <f t="shared" si="85"/>
        <v>2147.0337077835925</v>
      </c>
      <c r="AE1475" s="16">
        <f t="shared" si="86"/>
        <v>62.610965889503625</v>
      </c>
      <c r="AF1475" s="16">
        <f>'Gearing Calculator'!$C$17*Braking!AD1475</f>
        <v>3220.550561675389</v>
      </c>
      <c r="AG1475" s="16">
        <f t="shared" si="84"/>
        <v>-12.098236520193048</v>
      </c>
    </row>
    <row r="1476" spans="29:33" x14ac:dyDescent="0.25">
      <c r="AC1476" s="16">
        <v>1472</v>
      </c>
      <c r="AD1476" s="16">
        <f t="shared" si="85"/>
        <v>2147.5623657086662</v>
      </c>
      <c r="AE1476" s="16">
        <f t="shared" si="86"/>
        <v>62.653529428517565</v>
      </c>
      <c r="AF1476" s="16">
        <f>'Gearing Calculator'!$C$17*Braking!AD1476</f>
        <v>3221.3435485629993</v>
      </c>
      <c r="AG1476" s="16">
        <f t="shared" si="84"/>
        <v>-12.101215434120959</v>
      </c>
    </row>
    <row r="1477" spans="29:33" x14ac:dyDescent="0.25">
      <c r="AC1477" s="16">
        <v>1473</v>
      </c>
      <c r="AD1477" s="16">
        <f t="shared" si="85"/>
        <v>2148.09102363374</v>
      </c>
      <c r="AE1477" s="16">
        <f t="shared" si="86"/>
        <v>62.696092967531506</v>
      </c>
      <c r="AF1477" s="16">
        <f>'Gearing Calculator'!$C$17*Braking!AD1477</f>
        <v>3222.1365354506097</v>
      </c>
      <c r="AG1477" s="16">
        <f t="shared" si="84"/>
        <v>-12.104194348048873</v>
      </c>
    </row>
    <row r="1478" spans="29:33" x14ac:dyDescent="0.25">
      <c r="AC1478" s="16">
        <v>1474</v>
      </c>
      <c r="AD1478" s="16">
        <f t="shared" si="85"/>
        <v>2148.6196815588137</v>
      </c>
      <c r="AE1478" s="16">
        <f t="shared" si="86"/>
        <v>62.738656506545439</v>
      </c>
      <c r="AF1478" s="16">
        <f>'Gearing Calculator'!$C$17*Braking!AD1478</f>
        <v>3222.9295223382205</v>
      </c>
      <c r="AG1478" s="16">
        <f t="shared" ref="AG1478:AG1541" si="87">-(AF1478/$C$3)</f>
        <v>-12.107173261976786</v>
      </c>
    </row>
    <row r="1479" spans="29:33" x14ac:dyDescent="0.25">
      <c r="AC1479" s="16">
        <v>1475</v>
      </c>
      <c r="AD1479" s="16">
        <f t="shared" ref="AD1479:AD1542" si="88">($C$3*$C$4)*($C$9/$C$8)+(AC1479*($C$10/$C$8))</f>
        <v>2149.1483394838879</v>
      </c>
      <c r="AE1479" s="16">
        <f t="shared" si="86"/>
        <v>62.78122004555938</v>
      </c>
      <c r="AF1479" s="16">
        <f>'Gearing Calculator'!$C$17*Braking!AD1479</f>
        <v>3223.7225092258318</v>
      </c>
      <c r="AG1479" s="16">
        <f t="shared" si="87"/>
        <v>-12.110152175904703</v>
      </c>
    </row>
    <row r="1480" spans="29:33" x14ac:dyDescent="0.25">
      <c r="AC1480" s="16">
        <v>1476</v>
      </c>
      <c r="AD1480" s="16">
        <f t="shared" si="88"/>
        <v>2149.6769974089616</v>
      </c>
      <c r="AE1480" s="16">
        <f t="shared" si="86"/>
        <v>62.82378358457332</v>
      </c>
      <c r="AF1480" s="16">
        <f>'Gearing Calculator'!$C$17*Braking!AD1480</f>
        <v>3224.5154961134422</v>
      </c>
      <c r="AG1480" s="16">
        <f t="shared" si="87"/>
        <v>-12.113131089832615</v>
      </c>
    </row>
    <row r="1481" spans="29:33" x14ac:dyDescent="0.25">
      <c r="AC1481" s="16">
        <v>1477</v>
      </c>
      <c r="AD1481" s="16">
        <f t="shared" si="88"/>
        <v>2150.2056553340353</v>
      </c>
      <c r="AE1481" s="16">
        <f t="shared" si="86"/>
        <v>62.866347123587261</v>
      </c>
      <c r="AF1481" s="16">
        <f>'Gearing Calculator'!$C$17*Braking!AD1481</f>
        <v>3225.308483001053</v>
      </c>
      <c r="AG1481" s="16">
        <f t="shared" si="87"/>
        <v>-12.11611000376053</v>
      </c>
    </row>
    <row r="1482" spans="29:33" x14ac:dyDescent="0.25">
      <c r="AC1482" s="16">
        <v>1478</v>
      </c>
      <c r="AD1482" s="16">
        <f t="shared" si="88"/>
        <v>2150.7343132591091</v>
      </c>
      <c r="AE1482" s="16">
        <f t="shared" si="86"/>
        <v>62.908910662601194</v>
      </c>
      <c r="AF1482" s="16">
        <f>'Gearing Calculator'!$C$17*Braking!AD1482</f>
        <v>3226.1014698886638</v>
      </c>
      <c r="AG1482" s="16">
        <f t="shared" si="87"/>
        <v>-12.119088917688444</v>
      </c>
    </row>
    <row r="1483" spans="29:33" x14ac:dyDescent="0.25">
      <c r="AC1483" s="16">
        <v>1479</v>
      </c>
      <c r="AD1483" s="16">
        <f t="shared" si="88"/>
        <v>2151.2629711841828</v>
      </c>
      <c r="AE1483" s="16">
        <f t="shared" si="86"/>
        <v>62.951474201615135</v>
      </c>
      <c r="AF1483" s="16">
        <f>'Gearing Calculator'!$C$17*Braking!AD1483</f>
        <v>3226.8944567762742</v>
      </c>
      <c r="AG1483" s="16">
        <f t="shared" si="87"/>
        <v>-12.122067831616357</v>
      </c>
    </row>
    <row r="1484" spans="29:33" x14ac:dyDescent="0.25">
      <c r="AC1484" s="16">
        <v>1480</v>
      </c>
      <c r="AD1484" s="16">
        <f t="shared" si="88"/>
        <v>2151.791629109257</v>
      </c>
      <c r="AE1484" s="16">
        <f t="shared" si="86"/>
        <v>62.994037740629075</v>
      </c>
      <c r="AF1484" s="16">
        <f>'Gearing Calculator'!$C$17*Braking!AD1484</f>
        <v>3227.6874436638855</v>
      </c>
      <c r="AG1484" s="16">
        <f t="shared" si="87"/>
        <v>-12.125046745544273</v>
      </c>
    </row>
    <row r="1485" spans="29:33" x14ac:dyDescent="0.25">
      <c r="AC1485" s="16">
        <v>1481</v>
      </c>
      <c r="AD1485" s="16">
        <f t="shared" si="88"/>
        <v>2152.3202870343307</v>
      </c>
      <c r="AE1485" s="16">
        <f t="shared" si="86"/>
        <v>63.036601279643008</v>
      </c>
      <c r="AF1485" s="16">
        <f>'Gearing Calculator'!$C$17*Braking!AD1485</f>
        <v>3228.4804305514963</v>
      </c>
      <c r="AG1485" s="16">
        <f t="shared" si="87"/>
        <v>-12.128025659472188</v>
      </c>
    </row>
    <row r="1486" spans="29:33" x14ac:dyDescent="0.25">
      <c r="AC1486" s="16">
        <v>1482</v>
      </c>
      <c r="AD1486" s="16">
        <f t="shared" si="88"/>
        <v>2152.8489449594044</v>
      </c>
      <c r="AE1486" s="16">
        <f t="shared" si="86"/>
        <v>63.079164818656949</v>
      </c>
      <c r="AF1486" s="16">
        <f>'Gearing Calculator'!$C$17*Braking!AD1486</f>
        <v>3229.2734174391067</v>
      </c>
      <c r="AG1486" s="16">
        <f t="shared" si="87"/>
        <v>-12.131004573400102</v>
      </c>
    </row>
    <row r="1487" spans="29:33" x14ac:dyDescent="0.25">
      <c r="AC1487" s="16">
        <v>1483</v>
      </c>
      <c r="AD1487" s="16">
        <f t="shared" si="88"/>
        <v>2153.3776028844782</v>
      </c>
      <c r="AE1487" s="16">
        <f t="shared" si="86"/>
        <v>63.121728357670889</v>
      </c>
      <c r="AF1487" s="16">
        <f>'Gearing Calculator'!$C$17*Braking!AD1487</f>
        <v>3230.066404326717</v>
      </c>
      <c r="AG1487" s="16">
        <f t="shared" si="87"/>
        <v>-12.133983487328013</v>
      </c>
    </row>
    <row r="1488" spans="29:33" x14ac:dyDescent="0.25">
      <c r="AC1488" s="16">
        <v>1484</v>
      </c>
      <c r="AD1488" s="16">
        <f t="shared" si="88"/>
        <v>2153.9062608095519</v>
      </c>
      <c r="AE1488" s="16">
        <f t="shared" si="86"/>
        <v>63.16429189668483</v>
      </c>
      <c r="AF1488" s="16">
        <f>'Gearing Calculator'!$C$17*Braking!AD1488</f>
        <v>3230.8593912143278</v>
      </c>
      <c r="AG1488" s="16">
        <f t="shared" si="87"/>
        <v>-12.136962401255929</v>
      </c>
    </row>
    <row r="1489" spans="29:33" x14ac:dyDescent="0.25">
      <c r="AC1489" s="16">
        <v>1485</v>
      </c>
      <c r="AD1489" s="16">
        <f t="shared" si="88"/>
        <v>2154.4349187346261</v>
      </c>
      <c r="AE1489" s="16">
        <f t="shared" si="86"/>
        <v>63.20685543569877</v>
      </c>
      <c r="AF1489" s="16">
        <f>'Gearing Calculator'!$C$17*Braking!AD1489</f>
        <v>3231.6523781019391</v>
      </c>
      <c r="AG1489" s="16">
        <f t="shared" si="87"/>
        <v>-12.139941315183844</v>
      </c>
    </row>
    <row r="1490" spans="29:33" x14ac:dyDescent="0.25">
      <c r="AC1490" s="16">
        <v>1486</v>
      </c>
      <c r="AD1490" s="16">
        <f t="shared" si="88"/>
        <v>2154.9635766596998</v>
      </c>
      <c r="AE1490" s="16">
        <f t="shared" si="86"/>
        <v>63.249418974712704</v>
      </c>
      <c r="AF1490" s="16">
        <f>'Gearing Calculator'!$C$17*Braking!AD1490</f>
        <v>3232.4453649895495</v>
      </c>
      <c r="AG1490" s="16">
        <f t="shared" si="87"/>
        <v>-12.142920229111757</v>
      </c>
    </row>
    <row r="1491" spans="29:33" x14ac:dyDescent="0.25">
      <c r="AC1491" s="16">
        <v>1487</v>
      </c>
      <c r="AD1491" s="16">
        <f t="shared" si="88"/>
        <v>2155.4922345847735</v>
      </c>
      <c r="AE1491" s="16">
        <f t="shared" si="86"/>
        <v>63.291982513726644</v>
      </c>
      <c r="AF1491" s="16">
        <f>'Gearing Calculator'!$C$17*Braking!AD1491</f>
        <v>3233.2383518771603</v>
      </c>
      <c r="AG1491" s="16">
        <f t="shared" si="87"/>
        <v>-12.145899143039671</v>
      </c>
    </row>
    <row r="1492" spans="29:33" x14ac:dyDescent="0.25">
      <c r="AC1492" s="16">
        <v>1488</v>
      </c>
      <c r="AD1492" s="16">
        <f t="shared" si="88"/>
        <v>2156.0208925098473</v>
      </c>
      <c r="AE1492" s="16">
        <f t="shared" si="86"/>
        <v>63.334546052740578</v>
      </c>
      <c r="AF1492" s="16">
        <f>'Gearing Calculator'!$C$17*Braking!AD1492</f>
        <v>3234.0313387647711</v>
      </c>
      <c r="AG1492" s="16">
        <f t="shared" si="87"/>
        <v>-12.148878056967586</v>
      </c>
    </row>
    <row r="1493" spans="29:33" x14ac:dyDescent="0.25">
      <c r="AC1493" s="16">
        <v>1489</v>
      </c>
      <c r="AD1493" s="16">
        <f t="shared" si="88"/>
        <v>2156.549550434921</v>
      </c>
      <c r="AE1493" s="16">
        <f t="shared" si="86"/>
        <v>63.377109591754518</v>
      </c>
      <c r="AF1493" s="16">
        <f>'Gearing Calculator'!$C$17*Braking!AD1493</f>
        <v>3234.8243256523815</v>
      </c>
      <c r="AG1493" s="16">
        <f t="shared" si="87"/>
        <v>-12.151856970895498</v>
      </c>
    </row>
    <row r="1494" spans="29:33" x14ac:dyDescent="0.25">
      <c r="AC1494" s="16">
        <v>1490</v>
      </c>
      <c r="AD1494" s="16">
        <f t="shared" si="88"/>
        <v>2157.0782083599952</v>
      </c>
      <c r="AE1494" s="16">
        <f t="shared" si="86"/>
        <v>63.419673130768459</v>
      </c>
      <c r="AF1494" s="16">
        <f>'Gearing Calculator'!$C$17*Braking!AD1494</f>
        <v>3235.6173125399928</v>
      </c>
      <c r="AG1494" s="16">
        <f t="shared" si="87"/>
        <v>-12.154835884823415</v>
      </c>
    </row>
    <row r="1495" spans="29:33" x14ac:dyDescent="0.25">
      <c r="AC1495" s="16">
        <v>1491</v>
      </c>
      <c r="AD1495" s="16">
        <f t="shared" si="88"/>
        <v>2157.6068662850689</v>
      </c>
      <c r="AE1495" s="16">
        <f t="shared" si="86"/>
        <v>63.462236669782399</v>
      </c>
      <c r="AF1495" s="16">
        <f>'Gearing Calculator'!$C$17*Braking!AD1495</f>
        <v>3236.4102994276036</v>
      </c>
      <c r="AG1495" s="16">
        <f t="shared" si="87"/>
        <v>-12.157814798751328</v>
      </c>
    </row>
    <row r="1496" spans="29:33" x14ac:dyDescent="0.25">
      <c r="AC1496" s="16">
        <v>1492</v>
      </c>
      <c r="AD1496" s="16">
        <f t="shared" si="88"/>
        <v>2158.1355242101426</v>
      </c>
      <c r="AE1496" s="16">
        <f t="shared" si="86"/>
        <v>63.50480020879634</v>
      </c>
      <c r="AF1496" s="16">
        <f>'Gearing Calculator'!$C$17*Braking!AD1496</f>
        <v>3237.203286315214</v>
      </c>
      <c r="AG1496" s="16">
        <f t="shared" si="87"/>
        <v>-12.160793712679242</v>
      </c>
    </row>
    <row r="1497" spans="29:33" x14ac:dyDescent="0.25">
      <c r="AC1497" s="16">
        <v>1493</v>
      </c>
      <c r="AD1497" s="16">
        <f t="shared" si="88"/>
        <v>2158.6641821352164</v>
      </c>
      <c r="AE1497" s="16">
        <f t="shared" si="86"/>
        <v>63.547363747810273</v>
      </c>
      <c r="AF1497" s="16">
        <f>'Gearing Calculator'!$C$17*Braking!AD1497</f>
        <v>3237.9962732028243</v>
      </c>
      <c r="AG1497" s="16">
        <f t="shared" si="87"/>
        <v>-12.163772626607154</v>
      </c>
    </row>
    <row r="1498" spans="29:33" x14ac:dyDescent="0.25">
      <c r="AC1498" s="16">
        <v>1494</v>
      </c>
      <c r="AD1498" s="16">
        <f t="shared" si="88"/>
        <v>2159.1928400602901</v>
      </c>
      <c r="AE1498" s="16">
        <f t="shared" si="86"/>
        <v>63.589927286824214</v>
      </c>
      <c r="AF1498" s="16">
        <f>'Gearing Calculator'!$C$17*Braking!AD1498</f>
        <v>3238.7892600904352</v>
      </c>
      <c r="AG1498" s="16">
        <f t="shared" si="87"/>
        <v>-12.166751540535069</v>
      </c>
    </row>
    <row r="1499" spans="29:33" x14ac:dyDescent="0.25">
      <c r="AC1499" s="16">
        <v>1495</v>
      </c>
      <c r="AD1499" s="16">
        <f t="shared" si="88"/>
        <v>2159.7214979853643</v>
      </c>
      <c r="AE1499" s="16">
        <f t="shared" si="86"/>
        <v>63.632490825838147</v>
      </c>
      <c r="AF1499" s="16">
        <f>'Gearing Calculator'!$C$17*Braking!AD1499</f>
        <v>3239.5822469780464</v>
      </c>
      <c r="AG1499" s="16">
        <f t="shared" si="87"/>
        <v>-12.169730454462984</v>
      </c>
    </row>
    <row r="1500" spans="29:33" x14ac:dyDescent="0.25">
      <c r="AC1500" s="16">
        <v>1496</v>
      </c>
      <c r="AD1500" s="16">
        <f t="shared" si="88"/>
        <v>2160.250155910438</v>
      </c>
      <c r="AE1500" s="16">
        <f t="shared" si="86"/>
        <v>63.675054364852087</v>
      </c>
      <c r="AF1500" s="16">
        <f>'Gearing Calculator'!$C$17*Braking!AD1500</f>
        <v>3240.3752338656568</v>
      </c>
      <c r="AG1500" s="16">
        <f t="shared" si="87"/>
        <v>-12.172709368390898</v>
      </c>
    </row>
    <row r="1501" spans="29:33" x14ac:dyDescent="0.25">
      <c r="AC1501" s="16">
        <v>1497</v>
      </c>
      <c r="AD1501" s="16">
        <f t="shared" si="88"/>
        <v>2160.7788138355118</v>
      </c>
      <c r="AE1501" s="16">
        <f t="shared" si="86"/>
        <v>63.717617903866028</v>
      </c>
      <c r="AF1501" s="16">
        <f>'Gearing Calculator'!$C$17*Braking!AD1501</f>
        <v>3241.1682207532676</v>
      </c>
      <c r="AG1501" s="16">
        <f t="shared" si="87"/>
        <v>-12.175688282318813</v>
      </c>
    </row>
    <row r="1502" spans="29:33" x14ac:dyDescent="0.25">
      <c r="AC1502" s="16">
        <v>1498</v>
      </c>
      <c r="AD1502" s="16">
        <f t="shared" si="88"/>
        <v>2161.3074717605855</v>
      </c>
      <c r="AE1502" s="16">
        <f t="shared" si="86"/>
        <v>63.760181442879968</v>
      </c>
      <c r="AF1502" s="16">
        <f>'Gearing Calculator'!$C$17*Braking!AD1502</f>
        <v>3241.9612076408785</v>
      </c>
      <c r="AG1502" s="16">
        <f t="shared" si="87"/>
        <v>-12.178667196246726</v>
      </c>
    </row>
    <row r="1503" spans="29:33" x14ac:dyDescent="0.25">
      <c r="AC1503" s="16">
        <v>1499</v>
      </c>
      <c r="AD1503" s="16">
        <f t="shared" si="88"/>
        <v>2161.8361296856592</v>
      </c>
      <c r="AE1503" s="16">
        <f t="shared" si="86"/>
        <v>63.802744981893909</v>
      </c>
      <c r="AF1503" s="16">
        <f>'Gearing Calculator'!$C$17*Braking!AD1503</f>
        <v>3242.7541945284888</v>
      </c>
      <c r="AG1503" s="16">
        <f t="shared" si="87"/>
        <v>-12.18164611017464</v>
      </c>
    </row>
    <row r="1504" spans="29:33" x14ac:dyDescent="0.25">
      <c r="AC1504" s="16">
        <v>1500</v>
      </c>
      <c r="AD1504" s="16">
        <f t="shared" si="88"/>
        <v>2162.3647876107334</v>
      </c>
      <c r="AE1504" s="16">
        <f t="shared" si="86"/>
        <v>63.845308520907849</v>
      </c>
      <c r="AF1504" s="16">
        <f>'Gearing Calculator'!$C$17*Braking!AD1504</f>
        <v>3243.5471814161001</v>
      </c>
      <c r="AG1504" s="16">
        <f t="shared" si="87"/>
        <v>-12.184625024102555</v>
      </c>
    </row>
    <row r="1505" spans="29:33" x14ac:dyDescent="0.25">
      <c r="AC1505" s="16">
        <v>1501</v>
      </c>
      <c r="AD1505" s="16">
        <f t="shared" si="88"/>
        <v>2162.8934455358071</v>
      </c>
      <c r="AE1505" s="16">
        <f t="shared" si="86"/>
        <v>63.887872059921783</v>
      </c>
      <c r="AF1505" s="16">
        <f>'Gearing Calculator'!$C$17*Braking!AD1505</f>
        <v>3244.3401683037109</v>
      </c>
      <c r="AG1505" s="16">
        <f t="shared" si="87"/>
        <v>-12.18760393803047</v>
      </c>
    </row>
    <row r="1506" spans="29:33" x14ac:dyDescent="0.25">
      <c r="AC1506" s="16">
        <v>1502</v>
      </c>
      <c r="AD1506" s="16">
        <f t="shared" si="88"/>
        <v>2163.4221034608809</v>
      </c>
      <c r="AE1506" s="16">
        <f t="shared" si="86"/>
        <v>63.930435598935716</v>
      </c>
      <c r="AF1506" s="16">
        <f>'Gearing Calculator'!$C$17*Braking!AD1506</f>
        <v>3245.1331551913213</v>
      </c>
      <c r="AG1506" s="16">
        <f t="shared" si="87"/>
        <v>-12.190582851958382</v>
      </c>
    </row>
    <row r="1507" spans="29:33" x14ac:dyDescent="0.25">
      <c r="AC1507" s="16">
        <v>1503</v>
      </c>
      <c r="AD1507" s="16">
        <f t="shared" si="88"/>
        <v>2163.9507613859546</v>
      </c>
      <c r="AE1507" s="16">
        <f t="shared" si="86"/>
        <v>63.972999137949657</v>
      </c>
      <c r="AF1507" s="16">
        <f>'Gearing Calculator'!$C$17*Braking!AD1507</f>
        <v>3245.9261420789317</v>
      </c>
      <c r="AG1507" s="16">
        <f t="shared" si="87"/>
        <v>-12.193561765886296</v>
      </c>
    </row>
    <row r="1508" spans="29:33" x14ac:dyDescent="0.25">
      <c r="AC1508" s="16">
        <v>1504</v>
      </c>
      <c r="AD1508" s="16">
        <f t="shared" si="88"/>
        <v>2164.4794193110283</v>
      </c>
      <c r="AE1508" s="16">
        <f t="shared" si="86"/>
        <v>64.015562676963597</v>
      </c>
      <c r="AF1508" s="16">
        <f>'Gearing Calculator'!$C$17*Braking!AD1508</f>
        <v>3246.7191289665425</v>
      </c>
      <c r="AG1508" s="16">
        <f t="shared" si="87"/>
        <v>-12.196540679814209</v>
      </c>
    </row>
    <row r="1509" spans="29:33" x14ac:dyDescent="0.25">
      <c r="AC1509" s="16">
        <v>1505</v>
      </c>
      <c r="AD1509" s="16">
        <f t="shared" si="88"/>
        <v>2165.0080772361025</v>
      </c>
      <c r="AE1509" s="16">
        <f t="shared" si="86"/>
        <v>64.058126215977538</v>
      </c>
      <c r="AF1509" s="16">
        <f>'Gearing Calculator'!$C$17*Braking!AD1509</f>
        <v>3247.5121158541538</v>
      </c>
      <c r="AG1509" s="16">
        <f t="shared" si="87"/>
        <v>-12.199519593742126</v>
      </c>
    </row>
    <row r="1510" spans="29:33" x14ac:dyDescent="0.25">
      <c r="AC1510" s="16">
        <v>1506</v>
      </c>
      <c r="AD1510" s="16">
        <f t="shared" si="88"/>
        <v>2165.5367351611762</v>
      </c>
      <c r="AE1510" s="16">
        <f t="shared" si="86"/>
        <v>64.100689754991478</v>
      </c>
      <c r="AF1510" s="16">
        <f>'Gearing Calculator'!$C$17*Braking!AD1510</f>
        <v>3248.3051027417641</v>
      </c>
      <c r="AG1510" s="16">
        <f t="shared" si="87"/>
        <v>-12.202498507670038</v>
      </c>
    </row>
    <row r="1511" spans="29:33" x14ac:dyDescent="0.25">
      <c r="AC1511" s="16">
        <v>1507</v>
      </c>
      <c r="AD1511" s="16">
        <f t="shared" si="88"/>
        <v>2166.06539308625</v>
      </c>
      <c r="AE1511" s="16">
        <f t="shared" si="86"/>
        <v>64.143253294005419</v>
      </c>
      <c r="AF1511" s="16">
        <f>'Gearing Calculator'!$C$17*Braking!AD1511</f>
        <v>3249.098089629375</v>
      </c>
      <c r="AG1511" s="16">
        <f t="shared" si="87"/>
        <v>-12.205477421597953</v>
      </c>
    </row>
    <row r="1512" spans="29:33" x14ac:dyDescent="0.25">
      <c r="AC1512" s="16">
        <v>1508</v>
      </c>
      <c r="AD1512" s="16">
        <f t="shared" si="88"/>
        <v>2166.5940510113237</v>
      </c>
      <c r="AE1512" s="16">
        <f t="shared" si="86"/>
        <v>64.185816833019345</v>
      </c>
      <c r="AF1512" s="16">
        <f>'Gearing Calculator'!$C$17*Braking!AD1512</f>
        <v>3249.8910765169858</v>
      </c>
      <c r="AG1512" s="16">
        <f t="shared" si="87"/>
        <v>-12.208456335525867</v>
      </c>
    </row>
    <row r="1513" spans="29:33" x14ac:dyDescent="0.25">
      <c r="AC1513" s="16">
        <v>1509</v>
      </c>
      <c r="AD1513" s="16">
        <f t="shared" si="88"/>
        <v>2167.1227089363974</v>
      </c>
      <c r="AE1513" s="16">
        <f t="shared" si="86"/>
        <v>64.228380372033286</v>
      </c>
      <c r="AF1513" s="16">
        <f>'Gearing Calculator'!$C$17*Braking!AD1513</f>
        <v>3250.6840634045961</v>
      </c>
      <c r="AG1513" s="16">
        <f t="shared" si="87"/>
        <v>-12.21143524945378</v>
      </c>
    </row>
    <row r="1514" spans="29:33" x14ac:dyDescent="0.25">
      <c r="AC1514" s="16">
        <v>1510</v>
      </c>
      <c r="AD1514" s="16">
        <f t="shared" si="88"/>
        <v>2167.6513668614716</v>
      </c>
      <c r="AE1514" s="16">
        <f t="shared" si="86"/>
        <v>64.270943911047226</v>
      </c>
      <c r="AF1514" s="16">
        <f>'Gearing Calculator'!$C$17*Braking!AD1514</f>
        <v>3251.4770502922074</v>
      </c>
      <c r="AG1514" s="16">
        <f t="shared" si="87"/>
        <v>-12.214414163381697</v>
      </c>
    </row>
    <row r="1515" spans="29:33" x14ac:dyDescent="0.25">
      <c r="AC1515" s="16">
        <v>1511</v>
      </c>
      <c r="AD1515" s="16">
        <f t="shared" si="88"/>
        <v>2168.1800247865453</v>
      </c>
      <c r="AE1515" s="16">
        <f t="shared" si="86"/>
        <v>64.313507450061167</v>
      </c>
      <c r="AF1515" s="16">
        <f>'Gearing Calculator'!$C$17*Braking!AD1515</f>
        <v>3252.2700371798182</v>
      </c>
      <c r="AG1515" s="16">
        <f t="shared" si="87"/>
        <v>-12.217393077309611</v>
      </c>
    </row>
    <row r="1516" spans="29:33" x14ac:dyDescent="0.25">
      <c r="AC1516" s="16">
        <v>1512</v>
      </c>
      <c r="AD1516" s="16">
        <f t="shared" si="88"/>
        <v>2168.7086827116191</v>
      </c>
      <c r="AE1516" s="16">
        <f t="shared" si="86"/>
        <v>64.356070989075107</v>
      </c>
      <c r="AF1516" s="16">
        <f>'Gearing Calculator'!$C$17*Braking!AD1516</f>
        <v>3253.0630240674286</v>
      </c>
      <c r="AG1516" s="16">
        <f t="shared" si="87"/>
        <v>-12.220371991237524</v>
      </c>
    </row>
    <row r="1517" spans="29:33" x14ac:dyDescent="0.25">
      <c r="AC1517" s="16">
        <v>1513</v>
      </c>
      <c r="AD1517" s="16">
        <f t="shared" si="88"/>
        <v>2169.2373406366928</v>
      </c>
      <c r="AE1517" s="16">
        <f t="shared" si="86"/>
        <v>64.398634528089048</v>
      </c>
      <c r="AF1517" s="16">
        <f>'Gearing Calculator'!$C$17*Braking!AD1517</f>
        <v>3253.856010955039</v>
      </c>
      <c r="AG1517" s="16">
        <f t="shared" si="87"/>
        <v>-12.223350905165436</v>
      </c>
    </row>
    <row r="1518" spans="29:33" x14ac:dyDescent="0.25">
      <c r="AC1518" s="16">
        <v>1514</v>
      </c>
      <c r="AD1518" s="16">
        <f t="shared" si="88"/>
        <v>2169.7659985617665</v>
      </c>
      <c r="AE1518" s="16">
        <f t="shared" si="86"/>
        <v>64.441198067102988</v>
      </c>
      <c r="AF1518" s="16">
        <f>'Gearing Calculator'!$C$17*Braking!AD1518</f>
        <v>3254.6489978426498</v>
      </c>
      <c r="AG1518" s="16">
        <f t="shared" si="87"/>
        <v>-12.226329819093351</v>
      </c>
    </row>
    <row r="1519" spans="29:33" x14ac:dyDescent="0.25">
      <c r="AC1519" s="16">
        <v>1515</v>
      </c>
      <c r="AD1519" s="16">
        <f t="shared" si="88"/>
        <v>2170.2946564868407</v>
      </c>
      <c r="AE1519" s="16">
        <f t="shared" si="86"/>
        <v>64.483761606116914</v>
      </c>
      <c r="AF1519" s="16">
        <f>'Gearing Calculator'!$C$17*Braking!AD1519</f>
        <v>3255.4419847302611</v>
      </c>
      <c r="AG1519" s="16">
        <f t="shared" si="87"/>
        <v>-12.229308733021266</v>
      </c>
    </row>
    <row r="1520" spans="29:33" x14ac:dyDescent="0.25">
      <c r="AC1520" s="16">
        <v>1516</v>
      </c>
      <c r="AD1520" s="16">
        <f t="shared" si="88"/>
        <v>2170.8233144119145</v>
      </c>
      <c r="AE1520" s="16">
        <f t="shared" si="86"/>
        <v>64.526325145130855</v>
      </c>
      <c r="AF1520" s="16">
        <f>'Gearing Calculator'!$C$17*Braking!AD1520</f>
        <v>3256.2349716178715</v>
      </c>
      <c r="AG1520" s="16">
        <f t="shared" si="87"/>
        <v>-12.23228764694918</v>
      </c>
    </row>
    <row r="1521" spans="29:33" x14ac:dyDescent="0.25">
      <c r="AC1521" s="16">
        <v>1517</v>
      </c>
      <c r="AD1521" s="16">
        <f t="shared" si="88"/>
        <v>2171.3519723369882</v>
      </c>
      <c r="AE1521" s="16">
        <f t="shared" si="86"/>
        <v>64.568888684144795</v>
      </c>
      <c r="AF1521" s="16">
        <f>'Gearing Calculator'!$C$17*Braking!AD1521</f>
        <v>3257.0279585054823</v>
      </c>
      <c r="AG1521" s="16">
        <f t="shared" si="87"/>
        <v>-12.235266560877093</v>
      </c>
    </row>
    <row r="1522" spans="29:33" x14ac:dyDescent="0.25">
      <c r="AC1522" s="16">
        <v>1518</v>
      </c>
      <c r="AD1522" s="16">
        <f t="shared" si="88"/>
        <v>2171.8806302620619</v>
      </c>
      <c r="AE1522" s="16">
        <f t="shared" si="86"/>
        <v>64.611452223158736</v>
      </c>
      <c r="AF1522" s="16">
        <f>'Gearing Calculator'!$C$17*Braking!AD1522</f>
        <v>3257.8209453930931</v>
      </c>
      <c r="AG1522" s="16">
        <f t="shared" si="87"/>
        <v>-12.238245474805009</v>
      </c>
    </row>
    <row r="1523" spans="29:33" x14ac:dyDescent="0.25">
      <c r="AC1523" s="16">
        <v>1519</v>
      </c>
      <c r="AD1523" s="16">
        <f t="shared" si="88"/>
        <v>2172.4092881871356</v>
      </c>
      <c r="AE1523" s="16">
        <f t="shared" si="86"/>
        <v>64.654015762172676</v>
      </c>
      <c r="AF1523" s="16">
        <f>'Gearing Calculator'!$C$17*Braking!AD1523</f>
        <v>3258.6139322807035</v>
      </c>
      <c r="AG1523" s="16">
        <f t="shared" si="87"/>
        <v>-12.24122438873292</v>
      </c>
    </row>
    <row r="1524" spans="29:33" x14ac:dyDescent="0.25">
      <c r="AC1524" s="16">
        <v>1520</v>
      </c>
      <c r="AD1524" s="16">
        <f t="shared" si="88"/>
        <v>2172.9379461122098</v>
      </c>
      <c r="AE1524" s="16">
        <f t="shared" si="86"/>
        <v>64.696579301186617</v>
      </c>
      <c r="AF1524" s="16">
        <f>'Gearing Calculator'!$C$17*Braking!AD1524</f>
        <v>3259.4069191683147</v>
      </c>
      <c r="AG1524" s="16">
        <f t="shared" si="87"/>
        <v>-12.244203302660837</v>
      </c>
    </row>
    <row r="1525" spans="29:33" x14ac:dyDescent="0.25">
      <c r="AC1525" s="16">
        <v>1521</v>
      </c>
      <c r="AD1525" s="16">
        <f t="shared" si="88"/>
        <v>2173.4666040372836</v>
      </c>
      <c r="AE1525" s="16">
        <f t="shared" si="86"/>
        <v>64.739142840200557</v>
      </c>
      <c r="AF1525" s="16">
        <f>'Gearing Calculator'!$C$17*Braking!AD1525</f>
        <v>3260.1999060559256</v>
      </c>
      <c r="AG1525" s="16">
        <f t="shared" si="87"/>
        <v>-12.247182216588751</v>
      </c>
    </row>
    <row r="1526" spans="29:33" x14ac:dyDescent="0.25">
      <c r="AC1526" s="16">
        <v>1522</v>
      </c>
      <c r="AD1526" s="16">
        <f t="shared" si="88"/>
        <v>2173.9952619623573</v>
      </c>
      <c r="AE1526" s="16">
        <f t="shared" si="86"/>
        <v>64.781706379214498</v>
      </c>
      <c r="AF1526" s="16">
        <f>'Gearing Calculator'!$C$17*Braking!AD1526</f>
        <v>3260.9928929435359</v>
      </c>
      <c r="AG1526" s="16">
        <f t="shared" si="87"/>
        <v>-12.250161130516664</v>
      </c>
    </row>
    <row r="1527" spans="29:33" x14ac:dyDescent="0.25">
      <c r="AC1527" s="16">
        <v>1523</v>
      </c>
      <c r="AD1527" s="16">
        <f t="shared" si="88"/>
        <v>2174.523919887431</v>
      </c>
      <c r="AE1527" s="16">
        <f t="shared" si="86"/>
        <v>64.824269918228424</v>
      </c>
      <c r="AF1527" s="16">
        <f>'Gearing Calculator'!$C$17*Braking!AD1527</f>
        <v>3261.7858798311463</v>
      </c>
      <c r="AG1527" s="16">
        <f t="shared" si="87"/>
        <v>-12.253140044444578</v>
      </c>
    </row>
    <row r="1528" spans="29:33" x14ac:dyDescent="0.25">
      <c r="AC1528" s="16">
        <v>1524</v>
      </c>
      <c r="AD1528" s="16">
        <f t="shared" si="88"/>
        <v>2175.0525778125048</v>
      </c>
      <c r="AE1528" s="16">
        <f t="shared" si="86"/>
        <v>64.866833457242365</v>
      </c>
      <c r="AF1528" s="16">
        <f>'Gearing Calculator'!$C$17*Braking!AD1528</f>
        <v>3262.5788667187571</v>
      </c>
      <c r="AG1528" s="16">
        <f t="shared" si="87"/>
        <v>-12.256118958372491</v>
      </c>
    </row>
    <row r="1529" spans="29:33" x14ac:dyDescent="0.25">
      <c r="AC1529" s="16">
        <v>1525</v>
      </c>
      <c r="AD1529" s="16">
        <f t="shared" si="88"/>
        <v>2175.5812357375789</v>
      </c>
      <c r="AE1529" s="16">
        <f t="shared" si="86"/>
        <v>64.909396996256305</v>
      </c>
      <c r="AF1529" s="16">
        <f>'Gearing Calculator'!$C$17*Braking!AD1529</f>
        <v>3263.3718536063684</v>
      </c>
      <c r="AG1529" s="16">
        <f t="shared" si="87"/>
        <v>-12.259097872300408</v>
      </c>
    </row>
    <row r="1530" spans="29:33" x14ac:dyDescent="0.25">
      <c r="AC1530" s="16">
        <v>1526</v>
      </c>
      <c r="AD1530" s="16">
        <f t="shared" si="88"/>
        <v>2176.1098936626527</v>
      </c>
      <c r="AE1530" s="16">
        <f t="shared" si="86"/>
        <v>64.951960535270246</v>
      </c>
      <c r="AF1530" s="16">
        <f>'Gearing Calculator'!$C$17*Braking!AD1530</f>
        <v>3264.1648404939788</v>
      </c>
      <c r="AG1530" s="16">
        <f t="shared" si="87"/>
        <v>-12.26207678622832</v>
      </c>
    </row>
    <row r="1531" spans="29:33" x14ac:dyDescent="0.25">
      <c r="AC1531" s="16">
        <v>1527</v>
      </c>
      <c r="AD1531" s="16">
        <f t="shared" si="88"/>
        <v>2176.6385515877264</v>
      </c>
      <c r="AE1531" s="16">
        <f t="shared" si="86"/>
        <v>64.994524074284186</v>
      </c>
      <c r="AF1531" s="16">
        <f>'Gearing Calculator'!$C$17*Braking!AD1531</f>
        <v>3264.9578273815896</v>
      </c>
      <c r="AG1531" s="16">
        <f t="shared" si="87"/>
        <v>-12.265055700156235</v>
      </c>
    </row>
    <row r="1532" spans="29:33" x14ac:dyDescent="0.25">
      <c r="AC1532" s="16">
        <v>1528</v>
      </c>
      <c r="AD1532" s="16">
        <f t="shared" si="88"/>
        <v>2177.1672095128001</v>
      </c>
      <c r="AE1532" s="16">
        <f t="shared" si="86"/>
        <v>65.037087613298127</v>
      </c>
      <c r="AF1532" s="16">
        <f>'Gearing Calculator'!$C$17*Braking!AD1532</f>
        <v>3265.7508142692004</v>
      </c>
      <c r="AG1532" s="16">
        <f t="shared" si="87"/>
        <v>-12.268034614084149</v>
      </c>
    </row>
    <row r="1533" spans="29:33" x14ac:dyDescent="0.25">
      <c r="AC1533" s="16">
        <v>1529</v>
      </c>
      <c r="AD1533" s="16">
        <f t="shared" si="88"/>
        <v>2177.6958674378739</v>
      </c>
      <c r="AE1533" s="16">
        <f t="shared" si="86"/>
        <v>65.079651152312067</v>
      </c>
      <c r="AF1533" s="16">
        <f>'Gearing Calculator'!$C$17*Braking!AD1533</f>
        <v>3266.5438011568108</v>
      </c>
      <c r="AG1533" s="16">
        <f t="shared" si="87"/>
        <v>-12.271013528012062</v>
      </c>
    </row>
    <row r="1534" spans="29:33" x14ac:dyDescent="0.25">
      <c r="AC1534" s="16">
        <v>1530</v>
      </c>
      <c r="AD1534" s="16">
        <f t="shared" si="88"/>
        <v>2178.224525362948</v>
      </c>
      <c r="AE1534" s="16">
        <f t="shared" si="86"/>
        <v>65.122214691325993</v>
      </c>
      <c r="AF1534" s="16">
        <f>'Gearing Calculator'!$C$17*Braking!AD1534</f>
        <v>3267.3367880444221</v>
      </c>
      <c r="AG1534" s="16">
        <f t="shared" si="87"/>
        <v>-12.273992441939978</v>
      </c>
    </row>
    <row r="1535" spans="29:33" x14ac:dyDescent="0.25">
      <c r="AC1535" s="16">
        <v>1531</v>
      </c>
      <c r="AD1535" s="16">
        <f t="shared" si="88"/>
        <v>2178.7531832880218</v>
      </c>
      <c r="AE1535" s="16">
        <f t="shared" ref="AE1535:AE1598" si="89">(AC1535/$X$104)*100</f>
        <v>65.164778230339934</v>
      </c>
      <c r="AF1535" s="16">
        <f>'Gearing Calculator'!$C$17*Braking!AD1535</f>
        <v>3268.1297749320329</v>
      </c>
      <c r="AG1535" s="16">
        <f t="shared" si="87"/>
        <v>-12.276971355867893</v>
      </c>
    </row>
    <row r="1536" spans="29:33" x14ac:dyDescent="0.25">
      <c r="AC1536" s="16">
        <v>1532</v>
      </c>
      <c r="AD1536" s="16">
        <f t="shared" si="88"/>
        <v>2179.2818412130955</v>
      </c>
      <c r="AE1536" s="16">
        <f t="shared" si="89"/>
        <v>65.207341769353874</v>
      </c>
      <c r="AF1536" s="16">
        <f>'Gearing Calculator'!$C$17*Braking!AD1536</f>
        <v>3268.9227618196433</v>
      </c>
      <c r="AG1536" s="16">
        <f t="shared" si="87"/>
        <v>-12.279950269795805</v>
      </c>
    </row>
    <row r="1537" spans="29:33" x14ac:dyDescent="0.25">
      <c r="AC1537" s="16">
        <v>1533</v>
      </c>
      <c r="AD1537" s="16">
        <f t="shared" si="88"/>
        <v>2179.8104991381692</v>
      </c>
      <c r="AE1537" s="16">
        <f t="shared" si="89"/>
        <v>65.249905308367815</v>
      </c>
      <c r="AF1537" s="16">
        <f>'Gearing Calculator'!$C$17*Braking!AD1537</f>
        <v>3269.7157487072536</v>
      </c>
      <c r="AG1537" s="16">
        <f t="shared" si="87"/>
        <v>-12.282929183723718</v>
      </c>
    </row>
    <row r="1538" spans="29:33" x14ac:dyDescent="0.25">
      <c r="AC1538" s="16">
        <v>1534</v>
      </c>
      <c r="AD1538" s="16">
        <f t="shared" si="88"/>
        <v>2180.339157063243</v>
      </c>
      <c r="AE1538" s="16">
        <f t="shared" si="89"/>
        <v>65.292468847381755</v>
      </c>
      <c r="AF1538" s="16">
        <f>'Gearing Calculator'!$C$17*Braking!AD1538</f>
        <v>3270.5087355948644</v>
      </c>
      <c r="AG1538" s="16">
        <f t="shared" si="87"/>
        <v>-12.285908097651632</v>
      </c>
    </row>
    <row r="1539" spans="29:33" x14ac:dyDescent="0.25">
      <c r="AC1539" s="16">
        <v>1535</v>
      </c>
      <c r="AD1539" s="16">
        <f t="shared" si="88"/>
        <v>2180.8678149883171</v>
      </c>
      <c r="AE1539" s="16">
        <f t="shared" si="89"/>
        <v>65.335032386395696</v>
      </c>
      <c r="AF1539" s="16">
        <f>'Gearing Calculator'!$C$17*Braking!AD1539</f>
        <v>3271.3017224824757</v>
      </c>
      <c r="AG1539" s="16">
        <f t="shared" si="87"/>
        <v>-12.288887011579549</v>
      </c>
    </row>
    <row r="1540" spans="29:33" x14ac:dyDescent="0.25">
      <c r="AC1540" s="16">
        <v>1536</v>
      </c>
      <c r="AD1540" s="16">
        <f t="shared" si="88"/>
        <v>2181.3964729133909</v>
      </c>
      <c r="AE1540" s="16">
        <f t="shared" si="89"/>
        <v>65.377595925409636</v>
      </c>
      <c r="AF1540" s="16">
        <f>'Gearing Calculator'!$C$17*Braking!AD1540</f>
        <v>3272.0947093700861</v>
      </c>
      <c r="AG1540" s="16">
        <f t="shared" si="87"/>
        <v>-12.291865925507462</v>
      </c>
    </row>
    <row r="1541" spans="29:33" x14ac:dyDescent="0.25">
      <c r="AC1541" s="16">
        <v>1537</v>
      </c>
      <c r="AD1541" s="16">
        <f t="shared" si="88"/>
        <v>2181.9251308384646</v>
      </c>
      <c r="AE1541" s="16">
        <f t="shared" si="89"/>
        <v>65.420159464423577</v>
      </c>
      <c r="AF1541" s="16">
        <f>'Gearing Calculator'!$C$17*Braking!AD1541</f>
        <v>3272.8876962576969</v>
      </c>
      <c r="AG1541" s="16">
        <f t="shared" si="87"/>
        <v>-12.294844839435376</v>
      </c>
    </row>
    <row r="1542" spans="29:33" x14ac:dyDescent="0.25">
      <c r="AC1542" s="16">
        <v>1538</v>
      </c>
      <c r="AD1542" s="16">
        <f t="shared" si="88"/>
        <v>2182.4537887635383</v>
      </c>
      <c r="AE1542" s="16">
        <f t="shared" si="89"/>
        <v>65.462723003437503</v>
      </c>
      <c r="AF1542" s="16">
        <f>'Gearing Calculator'!$C$17*Braking!AD1542</f>
        <v>3273.6806831453077</v>
      </c>
      <c r="AG1542" s="16">
        <f t="shared" ref="AG1542:AG1605" si="90">-(AF1542/$C$3)</f>
        <v>-12.297823753363291</v>
      </c>
    </row>
    <row r="1543" spans="29:33" x14ac:dyDescent="0.25">
      <c r="AC1543" s="16">
        <v>1539</v>
      </c>
      <c r="AD1543" s="16">
        <f t="shared" ref="AD1543:AD1606" si="91">($C$3*$C$4)*($C$9/$C$8)+(AC1543*($C$10/$C$8))</f>
        <v>2182.9824466886121</v>
      </c>
      <c r="AE1543" s="16">
        <f t="shared" si="89"/>
        <v>65.505286542451444</v>
      </c>
      <c r="AF1543" s="16">
        <f>'Gearing Calculator'!$C$17*Braking!AD1543</f>
        <v>3274.4736700329181</v>
      </c>
      <c r="AG1543" s="16">
        <f t="shared" si="90"/>
        <v>-12.300802667291203</v>
      </c>
    </row>
    <row r="1544" spans="29:33" x14ac:dyDescent="0.25">
      <c r="AC1544" s="16">
        <v>1540</v>
      </c>
      <c r="AD1544" s="16">
        <f t="shared" si="91"/>
        <v>2183.5111046136863</v>
      </c>
      <c r="AE1544" s="16">
        <f t="shared" si="89"/>
        <v>65.547850081465384</v>
      </c>
      <c r="AF1544" s="16">
        <f>'Gearing Calculator'!$C$17*Braking!AD1544</f>
        <v>3275.2666569205294</v>
      </c>
      <c r="AG1544" s="16">
        <f t="shared" si="90"/>
        <v>-12.30378158121912</v>
      </c>
    </row>
    <row r="1545" spans="29:33" x14ac:dyDescent="0.25">
      <c r="AC1545" s="16">
        <v>1541</v>
      </c>
      <c r="AD1545" s="16">
        <f t="shared" si="91"/>
        <v>2184.03976253876</v>
      </c>
      <c r="AE1545" s="16">
        <f t="shared" si="89"/>
        <v>65.590413620479325</v>
      </c>
      <c r="AF1545" s="16">
        <f>'Gearing Calculator'!$C$17*Braking!AD1545</f>
        <v>3276.0596438081402</v>
      </c>
      <c r="AG1545" s="16">
        <f t="shared" si="90"/>
        <v>-12.306760495147033</v>
      </c>
    </row>
    <row r="1546" spans="29:33" x14ac:dyDescent="0.25">
      <c r="AC1546" s="16">
        <v>1542</v>
      </c>
      <c r="AD1546" s="16">
        <f t="shared" si="91"/>
        <v>2184.5684204638337</v>
      </c>
      <c r="AE1546" s="16">
        <f t="shared" si="89"/>
        <v>65.632977159493265</v>
      </c>
      <c r="AF1546" s="16">
        <f>'Gearing Calculator'!$C$17*Braking!AD1546</f>
        <v>3276.8526306957506</v>
      </c>
      <c r="AG1546" s="16">
        <f t="shared" si="90"/>
        <v>-12.309739409074947</v>
      </c>
    </row>
    <row r="1547" spans="29:33" x14ac:dyDescent="0.25">
      <c r="AC1547" s="16">
        <v>1543</v>
      </c>
      <c r="AD1547" s="16">
        <f t="shared" si="91"/>
        <v>2185.0970783889074</v>
      </c>
      <c r="AE1547" s="16">
        <f t="shared" si="89"/>
        <v>65.675540698507206</v>
      </c>
      <c r="AF1547" s="16">
        <f>'Gearing Calculator'!$C$17*Braking!AD1547</f>
        <v>3277.6456175833609</v>
      </c>
      <c r="AG1547" s="16">
        <f t="shared" si="90"/>
        <v>-12.312718323002859</v>
      </c>
    </row>
    <row r="1548" spans="29:33" x14ac:dyDescent="0.25">
      <c r="AC1548" s="16">
        <v>1544</v>
      </c>
      <c r="AD1548" s="16">
        <f t="shared" si="91"/>
        <v>2185.6257363139812</v>
      </c>
      <c r="AE1548" s="16">
        <f t="shared" si="89"/>
        <v>65.718104237521146</v>
      </c>
      <c r="AF1548" s="16">
        <f>'Gearing Calculator'!$C$17*Braking!AD1548</f>
        <v>3278.4386044709718</v>
      </c>
      <c r="AG1548" s="16">
        <f t="shared" si="90"/>
        <v>-12.315697236930774</v>
      </c>
    </row>
    <row r="1549" spans="29:33" x14ac:dyDescent="0.25">
      <c r="AC1549" s="16">
        <v>1545</v>
      </c>
      <c r="AD1549" s="16">
        <f t="shared" si="91"/>
        <v>2186.1543942390554</v>
      </c>
      <c r="AE1549" s="16">
        <f t="shared" si="89"/>
        <v>65.760667776535072</v>
      </c>
      <c r="AF1549" s="16">
        <f>'Gearing Calculator'!$C$17*Braking!AD1549</f>
        <v>3279.231591358583</v>
      </c>
      <c r="AG1549" s="16">
        <f t="shared" si="90"/>
        <v>-12.318676150858689</v>
      </c>
    </row>
    <row r="1550" spans="29:33" x14ac:dyDescent="0.25">
      <c r="AC1550" s="16">
        <v>1546</v>
      </c>
      <c r="AD1550" s="16">
        <f t="shared" si="91"/>
        <v>2186.6830521641291</v>
      </c>
      <c r="AE1550" s="16">
        <f t="shared" si="89"/>
        <v>65.803231315549013</v>
      </c>
      <c r="AF1550" s="16">
        <f>'Gearing Calculator'!$C$17*Braking!AD1550</f>
        <v>3280.0245782461934</v>
      </c>
      <c r="AG1550" s="16">
        <f t="shared" si="90"/>
        <v>-12.321655064786603</v>
      </c>
    </row>
    <row r="1551" spans="29:33" x14ac:dyDescent="0.25">
      <c r="AC1551" s="16">
        <v>1547</v>
      </c>
      <c r="AD1551" s="16">
        <f t="shared" si="91"/>
        <v>2187.2117100892028</v>
      </c>
      <c r="AE1551" s="16">
        <f t="shared" si="89"/>
        <v>65.845794854562953</v>
      </c>
      <c r="AF1551" s="16">
        <f>'Gearing Calculator'!$C$17*Braking!AD1551</f>
        <v>3280.8175651338042</v>
      </c>
      <c r="AG1551" s="16">
        <f t="shared" si="90"/>
        <v>-12.324633978714516</v>
      </c>
    </row>
    <row r="1552" spans="29:33" x14ac:dyDescent="0.25">
      <c r="AC1552" s="16">
        <v>1548</v>
      </c>
      <c r="AD1552" s="16">
        <f t="shared" si="91"/>
        <v>2187.7403680142766</v>
      </c>
      <c r="AE1552" s="16">
        <f t="shared" si="89"/>
        <v>65.888358393576894</v>
      </c>
      <c r="AF1552" s="16">
        <f>'Gearing Calculator'!$C$17*Braking!AD1552</f>
        <v>3281.6105520214151</v>
      </c>
      <c r="AG1552" s="16">
        <f t="shared" si="90"/>
        <v>-12.327612892642431</v>
      </c>
    </row>
    <row r="1553" spans="29:33" x14ac:dyDescent="0.25">
      <c r="AC1553" s="16">
        <v>1549</v>
      </c>
      <c r="AD1553" s="16">
        <f t="shared" si="91"/>
        <v>2188.2690259393503</v>
      </c>
      <c r="AE1553" s="16">
        <f t="shared" si="89"/>
        <v>65.930921932590834</v>
      </c>
      <c r="AF1553" s="16">
        <f>'Gearing Calculator'!$C$17*Braking!AD1553</f>
        <v>3282.4035389090254</v>
      </c>
      <c r="AG1553" s="16">
        <f t="shared" si="90"/>
        <v>-12.330591806570345</v>
      </c>
    </row>
    <row r="1554" spans="29:33" x14ac:dyDescent="0.25">
      <c r="AC1554" s="16">
        <v>1550</v>
      </c>
      <c r="AD1554" s="16">
        <f t="shared" si="91"/>
        <v>2188.7976838644245</v>
      </c>
      <c r="AE1554" s="16">
        <f t="shared" si="89"/>
        <v>65.973485471604775</v>
      </c>
      <c r="AF1554" s="16">
        <f>'Gearing Calculator'!$C$17*Braking!AD1554</f>
        <v>3283.1965257966367</v>
      </c>
      <c r="AG1554" s="16">
        <f t="shared" si="90"/>
        <v>-12.33357072049826</v>
      </c>
    </row>
    <row r="1555" spans="29:33" x14ac:dyDescent="0.25">
      <c r="AC1555" s="16">
        <v>1551</v>
      </c>
      <c r="AD1555" s="16">
        <f t="shared" si="91"/>
        <v>2189.3263417894982</v>
      </c>
      <c r="AE1555" s="16">
        <f t="shared" si="89"/>
        <v>66.016049010618715</v>
      </c>
      <c r="AF1555" s="16">
        <f>'Gearing Calculator'!$C$17*Braking!AD1555</f>
        <v>3283.9895126842475</v>
      </c>
      <c r="AG1555" s="16">
        <f t="shared" si="90"/>
        <v>-12.336549634426175</v>
      </c>
    </row>
    <row r="1556" spans="29:33" x14ac:dyDescent="0.25">
      <c r="AC1556" s="16">
        <v>1552</v>
      </c>
      <c r="AD1556" s="16">
        <f t="shared" si="91"/>
        <v>2189.8549997145719</v>
      </c>
      <c r="AE1556" s="16">
        <f t="shared" si="89"/>
        <v>66.058612549632656</v>
      </c>
      <c r="AF1556" s="16">
        <f>'Gearing Calculator'!$C$17*Braking!AD1556</f>
        <v>3284.7824995718579</v>
      </c>
      <c r="AG1556" s="16">
        <f t="shared" si="90"/>
        <v>-12.339528548354087</v>
      </c>
    </row>
    <row r="1557" spans="29:33" x14ac:dyDescent="0.25">
      <c r="AC1557" s="16">
        <v>1553</v>
      </c>
      <c r="AD1557" s="16">
        <f t="shared" si="91"/>
        <v>2190.3836576396457</v>
      </c>
      <c r="AE1557" s="16">
        <f t="shared" si="89"/>
        <v>66.101176088646582</v>
      </c>
      <c r="AF1557" s="16">
        <f>'Gearing Calculator'!$C$17*Braking!AD1557</f>
        <v>3285.5754864594683</v>
      </c>
      <c r="AG1557" s="16">
        <f t="shared" si="90"/>
        <v>-12.342507462282001</v>
      </c>
    </row>
    <row r="1558" spans="29:33" x14ac:dyDescent="0.25">
      <c r="AC1558" s="16">
        <v>1554</v>
      </c>
      <c r="AD1558" s="16">
        <f t="shared" si="91"/>
        <v>2190.9123155647194</v>
      </c>
      <c r="AE1558" s="16">
        <f t="shared" si="89"/>
        <v>66.143739627660523</v>
      </c>
      <c r="AF1558" s="16">
        <f>'Gearing Calculator'!$C$17*Braking!AD1558</f>
        <v>3286.3684733470791</v>
      </c>
      <c r="AG1558" s="16">
        <f t="shared" si="90"/>
        <v>-12.345486376209914</v>
      </c>
    </row>
    <row r="1559" spans="29:33" x14ac:dyDescent="0.25">
      <c r="AC1559" s="16">
        <v>1555</v>
      </c>
      <c r="AD1559" s="16">
        <f t="shared" si="91"/>
        <v>2191.4409734897936</v>
      </c>
      <c r="AE1559" s="16">
        <f t="shared" si="89"/>
        <v>66.186303166674463</v>
      </c>
      <c r="AF1559" s="16">
        <f>'Gearing Calculator'!$C$17*Braking!AD1559</f>
        <v>3287.1614602346904</v>
      </c>
      <c r="AG1559" s="16">
        <f t="shared" si="90"/>
        <v>-12.348465290137831</v>
      </c>
    </row>
    <row r="1560" spans="29:33" x14ac:dyDescent="0.25">
      <c r="AC1560" s="16">
        <v>1556</v>
      </c>
      <c r="AD1560" s="16">
        <f t="shared" si="91"/>
        <v>2191.9696314148673</v>
      </c>
      <c r="AE1560" s="16">
        <f t="shared" si="89"/>
        <v>66.228866705688404</v>
      </c>
      <c r="AF1560" s="16">
        <f>'Gearing Calculator'!$C$17*Braking!AD1560</f>
        <v>3287.9544471223007</v>
      </c>
      <c r="AG1560" s="16">
        <f t="shared" si="90"/>
        <v>-12.351444204065743</v>
      </c>
    </row>
    <row r="1561" spans="29:33" x14ac:dyDescent="0.25">
      <c r="AC1561" s="16">
        <v>1557</v>
      </c>
      <c r="AD1561" s="16">
        <f t="shared" si="91"/>
        <v>2192.498289339941</v>
      </c>
      <c r="AE1561" s="16">
        <f t="shared" si="89"/>
        <v>66.271430244702344</v>
      </c>
      <c r="AF1561" s="16">
        <f>'Gearing Calculator'!$C$17*Braking!AD1561</f>
        <v>3288.7474340099116</v>
      </c>
      <c r="AG1561" s="16">
        <f t="shared" si="90"/>
        <v>-12.354423117993658</v>
      </c>
    </row>
    <row r="1562" spans="29:33" x14ac:dyDescent="0.25">
      <c r="AC1562" s="16">
        <v>1558</v>
      </c>
      <c r="AD1562" s="16">
        <f t="shared" si="91"/>
        <v>2193.0269472650148</v>
      </c>
      <c r="AE1562" s="16">
        <f t="shared" si="89"/>
        <v>66.313993783716285</v>
      </c>
      <c r="AF1562" s="16">
        <f>'Gearing Calculator'!$C$17*Braking!AD1562</f>
        <v>3289.5404208975224</v>
      </c>
      <c r="AG1562" s="16">
        <f t="shared" si="90"/>
        <v>-12.357402031921572</v>
      </c>
    </row>
    <row r="1563" spans="29:33" x14ac:dyDescent="0.25">
      <c r="AC1563" s="16">
        <v>1559</v>
      </c>
      <c r="AD1563" s="16">
        <f t="shared" si="91"/>
        <v>2193.5556051900885</v>
      </c>
      <c r="AE1563" s="16">
        <f t="shared" si="89"/>
        <v>66.356557322730225</v>
      </c>
      <c r="AF1563" s="16">
        <f>'Gearing Calculator'!$C$17*Braking!AD1563</f>
        <v>3290.3334077851327</v>
      </c>
      <c r="AG1563" s="16">
        <f t="shared" si="90"/>
        <v>-12.360380945849485</v>
      </c>
    </row>
    <row r="1564" spans="29:33" x14ac:dyDescent="0.25">
      <c r="AC1564" s="16">
        <v>1560</v>
      </c>
      <c r="AD1564" s="16">
        <f t="shared" si="91"/>
        <v>2194.0842631151627</v>
      </c>
      <c r="AE1564" s="16">
        <f t="shared" si="89"/>
        <v>66.399120861744152</v>
      </c>
      <c r="AF1564" s="16">
        <f>'Gearing Calculator'!$C$17*Braking!AD1564</f>
        <v>3291.126394672744</v>
      </c>
      <c r="AG1564" s="16">
        <f t="shared" si="90"/>
        <v>-12.3633598597774</v>
      </c>
    </row>
    <row r="1565" spans="29:33" x14ac:dyDescent="0.25">
      <c r="AC1565" s="16">
        <v>1561</v>
      </c>
      <c r="AD1565" s="16">
        <f t="shared" si="91"/>
        <v>2194.6129210402364</v>
      </c>
      <c r="AE1565" s="16">
        <f t="shared" si="89"/>
        <v>66.441684400758092</v>
      </c>
      <c r="AF1565" s="16">
        <f>'Gearing Calculator'!$C$17*Braking!AD1565</f>
        <v>3291.9193815603549</v>
      </c>
      <c r="AG1565" s="16">
        <f t="shared" si="90"/>
        <v>-12.366338773705316</v>
      </c>
    </row>
    <row r="1566" spans="29:33" x14ac:dyDescent="0.25">
      <c r="AC1566" s="16">
        <v>1562</v>
      </c>
      <c r="AD1566" s="16">
        <f t="shared" si="91"/>
        <v>2195.1415789653101</v>
      </c>
      <c r="AE1566" s="16">
        <f t="shared" si="89"/>
        <v>66.484247939772033</v>
      </c>
      <c r="AF1566" s="16">
        <f>'Gearing Calculator'!$C$17*Braking!AD1566</f>
        <v>3292.7123684479652</v>
      </c>
      <c r="AG1566" s="16">
        <f t="shared" si="90"/>
        <v>-12.369317687633227</v>
      </c>
    </row>
    <row r="1567" spans="29:33" x14ac:dyDescent="0.25">
      <c r="AC1567" s="16">
        <v>1563</v>
      </c>
      <c r="AD1567" s="16">
        <f t="shared" si="91"/>
        <v>2195.6702368903839</v>
      </c>
      <c r="AE1567" s="16">
        <f t="shared" si="89"/>
        <v>66.526811478785973</v>
      </c>
      <c r="AF1567" s="16">
        <f>'Gearing Calculator'!$C$17*Braking!AD1567</f>
        <v>3293.5053553355756</v>
      </c>
      <c r="AG1567" s="16">
        <f t="shared" si="90"/>
        <v>-12.372296601561141</v>
      </c>
    </row>
    <row r="1568" spans="29:33" x14ac:dyDescent="0.25">
      <c r="AC1568" s="16">
        <v>1564</v>
      </c>
      <c r="AD1568" s="16">
        <f t="shared" si="91"/>
        <v>2196.1988948154576</v>
      </c>
      <c r="AE1568" s="16">
        <f t="shared" si="89"/>
        <v>66.569375017799914</v>
      </c>
      <c r="AF1568" s="16">
        <f>'Gearing Calculator'!$C$17*Braking!AD1568</f>
        <v>3294.2983422231864</v>
      </c>
      <c r="AG1568" s="16">
        <f t="shared" si="90"/>
        <v>-12.375275515489056</v>
      </c>
    </row>
    <row r="1569" spans="29:33" x14ac:dyDescent="0.25">
      <c r="AC1569" s="16">
        <v>1565</v>
      </c>
      <c r="AD1569" s="16">
        <f t="shared" si="91"/>
        <v>2196.7275527405318</v>
      </c>
      <c r="AE1569" s="16">
        <f t="shared" si="89"/>
        <v>66.611938556813854</v>
      </c>
      <c r="AF1569" s="16">
        <f>'Gearing Calculator'!$C$17*Braking!AD1569</f>
        <v>3295.0913291107977</v>
      </c>
      <c r="AG1569" s="16">
        <f t="shared" si="90"/>
        <v>-12.378254429416971</v>
      </c>
    </row>
    <row r="1570" spans="29:33" x14ac:dyDescent="0.25">
      <c r="AC1570" s="16">
        <v>1566</v>
      </c>
      <c r="AD1570" s="16">
        <f t="shared" si="91"/>
        <v>2197.2562106656055</v>
      </c>
      <c r="AE1570" s="16">
        <f t="shared" si="89"/>
        <v>66.654502095827795</v>
      </c>
      <c r="AF1570" s="16">
        <f>'Gearing Calculator'!$C$17*Braking!AD1570</f>
        <v>3295.8843159984081</v>
      </c>
      <c r="AG1570" s="16">
        <f t="shared" si="90"/>
        <v>-12.381233343344885</v>
      </c>
    </row>
    <row r="1571" spans="29:33" x14ac:dyDescent="0.25">
      <c r="AC1571" s="16">
        <v>1567</v>
      </c>
      <c r="AD1571" s="16">
        <f t="shared" si="91"/>
        <v>2197.7848685906793</v>
      </c>
      <c r="AE1571" s="16">
        <f t="shared" si="89"/>
        <v>66.697065634841735</v>
      </c>
      <c r="AF1571" s="16">
        <f>'Gearing Calculator'!$C$17*Braking!AD1571</f>
        <v>3296.6773028860189</v>
      </c>
      <c r="AG1571" s="16">
        <f t="shared" si="90"/>
        <v>-12.384212257272798</v>
      </c>
    </row>
    <row r="1572" spans="29:33" x14ac:dyDescent="0.25">
      <c r="AC1572" s="16">
        <v>1568</v>
      </c>
      <c r="AD1572" s="16">
        <f t="shared" si="91"/>
        <v>2198.313526515753</v>
      </c>
      <c r="AE1572" s="16">
        <f t="shared" si="89"/>
        <v>66.739629173855661</v>
      </c>
      <c r="AF1572" s="16">
        <f>'Gearing Calculator'!$C$17*Braking!AD1572</f>
        <v>3297.4702897736297</v>
      </c>
      <c r="AG1572" s="16">
        <f t="shared" si="90"/>
        <v>-12.387191171200714</v>
      </c>
    </row>
    <row r="1573" spans="29:33" x14ac:dyDescent="0.25">
      <c r="AC1573" s="16">
        <v>1569</v>
      </c>
      <c r="AD1573" s="16">
        <f t="shared" si="91"/>
        <v>2198.8421844408267</v>
      </c>
      <c r="AE1573" s="16">
        <f t="shared" si="89"/>
        <v>66.782192712869602</v>
      </c>
      <c r="AF1573" s="16">
        <f>'Gearing Calculator'!$C$17*Braking!AD1573</f>
        <v>3298.2632766612401</v>
      </c>
      <c r="AG1573" s="16">
        <f t="shared" si="90"/>
        <v>-12.390170085128625</v>
      </c>
    </row>
    <row r="1574" spans="29:33" x14ac:dyDescent="0.25">
      <c r="AC1574" s="16">
        <v>1570</v>
      </c>
      <c r="AD1574" s="16">
        <f t="shared" si="91"/>
        <v>2199.3708423659009</v>
      </c>
      <c r="AE1574" s="16">
        <f t="shared" si="89"/>
        <v>66.824756251883542</v>
      </c>
      <c r="AF1574" s="16">
        <f>'Gearing Calculator'!$C$17*Braking!AD1574</f>
        <v>3299.0562635488513</v>
      </c>
      <c r="AG1574" s="16">
        <f t="shared" si="90"/>
        <v>-12.393148999056542</v>
      </c>
    </row>
    <row r="1575" spans="29:33" x14ac:dyDescent="0.25">
      <c r="AC1575" s="16">
        <v>1571</v>
      </c>
      <c r="AD1575" s="16">
        <f t="shared" si="91"/>
        <v>2199.8995002909746</v>
      </c>
      <c r="AE1575" s="16">
        <f t="shared" si="89"/>
        <v>66.867319790897483</v>
      </c>
      <c r="AF1575" s="16">
        <f>'Gearing Calculator'!$C$17*Braking!AD1575</f>
        <v>3299.8492504364622</v>
      </c>
      <c r="AG1575" s="16">
        <f t="shared" si="90"/>
        <v>-12.396127912984456</v>
      </c>
    </row>
    <row r="1576" spans="29:33" x14ac:dyDescent="0.25">
      <c r="AC1576" s="16">
        <v>1572</v>
      </c>
      <c r="AD1576" s="16">
        <f t="shared" si="91"/>
        <v>2200.4281582160484</v>
      </c>
      <c r="AE1576" s="16">
        <f t="shared" si="89"/>
        <v>66.909883329911423</v>
      </c>
      <c r="AF1576" s="16">
        <f>'Gearing Calculator'!$C$17*Braking!AD1576</f>
        <v>3300.6422373240725</v>
      </c>
      <c r="AG1576" s="16">
        <f t="shared" si="90"/>
        <v>-12.399106826912369</v>
      </c>
    </row>
    <row r="1577" spans="29:33" x14ac:dyDescent="0.25">
      <c r="AC1577" s="16">
        <v>1573</v>
      </c>
      <c r="AD1577" s="16">
        <f t="shared" si="91"/>
        <v>2200.9568161411221</v>
      </c>
      <c r="AE1577" s="16">
        <f t="shared" si="89"/>
        <v>66.952446868925364</v>
      </c>
      <c r="AF1577" s="16">
        <f>'Gearing Calculator'!$C$17*Braking!AD1577</f>
        <v>3301.4352242116829</v>
      </c>
      <c r="AG1577" s="16">
        <f t="shared" si="90"/>
        <v>-12.402085740840281</v>
      </c>
    </row>
    <row r="1578" spans="29:33" x14ac:dyDescent="0.25">
      <c r="AC1578" s="16">
        <v>1574</v>
      </c>
      <c r="AD1578" s="16">
        <f t="shared" si="91"/>
        <v>2201.4854740661958</v>
      </c>
      <c r="AE1578" s="16">
        <f t="shared" si="89"/>
        <v>66.995010407939304</v>
      </c>
      <c r="AF1578" s="16">
        <f>'Gearing Calculator'!$C$17*Braking!AD1578</f>
        <v>3302.2282110992937</v>
      </c>
      <c r="AG1578" s="16">
        <f t="shared" si="90"/>
        <v>-12.405064654768196</v>
      </c>
    </row>
    <row r="1579" spans="29:33" x14ac:dyDescent="0.25">
      <c r="AC1579" s="16">
        <v>1575</v>
      </c>
      <c r="AD1579" s="16">
        <f t="shared" si="91"/>
        <v>2202.01413199127</v>
      </c>
      <c r="AE1579" s="16">
        <f t="shared" si="89"/>
        <v>67.037573946953231</v>
      </c>
      <c r="AF1579" s="16">
        <f>'Gearing Calculator'!$C$17*Braking!AD1579</f>
        <v>3303.021197986905</v>
      </c>
      <c r="AG1579" s="16">
        <f t="shared" si="90"/>
        <v>-12.408043568696112</v>
      </c>
    </row>
    <row r="1580" spans="29:33" x14ac:dyDescent="0.25">
      <c r="AC1580" s="16">
        <v>1576</v>
      </c>
      <c r="AD1580" s="16">
        <f t="shared" si="91"/>
        <v>2202.5427899163437</v>
      </c>
      <c r="AE1580" s="16">
        <f t="shared" si="89"/>
        <v>67.080137485967171</v>
      </c>
      <c r="AF1580" s="16">
        <f>'Gearing Calculator'!$C$17*Braking!AD1580</f>
        <v>3303.8141848745154</v>
      </c>
      <c r="AG1580" s="16">
        <f t="shared" si="90"/>
        <v>-12.411022482624025</v>
      </c>
    </row>
    <row r="1581" spans="29:33" x14ac:dyDescent="0.25">
      <c r="AC1581" s="16">
        <v>1577</v>
      </c>
      <c r="AD1581" s="16">
        <f t="shared" si="91"/>
        <v>2203.0714478414175</v>
      </c>
      <c r="AE1581" s="16">
        <f t="shared" si="89"/>
        <v>67.122701024981112</v>
      </c>
      <c r="AF1581" s="16">
        <f>'Gearing Calculator'!$C$17*Braking!AD1581</f>
        <v>3304.6071717621262</v>
      </c>
      <c r="AG1581" s="16">
        <f t="shared" si="90"/>
        <v>-12.41400139655194</v>
      </c>
    </row>
    <row r="1582" spans="29:33" x14ac:dyDescent="0.25">
      <c r="AC1582" s="16">
        <v>1578</v>
      </c>
      <c r="AD1582" s="16">
        <f t="shared" si="91"/>
        <v>2203.6001057664912</v>
      </c>
      <c r="AE1582" s="16">
        <f t="shared" si="89"/>
        <v>67.165264563995052</v>
      </c>
      <c r="AF1582" s="16">
        <f>'Gearing Calculator'!$C$17*Braking!AD1582</f>
        <v>3305.400158649737</v>
      </c>
      <c r="AG1582" s="16">
        <f t="shared" si="90"/>
        <v>-12.416980310479854</v>
      </c>
    </row>
    <row r="1583" spans="29:33" x14ac:dyDescent="0.25">
      <c r="AC1583" s="16">
        <v>1579</v>
      </c>
      <c r="AD1583" s="16">
        <f t="shared" si="91"/>
        <v>2204.1287636915649</v>
      </c>
      <c r="AE1583" s="16">
        <f t="shared" si="89"/>
        <v>67.207828103008993</v>
      </c>
      <c r="AF1583" s="16">
        <f>'Gearing Calculator'!$C$17*Braking!AD1583</f>
        <v>3306.1931455373474</v>
      </c>
      <c r="AG1583" s="16">
        <f t="shared" si="90"/>
        <v>-12.419959224407767</v>
      </c>
    </row>
    <row r="1584" spans="29:33" x14ac:dyDescent="0.25">
      <c r="AC1584" s="16">
        <v>1580</v>
      </c>
      <c r="AD1584" s="16">
        <f t="shared" si="91"/>
        <v>2204.6574216166391</v>
      </c>
      <c r="AE1584" s="16">
        <f t="shared" si="89"/>
        <v>67.250391642022933</v>
      </c>
      <c r="AF1584" s="16">
        <f>'Gearing Calculator'!$C$17*Braking!AD1584</f>
        <v>3306.9861324249587</v>
      </c>
      <c r="AG1584" s="16">
        <f t="shared" si="90"/>
        <v>-12.422938138335683</v>
      </c>
    </row>
    <row r="1585" spans="29:33" x14ac:dyDescent="0.25">
      <c r="AC1585" s="16">
        <v>1581</v>
      </c>
      <c r="AD1585" s="16">
        <f t="shared" si="91"/>
        <v>2205.1860795417128</v>
      </c>
      <c r="AE1585" s="16">
        <f t="shared" si="89"/>
        <v>67.292955181036874</v>
      </c>
      <c r="AF1585" s="16">
        <f>'Gearing Calculator'!$C$17*Braking!AD1585</f>
        <v>3307.7791193125695</v>
      </c>
      <c r="AG1585" s="16">
        <f t="shared" si="90"/>
        <v>-12.425917052263598</v>
      </c>
    </row>
    <row r="1586" spans="29:33" x14ac:dyDescent="0.25">
      <c r="AC1586" s="16">
        <v>1582</v>
      </c>
      <c r="AD1586" s="16">
        <f t="shared" si="91"/>
        <v>2205.7147374667866</v>
      </c>
      <c r="AE1586" s="16">
        <f t="shared" si="89"/>
        <v>67.3355187200508</v>
      </c>
      <c r="AF1586" s="16">
        <f>'Gearing Calculator'!$C$17*Braking!AD1586</f>
        <v>3308.5721062001799</v>
      </c>
      <c r="AG1586" s="16">
        <f t="shared" si="90"/>
        <v>-12.42889596619151</v>
      </c>
    </row>
    <row r="1587" spans="29:33" x14ac:dyDescent="0.25">
      <c r="AC1587" s="16">
        <v>1583</v>
      </c>
      <c r="AD1587" s="16">
        <f t="shared" si="91"/>
        <v>2206.2433953918603</v>
      </c>
      <c r="AE1587" s="16">
        <f t="shared" si="89"/>
        <v>67.37808225906474</v>
      </c>
      <c r="AF1587" s="16">
        <f>'Gearing Calculator'!$C$17*Braking!AD1587</f>
        <v>3309.3650930877902</v>
      </c>
      <c r="AG1587" s="16">
        <f t="shared" si="90"/>
        <v>-12.431874880119423</v>
      </c>
    </row>
    <row r="1588" spans="29:33" x14ac:dyDescent="0.25">
      <c r="AC1588" s="16">
        <v>1584</v>
      </c>
      <c r="AD1588" s="16">
        <f t="shared" si="91"/>
        <v>2206.772053316934</v>
      </c>
      <c r="AE1588" s="16">
        <f t="shared" si="89"/>
        <v>67.420645798078681</v>
      </c>
      <c r="AF1588" s="16">
        <f>'Gearing Calculator'!$C$17*Braking!AD1588</f>
        <v>3310.1580799754011</v>
      </c>
      <c r="AG1588" s="16">
        <f t="shared" si="90"/>
        <v>-12.434853794047337</v>
      </c>
    </row>
    <row r="1589" spans="29:33" x14ac:dyDescent="0.25">
      <c r="AC1589" s="16">
        <v>1585</v>
      </c>
      <c r="AD1589" s="16">
        <f t="shared" si="91"/>
        <v>2207.3007112420082</v>
      </c>
      <c r="AE1589" s="16">
        <f t="shared" si="89"/>
        <v>67.463209337092621</v>
      </c>
      <c r="AF1589" s="16">
        <f>'Gearing Calculator'!$C$17*Braking!AD1589</f>
        <v>3310.9510668630123</v>
      </c>
      <c r="AG1589" s="16">
        <f t="shared" si="90"/>
        <v>-12.437832707975254</v>
      </c>
    </row>
    <row r="1590" spans="29:33" x14ac:dyDescent="0.25">
      <c r="AC1590" s="16">
        <v>1586</v>
      </c>
      <c r="AD1590" s="16">
        <f t="shared" si="91"/>
        <v>2207.8293691670819</v>
      </c>
      <c r="AE1590" s="16">
        <f t="shared" si="89"/>
        <v>67.505772876106562</v>
      </c>
      <c r="AF1590" s="16">
        <f>'Gearing Calculator'!$C$17*Braking!AD1590</f>
        <v>3311.7440537506227</v>
      </c>
      <c r="AG1590" s="16">
        <f t="shared" si="90"/>
        <v>-12.440811621903165</v>
      </c>
    </row>
    <row r="1591" spans="29:33" x14ac:dyDescent="0.25">
      <c r="AC1591" s="16">
        <v>1587</v>
      </c>
      <c r="AD1591" s="16">
        <f t="shared" si="91"/>
        <v>2208.3580270921557</v>
      </c>
      <c r="AE1591" s="16">
        <f t="shared" si="89"/>
        <v>67.548336415120502</v>
      </c>
      <c r="AF1591" s="16">
        <f>'Gearing Calculator'!$C$17*Braking!AD1591</f>
        <v>3312.5370406382335</v>
      </c>
      <c r="AG1591" s="16">
        <f t="shared" si="90"/>
        <v>-12.443790535831081</v>
      </c>
    </row>
    <row r="1592" spans="29:33" x14ac:dyDescent="0.25">
      <c r="AC1592" s="16">
        <v>1588</v>
      </c>
      <c r="AD1592" s="16">
        <f t="shared" si="91"/>
        <v>2208.8866850172294</v>
      </c>
      <c r="AE1592" s="16">
        <f t="shared" si="89"/>
        <v>67.590899954134443</v>
      </c>
      <c r="AF1592" s="16">
        <f>'Gearing Calculator'!$C$17*Braking!AD1592</f>
        <v>3313.3300275258443</v>
      </c>
      <c r="AG1592" s="16">
        <f t="shared" si="90"/>
        <v>-12.446769449758994</v>
      </c>
    </row>
    <row r="1593" spans="29:33" x14ac:dyDescent="0.25">
      <c r="AC1593" s="16">
        <v>1589</v>
      </c>
      <c r="AD1593" s="16">
        <f t="shared" si="91"/>
        <v>2209.4153429423031</v>
      </c>
      <c r="AE1593" s="16">
        <f t="shared" si="89"/>
        <v>67.633463493148383</v>
      </c>
      <c r="AF1593" s="16">
        <f>'Gearing Calculator'!$C$17*Braking!AD1593</f>
        <v>3314.1230144134547</v>
      </c>
      <c r="AG1593" s="16">
        <f t="shared" si="90"/>
        <v>-12.449748363686908</v>
      </c>
    </row>
    <row r="1594" spans="29:33" x14ac:dyDescent="0.25">
      <c r="AC1594" s="16">
        <v>1590</v>
      </c>
      <c r="AD1594" s="16">
        <f t="shared" si="91"/>
        <v>2209.9440008673773</v>
      </c>
      <c r="AE1594" s="16">
        <f t="shared" si="89"/>
        <v>67.67602703216231</v>
      </c>
      <c r="AF1594" s="16">
        <f>'Gearing Calculator'!$C$17*Braking!AD1594</f>
        <v>3314.916001301066</v>
      </c>
      <c r="AG1594" s="16">
        <f t="shared" si="90"/>
        <v>-12.452727277614825</v>
      </c>
    </row>
    <row r="1595" spans="29:33" x14ac:dyDescent="0.25">
      <c r="AC1595" s="16">
        <v>1591</v>
      </c>
      <c r="AD1595" s="16">
        <f t="shared" si="91"/>
        <v>2210.4726587924511</v>
      </c>
      <c r="AE1595" s="16">
        <f t="shared" si="89"/>
        <v>67.71859057117625</v>
      </c>
      <c r="AF1595" s="16">
        <f>'Gearing Calculator'!$C$17*Braking!AD1595</f>
        <v>3315.7089881886768</v>
      </c>
      <c r="AG1595" s="16">
        <f t="shared" si="90"/>
        <v>-12.455706191542738</v>
      </c>
    </row>
    <row r="1596" spans="29:33" x14ac:dyDescent="0.25">
      <c r="AC1596" s="16">
        <v>1592</v>
      </c>
      <c r="AD1596" s="16">
        <f t="shared" si="91"/>
        <v>2211.0013167175248</v>
      </c>
      <c r="AE1596" s="16">
        <f t="shared" si="89"/>
        <v>67.761154110190191</v>
      </c>
      <c r="AF1596" s="16">
        <f>'Gearing Calculator'!$C$17*Braking!AD1596</f>
        <v>3316.5019750762872</v>
      </c>
      <c r="AG1596" s="16">
        <f t="shared" si="90"/>
        <v>-12.458685105470652</v>
      </c>
    </row>
    <row r="1597" spans="29:33" x14ac:dyDescent="0.25">
      <c r="AC1597" s="16">
        <v>1593</v>
      </c>
      <c r="AD1597" s="16">
        <f t="shared" si="91"/>
        <v>2211.5299746425985</v>
      </c>
      <c r="AE1597" s="16">
        <f t="shared" si="89"/>
        <v>67.803717649204131</v>
      </c>
      <c r="AF1597" s="16">
        <f>'Gearing Calculator'!$C$17*Braking!AD1597</f>
        <v>3317.2949619638975</v>
      </c>
      <c r="AG1597" s="16">
        <f t="shared" si="90"/>
        <v>-12.461664019398563</v>
      </c>
    </row>
    <row r="1598" spans="29:33" x14ac:dyDescent="0.25">
      <c r="AC1598" s="16">
        <v>1594</v>
      </c>
      <c r="AD1598" s="16">
        <f t="shared" si="91"/>
        <v>2212.0586325676722</v>
      </c>
      <c r="AE1598" s="16">
        <f t="shared" si="89"/>
        <v>67.846281188218072</v>
      </c>
      <c r="AF1598" s="16">
        <f>'Gearing Calculator'!$C$17*Braking!AD1598</f>
        <v>3318.0879488515084</v>
      </c>
      <c r="AG1598" s="16">
        <f t="shared" si="90"/>
        <v>-12.464642933326479</v>
      </c>
    </row>
    <row r="1599" spans="29:33" x14ac:dyDescent="0.25">
      <c r="AC1599" s="16">
        <v>1595</v>
      </c>
      <c r="AD1599" s="16">
        <f t="shared" si="91"/>
        <v>2212.5872904927464</v>
      </c>
      <c r="AE1599" s="16">
        <f t="shared" ref="AE1599:AE1662" si="92">(AC1599/$X$104)*100</f>
        <v>67.888844727232012</v>
      </c>
      <c r="AF1599" s="16">
        <f>'Gearing Calculator'!$C$17*Braking!AD1599</f>
        <v>3318.8809357391196</v>
      </c>
      <c r="AG1599" s="16">
        <f t="shared" si="90"/>
        <v>-12.467621847254394</v>
      </c>
    </row>
    <row r="1600" spans="29:33" x14ac:dyDescent="0.25">
      <c r="AC1600" s="16">
        <v>1596</v>
      </c>
      <c r="AD1600" s="16">
        <f t="shared" si="91"/>
        <v>2213.1159484178202</v>
      </c>
      <c r="AE1600" s="16">
        <f t="shared" si="92"/>
        <v>67.931408266245953</v>
      </c>
      <c r="AF1600" s="16">
        <f>'Gearing Calculator'!$C$17*Braking!AD1600</f>
        <v>3319.67392262673</v>
      </c>
      <c r="AG1600" s="16">
        <f t="shared" si="90"/>
        <v>-12.470600761182308</v>
      </c>
    </row>
    <row r="1601" spans="29:33" x14ac:dyDescent="0.25">
      <c r="AC1601" s="16">
        <v>1597</v>
      </c>
      <c r="AD1601" s="16">
        <f t="shared" si="91"/>
        <v>2213.6446063428939</v>
      </c>
      <c r="AE1601" s="16">
        <f t="shared" si="92"/>
        <v>67.973971805259879</v>
      </c>
      <c r="AF1601" s="16">
        <f>'Gearing Calculator'!$C$17*Braking!AD1601</f>
        <v>3320.4669095143408</v>
      </c>
      <c r="AG1601" s="16">
        <f t="shared" si="90"/>
        <v>-12.473579675110221</v>
      </c>
    </row>
    <row r="1602" spans="29:33" x14ac:dyDescent="0.25">
      <c r="AC1602" s="16">
        <v>1598</v>
      </c>
      <c r="AD1602" s="16">
        <f t="shared" si="91"/>
        <v>2214.1732642679676</v>
      </c>
      <c r="AE1602" s="16">
        <f t="shared" si="92"/>
        <v>68.016535344273819</v>
      </c>
      <c r="AF1602" s="16">
        <f>'Gearing Calculator'!$C$17*Braking!AD1602</f>
        <v>3321.2598964019517</v>
      </c>
      <c r="AG1602" s="16">
        <f t="shared" si="90"/>
        <v>-12.476558589038136</v>
      </c>
    </row>
    <row r="1603" spans="29:33" x14ac:dyDescent="0.25">
      <c r="AC1603" s="16">
        <v>1599</v>
      </c>
      <c r="AD1603" s="16">
        <f t="shared" si="91"/>
        <v>2214.7019221930414</v>
      </c>
      <c r="AE1603" s="16">
        <f t="shared" si="92"/>
        <v>68.05909888328776</v>
      </c>
      <c r="AF1603" s="16">
        <f>'Gearing Calculator'!$C$17*Braking!AD1603</f>
        <v>3322.052883289562</v>
      </c>
      <c r="AG1603" s="16">
        <f t="shared" si="90"/>
        <v>-12.479537502966048</v>
      </c>
    </row>
    <row r="1604" spans="29:33" x14ac:dyDescent="0.25">
      <c r="AC1604" s="16">
        <v>1600</v>
      </c>
      <c r="AD1604" s="16">
        <f t="shared" si="91"/>
        <v>2215.2305801181155</v>
      </c>
      <c r="AE1604" s="16">
        <f t="shared" si="92"/>
        <v>68.1016624223017</v>
      </c>
      <c r="AF1604" s="16">
        <f>'Gearing Calculator'!$C$17*Braking!AD1604</f>
        <v>3322.8458701771733</v>
      </c>
      <c r="AG1604" s="16">
        <f t="shared" si="90"/>
        <v>-12.482516416893965</v>
      </c>
    </row>
    <row r="1605" spans="29:33" x14ac:dyDescent="0.25">
      <c r="AC1605" s="16">
        <v>1601</v>
      </c>
      <c r="AD1605" s="16">
        <f t="shared" si="91"/>
        <v>2215.7592380431893</v>
      </c>
      <c r="AE1605" s="16">
        <f t="shared" si="92"/>
        <v>68.144225961315641</v>
      </c>
      <c r="AF1605" s="16">
        <f>'Gearing Calculator'!$C$17*Braking!AD1605</f>
        <v>3323.6388570647841</v>
      </c>
      <c r="AG1605" s="16">
        <f t="shared" si="90"/>
        <v>-12.485495330821879</v>
      </c>
    </row>
    <row r="1606" spans="29:33" x14ac:dyDescent="0.25">
      <c r="AC1606" s="16">
        <v>1602</v>
      </c>
      <c r="AD1606" s="16">
        <f t="shared" si="91"/>
        <v>2216.287895968263</v>
      </c>
      <c r="AE1606" s="16">
        <f t="shared" si="92"/>
        <v>68.186789500329581</v>
      </c>
      <c r="AF1606" s="16">
        <f>'Gearing Calculator'!$C$17*Braking!AD1606</f>
        <v>3324.4318439523945</v>
      </c>
      <c r="AG1606" s="16">
        <f t="shared" ref="AG1606:AG1669" si="93">-(AF1606/$C$3)</f>
        <v>-12.488474244749792</v>
      </c>
    </row>
    <row r="1607" spans="29:33" x14ac:dyDescent="0.25">
      <c r="AC1607" s="16">
        <v>1603</v>
      </c>
      <c r="AD1607" s="16">
        <f t="shared" ref="AD1607:AD1670" si="94">($C$3*$C$4)*($C$9/$C$8)+(AC1607*($C$10/$C$8))</f>
        <v>2216.8165538933367</v>
      </c>
      <c r="AE1607" s="16">
        <f t="shared" si="92"/>
        <v>68.229353039343522</v>
      </c>
      <c r="AF1607" s="16">
        <f>'Gearing Calculator'!$C$17*Braking!AD1607</f>
        <v>3325.2248308400049</v>
      </c>
      <c r="AG1607" s="16">
        <f t="shared" si="93"/>
        <v>-12.491453158677706</v>
      </c>
    </row>
    <row r="1608" spans="29:33" x14ac:dyDescent="0.25">
      <c r="AC1608" s="16">
        <v>1604</v>
      </c>
      <c r="AD1608" s="16">
        <f t="shared" si="94"/>
        <v>2217.3452118184105</v>
      </c>
      <c r="AE1608" s="16">
        <f t="shared" si="92"/>
        <v>68.271916578357462</v>
      </c>
      <c r="AF1608" s="16">
        <f>'Gearing Calculator'!$C$17*Braking!AD1608</f>
        <v>3326.0178177276157</v>
      </c>
      <c r="AG1608" s="16">
        <f t="shared" si="93"/>
        <v>-12.494432072605619</v>
      </c>
    </row>
    <row r="1609" spans="29:33" x14ac:dyDescent="0.25">
      <c r="AC1609" s="16">
        <v>1605</v>
      </c>
      <c r="AD1609" s="16">
        <f t="shared" si="94"/>
        <v>2217.8738697434846</v>
      </c>
      <c r="AE1609" s="16">
        <f t="shared" si="92"/>
        <v>68.314480117371389</v>
      </c>
      <c r="AF1609" s="16">
        <f>'Gearing Calculator'!$C$17*Braking!AD1609</f>
        <v>3326.810804615227</v>
      </c>
      <c r="AG1609" s="16">
        <f t="shared" si="93"/>
        <v>-12.497410986533536</v>
      </c>
    </row>
    <row r="1610" spans="29:33" x14ac:dyDescent="0.25">
      <c r="AC1610" s="16">
        <v>1606</v>
      </c>
      <c r="AD1610" s="16">
        <f t="shared" si="94"/>
        <v>2218.4025276685584</v>
      </c>
      <c r="AE1610" s="16">
        <f t="shared" si="92"/>
        <v>68.357043656385329</v>
      </c>
      <c r="AF1610" s="16">
        <f>'Gearing Calculator'!$C$17*Braking!AD1610</f>
        <v>3327.6037915028373</v>
      </c>
      <c r="AG1610" s="16">
        <f t="shared" si="93"/>
        <v>-12.500389900461448</v>
      </c>
    </row>
    <row r="1611" spans="29:33" x14ac:dyDescent="0.25">
      <c r="AC1611" s="16">
        <v>1607</v>
      </c>
      <c r="AD1611" s="16">
        <f t="shared" si="94"/>
        <v>2218.9311855936321</v>
      </c>
      <c r="AE1611" s="16">
        <f t="shared" si="92"/>
        <v>68.39960719539927</v>
      </c>
      <c r="AF1611" s="16">
        <f>'Gearing Calculator'!$C$17*Braking!AD1611</f>
        <v>3328.3967783904482</v>
      </c>
      <c r="AG1611" s="16">
        <f t="shared" si="93"/>
        <v>-12.503368814389363</v>
      </c>
    </row>
    <row r="1612" spans="29:33" x14ac:dyDescent="0.25">
      <c r="AC1612" s="16">
        <v>1608</v>
      </c>
      <c r="AD1612" s="16">
        <f t="shared" si="94"/>
        <v>2219.4598435187063</v>
      </c>
      <c r="AE1612" s="16">
        <f t="shared" si="92"/>
        <v>68.44217073441321</v>
      </c>
      <c r="AF1612" s="16">
        <f>'Gearing Calculator'!$C$17*Braking!AD1612</f>
        <v>3329.1897652780594</v>
      </c>
      <c r="AG1612" s="16">
        <f t="shared" si="93"/>
        <v>-12.506347728317278</v>
      </c>
    </row>
    <row r="1613" spans="29:33" x14ac:dyDescent="0.25">
      <c r="AC1613" s="16">
        <v>1609</v>
      </c>
      <c r="AD1613" s="16">
        <f t="shared" si="94"/>
        <v>2219.9885014437796</v>
      </c>
      <c r="AE1613" s="16">
        <f t="shared" si="92"/>
        <v>68.484734273427151</v>
      </c>
      <c r="AF1613" s="16">
        <f>'Gearing Calculator'!$C$17*Braking!AD1613</f>
        <v>3329.9827521656694</v>
      </c>
      <c r="AG1613" s="16">
        <f t="shared" si="93"/>
        <v>-12.50932664224519</v>
      </c>
    </row>
    <row r="1614" spans="29:33" x14ac:dyDescent="0.25">
      <c r="AC1614" s="16">
        <v>1610</v>
      </c>
      <c r="AD1614" s="16">
        <f t="shared" si="94"/>
        <v>2220.5171593688538</v>
      </c>
      <c r="AE1614" s="16">
        <f t="shared" si="92"/>
        <v>68.527297812441091</v>
      </c>
      <c r="AF1614" s="16">
        <f>'Gearing Calculator'!$C$17*Braking!AD1614</f>
        <v>3330.7757390532806</v>
      </c>
      <c r="AG1614" s="16">
        <f t="shared" si="93"/>
        <v>-12.512305556173105</v>
      </c>
    </row>
    <row r="1615" spans="29:33" x14ac:dyDescent="0.25">
      <c r="AC1615" s="16">
        <v>1611</v>
      </c>
      <c r="AD1615" s="16">
        <f t="shared" si="94"/>
        <v>2221.0458172939275</v>
      </c>
      <c r="AE1615" s="16">
        <f t="shared" si="92"/>
        <v>68.569861351455032</v>
      </c>
      <c r="AF1615" s="16">
        <f>'Gearing Calculator'!$C$17*Braking!AD1615</f>
        <v>3331.5687259408915</v>
      </c>
      <c r="AG1615" s="16">
        <f t="shared" si="93"/>
        <v>-12.515284470101021</v>
      </c>
    </row>
    <row r="1616" spans="29:33" x14ac:dyDescent="0.25">
      <c r="AC1616" s="16">
        <v>1612</v>
      </c>
      <c r="AD1616" s="16">
        <f t="shared" si="94"/>
        <v>2221.5744752190012</v>
      </c>
      <c r="AE1616" s="16">
        <f t="shared" si="92"/>
        <v>68.612424890468958</v>
      </c>
      <c r="AF1616" s="16">
        <f>'Gearing Calculator'!$C$17*Braking!AD1616</f>
        <v>3332.3617128285018</v>
      </c>
      <c r="AG1616" s="16">
        <f t="shared" si="93"/>
        <v>-12.518263384028932</v>
      </c>
    </row>
    <row r="1617" spans="29:33" x14ac:dyDescent="0.25">
      <c r="AC1617" s="16">
        <v>1613</v>
      </c>
      <c r="AD1617" s="16">
        <f t="shared" si="94"/>
        <v>2222.1031331440754</v>
      </c>
      <c r="AE1617" s="16">
        <f t="shared" si="92"/>
        <v>68.654988429482898</v>
      </c>
      <c r="AF1617" s="16">
        <f>'Gearing Calculator'!$C$17*Braking!AD1617</f>
        <v>3333.1546997161131</v>
      </c>
      <c r="AG1617" s="16">
        <f t="shared" si="93"/>
        <v>-12.521242297956849</v>
      </c>
    </row>
    <row r="1618" spans="29:33" x14ac:dyDescent="0.25">
      <c r="AC1618" s="16">
        <v>1614</v>
      </c>
      <c r="AD1618" s="16">
        <f t="shared" si="94"/>
        <v>2222.6317910691487</v>
      </c>
      <c r="AE1618" s="16">
        <f t="shared" si="92"/>
        <v>68.697551968496839</v>
      </c>
      <c r="AF1618" s="16">
        <f>'Gearing Calculator'!$C$17*Braking!AD1618</f>
        <v>3333.947686603723</v>
      </c>
      <c r="AG1618" s="16">
        <f t="shared" si="93"/>
        <v>-12.524221211884759</v>
      </c>
    </row>
    <row r="1619" spans="29:33" x14ac:dyDescent="0.25">
      <c r="AC1619" s="16">
        <v>1615</v>
      </c>
      <c r="AD1619" s="16">
        <f t="shared" si="94"/>
        <v>2223.1604489942229</v>
      </c>
      <c r="AE1619" s="16">
        <f t="shared" si="92"/>
        <v>68.740115507510779</v>
      </c>
      <c r="AF1619" s="16">
        <f>'Gearing Calculator'!$C$17*Braking!AD1619</f>
        <v>3334.7406734913343</v>
      </c>
      <c r="AG1619" s="16">
        <f t="shared" si="93"/>
        <v>-12.527200125812676</v>
      </c>
    </row>
    <row r="1620" spans="29:33" x14ac:dyDescent="0.25">
      <c r="AC1620" s="16">
        <v>1616</v>
      </c>
      <c r="AD1620" s="16">
        <f t="shared" si="94"/>
        <v>2223.6891069192966</v>
      </c>
      <c r="AE1620" s="16">
        <f t="shared" si="92"/>
        <v>68.78267904652472</v>
      </c>
      <c r="AF1620" s="16">
        <f>'Gearing Calculator'!$C$17*Braking!AD1620</f>
        <v>3335.5336603789447</v>
      </c>
      <c r="AG1620" s="16">
        <f t="shared" si="93"/>
        <v>-12.53017903974059</v>
      </c>
    </row>
    <row r="1621" spans="29:33" x14ac:dyDescent="0.25">
      <c r="AC1621" s="16">
        <v>1617</v>
      </c>
      <c r="AD1621" s="16">
        <f t="shared" si="94"/>
        <v>2224.2177648443703</v>
      </c>
      <c r="AE1621" s="16">
        <f t="shared" si="92"/>
        <v>68.82524258553866</v>
      </c>
      <c r="AF1621" s="16">
        <f>'Gearing Calculator'!$C$17*Braking!AD1621</f>
        <v>3336.3266472665555</v>
      </c>
      <c r="AG1621" s="16">
        <f t="shared" si="93"/>
        <v>-12.533157953668503</v>
      </c>
    </row>
    <row r="1622" spans="29:33" x14ac:dyDescent="0.25">
      <c r="AC1622" s="16">
        <v>1618</v>
      </c>
      <c r="AD1622" s="16">
        <f t="shared" si="94"/>
        <v>2224.7464227694445</v>
      </c>
      <c r="AE1622" s="16">
        <f t="shared" si="92"/>
        <v>68.867806124552601</v>
      </c>
      <c r="AF1622" s="16">
        <f>'Gearing Calculator'!$C$17*Braking!AD1622</f>
        <v>3337.1196341541668</v>
      </c>
      <c r="AG1622" s="16">
        <f t="shared" si="93"/>
        <v>-12.53613686759642</v>
      </c>
    </row>
    <row r="1623" spans="29:33" x14ac:dyDescent="0.25">
      <c r="AC1623" s="16">
        <v>1619</v>
      </c>
      <c r="AD1623" s="16">
        <f t="shared" si="94"/>
        <v>2225.2750806945178</v>
      </c>
      <c r="AE1623" s="16">
        <f t="shared" si="92"/>
        <v>68.910369663566541</v>
      </c>
      <c r="AF1623" s="16">
        <f>'Gearing Calculator'!$C$17*Braking!AD1623</f>
        <v>3337.9126210417767</v>
      </c>
      <c r="AG1623" s="16">
        <f t="shared" si="93"/>
        <v>-12.53911578152433</v>
      </c>
    </row>
    <row r="1624" spans="29:33" x14ac:dyDescent="0.25">
      <c r="AC1624" s="16">
        <v>1620</v>
      </c>
      <c r="AD1624" s="16">
        <f t="shared" si="94"/>
        <v>2225.803738619592</v>
      </c>
      <c r="AE1624" s="16">
        <f t="shared" si="92"/>
        <v>68.952933202580468</v>
      </c>
      <c r="AF1624" s="16">
        <f>'Gearing Calculator'!$C$17*Braking!AD1624</f>
        <v>3338.705607929388</v>
      </c>
      <c r="AG1624" s="16">
        <f t="shared" si="93"/>
        <v>-12.542094695452247</v>
      </c>
    </row>
    <row r="1625" spans="29:33" x14ac:dyDescent="0.25">
      <c r="AC1625" s="16">
        <v>1621</v>
      </c>
      <c r="AD1625" s="16">
        <f t="shared" si="94"/>
        <v>2226.3323965446657</v>
      </c>
      <c r="AE1625" s="16">
        <f t="shared" si="92"/>
        <v>68.995496741594408</v>
      </c>
      <c r="AF1625" s="16">
        <f>'Gearing Calculator'!$C$17*Braking!AD1625</f>
        <v>3339.4985948169988</v>
      </c>
      <c r="AG1625" s="16">
        <f t="shared" si="93"/>
        <v>-12.545073609380161</v>
      </c>
    </row>
    <row r="1626" spans="29:33" x14ac:dyDescent="0.25">
      <c r="AC1626" s="16">
        <v>1622</v>
      </c>
      <c r="AD1626" s="16">
        <f t="shared" si="94"/>
        <v>2226.8610544697394</v>
      </c>
      <c r="AE1626" s="16">
        <f t="shared" si="92"/>
        <v>69.038060280608349</v>
      </c>
      <c r="AF1626" s="16">
        <f>'Gearing Calculator'!$C$17*Braking!AD1626</f>
        <v>3340.2915817046091</v>
      </c>
      <c r="AG1626" s="16">
        <f t="shared" si="93"/>
        <v>-12.548052523308074</v>
      </c>
    </row>
    <row r="1627" spans="29:33" x14ac:dyDescent="0.25">
      <c r="AC1627" s="16">
        <v>1623</v>
      </c>
      <c r="AD1627" s="16">
        <f t="shared" si="94"/>
        <v>2227.3897123948136</v>
      </c>
      <c r="AE1627" s="16">
        <f t="shared" si="92"/>
        <v>69.080623819622289</v>
      </c>
      <c r="AF1627" s="16">
        <f>'Gearing Calculator'!$C$17*Braking!AD1627</f>
        <v>3341.0845685922204</v>
      </c>
      <c r="AG1627" s="16">
        <f t="shared" si="93"/>
        <v>-12.55103143723599</v>
      </c>
    </row>
    <row r="1628" spans="29:33" x14ac:dyDescent="0.25">
      <c r="AC1628" s="16">
        <v>1624</v>
      </c>
      <c r="AD1628" s="16">
        <f t="shared" si="94"/>
        <v>2227.9183703198869</v>
      </c>
      <c r="AE1628" s="16">
        <f t="shared" si="92"/>
        <v>69.12318735863623</v>
      </c>
      <c r="AF1628" s="16">
        <f>'Gearing Calculator'!$C$17*Braking!AD1628</f>
        <v>3341.8775554798303</v>
      </c>
      <c r="AG1628" s="16">
        <f t="shared" si="93"/>
        <v>-12.554010351163901</v>
      </c>
    </row>
    <row r="1629" spans="29:33" x14ac:dyDescent="0.25">
      <c r="AC1629" s="16">
        <v>1625</v>
      </c>
      <c r="AD1629" s="16">
        <f t="shared" si="94"/>
        <v>2228.4470282449611</v>
      </c>
      <c r="AE1629" s="16">
        <f t="shared" si="92"/>
        <v>69.16575089765017</v>
      </c>
      <c r="AF1629" s="16">
        <f>'Gearing Calculator'!$C$17*Braking!AD1629</f>
        <v>3342.6705423674416</v>
      </c>
      <c r="AG1629" s="16">
        <f t="shared" si="93"/>
        <v>-12.556989265091817</v>
      </c>
    </row>
    <row r="1630" spans="29:33" x14ac:dyDescent="0.25">
      <c r="AC1630" s="16">
        <v>1626</v>
      </c>
      <c r="AD1630" s="16">
        <f t="shared" si="94"/>
        <v>2228.9756861700348</v>
      </c>
      <c r="AE1630" s="16">
        <f t="shared" si="92"/>
        <v>69.208314436664111</v>
      </c>
      <c r="AF1630" s="16">
        <f>'Gearing Calculator'!$C$17*Braking!AD1630</f>
        <v>3343.463529255052</v>
      </c>
      <c r="AG1630" s="16">
        <f t="shared" si="93"/>
        <v>-12.55996817901973</v>
      </c>
    </row>
    <row r="1631" spans="29:33" x14ac:dyDescent="0.25">
      <c r="AC1631" s="16">
        <v>1627</v>
      </c>
      <c r="AD1631" s="16">
        <f t="shared" si="94"/>
        <v>2229.5043440951085</v>
      </c>
      <c r="AE1631" s="16">
        <f t="shared" si="92"/>
        <v>69.250877975678037</v>
      </c>
      <c r="AF1631" s="16">
        <f>'Gearing Calculator'!$C$17*Braking!AD1631</f>
        <v>3344.2565161426628</v>
      </c>
      <c r="AG1631" s="16">
        <f t="shared" si="93"/>
        <v>-12.562947092947644</v>
      </c>
    </row>
    <row r="1632" spans="29:33" x14ac:dyDescent="0.25">
      <c r="AC1632" s="16">
        <v>1628</v>
      </c>
      <c r="AD1632" s="16">
        <f t="shared" si="94"/>
        <v>2230.0330020201827</v>
      </c>
      <c r="AE1632" s="16">
        <f t="shared" si="92"/>
        <v>69.293441514691978</v>
      </c>
      <c r="AF1632" s="16">
        <f>'Gearing Calculator'!$C$17*Braking!AD1632</f>
        <v>3345.0495030302741</v>
      </c>
      <c r="AG1632" s="16">
        <f t="shared" si="93"/>
        <v>-12.565926006875561</v>
      </c>
    </row>
    <row r="1633" spans="29:33" x14ac:dyDescent="0.25">
      <c r="AC1633" s="16">
        <v>1629</v>
      </c>
      <c r="AD1633" s="16">
        <f t="shared" si="94"/>
        <v>2230.561659945256</v>
      </c>
      <c r="AE1633" s="16">
        <f t="shared" si="92"/>
        <v>69.336005053705918</v>
      </c>
      <c r="AF1633" s="16">
        <f>'Gearing Calculator'!$C$17*Braking!AD1633</f>
        <v>3345.842489917884</v>
      </c>
      <c r="AG1633" s="16">
        <f t="shared" si="93"/>
        <v>-12.568904920803472</v>
      </c>
    </row>
    <row r="1634" spans="29:33" x14ac:dyDescent="0.25">
      <c r="AC1634" s="16">
        <v>1630</v>
      </c>
      <c r="AD1634" s="16">
        <f t="shared" si="94"/>
        <v>2231.0903178703302</v>
      </c>
      <c r="AE1634" s="16">
        <f t="shared" si="92"/>
        <v>69.378568592719859</v>
      </c>
      <c r="AF1634" s="16">
        <f>'Gearing Calculator'!$C$17*Braking!AD1634</f>
        <v>3346.6354768054953</v>
      </c>
      <c r="AG1634" s="16">
        <f t="shared" si="93"/>
        <v>-12.571883834731388</v>
      </c>
    </row>
    <row r="1635" spans="29:33" x14ac:dyDescent="0.25">
      <c r="AC1635" s="16">
        <v>1631</v>
      </c>
      <c r="AD1635" s="16">
        <f t="shared" si="94"/>
        <v>2231.6189757954039</v>
      </c>
      <c r="AE1635" s="16">
        <f t="shared" si="92"/>
        <v>69.421132131733799</v>
      </c>
      <c r="AF1635" s="16">
        <f>'Gearing Calculator'!$C$17*Braking!AD1635</f>
        <v>3347.4284636931061</v>
      </c>
      <c r="AG1635" s="16">
        <f t="shared" si="93"/>
        <v>-12.574862748659303</v>
      </c>
    </row>
    <row r="1636" spans="29:33" x14ac:dyDescent="0.25">
      <c r="AC1636" s="16">
        <v>1632</v>
      </c>
      <c r="AD1636" s="16">
        <f t="shared" si="94"/>
        <v>2232.1476337204776</v>
      </c>
      <c r="AE1636" s="16">
        <f t="shared" si="92"/>
        <v>69.46369567074774</v>
      </c>
      <c r="AF1636" s="16">
        <f>'Gearing Calculator'!$C$17*Braking!AD1636</f>
        <v>3348.2214505807165</v>
      </c>
      <c r="AG1636" s="16">
        <f t="shared" si="93"/>
        <v>-12.577841662587215</v>
      </c>
    </row>
    <row r="1637" spans="29:33" x14ac:dyDescent="0.25">
      <c r="AC1637" s="16">
        <v>1633</v>
      </c>
      <c r="AD1637" s="16">
        <f t="shared" si="94"/>
        <v>2232.6762916455518</v>
      </c>
      <c r="AE1637" s="16">
        <f t="shared" si="92"/>
        <v>69.50625920976168</v>
      </c>
      <c r="AF1637" s="16">
        <f>'Gearing Calculator'!$C$17*Braking!AD1637</f>
        <v>3349.0144374683277</v>
      </c>
      <c r="AG1637" s="16">
        <f t="shared" si="93"/>
        <v>-12.580820576515132</v>
      </c>
    </row>
    <row r="1638" spans="29:33" x14ac:dyDescent="0.25">
      <c r="AC1638" s="16">
        <v>1634</v>
      </c>
      <c r="AD1638" s="16">
        <f t="shared" si="94"/>
        <v>2233.2049495706251</v>
      </c>
      <c r="AE1638" s="16">
        <f t="shared" si="92"/>
        <v>69.548822748775621</v>
      </c>
      <c r="AF1638" s="16">
        <f>'Gearing Calculator'!$C$17*Braking!AD1638</f>
        <v>3349.8074243559377</v>
      </c>
      <c r="AG1638" s="16">
        <f t="shared" si="93"/>
        <v>-12.583799490443042</v>
      </c>
    </row>
    <row r="1639" spans="29:33" x14ac:dyDescent="0.25">
      <c r="AC1639" s="16">
        <v>1635</v>
      </c>
      <c r="AD1639" s="16">
        <f t="shared" si="94"/>
        <v>2233.7336074956993</v>
      </c>
      <c r="AE1639" s="16">
        <f t="shared" si="92"/>
        <v>69.591386287789547</v>
      </c>
      <c r="AF1639" s="16">
        <f>'Gearing Calculator'!$C$17*Braking!AD1639</f>
        <v>3350.6004112435489</v>
      </c>
      <c r="AG1639" s="16">
        <f t="shared" si="93"/>
        <v>-12.586778404370959</v>
      </c>
    </row>
    <row r="1640" spans="29:33" x14ac:dyDescent="0.25">
      <c r="AC1640" s="16">
        <v>1636</v>
      </c>
      <c r="AD1640" s="16">
        <f t="shared" si="94"/>
        <v>2234.262265420773</v>
      </c>
      <c r="AE1640" s="16">
        <f t="shared" si="92"/>
        <v>69.633949826803487</v>
      </c>
      <c r="AF1640" s="16">
        <f>'Gearing Calculator'!$C$17*Braking!AD1640</f>
        <v>3351.3933981311593</v>
      </c>
      <c r="AG1640" s="16">
        <f t="shared" si="93"/>
        <v>-12.58975731829887</v>
      </c>
    </row>
    <row r="1641" spans="29:33" x14ac:dyDescent="0.25">
      <c r="AC1641" s="16">
        <v>1637</v>
      </c>
      <c r="AD1641" s="16">
        <f t="shared" si="94"/>
        <v>2234.7909233458467</v>
      </c>
      <c r="AE1641" s="16">
        <f t="shared" si="92"/>
        <v>69.676513365817428</v>
      </c>
      <c r="AF1641" s="16">
        <f>'Gearing Calculator'!$C$17*Braking!AD1641</f>
        <v>3352.1863850187701</v>
      </c>
      <c r="AG1641" s="16">
        <f t="shared" si="93"/>
        <v>-12.592736232226786</v>
      </c>
    </row>
    <row r="1642" spans="29:33" x14ac:dyDescent="0.25">
      <c r="AC1642" s="16">
        <v>1638</v>
      </c>
      <c r="AD1642" s="16">
        <f t="shared" si="94"/>
        <v>2235.3195812709209</v>
      </c>
      <c r="AE1642" s="16">
        <f t="shared" si="92"/>
        <v>69.719076904831368</v>
      </c>
      <c r="AF1642" s="16">
        <f>'Gearing Calculator'!$C$17*Braking!AD1642</f>
        <v>3352.9793719063814</v>
      </c>
      <c r="AG1642" s="16">
        <f t="shared" si="93"/>
        <v>-12.595715146154701</v>
      </c>
    </row>
    <row r="1643" spans="29:33" x14ac:dyDescent="0.25">
      <c r="AC1643" s="16">
        <v>1639</v>
      </c>
      <c r="AD1643" s="16">
        <f t="shared" si="94"/>
        <v>2235.8482391959942</v>
      </c>
      <c r="AE1643" s="16">
        <f t="shared" si="92"/>
        <v>69.761640443845309</v>
      </c>
      <c r="AF1643" s="16">
        <f>'Gearing Calculator'!$C$17*Braking!AD1643</f>
        <v>3353.7723587939913</v>
      </c>
      <c r="AG1643" s="16">
        <f t="shared" si="93"/>
        <v>-12.598694060082613</v>
      </c>
    </row>
    <row r="1644" spans="29:33" x14ac:dyDescent="0.25">
      <c r="AC1644" s="16">
        <v>1640</v>
      </c>
      <c r="AD1644" s="16">
        <f t="shared" si="94"/>
        <v>2236.3768971210684</v>
      </c>
      <c r="AE1644" s="16">
        <f t="shared" si="92"/>
        <v>69.804203982859249</v>
      </c>
      <c r="AF1644" s="16">
        <f>'Gearing Calculator'!$C$17*Braking!AD1644</f>
        <v>3354.5653456816026</v>
      </c>
      <c r="AG1644" s="16">
        <f t="shared" si="93"/>
        <v>-12.601672974010528</v>
      </c>
    </row>
    <row r="1645" spans="29:33" x14ac:dyDescent="0.25">
      <c r="AC1645" s="16">
        <v>1641</v>
      </c>
      <c r="AD1645" s="16">
        <f t="shared" si="94"/>
        <v>2236.9055550461421</v>
      </c>
      <c r="AE1645" s="16">
        <f t="shared" si="92"/>
        <v>69.84676752187319</v>
      </c>
      <c r="AF1645" s="16">
        <f>'Gearing Calculator'!$C$17*Braking!AD1645</f>
        <v>3355.3583325692134</v>
      </c>
      <c r="AG1645" s="16">
        <f t="shared" si="93"/>
        <v>-12.604651887938443</v>
      </c>
    </row>
    <row r="1646" spans="29:33" x14ac:dyDescent="0.25">
      <c r="AC1646" s="16">
        <v>1642</v>
      </c>
      <c r="AD1646" s="16">
        <f t="shared" si="94"/>
        <v>2237.4342129712159</v>
      </c>
      <c r="AE1646" s="16">
        <f t="shared" si="92"/>
        <v>69.889331060887116</v>
      </c>
      <c r="AF1646" s="16">
        <f>'Gearing Calculator'!$C$17*Braking!AD1646</f>
        <v>3356.1513194568238</v>
      </c>
      <c r="AG1646" s="16">
        <f t="shared" si="93"/>
        <v>-12.607630801866355</v>
      </c>
    </row>
    <row r="1647" spans="29:33" x14ac:dyDescent="0.25">
      <c r="AC1647" s="16">
        <v>1643</v>
      </c>
      <c r="AD1647" s="16">
        <f t="shared" si="94"/>
        <v>2237.96287089629</v>
      </c>
      <c r="AE1647" s="16">
        <f t="shared" si="92"/>
        <v>69.931894599901057</v>
      </c>
      <c r="AF1647" s="16">
        <f>'Gearing Calculator'!$C$17*Braking!AD1647</f>
        <v>3356.9443063444351</v>
      </c>
      <c r="AG1647" s="16">
        <f t="shared" si="93"/>
        <v>-12.610609715794272</v>
      </c>
    </row>
    <row r="1648" spans="29:33" x14ac:dyDescent="0.25">
      <c r="AC1648" s="16">
        <v>1644</v>
      </c>
      <c r="AD1648" s="16">
        <f t="shared" si="94"/>
        <v>2238.4915288213638</v>
      </c>
      <c r="AE1648" s="16">
        <f t="shared" si="92"/>
        <v>69.974458138914997</v>
      </c>
      <c r="AF1648" s="16">
        <f>'Gearing Calculator'!$C$17*Braking!AD1648</f>
        <v>3357.7372932320459</v>
      </c>
      <c r="AG1648" s="16">
        <f t="shared" si="93"/>
        <v>-12.613588629722187</v>
      </c>
    </row>
    <row r="1649" spans="29:33" x14ac:dyDescent="0.25">
      <c r="AC1649" s="16">
        <v>1645</v>
      </c>
      <c r="AD1649" s="16">
        <f t="shared" si="94"/>
        <v>2239.0201867464375</v>
      </c>
      <c r="AE1649" s="16">
        <f t="shared" si="92"/>
        <v>70.017021677928938</v>
      </c>
      <c r="AF1649" s="16">
        <f>'Gearing Calculator'!$C$17*Braking!AD1649</f>
        <v>3358.5302801196563</v>
      </c>
      <c r="AG1649" s="16">
        <f t="shared" si="93"/>
        <v>-12.616567543650099</v>
      </c>
    </row>
    <row r="1650" spans="29:33" x14ac:dyDescent="0.25">
      <c r="AC1650" s="16">
        <v>1646</v>
      </c>
      <c r="AD1650" s="16">
        <f t="shared" si="94"/>
        <v>2239.5488446715112</v>
      </c>
      <c r="AE1650" s="16">
        <f t="shared" si="92"/>
        <v>70.059585216942878</v>
      </c>
      <c r="AF1650" s="16">
        <f>'Gearing Calculator'!$C$17*Braking!AD1650</f>
        <v>3359.3232670072666</v>
      </c>
      <c r="AG1650" s="16">
        <f t="shared" si="93"/>
        <v>-12.619546457578013</v>
      </c>
    </row>
    <row r="1651" spans="29:33" x14ac:dyDescent="0.25">
      <c r="AC1651" s="16">
        <v>1647</v>
      </c>
      <c r="AD1651" s="16">
        <f t="shared" si="94"/>
        <v>2240.077502596585</v>
      </c>
      <c r="AE1651" s="16">
        <f t="shared" si="92"/>
        <v>70.102148755956819</v>
      </c>
      <c r="AF1651" s="16">
        <f>'Gearing Calculator'!$C$17*Braking!AD1651</f>
        <v>3360.1162538948774</v>
      </c>
      <c r="AG1651" s="16">
        <f t="shared" si="93"/>
        <v>-12.622525371505926</v>
      </c>
    </row>
    <row r="1652" spans="29:33" x14ac:dyDescent="0.25">
      <c r="AC1652" s="16">
        <v>1648</v>
      </c>
      <c r="AD1652" s="16">
        <f t="shared" si="94"/>
        <v>2240.6061605216591</v>
      </c>
      <c r="AE1652" s="16">
        <f t="shared" si="92"/>
        <v>70.144712294970759</v>
      </c>
      <c r="AF1652" s="16">
        <f>'Gearing Calculator'!$C$17*Braking!AD1652</f>
        <v>3360.9092407824887</v>
      </c>
      <c r="AG1652" s="16">
        <f t="shared" si="93"/>
        <v>-12.625504285433843</v>
      </c>
    </row>
    <row r="1653" spans="29:33" x14ac:dyDescent="0.25">
      <c r="AC1653" s="16">
        <v>1649</v>
      </c>
      <c r="AD1653" s="16">
        <f t="shared" si="94"/>
        <v>2241.1348184467329</v>
      </c>
      <c r="AE1653" s="16">
        <f t="shared" si="92"/>
        <v>70.187275833984685</v>
      </c>
      <c r="AF1653" s="16">
        <f>'Gearing Calculator'!$C$17*Braking!AD1653</f>
        <v>3361.7022276700991</v>
      </c>
      <c r="AG1653" s="16">
        <f t="shared" si="93"/>
        <v>-12.628483199361755</v>
      </c>
    </row>
    <row r="1654" spans="29:33" x14ac:dyDescent="0.25">
      <c r="AC1654" s="16">
        <v>1650</v>
      </c>
      <c r="AD1654" s="16">
        <f t="shared" si="94"/>
        <v>2241.6634763718066</v>
      </c>
      <c r="AE1654" s="16">
        <f t="shared" si="92"/>
        <v>70.229839372998626</v>
      </c>
      <c r="AF1654" s="16">
        <f>'Gearing Calculator'!$C$17*Braking!AD1654</f>
        <v>3362.4952145577099</v>
      </c>
      <c r="AG1654" s="16">
        <f t="shared" si="93"/>
        <v>-12.63146211328967</v>
      </c>
    </row>
    <row r="1655" spans="29:33" x14ac:dyDescent="0.25">
      <c r="AC1655" s="16">
        <v>1651</v>
      </c>
      <c r="AD1655" s="16">
        <f t="shared" si="94"/>
        <v>2242.1921342968803</v>
      </c>
      <c r="AE1655" s="16">
        <f t="shared" si="92"/>
        <v>70.272402912012566</v>
      </c>
      <c r="AF1655" s="16">
        <f>'Gearing Calculator'!$C$17*Braking!AD1655</f>
        <v>3363.2882014453207</v>
      </c>
      <c r="AG1655" s="16">
        <f t="shared" si="93"/>
        <v>-12.634441027217584</v>
      </c>
    </row>
    <row r="1656" spans="29:33" x14ac:dyDescent="0.25">
      <c r="AC1656" s="16">
        <v>1652</v>
      </c>
      <c r="AD1656" s="16">
        <f t="shared" si="94"/>
        <v>2242.7207922219541</v>
      </c>
      <c r="AE1656" s="16">
        <f t="shared" si="92"/>
        <v>70.314966451026507</v>
      </c>
      <c r="AF1656" s="16">
        <f>'Gearing Calculator'!$C$17*Braking!AD1656</f>
        <v>3364.0811883329311</v>
      </c>
      <c r="AG1656" s="16">
        <f t="shared" si="93"/>
        <v>-12.637419941145497</v>
      </c>
    </row>
    <row r="1657" spans="29:33" x14ac:dyDescent="0.25">
      <c r="AC1657" s="16">
        <v>1653</v>
      </c>
      <c r="AD1657" s="16">
        <f t="shared" si="94"/>
        <v>2243.2494501470283</v>
      </c>
      <c r="AE1657" s="16">
        <f t="shared" si="92"/>
        <v>70.357529990040447</v>
      </c>
      <c r="AF1657" s="16">
        <f>'Gearing Calculator'!$C$17*Braking!AD1657</f>
        <v>3364.8741752205424</v>
      </c>
      <c r="AG1657" s="16">
        <f t="shared" si="93"/>
        <v>-12.640398855073412</v>
      </c>
    </row>
    <row r="1658" spans="29:33" x14ac:dyDescent="0.25">
      <c r="AC1658" s="16">
        <v>1654</v>
      </c>
      <c r="AD1658" s="16">
        <f t="shared" si="94"/>
        <v>2243.778108072102</v>
      </c>
      <c r="AE1658" s="16">
        <f t="shared" si="92"/>
        <v>70.400093529054388</v>
      </c>
      <c r="AF1658" s="16">
        <f>'Gearing Calculator'!$C$17*Braking!AD1658</f>
        <v>3365.6671621081532</v>
      </c>
      <c r="AG1658" s="16">
        <f t="shared" si="93"/>
        <v>-12.643377769001328</v>
      </c>
    </row>
    <row r="1659" spans="29:33" x14ac:dyDescent="0.25">
      <c r="AC1659" s="16">
        <v>1655</v>
      </c>
      <c r="AD1659" s="16">
        <f t="shared" si="94"/>
        <v>2244.3067659971757</v>
      </c>
      <c r="AE1659" s="16">
        <f t="shared" si="92"/>
        <v>70.442657068068328</v>
      </c>
      <c r="AF1659" s="16">
        <f>'Gearing Calculator'!$C$17*Braking!AD1659</f>
        <v>3366.4601489957636</v>
      </c>
      <c r="AG1659" s="16">
        <f t="shared" si="93"/>
        <v>-12.646356682929239</v>
      </c>
    </row>
    <row r="1660" spans="29:33" x14ac:dyDescent="0.25">
      <c r="AC1660" s="16">
        <v>1656</v>
      </c>
      <c r="AD1660" s="16">
        <f t="shared" si="94"/>
        <v>2244.8354239222494</v>
      </c>
      <c r="AE1660" s="16">
        <f t="shared" si="92"/>
        <v>70.485220607082269</v>
      </c>
      <c r="AF1660" s="16">
        <f>'Gearing Calculator'!$C$17*Braking!AD1660</f>
        <v>3367.2531358833739</v>
      </c>
      <c r="AG1660" s="16">
        <f t="shared" si="93"/>
        <v>-12.649335596857153</v>
      </c>
    </row>
    <row r="1661" spans="29:33" x14ac:dyDescent="0.25">
      <c r="AC1661" s="16">
        <v>1657</v>
      </c>
      <c r="AD1661" s="16">
        <f t="shared" si="94"/>
        <v>2245.3640818473232</v>
      </c>
      <c r="AE1661" s="16">
        <f t="shared" si="92"/>
        <v>70.527784146096195</v>
      </c>
      <c r="AF1661" s="16">
        <f>'Gearing Calculator'!$C$17*Braking!AD1661</f>
        <v>3368.0461227709848</v>
      </c>
      <c r="AG1661" s="16">
        <f t="shared" si="93"/>
        <v>-12.652314510785068</v>
      </c>
    </row>
    <row r="1662" spans="29:33" x14ac:dyDescent="0.25">
      <c r="AC1662" s="16">
        <v>1658</v>
      </c>
      <c r="AD1662" s="16">
        <f t="shared" si="94"/>
        <v>2245.8927397723974</v>
      </c>
      <c r="AE1662" s="16">
        <f t="shared" si="92"/>
        <v>70.570347685110136</v>
      </c>
      <c r="AF1662" s="16">
        <f>'Gearing Calculator'!$C$17*Braking!AD1662</f>
        <v>3368.839109658596</v>
      </c>
      <c r="AG1662" s="16">
        <f t="shared" si="93"/>
        <v>-12.655293424712983</v>
      </c>
    </row>
    <row r="1663" spans="29:33" x14ac:dyDescent="0.25">
      <c r="AC1663" s="16">
        <v>1659</v>
      </c>
      <c r="AD1663" s="16">
        <f t="shared" si="94"/>
        <v>2246.4213976974711</v>
      </c>
      <c r="AE1663" s="16">
        <f t="shared" ref="AE1663:AE1726" si="95">(AC1663/$X$104)*100</f>
        <v>70.612911224124076</v>
      </c>
      <c r="AF1663" s="16">
        <f>'Gearing Calculator'!$C$17*Braking!AD1663</f>
        <v>3369.6320965462064</v>
      </c>
      <c r="AG1663" s="16">
        <f t="shared" si="93"/>
        <v>-12.658272338640897</v>
      </c>
    </row>
    <row r="1664" spans="29:33" x14ac:dyDescent="0.25">
      <c r="AC1664" s="16">
        <v>1660</v>
      </c>
      <c r="AD1664" s="16">
        <f t="shared" si="94"/>
        <v>2246.9500556225448</v>
      </c>
      <c r="AE1664" s="16">
        <f t="shared" si="95"/>
        <v>70.655474763138017</v>
      </c>
      <c r="AF1664" s="16">
        <f>'Gearing Calculator'!$C$17*Braking!AD1664</f>
        <v>3370.4250834338172</v>
      </c>
      <c r="AG1664" s="16">
        <f t="shared" si="93"/>
        <v>-12.66125125256881</v>
      </c>
    </row>
    <row r="1665" spans="29:33" x14ac:dyDescent="0.25">
      <c r="AC1665" s="16">
        <v>1661</v>
      </c>
      <c r="AD1665" s="16">
        <f t="shared" si="94"/>
        <v>2247.4787135476186</v>
      </c>
      <c r="AE1665" s="16">
        <f t="shared" si="95"/>
        <v>70.698038302151957</v>
      </c>
      <c r="AF1665" s="16">
        <f>'Gearing Calculator'!$C$17*Braking!AD1665</f>
        <v>3371.2180703214281</v>
      </c>
      <c r="AG1665" s="16">
        <f t="shared" si="93"/>
        <v>-12.664230166496726</v>
      </c>
    </row>
    <row r="1666" spans="29:33" x14ac:dyDescent="0.25">
      <c r="AC1666" s="16">
        <v>1662</v>
      </c>
      <c r="AD1666" s="16">
        <f t="shared" si="94"/>
        <v>2248.0073714726923</v>
      </c>
      <c r="AE1666" s="16">
        <f t="shared" si="95"/>
        <v>70.740601841165898</v>
      </c>
      <c r="AF1666" s="16">
        <f>'Gearing Calculator'!$C$17*Braking!AD1666</f>
        <v>3372.0110572090384</v>
      </c>
      <c r="AG1666" s="16">
        <f t="shared" si="93"/>
        <v>-12.667209080424637</v>
      </c>
    </row>
    <row r="1667" spans="29:33" x14ac:dyDescent="0.25">
      <c r="AC1667" s="16">
        <v>1663</v>
      </c>
      <c r="AD1667" s="16">
        <f t="shared" si="94"/>
        <v>2248.5360293977665</v>
      </c>
      <c r="AE1667" s="16">
        <f t="shared" si="95"/>
        <v>70.783165380179838</v>
      </c>
      <c r="AF1667" s="16">
        <f>'Gearing Calculator'!$C$17*Braking!AD1667</f>
        <v>3372.8040440966497</v>
      </c>
      <c r="AG1667" s="16">
        <f t="shared" si="93"/>
        <v>-12.670187994352554</v>
      </c>
    </row>
    <row r="1668" spans="29:33" x14ac:dyDescent="0.25">
      <c r="AC1668" s="16">
        <v>1664</v>
      </c>
      <c r="AD1668" s="16">
        <f t="shared" si="94"/>
        <v>2249.0646873228402</v>
      </c>
      <c r="AE1668" s="16">
        <f t="shared" si="95"/>
        <v>70.825728919193764</v>
      </c>
      <c r="AF1668" s="16">
        <f>'Gearing Calculator'!$C$17*Braking!AD1668</f>
        <v>3373.5970309842605</v>
      </c>
      <c r="AG1668" s="16">
        <f t="shared" si="93"/>
        <v>-12.673166908280468</v>
      </c>
    </row>
    <row r="1669" spans="29:33" x14ac:dyDescent="0.25">
      <c r="AC1669" s="16">
        <v>1665</v>
      </c>
      <c r="AD1669" s="16">
        <f t="shared" si="94"/>
        <v>2249.5933452479139</v>
      </c>
      <c r="AE1669" s="16">
        <f t="shared" si="95"/>
        <v>70.868292458207705</v>
      </c>
      <c r="AF1669" s="16">
        <f>'Gearing Calculator'!$C$17*Braking!AD1669</f>
        <v>3374.3900178718709</v>
      </c>
      <c r="AG1669" s="16">
        <f t="shared" si="93"/>
        <v>-12.676145822208381</v>
      </c>
    </row>
    <row r="1670" spans="29:33" x14ac:dyDescent="0.25">
      <c r="AC1670" s="16">
        <v>1666</v>
      </c>
      <c r="AD1670" s="16">
        <f t="shared" si="94"/>
        <v>2250.1220031729877</v>
      </c>
      <c r="AE1670" s="16">
        <f t="shared" si="95"/>
        <v>70.910855997221645</v>
      </c>
      <c r="AF1670" s="16">
        <f>'Gearing Calculator'!$C$17*Braking!AD1670</f>
        <v>3375.1830047594813</v>
      </c>
      <c r="AG1670" s="16">
        <f t="shared" ref="AG1670:AG1733" si="96">-(AF1670/$C$3)</f>
        <v>-12.679124736136293</v>
      </c>
    </row>
    <row r="1671" spans="29:33" x14ac:dyDescent="0.25">
      <c r="AC1671" s="16">
        <v>1667</v>
      </c>
      <c r="AD1671" s="16">
        <f t="shared" ref="AD1671:AD1734" si="97">($C$3*$C$4)*($C$9/$C$8)+(AC1671*($C$10/$C$8))</f>
        <v>2250.6506610980614</v>
      </c>
      <c r="AE1671" s="16">
        <f t="shared" si="95"/>
        <v>70.953419536235586</v>
      </c>
      <c r="AF1671" s="16">
        <f>'Gearing Calculator'!$C$17*Braking!AD1671</f>
        <v>3375.9759916470921</v>
      </c>
      <c r="AG1671" s="16">
        <f t="shared" si="96"/>
        <v>-12.682103650064208</v>
      </c>
    </row>
    <row r="1672" spans="29:33" x14ac:dyDescent="0.25">
      <c r="AC1672" s="16">
        <v>1668</v>
      </c>
      <c r="AD1672" s="16">
        <f t="shared" si="97"/>
        <v>2251.1793190231356</v>
      </c>
      <c r="AE1672" s="16">
        <f t="shared" si="95"/>
        <v>70.995983075249526</v>
      </c>
      <c r="AF1672" s="16">
        <f>'Gearing Calculator'!$C$17*Braking!AD1672</f>
        <v>3376.7689785347034</v>
      </c>
      <c r="AG1672" s="16">
        <f t="shared" si="96"/>
        <v>-12.685082563992124</v>
      </c>
    </row>
    <row r="1673" spans="29:33" x14ac:dyDescent="0.25">
      <c r="AC1673" s="16">
        <v>1669</v>
      </c>
      <c r="AD1673" s="16">
        <f t="shared" si="97"/>
        <v>2251.7079769482093</v>
      </c>
      <c r="AE1673" s="16">
        <f t="shared" si="95"/>
        <v>71.038546614263467</v>
      </c>
      <c r="AF1673" s="16">
        <f>'Gearing Calculator'!$C$17*Braking!AD1673</f>
        <v>3377.5619654223137</v>
      </c>
      <c r="AG1673" s="16">
        <f t="shared" si="96"/>
        <v>-12.688061477920037</v>
      </c>
    </row>
    <row r="1674" spans="29:33" x14ac:dyDescent="0.25">
      <c r="AC1674" s="16">
        <v>1670</v>
      </c>
      <c r="AD1674" s="16">
        <f t="shared" si="97"/>
        <v>2252.236634873283</v>
      </c>
      <c r="AE1674" s="16">
        <f t="shared" si="95"/>
        <v>71.081110153277407</v>
      </c>
      <c r="AF1674" s="16">
        <f>'Gearing Calculator'!$C$17*Braking!AD1674</f>
        <v>3378.3549523099246</v>
      </c>
      <c r="AG1674" s="16">
        <f t="shared" si="96"/>
        <v>-12.691040391847952</v>
      </c>
    </row>
    <row r="1675" spans="29:33" x14ac:dyDescent="0.25">
      <c r="AC1675" s="16">
        <v>1671</v>
      </c>
      <c r="AD1675" s="16">
        <f t="shared" si="97"/>
        <v>2252.7652927983568</v>
      </c>
      <c r="AE1675" s="16">
        <f t="shared" si="95"/>
        <v>71.123673692291348</v>
      </c>
      <c r="AF1675" s="16">
        <f>'Gearing Calculator'!$C$17*Braking!AD1675</f>
        <v>3379.1479391975354</v>
      </c>
      <c r="AG1675" s="16">
        <f t="shared" si="96"/>
        <v>-12.694019305775866</v>
      </c>
    </row>
    <row r="1676" spans="29:33" x14ac:dyDescent="0.25">
      <c r="AC1676" s="16">
        <v>1672</v>
      </c>
      <c r="AD1676" s="16">
        <f t="shared" si="97"/>
        <v>2253.2939507234305</v>
      </c>
      <c r="AE1676" s="16">
        <f t="shared" si="95"/>
        <v>71.166237231305274</v>
      </c>
      <c r="AF1676" s="16">
        <f>'Gearing Calculator'!$C$17*Braking!AD1676</f>
        <v>3379.9409260851457</v>
      </c>
      <c r="AG1676" s="16">
        <f t="shared" si="96"/>
        <v>-12.696998219703779</v>
      </c>
    </row>
    <row r="1677" spans="29:33" x14ac:dyDescent="0.25">
      <c r="AC1677" s="16">
        <v>1673</v>
      </c>
      <c r="AD1677" s="16">
        <f t="shared" si="97"/>
        <v>2253.8226086485047</v>
      </c>
      <c r="AE1677" s="16">
        <f t="shared" si="95"/>
        <v>71.208800770319215</v>
      </c>
      <c r="AF1677" s="16">
        <f>'Gearing Calculator'!$C$17*Braking!AD1677</f>
        <v>3380.733912972757</v>
      </c>
      <c r="AG1677" s="16">
        <f t="shared" si="96"/>
        <v>-12.699977133631695</v>
      </c>
    </row>
    <row r="1678" spans="29:33" x14ac:dyDescent="0.25">
      <c r="AC1678" s="16">
        <v>1674</v>
      </c>
      <c r="AD1678" s="16">
        <f t="shared" si="97"/>
        <v>2254.3512665735784</v>
      </c>
      <c r="AE1678" s="16">
        <f t="shared" si="95"/>
        <v>71.251364309333155</v>
      </c>
      <c r="AF1678" s="16">
        <f>'Gearing Calculator'!$C$17*Braking!AD1678</f>
        <v>3381.5268998603678</v>
      </c>
      <c r="AG1678" s="16">
        <f t="shared" si="96"/>
        <v>-12.70295604755961</v>
      </c>
    </row>
    <row r="1679" spans="29:33" x14ac:dyDescent="0.25">
      <c r="AC1679" s="16">
        <v>1675</v>
      </c>
      <c r="AD1679" s="16">
        <f t="shared" si="97"/>
        <v>2254.8799244986521</v>
      </c>
      <c r="AE1679" s="16">
        <f t="shared" si="95"/>
        <v>71.293927848347096</v>
      </c>
      <c r="AF1679" s="16">
        <f>'Gearing Calculator'!$C$17*Braking!AD1679</f>
        <v>3382.3198867479782</v>
      </c>
      <c r="AG1679" s="16">
        <f t="shared" si="96"/>
        <v>-12.705934961487522</v>
      </c>
    </row>
    <row r="1680" spans="29:33" x14ac:dyDescent="0.25">
      <c r="AC1680" s="16">
        <v>1676</v>
      </c>
      <c r="AD1680" s="16">
        <f t="shared" si="97"/>
        <v>2255.4085824237259</v>
      </c>
      <c r="AE1680" s="16">
        <f t="shared" si="95"/>
        <v>71.336491387361036</v>
      </c>
      <c r="AF1680" s="16">
        <f>'Gearing Calculator'!$C$17*Braking!AD1680</f>
        <v>3383.1128736355886</v>
      </c>
      <c r="AG1680" s="16">
        <f t="shared" si="96"/>
        <v>-12.708913875415435</v>
      </c>
    </row>
    <row r="1681" spans="29:33" x14ac:dyDescent="0.25">
      <c r="AC1681" s="16">
        <v>1677</v>
      </c>
      <c r="AD1681" s="16">
        <f t="shared" si="97"/>
        <v>2255.9372403487996</v>
      </c>
      <c r="AE1681" s="16">
        <f t="shared" si="95"/>
        <v>71.379054926374977</v>
      </c>
      <c r="AF1681" s="16">
        <f>'Gearing Calculator'!$C$17*Braking!AD1681</f>
        <v>3383.9058605231994</v>
      </c>
      <c r="AG1681" s="16">
        <f t="shared" si="96"/>
        <v>-12.711892789343349</v>
      </c>
    </row>
    <row r="1682" spans="29:33" x14ac:dyDescent="0.25">
      <c r="AC1682" s="16">
        <v>1678</v>
      </c>
      <c r="AD1682" s="16">
        <f t="shared" si="97"/>
        <v>2256.4658982738738</v>
      </c>
      <c r="AE1682" s="16">
        <f t="shared" si="95"/>
        <v>71.421618465388917</v>
      </c>
      <c r="AF1682" s="16">
        <f>'Gearing Calculator'!$C$17*Braking!AD1682</f>
        <v>3384.6988474108107</v>
      </c>
      <c r="AG1682" s="16">
        <f t="shared" si="96"/>
        <v>-12.714871703271266</v>
      </c>
    </row>
    <row r="1683" spans="29:33" x14ac:dyDescent="0.25">
      <c r="AC1683" s="16">
        <v>1679</v>
      </c>
      <c r="AD1683" s="16">
        <f t="shared" si="97"/>
        <v>2256.9945561989475</v>
      </c>
      <c r="AE1683" s="16">
        <f t="shared" si="95"/>
        <v>71.464182004402844</v>
      </c>
      <c r="AF1683" s="16">
        <f>'Gearing Calculator'!$C$17*Braking!AD1683</f>
        <v>3385.4918342984211</v>
      </c>
      <c r="AG1683" s="16">
        <f t="shared" si="96"/>
        <v>-12.717850617199177</v>
      </c>
    </row>
    <row r="1684" spans="29:33" x14ac:dyDescent="0.25">
      <c r="AC1684" s="16">
        <v>1680</v>
      </c>
      <c r="AD1684" s="16">
        <f t="shared" si="97"/>
        <v>2257.5232141240213</v>
      </c>
      <c r="AE1684" s="16">
        <f t="shared" si="95"/>
        <v>71.506745543416784</v>
      </c>
      <c r="AF1684" s="16">
        <f>'Gearing Calculator'!$C$17*Braking!AD1684</f>
        <v>3386.2848211860319</v>
      </c>
      <c r="AG1684" s="16">
        <f t="shared" si="96"/>
        <v>-12.720829531127093</v>
      </c>
    </row>
    <row r="1685" spans="29:33" x14ac:dyDescent="0.25">
      <c r="AC1685" s="16">
        <v>1681</v>
      </c>
      <c r="AD1685" s="16">
        <f t="shared" si="97"/>
        <v>2258.051872049095</v>
      </c>
      <c r="AE1685" s="16">
        <f t="shared" si="95"/>
        <v>71.549309082430725</v>
      </c>
      <c r="AF1685" s="16">
        <f>'Gearing Calculator'!$C$17*Braking!AD1685</f>
        <v>3387.0778080736427</v>
      </c>
      <c r="AG1685" s="16">
        <f t="shared" si="96"/>
        <v>-12.723808445055006</v>
      </c>
    </row>
    <row r="1686" spans="29:33" x14ac:dyDescent="0.25">
      <c r="AC1686" s="16">
        <v>1682</v>
      </c>
      <c r="AD1686" s="16">
        <f t="shared" si="97"/>
        <v>2258.5805299741687</v>
      </c>
      <c r="AE1686" s="16">
        <f t="shared" si="95"/>
        <v>71.591872621444665</v>
      </c>
      <c r="AF1686" s="16">
        <f>'Gearing Calculator'!$C$17*Braking!AD1686</f>
        <v>3387.8707949612531</v>
      </c>
      <c r="AG1686" s="16">
        <f t="shared" si="96"/>
        <v>-12.72678735898292</v>
      </c>
    </row>
    <row r="1687" spans="29:33" x14ac:dyDescent="0.25">
      <c r="AC1687" s="16">
        <v>1683</v>
      </c>
      <c r="AD1687" s="16">
        <f t="shared" si="97"/>
        <v>2259.1091878992429</v>
      </c>
      <c r="AE1687" s="16">
        <f t="shared" si="95"/>
        <v>71.634436160458606</v>
      </c>
      <c r="AF1687" s="16">
        <f>'Gearing Calculator'!$C$17*Braking!AD1687</f>
        <v>3388.6637818488643</v>
      </c>
      <c r="AG1687" s="16">
        <f t="shared" si="96"/>
        <v>-12.729766272910835</v>
      </c>
    </row>
    <row r="1688" spans="29:33" x14ac:dyDescent="0.25">
      <c r="AC1688" s="16">
        <v>1684</v>
      </c>
      <c r="AD1688" s="16">
        <f t="shared" si="97"/>
        <v>2259.6378458243166</v>
      </c>
      <c r="AE1688" s="16">
        <f t="shared" si="95"/>
        <v>71.676999699472546</v>
      </c>
      <c r="AF1688" s="16">
        <f>'Gearing Calculator'!$C$17*Braking!AD1688</f>
        <v>3389.4567687364752</v>
      </c>
      <c r="AG1688" s="16">
        <f t="shared" si="96"/>
        <v>-12.73274518683875</v>
      </c>
    </row>
    <row r="1689" spans="29:33" x14ac:dyDescent="0.25">
      <c r="AC1689" s="16">
        <v>1685</v>
      </c>
      <c r="AD1689" s="16">
        <f t="shared" si="97"/>
        <v>2260.1665037493904</v>
      </c>
      <c r="AE1689" s="16">
        <f t="shared" si="95"/>
        <v>71.719563238486487</v>
      </c>
      <c r="AF1689" s="16">
        <f>'Gearing Calculator'!$C$17*Braking!AD1689</f>
        <v>3390.2497556240855</v>
      </c>
      <c r="AG1689" s="16">
        <f t="shared" si="96"/>
        <v>-12.735724100766664</v>
      </c>
    </row>
    <row r="1690" spans="29:33" x14ac:dyDescent="0.25">
      <c r="AC1690" s="16">
        <v>1686</v>
      </c>
      <c r="AD1690" s="16">
        <f t="shared" si="97"/>
        <v>2260.6951616744641</v>
      </c>
      <c r="AE1690" s="16">
        <f t="shared" si="95"/>
        <v>71.762126777500427</v>
      </c>
      <c r="AF1690" s="16">
        <f>'Gearing Calculator'!$C$17*Braking!AD1690</f>
        <v>3391.0427425116959</v>
      </c>
      <c r="AG1690" s="16">
        <f t="shared" si="96"/>
        <v>-12.738703014694575</v>
      </c>
    </row>
    <row r="1691" spans="29:33" x14ac:dyDescent="0.25">
      <c r="AC1691" s="16">
        <v>1687</v>
      </c>
      <c r="AD1691" s="16">
        <f t="shared" si="97"/>
        <v>2261.2238195995378</v>
      </c>
      <c r="AE1691" s="16">
        <f t="shared" si="95"/>
        <v>71.804690316514353</v>
      </c>
      <c r="AF1691" s="16">
        <f>'Gearing Calculator'!$C$17*Braking!AD1691</f>
        <v>3391.8357293993067</v>
      </c>
      <c r="AG1691" s="16">
        <f t="shared" si="96"/>
        <v>-12.741681928622491</v>
      </c>
    </row>
    <row r="1692" spans="29:33" x14ac:dyDescent="0.25">
      <c r="AC1692" s="16">
        <v>1688</v>
      </c>
      <c r="AD1692" s="16">
        <f t="shared" si="97"/>
        <v>2261.752477524612</v>
      </c>
      <c r="AE1692" s="16">
        <f t="shared" si="95"/>
        <v>71.847253855528294</v>
      </c>
      <c r="AF1692" s="16">
        <f>'Gearing Calculator'!$C$17*Braking!AD1692</f>
        <v>3392.628716286918</v>
      </c>
      <c r="AG1692" s="16">
        <f t="shared" si="96"/>
        <v>-12.744660842550406</v>
      </c>
    </row>
    <row r="1693" spans="29:33" x14ac:dyDescent="0.25">
      <c r="AC1693" s="16">
        <v>1689</v>
      </c>
      <c r="AD1693" s="16">
        <f t="shared" si="97"/>
        <v>2262.2811354496857</v>
      </c>
      <c r="AE1693" s="16">
        <f t="shared" si="95"/>
        <v>71.889817394542234</v>
      </c>
      <c r="AF1693" s="16">
        <f>'Gearing Calculator'!$C$17*Braking!AD1693</f>
        <v>3393.4217031745284</v>
      </c>
      <c r="AG1693" s="16">
        <f t="shared" si="96"/>
        <v>-12.747639756478319</v>
      </c>
    </row>
    <row r="1694" spans="29:33" x14ac:dyDescent="0.25">
      <c r="AC1694" s="16">
        <v>1690</v>
      </c>
      <c r="AD1694" s="16">
        <f t="shared" si="97"/>
        <v>2262.8097933747595</v>
      </c>
      <c r="AE1694" s="16">
        <f t="shared" si="95"/>
        <v>71.932380933556175</v>
      </c>
      <c r="AF1694" s="16">
        <f>'Gearing Calculator'!$C$17*Braking!AD1694</f>
        <v>3394.2146900621392</v>
      </c>
      <c r="AG1694" s="16">
        <f t="shared" si="96"/>
        <v>-12.750618670406233</v>
      </c>
    </row>
    <row r="1695" spans="29:33" x14ac:dyDescent="0.25">
      <c r="AC1695" s="16">
        <v>1691</v>
      </c>
      <c r="AD1695" s="16">
        <f t="shared" si="97"/>
        <v>2263.3384512998332</v>
      </c>
      <c r="AE1695" s="16">
        <f t="shared" si="95"/>
        <v>71.974944472570115</v>
      </c>
      <c r="AF1695" s="16">
        <f>'Gearing Calculator'!$C$17*Braking!AD1695</f>
        <v>3395.00767694975</v>
      </c>
      <c r="AG1695" s="16">
        <f t="shared" si="96"/>
        <v>-12.753597584334148</v>
      </c>
    </row>
    <row r="1696" spans="29:33" x14ac:dyDescent="0.25">
      <c r="AC1696" s="16">
        <v>1692</v>
      </c>
      <c r="AD1696" s="16">
        <f t="shared" si="97"/>
        <v>2263.8671092249069</v>
      </c>
      <c r="AE1696" s="16">
        <f t="shared" si="95"/>
        <v>72.017508011584056</v>
      </c>
      <c r="AF1696" s="16">
        <f>'Gearing Calculator'!$C$17*Braking!AD1696</f>
        <v>3395.8006638373604</v>
      </c>
      <c r="AG1696" s="16">
        <f t="shared" si="96"/>
        <v>-12.75657649826206</v>
      </c>
    </row>
    <row r="1697" spans="29:33" x14ac:dyDescent="0.25">
      <c r="AC1697" s="16">
        <v>1693</v>
      </c>
      <c r="AD1697" s="16">
        <f t="shared" si="97"/>
        <v>2264.3957671499811</v>
      </c>
      <c r="AE1697" s="16">
        <f t="shared" si="95"/>
        <v>72.060071550597996</v>
      </c>
      <c r="AF1697" s="16">
        <f>'Gearing Calculator'!$C$17*Braking!AD1697</f>
        <v>3396.5936507249717</v>
      </c>
      <c r="AG1697" s="16">
        <f t="shared" si="96"/>
        <v>-12.759555412189977</v>
      </c>
    </row>
    <row r="1698" spans="29:33" x14ac:dyDescent="0.25">
      <c r="AC1698" s="16">
        <v>1694</v>
      </c>
      <c r="AD1698" s="16">
        <f t="shared" si="97"/>
        <v>2264.9244250750548</v>
      </c>
      <c r="AE1698" s="16">
        <f t="shared" si="95"/>
        <v>72.102635089611923</v>
      </c>
      <c r="AF1698" s="16">
        <f>'Gearing Calculator'!$C$17*Braking!AD1698</f>
        <v>3397.3866376125825</v>
      </c>
      <c r="AG1698" s="16">
        <f t="shared" si="96"/>
        <v>-12.762534326117891</v>
      </c>
    </row>
    <row r="1699" spans="29:33" x14ac:dyDescent="0.25">
      <c r="AC1699" s="16">
        <v>1695</v>
      </c>
      <c r="AD1699" s="16">
        <f t="shared" si="97"/>
        <v>2265.4530830001286</v>
      </c>
      <c r="AE1699" s="16">
        <f t="shared" si="95"/>
        <v>72.145198628625863</v>
      </c>
      <c r="AF1699" s="16">
        <f>'Gearing Calculator'!$C$17*Braking!AD1699</f>
        <v>3398.1796245001929</v>
      </c>
      <c r="AG1699" s="16">
        <f t="shared" si="96"/>
        <v>-12.765513240045804</v>
      </c>
    </row>
    <row r="1700" spans="29:33" x14ac:dyDescent="0.25">
      <c r="AC1700" s="16">
        <v>1696</v>
      </c>
      <c r="AD1700" s="16">
        <f t="shared" si="97"/>
        <v>2265.9817409252023</v>
      </c>
      <c r="AE1700" s="16">
        <f t="shared" si="95"/>
        <v>72.187762167639804</v>
      </c>
      <c r="AF1700" s="16">
        <f>'Gearing Calculator'!$C$17*Braking!AD1700</f>
        <v>3398.9726113878032</v>
      </c>
      <c r="AG1700" s="16">
        <f t="shared" si="96"/>
        <v>-12.768492153973718</v>
      </c>
    </row>
    <row r="1701" spans="29:33" x14ac:dyDescent="0.25">
      <c r="AC1701" s="16">
        <v>1697</v>
      </c>
      <c r="AD1701" s="16">
        <f t="shared" si="97"/>
        <v>2266.510398850276</v>
      </c>
      <c r="AE1701" s="16">
        <f t="shared" si="95"/>
        <v>72.230325706653744</v>
      </c>
      <c r="AF1701" s="16">
        <f>'Gearing Calculator'!$C$17*Braking!AD1701</f>
        <v>3399.765598275414</v>
      </c>
      <c r="AG1701" s="16">
        <f t="shared" si="96"/>
        <v>-12.771471067901631</v>
      </c>
    </row>
    <row r="1702" spans="29:33" x14ac:dyDescent="0.25">
      <c r="AC1702" s="16">
        <v>1698</v>
      </c>
      <c r="AD1702" s="16">
        <f t="shared" si="97"/>
        <v>2267.0390567753502</v>
      </c>
      <c r="AE1702" s="16">
        <f t="shared" si="95"/>
        <v>72.272889245667685</v>
      </c>
      <c r="AF1702" s="16">
        <f>'Gearing Calculator'!$C$17*Braking!AD1702</f>
        <v>3400.5585851630253</v>
      </c>
      <c r="AG1702" s="16">
        <f t="shared" si="96"/>
        <v>-12.774449981829548</v>
      </c>
    </row>
    <row r="1703" spans="29:33" x14ac:dyDescent="0.25">
      <c r="AC1703" s="16">
        <v>1699</v>
      </c>
      <c r="AD1703" s="16">
        <f t="shared" si="97"/>
        <v>2267.5677147004239</v>
      </c>
      <c r="AE1703" s="16">
        <f t="shared" si="95"/>
        <v>72.315452784681625</v>
      </c>
      <c r="AF1703" s="16">
        <f>'Gearing Calculator'!$C$17*Braking!AD1703</f>
        <v>3401.3515720506357</v>
      </c>
      <c r="AG1703" s="16">
        <f t="shared" si="96"/>
        <v>-12.77742889575746</v>
      </c>
    </row>
    <row r="1704" spans="29:33" x14ac:dyDescent="0.25">
      <c r="AC1704" s="16">
        <v>1700</v>
      </c>
      <c r="AD1704" s="16">
        <f t="shared" si="97"/>
        <v>2268.0963726254977</v>
      </c>
      <c r="AE1704" s="16">
        <f t="shared" si="95"/>
        <v>72.358016323695566</v>
      </c>
      <c r="AF1704" s="16">
        <f>'Gearing Calculator'!$C$17*Braking!AD1704</f>
        <v>3402.1445589382465</v>
      </c>
      <c r="AG1704" s="16">
        <f t="shared" si="96"/>
        <v>-12.780407809685375</v>
      </c>
    </row>
    <row r="1705" spans="29:33" x14ac:dyDescent="0.25">
      <c r="AC1705" s="16">
        <v>1701</v>
      </c>
      <c r="AD1705" s="16">
        <f t="shared" si="97"/>
        <v>2268.6250305505714</v>
      </c>
      <c r="AE1705" s="16">
        <f t="shared" si="95"/>
        <v>72.400579862709506</v>
      </c>
      <c r="AF1705" s="16">
        <f>'Gearing Calculator'!$C$17*Braking!AD1705</f>
        <v>3402.9375458258573</v>
      </c>
      <c r="AG1705" s="16">
        <f t="shared" si="96"/>
        <v>-12.783386723613289</v>
      </c>
    </row>
    <row r="1706" spans="29:33" x14ac:dyDescent="0.25">
      <c r="AC1706" s="16">
        <v>1702</v>
      </c>
      <c r="AD1706" s="16">
        <f t="shared" si="97"/>
        <v>2269.1536884756451</v>
      </c>
      <c r="AE1706" s="16">
        <f t="shared" si="95"/>
        <v>72.443143401723432</v>
      </c>
      <c r="AF1706" s="16">
        <f>'Gearing Calculator'!$C$17*Braking!AD1706</f>
        <v>3403.7305327134677</v>
      </c>
      <c r="AG1706" s="16">
        <f t="shared" si="96"/>
        <v>-12.786365637541202</v>
      </c>
    </row>
    <row r="1707" spans="29:33" x14ac:dyDescent="0.25">
      <c r="AC1707" s="16">
        <v>1703</v>
      </c>
      <c r="AD1707" s="16">
        <f t="shared" si="97"/>
        <v>2269.6823464007193</v>
      </c>
      <c r="AE1707" s="16">
        <f t="shared" si="95"/>
        <v>72.485706940737373</v>
      </c>
      <c r="AF1707" s="16">
        <f>'Gearing Calculator'!$C$17*Braking!AD1707</f>
        <v>3404.523519601079</v>
      </c>
      <c r="AG1707" s="16">
        <f t="shared" si="96"/>
        <v>-12.789344551469117</v>
      </c>
    </row>
    <row r="1708" spans="29:33" x14ac:dyDescent="0.25">
      <c r="AC1708" s="16">
        <v>1704</v>
      </c>
      <c r="AD1708" s="16">
        <f t="shared" si="97"/>
        <v>2270.2110043257931</v>
      </c>
      <c r="AE1708" s="16">
        <f t="shared" si="95"/>
        <v>72.528270479751313</v>
      </c>
      <c r="AF1708" s="16">
        <f>'Gearing Calculator'!$C$17*Braking!AD1708</f>
        <v>3405.3165064886898</v>
      </c>
      <c r="AG1708" s="16">
        <f t="shared" si="96"/>
        <v>-12.792323465397033</v>
      </c>
    </row>
    <row r="1709" spans="29:33" x14ac:dyDescent="0.25">
      <c r="AC1709" s="16">
        <v>1705</v>
      </c>
      <c r="AD1709" s="16">
        <f t="shared" si="97"/>
        <v>2270.7396622508668</v>
      </c>
      <c r="AE1709" s="16">
        <f t="shared" si="95"/>
        <v>72.570834018765254</v>
      </c>
      <c r="AF1709" s="16">
        <f>'Gearing Calculator'!$C$17*Braking!AD1709</f>
        <v>3406.1094933763002</v>
      </c>
      <c r="AG1709" s="16">
        <f t="shared" si="96"/>
        <v>-12.795302379324944</v>
      </c>
    </row>
    <row r="1710" spans="29:33" x14ac:dyDescent="0.25">
      <c r="AC1710" s="16">
        <v>1706</v>
      </c>
      <c r="AD1710" s="16">
        <f t="shared" si="97"/>
        <v>2271.2683201759405</v>
      </c>
      <c r="AE1710" s="16">
        <f t="shared" si="95"/>
        <v>72.613397557779194</v>
      </c>
      <c r="AF1710" s="16">
        <f>'Gearing Calculator'!$C$17*Braking!AD1710</f>
        <v>3406.9024802639105</v>
      </c>
      <c r="AG1710" s="16">
        <f t="shared" si="96"/>
        <v>-12.798281293252858</v>
      </c>
    </row>
    <row r="1711" spans="29:33" x14ac:dyDescent="0.25">
      <c r="AC1711" s="16">
        <v>1707</v>
      </c>
      <c r="AD1711" s="16">
        <f t="shared" si="97"/>
        <v>2271.7969781010142</v>
      </c>
      <c r="AE1711" s="16">
        <f t="shared" si="95"/>
        <v>72.655961096793135</v>
      </c>
      <c r="AF1711" s="16">
        <f>'Gearing Calculator'!$C$17*Braking!AD1711</f>
        <v>3407.6954671515214</v>
      </c>
      <c r="AG1711" s="16">
        <f t="shared" si="96"/>
        <v>-12.801260207180771</v>
      </c>
    </row>
    <row r="1712" spans="29:33" x14ac:dyDescent="0.25">
      <c r="AC1712" s="16">
        <v>1708</v>
      </c>
      <c r="AD1712" s="16">
        <f t="shared" si="97"/>
        <v>2272.3256360260884</v>
      </c>
      <c r="AE1712" s="16">
        <f t="shared" si="95"/>
        <v>72.698524635807075</v>
      </c>
      <c r="AF1712" s="16">
        <f>'Gearing Calculator'!$C$17*Braking!AD1712</f>
        <v>3408.4884540391326</v>
      </c>
      <c r="AG1712" s="16">
        <f t="shared" si="96"/>
        <v>-12.804239121108688</v>
      </c>
    </row>
    <row r="1713" spans="29:33" x14ac:dyDescent="0.25">
      <c r="AC1713" s="16">
        <v>1709</v>
      </c>
      <c r="AD1713" s="16">
        <f t="shared" si="97"/>
        <v>2272.8542939511622</v>
      </c>
      <c r="AE1713" s="16">
        <f t="shared" si="95"/>
        <v>72.741088174821002</v>
      </c>
      <c r="AF1713" s="16">
        <f>'Gearing Calculator'!$C$17*Braking!AD1713</f>
        <v>3409.281440926743</v>
      </c>
      <c r="AG1713" s="16">
        <f t="shared" si="96"/>
        <v>-12.8072180350366</v>
      </c>
    </row>
    <row r="1714" spans="29:33" x14ac:dyDescent="0.25">
      <c r="AC1714" s="16">
        <v>1710</v>
      </c>
      <c r="AD1714" s="16">
        <f t="shared" si="97"/>
        <v>2273.3829518762359</v>
      </c>
      <c r="AE1714" s="16">
        <f t="shared" si="95"/>
        <v>72.783651713834942</v>
      </c>
      <c r="AF1714" s="16">
        <f>'Gearing Calculator'!$C$17*Braking!AD1714</f>
        <v>3410.0744278143538</v>
      </c>
      <c r="AG1714" s="16">
        <f t="shared" si="96"/>
        <v>-12.810196948964515</v>
      </c>
    </row>
    <row r="1715" spans="29:33" x14ac:dyDescent="0.25">
      <c r="AC1715" s="16">
        <v>1711</v>
      </c>
      <c r="AD1715" s="16">
        <f t="shared" si="97"/>
        <v>2273.9116098013096</v>
      </c>
      <c r="AE1715" s="16">
        <f t="shared" si="95"/>
        <v>72.826215252848883</v>
      </c>
      <c r="AF1715" s="16">
        <f>'Gearing Calculator'!$C$17*Braking!AD1715</f>
        <v>3410.8674147019647</v>
      </c>
      <c r="AG1715" s="16">
        <f t="shared" si="96"/>
        <v>-12.813175862892431</v>
      </c>
    </row>
    <row r="1716" spans="29:33" x14ac:dyDescent="0.25">
      <c r="AC1716" s="16">
        <v>1712</v>
      </c>
      <c r="AD1716" s="16">
        <f t="shared" si="97"/>
        <v>2274.4402677263834</v>
      </c>
      <c r="AE1716" s="16">
        <f t="shared" si="95"/>
        <v>72.868778791862823</v>
      </c>
      <c r="AF1716" s="16">
        <f>'Gearing Calculator'!$C$17*Braking!AD1716</f>
        <v>3411.660401589575</v>
      </c>
      <c r="AG1716" s="16">
        <f t="shared" si="96"/>
        <v>-12.816154776820342</v>
      </c>
    </row>
    <row r="1717" spans="29:33" x14ac:dyDescent="0.25">
      <c r="AC1717" s="16">
        <v>1713</v>
      </c>
      <c r="AD1717" s="16">
        <f t="shared" si="97"/>
        <v>2274.9689256514575</v>
      </c>
      <c r="AE1717" s="16">
        <f t="shared" si="95"/>
        <v>72.911342330876764</v>
      </c>
      <c r="AF1717" s="16">
        <f>'Gearing Calculator'!$C$17*Braking!AD1717</f>
        <v>3412.4533884771863</v>
      </c>
      <c r="AG1717" s="16">
        <f t="shared" si="96"/>
        <v>-12.819133690748259</v>
      </c>
    </row>
    <row r="1718" spans="29:33" x14ac:dyDescent="0.25">
      <c r="AC1718" s="16">
        <v>1714</v>
      </c>
      <c r="AD1718" s="16">
        <f t="shared" si="97"/>
        <v>2275.4975835765313</v>
      </c>
      <c r="AE1718" s="16">
        <f t="shared" si="95"/>
        <v>72.953905869890704</v>
      </c>
      <c r="AF1718" s="16">
        <f>'Gearing Calculator'!$C$17*Braking!AD1718</f>
        <v>3413.2463753647971</v>
      </c>
      <c r="AG1718" s="16">
        <f t="shared" si="96"/>
        <v>-12.822112604676173</v>
      </c>
    </row>
    <row r="1719" spans="29:33" x14ac:dyDescent="0.25">
      <c r="AC1719" s="16">
        <v>1715</v>
      </c>
      <c r="AD1719" s="16">
        <f t="shared" si="97"/>
        <v>2276.026241501605</v>
      </c>
      <c r="AE1719" s="16">
        <f t="shared" si="95"/>
        <v>72.996469408904645</v>
      </c>
      <c r="AF1719" s="16">
        <f>'Gearing Calculator'!$C$17*Braking!AD1719</f>
        <v>3414.0393622524075</v>
      </c>
      <c r="AG1719" s="16">
        <f t="shared" si="96"/>
        <v>-12.825091518604086</v>
      </c>
    </row>
    <row r="1720" spans="29:33" x14ac:dyDescent="0.25">
      <c r="AC1720" s="16">
        <v>1716</v>
      </c>
      <c r="AD1720" s="16">
        <f t="shared" si="97"/>
        <v>2276.5548994266787</v>
      </c>
      <c r="AE1720" s="16">
        <f t="shared" si="95"/>
        <v>73.039032947918571</v>
      </c>
      <c r="AF1720" s="16">
        <f>'Gearing Calculator'!$C$17*Braking!AD1720</f>
        <v>3414.8323491400179</v>
      </c>
      <c r="AG1720" s="16">
        <f t="shared" si="96"/>
        <v>-12.828070432531998</v>
      </c>
    </row>
    <row r="1721" spans="29:33" x14ac:dyDescent="0.25">
      <c r="AC1721" s="16">
        <v>1717</v>
      </c>
      <c r="AD1721" s="16">
        <f t="shared" si="97"/>
        <v>2277.0835573517525</v>
      </c>
      <c r="AE1721" s="16">
        <f t="shared" si="95"/>
        <v>73.081596486932511</v>
      </c>
      <c r="AF1721" s="16">
        <f>'Gearing Calculator'!$C$17*Braking!AD1721</f>
        <v>3415.6253360276287</v>
      </c>
      <c r="AG1721" s="16">
        <f t="shared" si="96"/>
        <v>-12.831049346459913</v>
      </c>
    </row>
    <row r="1722" spans="29:33" x14ac:dyDescent="0.25">
      <c r="AC1722" s="16">
        <v>1718</v>
      </c>
      <c r="AD1722" s="16">
        <f t="shared" si="97"/>
        <v>2277.6122152768266</v>
      </c>
      <c r="AE1722" s="16">
        <f t="shared" si="95"/>
        <v>73.124160025946452</v>
      </c>
      <c r="AF1722" s="16">
        <f>'Gearing Calculator'!$C$17*Braking!AD1722</f>
        <v>3416.41832291524</v>
      </c>
      <c r="AG1722" s="16">
        <f t="shared" si="96"/>
        <v>-12.834028260387829</v>
      </c>
    </row>
    <row r="1723" spans="29:33" x14ac:dyDescent="0.25">
      <c r="AC1723" s="16">
        <v>1719</v>
      </c>
      <c r="AD1723" s="16">
        <f t="shared" si="97"/>
        <v>2278.1408732019004</v>
      </c>
      <c r="AE1723" s="16">
        <f t="shared" si="95"/>
        <v>73.166723564960392</v>
      </c>
      <c r="AF1723" s="16">
        <f>'Gearing Calculator'!$C$17*Braking!AD1723</f>
        <v>3417.2113098028503</v>
      </c>
      <c r="AG1723" s="16">
        <f t="shared" si="96"/>
        <v>-12.837007174315742</v>
      </c>
    </row>
    <row r="1724" spans="29:33" x14ac:dyDescent="0.25">
      <c r="AC1724" s="16">
        <v>1720</v>
      </c>
      <c r="AD1724" s="16">
        <f t="shared" si="97"/>
        <v>2278.6695311269741</v>
      </c>
      <c r="AE1724" s="16">
        <f t="shared" si="95"/>
        <v>73.209287103974333</v>
      </c>
      <c r="AF1724" s="16">
        <f>'Gearing Calculator'!$C$17*Braking!AD1724</f>
        <v>3418.0042966904612</v>
      </c>
      <c r="AG1724" s="16">
        <f t="shared" si="96"/>
        <v>-12.839986088243656</v>
      </c>
    </row>
    <row r="1725" spans="29:33" x14ac:dyDescent="0.25">
      <c r="AC1725" s="16">
        <v>1721</v>
      </c>
      <c r="AD1725" s="16">
        <f t="shared" si="97"/>
        <v>2279.1981890520478</v>
      </c>
      <c r="AE1725" s="16">
        <f t="shared" si="95"/>
        <v>73.251850642988273</v>
      </c>
      <c r="AF1725" s="16">
        <f>'Gearing Calculator'!$C$17*Braking!AD1725</f>
        <v>3418.797283578072</v>
      </c>
      <c r="AG1725" s="16">
        <f t="shared" si="96"/>
        <v>-12.842965002171571</v>
      </c>
    </row>
    <row r="1726" spans="29:33" x14ac:dyDescent="0.25">
      <c r="AC1726" s="16">
        <v>1722</v>
      </c>
      <c r="AD1726" s="16">
        <f t="shared" si="97"/>
        <v>2279.7268469771216</v>
      </c>
      <c r="AE1726" s="16">
        <f t="shared" si="95"/>
        <v>73.294414182002214</v>
      </c>
      <c r="AF1726" s="16">
        <f>'Gearing Calculator'!$C$17*Braking!AD1726</f>
        <v>3419.5902704656824</v>
      </c>
      <c r="AG1726" s="16">
        <f t="shared" si="96"/>
        <v>-12.845943916099483</v>
      </c>
    </row>
    <row r="1727" spans="29:33" x14ac:dyDescent="0.25">
      <c r="AC1727" s="16">
        <v>1723</v>
      </c>
      <c r="AD1727" s="16">
        <f t="shared" si="97"/>
        <v>2280.2555049021958</v>
      </c>
      <c r="AE1727" s="16">
        <f t="shared" ref="AE1727:AE1790" si="98">(AC1727/$X$104)*100</f>
        <v>73.336977721016154</v>
      </c>
      <c r="AF1727" s="16">
        <f>'Gearing Calculator'!$C$17*Braking!AD1727</f>
        <v>3420.3832573532936</v>
      </c>
      <c r="AG1727" s="16">
        <f t="shared" si="96"/>
        <v>-12.8489228300274</v>
      </c>
    </row>
    <row r="1728" spans="29:33" x14ac:dyDescent="0.25">
      <c r="AC1728" s="16">
        <v>1724</v>
      </c>
      <c r="AD1728" s="16">
        <f t="shared" si="97"/>
        <v>2280.7841628272695</v>
      </c>
      <c r="AE1728" s="16">
        <f t="shared" si="98"/>
        <v>73.379541260030081</v>
      </c>
      <c r="AF1728" s="16">
        <f>'Gearing Calculator'!$C$17*Braking!AD1728</f>
        <v>3421.1762442409045</v>
      </c>
      <c r="AG1728" s="16">
        <f t="shared" si="96"/>
        <v>-12.851901743955315</v>
      </c>
    </row>
    <row r="1729" spans="29:33" x14ac:dyDescent="0.25">
      <c r="AC1729" s="16">
        <v>1725</v>
      </c>
      <c r="AD1729" s="16">
        <f t="shared" si="97"/>
        <v>2281.3128207523432</v>
      </c>
      <c r="AE1729" s="16">
        <f t="shared" si="98"/>
        <v>73.422104799044021</v>
      </c>
      <c r="AF1729" s="16">
        <f>'Gearing Calculator'!$C$17*Braking!AD1729</f>
        <v>3421.9692311285148</v>
      </c>
      <c r="AG1729" s="16">
        <f t="shared" si="96"/>
        <v>-12.854880657883227</v>
      </c>
    </row>
    <row r="1730" spans="29:33" x14ac:dyDescent="0.25">
      <c r="AC1730" s="16">
        <v>1726</v>
      </c>
      <c r="AD1730" s="16">
        <f t="shared" si="97"/>
        <v>2281.8414786774169</v>
      </c>
      <c r="AE1730" s="16">
        <f t="shared" si="98"/>
        <v>73.464668338057962</v>
      </c>
      <c r="AF1730" s="16">
        <f>'Gearing Calculator'!$C$17*Braking!AD1730</f>
        <v>3422.7622180161252</v>
      </c>
      <c r="AG1730" s="16">
        <f t="shared" si="96"/>
        <v>-12.85785957181114</v>
      </c>
    </row>
    <row r="1731" spans="29:33" x14ac:dyDescent="0.25">
      <c r="AC1731" s="16">
        <v>1727</v>
      </c>
      <c r="AD1731" s="16">
        <f t="shared" si="97"/>
        <v>2282.3701366024907</v>
      </c>
      <c r="AE1731" s="16">
        <f t="shared" si="98"/>
        <v>73.507231877071902</v>
      </c>
      <c r="AF1731" s="16">
        <f>'Gearing Calculator'!$C$17*Braking!AD1731</f>
        <v>3423.555204903736</v>
      </c>
      <c r="AG1731" s="16">
        <f t="shared" si="96"/>
        <v>-12.860838485739054</v>
      </c>
    </row>
    <row r="1732" spans="29:33" x14ac:dyDescent="0.25">
      <c r="AC1732" s="16">
        <v>1728</v>
      </c>
      <c r="AD1732" s="16">
        <f t="shared" si="97"/>
        <v>2282.8987945275649</v>
      </c>
      <c r="AE1732" s="16">
        <f t="shared" si="98"/>
        <v>73.549795416085843</v>
      </c>
      <c r="AF1732" s="16">
        <f>'Gearing Calculator'!$C$17*Braking!AD1732</f>
        <v>3424.3481917913473</v>
      </c>
      <c r="AG1732" s="16">
        <f t="shared" si="96"/>
        <v>-12.863817399666971</v>
      </c>
    </row>
    <row r="1733" spans="29:33" x14ac:dyDescent="0.25">
      <c r="AC1733" s="16">
        <v>1729</v>
      </c>
      <c r="AD1733" s="16">
        <f t="shared" si="97"/>
        <v>2283.4274524526386</v>
      </c>
      <c r="AE1733" s="16">
        <f t="shared" si="98"/>
        <v>73.592358955099783</v>
      </c>
      <c r="AF1733" s="16">
        <f>'Gearing Calculator'!$C$17*Braking!AD1733</f>
        <v>3425.1411786789577</v>
      </c>
      <c r="AG1733" s="16">
        <f t="shared" si="96"/>
        <v>-12.866796313594882</v>
      </c>
    </row>
    <row r="1734" spans="29:33" x14ac:dyDescent="0.25">
      <c r="AC1734" s="16">
        <v>1730</v>
      </c>
      <c r="AD1734" s="16">
        <f t="shared" si="97"/>
        <v>2283.9561103777123</v>
      </c>
      <c r="AE1734" s="16">
        <f t="shared" si="98"/>
        <v>73.634922494113724</v>
      </c>
      <c r="AF1734" s="16">
        <f>'Gearing Calculator'!$C$17*Braking!AD1734</f>
        <v>3425.9341655665685</v>
      </c>
      <c r="AG1734" s="16">
        <f t="shared" ref="AG1734:AG1797" si="99">-(AF1734/$C$3)</f>
        <v>-12.869775227522798</v>
      </c>
    </row>
    <row r="1735" spans="29:33" x14ac:dyDescent="0.25">
      <c r="AC1735" s="16">
        <v>1731</v>
      </c>
      <c r="AD1735" s="16">
        <f t="shared" ref="AD1735:AD1798" si="100">($C$3*$C$4)*($C$9/$C$8)+(AC1735*($C$10/$C$8))</f>
        <v>2284.4847683027861</v>
      </c>
      <c r="AE1735" s="16">
        <f t="shared" si="98"/>
        <v>73.67748603312765</v>
      </c>
      <c r="AF1735" s="16">
        <f>'Gearing Calculator'!$C$17*Braking!AD1735</f>
        <v>3426.7271524541793</v>
      </c>
      <c r="AG1735" s="16">
        <f t="shared" si="99"/>
        <v>-12.872754141450711</v>
      </c>
    </row>
    <row r="1736" spans="29:33" x14ac:dyDescent="0.25">
      <c r="AC1736" s="16">
        <v>1732</v>
      </c>
      <c r="AD1736" s="16">
        <f t="shared" si="100"/>
        <v>2285.0134262278598</v>
      </c>
      <c r="AE1736" s="16">
        <f t="shared" si="98"/>
        <v>73.72004957214159</v>
      </c>
      <c r="AF1736" s="16">
        <f>'Gearing Calculator'!$C$17*Braking!AD1736</f>
        <v>3427.5201393417897</v>
      </c>
      <c r="AG1736" s="16">
        <f t="shared" si="99"/>
        <v>-12.875733055378625</v>
      </c>
    </row>
    <row r="1737" spans="29:33" x14ac:dyDescent="0.25">
      <c r="AC1737" s="16">
        <v>1733</v>
      </c>
      <c r="AD1737" s="16">
        <f t="shared" si="100"/>
        <v>2285.542084152934</v>
      </c>
      <c r="AE1737" s="16">
        <f t="shared" si="98"/>
        <v>73.762613111155531</v>
      </c>
      <c r="AF1737" s="16">
        <f>'Gearing Calculator'!$C$17*Braking!AD1737</f>
        <v>3428.313126229401</v>
      </c>
      <c r="AG1737" s="16">
        <f t="shared" si="99"/>
        <v>-12.87871196930654</v>
      </c>
    </row>
    <row r="1738" spans="29:33" x14ac:dyDescent="0.25">
      <c r="AC1738" s="16">
        <v>1734</v>
      </c>
      <c r="AD1738" s="16">
        <f t="shared" si="100"/>
        <v>2286.0707420780077</v>
      </c>
      <c r="AE1738" s="16">
        <f t="shared" si="98"/>
        <v>73.805176650169471</v>
      </c>
      <c r="AF1738" s="16">
        <f>'Gearing Calculator'!$C$17*Braking!AD1738</f>
        <v>3429.1061131170118</v>
      </c>
      <c r="AG1738" s="16">
        <f t="shared" si="99"/>
        <v>-12.881690883234455</v>
      </c>
    </row>
    <row r="1739" spans="29:33" x14ac:dyDescent="0.25">
      <c r="AC1739" s="16">
        <v>1735</v>
      </c>
      <c r="AD1739" s="16">
        <f t="shared" si="100"/>
        <v>2286.5994000030814</v>
      </c>
      <c r="AE1739" s="16">
        <f t="shared" si="98"/>
        <v>73.847740189183412</v>
      </c>
      <c r="AF1739" s="16">
        <f>'Gearing Calculator'!$C$17*Braking!AD1739</f>
        <v>3429.8991000046221</v>
      </c>
      <c r="AG1739" s="16">
        <f t="shared" si="99"/>
        <v>-12.884669797162367</v>
      </c>
    </row>
    <row r="1740" spans="29:33" x14ac:dyDescent="0.25">
      <c r="AC1740" s="16">
        <v>1736</v>
      </c>
      <c r="AD1740" s="16">
        <f t="shared" si="100"/>
        <v>2287.1280579281552</v>
      </c>
      <c r="AE1740" s="16">
        <f t="shared" si="98"/>
        <v>73.890303728197352</v>
      </c>
      <c r="AF1740" s="16">
        <f>'Gearing Calculator'!$C$17*Braking!AD1740</f>
        <v>3430.6920868922325</v>
      </c>
      <c r="AG1740" s="16">
        <f t="shared" si="99"/>
        <v>-12.88764871109028</v>
      </c>
    </row>
    <row r="1741" spans="29:33" x14ac:dyDescent="0.25">
      <c r="AC1741" s="16">
        <v>1737</v>
      </c>
      <c r="AD1741" s="16">
        <f t="shared" si="100"/>
        <v>2287.6567158532289</v>
      </c>
      <c r="AE1741" s="16">
        <f t="shared" si="98"/>
        <v>73.932867267211293</v>
      </c>
      <c r="AF1741" s="16">
        <f>'Gearing Calculator'!$C$17*Braking!AD1741</f>
        <v>3431.4850737798433</v>
      </c>
      <c r="AG1741" s="16">
        <f t="shared" si="99"/>
        <v>-12.890627625018196</v>
      </c>
    </row>
    <row r="1742" spans="29:33" x14ac:dyDescent="0.25">
      <c r="AC1742" s="16">
        <v>1738</v>
      </c>
      <c r="AD1742" s="16">
        <f t="shared" si="100"/>
        <v>2288.1853737783031</v>
      </c>
      <c r="AE1742" s="16">
        <f t="shared" si="98"/>
        <v>73.975430806225233</v>
      </c>
      <c r="AF1742" s="16">
        <f>'Gearing Calculator'!$C$17*Braking!AD1742</f>
        <v>3432.2780606674546</v>
      </c>
      <c r="AG1742" s="16">
        <f t="shared" si="99"/>
        <v>-12.893606538946111</v>
      </c>
    </row>
    <row r="1743" spans="29:33" x14ac:dyDescent="0.25">
      <c r="AC1743" s="16">
        <v>1739</v>
      </c>
      <c r="AD1743" s="16">
        <f t="shared" si="100"/>
        <v>2288.7140317033768</v>
      </c>
      <c r="AE1743" s="16">
        <f t="shared" si="98"/>
        <v>74.01799434523916</v>
      </c>
      <c r="AF1743" s="16">
        <f>'Gearing Calculator'!$C$17*Braking!AD1743</f>
        <v>3433.071047555065</v>
      </c>
      <c r="AG1743" s="16">
        <f t="shared" si="99"/>
        <v>-12.896585452874024</v>
      </c>
    </row>
    <row r="1744" spans="29:33" x14ac:dyDescent="0.25">
      <c r="AC1744" s="16">
        <v>1740</v>
      </c>
      <c r="AD1744" s="16">
        <f t="shared" si="100"/>
        <v>2289.2426896284505</v>
      </c>
      <c r="AE1744" s="16">
        <f t="shared" si="98"/>
        <v>74.0605578842531</v>
      </c>
      <c r="AF1744" s="16">
        <f>'Gearing Calculator'!$C$17*Braking!AD1744</f>
        <v>3433.8640344426758</v>
      </c>
      <c r="AG1744" s="16">
        <f t="shared" si="99"/>
        <v>-12.899564366801938</v>
      </c>
    </row>
    <row r="1745" spans="29:33" x14ac:dyDescent="0.25">
      <c r="AC1745" s="16">
        <v>1741</v>
      </c>
      <c r="AD1745" s="16">
        <f t="shared" si="100"/>
        <v>2289.7713475535243</v>
      </c>
      <c r="AE1745" s="16">
        <f t="shared" si="98"/>
        <v>74.103121423267041</v>
      </c>
      <c r="AF1745" s="16">
        <f>'Gearing Calculator'!$C$17*Braking!AD1745</f>
        <v>3434.6570213302866</v>
      </c>
      <c r="AG1745" s="16">
        <f t="shared" si="99"/>
        <v>-12.902543280729853</v>
      </c>
    </row>
    <row r="1746" spans="29:33" x14ac:dyDescent="0.25">
      <c r="AC1746" s="16">
        <v>1742</v>
      </c>
      <c r="AD1746" s="16">
        <f t="shared" si="100"/>
        <v>2290.300005478598</v>
      </c>
      <c r="AE1746" s="16">
        <f t="shared" si="98"/>
        <v>74.145684962280981</v>
      </c>
      <c r="AF1746" s="16">
        <f>'Gearing Calculator'!$C$17*Braking!AD1746</f>
        <v>3435.450008217897</v>
      </c>
      <c r="AG1746" s="16">
        <f t="shared" si="99"/>
        <v>-12.905522194657765</v>
      </c>
    </row>
    <row r="1747" spans="29:33" x14ac:dyDescent="0.25">
      <c r="AC1747" s="16">
        <v>1743</v>
      </c>
      <c r="AD1747" s="16">
        <f t="shared" si="100"/>
        <v>2290.8286634036722</v>
      </c>
      <c r="AE1747" s="16">
        <f t="shared" si="98"/>
        <v>74.188248501294922</v>
      </c>
      <c r="AF1747" s="16">
        <f>'Gearing Calculator'!$C$17*Braking!AD1747</f>
        <v>3436.2429951055083</v>
      </c>
      <c r="AG1747" s="16">
        <f t="shared" si="99"/>
        <v>-12.908501108585682</v>
      </c>
    </row>
    <row r="1748" spans="29:33" x14ac:dyDescent="0.25">
      <c r="AC1748" s="16">
        <v>1744</v>
      </c>
      <c r="AD1748" s="16">
        <f t="shared" si="100"/>
        <v>2291.3573213287459</v>
      </c>
      <c r="AE1748" s="16">
        <f t="shared" si="98"/>
        <v>74.230812040308862</v>
      </c>
      <c r="AF1748" s="16">
        <f>'Gearing Calculator'!$C$17*Braking!AD1748</f>
        <v>3437.0359819931191</v>
      </c>
      <c r="AG1748" s="16">
        <f t="shared" si="99"/>
        <v>-12.911480022513596</v>
      </c>
    </row>
    <row r="1749" spans="29:33" x14ac:dyDescent="0.25">
      <c r="AC1749" s="16">
        <v>1745</v>
      </c>
      <c r="AD1749" s="16">
        <f t="shared" si="100"/>
        <v>2291.8859792538196</v>
      </c>
      <c r="AE1749" s="16">
        <f t="shared" si="98"/>
        <v>74.273375579322803</v>
      </c>
      <c r="AF1749" s="16">
        <f>'Gearing Calculator'!$C$17*Braking!AD1749</f>
        <v>3437.8289688807295</v>
      </c>
      <c r="AG1749" s="16">
        <f t="shared" si="99"/>
        <v>-12.914458936441509</v>
      </c>
    </row>
    <row r="1750" spans="29:33" x14ac:dyDescent="0.25">
      <c r="AC1750" s="16">
        <v>1746</v>
      </c>
      <c r="AD1750" s="16">
        <f t="shared" si="100"/>
        <v>2292.4146371788934</v>
      </c>
      <c r="AE1750" s="16">
        <f t="shared" si="98"/>
        <v>74.315939118336729</v>
      </c>
      <c r="AF1750" s="16">
        <f>'Gearing Calculator'!$C$17*Braking!AD1750</f>
        <v>3438.6219557683398</v>
      </c>
      <c r="AG1750" s="16">
        <f t="shared" si="99"/>
        <v>-12.917437850369421</v>
      </c>
    </row>
    <row r="1751" spans="29:33" x14ac:dyDescent="0.25">
      <c r="AC1751" s="16">
        <v>1747</v>
      </c>
      <c r="AD1751" s="16">
        <f t="shared" si="100"/>
        <v>2292.9432951039671</v>
      </c>
      <c r="AE1751" s="16">
        <f t="shared" si="98"/>
        <v>74.35850265735067</v>
      </c>
      <c r="AF1751" s="16">
        <f>'Gearing Calculator'!$C$17*Braking!AD1751</f>
        <v>3439.4149426559507</v>
      </c>
      <c r="AG1751" s="16">
        <f t="shared" si="99"/>
        <v>-12.920416764297336</v>
      </c>
    </row>
    <row r="1752" spans="29:33" x14ac:dyDescent="0.25">
      <c r="AC1752" s="16">
        <v>1748</v>
      </c>
      <c r="AD1752" s="16">
        <f t="shared" si="100"/>
        <v>2293.4719530290413</v>
      </c>
      <c r="AE1752" s="16">
        <f t="shared" si="98"/>
        <v>74.40106619636461</v>
      </c>
      <c r="AF1752" s="16">
        <f>'Gearing Calculator'!$C$17*Braking!AD1752</f>
        <v>3440.2079295435619</v>
      </c>
      <c r="AG1752" s="16">
        <f t="shared" si="99"/>
        <v>-12.923395678225251</v>
      </c>
    </row>
    <row r="1753" spans="29:33" x14ac:dyDescent="0.25">
      <c r="AC1753" s="16">
        <v>1749</v>
      </c>
      <c r="AD1753" s="16">
        <f t="shared" si="100"/>
        <v>2294.000610954115</v>
      </c>
      <c r="AE1753" s="16">
        <f t="shared" si="98"/>
        <v>74.443629735378551</v>
      </c>
      <c r="AF1753" s="16">
        <f>'Gearing Calculator'!$C$17*Braking!AD1753</f>
        <v>3441.0009164311723</v>
      </c>
      <c r="AG1753" s="16">
        <f t="shared" si="99"/>
        <v>-12.926374592153165</v>
      </c>
    </row>
    <row r="1754" spans="29:33" x14ac:dyDescent="0.25">
      <c r="AC1754" s="16">
        <v>1750</v>
      </c>
      <c r="AD1754" s="16">
        <f t="shared" si="100"/>
        <v>2294.5292688791887</v>
      </c>
      <c r="AE1754" s="16">
        <f t="shared" si="98"/>
        <v>74.486193274392491</v>
      </c>
      <c r="AF1754" s="16">
        <f>'Gearing Calculator'!$C$17*Braking!AD1754</f>
        <v>3441.7939033187831</v>
      </c>
      <c r="AG1754" s="16">
        <f t="shared" si="99"/>
        <v>-12.92935350608108</v>
      </c>
    </row>
    <row r="1755" spans="29:33" x14ac:dyDescent="0.25">
      <c r="AC1755" s="16">
        <v>1751</v>
      </c>
      <c r="AD1755" s="16">
        <f t="shared" si="100"/>
        <v>2295.0579268042625</v>
      </c>
      <c r="AE1755" s="16">
        <f t="shared" si="98"/>
        <v>74.528756813406432</v>
      </c>
      <c r="AF1755" s="16">
        <f>'Gearing Calculator'!$C$17*Braking!AD1755</f>
        <v>3442.5868902063939</v>
      </c>
      <c r="AG1755" s="16">
        <f t="shared" si="99"/>
        <v>-12.932332420008994</v>
      </c>
    </row>
    <row r="1756" spans="29:33" x14ac:dyDescent="0.25">
      <c r="AC1756" s="16">
        <v>1752</v>
      </c>
      <c r="AD1756" s="16">
        <f t="shared" si="100"/>
        <v>2295.5865847293362</v>
      </c>
      <c r="AE1756" s="16">
        <f t="shared" si="98"/>
        <v>74.571320352420372</v>
      </c>
      <c r="AF1756" s="16">
        <f>'Gearing Calculator'!$C$17*Braking!AD1756</f>
        <v>3443.3798770940043</v>
      </c>
      <c r="AG1756" s="16">
        <f t="shared" si="99"/>
        <v>-12.935311333936907</v>
      </c>
    </row>
    <row r="1757" spans="29:33" x14ac:dyDescent="0.25">
      <c r="AC1757" s="16">
        <v>1753</v>
      </c>
      <c r="AD1757" s="16">
        <f t="shared" si="100"/>
        <v>2296.1152426544104</v>
      </c>
      <c r="AE1757" s="16">
        <f t="shared" si="98"/>
        <v>74.613883891434313</v>
      </c>
      <c r="AF1757" s="16">
        <f>'Gearing Calculator'!$C$17*Braking!AD1757</f>
        <v>3444.1728639816156</v>
      </c>
      <c r="AG1757" s="16">
        <f t="shared" si="99"/>
        <v>-12.938290247864822</v>
      </c>
    </row>
    <row r="1758" spans="29:33" x14ac:dyDescent="0.25">
      <c r="AC1758" s="16">
        <v>1754</v>
      </c>
      <c r="AD1758" s="16">
        <f t="shared" si="100"/>
        <v>2296.6439005794841</v>
      </c>
      <c r="AE1758" s="16">
        <f t="shared" si="98"/>
        <v>74.656447430448239</v>
      </c>
      <c r="AF1758" s="16">
        <f>'Gearing Calculator'!$C$17*Braking!AD1758</f>
        <v>3444.9658508692264</v>
      </c>
      <c r="AG1758" s="16">
        <f t="shared" si="99"/>
        <v>-12.941269161792738</v>
      </c>
    </row>
    <row r="1759" spans="29:33" x14ac:dyDescent="0.25">
      <c r="AC1759" s="16">
        <v>1755</v>
      </c>
      <c r="AD1759" s="16">
        <f t="shared" si="100"/>
        <v>2297.1725585045579</v>
      </c>
      <c r="AE1759" s="16">
        <f t="shared" si="98"/>
        <v>74.699010969462179</v>
      </c>
      <c r="AF1759" s="16">
        <f>'Gearing Calculator'!$C$17*Braking!AD1759</f>
        <v>3445.7588377568368</v>
      </c>
      <c r="AG1759" s="16">
        <f t="shared" si="99"/>
        <v>-12.944248075720649</v>
      </c>
    </row>
    <row r="1760" spans="29:33" x14ac:dyDescent="0.25">
      <c r="AC1760" s="16">
        <v>1756</v>
      </c>
      <c r="AD1760" s="16">
        <f t="shared" si="100"/>
        <v>2297.7012164296316</v>
      </c>
      <c r="AE1760" s="16">
        <f t="shared" si="98"/>
        <v>74.74157450847612</v>
      </c>
      <c r="AF1760" s="16">
        <f>'Gearing Calculator'!$C$17*Braking!AD1760</f>
        <v>3446.5518246444472</v>
      </c>
      <c r="AG1760" s="16">
        <f t="shared" si="99"/>
        <v>-12.947226989648563</v>
      </c>
    </row>
    <row r="1761" spans="29:33" x14ac:dyDescent="0.25">
      <c r="AC1761" s="16">
        <v>1757</v>
      </c>
      <c r="AD1761" s="16">
        <f t="shared" si="100"/>
        <v>2298.2298743547053</v>
      </c>
      <c r="AE1761" s="16">
        <f t="shared" si="98"/>
        <v>74.78413804749006</v>
      </c>
      <c r="AF1761" s="16">
        <f>'Gearing Calculator'!$C$17*Braking!AD1761</f>
        <v>3447.344811532058</v>
      </c>
      <c r="AG1761" s="16">
        <f t="shared" si="99"/>
        <v>-12.950205903576476</v>
      </c>
    </row>
    <row r="1762" spans="29:33" x14ac:dyDescent="0.25">
      <c r="AC1762" s="16">
        <v>1758</v>
      </c>
      <c r="AD1762" s="16">
        <f t="shared" si="100"/>
        <v>2298.7585322797795</v>
      </c>
      <c r="AE1762" s="16">
        <f t="shared" si="98"/>
        <v>74.826701586504001</v>
      </c>
      <c r="AF1762" s="16">
        <f>'Gearing Calculator'!$C$17*Braking!AD1762</f>
        <v>3448.1377984196693</v>
      </c>
      <c r="AG1762" s="16">
        <f t="shared" si="99"/>
        <v>-12.953184817504393</v>
      </c>
    </row>
    <row r="1763" spans="29:33" x14ac:dyDescent="0.25">
      <c r="AC1763" s="16">
        <v>1759</v>
      </c>
      <c r="AD1763" s="16">
        <f t="shared" si="100"/>
        <v>2299.2871902048532</v>
      </c>
      <c r="AE1763" s="16">
        <f t="shared" si="98"/>
        <v>74.869265125517941</v>
      </c>
      <c r="AF1763" s="16">
        <f>'Gearing Calculator'!$C$17*Braking!AD1763</f>
        <v>3448.9307853072796</v>
      </c>
      <c r="AG1763" s="16">
        <f t="shared" si="99"/>
        <v>-12.956163731432305</v>
      </c>
    </row>
    <row r="1764" spans="29:33" x14ac:dyDescent="0.25">
      <c r="AC1764" s="16">
        <v>1760</v>
      </c>
      <c r="AD1764" s="16">
        <f t="shared" si="100"/>
        <v>2299.815848129927</v>
      </c>
      <c r="AE1764" s="16">
        <f t="shared" si="98"/>
        <v>74.911828664531882</v>
      </c>
      <c r="AF1764" s="16">
        <f>'Gearing Calculator'!$C$17*Braking!AD1764</f>
        <v>3449.7237721948904</v>
      </c>
      <c r="AG1764" s="16">
        <f t="shared" si="99"/>
        <v>-12.95914264536022</v>
      </c>
    </row>
    <row r="1765" spans="29:33" x14ac:dyDescent="0.25">
      <c r="AC1765" s="16">
        <v>1761</v>
      </c>
      <c r="AD1765" s="16">
        <f t="shared" si="100"/>
        <v>2300.3445060550007</v>
      </c>
      <c r="AE1765" s="16">
        <f t="shared" si="98"/>
        <v>74.954392203545808</v>
      </c>
      <c r="AF1765" s="16">
        <f>'Gearing Calculator'!$C$17*Braking!AD1765</f>
        <v>3450.5167590825013</v>
      </c>
      <c r="AG1765" s="16">
        <f t="shared" si="99"/>
        <v>-12.962121559288134</v>
      </c>
    </row>
    <row r="1766" spans="29:33" x14ac:dyDescent="0.25">
      <c r="AC1766" s="16">
        <v>1762</v>
      </c>
      <c r="AD1766" s="16">
        <f t="shared" si="100"/>
        <v>2300.8731639800744</v>
      </c>
      <c r="AE1766" s="16">
        <f t="shared" si="98"/>
        <v>74.996955742559749</v>
      </c>
      <c r="AF1766" s="16">
        <f>'Gearing Calculator'!$C$17*Braking!AD1766</f>
        <v>3451.3097459701116</v>
      </c>
      <c r="AG1766" s="16">
        <f t="shared" si="99"/>
        <v>-12.965100473216047</v>
      </c>
    </row>
    <row r="1767" spans="29:33" x14ac:dyDescent="0.25">
      <c r="AC1767" s="134">
        <v>1763</v>
      </c>
      <c r="AD1767" s="134">
        <f t="shared" si="100"/>
        <v>2301.4018219051486</v>
      </c>
      <c r="AE1767" s="134">
        <f t="shared" si="98"/>
        <v>75.039519281573689</v>
      </c>
      <c r="AF1767" s="134">
        <f>'Gearing Calculator'!$C$17*Braking!AD1767</f>
        <v>3452.1027328577229</v>
      </c>
      <c r="AG1767" s="134">
        <f t="shared" si="99"/>
        <v>-12.968079387143963</v>
      </c>
    </row>
    <row r="1768" spans="29:33" x14ac:dyDescent="0.25">
      <c r="AC1768" s="16">
        <v>1764</v>
      </c>
      <c r="AD1768" s="16">
        <f t="shared" si="100"/>
        <v>2301.9304798302223</v>
      </c>
      <c r="AE1768" s="16">
        <f t="shared" si="98"/>
        <v>75.08208282058763</v>
      </c>
      <c r="AF1768" s="16">
        <f>'Gearing Calculator'!$C$17*Braking!AD1768</f>
        <v>3452.8957197453337</v>
      </c>
      <c r="AG1768" s="16">
        <f t="shared" si="99"/>
        <v>-12.971058301071878</v>
      </c>
    </row>
    <row r="1769" spans="29:33" x14ac:dyDescent="0.25">
      <c r="AC1769" s="16">
        <v>1765</v>
      </c>
      <c r="AD1769" s="16">
        <f t="shared" si="100"/>
        <v>2302.4591377552961</v>
      </c>
      <c r="AE1769" s="16">
        <f t="shared" si="98"/>
        <v>75.12464635960157</v>
      </c>
      <c r="AF1769" s="16">
        <f>'Gearing Calculator'!$C$17*Braking!AD1769</f>
        <v>3453.6887066329441</v>
      </c>
      <c r="AG1769" s="16">
        <f t="shared" si="99"/>
        <v>-12.974037214999791</v>
      </c>
    </row>
    <row r="1770" spans="29:33" x14ac:dyDescent="0.25">
      <c r="AC1770" s="16">
        <v>1766</v>
      </c>
      <c r="AD1770" s="16">
        <f t="shared" si="100"/>
        <v>2302.9877956803698</v>
      </c>
      <c r="AE1770" s="16">
        <f t="shared" si="98"/>
        <v>75.167209898615511</v>
      </c>
      <c r="AF1770" s="16">
        <f>'Gearing Calculator'!$C$17*Braking!AD1770</f>
        <v>3454.4816935205545</v>
      </c>
      <c r="AG1770" s="16">
        <f t="shared" si="99"/>
        <v>-12.977016128927703</v>
      </c>
    </row>
    <row r="1771" spans="29:33" x14ac:dyDescent="0.25">
      <c r="AC1771" s="16">
        <v>1767</v>
      </c>
      <c r="AD1771" s="16">
        <f t="shared" si="100"/>
        <v>2303.5164536054435</v>
      </c>
      <c r="AE1771" s="16">
        <f t="shared" si="98"/>
        <v>75.209773437629451</v>
      </c>
      <c r="AF1771" s="16">
        <f>'Gearing Calculator'!$C$17*Braking!AD1771</f>
        <v>3455.2746804081653</v>
      </c>
      <c r="AG1771" s="16">
        <f t="shared" si="99"/>
        <v>-12.979995042855618</v>
      </c>
    </row>
    <row r="1772" spans="29:33" x14ac:dyDescent="0.25">
      <c r="AC1772" s="16">
        <v>1768</v>
      </c>
      <c r="AD1772" s="16">
        <f t="shared" si="100"/>
        <v>2304.0451115305177</v>
      </c>
      <c r="AE1772" s="16">
        <f t="shared" si="98"/>
        <v>75.252336976643392</v>
      </c>
      <c r="AF1772" s="16">
        <f>'Gearing Calculator'!$C$17*Braking!AD1772</f>
        <v>3456.0676672957766</v>
      </c>
      <c r="AG1772" s="16">
        <f t="shared" si="99"/>
        <v>-12.982973956783534</v>
      </c>
    </row>
    <row r="1773" spans="29:33" x14ac:dyDescent="0.25">
      <c r="AC1773" s="16">
        <v>1769</v>
      </c>
      <c r="AD1773" s="16">
        <f t="shared" si="100"/>
        <v>2304.5737694555914</v>
      </c>
      <c r="AE1773" s="16">
        <f t="shared" si="98"/>
        <v>75.294900515657318</v>
      </c>
      <c r="AF1773" s="16">
        <f>'Gearing Calculator'!$C$17*Braking!AD1773</f>
        <v>3456.8606541833869</v>
      </c>
      <c r="AG1773" s="16">
        <f t="shared" si="99"/>
        <v>-12.985952870711447</v>
      </c>
    </row>
    <row r="1774" spans="29:33" x14ac:dyDescent="0.25">
      <c r="AC1774" s="16">
        <v>1770</v>
      </c>
      <c r="AD1774" s="16">
        <f t="shared" si="100"/>
        <v>2305.1024273806652</v>
      </c>
      <c r="AE1774" s="16">
        <f t="shared" si="98"/>
        <v>75.337464054671258</v>
      </c>
      <c r="AF1774" s="16">
        <f>'Gearing Calculator'!$C$17*Braking!AD1774</f>
        <v>3457.6536410709978</v>
      </c>
      <c r="AG1774" s="16">
        <f t="shared" si="99"/>
        <v>-12.988931784639361</v>
      </c>
    </row>
    <row r="1775" spans="29:33" x14ac:dyDescent="0.25">
      <c r="AC1775" s="16">
        <v>1771</v>
      </c>
      <c r="AD1775" s="16">
        <f t="shared" si="100"/>
        <v>2305.6310853057389</v>
      </c>
      <c r="AE1775" s="16">
        <f t="shared" si="98"/>
        <v>75.380027593685199</v>
      </c>
      <c r="AF1775" s="16">
        <f>'Gearing Calculator'!$C$17*Braking!AD1775</f>
        <v>3458.4466279586086</v>
      </c>
      <c r="AG1775" s="16">
        <f t="shared" si="99"/>
        <v>-12.991910698567276</v>
      </c>
    </row>
    <row r="1776" spans="29:33" x14ac:dyDescent="0.25">
      <c r="AC1776" s="16">
        <v>1772</v>
      </c>
      <c r="AD1776" s="16">
        <f t="shared" si="100"/>
        <v>2306.1597432308126</v>
      </c>
      <c r="AE1776" s="16">
        <f t="shared" si="98"/>
        <v>75.422591132699139</v>
      </c>
      <c r="AF1776" s="16">
        <f>'Gearing Calculator'!$C$17*Braking!AD1776</f>
        <v>3459.239614846219</v>
      </c>
      <c r="AG1776" s="16">
        <f t="shared" si="99"/>
        <v>-12.994889612495188</v>
      </c>
    </row>
    <row r="1777" spans="29:33" x14ac:dyDescent="0.25">
      <c r="AC1777" s="16">
        <v>1773</v>
      </c>
      <c r="AD1777" s="16">
        <f t="shared" si="100"/>
        <v>2306.6884011558868</v>
      </c>
      <c r="AE1777" s="16">
        <f t="shared" si="98"/>
        <v>75.46515467171308</v>
      </c>
      <c r="AF1777" s="16">
        <f>'Gearing Calculator'!$C$17*Braking!AD1777</f>
        <v>3460.0326017338302</v>
      </c>
      <c r="AG1777" s="16">
        <f t="shared" si="99"/>
        <v>-12.997868526423105</v>
      </c>
    </row>
    <row r="1778" spans="29:33" x14ac:dyDescent="0.25">
      <c r="AC1778" s="16">
        <v>1774</v>
      </c>
      <c r="AD1778" s="16">
        <f t="shared" si="100"/>
        <v>2307.2170590809606</v>
      </c>
      <c r="AE1778" s="16">
        <f t="shared" si="98"/>
        <v>75.50771821072702</v>
      </c>
      <c r="AF1778" s="16">
        <f>'Gearing Calculator'!$C$17*Braking!AD1778</f>
        <v>3460.8255886214411</v>
      </c>
      <c r="AG1778" s="16">
        <f t="shared" si="99"/>
        <v>-13.000847440351018</v>
      </c>
    </row>
    <row r="1779" spans="29:33" x14ac:dyDescent="0.25">
      <c r="AC1779" s="16">
        <v>1775</v>
      </c>
      <c r="AD1779" s="16">
        <f t="shared" si="100"/>
        <v>2307.7457170060343</v>
      </c>
      <c r="AE1779" s="16">
        <f t="shared" si="98"/>
        <v>75.550281749740961</v>
      </c>
      <c r="AF1779" s="16">
        <f>'Gearing Calculator'!$C$17*Braking!AD1779</f>
        <v>3461.6185755090514</v>
      </c>
      <c r="AG1779" s="16">
        <f t="shared" si="99"/>
        <v>-13.003826354278932</v>
      </c>
    </row>
    <row r="1780" spans="29:33" x14ac:dyDescent="0.25">
      <c r="AC1780" s="16">
        <v>1776</v>
      </c>
      <c r="AD1780" s="16">
        <f t="shared" si="100"/>
        <v>2308.274374931108</v>
      </c>
      <c r="AE1780" s="16">
        <f t="shared" si="98"/>
        <v>75.592845288754887</v>
      </c>
      <c r="AF1780" s="16">
        <f>'Gearing Calculator'!$C$17*Braking!AD1780</f>
        <v>3462.4115623966618</v>
      </c>
      <c r="AG1780" s="16">
        <f t="shared" si="99"/>
        <v>-13.006805268206845</v>
      </c>
    </row>
    <row r="1781" spans="29:33" x14ac:dyDescent="0.25">
      <c r="AC1781" s="16">
        <v>1777</v>
      </c>
      <c r="AD1781" s="16">
        <f t="shared" si="100"/>
        <v>2308.8030328561817</v>
      </c>
      <c r="AE1781" s="16">
        <f t="shared" si="98"/>
        <v>75.635408827768828</v>
      </c>
      <c r="AF1781" s="16">
        <f>'Gearing Calculator'!$C$17*Braking!AD1781</f>
        <v>3463.2045492842726</v>
      </c>
      <c r="AG1781" s="16">
        <f t="shared" si="99"/>
        <v>-13.009784182134759</v>
      </c>
    </row>
    <row r="1782" spans="29:33" x14ac:dyDescent="0.25">
      <c r="AC1782" s="16">
        <v>1778</v>
      </c>
      <c r="AD1782" s="16">
        <f t="shared" si="100"/>
        <v>2309.3316907812559</v>
      </c>
      <c r="AE1782" s="16">
        <f t="shared" si="98"/>
        <v>75.677972366782768</v>
      </c>
      <c r="AF1782" s="16">
        <f>'Gearing Calculator'!$C$17*Braking!AD1782</f>
        <v>3463.9975361718839</v>
      </c>
      <c r="AG1782" s="16">
        <f t="shared" si="99"/>
        <v>-13.012763096062676</v>
      </c>
    </row>
    <row r="1783" spans="29:33" x14ac:dyDescent="0.25">
      <c r="AC1783" s="16">
        <v>1779</v>
      </c>
      <c r="AD1783" s="16">
        <f t="shared" si="100"/>
        <v>2309.8603487063297</v>
      </c>
      <c r="AE1783" s="16">
        <f t="shared" si="98"/>
        <v>75.720535905796709</v>
      </c>
      <c r="AF1783" s="16">
        <f>'Gearing Calculator'!$C$17*Braking!AD1783</f>
        <v>3464.7905230594943</v>
      </c>
      <c r="AG1783" s="16">
        <f t="shared" si="99"/>
        <v>-13.015742009990587</v>
      </c>
    </row>
    <row r="1784" spans="29:33" x14ac:dyDescent="0.25">
      <c r="AC1784" s="16">
        <v>1780</v>
      </c>
      <c r="AD1784" s="16">
        <f t="shared" si="100"/>
        <v>2310.3890066314034</v>
      </c>
      <c r="AE1784" s="16">
        <f t="shared" si="98"/>
        <v>75.763099444810649</v>
      </c>
      <c r="AF1784" s="16">
        <f>'Gearing Calculator'!$C$17*Braking!AD1784</f>
        <v>3465.5835099471051</v>
      </c>
      <c r="AG1784" s="16">
        <f t="shared" si="99"/>
        <v>-13.018720923918503</v>
      </c>
    </row>
    <row r="1785" spans="29:33" x14ac:dyDescent="0.25">
      <c r="AC1785" s="16">
        <v>1781</v>
      </c>
      <c r="AD1785" s="16">
        <f t="shared" si="100"/>
        <v>2310.9176645564771</v>
      </c>
      <c r="AE1785" s="16">
        <f t="shared" si="98"/>
        <v>75.80566298382459</v>
      </c>
      <c r="AF1785" s="16">
        <f>'Gearing Calculator'!$C$17*Braking!AD1785</f>
        <v>3466.3764968347159</v>
      </c>
      <c r="AG1785" s="16">
        <f t="shared" si="99"/>
        <v>-13.021699837846416</v>
      </c>
    </row>
    <row r="1786" spans="29:33" x14ac:dyDescent="0.25">
      <c r="AC1786" s="16">
        <v>1782</v>
      </c>
      <c r="AD1786" s="16">
        <f t="shared" si="100"/>
        <v>2311.4463224815509</v>
      </c>
      <c r="AE1786" s="16">
        <f t="shared" si="98"/>
        <v>75.84822652283853</v>
      </c>
      <c r="AF1786" s="16">
        <f>'Gearing Calculator'!$C$17*Braking!AD1786</f>
        <v>3467.1694837223263</v>
      </c>
      <c r="AG1786" s="16">
        <f t="shared" si="99"/>
        <v>-13.02467875177433</v>
      </c>
    </row>
    <row r="1787" spans="29:33" x14ac:dyDescent="0.25">
      <c r="AC1787" s="16">
        <v>1783</v>
      </c>
      <c r="AD1787" s="16">
        <f t="shared" si="100"/>
        <v>2311.974980406625</v>
      </c>
      <c r="AE1787" s="16">
        <f t="shared" si="98"/>
        <v>75.890790061852456</v>
      </c>
      <c r="AF1787" s="16">
        <f>'Gearing Calculator'!$C$17*Braking!AD1787</f>
        <v>3467.9624706099376</v>
      </c>
      <c r="AG1787" s="16">
        <f t="shared" si="99"/>
        <v>-13.027657665702245</v>
      </c>
    </row>
    <row r="1788" spans="29:33" x14ac:dyDescent="0.25">
      <c r="AC1788" s="16">
        <v>1784</v>
      </c>
      <c r="AD1788" s="16">
        <f t="shared" si="100"/>
        <v>2312.5036383316988</v>
      </c>
      <c r="AE1788" s="16">
        <f t="shared" si="98"/>
        <v>75.933353600866397</v>
      </c>
      <c r="AF1788" s="16">
        <f>'Gearing Calculator'!$C$17*Braking!AD1788</f>
        <v>3468.7554574975484</v>
      </c>
      <c r="AG1788" s="16">
        <f t="shared" si="99"/>
        <v>-13.03063657963016</v>
      </c>
    </row>
    <row r="1789" spans="29:33" x14ac:dyDescent="0.25">
      <c r="AC1789" s="16">
        <v>1785</v>
      </c>
      <c r="AD1789" s="16">
        <f t="shared" si="100"/>
        <v>2313.0322962567725</v>
      </c>
      <c r="AE1789" s="16">
        <f t="shared" si="98"/>
        <v>75.975917139880337</v>
      </c>
      <c r="AF1789" s="16">
        <f>'Gearing Calculator'!$C$17*Braking!AD1789</f>
        <v>3469.5484443851587</v>
      </c>
      <c r="AG1789" s="16">
        <f t="shared" si="99"/>
        <v>-13.033615493558072</v>
      </c>
    </row>
    <row r="1790" spans="29:33" x14ac:dyDescent="0.25">
      <c r="AC1790" s="16">
        <v>1786</v>
      </c>
      <c r="AD1790" s="16">
        <f t="shared" si="100"/>
        <v>2313.5609541818462</v>
      </c>
      <c r="AE1790" s="16">
        <f t="shared" si="98"/>
        <v>76.018480678894278</v>
      </c>
      <c r="AF1790" s="16">
        <f>'Gearing Calculator'!$C$17*Braking!AD1790</f>
        <v>3470.3414312727691</v>
      </c>
      <c r="AG1790" s="16">
        <f t="shared" si="99"/>
        <v>-13.036594407485985</v>
      </c>
    </row>
    <row r="1791" spans="29:33" x14ac:dyDescent="0.25">
      <c r="AC1791" s="16">
        <v>1787</v>
      </c>
      <c r="AD1791" s="16">
        <f t="shared" si="100"/>
        <v>2314.08961210692</v>
      </c>
      <c r="AE1791" s="16">
        <f t="shared" ref="AE1791:AE1854" si="101">(AC1791/$X$104)*100</f>
        <v>76.061044217908218</v>
      </c>
      <c r="AF1791" s="16">
        <f>'Gearing Calculator'!$C$17*Braking!AD1791</f>
        <v>3471.1344181603799</v>
      </c>
      <c r="AG1791" s="16">
        <f t="shared" si="99"/>
        <v>-13.039573321413899</v>
      </c>
    </row>
    <row r="1792" spans="29:33" x14ac:dyDescent="0.25">
      <c r="AC1792" s="16">
        <v>1788</v>
      </c>
      <c r="AD1792" s="16">
        <f t="shared" si="100"/>
        <v>2314.6182700319941</v>
      </c>
      <c r="AE1792" s="16">
        <f t="shared" si="101"/>
        <v>76.103607756922159</v>
      </c>
      <c r="AF1792" s="16">
        <f>'Gearing Calculator'!$C$17*Braking!AD1792</f>
        <v>3471.9274050479912</v>
      </c>
      <c r="AG1792" s="16">
        <f t="shared" si="99"/>
        <v>-13.042552235341816</v>
      </c>
    </row>
    <row r="1793" spans="29:33" x14ac:dyDescent="0.25">
      <c r="AC1793" s="16">
        <v>1789</v>
      </c>
      <c r="AD1793" s="16">
        <f t="shared" si="100"/>
        <v>2315.1469279570679</v>
      </c>
      <c r="AE1793" s="16">
        <f t="shared" si="101"/>
        <v>76.146171295936099</v>
      </c>
      <c r="AF1793" s="16">
        <f>'Gearing Calculator'!$C$17*Braking!AD1793</f>
        <v>3472.7203919356016</v>
      </c>
      <c r="AG1793" s="16">
        <f t="shared" si="99"/>
        <v>-13.045531149269728</v>
      </c>
    </row>
    <row r="1794" spans="29:33" x14ac:dyDescent="0.25">
      <c r="AC1794" s="16">
        <v>1790</v>
      </c>
      <c r="AD1794" s="16">
        <f t="shared" si="100"/>
        <v>2315.6755858821416</v>
      </c>
      <c r="AE1794" s="16">
        <f t="shared" si="101"/>
        <v>76.18873483495004</v>
      </c>
      <c r="AF1794" s="16">
        <f>'Gearing Calculator'!$C$17*Braking!AD1794</f>
        <v>3473.5133788232124</v>
      </c>
      <c r="AG1794" s="16">
        <f t="shared" si="99"/>
        <v>-13.048510063197643</v>
      </c>
    </row>
    <row r="1795" spans="29:33" x14ac:dyDescent="0.25">
      <c r="AC1795" s="16">
        <v>1791</v>
      </c>
      <c r="AD1795" s="16">
        <f t="shared" si="100"/>
        <v>2316.2042438072153</v>
      </c>
      <c r="AE1795" s="16">
        <f t="shared" si="101"/>
        <v>76.231298373963966</v>
      </c>
      <c r="AF1795" s="16">
        <f>'Gearing Calculator'!$C$17*Braking!AD1795</f>
        <v>3474.3063657108232</v>
      </c>
      <c r="AG1795" s="16">
        <f t="shared" si="99"/>
        <v>-13.051488977125558</v>
      </c>
    </row>
    <row r="1796" spans="29:33" x14ac:dyDescent="0.25">
      <c r="AC1796" s="16">
        <v>1792</v>
      </c>
      <c r="AD1796" s="16">
        <f t="shared" si="100"/>
        <v>2316.7329017322891</v>
      </c>
      <c r="AE1796" s="16">
        <f t="shared" si="101"/>
        <v>76.273861912977907</v>
      </c>
      <c r="AF1796" s="16">
        <f>'Gearing Calculator'!$C$17*Braking!AD1796</f>
        <v>3475.0993525984336</v>
      </c>
      <c r="AG1796" s="16">
        <f t="shared" si="99"/>
        <v>-13.05446789105347</v>
      </c>
    </row>
    <row r="1797" spans="29:33" x14ac:dyDescent="0.25">
      <c r="AC1797" s="16">
        <v>1793</v>
      </c>
      <c r="AD1797" s="16">
        <f t="shared" si="100"/>
        <v>2317.2615596573633</v>
      </c>
      <c r="AE1797" s="16">
        <f t="shared" si="101"/>
        <v>76.316425451991847</v>
      </c>
      <c r="AF1797" s="16">
        <f>'Gearing Calculator'!$C$17*Braking!AD1797</f>
        <v>3475.8923394860449</v>
      </c>
      <c r="AG1797" s="16">
        <f t="shared" si="99"/>
        <v>-13.057446804981387</v>
      </c>
    </row>
    <row r="1798" spans="29:33" x14ac:dyDescent="0.25">
      <c r="AC1798" s="16">
        <v>1794</v>
      </c>
      <c r="AD1798" s="16">
        <f t="shared" si="100"/>
        <v>2317.790217582437</v>
      </c>
      <c r="AE1798" s="16">
        <f t="shared" si="101"/>
        <v>76.358988991005788</v>
      </c>
      <c r="AF1798" s="16">
        <f>'Gearing Calculator'!$C$17*Braking!AD1798</f>
        <v>3476.6853263736557</v>
      </c>
      <c r="AG1798" s="16">
        <f t="shared" ref="AG1798:AG1861" si="102">-(AF1798/$C$3)</f>
        <v>-13.0604257189093</v>
      </c>
    </row>
    <row r="1799" spans="29:33" x14ac:dyDescent="0.25">
      <c r="AC1799" s="16">
        <v>1795</v>
      </c>
      <c r="AD1799" s="16">
        <f t="shared" ref="AD1799:AD1862" si="103">($C$3*$C$4)*($C$9/$C$8)+(AC1799*($C$10/$C$8))</f>
        <v>2318.3188755075107</v>
      </c>
      <c r="AE1799" s="16">
        <f t="shared" si="101"/>
        <v>76.401552530019728</v>
      </c>
      <c r="AF1799" s="16">
        <f>'Gearing Calculator'!$C$17*Braking!AD1799</f>
        <v>3477.4783132612661</v>
      </c>
      <c r="AG1799" s="16">
        <f t="shared" si="102"/>
        <v>-13.063404632837214</v>
      </c>
    </row>
    <row r="1800" spans="29:33" x14ac:dyDescent="0.25">
      <c r="AC1800" s="16">
        <v>1796</v>
      </c>
      <c r="AD1800" s="16">
        <f t="shared" si="103"/>
        <v>2318.8475334325844</v>
      </c>
      <c r="AE1800" s="16">
        <f t="shared" si="101"/>
        <v>76.444116069033669</v>
      </c>
      <c r="AF1800" s="16">
        <f>'Gearing Calculator'!$C$17*Braking!AD1800</f>
        <v>3478.2713001488764</v>
      </c>
      <c r="AG1800" s="16">
        <f t="shared" si="102"/>
        <v>-13.066383546765126</v>
      </c>
    </row>
    <row r="1801" spans="29:33" x14ac:dyDescent="0.25">
      <c r="AC1801" s="16">
        <v>1797</v>
      </c>
      <c r="AD1801" s="16">
        <f t="shared" si="103"/>
        <v>2319.3761913576582</v>
      </c>
      <c r="AE1801" s="16">
        <f t="shared" si="101"/>
        <v>76.486679608047609</v>
      </c>
      <c r="AF1801" s="16">
        <f>'Gearing Calculator'!$C$17*Braking!AD1801</f>
        <v>3479.0642870364873</v>
      </c>
      <c r="AG1801" s="16">
        <f t="shared" si="102"/>
        <v>-13.069362460693041</v>
      </c>
    </row>
    <row r="1802" spans="29:33" x14ac:dyDescent="0.25">
      <c r="AC1802" s="16">
        <v>1798</v>
      </c>
      <c r="AD1802" s="16">
        <f t="shared" si="103"/>
        <v>2319.9048492827324</v>
      </c>
      <c r="AE1802" s="16">
        <f t="shared" si="101"/>
        <v>76.529243147061536</v>
      </c>
      <c r="AF1802" s="16">
        <f>'Gearing Calculator'!$C$17*Braking!AD1802</f>
        <v>3479.8572739240985</v>
      </c>
      <c r="AG1802" s="16">
        <f t="shared" si="102"/>
        <v>-13.072341374620956</v>
      </c>
    </row>
    <row r="1803" spans="29:33" x14ac:dyDescent="0.25">
      <c r="AC1803" s="16">
        <v>1799</v>
      </c>
      <c r="AD1803" s="16">
        <f t="shared" si="103"/>
        <v>2320.4335072078061</v>
      </c>
      <c r="AE1803" s="16">
        <f t="shared" si="101"/>
        <v>76.571806686075476</v>
      </c>
      <c r="AF1803" s="16">
        <f>'Gearing Calculator'!$C$17*Braking!AD1803</f>
        <v>3480.6502608117089</v>
      </c>
      <c r="AG1803" s="16">
        <f t="shared" si="102"/>
        <v>-13.07532028854887</v>
      </c>
    </row>
    <row r="1804" spans="29:33" x14ac:dyDescent="0.25">
      <c r="AC1804" s="16">
        <v>1800</v>
      </c>
      <c r="AD1804" s="16">
        <f t="shared" si="103"/>
        <v>2320.9621651328798</v>
      </c>
      <c r="AE1804" s="16">
        <f t="shared" si="101"/>
        <v>76.614370225089417</v>
      </c>
      <c r="AF1804" s="16">
        <f>'Gearing Calculator'!$C$17*Braking!AD1804</f>
        <v>3481.4432476993197</v>
      </c>
      <c r="AG1804" s="16">
        <f t="shared" si="102"/>
        <v>-13.078299202476783</v>
      </c>
    </row>
    <row r="1805" spans="29:33" x14ac:dyDescent="0.25">
      <c r="AC1805" s="16">
        <v>1801</v>
      </c>
      <c r="AD1805" s="16">
        <f t="shared" si="103"/>
        <v>2321.4908230579535</v>
      </c>
      <c r="AE1805" s="16">
        <f t="shared" si="101"/>
        <v>76.656933764103357</v>
      </c>
      <c r="AF1805" s="16">
        <f>'Gearing Calculator'!$C$17*Braking!AD1805</f>
        <v>3482.2362345869305</v>
      </c>
      <c r="AG1805" s="16">
        <f t="shared" si="102"/>
        <v>-13.081278116404699</v>
      </c>
    </row>
    <row r="1806" spans="29:33" x14ac:dyDescent="0.25">
      <c r="AC1806" s="16">
        <v>1802</v>
      </c>
      <c r="AD1806" s="16">
        <f t="shared" si="103"/>
        <v>2322.0194809830273</v>
      </c>
      <c r="AE1806" s="16">
        <f t="shared" si="101"/>
        <v>76.699497303117298</v>
      </c>
      <c r="AF1806" s="16">
        <f>'Gearing Calculator'!$C$17*Braking!AD1806</f>
        <v>3483.0292214745409</v>
      </c>
      <c r="AG1806" s="16">
        <f t="shared" si="102"/>
        <v>-13.08425703033261</v>
      </c>
    </row>
    <row r="1807" spans="29:33" x14ac:dyDescent="0.25">
      <c r="AC1807" s="16">
        <v>1803</v>
      </c>
      <c r="AD1807" s="16">
        <f t="shared" si="103"/>
        <v>2322.5481389081015</v>
      </c>
      <c r="AE1807" s="16">
        <f t="shared" si="101"/>
        <v>76.742060842131238</v>
      </c>
      <c r="AF1807" s="16">
        <f>'Gearing Calculator'!$C$17*Braking!AD1807</f>
        <v>3483.8222083621522</v>
      </c>
      <c r="AG1807" s="16">
        <f t="shared" si="102"/>
        <v>-13.087235944260527</v>
      </c>
    </row>
    <row r="1808" spans="29:33" x14ac:dyDescent="0.25">
      <c r="AC1808" s="16">
        <v>1804</v>
      </c>
      <c r="AD1808" s="16">
        <f t="shared" si="103"/>
        <v>2323.0767968331752</v>
      </c>
      <c r="AE1808" s="16">
        <f t="shared" si="101"/>
        <v>76.784624381145179</v>
      </c>
      <c r="AF1808" s="16">
        <f>'Gearing Calculator'!$C$17*Braking!AD1808</f>
        <v>3484.615195249763</v>
      </c>
      <c r="AG1808" s="16">
        <f t="shared" si="102"/>
        <v>-13.090214858188441</v>
      </c>
    </row>
    <row r="1809" spans="29:33" x14ac:dyDescent="0.25">
      <c r="AC1809" s="16">
        <v>1805</v>
      </c>
      <c r="AD1809" s="16">
        <f t="shared" si="103"/>
        <v>2323.6054547582489</v>
      </c>
      <c r="AE1809" s="16">
        <f t="shared" si="101"/>
        <v>76.827187920159119</v>
      </c>
      <c r="AF1809" s="16">
        <f>'Gearing Calculator'!$C$17*Braking!AD1809</f>
        <v>3485.4081821373734</v>
      </c>
      <c r="AG1809" s="16">
        <f t="shared" si="102"/>
        <v>-13.093193772116354</v>
      </c>
    </row>
    <row r="1810" spans="29:33" x14ac:dyDescent="0.25">
      <c r="AC1810" s="16">
        <v>1806</v>
      </c>
      <c r="AD1810" s="16">
        <f t="shared" si="103"/>
        <v>2324.1341126833227</v>
      </c>
      <c r="AE1810" s="16">
        <f t="shared" si="101"/>
        <v>76.869751459173045</v>
      </c>
      <c r="AF1810" s="16">
        <f>'Gearing Calculator'!$C$17*Braking!AD1810</f>
        <v>3486.2011690249838</v>
      </c>
      <c r="AG1810" s="16">
        <f t="shared" si="102"/>
        <v>-13.096172686044268</v>
      </c>
    </row>
    <row r="1811" spans="29:33" x14ac:dyDescent="0.25">
      <c r="AC1811" s="16">
        <v>1807</v>
      </c>
      <c r="AD1811" s="16">
        <f t="shared" si="103"/>
        <v>2324.6627706083964</v>
      </c>
      <c r="AE1811" s="16">
        <f t="shared" si="101"/>
        <v>76.912314998186986</v>
      </c>
      <c r="AF1811" s="16">
        <f>'Gearing Calculator'!$C$17*Braking!AD1811</f>
        <v>3486.9941559125946</v>
      </c>
      <c r="AG1811" s="16">
        <f t="shared" si="102"/>
        <v>-13.099151599972181</v>
      </c>
    </row>
    <row r="1812" spans="29:33" x14ac:dyDescent="0.25">
      <c r="AC1812" s="16">
        <v>1808</v>
      </c>
      <c r="AD1812" s="16">
        <f t="shared" si="103"/>
        <v>2325.1914285334706</v>
      </c>
      <c r="AE1812" s="16">
        <f t="shared" si="101"/>
        <v>76.954878537200926</v>
      </c>
      <c r="AF1812" s="16">
        <f>'Gearing Calculator'!$C$17*Braking!AD1812</f>
        <v>3487.7871428002059</v>
      </c>
      <c r="AG1812" s="16">
        <f t="shared" si="102"/>
        <v>-13.102130513900098</v>
      </c>
    </row>
    <row r="1813" spans="29:33" x14ac:dyDescent="0.25">
      <c r="AC1813" s="16">
        <v>1809</v>
      </c>
      <c r="AD1813" s="16">
        <f t="shared" si="103"/>
        <v>2325.7200864585443</v>
      </c>
      <c r="AE1813" s="16">
        <f t="shared" si="101"/>
        <v>76.997442076214867</v>
      </c>
      <c r="AF1813" s="16">
        <f>'Gearing Calculator'!$C$17*Braking!AD1813</f>
        <v>3488.5801296878162</v>
      </c>
      <c r="AG1813" s="16">
        <f t="shared" si="102"/>
        <v>-13.10510942782801</v>
      </c>
    </row>
    <row r="1814" spans="29:33" x14ac:dyDescent="0.25">
      <c r="AC1814" s="16">
        <v>1810</v>
      </c>
      <c r="AD1814" s="16">
        <f t="shared" si="103"/>
        <v>2326.248744383618</v>
      </c>
      <c r="AE1814" s="16">
        <f t="shared" si="101"/>
        <v>77.040005615228807</v>
      </c>
      <c r="AF1814" s="16">
        <f>'Gearing Calculator'!$C$17*Braking!AD1814</f>
        <v>3489.373116575427</v>
      </c>
      <c r="AG1814" s="16">
        <f t="shared" si="102"/>
        <v>-13.108088341755925</v>
      </c>
    </row>
    <row r="1815" spans="29:33" x14ac:dyDescent="0.25">
      <c r="AC1815" s="16">
        <v>1811</v>
      </c>
      <c r="AD1815" s="16">
        <f t="shared" si="103"/>
        <v>2326.7774023086918</v>
      </c>
      <c r="AE1815" s="16">
        <f t="shared" si="101"/>
        <v>77.082569154242748</v>
      </c>
      <c r="AF1815" s="16">
        <f>'Gearing Calculator'!$C$17*Braking!AD1815</f>
        <v>3490.1661034630379</v>
      </c>
      <c r="AG1815" s="16">
        <f t="shared" si="102"/>
        <v>-13.111067255683839</v>
      </c>
    </row>
    <row r="1816" spans="29:33" x14ac:dyDescent="0.25">
      <c r="AC1816" s="16">
        <v>1812</v>
      </c>
      <c r="AD1816" s="16">
        <f t="shared" si="103"/>
        <v>2327.3060602337655</v>
      </c>
      <c r="AE1816" s="16">
        <f t="shared" si="101"/>
        <v>77.125132693256688</v>
      </c>
      <c r="AF1816" s="16">
        <f>'Gearing Calculator'!$C$17*Braking!AD1816</f>
        <v>3490.9590903506482</v>
      </c>
      <c r="AG1816" s="16">
        <f t="shared" si="102"/>
        <v>-13.114046169611752</v>
      </c>
    </row>
    <row r="1817" spans="29:33" x14ac:dyDescent="0.25">
      <c r="AC1817" s="16">
        <v>1813</v>
      </c>
      <c r="AD1817" s="16">
        <f t="shared" si="103"/>
        <v>2327.8347181588397</v>
      </c>
      <c r="AE1817" s="16">
        <f t="shared" si="101"/>
        <v>77.167696232270615</v>
      </c>
      <c r="AF1817" s="16">
        <f>'Gearing Calculator'!$C$17*Braking!AD1817</f>
        <v>3491.7520772382595</v>
      </c>
      <c r="AG1817" s="16">
        <f t="shared" si="102"/>
        <v>-13.117025083539668</v>
      </c>
    </row>
    <row r="1818" spans="29:33" x14ac:dyDescent="0.25">
      <c r="AC1818" s="16">
        <v>1814</v>
      </c>
      <c r="AD1818" s="16">
        <f t="shared" si="103"/>
        <v>2328.3633760839134</v>
      </c>
      <c r="AE1818" s="16">
        <f t="shared" si="101"/>
        <v>77.210259771284555</v>
      </c>
      <c r="AF1818" s="16">
        <f>'Gearing Calculator'!$C$17*Braking!AD1818</f>
        <v>3492.5450641258703</v>
      </c>
      <c r="AG1818" s="16">
        <f t="shared" si="102"/>
        <v>-13.120003997467583</v>
      </c>
    </row>
    <row r="1819" spans="29:33" x14ac:dyDescent="0.25">
      <c r="AC1819" s="16">
        <v>1815</v>
      </c>
      <c r="AD1819" s="16">
        <f t="shared" si="103"/>
        <v>2328.8920340089871</v>
      </c>
      <c r="AE1819" s="16">
        <f t="shared" si="101"/>
        <v>77.252823310298496</v>
      </c>
      <c r="AF1819" s="16">
        <f>'Gearing Calculator'!$C$17*Braking!AD1819</f>
        <v>3493.3380510134807</v>
      </c>
      <c r="AG1819" s="16">
        <f t="shared" si="102"/>
        <v>-13.122982911395495</v>
      </c>
    </row>
    <row r="1820" spans="29:33" x14ac:dyDescent="0.25">
      <c r="AC1820" s="16">
        <v>1816</v>
      </c>
      <c r="AD1820" s="16">
        <f t="shared" si="103"/>
        <v>2329.4206919340609</v>
      </c>
      <c r="AE1820" s="16">
        <f t="shared" si="101"/>
        <v>77.295386849312436</v>
      </c>
      <c r="AF1820" s="16">
        <f>'Gearing Calculator'!$C$17*Braking!AD1820</f>
        <v>3494.1310379010911</v>
      </c>
      <c r="AG1820" s="16">
        <f t="shared" si="102"/>
        <v>-13.125961825323408</v>
      </c>
    </row>
    <row r="1821" spans="29:33" x14ac:dyDescent="0.25">
      <c r="AC1821" s="16">
        <v>1817</v>
      </c>
      <c r="AD1821" s="16">
        <f t="shared" si="103"/>
        <v>2329.9493498591346</v>
      </c>
      <c r="AE1821" s="16">
        <f t="shared" si="101"/>
        <v>77.337950388326377</v>
      </c>
      <c r="AF1821" s="16">
        <f>'Gearing Calculator'!$C$17*Braking!AD1821</f>
        <v>3494.9240247887019</v>
      </c>
      <c r="AG1821" s="16">
        <f t="shared" si="102"/>
        <v>-13.128940739251323</v>
      </c>
    </row>
    <row r="1822" spans="29:33" x14ac:dyDescent="0.25">
      <c r="AC1822" s="16">
        <v>1818</v>
      </c>
      <c r="AD1822" s="16">
        <f t="shared" si="103"/>
        <v>2330.4780077842088</v>
      </c>
      <c r="AE1822" s="16">
        <f t="shared" si="101"/>
        <v>77.380513927340317</v>
      </c>
      <c r="AF1822" s="16">
        <f>'Gearing Calculator'!$C$17*Braking!AD1822</f>
        <v>3495.7170116763132</v>
      </c>
      <c r="AG1822" s="16">
        <f t="shared" si="102"/>
        <v>-13.131919653179239</v>
      </c>
    </row>
    <row r="1823" spans="29:33" x14ac:dyDescent="0.25">
      <c r="AC1823" s="16">
        <v>1819</v>
      </c>
      <c r="AD1823" s="16">
        <f t="shared" si="103"/>
        <v>2331.0066657092825</v>
      </c>
      <c r="AE1823" s="16">
        <f t="shared" si="101"/>
        <v>77.423077466354258</v>
      </c>
      <c r="AF1823" s="16">
        <f>'Gearing Calculator'!$C$17*Braking!AD1823</f>
        <v>3496.5099985639235</v>
      </c>
      <c r="AG1823" s="16">
        <f t="shared" si="102"/>
        <v>-13.134898567107152</v>
      </c>
    </row>
    <row r="1824" spans="29:33" x14ac:dyDescent="0.25">
      <c r="AC1824" s="16">
        <v>1820</v>
      </c>
      <c r="AD1824" s="16">
        <f t="shared" si="103"/>
        <v>2331.5353236343562</v>
      </c>
      <c r="AE1824" s="16">
        <f t="shared" si="101"/>
        <v>77.465641005368184</v>
      </c>
      <c r="AF1824" s="16">
        <f>'Gearing Calculator'!$C$17*Braking!AD1824</f>
        <v>3497.3029854515344</v>
      </c>
      <c r="AG1824" s="16">
        <f t="shared" si="102"/>
        <v>-13.137877481035066</v>
      </c>
    </row>
    <row r="1825" spans="29:33" x14ac:dyDescent="0.25">
      <c r="AC1825" s="16">
        <v>1821</v>
      </c>
      <c r="AD1825" s="16">
        <f t="shared" si="103"/>
        <v>2332.06398155943</v>
      </c>
      <c r="AE1825" s="16">
        <f t="shared" si="101"/>
        <v>77.508204544382124</v>
      </c>
      <c r="AF1825" s="16">
        <f>'Gearing Calculator'!$C$17*Braking!AD1825</f>
        <v>3498.0959723391452</v>
      </c>
      <c r="AG1825" s="16">
        <f t="shared" si="102"/>
        <v>-13.140856394962981</v>
      </c>
    </row>
    <row r="1826" spans="29:33" x14ac:dyDescent="0.25">
      <c r="AC1826" s="16">
        <v>1822</v>
      </c>
      <c r="AD1826" s="16">
        <f t="shared" si="103"/>
        <v>2332.5926394845037</v>
      </c>
      <c r="AE1826" s="16">
        <f t="shared" si="101"/>
        <v>77.550768083396065</v>
      </c>
      <c r="AF1826" s="16">
        <f>'Gearing Calculator'!$C$17*Braking!AD1826</f>
        <v>3498.8889592267556</v>
      </c>
      <c r="AG1826" s="16">
        <f t="shared" si="102"/>
        <v>-13.143835308890893</v>
      </c>
    </row>
    <row r="1827" spans="29:33" x14ac:dyDescent="0.25">
      <c r="AC1827" s="16">
        <v>1823</v>
      </c>
      <c r="AD1827" s="16">
        <f t="shared" si="103"/>
        <v>2333.1212974095779</v>
      </c>
      <c r="AE1827" s="16">
        <f t="shared" si="101"/>
        <v>77.593331622410005</v>
      </c>
      <c r="AF1827" s="16">
        <f>'Gearing Calculator'!$C$17*Braking!AD1827</f>
        <v>3499.6819461143668</v>
      </c>
      <c r="AG1827" s="16">
        <f t="shared" si="102"/>
        <v>-13.14681422281881</v>
      </c>
    </row>
    <row r="1828" spans="29:33" x14ac:dyDescent="0.25">
      <c r="AC1828" s="16">
        <v>1824</v>
      </c>
      <c r="AD1828" s="16">
        <f t="shared" si="103"/>
        <v>2333.6499553346516</v>
      </c>
      <c r="AE1828" s="16">
        <f t="shared" si="101"/>
        <v>77.635895161423946</v>
      </c>
      <c r="AF1828" s="16">
        <f>'Gearing Calculator'!$C$17*Braking!AD1828</f>
        <v>3500.4749330019777</v>
      </c>
      <c r="AG1828" s="16">
        <f t="shared" si="102"/>
        <v>-13.149793136746723</v>
      </c>
    </row>
    <row r="1829" spans="29:33" x14ac:dyDescent="0.25">
      <c r="AC1829" s="16">
        <v>1825</v>
      </c>
      <c r="AD1829" s="16">
        <f t="shared" si="103"/>
        <v>2334.1786132597254</v>
      </c>
      <c r="AE1829" s="16">
        <f t="shared" si="101"/>
        <v>77.678458700437886</v>
      </c>
      <c r="AF1829" s="16">
        <f>'Gearing Calculator'!$C$17*Braking!AD1829</f>
        <v>3501.267919889588</v>
      </c>
      <c r="AG1829" s="16">
        <f t="shared" si="102"/>
        <v>-13.152772050674637</v>
      </c>
    </row>
    <row r="1830" spans="29:33" x14ac:dyDescent="0.25">
      <c r="AC1830" s="16">
        <v>1826</v>
      </c>
      <c r="AD1830" s="16">
        <f t="shared" si="103"/>
        <v>2334.7072711847991</v>
      </c>
      <c r="AE1830" s="16">
        <f t="shared" si="101"/>
        <v>77.721022239451827</v>
      </c>
      <c r="AF1830" s="16">
        <f>'Gearing Calculator'!$C$17*Braking!AD1830</f>
        <v>3502.0609067771984</v>
      </c>
      <c r="AG1830" s="16">
        <f t="shared" si="102"/>
        <v>-13.155750964602548</v>
      </c>
    </row>
    <row r="1831" spans="29:33" x14ac:dyDescent="0.25">
      <c r="AC1831" s="16">
        <v>1827</v>
      </c>
      <c r="AD1831" s="16">
        <f t="shared" si="103"/>
        <v>2335.2359291098728</v>
      </c>
      <c r="AE1831" s="16">
        <f t="shared" si="101"/>
        <v>77.763585778465767</v>
      </c>
      <c r="AF1831" s="16">
        <f>'Gearing Calculator'!$C$17*Braking!AD1831</f>
        <v>3502.8538936648092</v>
      </c>
      <c r="AG1831" s="16">
        <f t="shared" si="102"/>
        <v>-13.158729878530464</v>
      </c>
    </row>
    <row r="1832" spans="29:33" x14ac:dyDescent="0.25">
      <c r="AC1832" s="16">
        <v>1828</v>
      </c>
      <c r="AD1832" s="16">
        <f t="shared" si="103"/>
        <v>2335.764587034947</v>
      </c>
      <c r="AE1832" s="16">
        <f t="shared" si="101"/>
        <v>77.806149317479694</v>
      </c>
      <c r="AF1832" s="16">
        <f>'Gearing Calculator'!$C$17*Braking!AD1832</f>
        <v>3503.6468805524205</v>
      </c>
      <c r="AG1832" s="16">
        <f t="shared" si="102"/>
        <v>-13.161708792458379</v>
      </c>
    </row>
    <row r="1833" spans="29:33" x14ac:dyDescent="0.25">
      <c r="AC1833" s="16">
        <v>1829</v>
      </c>
      <c r="AD1833" s="16">
        <f t="shared" si="103"/>
        <v>2336.2932449600207</v>
      </c>
      <c r="AE1833" s="16">
        <f t="shared" si="101"/>
        <v>77.848712856493634</v>
      </c>
      <c r="AF1833" s="16">
        <f>'Gearing Calculator'!$C$17*Braking!AD1833</f>
        <v>3504.4398674400309</v>
      </c>
      <c r="AG1833" s="16">
        <f t="shared" si="102"/>
        <v>-13.164687706386292</v>
      </c>
    </row>
    <row r="1834" spans="29:33" x14ac:dyDescent="0.25">
      <c r="AC1834" s="16">
        <v>1830</v>
      </c>
      <c r="AD1834" s="16">
        <f t="shared" si="103"/>
        <v>2336.8219028850945</v>
      </c>
      <c r="AE1834" s="16">
        <f t="shared" si="101"/>
        <v>77.891276395507575</v>
      </c>
      <c r="AF1834" s="16">
        <f>'Gearing Calculator'!$C$17*Braking!AD1834</f>
        <v>3505.2328543276417</v>
      </c>
      <c r="AG1834" s="16">
        <f t="shared" si="102"/>
        <v>-13.167666620314206</v>
      </c>
    </row>
    <row r="1835" spans="29:33" x14ac:dyDescent="0.25">
      <c r="AC1835" s="16">
        <v>1831</v>
      </c>
      <c r="AD1835" s="16">
        <f t="shared" si="103"/>
        <v>2337.3505608101682</v>
      </c>
      <c r="AE1835" s="16">
        <f t="shared" si="101"/>
        <v>77.933839934521515</v>
      </c>
      <c r="AF1835" s="16">
        <f>'Gearing Calculator'!$C$17*Braking!AD1835</f>
        <v>3506.0258412152525</v>
      </c>
      <c r="AG1835" s="16">
        <f t="shared" si="102"/>
        <v>-13.170645534242121</v>
      </c>
    </row>
    <row r="1836" spans="29:33" x14ac:dyDescent="0.25">
      <c r="AC1836" s="16">
        <v>1832</v>
      </c>
      <c r="AD1836" s="16">
        <f t="shared" si="103"/>
        <v>2337.8792187352419</v>
      </c>
      <c r="AE1836" s="16">
        <f t="shared" si="101"/>
        <v>77.976403473535456</v>
      </c>
      <c r="AF1836" s="16">
        <f>'Gearing Calculator'!$C$17*Braking!AD1836</f>
        <v>3506.8188281028629</v>
      </c>
      <c r="AG1836" s="16">
        <f t="shared" si="102"/>
        <v>-13.173624448170035</v>
      </c>
    </row>
    <row r="1837" spans="29:33" x14ac:dyDescent="0.25">
      <c r="AC1837" s="16">
        <v>1833</v>
      </c>
      <c r="AD1837" s="16">
        <f t="shared" si="103"/>
        <v>2338.4078766603161</v>
      </c>
      <c r="AE1837" s="16">
        <f t="shared" si="101"/>
        <v>78.018967012549396</v>
      </c>
      <c r="AF1837" s="16">
        <f>'Gearing Calculator'!$C$17*Braking!AD1837</f>
        <v>3507.6118149904742</v>
      </c>
      <c r="AG1837" s="16">
        <f t="shared" si="102"/>
        <v>-13.17660336209795</v>
      </c>
    </row>
    <row r="1838" spans="29:33" x14ac:dyDescent="0.25">
      <c r="AC1838" s="16">
        <v>1834</v>
      </c>
      <c r="AD1838" s="16">
        <f t="shared" si="103"/>
        <v>2338.9365345853898</v>
      </c>
      <c r="AE1838" s="16">
        <f t="shared" si="101"/>
        <v>78.061530551563322</v>
      </c>
      <c r="AF1838" s="16">
        <f>'Gearing Calculator'!$C$17*Braking!AD1838</f>
        <v>3508.404801878085</v>
      </c>
      <c r="AG1838" s="16">
        <f t="shared" si="102"/>
        <v>-13.179582276025865</v>
      </c>
    </row>
    <row r="1839" spans="29:33" x14ac:dyDescent="0.25">
      <c r="AC1839" s="16">
        <v>1835</v>
      </c>
      <c r="AD1839" s="16">
        <f t="shared" si="103"/>
        <v>2339.4651925104636</v>
      </c>
      <c r="AE1839" s="16">
        <f t="shared" si="101"/>
        <v>78.104094090577263</v>
      </c>
      <c r="AF1839" s="16">
        <f>'Gearing Calculator'!$C$17*Braking!AD1839</f>
        <v>3509.1977887656953</v>
      </c>
      <c r="AG1839" s="16">
        <f t="shared" si="102"/>
        <v>-13.182561189953777</v>
      </c>
    </row>
    <row r="1840" spans="29:33" x14ac:dyDescent="0.25">
      <c r="AC1840" s="16">
        <v>1836</v>
      </c>
      <c r="AD1840" s="16">
        <f t="shared" si="103"/>
        <v>2339.9938504355373</v>
      </c>
      <c r="AE1840" s="16">
        <f t="shared" si="101"/>
        <v>78.146657629591203</v>
      </c>
      <c r="AF1840" s="16">
        <f>'Gearing Calculator'!$C$17*Braking!AD1840</f>
        <v>3509.9907756533057</v>
      </c>
      <c r="AG1840" s="16">
        <f t="shared" si="102"/>
        <v>-13.18554010388169</v>
      </c>
    </row>
    <row r="1841" spans="29:33" x14ac:dyDescent="0.25">
      <c r="AC1841" s="16">
        <v>1837</v>
      </c>
      <c r="AD1841" s="16">
        <f t="shared" si="103"/>
        <v>2340.522508360611</v>
      </c>
      <c r="AE1841" s="16">
        <f t="shared" si="101"/>
        <v>78.189221168605144</v>
      </c>
      <c r="AF1841" s="16">
        <f>'Gearing Calculator'!$C$17*Braking!AD1841</f>
        <v>3510.7837625409165</v>
      </c>
      <c r="AG1841" s="16">
        <f t="shared" si="102"/>
        <v>-13.188519017809604</v>
      </c>
    </row>
    <row r="1842" spans="29:33" x14ac:dyDescent="0.25">
      <c r="AC1842" s="16">
        <v>1838</v>
      </c>
      <c r="AD1842" s="16">
        <f t="shared" si="103"/>
        <v>2341.0511662856852</v>
      </c>
      <c r="AE1842" s="16">
        <f t="shared" si="101"/>
        <v>78.231784707619084</v>
      </c>
      <c r="AF1842" s="16">
        <f>'Gearing Calculator'!$C$17*Braking!AD1842</f>
        <v>3511.5767494285278</v>
      </c>
      <c r="AG1842" s="16">
        <f t="shared" si="102"/>
        <v>-13.191497931737521</v>
      </c>
    </row>
    <row r="1843" spans="29:33" x14ac:dyDescent="0.25">
      <c r="AC1843" s="16">
        <v>1839</v>
      </c>
      <c r="AD1843" s="16">
        <f t="shared" si="103"/>
        <v>2341.5798242107589</v>
      </c>
      <c r="AE1843" s="16">
        <f t="shared" si="101"/>
        <v>78.274348246633025</v>
      </c>
      <c r="AF1843" s="16">
        <f>'Gearing Calculator'!$C$17*Braking!AD1843</f>
        <v>3512.3697363161382</v>
      </c>
      <c r="AG1843" s="16">
        <f t="shared" si="102"/>
        <v>-13.194476845665433</v>
      </c>
    </row>
    <row r="1844" spans="29:33" x14ac:dyDescent="0.25">
      <c r="AC1844" s="16">
        <v>1840</v>
      </c>
      <c r="AD1844" s="16">
        <f t="shared" si="103"/>
        <v>2342.1084821358327</v>
      </c>
      <c r="AE1844" s="16">
        <f t="shared" si="101"/>
        <v>78.316911785646965</v>
      </c>
      <c r="AF1844" s="16">
        <f>'Gearing Calculator'!$C$17*Braking!AD1844</f>
        <v>3513.162723203749</v>
      </c>
      <c r="AG1844" s="16">
        <f t="shared" si="102"/>
        <v>-13.197455759593348</v>
      </c>
    </row>
    <row r="1845" spans="29:33" x14ac:dyDescent="0.25">
      <c r="AC1845" s="16">
        <v>1841</v>
      </c>
      <c r="AD1845" s="16">
        <f t="shared" si="103"/>
        <v>2342.6371400609064</v>
      </c>
      <c r="AE1845" s="16">
        <f t="shared" si="101"/>
        <v>78.359475324660906</v>
      </c>
      <c r="AF1845" s="16">
        <f>'Gearing Calculator'!$C$17*Braking!AD1845</f>
        <v>3513.9557100913598</v>
      </c>
      <c r="AG1845" s="16">
        <f t="shared" si="102"/>
        <v>-13.200434673521261</v>
      </c>
    </row>
    <row r="1846" spans="29:33" x14ac:dyDescent="0.25">
      <c r="AC1846" s="16">
        <v>1842</v>
      </c>
      <c r="AD1846" s="16">
        <f t="shared" si="103"/>
        <v>2343.1657979859801</v>
      </c>
      <c r="AE1846" s="16">
        <f t="shared" si="101"/>
        <v>78.402038863674832</v>
      </c>
      <c r="AF1846" s="16">
        <f>'Gearing Calculator'!$C$17*Braking!AD1846</f>
        <v>3514.7486969789702</v>
      </c>
      <c r="AG1846" s="16">
        <f t="shared" si="102"/>
        <v>-13.203413587449175</v>
      </c>
    </row>
    <row r="1847" spans="29:33" x14ac:dyDescent="0.25">
      <c r="AC1847" s="16">
        <v>1843</v>
      </c>
      <c r="AD1847" s="16">
        <f t="shared" si="103"/>
        <v>2343.6944559110543</v>
      </c>
      <c r="AE1847" s="16">
        <f t="shared" si="101"/>
        <v>78.444602402688773</v>
      </c>
      <c r="AF1847" s="16">
        <f>'Gearing Calculator'!$C$17*Braking!AD1847</f>
        <v>3515.5416838665815</v>
      </c>
      <c r="AG1847" s="16">
        <f t="shared" si="102"/>
        <v>-13.20639250137709</v>
      </c>
    </row>
    <row r="1848" spans="29:33" x14ac:dyDescent="0.25">
      <c r="AC1848" s="16">
        <v>1844</v>
      </c>
      <c r="AD1848" s="16">
        <f t="shared" si="103"/>
        <v>2344.2231138361281</v>
      </c>
      <c r="AE1848" s="16">
        <f t="shared" si="101"/>
        <v>78.487165941702713</v>
      </c>
      <c r="AF1848" s="16">
        <f>'Gearing Calculator'!$C$17*Braking!AD1848</f>
        <v>3516.3346707541923</v>
      </c>
      <c r="AG1848" s="16">
        <f t="shared" si="102"/>
        <v>-13.209371415305005</v>
      </c>
    </row>
    <row r="1849" spans="29:33" x14ac:dyDescent="0.25">
      <c r="AC1849" s="16">
        <v>1845</v>
      </c>
      <c r="AD1849" s="16">
        <f t="shared" si="103"/>
        <v>2344.7517717612018</v>
      </c>
      <c r="AE1849" s="16">
        <f t="shared" si="101"/>
        <v>78.529729480716654</v>
      </c>
      <c r="AF1849" s="16">
        <f>'Gearing Calculator'!$C$17*Braking!AD1849</f>
        <v>3517.1276576418027</v>
      </c>
      <c r="AG1849" s="16">
        <f t="shared" si="102"/>
        <v>-13.212350329232919</v>
      </c>
    </row>
    <row r="1850" spans="29:33" x14ac:dyDescent="0.25">
      <c r="AC1850" s="16">
        <v>1846</v>
      </c>
      <c r="AD1850" s="16">
        <f t="shared" si="103"/>
        <v>2345.2804296862755</v>
      </c>
      <c r="AE1850" s="16">
        <f t="shared" si="101"/>
        <v>78.572293019730594</v>
      </c>
      <c r="AF1850" s="16">
        <f>'Gearing Calculator'!$C$17*Braking!AD1850</f>
        <v>3517.920644529413</v>
      </c>
      <c r="AG1850" s="16">
        <f t="shared" si="102"/>
        <v>-13.215329243160831</v>
      </c>
    </row>
    <row r="1851" spans="29:33" x14ac:dyDescent="0.25">
      <c r="AC1851" s="16">
        <v>1847</v>
      </c>
      <c r="AD1851" s="16">
        <f t="shared" si="103"/>
        <v>2345.8090876113492</v>
      </c>
      <c r="AE1851" s="16">
        <f t="shared" si="101"/>
        <v>78.614856558744535</v>
      </c>
      <c r="AF1851" s="16">
        <f>'Gearing Calculator'!$C$17*Braking!AD1851</f>
        <v>3518.7136314170239</v>
      </c>
      <c r="AG1851" s="16">
        <f t="shared" si="102"/>
        <v>-13.218308157088746</v>
      </c>
    </row>
    <row r="1852" spans="29:33" x14ac:dyDescent="0.25">
      <c r="AC1852" s="16">
        <v>1848</v>
      </c>
      <c r="AD1852" s="16">
        <f t="shared" si="103"/>
        <v>2346.3377455364234</v>
      </c>
      <c r="AE1852" s="16">
        <f t="shared" si="101"/>
        <v>78.657420097758461</v>
      </c>
      <c r="AF1852" s="16">
        <f>'Gearing Calculator'!$C$17*Braking!AD1852</f>
        <v>3519.5066183046351</v>
      </c>
      <c r="AG1852" s="16">
        <f t="shared" si="102"/>
        <v>-13.221287071016661</v>
      </c>
    </row>
    <row r="1853" spans="29:33" x14ac:dyDescent="0.25">
      <c r="AC1853" s="16">
        <v>1849</v>
      </c>
      <c r="AD1853" s="16">
        <f t="shared" si="103"/>
        <v>2346.8664034614972</v>
      </c>
      <c r="AE1853" s="16">
        <f t="shared" si="101"/>
        <v>78.699983636772401</v>
      </c>
      <c r="AF1853" s="16">
        <f>'Gearing Calculator'!$C$17*Braking!AD1853</f>
        <v>3520.2996051922455</v>
      </c>
      <c r="AG1853" s="16">
        <f t="shared" si="102"/>
        <v>-13.224265984944575</v>
      </c>
    </row>
    <row r="1854" spans="29:33" x14ac:dyDescent="0.25">
      <c r="AC1854" s="16">
        <v>1850</v>
      </c>
      <c r="AD1854" s="16">
        <f t="shared" si="103"/>
        <v>2347.3950613865709</v>
      </c>
      <c r="AE1854" s="16">
        <f t="shared" si="101"/>
        <v>78.742547175786342</v>
      </c>
      <c r="AF1854" s="16">
        <f>'Gearing Calculator'!$C$17*Braking!AD1854</f>
        <v>3521.0925920798563</v>
      </c>
      <c r="AG1854" s="16">
        <f t="shared" si="102"/>
        <v>-13.227244898872488</v>
      </c>
    </row>
    <row r="1855" spans="29:33" x14ac:dyDescent="0.25">
      <c r="AC1855" s="16">
        <v>1851</v>
      </c>
      <c r="AD1855" s="16">
        <f t="shared" si="103"/>
        <v>2347.9237193116446</v>
      </c>
      <c r="AE1855" s="16">
        <f t="shared" ref="AE1855:AE1918" si="104">(AC1855/$X$104)*100</f>
        <v>78.785110714800282</v>
      </c>
      <c r="AF1855" s="16">
        <f>'Gearing Calculator'!$C$17*Braking!AD1855</f>
        <v>3521.8855789674672</v>
      </c>
      <c r="AG1855" s="16">
        <f t="shared" si="102"/>
        <v>-13.230223812800403</v>
      </c>
    </row>
    <row r="1856" spans="29:33" x14ac:dyDescent="0.25">
      <c r="AC1856" s="16">
        <v>1852</v>
      </c>
      <c r="AD1856" s="16">
        <f t="shared" si="103"/>
        <v>2348.4523772367183</v>
      </c>
      <c r="AE1856" s="16">
        <f t="shared" si="104"/>
        <v>78.827674253814223</v>
      </c>
      <c r="AF1856" s="16">
        <f>'Gearing Calculator'!$C$17*Braking!AD1856</f>
        <v>3522.6785658550775</v>
      </c>
      <c r="AG1856" s="16">
        <f t="shared" si="102"/>
        <v>-13.233202726728315</v>
      </c>
    </row>
    <row r="1857" spans="29:33" x14ac:dyDescent="0.25">
      <c r="AC1857" s="16">
        <v>1853</v>
      </c>
      <c r="AD1857" s="16">
        <f t="shared" si="103"/>
        <v>2348.9810351617925</v>
      </c>
      <c r="AE1857" s="16">
        <f t="shared" si="104"/>
        <v>78.870237792828163</v>
      </c>
      <c r="AF1857" s="16">
        <f>'Gearing Calculator'!$C$17*Braking!AD1857</f>
        <v>3523.4715527426888</v>
      </c>
      <c r="AG1857" s="16">
        <f t="shared" si="102"/>
        <v>-13.236181640656232</v>
      </c>
    </row>
    <row r="1858" spans="29:33" x14ac:dyDescent="0.25">
      <c r="AC1858" s="16">
        <v>1854</v>
      </c>
      <c r="AD1858" s="16">
        <f t="shared" si="103"/>
        <v>2349.5096930868663</v>
      </c>
      <c r="AE1858" s="16">
        <f t="shared" si="104"/>
        <v>78.912801331842104</v>
      </c>
      <c r="AF1858" s="16">
        <f>'Gearing Calculator'!$C$17*Braking!AD1858</f>
        <v>3524.2645396302996</v>
      </c>
      <c r="AG1858" s="16">
        <f t="shared" si="102"/>
        <v>-13.239160554584146</v>
      </c>
    </row>
    <row r="1859" spans="29:33" x14ac:dyDescent="0.25">
      <c r="AC1859" s="16">
        <v>1855</v>
      </c>
      <c r="AD1859" s="16">
        <f t="shared" si="103"/>
        <v>2350.03835101194</v>
      </c>
      <c r="AE1859" s="16">
        <f t="shared" si="104"/>
        <v>78.955364870856044</v>
      </c>
      <c r="AF1859" s="16">
        <f>'Gearing Calculator'!$C$17*Braking!AD1859</f>
        <v>3525.05752651791</v>
      </c>
      <c r="AG1859" s="16">
        <f t="shared" si="102"/>
        <v>-13.242139468512059</v>
      </c>
    </row>
    <row r="1860" spans="29:33" x14ac:dyDescent="0.25">
      <c r="AC1860" s="16">
        <v>1856</v>
      </c>
      <c r="AD1860" s="16">
        <f t="shared" si="103"/>
        <v>2350.5670089370137</v>
      </c>
      <c r="AE1860" s="16">
        <f t="shared" si="104"/>
        <v>78.997928409869971</v>
      </c>
      <c r="AF1860" s="16">
        <f>'Gearing Calculator'!$C$17*Braking!AD1860</f>
        <v>3525.8505134055204</v>
      </c>
      <c r="AG1860" s="16">
        <f t="shared" si="102"/>
        <v>-13.245118382439973</v>
      </c>
    </row>
    <row r="1861" spans="29:33" x14ac:dyDescent="0.25">
      <c r="AC1861" s="16">
        <v>1857</v>
      </c>
      <c r="AD1861" s="16">
        <f t="shared" si="103"/>
        <v>2351.0956668620875</v>
      </c>
      <c r="AE1861" s="16">
        <f t="shared" si="104"/>
        <v>79.040491948883911</v>
      </c>
      <c r="AF1861" s="16">
        <f>'Gearing Calculator'!$C$17*Braking!AD1861</f>
        <v>3526.6435002931312</v>
      </c>
      <c r="AG1861" s="16">
        <f t="shared" si="102"/>
        <v>-13.248097296367886</v>
      </c>
    </row>
    <row r="1862" spans="29:33" x14ac:dyDescent="0.25">
      <c r="AC1862" s="16">
        <v>1858</v>
      </c>
      <c r="AD1862" s="16">
        <f t="shared" si="103"/>
        <v>2351.6243247871616</v>
      </c>
      <c r="AE1862" s="16">
        <f t="shared" si="104"/>
        <v>79.083055487897852</v>
      </c>
      <c r="AF1862" s="16">
        <f>'Gearing Calculator'!$C$17*Braking!AD1862</f>
        <v>3527.4364871807425</v>
      </c>
      <c r="AG1862" s="16">
        <f t="shared" ref="AG1862:AG1925" si="105">-(AF1862/$C$3)</f>
        <v>-13.251076210295803</v>
      </c>
    </row>
    <row r="1863" spans="29:33" x14ac:dyDescent="0.25">
      <c r="AC1863" s="16">
        <v>1859</v>
      </c>
      <c r="AD1863" s="16">
        <f t="shared" ref="AD1863:AD1926" si="106">($C$3*$C$4)*($C$9/$C$8)+(AC1863*($C$10/$C$8))</f>
        <v>2352.1529827122354</v>
      </c>
      <c r="AE1863" s="16">
        <f t="shared" si="104"/>
        <v>79.125619026911792</v>
      </c>
      <c r="AF1863" s="16">
        <f>'Gearing Calculator'!$C$17*Braking!AD1863</f>
        <v>3528.2294740683528</v>
      </c>
      <c r="AG1863" s="16">
        <f t="shared" si="105"/>
        <v>-13.254055124223715</v>
      </c>
    </row>
    <row r="1864" spans="29:33" x14ac:dyDescent="0.25">
      <c r="AC1864" s="16">
        <v>1860</v>
      </c>
      <c r="AD1864" s="16">
        <f t="shared" si="106"/>
        <v>2352.6816406373091</v>
      </c>
      <c r="AE1864" s="16">
        <f t="shared" si="104"/>
        <v>79.168182565925733</v>
      </c>
      <c r="AF1864" s="16">
        <f>'Gearing Calculator'!$C$17*Braking!AD1864</f>
        <v>3529.0224609559637</v>
      </c>
      <c r="AG1864" s="16">
        <f t="shared" si="105"/>
        <v>-13.25703403815163</v>
      </c>
    </row>
    <row r="1865" spans="29:33" x14ac:dyDescent="0.25">
      <c r="AC1865" s="16">
        <v>1861</v>
      </c>
      <c r="AD1865" s="16">
        <f t="shared" si="106"/>
        <v>2353.2102985623828</v>
      </c>
      <c r="AE1865" s="16">
        <f t="shared" si="104"/>
        <v>79.210746104939673</v>
      </c>
      <c r="AF1865" s="16">
        <f>'Gearing Calculator'!$C$17*Braking!AD1865</f>
        <v>3529.8154478435745</v>
      </c>
      <c r="AG1865" s="16">
        <f t="shared" si="105"/>
        <v>-13.260012952079544</v>
      </c>
    </row>
    <row r="1866" spans="29:33" x14ac:dyDescent="0.25">
      <c r="AC1866" s="16">
        <v>1862</v>
      </c>
      <c r="AD1866" s="16">
        <f t="shared" si="106"/>
        <v>2353.7389564874566</v>
      </c>
      <c r="AE1866" s="16">
        <f t="shared" si="104"/>
        <v>79.2533096439536</v>
      </c>
      <c r="AF1866" s="16">
        <f>'Gearing Calculator'!$C$17*Braking!AD1866</f>
        <v>3530.6084347311848</v>
      </c>
      <c r="AG1866" s="16">
        <f t="shared" si="105"/>
        <v>-13.262991866007457</v>
      </c>
    </row>
    <row r="1867" spans="29:33" x14ac:dyDescent="0.25">
      <c r="AC1867" s="16">
        <v>1863</v>
      </c>
      <c r="AD1867" s="16">
        <f t="shared" si="106"/>
        <v>2354.2676144125307</v>
      </c>
      <c r="AE1867" s="16">
        <f t="shared" si="104"/>
        <v>79.29587318296754</v>
      </c>
      <c r="AF1867" s="16">
        <f>'Gearing Calculator'!$C$17*Braking!AD1867</f>
        <v>3531.4014216187961</v>
      </c>
      <c r="AG1867" s="16">
        <f t="shared" si="105"/>
        <v>-13.265970779935373</v>
      </c>
    </row>
    <row r="1868" spans="29:33" x14ac:dyDescent="0.25">
      <c r="AC1868" s="16">
        <v>1864</v>
      </c>
      <c r="AD1868" s="16">
        <f t="shared" si="106"/>
        <v>2354.7962723376045</v>
      </c>
      <c r="AE1868" s="16">
        <f t="shared" si="104"/>
        <v>79.338436721981481</v>
      </c>
      <c r="AF1868" s="16">
        <f>'Gearing Calculator'!$C$17*Braking!AD1868</f>
        <v>3532.1944085064069</v>
      </c>
      <c r="AG1868" s="16">
        <f t="shared" si="105"/>
        <v>-13.268949693863288</v>
      </c>
    </row>
    <row r="1869" spans="29:33" x14ac:dyDescent="0.25">
      <c r="AC1869" s="16">
        <v>1865</v>
      </c>
      <c r="AD1869" s="16">
        <f t="shared" si="106"/>
        <v>2355.3249302626782</v>
      </c>
      <c r="AE1869" s="16">
        <f t="shared" si="104"/>
        <v>79.381000260995421</v>
      </c>
      <c r="AF1869" s="16">
        <f>'Gearing Calculator'!$C$17*Braking!AD1869</f>
        <v>3532.9873953940173</v>
      </c>
      <c r="AG1869" s="16">
        <f t="shared" si="105"/>
        <v>-13.2719286077912</v>
      </c>
    </row>
    <row r="1870" spans="29:33" x14ac:dyDescent="0.25">
      <c r="AC1870" s="16">
        <v>1866</v>
      </c>
      <c r="AD1870" s="16">
        <f t="shared" si="106"/>
        <v>2355.8535881877519</v>
      </c>
      <c r="AE1870" s="16">
        <f t="shared" si="104"/>
        <v>79.423563800009362</v>
      </c>
      <c r="AF1870" s="16">
        <f>'Gearing Calculator'!$C$17*Braking!AD1870</f>
        <v>3533.7803822816277</v>
      </c>
      <c r="AG1870" s="16">
        <f t="shared" si="105"/>
        <v>-13.274907521719113</v>
      </c>
    </row>
    <row r="1871" spans="29:33" x14ac:dyDescent="0.25">
      <c r="AC1871" s="16">
        <v>1867</v>
      </c>
      <c r="AD1871" s="16">
        <f t="shared" si="106"/>
        <v>2356.3822461128257</v>
      </c>
      <c r="AE1871" s="16">
        <f t="shared" si="104"/>
        <v>79.466127339023302</v>
      </c>
      <c r="AF1871" s="16">
        <f>'Gearing Calculator'!$C$17*Braking!AD1871</f>
        <v>3534.5733691692385</v>
      </c>
      <c r="AG1871" s="16">
        <f t="shared" si="105"/>
        <v>-13.277886435647027</v>
      </c>
    </row>
    <row r="1872" spans="29:33" x14ac:dyDescent="0.25">
      <c r="AC1872" s="16">
        <v>1868</v>
      </c>
      <c r="AD1872" s="16">
        <f t="shared" si="106"/>
        <v>2356.9109040378999</v>
      </c>
      <c r="AE1872" s="16">
        <f t="shared" si="104"/>
        <v>79.508690878037243</v>
      </c>
      <c r="AF1872" s="16">
        <f>'Gearing Calculator'!$C$17*Braking!AD1872</f>
        <v>3535.3663560568498</v>
      </c>
      <c r="AG1872" s="16">
        <f t="shared" si="105"/>
        <v>-13.280865349574944</v>
      </c>
    </row>
    <row r="1873" spans="29:33" x14ac:dyDescent="0.25">
      <c r="AC1873" s="16">
        <v>1869</v>
      </c>
      <c r="AD1873" s="16">
        <f t="shared" si="106"/>
        <v>2357.4395619629736</v>
      </c>
      <c r="AE1873" s="16">
        <f t="shared" si="104"/>
        <v>79.551254417051183</v>
      </c>
      <c r="AF1873" s="16">
        <f>'Gearing Calculator'!$C$17*Braking!AD1873</f>
        <v>3536.1593429444601</v>
      </c>
      <c r="AG1873" s="16">
        <f t="shared" si="105"/>
        <v>-13.283844263502855</v>
      </c>
    </row>
    <row r="1874" spans="29:33" x14ac:dyDescent="0.25">
      <c r="AC1874" s="16">
        <v>1870</v>
      </c>
      <c r="AD1874" s="16">
        <f t="shared" si="106"/>
        <v>2357.9682198880473</v>
      </c>
      <c r="AE1874" s="16">
        <f t="shared" si="104"/>
        <v>79.593817956065109</v>
      </c>
      <c r="AF1874" s="16">
        <f>'Gearing Calculator'!$C$17*Braking!AD1874</f>
        <v>3536.952329832071</v>
      </c>
      <c r="AG1874" s="16">
        <f t="shared" si="105"/>
        <v>-13.286823177430771</v>
      </c>
    </row>
    <row r="1875" spans="29:33" x14ac:dyDescent="0.25">
      <c r="AC1875" s="16">
        <v>1871</v>
      </c>
      <c r="AD1875" s="16">
        <f t="shared" si="106"/>
        <v>2358.496877813121</v>
      </c>
      <c r="AE1875" s="16">
        <f t="shared" si="104"/>
        <v>79.63638149507905</v>
      </c>
      <c r="AF1875" s="16">
        <f>'Gearing Calculator'!$C$17*Braking!AD1875</f>
        <v>3537.7453167196818</v>
      </c>
      <c r="AG1875" s="16">
        <f t="shared" si="105"/>
        <v>-13.289802091358686</v>
      </c>
    </row>
    <row r="1876" spans="29:33" x14ac:dyDescent="0.25">
      <c r="AC1876" s="16">
        <v>1872</v>
      </c>
      <c r="AD1876" s="16">
        <f t="shared" si="106"/>
        <v>2359.0255357381948</v>
      </c>
      <c r="AE1876" s="16">
        <f t="shared" si="104"/>
        <v>79.67894503409299</v>
      </c>
      <c r="AF1876" s="16">
        <f>'Gearing Calculator'!$C$17*Braking!AD1876</f>
        <v>3538.5383036072922</v>
      </c>
      <c r="AG1876" s="16">
        <f t="shared" si="105"/>
        <v>-13.292781005286598</v>
      </c>
    </row>
    <row r="1877" spans="29:33" x14ac:dyDescent="0.25">
      <c r="AC1877" s="16">
        <v>1873</v>
      </c>
      <c r="AD1877" s="16">
        <f t="shared" si="106"/>
        <v>2359.554193663269</v>
      </c>
      <c r="AE1877" s="16">
        <f t="shared" si="104"/>
        <v>79.721508573106931</v>
      </c>
      <c r="AF1877" s="16">
        <f>'Gearing Calculator'!$C$17*Braking!AD1877</f>
        <v>3539.3312904949034</v>
      </c>
      <c r="AG1877" s="16">
        <f t="shared" si="105"/>
        <v>-13.295759919214515</v>
      </c>
    </row>
    <row r="1878" spans="29:33" x14ac:dyDescent="0.25">
      <c r="AC1878" s="16">
        <v>1874</v>
      </c>
      <c r="AD1878" s="16">
        <f t="shared" si="106"/>
        <v>2360.0828515883427</v>
      </c>
      <c r="AE1878" s="16">
        <f t="shared" si="104"/>
        <v>79.764072112120871</v>
      </c>
      <c r="AF1878" s="16">
        <f>'Gearing Calculator'!$C$17*Braking!AD1878</f>
        <v>3540.1242773825143</v>
      </c>
      <c r="AG1878" s="16">
        <f t="shared" si="105"/>
        <v>-13.298738833142428</v>
      </c>
    </row>
    <row r="1879" spans="29:33" x14ac:dyDescent="0.25">
      <c r="AC1879" s="16">
        <v>1875</v>
      </c>
      <c r="AD1879" s="16">
        <f t="shared" si="106"/>
        <v>2360.6115095134164</v>
      </c>
      <c r="AE1879" s="16">
        <f t="shared" si="104"/>
        <v>79.806635651134812</v>
      </c>
      <c r="AF1879" s="16">
        <f>'Gearing Calculator'!$C$17*Braking!AD1879</f>
        <v>3540.9172642701246</v>
      </c>
      <c r="AG1879" s="16">
        <f t="shared" si="105"/>
        <v>-13.301717747070342</v>
      </c>
    </row>
    <row r="1880" spans="29:33" x14ac:dyDescent="0.25">
      <c r="AC1880" s="16">
        <v>1876</v>
      </c>
      <c r="AD1880" s="16">
        <f t="shared" si="106"/>
        <v>2361.1401674384902</v>
      </c>
      <c r="AE1880" s="16">
        <f t="shared" si="104"/>
        <v>79.849199190148738</v>
      </c>
      <c r="AF1880" s="16">
        <f>'Gearing Calculator'!$C$17*Braking!AD1880</f>
        <v>3541.710251157735</v>
      </c>
      <c r="AG1880" s="16">
        <f t="shared" si="105"/>
        <v>-13.304696660998253</v>
      </c>
    </row>
    <row r="1881" spans="29:33" x14ac:dyDescent="0.25">
      <c r="AC1881" s="16">
        <v>1877</v>
      </c>
      <c r="AD1881" s="16">
        <f t="shared" si="106"/>
        <v>2361.6688253635639</v>
      </c>
      <c r="AE1881" s="16">
        <f t="shared" si="104"/>
        <v>79.891762729162679</v>
      </c>
      <c r="AF1881" s="16">
        <f>'Gearing Calculator'!$C$17*Braking!AD1881</f>
        <v>3542.5032380453458</v>
      </c>
      <c r="AG1881" s="16">
        <f t="shared" si="105"/>
        <v>-13.307675574926169</v>
      </c>
    </row>
    <row r="1882" spans="29:33" x14ac:dyDescent="0.25">
      <c r="AC1882" s="16">
        <v>1878</v>
      </c>
      <c r="AD1882" s="16">
        <f t="shared" si="106"/>
        <v>2362.1974832886381</v>
      </c>
      <c r="AE1882" s="16">
        <f t="shared" si="104"/>
        <v>79.934326268176619</v>
      </c>
      <c r="AF1882" s="16">
        <f>'Gearing Calculator'!$C$17*Braking!AD1882</f>
        <v>3543.2962249329571</v>
      </c>
      <c r="AG1882" s="16">
        <f t="shared" si="105"/>
        <v>-13.310654488854084</v>
      </c>
    </row>
    <row r="1883" spans="29:33" x14ac:dyDescent="0.25">
      <c r="AC1883" s="16">
        <v>1879</v>
      </c>
      <c r="AD1883" s="16">
        <f t="shared" si="106"/>
        <v>2362.7261412137118</v>
      </c>
      <c r="AE1883" s="16">
        <f t="shared" si="104"/>
        <v>79.97688980719056</v>
      </c>
      <c r="AF1883" s="16">
        <f>'Gearing Calculator'!$C$17*Braking!AD1883</f>
        <v>3544.0892118205675</v>
      </c>
      <c r="AG1883" s="16">
        <f t="shared" si="105"/>
        <v>-13.313633402781997</v>
      </c>
    </row>
    <row r="1884" spans="29:33" x14ac:dyDescent="0.25">
      <c r="AC1884" s="16">
        <v>1880</v>
      </c>
      <c r="AD1884" s="16">
        <f t="shared" si="106"/>
        <v>2363.2547991387855</v>
      </c>
      <c r="AE1884" s="16">
        <f t="shared" si="104"/>
        <v>80.0194533462045</v>
      </c>
      <c r="AF1884" s="16">
        <f>'Gearing Calculator'!$C$17*Braking!AD1884</f>
        <v>3544.8821987081783</v>
      </c>
      <c r="AG1884" s="16">
        <f t="shared" si="105"/>
        <v>-13.316612316709911</v>
      </c>
    </row>
    <row r="1885" spans="29:33" x14ac:dyDescent="0.25">
      <c r="AC1885" s="16">
        <v>1881</v>
      </c>
      <c r="AD1885" s="16">
        <f t="shared" si="106"/>
        <v>2363.7834570638593</v>
      </c>
      <c r="AE1885" s="16">
        <f t="shared" si="104"/>
        <v>80.062016885218441</v>
      </c>
      <c r="AF1885" s="16">
        <f>'Gearing Calculator'!$C$17*Braking!AD1885</f>
        <v>3545.6751855957891</v>
      </c>
      <c r="AG1885" s="16">
        <f t="shared" si="105"/>
        <v>-13.319591230637826</v>
      </c>
    </row>
    <row r="1886" spans="29:33" x14ac:dyDescent="0.25">
      <c r="AC1886" s="16">
        <v>1882</v>
      </c>
      <c r="AD1886" s="16">
        <f t="shared" si="106"/>
        <v>2364.312114988933</v>
      </c>
      <c r="AE1886" s="16">
        <f t="shared" si="104"/>
        <v>80.104580424232381</v>
      </c>
      <c r="AF1886" s="16">
        <f>'Gearing Calculator'!$C$17*Braking!AD1886</f>
        <v>3546.4681724833995</v>
      </c>
      <c r="AG1886" s="16">
        <f t="shared" si="105"/>
        <v>-13.322570144565738</v>
      </c>
    </row>
    <row r="1887" spans="29:33" x14ac:dyDescent="0.25">
      <c r="AC1887" s="16">
        <v>1883</v>
      </c>
      <c r="AD1887" s="16">
        <f t="shared" si="106"/>
        <v>2364.8407729140072</v>
      </c>
      <c r="AE1887" s="16">
        <f t="shared" si="104"/>
        <v>80.147143963246322</v>
      </c>
      <c r="AF1887" s="16">
        <f>'Gearing Calculator'!$C$17*Braking!AD1887</f>
        <v>3547.2611593710108</v>
      </c>
      <c r="AG1887" s="16">
        <f t="shared" si="105"/>
        <v>-13.325549058493655</v>
      </c>
    </row>
    <row r="1888" spans="29:33" x14ac:dyDescent="0.25">
      <c r="AC1888" s="16">
        <v>1884</v>
      </c>
      <c r="AD1888" s="16">
        <f t="shared" si="106"/>
        <v>2365.3694308390809</v>
      </c>
      <c r="AE1888" s="16">
        <f t="shared" si="104"/>
        <v>80.189707502260248</v>
      </c>
      <c r="AF1888" s="16">
        <f>'Gearing Calculator'!$C$17*Braking!AD1888</f>
        <v>3548.0541462586216</v>
      </c>
      <c r="AG1888" s="16">
        <f t="shared" si="105"/>
        <v>-13.328527972421568</v>
      </c>
    </row>
    <row r="1889" spans="29:33" x14ac:dyDescent="0.25">
      <c r="AC1889" s="16">
        <v>1885</v>
      </c>
      <c r="AD1889" s="16">
        <f t="shared" si="106"/>
        <v>2365.8980887641546</v>
      </c>
      <c r="AE1889" s="16">
        <f t="shared" si="104"/>
        <v>80.232271041274188</v>
      </c>
      <c r="AF1889" s="16">
        <f>'Gearing Calculator'!$C$17*Braking!AD1889</f>
        <v>3548.847133146232</v>
      </c>
      <c r="AG1889" s="16">
        <f t="shared" si="105"/>
        <v>-13.331506886349482</v>
      </c>
    </row>
    <row r="1890" spans="29:33" x14ac:dyDescent="0.25">
      <c r="AC1890" s="16">
        <v>1886</v>
      </c>
      <c r="AD1890" s="16">
        <f t="shared" si="106"/>
        <v>2366.4267466892284</v>
      </c>
      <c r="AE1890" s="16">
        <f t="shared" si="104"/>
        <v>80.274834580288129</v>
      </c>
      <c r="AF1890" s="16">
        <f>'Gearing Calculator'!$C$17*Braking!AD1890</f>
        <v>3549.6401200338423</v>
      </c>
      <c r="AG1890" s="16">
        <f t="shared" si="105"/>
        <v>-13.334485800277395</v>
      </c>
    </row>
    <row r="1891" spans="29:33" x14ac:dyDescent="0.25">
      <c r="AC1891" s="16">
        <v>1887</v>
      </c>
      <c r="AD1891" s="16">
        <f t="shared" si="106"/>
        <v>2366.9554046143021</v>
      </c>
      <c r="AE1891" s="16">
        <f t="shared" si="104"/>
        <v>80.317398119302069</v>
      </c>
      <c r="AF1891" s="16">
        <f>'Gearing Calculator'!$C$17*Braking!AD1891</f>
        <v>3550.4331069214531</v>
      </c>
      <c r="AG1891" s="16">
        <f t="shared" si="105"/>
        <v>-13.337464714205309</v>
      </c>
    </row>
    <row r="1892" spans="29:33" x14ac:dyDescent="0.25">
      <c r="AC1892" s="16">
        <v>1888</v>
      </c>
      <c r="AD1892" s="16">
        <f t="shared" si="106"/>
        <v>2367.4840625393763</v>
      </c>
      <c r="AE1892" s="16">
        <f t="shared" si="104"/>
        <v>80.35996165831601</v>
      </c>
      <c r="AF1892" s="16">
        <f>'Gearing Calculator'!$C$17*Braking!AD1892</f>
        <v>3551.2260938090644</v>
      </c>
      <c r="AG1892" s="16">
        <f t="shared" si="105"/>
        <v>-13.340443628133226</v>
      </c>
    </row>
    <row r="1893" spans="29:33" x14ac:dyDescent="0.25">
      <c r="AC1893" s="16">
        <v>1889</v>
      </c>
      <c r="AD1893" s="16">
        <f t="shared" si="106"/>
        <v>2368.01272046445</v>
      </c>
      <c r="AE1893" s="16">
        <f t="shared" si="104"/>
        <v>80.40252519732995</v>
      </c>
      <c r="AF1893" s="16">
        <f>'Gearing Calculator'!$C$17*Braking!AD1893</f>
        <v>3552.0190806966748</v>
      </c>
      <c r="AG1893" s="16">
        <f t="shared" si="105"/>
        <v>-13.343422542061138</v>
      </c>
    </row>
    <row r="1894" spans="29:33" x14ac:dyDescent="0.25">
      <c r="AC1894" s="16">
        <v>1890</v>
      </c>
      <c r="AD1894" s="16">
        <f t="shared" si="106"/>
        <v>2368.5413783895237</v>
      </c>
      <c r="AE1894" s="16">
        <f t="shared" si="104"/>
        <v>80.445088736343877</v>
      </c>
      <c r="AF1894" s="16">
        <f>'Gearing Calculator'!$C$17*Braking!AD1894</f>
        <v>3552.8120675842856</v>
      </c>
      <c r="AG1894" s="16">
        <f t="shared" si="105"/>
        <v>-13.346401455989053</v>
      </c>
    </row>
    <row r="1895" spans="29:33" x14ac:dyDescent="0.25">
      <c r="AC1895" s="16">
        <v>1891</v>
      </c>
      <c r="AD1895" s="16">
        <f t="shared" si="106"/>
        <v>2369.0700363145979</v>
      </c>
      <c r="AE1895" s="16">
        <f t="shared" si="104"/>
        <v>80.487652275357817</v>
      </c>
      <c r="AF1895" s="16">
        <f>'Gearing Calculator'!$C$17*Braking!AD1895</f>
        <v>3553.6050544718969</v>
      </c>
      <c r="AG1895" s="16">
        <f t="shared" si="105"/>
        <v>-13.349380369916968</v>
      </c>
    </row>
    <row r="1896" spans="29:33" x14ac:dyDescent="0.25">
      <c r="AC1896" s="16">
        <v>1892</v>
      </c>
      <c r="AD1896" s="16">
        <f t="shared" si="106"/>
        <v>2369.5986942396712</v>
      </c>
      <c r="AE1896" s="16">
        <f t="shared" si="104"/>
        <v>80.530215814371758</v>
      </c>
      <c r="AF1896" s="16">
        <f>'Gearing Calculator'!$C$17*Braking!AD1896</f>
        <v>3554.3980413595068</v>
      </c>
      <c r="AG1896" s="16">
        <f t="shared" si="105"/>
        <v>-13.35235928384488</v>
      </c>
    </row>
    <row r="1897" spans="29:33" x14ac:dyDescent="0.25">
      <c r="AC1897" s="16">
        <v>1893</v>
      </c>
      <c r="AD1897" s="16">
        <f t="shared" si="106"/>
        <v>2370.1273521647454</v>
      </c>
      <c r="AE1897" s="16">
        <f t="shared" si="104"/>
        <v>80.572779353385698</v>
      </c>
      <c r="AF1897" s="16">
        <f>'Gearing Calculator'!$C$17*Braking!AD1897</f>
        <v>3555.1910282471181</v>
      </c>
      <c r="AG1897" s="16">
        <f t="shared" si="105"/>
        <v>-13.355338197772795</v>
      </c>
    </row>
    <row r="1898" spans="29:33" x14ac:dyDescent="0.25">
      <c r="AC1898" s="16">
        <v>1894</v>
      </c>
      <c r="AD1898" s="16">
        <f t="shared" si="106"/>
        <v>2370.6560100898191</v>
      </c>
      <c r="AE1898" s="16">
        <f t="shared" si="104"/>
        <v>80.615342892399639</v>
      </c>
      <c r="AF1898" s="16">
        <f>'Gearing Calculator'!$C$17*Braking!AD1898</f>
        <v>3555.9840151347289</v>
      </c>
      <c r="AG1898" s="16">
        <f t="shared" si="105"/>
        <v>-13.35831711170071</v>
      </c>
    </row>
    <row r="1899" spans="29:33" x14ac:dyDescent="0.25">
      <c r="AC1899" s="16">
        <v>1895</v>
      </c>
      <c r="AD1899" s="16">
        <f t="shared" si="106"/>
        <v>2371.1846680148928</v>
      </c>
      <c r="AE1899" s="16">
        <f t="shared" si="104"/>
        <v>80.657906431413579</v>
      </c>
      <c r="AF1899" s="16">
        <f>'Gearing Calculator'!$C$17*Braking!AD1899</f>
        <v>3556.7770020223393</v>
      </c>
      <c r="AG1899" s="16">
        <f t="shared" si="105"/>
        <v>-13.361296025628622</v>
      </c>
    </row>
    <row r="1900" spans="29:33" x14ac:dyDescent="0.25">
      <c r="AC1900" s="16">
        <v>1896</v>
      </c>
      <c r="AD1900" s="16">
        <f t="shared" si="106"/>
        <v>2371.713325939967</v>
      </c>
      <c r="AE1900" s="16">
        <f t="shared" si="104"/>
        <v>80.70046997042752</v>
      </c>
      <c r="AF1900" s="16">
        <f>'Gearing Calculator'!$C$17*Braking!AD1900</f>
        <v>3557.5699889099506</v>
      </c>
      <c r="AG1900" s="16">
        <f t="shared" si="105"/>
        <v>-13.364274939556539</v>
      </c>
    </row>
    <row r="1901" spans="29:33" x14ac:dyDescent="0.25">
      <c r="AC1901" s="16">
        <v>1897</v>
      </c>
      <c r="AD1901" s="16">
        <f t="shared" si="106"/>
        <v>2372.2419838650403</v>
      </c>
      <c r="AE1901" s="16">
        <f t="shared" si="104"/>
        <v>80.74303350944146</v>
      </c>
      <c r="AF1901" s="16">
        <f>'Gearing Calculator'!$C$17*Braking!AD1901</f>
        <v>3558.3629757975605</v>
      </c>
      <c r="AG1901" s="16">
        <f t="shared" si="105"/>
        <v>-13.367253853484451</v>
      </c>
    </row>
    <row r="1902" spans="29:33" x14ac:dyDescent="0.25">
      <c r="AC1902" s="16">
        <v>1898</v>
      </c>
      <c r="AD1902" s="16">
        <f t="shared" si="106"/>
        <v>2372.7706417901145</v>
      </c>
      <c r="AE1902" s="16">
        <f t="shared" si="104"/>
        <v>80.785597048455386</v>
      </c>
      <c r="AF1902" s="16">
        <f>'Gearing Calculator'!$C$17*Braking!AD1902</f>
        <v>3559.1559626851717</v>
      </c>
      <c r="AG1902" s="16">
        <f t="shared" si="105"/>
        <v>-13.370232767412366</v>
      </c>
    </row>
    <row r="1903" spans="29:33" x14ac:dyDescent="0.25">
      <c r="AC1903" s="16">
        <v>1899</v>
      </c>
      <c r="AD1903" s="16">
        <f t="shared" si="106"/>
        <v>2373.2992997151882</v>
      </c>
      <c r="AE1903" s="16">
        <f t="shared" si="104"/>
        <v>80.828160587469327</v>
      </c>
      <c r="AF1903" s="16">
        <f>'Gearing Calculator'!$C$17*Braking!AD1903</f>
        <v>3559.9489495727821</v>
      </c>
      <c r="AG1903" s="16">
        <f t="shared" si="105"/>
        <v>-13.37321168134028</v>
      </c>
    </row>
    <row r="1904" spans="29:33" x14ac:dyDescent="0.25">
      <c r="AC1904" s="16">
        <v>1900</v>
      </c>
      <c r="AD1904" s="16">
        <f t="shared" si="106"/>
        <v>2373.827957640262</v>
      </c>
      <c r="AE1904" s="16">
        <f t="shared" si="104"/>
        <v>80.870724126483267</v>
      </c>
      <c r="AF1904" s="16">
        <f>'Gearing Calculator'!$C$17*Braking!AD1904</f>
        <v>3560.7419364603929</v>
      </c>
      <c r="AG1904" s="16">
        <f t="shared" si="105"/>
        <v>-13.376190595268193</v>
      </c>
    </row>
    <row r="1905" spans="29:33" x14ac:dyDescent="0.25">
      <c r="AC1905" s="16">
        <v>1901</v>
      </c>
      <c r="AD1905" s="16">
        <f t="shared" si="106"/>
        <v>2374.3566155653361</v>
      </c>
      <c r="AE1905" s="16">
        <f t="shared" si="104"/>
        <v>80.913287665497208</v>
      </c>
      <c r="AF1905" s="16">
        <f>'Gearing Calculator'!$C$17*Braking!AD1905</f>
        <v>3561.5349233480042</v>
      </c>
      <c r="AG1905" s="16">
        <f t="shared" si="105"/>
        <v>-13.37916950919611</v>
      </c>
    </row>
    <row r="1906" spans="29:33" x14ac:dyDescent="0.25">
      <c r="AC1906" s="16">
        <v>1902</v>
      </c>
      <c r="AD1906" s="16">
        <f t="shared" si="106"/>
        <v>2374.8852734904094</v>
      </c>
      <c r="AE1906" s="16">
        <f t="shared" si="104"/>
        <v>80.955851204511148</v>
      </c>
      <c r="AF1906" s="16">
        <f>'Gearing Calculator'!$C$17*Braking!AD1906</f>
        <v>3562.3279102356141</v>
      </c>
      <c r="AG1906" s="16">
        <f t="shared" si="105"/>
        <v>-13.38214842312402</v>
      </c>
    </row>
    <row r="1907" spans="29:33" x14ac:dyDescent="0.25">
      <c r="AC1907" s="16">
        <v>1903</v>
      </c>
      <c r="AD1907" s="16">
        <f t="shared" si="106"/>
        <v>2375.4139314154836</v>
      </c>
      <c r="AE1907" s="16">
        <f t="shared" si="104"/>
        <v>80.998414743525089</v>
      </c>
      <c r="AF1907" s="16">
        <f>'Gearing Calculator'!$C$17*Braking!AD1907</f>
        <v>3563.1208971232254</v>
      </c>
      <c r="AG1907" s="16">
        <f t="shared" si="105"/>
        <v>-13.385127337051937</v>
      </c>
    </row>
    <row r="1908" spans="29:33" x14ac:dyDescent="0.25">
      <c r="AC1908" s="16">
        <v>1904</v>
      </c>
      <c r="AD1908" s="16">
        <f t="shared" si="106"/>
        <v>2375.9425893405573</v>
      </c>
      <c r="AE1908" s="16">
        <f t="shared" si="104"/>
        <v>81.040978282539015</v>
      </c>
      <c r="AF1908" s="16">
        <f>'Gearing Calculator'!$C$17*Braking!AD1908</f>
        <v>3563.9138840108362</v>
      </c>
      <c r="AG1908" s="16">
        <f t="shared" si="105"/>
        <v>-13.388106250979851</v>
      </c>
    </row>
    <row r="1909" spans="29:33" x14ac:dyDescent="0.25">
      <c r="AC1909" s="16">
        <v>1905</v>
      </c>
      <c r="AD1909" s="16">
        <f t="shared" si="106"/>
        <v>2376.4712472656311</v>
      </c>
      <c r="AE1909" s="16">
        <f t="shared" si="104"/>
        <v>81.083541821552956</v>
      </c>
      <c r="AF1909" s="16">
        <f>'Gearing Calculator'!$C$17*Braking!AD1909</f>
        <v>3564.7068708984466</v>
      </c>
      <c r="AG1909" s="16">
        <f t="shared" si="105"/>
        <v>-13.391085164907764</v>
      </c>
    </row>
    <row r="1910" spans="29:33" x14ac:dyDescent="0.25">
      <c r="AC1910" s="16">
        <v>1906</v>
      </c>
      <c r="AD1910" s="16">
        <f t="shared" si="106"/>
        <v>2376.9999051907052</v>
      </c>
      <c r="AE1910" s="16">
        <f t="shared" si="104"/>
        <v>81.126105360566896</v>
      </c>
      <c r="AF1910" s="16">
        <f>'Gearing Calculator'!$C$17*Braking!AD1910</f>
        <v>3565.4998577860579</v>
      </c>
      <c r="AG1910" s="16">
        <f t="shared" si="105"/>
        <v>-13.39406407883568</v>
      </c>
    </row>
    <row r="1911" spans="29:33" x14ac:dyDescent="0.25">
      <c r="AC1911" s="16">
        <v>1907</v>
      </c>
      <c r="AD1911" s="16">
        <f t="shared" si="106"/>
        <v>2377.5285631157785</v>
      </c>
      <c r="AE1911" s="16">
        <f t="shared" si="104"/>
        <v>81.168668899580837</v>
      </c>
      <c r="AF1911" s="16">
        <f>'Gearing Calculator'!$C$17*Braking!AD1911</f>
        <v>3566.2928446736678</v>
      </c>
      <c r="AG1911" s="16">
        <f t="shared" si="105"/>
        <v>-13.397042992763591</v>
      </c>
    </row>
    <row r="1912" spans="29:33" x14ac:dyDescent="0.25">
      <c r="AC1912" s="16">
        <v>1908</v>
      </c>
      <c r="AD1912" s="16">
        <f t="shared" si="106"/>
        <v>2378.0572210408527</v>
      </c>
      <c r="AE1912" s="16">
        <f t="shared" si="104"/>
        <v>81.211232438594777</v>
      </c>
      <c r="AF1912" s="16">
        <f>'Gearing Calculator'!$C$17*Braking!AD1912</f>
        <v>3567.0858315612791</v>
      </c>
      <c r="AG1912" s="16">
        <f t="shared" si="105"/>
        <v>-13.400021906691507</v>
      </c>
    </row>
    <row r="1913" spans="29:33" x14ac:dyDescent="0.25">
      <c r="AC1913" s="16">
        <v>1909</v>
      </c>
      <c r="AD1913" s="16">
        <f t="shared" si="106"/>
        <v>2378.5858789659264</v>
      </c>
      <c r="AE1913" s="16">
        <f t="shared" si="104"/>
        <v>81.253795977608718</v>
      </c>
      <c r="AF1913" s="16">
        <f>'Gearing Calculator'!$C$17*Braking!AD1913</f>
        <v>3567.8788184488894</v>
      </c>
      <c r="AG1913" s="16">
        <f t="shared" si="105"/>
        <v>-13.40300082061942</v>
      </c>
    </row>
    <row r="1914" spans="29:33" x14ac:dyDescent="0.25">
      <c r="AC1914" s="16">
        <v>1910</v>
      </c>
      <c r="AD1914" s="16">
        <f t="shared" si="106"/>
        <v>2379.1145368910002</v>
      </c>
      <c r="AE1914" s="16">
        <f t="shared" si="104"/>
        <v>81.296359516622658</v>
      </c>
      <c r="AF1914" s="16">
        <f>'Gearing Calculator'!$C$17*Braking!AD1914</f>
        <v>3568.6718053365003</v>
      </c>
      <c r="AG1914" s="16">
        <f t="shared" si="105"/>
        <v>-13.405979734547333</v>
      </c>
    </row>
    <row r="1915" spans="29:33" x14ac:dyDescent="0.25">
      <c r="AC1915" s="16">
        <v>1911</v>
      </c>
      <c r="AD1915" s="16">
        <f t="shared" si="106"/>
        <v>2379.6431948160744</v>
      </c>
      <c r="AE1915" s="16">
        <f t="shared" si="104"/>
        <v>81.338923055636599</v>
      </c>
      <c r="AF1915" s="16">
        <f>'Gearing Calculator'!$C$17*Braking!AD1915</f>
        <v>3569.4647922241115</v>
      </c>
      <c r="AG1915" s="16">
        <f t="shared" si="105"/>
        <v>-13.408958648475251</v>
      </c>
    </row>
    <row r="1916" spans="29:33" x14ac:dyDescent="0.25">
      <c r="AC1916" s="16">
        <v>1912</v>
      </c>
      <c r="AD1916" s="16">
        <f t="shared" si="106"/>
        <v>2380.1718527411476</v>
      </c>
      <c r="AE1916" s="16">
        <f t="shared" si="104"/>
        <v>81.381486594650525</v>
      </c>
      <c r="AF1916" s="16">
        <f>'Gearing Calculator'!$C$17*Braking!AD1916</f>
        <v>3570.2577791117214</v>
      </c>
      <c r="AG1916" s="16">
        <f t="shared" si="105"/>
        <v>-13.411937562403162</v>
      </c>
    </row>
    <row r="1917" spans="29:33" x14ac:dyDescent="0.25">
      <c r="AC1917" s="16">
        <v>1913</v>
      </c>
      <c r="AD1917" s="16">
        <f t="shared" si="106"/>
        <v>2380.7005106662218</v>
      </c>
      <c r="AE1917" s="16">
        <f t="shared" si="104"/>
        <v>81.424050133664466</v>
      </c>
      <c r="AF1917" s="16">
        <f>'Gearing Calculator'!$C$17*Braking!AD1917</f>
        <v>3571.0507659993327</v>
      </c>
      <c r="AG1917" s="16">
        <f t="shared" si="105"/>
        <v>-13.414916476331078</v>
      </c>
    </row>
    <row r="1918" spans="29:33" x14ac:dyDescent="0.25">
      <c r="AC1918" s="16">
        <v>1914</v>
      </c>
      <c r="AD1918" s="16">
        <f t="shared" si="106"/>
        <v>2381.2291685912955</v>
      </c>
      <c r="AE1918" s="16">
        <f t="shared" si="104"/>
        <v>81.466613672678406</v>
      </c>
      <c r="AF1918" s="16">
        <f>'Gearing Calculator'!$C$17*Braking!AD1918</f>
        <v>3571.8437528869435</v>
      </c>
      <c r="AG1918" s="16">
        <f t="shared" si="105"/>
        <v>-13.417895390258993</v>
      </c>
    </row>
    <row r="1919" spans="29:33" x14ac:dyDescent="0.25">
      <c r="AC1919" s="16">
        <v>1915</v>
      </c>
      <c r="AD1919" s="16">
        <f t="shared" si="106"/>
        <v>2381.7578265163693</v>
      </c>
      <c r="AE1919" s="16">
        <f t="shared" ref="AE1919:AE1982" si="107">(AC1919/$X$104)*100</f>
        <v>81.509177211692347</v>
      </c>
      <c r="AF1919" s="16">
        <f>'Gearing Calculator'!$C$17*Braking!AD1919</f>
        <v>3572.6367397745539</v>
      </c>
      <c r="AG1919" s="16">
        <f t="shared" si="105"/>
        <v>-13.420874304186905</v>
      </c>
    </row>
    <row r="1920" spans="29:33" x14ac:dyDescent="0.25">
      <c r="AC1920" s="16">
        <v>1916</v>
      </c>
      <c r="AD1920" s="16">
        <f t="shared" si="106"/>
        <v>2382.2864844414435</v>
      </c>
      <c r="AE1920" s="16">
        <f t="shared" si="107"/>
        <v>81.551740750706287</v>
      </c>
      <c r="AF1920" s="16">
        <f>'Gearing Calculator'!$C$17*Braking!AD1920</f>
        <v>3573.4297266621652</v>
      </c>
      <c r="AG1920" s="16">
        <f t="shared" si="105"/>
        <v>-13.423853218114822</v>
      </c>
    </row>
    <row r="1921" spans="29:33" x14ac:dyDescent="0.25">
      <c r="AC1921" s="16">
        <v>1917</v>
      </c>
      <c r="AD1921" s="16">
        <f t="shared" si="106"/>
        <v>2382.8151423665167</v>
      </c>
      <c r="AE1921" s="16">
        <f t="shared" si="107"/>
        <v>81.594304289720228</v>
      </c>
      <c r="AF1921" s="16">
        <f>'Gearing Calculator'!$C$17*Braking!AD1921</f>
        <v>3574.2227135497751</v>
      </c>
      <c r="AG1921" s="16">
        <f t="shared" si="105"/>
        <v>-13.426832132042732</v>
      </c>
    </row>
    <row r="1922" spans="29:33" x14ac:dyDescent="0.25">
      <c r="AC1922" s="16">
        <v>1918</v>
      </c>
      <c r="AD1922" s="16">
        <f t="shared" si="106"/>
        <v>2383.3438002915909</v>
      </c>
      <c r="AE1922" s="16">
        <f t="shared" si="107"/>
        <v>81.636867828734154</v>
      </c>
      <c r="AF1922" s="16">
        <f>'Gearing Calculator'!$C$17*Braking!AD1922</f>
        <v>3575.0157004373864</v>
      </c>
      <c r="AG1922" s="16">
        <f t="shared" si="105"/>
        <v>-13.429811045970649</v>
      </c>
    </row>
    <row r="1923" spans="29:33" x14ac:dyDescent="0.25">
      <c r="AC1923" s="16">
        <v>1919</v>
      </c>
      <c r="AD1923" s="16">
        <f t="shared" si="106"/>
        <v>2383.8724582166647</v>
      </c>
      <c r="AE1923" s="16">
        <f t="shared" si="107"/>
        <v>81.679431367748094</v>
      </c>
      <c r="AF1923" s="16">
        <f>'Gearing Calculator'!$C$17*Braking!AD1923</f>
        <v>3575.8086873249968</v>
      </c>
      <c r="AG1923" s="16">
        <f t="shared" si="105"/>
        <v>-13.43278995989856</v>
      </c>
    </row>
    <row r="1924" spans="29:33" x14ac:dyDescent="0.25">
      <c r="AC1924" s="16">
        <v>1920</v>
      </c>
      <c r="AD1924" s="16">
        <f t="shared" si="106"/>
        <v>2384.4011161417384</v>
      </c>
      <c r="AE1924" s="16">
        <f t="shared" si="107"/>
        <v>81.721994906762035</v>
      </c>
      <c r="AF1924" s="16">
        <f>'Gearing Calculator'!$C$17*Braking!AD1924</f>
        <v>3576.6016742126076</v>
      </c>
      <c r="AG1924" s="16">
        <f t="shared" si="105"/>
        <v>-13.435768873826476</v>
      </c>
    </row>
    <row r="1925" spans="29:33" x14ac:dyDescent="0.25">
      <c r="AC1925" s="16">
        <v>1921</v>
      </c>
      <c r="AD1925" s="16">
        <f t="shared" si="106"/>
        <v>2384.9297740668126</v>
      </c>
      <c r="AE1925" s="16">
        <f t="shared" si="107"/>
        <v>81.764558445775975</v>
      </c>
      <c r="AF1925" s="16">
        <f>'Gearing Calculator'!$C$17*Braking!AD1925</f>
        <v>3577.3946611002189</v>
      </c>
      <c r="AG1925" s="16">
        <f t="shared" si="105"/>
        <v>-13.438747787754391</v>
      </c>
    </row>
    <row r="1926" spans="29:33" x14ac:dyDescent="0.25">
      <c r="AC1926" s="16">
        <v>1922</v>
      </c>
      <c r="AD1926" s="16">
        <f t="shared" si="106"/>
        <v>2385.4584319918858</v>
      </c>
      <c r="AE1926" s="16">
        <f t="shared" si="107"/>
        <v>81.807121984789916</v>
      </c>
      <c r="AF1926" s="16">
        <f>'Gearing Calculator'!$C$17*Braking!AD1926</f>
        <v>3578.1876479878288</v>
      </c>
      <c r="AG1926" s="16">
        <f t="shared" ref="AG1926:AG1989" si="108">-(AF1926/$C$3)</f>
        <v>-13.441726701682303</v>
      </c>
    </row>
    <row r="1927" spans="29:33" x14ac:dyDescent="0.25">
      <c r="AC1927" s="16">
        <v>1923</v>
      </c>
      <c r="AD1927" s="16">
        <f t="shared" ref="AD1927:AD1990" si="109">($C$3*$C$4)*($C$9/$C$8)+(AC1927*($C$10/$C$8))</f>
        <v>2385.98708991696</v>
      </c>
      <c r="AE1927" s="16">
        <f t="shared" si="107"/>
        <v>81.849685523803856</v>
      </c>
      <c r="AF1927" s="16">
        <f>'Gearing Calculator'!$C$17*Braking!AD1927</f>
        <v>3578.98063487544</v>
      </c>
      <c r="AG1927" s="16">
        <f t="shared" si="108"/>
        <v>-13.444705615610218</v>
      </c>
    </row>
    <row r="1928" spans="29:33" x14ac:dyDescent="0.25">
      <c r="AC1928" s="16">
        <v>1924</v>
      </c>
      <c r="AD1928" s="16">
        <f t="shared" si="109"/>
        <v>2386.5157478420338</v>
      </c>
      <c r="AE1928" s="16">
        <f t="shared" si="107"/>
        <v>81.892249062817797</v>
      </c>
      <c r="AF1928" s="16">
        <f>'Gearing Calculator'!$C$17*Braking!AD1928</f>
        <v>3579.7736217630509</v>
      </c>
      <c r="AG1928" s="16">
        <f t="shared" si="108"/>
        <v>-13.447684529538133</v>
      </c>
    </row>
    <row r="1929" spans="29:33" x14ac:dyDescent="0.25">
      <c r="AC1929" s="16">
        <v>1925</v>
      </c>
      <c r="AD1929" s="16">
        <f t="shared" si="109"/>
        <v>2387.0444057671075</v>
      </c>
      <c r="AE1929" s="16">
        <f t="shared" si="107"/>
        <v>81.934812601831737</v>
      </c>
      <c r="AF1929" s="16">
        <f>'Gearing Calculator'!$C$17*Braking!AD1929</f>
        <v>3580.5666086506612</v>
      </c>
      <c r="AG1929" s="16">
        <f t="shared" si="108"/>
        <v>-13.450663443466047</v>
      </c>
    </row>
    <row r="1930" spans="29:33" x14ac:dyDescent="0.25">
      <c r="AC1930" s="16">
        <v>1926</v>
      </c>
      <c r="AD1930" s="16">
        <f t="shared" si="109"/>
        <v>2387.5730636921817</v>
      </c>
      <c r="AE1930" s="16">
        <f t="shared" si="107"/>
        <v>81.977376140845664</v>
      </c>
      <c r="AF1930" s="16">
        <f>'Gearing Calculator'!$C$17*Braking!AD1930</f>
        <v>3581.3595955382725</v>
      </c>
      <c r="AG1930" s="16">
        <f t="shared" si="108"/>
        <v>-13.453642357393962</v>
      </c>
    </row>
    <row r="1931" spans="29:33" x14ac:dyDescent="0.25">
      <c r="AC1931" s="16">
        <v>1927</v>
      </c>
      <c r="AD1931" s="16">
        <f t="shared" si="109"/>
        <v>2388.1017216172554</v>
      </c>
      <c r="AE1931" s="16">
        <f t="shared" si="107"/>
        <v>82.019939679859604</v>
      </c>
      <c r="AF1931" s="16">
        <f>'Gearing Calculator'!$C$17*Braking!AD1931</f>
        <v>3582.1525824258833</v>
      </c>
      <c r="AG1931" s="16">
        <f t="shared" si="108"/>
        <v>-13.456621271321877</v>
      </c>
    </row>
    <row r="1932" spans="29:33" x14ac:dyDescent="0.25">
      <c r="AC1932" s="16">
        <v>1928</v>
      </c>
      <c r="AD1932" s="16">
        <f t="shared" si="109"/>
        <v>2388.6303795423291</v>
      </c>
      <c r="AE1932" s="16">
        <f t="shared" si="107"/>
        <v>82.062503218873545</v>
      </c>
      <c r="AF1932" s="16">
        <f>'Gearing Calculator'!$C$17*Braking!AD1932</f>
        <v>3582.9455693134937</v>
      </c>
      <c r="AG1932" s="16">
        <f t="shared" si="108"/>
        <v>-13.459600185249789</v>
      </c>
    </row>
    <row r="1933" spans="29:33" x14ac:dyDescent="0.25">
      <c r="AC1933" s="16">
        <v>1929</v>
      </c>
      <c r="AD1933" s="16">
        <f t="shared" si="109"/>
        <v>2389.1590374674029</v>
      </c>
      <c r="AE1933" s="16">
        <f t="shared" si="107"/>
        <v>82.105066757887485</v>
      </c>
      <c r="AF1933" s="16">
        <f>'Gearing Calculator'!$C$17*Braking!AD1933</f>
        <v>3583.7385562011041</v>
      </c>
      <c r="AG1933" s="16">
        <f t="shared" si="108"/>
        <v>-13.462579099177702</v>
      </c>
    </row>
    <row r="1934" spans="29:33" x14ac:dyDescent="0.25">
      <c r="AC1934" s="16">
        <v>1930</v>
      </c>
      <c r="AD1934" s="16">
        <f t="shared" si="109"/>
        <v>2389.6876953924766</v>
      </c>
      <c r="AE1934" s="16">
        <f t="shared" si="107"/>
        <v>82.147630296901426</v>
      </c>
      <c r="AF1934" s="16">
        <f>'Gearing Calculator'!$C$17*Braking!AD1934</f>
        <v>3584.5315430887149</v>
      </c>
      <c r="AG1934" s="16">
        <f t="shared" si="108"/>
        <v>-13.465558013105616</v>
      </c>
    </row>
    <row r="1935" spans="29:33" x14ac:dyDescent="0.25">
      <c r="AC1935" s="16">
        <v>1931</v>
      </c>
      <c r="AD1935" s="16">
        <f t="shared" si="109"/>
        <v>2390.2163533175508</v>
      </c>
      <c r="AE1935" s="16">
        <f t="shared" si="107"/>
        <v>82.190193835915366</v>
      </c>
      <c r="AF1935" s="16">
        <f>'Gearing Calculator'!$C$17*Braking!AD1935</f>
        <v>3585.3245299763262</v>
      </c>
      <c r="AG1935" s="16">
        <f t="shared" si="108"/>
        <v>-13.468536927033533</v>
      </c>
    </row>
    <row r="1936" spans="29:33" x14ac:dyDescent="0.25">
      <c r="AC1936" s="16">
        <v>1932</v>
      </c>
      <c r="AD1936" s="16">
        <f t="shared" si="109"/>
        <v>2390.7450112426245</v>
      </c>
      <c r="AE1936" s="16">
        <f t="shared" si="107"/>
        <v>82.232757374929292</v>
      </c>
      <c r="AF1936" s="16">
        <f>'Gearing Calculator'!$C$17*Braking!AD1936</f>
        <v>3586.1175168639365</v>
      </c>
      <c r="AG1936" s="16">
        <f t="shared" si="108"/>
        <v>-13.471515840961445</v>
      </c>
    </row>
    <row r="1937" spans="29:33" x14ac:dyDescent="0.25">
      <c r="AC1937" s="16">
        <v>1933</v>
      </c>
      <c r="AD1937" s="16">
        <f t="shared" si="109"/>
        <v>2391.2736691676982</v>
      </c>
      <c r="AE1937" s="16">
        <f t="shared" si="107"/>
        <v>82.275320913943233</v>
      </c>
      <c r="AF1937" s="16">
        <f>'Gearing Calculator'!$C$17*Braking!AD1937</f>
        <v>3586.9105037515474</v>
      </c>
      <c r="AG1937" s="16">
        <f t="shared" si="108"/>
        <v>-13.47449475488936</v>
      </c>
    </row>
    <row r="1938" spans="29:33" x14ac:dyDescent="0.25">
      <c r="AC1938" s="16">
        <v>1934</v>
      </c>
      <c r="AD1938" s="16">
        <f t="shared" si="109"/>
        <v>2391.802327092772</v>
      </c>
      <c r="AE1938" s="16">
        <f t="shared" si="107"/>
        <v>82.317884452957173</v>
      </c>
      <c r="AF1938" s="16">
        <f>'Gearing Calculator'!$C$17*Braking!AD1938</f>
        <v>3587.7034906391582</v>
      </c>
      <c r="AG1938" s="16">
        <f t="shared" si="108"/>
        <v>-13.477473668817273</v>
      </c>
    </row>
    <row r="1939" spans="29:33" x14ac:dyDescent="0.25">
      <c r="AC1939" s="16">
        <v>1935</v>
      </c>
      <c r="AD1939" s="16">
        <f t="shared" si="109"/>
        <v>2392.3309850178457</v>
      </c>
      <c r="AE1939" s="16">
        <f t="shared" si="107"/>
        <v>82.360447991971114</v>
      </c>
      <c r="AF1939" s="16">
        <f>'Gearing Calculator'!$C$17*Braking!AD1939</f>
        <v>3588.4964775267686</v>
      </c>
      <c r="AG1939" s="16">
        <f t="shared" si="108"/>
        <v>-13.480452582745187</v>
      </c>
    </row>
    <row r="1940" spans="29:33" x14ac:dyDescent="0.25">
      <c r="AC1940" s="16">
        <v>1936</v>
      </c>
      <c r="AD1940" s="16">
        <f t="shared" si="109"/>
        <v>2392.8596429429199</v>
      </c>
      <c r="AE1940" s="16">
        <f t="shared" si="107"/>
        <v>82.403011530985054</v>
      </c>
      <c r="AF1940" s="16">
        <f>'Gearing Calculator'!$C$17*Braking!AD1940</f>
        <v>3589.2894644143798</v>
      </c>
      <c r="AG1940" s="16">
        <f t="shared" si="108"/>
        <v>-13.483431496673102</v>
      </c>
    </row>
    <row r="1941" spans="29:33" x14ac:dyDescent="0.25">
      <c r="AC1941" s="16">
        <v>1937</v>
      </c>
      <c r="AD1941" s="16">
        <f t="shared" si="109"/>
        <v>2393.3883008679932</v>
      </c>
      <c r="AE1941" s="16">
        <f t="shared" si="107"/>
        <v>82.445575069998995</v>
      </c>
      <c r="AF1941" s="16">
        <f>'Gearing Calculator'!$C$17*Braking!AD1941</f>
        <v>3590.0824513019897</v>
      </c>
      <c r="AG1941" s="16">
        <f t="shared" si="108"/>
        <v>-13.486410410601014</v>
      </c>
    </row>
    <row r="1942" spans="29:33" x14ac:dyDescent="0.25">
      <c r="AC1942" s="16">
        <v>1938</v>
      </c>
      <c r="AD1942" s="16">
        <f t="shared" si="109"/>
        <v>2393.9169587930674</v>
      </c>
      <c r="AE1942" s="16">
        <f t="shared" si="107"/>
        <v>82.488138609012935</v>
      </c>
      <c r="AF1942" s="16">
        <f>'Gearing Calculator'!$C$17*Braking!AD1942</f>
        <v>3590.875438189601</v>
      </c>
      <c r="AG1942" s="16">
        <f t="shared" si="108"/>
        <v>-13.489389324528931</v>
      </c>
    </row>
    <row r="1943" spans="29:33" x14ac:dyDescent="0.25">
      <c r="AC1943" s="16">
        <v>1939</v>
      </c>
      <c r="AD1943" s="16">
        <f t="shared" si="109"/>
        <v>2394.4456167181411</v>
      </c>
      <c r="AE1943" s="16">
        <f t="shared" si="107"/>
        <v>82.530702148026876</v>
      </c>
      <c r="AF1943" s="16">
        <f>'Gearing Calculator'!$C$17*Braking!AD1943</f>
        <v>3591.6684250772114</v>
      </c>
      <c r="AG1943" s="16">
        <f t="shared" si="108"/>
        <v>-13.492368238456843</v>
      </c>
    </row>
    <row r="1944" spans="29:33" x14ac:dyDescent="0.25">
      <c r="AC1944" s="16">
        <v>1940</v>
      </c>
      <c r="AD1944" s="16">
        <f t="shared" si="109"/>
        <v>2394.9742746432148</v>
      </c>
      <c r="AE1944" s="16">
        <f t="shared" si="107"/>
        <v>82.573265687040802</v>
      </c>
      <c r="AF1944" s="16">
        <f>'Gearing Calculator'!$C$17*Braking!AD1944</f>
        <v>3592.4614119648222</v>
      </c>
      <c r="AG1944" s="16">
        <f t="shared" si="108"/>
        <v>-13.495347152384758</v>
      </c>
    </row>
    <row r="1945" spans="29:33" x14ac:dyDescent="0.25">
      <c r="AC1945" s="16">
        <v>1941</v>
      </c>
      <c r="AD1945" s="16">
        <f t="shared" si="109"/>
        <v>2395.502932568289</v>
      </c>
      <c r="AE1945" s="16">
        <f t="shared" si="107"/>
        <v>82.615829226054743</v>
      </c>
      <c r="AF1945" s="16">
        <f>'Gearing Calculator'!$C$17*Braking!AD1945</f>
        <v>3593.2543988524335</v>
      </c>
      <c r="AG1945" s="16">
        <f t="shared" si="108"/>
        <v>-13.498326066312673</v>
      </c>
    </row>
    <row r="1946" spans="29:33" x14ac:dyDescent="0.25">
      <c r="AC1946" s="16">
        <v>1942</v>
      </c>
      <c r="AD1946" s="16">
        <f t="shared" si="109"/>
        <v>2396.0315904933623</v>
      </c>
      <c r="AE1946" s="16">
        <f t="shared" si="107"/>
        <v>82.658392765068683</v>
      </c>
      <c r="AF1946" s="16">
        <f>'Gearing Calculator'!$C$17*Braking!AD1946</f>
        <v>3594.0473857400434</v>
      </c>
      <c r="AG1946" s="16">
        <f t="shared" si="108"/>
        <v>-13.501304980240585</v>
      </c>
    </row>
    <row r="1947" spans="29:33" x14ac:dyDescent="0.25">
      <c r="AC1947" s="16">
        <v>1943</v>
      </c>
      <c r="AD1947" s="16">
        <f t="shared" si="109"/>
        <v>2396.5602484184365</v>
      </c>
      <c r="AE1947" s="16">
        <f t="shared" si="107"/>
        <v>82.700956304082624</v>
      </c>
      <c r="AF1947" s="16">
        <f>'Gearing Calculator'!$C$17*Braking!AD1947</f>
        <v>3594.8403726276547</v>
      </c>
      <c r="AG1947" s="16">
        <f t="shared" si="108"/>
        <v>-13.5042838941685</v>
      </c>
    </row>
    <row r="1948" spans="29:33" x14ac:dyDescent="0.25">
      <c r="AC1948" s="16">
        <v>1944</v>
      </c>
      <c r="AD1948" s="16">
        <f t="shared" si="109"/>
        <v>2397.0889063435102</v>
      </c>
      <c r="AE1948" s="16">
        <f t="shared" si="107"/>
        <v>82.743519843096564</v>
      </c>
      <c r="AF1948" s="16">
        <f>'Gearing Calculator'!$C$17*Braking!AD1948</f>
        <v>3595.6333595152655</v>
      </c>
      <c r="AG1948" s="16">
        <f t="shared" si="108"/>
        <v>-13.507262808096415</v>
      </c>
    </row>
    <row r="1949" spans="29:33" x14ac:dyDescent="0.25">
      <c r="AC1949" s="16">
        <v>1945</v>
      </c>
      <c r="AD1949" s="16">
        <f t="shared" si="109"/>
        <v>2397.6175642685839</v>
      </c>
      <c r="AE1949" s="16">
        <f t="shared" si="107"/>
        <v>82.786083382110505</v>
      </c>
      <c r="AF1949" s="16">
        <f>'Gearing Calculator'!$C$17*Braking!AD1949</f>
        <v>3596.4263464028759</v>
      </c>
      <c r="AG1949" s="16">
        <f t="shared" si="108"/>
        <v>-13.510241722024327</v>
      </c>
    </row>
    <row r="1950" spans="29:33" x14ac:dyDescent="0.25">
      <c r="AC1950" s="16">
        <v>1946</v>
      </c>
      <c r="AD1950" s="16">
        <f t="shared" si="109"/>
        <v>2398.1462221936581</v>
      </c>
      <c r="AE1950" s="16">
        <f t="shared" si="107"/>
        <v>82.828646921124445</v>
      </c>
      <c r="AF1950" s="16">
        <f>'Gearing Calculator'!$C$17*Braking!AD1950</f>
        <v>3597.2193332904872</v>
      </c>
      <c r="AG1950" s="16">
        <f t="shared" si="108"/>
        <v>-13.513220635952244</v>
      </c>
    </row>
    <row r="1951" spans="29:33" x14ac:dyDescent="0.25">
      <c r="AC1951" s="16">
        <v>1947</v>
      </c>
      <c r="AD1951" s="16">
        <f t="shared" si="109"/>
        <v>2398.6748801187314</v>
      </c>
      <c r="AE1951" s="16">
        <f t="shared" si="107"/>
        <v>82.871210460138371</v>
      </c>
      <c r="AF1951" s="16">
        <f>'Gearing Calculator'!$C$17*Braking!AD1951</f>
        <v>3598.0123201780971</v>
      </c>
      <c r="AG1951" s="16">
        <f t="shared" si="108"/>
        <v>-13.516199549880154</v>
      </c>
    </row>
    <row r="1952" spans="29:33" x14ac:dyDescent="0.25">
      <c r="AC1952" s="16">
        <v>1948</v>
      </c>
      <c r="AD1952" s="16">
        <f t="shared" si="109"/>
        <v>2399.2035380438056</v>
      </c>
      <c r="AE1952" s="16">
        <f t="shared" si="107"/>
        <v>82.913773999152312</v>
      </c>
      <c r="AF1952" s="16">
        <f>'Gearing Calculator'!$C$17*Braking!AD1952</f>
        <v>3598.8053070657083</v>
      </c>
      <c r="AG1952" s="16">
        <f t="shared" si="108"/>
        <v>-13.519178463808071</v>
      </c>
    </row>
    <row r="1953" spans="29:33" x14ac:dyDescent="0.25">
      <c r="AC1953" s="16">
        <v>1949</v>
      </c>
      <c r="AD1953" s="16">
        <f t="shared" si="109"/>
        <v>2399.7321959688793</v>
      </c>
      <c r="AE1953" s="16">
        <f t="shared" si="107"/>
        <v>82.956337538166252</v>
      </c>
      <c r="AF1953" s="16">
        <f>'Gearing Calculator'!$C$17*Braking!AD1953</f>
        <v>3599.5982939533187</v>
      </c>
      <c r="AG1953" s="16">
        <f t="shared" si="108"/>
        <v>-13.522157377735983</v>
      </c>
    </row>
    <row r="1954" spans="29:33" x14ac:dyDescent="0.25">
      <c r="AC1954" s="16">
        <v>1950</v>
      </c>
      <c r="AD1954" s="16">
        <f t="shared" si="109"/>
        <v>2400.260853893953</v>
      </c>
      <c r="AE1954" s="16">
        <f t="shared" si="107"/>
        <v>82.998901077180193</v>
      </c>
      <c r="AF1954" s="16">
        <f>'Gearing Calculator'!$C$17*Braking!AD1954</f>
        <v>3600.3912808409295</v>
      </c>
      <c r="AG1954" s="16">
        <f t="shared" si="108"/>
        <v>-13.525136291663898</v>
      </c>
    </row>
    <row r="1955" spans="29:33" x14ac:dyDescent="0.25">
      <c r="AC1955" s="16">
        <v>1951</v>
      </c>
      <c r="AD1955" s="16">
        <f t="shared" si="109"/>
        <v>2400.7895118190272</v>
      </c>
      <c r="AE1955" s="16">
        <f t="shared" si="107"/>
        <v>83.041464616194133</v>
      </c>
      <c r="AF1955" s="16">
        <f>'Gearing Calculator'!$C$17*Braking!AD1955</f>
        <v>3601.1842677285408</v>
      </c>
      <c r="AG1955" s="16">
        <f t="shared" si="108"/>
        <v>-13.528115205591813</v>
      </c>
    </row>
    <row r="1956" spans="29:33" x14ac:dyDescent="0.25">
      <c r="AC1956" s="16">
        <v>1952</v>
      </c>
      <c r="AD1956" s="16">
        <f t="shared" si="109"/>
        <v>2401.3181697441005</v>
      </c>
      <c r="AE1956" s="16">
        <f t="shared" si="107"/>
        <v>83.084028155208074</v>
      </c>
      <c r="AF1956" s="16">
        <f>'Gearing Calculator'!$C$17*Braking!AD1956</f>
        <v>3601.9772546161507</v>
      </c>
      <c r="AG1956" s="16">
        <f t="shared" si="108"/>
        <v>-13.531094119519725</v>
      </c>
    </row>
    <row r="1957" spans="29:33" x14ac:dyDescent="0.25">
      <c r="AC1957" s="16">
        <v>1953</v>
      </c>
      <c r="AD1957" s="16">
        <f t="shared" si="109"/>
        <v>2401.8468276691747</v>
      </c>
      <c r="AE1957" s="16">
        <f t="shared" si="107"/>
        <v>83.126591694222014</v>
      </c>
      <c r="AF1957" s="16">
        <f>'Gearing Calculator'!$C$17*Braking!AD1957</f>
        <v>3602.770241503762</v>
      </c>
      <c r="AG1957" s="16">
        <f t="shared" si="108"/>
        <v>-13.534073033447642</v>
      </c>
    </row>
    <row r="1958" spans="29:33" x14ac:dyDescent="0.25">
      <c r="AC1958" s="16">
        <v>1954</v>
      </c>
      <c r="AD1958" s="16">
        <f t="shared" si="109"/>
        <v>2402.3754855942484</v>
      </c>
      <c r="AE1958" s="16">
        <f t="shared" si="107"/>
        <v>83.169155233235955</v>
      </c>
      <c r="AF1958" s="16">
        <f>'Gearing Calculator'!$C$17*Braking!AD1958</f>
        <v>3603.5632283913728</v>
      </c>
      <c r="AG1958" s="16">
        <f t="shared" si="108"/>
        <v>-13.537051947375556</v>
      </c>
    </row>
    <row r="1959" spans="29:33" x14ac:dyDescent="0.25">
      <c r="AC1959" s="16">
        <v>1955</v>
      </c>
      <c r="AD1959" s="16">
        <f t="shared" si="109"/>
        <v>2402.9041435193221</v>
      </c>
      <c r="AE1959" s="16">
        <f t="shared" si="107"/>
        <v>83.211718772249881</v>
      </c>
      <c r="AF1959" s="16">
        <f>'Gearing Calculator'!$C$17*Braking!AD1959</f>
        <v>3604.3562152789832</v>
      </c>
      <c r="AG1959" s="16">
        <f t="shared" si="108"/>
        <v>-13.540030861303469</v>
      </c>
    </row>
    <row r="1960" spans="29:33" x14ac:dyDescent="0.25">
      <c r="AC1960" s="16">
        <v>1956</v>
      </c>
      <c r="AD1960" s="16">
        <f t="shared" si="109"/>
        <v>2403.4328014443963</v>
      </c>
      <c r="AE1960" s="16">
        <f t="shared" si="107"/>
        <v>83.254282311263822</v>
      </c>
      <c r="AF1960" s="16">
        <f>'Gearing Calculator'!$C$17*Braking!AD1960</f>
        <v>3605.1492021665945</v>
      </c>
      <c r="AG1960" s="16">
        <f t="shared" si="108"/>
        <v>-13.543009775231384</v>
      </c>
    </row>
    <row r="1961" spans="29:33" x14ac:dyDescent="0.25">
      <c r="AC1961" s="16">
        <v>1957</v>
      </c>
      <c r="AD1961" s="16">
        <f t="shared" si="109"/>
        <v>2403.9614593694696</v>
      </c>
      <c r="AE1961" s="16">
        <f t="shared" si="107"/>
        <v>83.296845850277762</v>
      </c>
      <c r="AF1961" s="16">
        <f>'Gearing Calculator'!$C$17*Braking!AD1961</f>
        <v>3605.9421890542044</v>
      </c>
      <c r="AG1961" s="16">
        <f t="shared" si="108"/>
        <v>-13.545988689159296</v>
      </c>
    </row>
    <row r="1962" spans="29:33" x14ac:dyDescent="0.25">
      <c r="AC1962" s="16">
        <v>1958</v>
      </c>
      <c r="AD1962" s="16">
        <f t="shared" si="109"/>
        <v>2404.4901172945438</v>
      </c>
      <c r="AE1962" s="16">
        <f t="shared" si="107"/>
        <v>83.339409389291703</v>
      </c>
      <c r="AF1962" s="16">
        <f>'Gearing Calculator'!$C$17*Braking!AD1962</f>
        <v>3606.7351759418157</v>
      </c>
      <c r="AG1962" s="16">
        <f t="shared" si="108"/>
        <v>-13.548967603087211</v>
      </c>
    </row>
    <row r="1963" spans="29:33" x14ac:dyDescent="0.25">
      <c r="AC1963" s="16">
        <v>1959</v>
      </c>
      <c r="AD1963" s="16">
        <f t="shared" si="109"/>
        <v>2405.0187752196175</v>
      </c>
      <c r="AE1963" s="16">
        <f t="shared" si="107"/>
        <v>83.381972928305643</v>
      </c>
      <c r="AF1963" s="16">
        <f>'Gearing Calculator'!$C$17*Braking!AD1963</f>
        <v>3607.528162829426</v>
      </c>
      <c r="AG1963" s="16">
        <f t="shared" si="108"/>
        <v>-13.551946517015125</v>
      </c>
    </row>
    <row r="1964" spans="29:33" x14ac:dyDescent="0.25">
      <c r="AC1964" s="16">
        <v>1960</v>
      </c>
      <c r="AD1964" s="16">
        <f t="shared" si="109"/>
        <v>2405.5474331446912</v>
      </c>
      <c r="AE1964" s="16">
        <f t="shared" si="107"/>
        <v>83.424536467319584</v>
      </c>
      <c r="AF1964" s="16">
        <f>'Gearing Calculator'!$C$17*Braking!AD1964</f>
        <v>3608.3211497170369</v>
      </c>
      <c r="AG1964" s="16">
        <f t="shared" si="108"/>
        <v>-13.554925430943038</v>
      </c>
    </row>
    <row r="1965" spans="29:33" x14ac:dyDescent="0.25">
      <c r="AC1965" s="16">
        <v>1961</v>
      </c>
      <c r="AD1965" s="16">
        <f t="shared" si="109"/>
        <v>2406.0760910697654</v>
      </c>
      <c r="AE1965" s="16">
        <f t="shared" si="107"/>
        <v>83.467100006333524</v>
      </c>
      <c r="AF1965" s="16">
        <f>'Gearing Calculator'!$C$17*Braking!AD1965</f>
        <v>3609.1141366046481</v>
      </c>
      <c r="AG1965" s="16">
        <f t="shared" si="108"/>
        <v>-13.557904344870956</v>
      </c>
    </row>
    <row r="1966" spans="29:33" x14ac:dyDescent="0.25">
      <c r="AC1966" s="16">
        <v>1962</v>
      </c>
      <c r="AD1966" s="16">
        <f t="shared" si="109"/>
        <v>2406.6047489948387</v>
      </c>
      <c r="AE1966" s="16">
        <f t="shared" si="107"/>
        <v>83.509663545347451</v>
      </c>
      <c r="AF1966" s="16">
        <f>'Gearing Calculator'!$C$17*Braking!AD1966</f>
        <v>3609.9071234922581</v>
      </c>
      <c r="AG1966" s="16">
        <f t="shared" si="108"/>
        <v>-13.560883258798865</v>
      </c>
    </row>
    <row r="1967" spans="29:33" x14ac:dyDescent="0.25">
      <c r="AC1967" s="16">
        <v>1963</v>
      </c>
      <c r="AD1967" s="16">
        <f t="shared" si="109"/>
        <v>2407.1334069199129</v>
      </c>
      <c r="AE1967" s="16">
        <f t="shared" si="107"/>
        <v>83.552227084361391</v>
      </c>
      <c r="AF1967" s="16">
        <f>'Gearing Calculator'!$C$17*Braking!AD1967</f>
        <v>3610.7001103798693</v>
      </c>
      <c r="AG1967" s="16">
        <f t="shared" si="108"/>
        <v>-13.563862172726783</v>
      </c>
    </row>
    <row r="1968" spans="29:33" x14ac:dyDescent="0.25">
      <c r="AC1968" s="16">
        <v>1964</v>
      </c>
      <c r="AD1968" s="16">
        <f t="shared" si="109"/>
        <v>2407.6620648449866</v>
      </c>
      <c r="AE1968" s="16">
        <f t="shared" si="107"/>
        <v>83.594790623375332</v>
      </c>
      <c r="AF1968" s="16">
        <f>'Gearing Calculator'!$C$17*Braking!AD1968</f>
        <v>3611.4930972674802</v>
      </c>
      <c r="AG1968" s="16">
        <f t="shared" si="108"/>
        <v>-13.566841086654696</v>
      </c>
    </row>
    <row r="1969" spans="29:33" x14ac:dyDescent="0.25">
      <c r="AC1969" s="16">
        <v>1965</v>
      </c>
      <c r="AD1969" s="16">
        <f t="shared" si="109"/>
        <v>2408.1907227700603</v>
      </c>
      <c r="AE1969" s="16">
        <f t="shared" si="107"/>
        <v>83.637354162389272</v>
      </c>
      <c r="AF1969" s="16">
        <f>'Gearing Calculator'!$C$17*Braking!AD1969</f>
        <v>3612.2860841550905</v>
      </c>
      <c r="AG1969" s="16">
        <f t="shared" si="108"/>
        <v>-13.56982000058261</v>
      </c>
    </row>
    <row r="1970" spans="29:33" x14ac:dyDescent="0.25">
      <c r="AC1970" s="16">
        <v>1966</v>
      </c>
      <c r="AD1970" s="16">
        <f t="shared" si="109"/>
        <v>2408.7193806951345</v>
      </c>
      <c r="AE1970" s="16">
        <f t="shared" si="107"/>
        <v>83.679917701403213</v>
      </c>
      <c r="AF1970" s="16">
        <f>'Gearing Calculator'!$C$17*Braking!AD1970</f>
        <v>3613.0790710427018</v>
      </c>
      <c r="AG1970" s="16">
        <f t="shared" si="108"/>
        <v>-13.572798914510527</v>
      </c>
    </row>
    <row r="1971" spans="29:33" x14ac:dyDescent="0.25">
      <c r="AC1971" s="16">
        <v>1967</v>
      </c>
      <c r="AD1971" s="16">
        <f t="shared" si="109"/>
        <v>2409.2480386202078</v>
      </c>
      <c r="AE1971" s="16">
        <f t="shared" si="107"/>
        <v>83.722481240417153</v>
      </c>
      <c r="AF1971" s="16">
        <f>'Gearing Calculator'!$C$17*Braking!AD1971</f>
        <v>3613.8720579303117</v>
      </c>
      <c r="AG1971" s="16">
        <f t="shared" si="108"/>
        <v>-13.575777828438437</v>
      </c>
    </row>
    <row r="1972" spans="29:33" x14ac:dyDescent="0.25">
      <c r="AC1972" s="16">
        <v>1968</v>
      </c>
      <c r="AD1972" s="16">
        <f t="shared" si="109"/>
        <v>2409.776696545282</v>
      </c>
      <c r="AE1972" s="16">
        <f t="shared" si="107"/>
        <v>83.765044779431094</v>
      </c>
      <c r="AF1972" s="16">
        <f>'Gearing Calculator'!$C$17*Braking!AD1972</f>
        <v>3614.665044817923</v>
      </c>
      <c r="AG1972" s="16">
        <f t="shared" si="108"/>
        <v>-13.578756742366354</v>
      </c>
    </row>
    <row r="1973" spans="29:33" x14ac:dyDescent="0.25">
      <c r="AC1973" s="16">
        <v>1969</v>
      </c>
      <c r="AD1973" s="16">
        <f t="shared" si="109"/>
        <v>2410.3053544703557</v>
      </c>
      <c r="AE1973" s="16">
        <f t="shared" si="107"/>
        <v>83.807608318445034</v>
      </c>
      <c r="AF1973" s="16">
        <f>'Gearing Calculator'!$C$17*Braking!AD1973</f>
        <v>3615.4580317055334</v>
      </c>
      <c r="AG1973" s="16">
        <f t="shared" si="108"/>
        <v>-13.581735656294265</v>
      </c>
    </row>
    <row r="1974" spans="29:33" x14ac:dyDescent="0.25">
      <c r="AC1974" s="16">
        <v>1970</v>
      </c>
      <c r="AD1974" s="16">
        <f t="shared" si="109"/>
        <v>2410.8340123954295</v>
      </c>
      <c r="AE1974" s="16">
        <f t="shared" si="107"/>
        <v>83.85017185745896</v>
      </c>
      <c r="AF1974" s="16">
        <f>'Gearing Calculator'!$C$17*Braking!AD1974</f>
        <v>3616.2510185931442</v>
      </c>
      <c r="AG1974" s="16">
        <f t="shared" si="108"/>
        <v>-13.584714570222181</v>
      </c>
    </row>
    <row r="1975" spans="29:33" x14ac:dyDescent="0.25">
      <c r="AC1975" s="16">
        <v>1971</v>
      </c>
      <c r="AD1975" s="16">
        <f t="shared" si="109"/>
        <v>2411.3626703205036</v>
      </c>
      <c r="AE1975" s="16">
        <f t="shared" si="107"/>
        <v>83.892735396472901</v>
      </c>
      <c r="AF1975" s="16">
        <f>'Gearing Calculator'!$C$17*Braking!AD1975</f>
        <v>3617.0440054807555</v>
      </c>
      <c r="AG1975" s="16">
        <f t="shared" si="108"/>
        <v>-13.587693484150096</v>
      </c>
    </row>
    <row r="1976" spans="29:33" x14ac:dyDescent="0.25">
      <c r="AC1976" s="16">
        <v>1972</v>
      </c>
      <c r="AD1976" s="16">
        <f t="shared" si="109"/>
        <v>2411.8913282455769</v>
      </c>
      <c r="AE1976" s="16">
        <f t="shared" si="107"/>
        <v>83.935298935486841</v>
      </c>
      <c r="AF1976" s="16">
        <f>'Gearing Calculator'!$C$17*Braking!AD1976</f>
        <v>3617.8369923683654</v>
      </c>
      <c r="AG1976" s="16">
        <f t="shared" si="108"/>
        <v>-13.590672398078008</v>
      </c>
    </row>
    <row r="1977" spans="29:33" x14ac:dyDescent="0.25">
      <c r="AC1977" s="16">
        <v>1973</v>
      </c>
      <c r="AD1977" s="16">
        <f t="shared" si="109"/>
        <v>2412.4199861706511</v>
      </c>
      <c r="AE1977" s="16">
        <f t="shared" si="107"/>
        <v>83.977862474500782</v>
      </c>
      <c r="AF1977" s="16">
        <f>'Gearing Calculator'!$C$17*Braking!AD1977</f>
        <v>3618.6299792559767</v>
      </c>
      <c r="AG1977" s="16">
        <f t="shared" si="108"/>
        <v>-13.593651312005923</v>
      </c>
    </row>
    <row r="1978" spans="29:33" x14ac:dyDescent="0.25">
      <c r="AC1978" s="16">
        <v>1974</v>
      </c>
      <c r="AD1978" s="16">
        <f t="shared" si="109"/>
        <v>2412.9486440957248</v>
      </c>
      <c r="AE1978" s="16">
        <f t="shared" si="107"/>
        <v>84.020426013514722</v>
      </c>
      <c r="AF1978" s="16">
        <f>'Gearing Calculator'!$C$17*Braking!AD1978</f>
        <v>3619.4229661435875</v>
      </c>
      <c r="AG1978" s="16">
        <f t="shared" si="108"/>
        <v>-13.596630225933838</v>
      </c>
    </row>
    <row r="1979" spans="29:33" x14ac:dyDescent="0.25">
      <c r="AC1979" s="16">
        <v>1975</v>
      </c>
      <c r="AD1979" s="16">
        <f t="shared" si="109"/>
        <v>2413.4773020207986</v>
      </c>
      <c r="AE1979" s="16">
        <f t="shared" si="107"/>
        <v>84.062989552528663</v>
      </c>
      <c r="AF1979" s="16">
        <f>'Gearing Calculator'!$C$17*Braking!AD1979</f>
        <v>3620.2159530311978</v>
      </c>
      <c r="AG1979" s="16">
        <f t="shared" si="108"/>
        <v>-13.59960913986175</v>
      </c>
    </row>
    <row r="1980" spans="29:33" x14ac:dyDescent="0.25">
      <c r="AC1980" s="16">
        <v>1976</v>
      </c>
      <c r="AD1980" s="16">
        <f t="shared" si="109"/>
        <v>2414.0059599458727</v>
      </c>
      <c r="AE1980" s="16">
        <f t="shared" si="107"/>
        <v>84.105553091542603</v>
      </c>
      <c r="AF1980" s="16">
        <f>'Gearing Calculator'!$C$17*Braking!AD1980</f>
        <v>3621.0089399188091</v>
      </c>
      <c r="AG1980" s="16">
        <f t="shared" si="108"/>
        <v>-13.602588053789667</v>
      </c>
    </row>
    <row r="1981" spans="29:33" x14ac:dyDescent="0.25">
      <c r="AC1981" s="16">
        <v>1977</v>
      </c>
      <c r="AD1981" s="16">
        <f t="shared" si="109"/>
        <v>2414.534617870946</v>
      </c>
      <c r="AE1981" s="16">
        <f t="shared" si="107"/>
        <v>84.14811663055653</v>
      </c>
      <c r="AF1981" s="16">
        <f>'Gearing Calculator'!$C$17*Braking!AD1981</f>
        <v>3621.801926806419</v>
      </c>
      <c r="AG1981" s="16">
        <f t="shared" si="108"/>
        <v>-13.605566967717579</v>
      </c>
    </row>
    <row r="1982" spans="29:33" x14ac:dyDescent="0.25">
      <c r="AC1982" s="16">
        <v>1978</v>
      </c>
      <c r="AD1982" s="16">
        <f t="shared" si="109"/>
        <v>2415.0632757960202</v>
      </c>
      <c r="AE1982" s="16">
        <f t="shared" si="107"/>
        <v>84.19068016957047</v>
      </c>
      <c r="AF1982" s="16">
        <f>'Gearing Calculator'!$C$17*Braking!AD1982</f>
        <v>3622.5949136940303</v>
      </c>
      <c r="AG1982" s="16">
        <f t="shared" si="108"/>
        <v>-13.608545881645494</v>
      </c>
    </row>
    <row r="1983" spans="29:33" x14ac:dyDescent="0.25">
      <c r="AC1983" s="16">
        <v>1979</v>
      </c>
      <c r="AD1983" s="16">
        <f t="shared" si="109"/>
        <v>2415.5919337210939</v>
      </c>
      <c r="AE1983" s="16">
        <f t="shared" ref="AE1983:AE2046" si="110">(AC1983/$X$104)*100</f>
        <v>84.233243708584411</v>
      </c>
      <c r="AF1983" s="16">
        <f>'Gearing Calculator'!$C$17*Braking!AD1983</f>
        <v>3623.3879005816407</v>
      </c>
      <c r="AG1983" s="16">
        <f t="shared" si="108"/>
        <v>-13.611524795573407</v>
      </c>
    </row>
    <row r="1984" spans="29:33" x14ac:dyDescent="0.25">
      <c r="AC1984" s="16">
        <v>1980</v>
      </c>
      <c r="AD1984" s="16">
        <f t="shared" si="109"/>
        <v>2416.1205916461677</v>
      </c>
      <c r="AE1984" s="16">
        <f t="shared" si="110"/>
        <v>84.275807247598351</v>
      </c>
      <c r="AF1984" s="16">
        <f>'Gearing Calculator'!$C$17*Braking!AD1984</f>
        <v>3624.1808874692515</v>
      </c>
      <c r="AG1984" s="16">
        <f t="shared" si="108"/>
        <v>-13.614503709501321</v>
      </c>
    </row>
    <row r="1985" spans="29:33" x14ac:dyDescent="0.25">
      <c r="AC1985" s="16">
        <v>1981</v>
      </c>
      <c r="AD1985" s="16">
        <f t="shared" si="109"/>
        <v>2416.6492495712419</v>
      </c>
      <c r="AE1985" s="16">
        <f t="shared" si="110"/>
        <v>84.318370786612292</v>
      </c>
      <c r="AF1985" s="16">
        <f>'Gearing Calculator'!$C$17*Braking!AD1985</f>
        <v>3624.9738743568628</v>
      </c>
      <c r="AG1985" s="16">
        <f t="shared" si="108"/>
        <v>-13.617482623429238</v>
      </c>
    </row>
    <row r="1986" spans="29:33" x14ac:dyDescent="0.25">
      <c r="AC1986" s="16">
        <v>1982</v>
      </c>
      <c r="AD1986" s="16">
        <f t="shared" si="109"/>
        <v>2417.1779074963151</v>
      </c>
      <c r="AE1986" s="16">
        <f t="shared" si="110"/>
        <v>84.360934325626232</v>
      </c>
      <c r="AF1986" s="16">
        <f>'Gearing Calculator'!$C$17*Braking!AD1986</f>
        <v>3625.7668612444727</v>
      </c>
      <c r="AG1986" s="16">
        <f t="shared" si="108"/>
        <v>-13.620461537357148</v>
      </c>
    </row>
    <row r="1987" spans="29:33" x14ac:dyDescent="0.25">
      <c r="AC1987" s="16">
        <v>1983</v>
      </c>
      <c r="AD1987" s="16">
        <f t="shared" si="109"/>
        <v>2417.7065654213893</v>
      </c>
      <c r="AE1987" s="16">
        <f t="shared" si="110"/>
        <v>84.403497864640173</v>
      </c>
      <c r="AF1987" s="16">
        <f>'Gearing Calculator'!$C$17*Braking!AD1987</f>
        <v>3626.559848132084</v>
      </c>
      <c r="AG1987" s="16">
        <f t="shared" si="108"/>
        <v>-13.623440451285065</v>
      </c>
    </row>
    <row r="1988" spans="29:33" x14ac:dyDescent="0.25">
      <c r="AC1988" s="16">
        <v>1984</v>
      </c>
      <c r="AD1988" s="16">
        <f t="shared" si="109"/>
        <v>2418.235223346463</v>
      </c>
      <c r="AE1988" s="16">
        <f t="shared" si="110"/>
        <v>84.446061403654099</v>
      </c>
      <c r="AF1988" s="16">
        <f>'Gearing Calculator'!$C$17*Braking!AD1988</f>
        <v>3627.3528350196948</v>
      </c>
      <c r="AG1988" s="16">
        <f t="shared" si="108"/>
        <v>-13.626419365212978</v>
      </c>
    </row>
    <row r="1989" spans="29:33" x14ac:dyDescent="0.25">
      <c r="AC1989" s="16">
        <v>1985</v>
      </c>
      <c r="AD1989" s="16">
        <f t="shared" si="109"/>
        <v>2418.7638812715368</v>
      </c>
      <c r="AE1989" s="16">
        <f t="shared" si="110"/>
        <v>84.488624942668039</v>
      </c>
      <c r="AF1989" s="16">
        <f>'Gearing Calculator'!$C$17*Braking!AD1989</f>
        <v>3628.1458219073052</v>
      </c>
      <c r="AG1989" s="16">
        <f t="shared" si="108"/>
        <v>-13.629398279140892</v>
      </c>
    </row>
    <row r="1990" spans="29:33" x14ac:dyDescent="0.25">
      <c r="AC1990" s="16">
        <v>1986</v>
      </c>
      <c r="AD1990" s="16">
        <f t="shared" si="109"/>
        <v>2419.292539196611</v>
      </c>
      <c r="AE1990" s="16">
        <f t="shared" si="110"/>
        <v>84.53118848168198</v>
      </c>
      <c r="AF1990" s="16">
        <f>'Gearing Calculator'!$C$17*Braking!AD1990</f>
        <v>3628.9388087949164</v>
      </c>
      <c r="AG1990" s="16">
        <f t="shared" ref="AG1990:AG2053" si="111">-(AF1990/$C$3)</f>
        <v>-13.632377193068807</v>
      </c>
    </row>
    <row r="1991" spans="29:33" x14ac:dyDescent="0.25">
      <c r="AC1991" s="16">
        <v>1987</v>
      </c>
      <c r="AD1991" s="16">
        <f t="shared" ref="AD1991:AD2054" si="112">($C$3*$C$4)*($C$9/$C$8)+(AC1991*($C$10/$C$8))</f>
        <v>2419.8211971216842</v>
      </c>
      <c r="AE1991" s="16">
        <f t="shared" si="110"/>
        <v>84.57375202069592</v>
      </c>
      <c r="AF1991" s="16">
        <f>'Gearing Calculator'!$C$17*Braking!AD1991</f>
        <v>3629.7317956825264</v>
      </c>
      <c r="AG1991" s="16">
        <f t="shared" si="111"/>
        <v>-13.635356106996719</v>
      </c>
    </row>
    <row r="1992" spans="29:33" x14ac:dyDescent="0.25">
      <c r="AC1992" s="16">
        <v>1988</v>
      </c>
      <c r="AD1992" s="16">
        <f t="shared" si="112"/>
        <v>2420.3498550467584</v>
      </c>
      <c r="AE1992" s="16">
        <f t="shared" si="110"/>
        <v>84.616315559709861</v>
      </c>
      <c r="AF1992" s="16">
        <f>'Gearing Calculator'!$C$17*Braking!AD1992</f>
        <v>3630.5247825701376</v>
      </c>
      <c r="AG1992" s="16">
        <f t="shared" si="111"/>
        <v>-13.638335020924634</v>
      </c>
    </row>
    <row r="1993" spans="29:33" x14ac:dyDescent="0.25">
      <c r="AC1993" s="16">
        <v>1989</v>
      </c>
      <c r="AD1993" s="16">
        <f t="shared" si="112"/>
        <v>2420.8785129718322</v>
      </c>
      <c r="AE1993" s="16">
        <f t="shared" si="110"/>
        <v>84.658879098723801</v>
      </c>
      <c r="AF1993" s="16">
        <f>'Gearing Calculator'!$C$17*Braking!AD1993</f>
        <v>3631.317769457748</v>
      </c>
      <c r="AG1993" s="16">
        <f t="shared" si="111"/>
        <v>-13.641313934852548</v>
      </c>
    </row>
    <row r="1994" spans="29:33" x14ac:dyDescent="0.25">
      <c r="AC1994" s="16">
        <v>1990</v>
      </c>
      <c r="AD1994" s="16">
        <f t="shared" si="112"/>
        <v>2421.4071708969059</v>
      </c>
      <c r="AE1994" s="16">
        <f t="shared" si="110"/>
        <v>84.701442637737742</v>
      </c>
      <c r="AF1994" s="16">
        <f>'Gearing Calculator'!$C$17*Braking!AD1994</f>
        <v>3632.1107563453588</v>
      </c>
      <c r="AG1994" s="16">
        <f t="shared" si="111"/>
        <v>-13.644292848780461</v>
      </c>
    </row>
    <row r="1995" spans="29:33" x14ac:dyDescent="0.25">
      <c r="AC1995" s="16">
        <v>1991</v>
      </c>
      <c r="AD1995" s="16">
        <f t="shared" si="112"/>
        <v>2421.9358288219801</v>
      </c>
      <c r="AE1995" s="16">
        <f t="shared" si="110"/>
        <v>84.744006176751682</v>
      </c>
      <c r="AF1995" s="16">
        <f>'Gearing Calculator'!$C$17*Braking!AD1995</f>
        <v>3632.9037432329701</v>
      </c>
      <c r="AG1995" s="16">
        <f t="shared" si="111"/>
        <v>-13.647271762708378</v>
      </c>
    </row>
    <row r="1996" spans="29:33" x14ac:dyDescent="0.25">
      <c r="AC1996" s="16">
        <v>1992</v>
      </c>
      <c r="AD1996" s="16">
        <f t="shared" si="112"/>
        <v>2422.4644867470533</v>
      </c>
      <c r="AE1996" s="16">
        <f t="shared" si="110"/>
        <v>84.786569715765609</v>
      </c>
      <c r="AF1996" s="16">
        <f>'Gearing Calculator'!$C$17*Braking!AD1996</f>
        <v>3633.69673012058</v>
      </c>
      <c r="AG1996" s="16">
        <f t="shared" si="111"/>
        <v>-13.65025067663629</v>
      </c>
    </row>
    <row r="1997" spans="29:33" x14ac:dyDescent="0.25">
      <c r="AC1997" s="16">
        <v>1993</v>
      </c>
      <c r="AD1997" s="16">
        <f t="shared" si="112"/>
        <v>2422.9931446721275</v>
      </c>
      <c r="AE1997" s="16">
        <f t="shared" si="110"/>
        <v>84.829133254779549</v>
      </c>
      <c r="AF1997" s="16">
        <f>'Gearing Calculator'!$C$17*Braking!AD1997</f>
        <v>3634.4897170081913</v>
      </c>
      <c r="AG1997" s="16">
        <f t="shared" si="111"/>
        <v>-13.653229590564205</v>
      </c>
    </row>
    <row r="1998" spans="29:33" x14ac:dyDescent="0.25">
      <c r="AC1998" s="16">
        <v>1994</v>
      </c>
      <c r="AD1998" s="16">
        <f t="shared" si="112"/>
        <v>2423.5218025972013</v>
      </c>
      <c r="AE1998" s="16">
        <f t="shared" si="110"/>
        <v>84.87169679379349</v>
      </c>
      <c r="AF1998" s="16">
        <f>'Gearing Calculator'!$C$17*Braking!AD1998</f>
        <v>3635.2827038958021</v>
      </c>
      <c r="AG1998" s="16">
        <f t="shared" si="111"/>
        <v>-13.65620850449212</v>
      </c>
    </row>
    <row r="1999" spans="29:33" x14ac:dyDescent="0.25">
      <c r="AC1999" s="16">
        <v>1995</v>
      </c>
      <c r="AD1999" s="16">
        <f t="shared" si="112"/>
        <v>2424.050460522275</v>
      </c>
      <c r="AE1999" s="16">
        <f t="shared" si="110"/>
        <v>84.91426033280743</v>
      </c>
      <c r="AF1999" s="16">
        <f>'Gearing Calculator'!$C$17*Braking!AD1999</f>
        <v>3636.0756907834125</v>
      </c>
      <c r="AG1999" s="16">
        <f t="shared" si="111"/>
        <v>-13.659187418420032</v>
      </c>
    </row>
    <row r="2000" spans="29:33" x14ac:dyDescent="0.25">
      <c r="AC2000" s="16">
        <v>1996</v>
      </c>
      <c r="AD2000" s="16">
        <f t="shared" si="112"/>
        <v>2424.5791184473492</v>
      </c>
      <c r="AE2000" s="16">
        <f t="shared" si="110"/>
        <v>84.956823871821371</v>
      </c>
      <c r="AF2000" s="16">
        <f>'Gearing Calculator'!$C$17*Braking!AD2000</f>
        <v>3636.8686776710238</v>
      </c>
      <c r="AG2000" s="16">
        <f t="shared" si="111"/>
        <v>-13.662166332347949</v>
      </c>
    </row>
    <row r="2001" spans="29:33" x14ac:dyDescent="0.25">
      <c r="AC2001" s="16">
        <v>1997</v>
      </c>
      <c r="AD2001" s="16">
        <f t="shared" si="112"/>
        <v>2425.1077763724224</v>
      </c>
      <c r="AE2001" s="16">
        <f t="shared" si="110"/>
        <v>84.999387410835311</v>
      </c>
      <c r="AF2001" s="16">
        <f>'Gearing Calculator'!$C$17*Braking!AD2001</f>
        <v>3637.6616645586337</v>
      </c>
      <c r="AG2001" s="16">
        <f t="shared" si="111"/>
        <v>-13.665145246275859</v>
      </c>
    </row>
    <row r="2002" spans="29:33" x14ac:dyDescent="0.25">
      <c r="AC2002" s="16">
        <v>1998</v>
      </c>
      <c r="AD2002" s="16">
        <f t="shared" si="112"/>
        <v>2425.6364342974966</v>
      </c>
      <c r="AE2002" s="16">
        <f t="shared" si="110"/>
        <v>85.041950949849252</v>
      </c>
      <c r="AF2002" s="16">
        <f>'Gearing Calculator'!$C$17*Braking!AD2002</f>
        <v>3638.454651446245</v>
      </c>
      <c r="AG2002" s="16">
        <f t="shared" si="111"/>
        <v>-13.668124160203776</v>
      </c>
    </row>
    <row r="2003" spans="29:33" x14ac:dyDescent="0.25">
      <c r="AC2003" s="16">
        <v>1999</v>
      </c>
      <c r="AD2003" s="16">
        <f t="shared" si="112"/>
        <v>2426.1650922225704</v>
      </c>
      <c r="AE2003" s="16">
        <f t="shared" si="110"/>
        <v>85.084514488863178</v>
      </c>
      <c r="AF2003" s="16">
        <f>'Gearing Calculator'!$C$17*Braking!AD2003</f>
        <v>3639.2476383338553</v>
      </c>
      <c r="AG2003" s="16">
        <f t="shared" si="111"/>
        <v>-13.671103074131688</v>
      </c>
    </row>
    <row r="2004" spans="29:33" x14ac:dyDescent="0.25">
      <c r="AC2004" s="16">
        <v>2000</v>
      </c>
      <c r="AD2004" s="16">
        <f t="shared" si="112"/>
        <v>2426.6937501476441</v>
      </c>
      <c r="AE2004" s="16">
        <f t="shared" si="110"/>
        <v>85.127078027877118</v>
      </c>
      <c r="AF2004" s="16">
        <f>'Gearing Calculator'!$C$17*Braking!AD2004</f>
        <v>3640.0406252214661</v>
      </c>
      <c r="AG2004" s="16">
        <f t="shared" si="111"/>
        <v>-13.674081988059603</v>
      </c>
    </row>
    <row r="2005" spans="29:33" x14ac:dyDescent="0.25">
      <c r="AC2005" s="16">
        <v>2001</v>
      </c>
      <c r="AD2005" s="16">
        <f t="shared" si="112"/>
        <v>2427.2224080727183</v>
      </c>
      <c r="AE2005" s="16">
        <f t="shared" si="110"/>
        <v>85.169641566891059</v>
      </c>
      <c r="AF2005" s="16">
        <f>'Gearing Calculator'!$C$17*Braking!AD2005</f>
        <v>3640.8336121090774</v>
      </c>
      <c r="AG2005" s="16">
        <f t="shared" si="111"/>
        <v>-13.677060901987518</v>
      </c>
    </row>
    <row r="2006" spans="29:33" x14ac:dyDescent="0.25">
      <c r="AC2006" s="16">
        <v>2002</v>
      </c>
      <c r="AD2006" s="16">
        <f t="shared" si="112"/>
        <v>2427.7510659977916</v>
      </c>
      <c r="AE2006" s="16">
        <f t="shared" si="110"/>
        <v>85.212205105904999</v>
      </c>
      <c r="AF2006" s="16">
        <f>'Gearing Calculator'!$C$17*Braking!AD2006</f>
        <v>3641.6265989966873</v>
      </c>
      <c r="AG2006" s="16">
        <f t="shared" si="111"/>
        <v>-13.68003981591543</v>
      </c>
    </row>
    <row r="2007" spans="29:33" x14ac:dyDescent="0.25">
      <c r="AC2007" s="16">
        <v>2003</v>
      </c>
      <c r="AD2007" s="16">
        <f t="shared" si="112"/>
        <v>2428.2797239228657</v>
      </c>
      <c r="AE2007" s="16">
        <f t="shared" si="110"/>
        <v>85.25476864491894</v>
      </c>
      <c r="AF2007" s="16">
        <f>'Gearing Calculator'!$C$17*Braking!AD2007</f>
        <v>3642.4195858842986</v>
      </c>
      <c r="AG2007" s="16">
        <f t="shared" si="111"/>
        <v>-13.683018729843345</v>
      </c>
    </row>
    <row r="2008" spans="29:33" x14ac:dyDescent="0.25">
      <c r="AC2008" s="16">
        <v>2004</v>
      </c>
      <c r="AD2008" s="16">
        <f t="shared" si="112"/>
        <v>2428.8083818479395</v>
      </c>
      <c r="AE2008" s="16">
        <f t="shared" si="110"/>
        <v>85.29733218393288</v>
      </c>
      <c r="AF2008" s="16">
        <f>'Gearing Calculator'!$C$17*Braking!AD2008</f>
        <v>3643.2125727719094</v>
      </c>
      <c r="AG2008" s="16">
        <f t="shared" si="111"/>
        <v>-13.685997643771261</v>
      </c>
    </row>
    <row r="2009" spans="29:33" x14ac:dyDescent="0.25">
      <c r="AC2009" s="16">
        <v>2005</v>
      </c>
      <c r="AD2009" s="16">
        <f t="shared" si="112"/>
        <v>2429.3370397730132</v>
      </c>
      <c r="AE2009" s="16">
        <f t="shared" si="110"/>
        <v>85.339895722946821</v>
      </c>
      <c r="AF2009" s="16">
        <f>'Gearing Calculator'!$C$17*Braking!AD2009</f>
        <v>3644.0055596595198</v>
      </c>
      <c r="AG2009" s="16">
        <f t="shared" si="111"/>
        <v>-13.688976557699174</v>
      </c>
    </row>
    <row r="2010" spans="29:33" x14ac:dyDescent="0.25">
      <c r="AC2010" s="16">
        <v>2006</v>
      </c>
      <c r="AD2010" s="16">
        <f t="shared" si="112"/>
        <v>2429.8656976980874</v>
      </c>
      <c r="AE2010" s="16">
        <f t="shared" si="110"/>
        <v>85.382459261960761</v>
      </c>
      <c r="AF2010" s="16">
        <f>'Gearing Calculator'!$C$17*Braking!AD2010</f>
        <v>3644.7985465471311</v>
      </c>
      <c r="AG2010" s="16">
        <f t="shared" si="111"/>
        <v>-13.691955471627089</v>
      </c>
    </row>
    <row r="2011" spans="29:33" x14ac:dyDescent="0.25">
      <c r="AC2011" s="16">
        <v>2007</v>
      </c>
      <c r="AD2011" s="16">
        <f t="shared" si="112"/>
        <v>2430.3943556231607</v>
      </c>
      <c r="AE2011" s="16">
        <f t="shared" si="110"/>
        <v>85.425022800974688</v>
      </c>
      <c r="AF2011" s="16">
        <f>'Gearing Calculator'!$C$17*Braking!AD2011</f>
        <v>3645.591533434741</v>
      </c>
      <c r="AG2011" s="16">
        <f t="shared" si="111"/>
        <v>-13.694934385555001</v>
      </c>
    </row>
    <row r="2012" spans="29:33" x14ac:dyDescent="0.25">
      <c r="AC2012" s="16">
        <v>2008</v>
      </c>
      <c r="AD2012" s="16">
        <f t="shared" si="112"/>
        <v>2430.9230135482348</v>
      </c>
      <c r="AE2012" s="16">
        <f t="shared" si="110"/>
        <v>85.467586339988628</v>
      </c>
      <c r="AF2012" s="16">
        <f>'Gearing Calculator'!$C$17*Braking!AD2012</f>
        <v>3646.3845203223523</v>
      </c>
      <c r="AG2012" s="16">
        <f t="shared" si="111"/>
        <v>-13.697913299482916</v>
      </c>
    </row>
    <row r="2013" spans="29:33" x14ac:dyDescent="0.25">
      <c r="AC2013" s="16">
        <v>2009</v>
      </c>
      <c r="AD2013" s="16">
        <f t="shared" si="112"/>
        <v>2431.4516714733086</v>
      </c>
      <c r="AE2013" s="16">
        <f t="shared" si="110"/>
        <v>85.510149879002569</v>
      </c>
      <c r="AF2013" s="16">
        <f>'Gearing Calculator'!$C$17*Braking!AD2013</f>
        <v>3647.1775072099626</v>
      </c>
      <c r="AG2013" s="16">
        <f t="shared" si="111"/>
        <v>-13.70089221341083</v>
      </c>
    </row>
    <row r="2014" spans="29:33" x14ac:dyDescent="0.25">
      <c r="AC2014" s="16">
        <v>2010</v>
      </c>
      <c r="AD2014" s="16">
        <f t="shared" si="112"/>
        <v>2431.9803293983823</v>
      </c>
      <c r="AE2014" s="16">
        <f t="shared" si="110"/>
        <v>85.552713418016509</v>
      </c>
      <c r="AF2014" s="16">
        <f>'Gearing Calculator'!$C$17*Braking!AD2014</f>
        <v>3647.9704940975735</v>
      </c>
      <c r="AG2014" s="16">
        <f t="shared" si="111"/>
        <v>-13.703871127338743</v>
      </c>
    </row>
    <row r="2015" spans="29:33" x14ac:dyDescent="0.25">
      <c r="AC2015" s="16">
        <v>2011</v>
      </c>
      <c r="AD2015" s="16">
        <f t="shared" si="112"/>
        <v>2432.5089873234565</v>
      </c>
      <c r="AE2015" s="16">
        <f t="shared" si="110"/>
        <v>85.59527695703045</v>
      </c>
      <c r="AF2015" s="16">
        <f>'Gearing Calculator'!$C$17*Braking!AD2015</f>
        <v>3648.7634809851847</v>
      </c>
      <c r="AG2015" s="16">
        <f t="shared" si="111"/>
        <v>-13.706850041266661</v>
      </c>
    </row>
    <row r="2016" spans="29:33" x14ac:dyDescent="0.25">
      <c r="AC2016" s="16">
        <v>2012</v>
      </c>
      <c r="AD2016" s="16">
        <f t="shared" si="112"/>
        <v>2433.0376452485298</v>
      </c>
      <c r="AE2016" s="16">
        <f t="shared" si="110"/>
        <v>85.63784049604439</v>
      </c>
      <c r="AF2016" s="16">
        <f>'Gearing Calculator'!$C$17*Braking!AD2016</f>
        <v>3649.5564678727947</v>
      </c>
      <c r="AG2016" s="16">
        <f t="shared" si="111"/>
        <v>-13.70982895519457</v>
      </c>
    </row>
    <row r="2017" spans="29:33" x14ac:dyDescent="0.25">
      <c r="AC2017" s="16">
        <v>2013</v>
      </c>
      <c r="AD2017" s="16">
        <f t="shared" si="112"/>
        <v>2433.566303173604</v>
      </c>
      <c r="AE2017" s="16">
        <f t="shared" si="110"/>
        <v>85.680404035058331</v>
      </c>
      <c r="AF2017" s="16">
        <f>'Gearing Calculator'!$C$17*Braking!AD2017</f>
        <v>3650.3494547604059</v>
      </c>
      <c r="AG2017" s="16">
        <f t="shared" si="111"/>
        <v>-13.712807869122488</v>
      </c>
    </row>
    <row r="2018" spans="29:33" x14ac:dyDescent="0.25">
      <c r="AC2018" s="16">
        <v>2014</v>
      </c>
      <c r="AD2018" s="16">
        <f t="shared" si="112"/>
        <v>2434.0949610986777</v>
      </c>
      <c r="AE2018" s="16">
        <f t="shared" si="110"/>
        <v>85.722967574072257</v>
      </c>
      <c r="AF2018" s="16">
        <f>'Gearing Calculator'!$C$17*Braking!AD2018</f>
        <v>3651.1424416480168</v>
      </c>
      <c r="AG2018" s="16">
        <f t="shared" si="111"/>
        <v>-13.715786783050401</v>
      </c>
    </row>
    <row r="2019" spans="29:33" x14ac:dyDescent="0.25">
      <c r="AC2019" s="16">
        <v>2015</v>
      </c>
      <c r="AD2019" s="16">
        <f t="shared" si="112"/>
        <v>2434.6236190237514</v>
      </c>
      <c r="AE2019" s="16">
        <f t="shared" si="110"/>
        <v>85.765531113086197</v>
      </c>
      <c r="AF2019" s="16">
        <f>'Gearing Calculator'!$C$17*Braking!AD2019</f>
        <v>3651.9354285356271</v>
      </c>
      <c r="AG2019" s="16">
        <f t="shared" si="111"/>
        <v>-13.718765696978314</v>
      </c>
    </row>
    <row r="2020" spans="29:33" x14ac:dyDescent="0.25">
      <c r="AC2020" s="16">
        <v>2016</v>
      </c>
      <c r="AD2020" s="16">
        <f t="shared" si="112"/>
        <v>2435.1522769488256</v>
      </c>
      <c r="AE2020" s="16">
        <f t="shared" si="110"/>
        <v>85.808094652100138</v>
      </c>
      <c r="AF2020" s="16">
        <f>'Gearing Calculator'!$C$17*Braking!AD2020</f>
        <v>3652.7284154232384</v>
      </c>
      <c r="AG2020" s="16">
        <f t="shared" si="111"/>
        <v>-13.72174461090623</v>
      </c>
    </row>
    <row r="2021" spans="29:33" x14ac:dyDescent="0.25">
      <c r="AC2021" s="16">
        <v>2017</v>
      </c>
      <c r="AD2021" s="16">
        <f t="shared" si="112"/>
        <v>2435.6809348738993</v>
      </c>
      <c r="AE2021" s="16">
        <f t="shared" si="110"/>
        <v>85.850658191114078</v>
      </c>
      <c r="AF2021" s="16">
        <f>'Gearing Calculator'!$C$17*Braking!AD2021</f>
        <v>3653.5214023108492</v>
      </c>
      <c r="AG2021" s="16">
        <f t="shared" si="111"/>
        <v>-13.724723524834145</v>
      </c>
    </row>
    <row r="2022" spans="29:33" x14ac:dyDescent="0.25">
      <c r="AC2022" s="16">
        <v>2018</v>
      </c>
      <c r="AD2022" s="16">
        <f t="shared" si="112"/>
        <v>2436.2095927989731</v>
      </c>
      <c r="AE2022" s="16">
        <f t="shared" si="110"/>
        <v>85.893221730128019</v>
      </c>
      <c r="AF2022" s="16">
        <f>'Gearing Calculator'!$C$17*Braking!AD2022</f>
        <v>3654.3143891984596</v>
      </c>
      <c r="AG2022" s="16">
        <f t="shared" si="111"/>
        <v>-13.727702438762059</v>
      </c>
    </row>
    <row r="2023" spans="29:33" x14ac:dyDescent="0.25">
      <c r="AC2023" s="16">
        <v>2019</v>
      </c>
      <c r="AD2023" s="16">
        <f t="shared" si="112"/>
        <v>2436.7382507240468</v>
      </c>
      <c r="AE2023" s="16">
        <f t="shared" si="110"/>
        <v>85.935785269141959</v>
      </c>
      <c r="AF2023" s="16">
        <f>'Gearing Calculator'!$C$17*Braking!AD2023</f>
        <v>3655.10737608607</v>
      </c>
      <c r="AG2023" s="16">
        <f t="shared" si="111"/>
        <v>-13.73068135268997</v>
      </c>
    </row>
    <row r="2024" spans="29:33" x14ac:dyDescent="0.25">
      <c r="AC2024" s="16">
        <v>2020</v>
      </c>
      <c r="AD2024" s="16">
        <f t="shared" si="112"/>
        <v>2437.2669086491205</v>
      </c>
      <c r="AE2024" s="16">
        <f t="shared" si="110"/>
        <v>85.9783488081559</v>
      </c>
      <c r="AF2024" s="16">
        <f>'Gearing Calculator'!$C$17*Braking!AD2024</f>
        <v>3655.9003629736808</v>
      </c>
      <c r="AG2024" s="16">
        <f t="shared" si="111"/>
        <v>-13.733660266617886</v>
      </c>
    </row>
    <row r="2025" spans="29:33" x14ac:dyDescent="0.25">
      <c r="AC2025" s="16">
        <v>2021</v>
      </c>
      <c r="AD2025" s="16">
        <f t="shared" si="112"/>
        <v>2437.7955665741947</v>
      </c>
      <c r="AE2025" s="16">
        <f t="shared" si="110"/>
        <v>86.02091234716984</v>
      </c>
      <c r="AF2025" s="16">
        <f>'Gearing Calculator'!$C$17*Braking!AD2025</f>
        <v>3656.6933498612921</v>
      </c>
      <c r="AG2025" s="16">
        <f t="shared" si="111"/>
        <v>-13.736639180545801</v>
      </c>
    </row>
    <row r="2026" spans="29:33" x14ac:dyDescent="0.25">
      <c r="AC2026" s="16">
        <v>2022</v>
      </c>
      <c r="AD2026" s="16">
        <f t="shared" si="112"/>
        <v>2438.3242244992684</v>
      </c>
      <c r="AE2026" s="16">
        <f t="shared" si="110"/>
        <v>86.063475886183767</v>
      </c>
      <c r="AF2026" s="16">
        <f>'Gearing Calculator'!$C$17*Braking!AD2026</f>
        <v>3657.4863367489024</v>
      </c>
      <c r="AG2026" s="16">
        <f t="shared" si="111"/>
        <v>-13.739618094473714</v>
      </c>
    </row>
    <row r="2027" spans="29:33" x14ac:dyDescent="0.25">
      <c r="AC2027" s="16">
        <v>2023</v>
      </c>
      <c r="AD2027" s="16">
        <f t="shared" si="112"/>
        <v>2438.8528824243422</v>
      </c>
      <c r="AE2027" s="16">
        <f t="shared" si="110"/>
        <v>86.106039425197707</v>
      </c>
      <c r="AF2027" s="16">
        <f>'Gearing Calculator'!$C$17*Braking!AD2027</f>
        <v>3658.2793236365133</v>
      </c>
      <c r="AG2027" s="16">
        <f t="shared" si="111"/>
        <v>-13.742597008401628</v>
      </c>
    </row>
    <row r="2028" spans="29:33" x14ac:dyDescent="0.25">
      <c r="AC2028" s="16">
        <v>2024</v>
      </c>
      <c r="AD2028" s="16">
        <f t="shared" si="112"/>
        <v>2439.3815403494159</v>
      </c>
      <c r="AE2028" s="16">
        <f t="shared" si="110"/>
        <v>86.148602964211648</v>
      </c>
      <c r="AF2028" s="16">
        <f>'Gearing Calculator'!$C$17*Braking!AD2028</f>
        <v>3659.0723105241241</v>
      </c>
      <c r="AG2028" s="16">
        <f t="shared" si="111"/>
        <v>-13.745575922329543</v>
      </c>
    </row>
    <row r="2029" spans="29:33" x14ac:dyDescent="0.25">
      <c r="AC2029" s="16">
        <v>2025</v>
      </c>
      <c r="AD2029" s="16">
        <f t="shared" si="112"/>
        <v>2439.9101982744896</v>
      </c>
      <c r="AE2029" s="16">
        <f t="shared" si="110"/>
        <v>86.191166503225588</v>
      </c>
      <c r="AF2029" s="16">
        <f>'Gearing Calculator'!$C$17*Braking!AD2029</f>
        <v>3659.8652974117344</v>
      </c>
      <c r="AG2029" s="16">
        <f t="shared" si="111"/>
        <v>-13.748554836257455</v>
      </c>
    </row>
    <row r="2030" spans="29:33" x14ac:dyDescent="0.25">
      <c r="AC2030" s="16">
        <v>2026</v>
      </c>
      <c r="AD2030" s="16">
        <f t="shared" si="112"/>
        <v>2440.4388561995638</v>
      </c>
      <c r="AE2030" s="16">
        <f t="shared" si="110"/>
        <v>86.233730042239529</v>
      </c>
      <c r="AF2030" s="16">
        <f>'Gearing Calculator'!$C$17*Braking!AD2030</f>
        <v>3660.6582842993457</v>
      </c>
      <c r="AG2030" s="16">
        <f t="shared" si="111"/>
        <v>-13.751533750185372</v>
      </c>
    </row>
    <row r="2031" spans="29:33" x14ac:dyDescent="0.25">
      <c r="AC2031" s="16">
        <v>2027</v>
      </c>
      <c r="AD2031" s="16">
        <f t="shared" si="112"/>
        <v>2440.9675141246375</v>
      </c>
      <c r="AE2031" s="16">
        <f t="shared" si="110"/>
        <v>86.276293581253469</v>
      </c>
      <c r="AF2031" s="16">
        <f>'Gearing Calculator'!$C$17*Braking!AD2031</f>
        <v>3661.4512711869565</v>
      </c>
      <c r="AG2031" s="16">
        <f t="shared" si="111"/>
        <v>-13.754512664113285</v>
      </c>
    </row>
    <row r="2032" spans="29:33" x14ac:dyDescent="0.25">
      <c r="AC2032" s="16">
        <v>2028</v>
      </c>
      <c r="AD2032" s="16">
        <f t="shared" si="112"/>
        <v>2441.4961720497113</v>
      </c>
      <c r="AE2032" s="16">
        <f t="shared" si="110"/>
        <v>86.31885712026741</v>
      </c>
      <c r="AF2032" s="16">
        <f>'Gearing Calculator'!$C$17*Braking!AD2032</f>
        <v>3662.2442580745669</v>
      </c>
      <c r="AG2032" s="16">
        <f t="shared" si="111"/>
        <v>-13.757491578041199</v>
      </c>
    </row>
    <row r="2033" spans="29:33" x14ac:dyDescent="0.25">
      <c r="AC2033" s="16">
        <v>2029</v>
      </c>
      <c r="AD2033" s="16">
        <f t="shared" si="112"/>
        <v>2442.024829974785</v>
      </c>
      <c r="AE2033" s="16">
        <f t="shared" si="110"/>
        <v>86.361420659281336</v>
      </c>
      <c r="AF2033" s="16">
        <f>'Gearing Calculator'!$C$17*Braking!AD2033</f>
        <v>3663.0372449621773</v>
      </c>
      <c r="AG2033" s="16">
        <f t="shared" si="111"/>
        <v>-13.760470491969111</v>
      </c>
    </row>
    <row r="2034" spans="29:33" x14ac:dyDescent="0.25">
      <c r="AC2034" s="16">
        <v>2030</v>
      </c>
      <c r="AD2034" s="16">
        <f t="shared" si="112"/>
        <v>2442.5534878998587</v>
      </c>
      <c r="AE2034" s="16">
        <f t="shared" si="110"/>
        <v>86.403984198295277</v>
      </c>
      <c r="AF2034" s="16">
        <f>'Gearing Calculator'!$C$17*Braking!AD2034</f>
        <v>3663.8302318497881</v>
      </c>
      <c r="AG2034" s="16">
        <f t="shared" si="111"/>
        <v>-13.763449405897026</v>
      </c>
    </row>
    <row r="2035" spans="29:33" x14ac:dyDescent="0.25">
      <c r="AC2035" s="16">
        <v>2031</v>
      </c>
      <c r="AD2035" s="16">
        <f t="shared" si="112"/>
        <v>2443.0821458249329</v>
      </c>
      <c r="AE2035" s="16">
        <f t="shared" si="110"/>
        <v>86.446547737309217</v>
      </c>
      <c r="AF2035" s="16">
        <f>'Gearing Calculator'!$C$17*Braking!AD2035</f>
        <v>3664.6232187373994</v>
      </c>
      <c r="AG2035" s="16">
        <f t="shared" si="111"/>
        <v>-13.766428319824941</v>
      </c>
    </row>
    <row r="2036" spans="29:33" x14ac:dyDescent="0.25">
      <c r="AC2036" s="16">
        <v>2032</v>
      </c>
      <c r="AD2036" s="16">
        <f t="shared" si="112"/>
        <v>2443.6108037500067</v>
      </c>
      <c r="AE2036" s="16">
        <f t="shared" si="110"/>
        <v>86.489111276323158</v>
      </c>
      <c r="AF2036" s="16">
        <f>'Gearing Calculator'!$C$17*Braking!AD2036</f>
        <v>3665.4162056250098</v>
      </c>
      <c r="AG2036" s="16">
        <f t="shared" si="111"/>
        <v>-13.769407233752855</v>
      </c>
    </row>
    <row r="2037" spans="29:33" x14ac:dyDescent="0.25">
      <c r="AC2037" s="16">
        <v>2033</v>
      </c>
      <c r="AD2037" s="16">
        <f t="shared" si="112"/>
        <v>2444.1394616750804</v>
      </c>
      <c r="AE2037" s="16">
        <f t="shared" si="110"/>
        <v>86.531674815337098</v>
      </c>
      <c r="AF2037" s="16">
        <f>'Gearing Calculator'!$C$17*Braking!AD2037</f>
        <v>3666.2091925126206</v>
      </c>
      <c r="AG2037" s="16">
        <f t="shared" si="111"/>
        <v>-13.77238614768077</v>
      </c>
    </row>
    <row r="2038" spans="29:33" x14ac:dyDescent="0.25">
      <c r="AC2038" s="16">
        <v>2034</v>
      </c>
      <c r="AD2038" s="16">
        <f t="shared" si="112"/>
        <v>2444.6681196001541</v>
      </c>
      <c r="AE2038" s="16">
        <f t="shared" si="110"/>
        <v>86.574238354351039</v>
      </c>
      <c r="AF2038" s="16">
        <f>'Gearing Calculator'!$C$17*Braking!AD2038</f>
        <v>3667.0021794002314</v>
      </c>
      <c r="AG2038" s="16">
        <f t="shared" si="111"/>
        <v>-13.775365061608683</v>
      </c>
    </row>
    <row r="2039" spans="29:33" x14ac:dyDescent="0.25">
      <c r="AC2039" s="16">
        <v>2035</v>
      </c>
      <c r="AD2039" s="16">
        <f t="shared" si="112"/>
        <v>2445.1967775252278</v>
      </c>
      <c r="AE2039" s="16">
        <f t="shared" si="110"/>
        <v>86.616801893364979</v>
      </c>
      <c r="AF2039" s="16">
        <f>'Gearing Calculator'!$C$17*Braking!AD2039</f>
        <v>3667.7951662878418</v>
      </c>
      <c r="AG2039" s="16">
        <f t="shared" si="111"/>
        <v>-13.778343975536597</v>
      </c>
    </row>
    <row r="2040" spans="29:33" x14ac:dyDescent="0.25">
      <c r="AC2040" s="16">
        <v>2036</v>
      </c>
      <c r="AD2040" s="16">
        <f t="shared" si="112"/>
        <v>2445.725435450302</v>
      </c>
      <c r="AE2040" s="16">
        <f t="shared" si="110"/>
        <v>86.65936543237892</v>
      </c>
      <c r="AF2040" s="16">
        <f>'Gearing Calculator'!$C$17*Braking!AD2040</f>
        <v>3668.588153175453</v>
      </c>
      <c r="AG2040" s="16">
        <f t="shared" si="111"/>
        <v>-13.781322889464512</v>
      </c>
    </row>
    <row r="2041" spans="29:33" x14ac:dyDescent="0.25">
      <c r="AC2041" s="16">
        <v>2037</v>
      </c>
      <c r="AD2041" s="16">
        <f t="shared" si="112"/>
        <v>2446.2540933753758</v>
      </c>
      <c r="AE2041" s="16">
        <f t="shared" si="110"/>
        <v>86.701928971392846</v>
      </c>
      <c r="AF2041" s="16">
        <f>'Gearing Calculator'!$C$17*Braking!AD2041</f>
        <v>3669.3811400630639</v>
      </c>
      <c r="AG2041" s="16">
        <f t="shared" si="111"/>
        <v>-13.784301803392427</v>
      </c>
    </row>
    <row r="2042" spans="29:33" x14ac:dyDescent="0.25">
      <c r="AC2042" s="16">
        <v>2038</v>
      </c>
      <c r="AD2042" s="16">
        <f t="shared" si="112"/>
        <v>2446.7827513004495</v>
      </c>
      <c r="AE2042" s="16">
        <f t="shared" si="110"/>
        <v>86.744492510406786</v>
      </c>
      <c r="AF2042" s="16">
        <f>'Gearing Calculator'!$C$17*Braking!AD2042</f>
        <v>3670.1741269506742</v>
      </c>
      <c r="AG2042" s="16">
        <f t="shared" si="111"/>
        <v>-13.787280717320339</v>
      </c>
    </row>
    <row r="2043" spans="29:33" x14ac:dyDescent="0.25">
      <c r="AC2043" s="16">
        <v>2039</v>
      </c>
      <c r="AD2043" s="16">
        <f t="shared" si="112"/>
        <v>2447.3114092255232</v>
      </c>
      <c r="AE2043" s="16">
        <f t="shared" si="110"/>
        <v>86.787056049420727</v>
      </c>
      <c r="AF2043" s="16">
        <f>'Gearing Calculator'!$C$17*Braking!AD2043</f>
        <v>3670.9671138382846</v>
      </c>
      <c r="AG2043" s="16">
        <f t="shared" si="111"/>
        <v>-13.790259631248253</v>
      </c>
    </row>
    <row r="2044" spans="29:33" x14ac:dyDescent="0.25">
      <c r="AC2044" s="16">
        <v>2040</v>
      </c>
      <c r="AD2044" s="16">
        <f t="shared" si="112"/>
        <v>2447.840067150597</v>
      </c>
      <c r="AE2044" s="16">
        <f t="shared" si="110"/>
        <v>86.829619588434667</v>
      </c>
      <c r="AF2044" s="16">
        <f>'Gearing Calculator'!$C$17*Braking!AD2044</f>
        <v>3671.7601007258954</v>
      </c>
      <c r="AG2044" s="16">
        <f t="shared" si="111"/>
        <v>-13.793238545176166</v>
      </c>
    </row>
    <row r="2045" spans="29:33" x14ac:dyDescent="0.25">
      <c r="AC2045" s="16">
        <v>2041</v>
      </c>
      <c r="AD2045" s="16">
        <f t="shared" si="112"/>
        <v>2448.3687250756711</v>
      </c>
      <c r="AE2045" s="16">
        <f t="shared" si="110"/>
        <v>86.872183127448608</v>
      </c>
      <c r="AF2045" s="16">
        <f>'Gearing Calculator'!$C$17*Braking!AD2045</f>
        <v>3672.5530876135067</v>
      </c>
      <c r="AG2045" s="16">
        <f t="shared" si="111"/>
        <v>-13.796217459104083</v>
      </c>
    </row>
    <row r="2046" spans="29:33" x14ac:dyDescent="0.25">
      <c r="AC2046" s="16">
        <v>2042</v>
      </c>
      <c r="AD2046" s="16">
        <f t="shared" si="112"/>
        <v>2448.8973830007449</v>
      </c>
      <c r="AE2046" s="16">
        <f t="shared" si="110"/>
        <v>86.914746666462548</v>
      </c>
      <c r="AF2046" s="16">
        <f>'Gearing Calculator'!$C$17*Braking!AD2046</f>
        <v>3673.3460745011171</v>
      </c>
      <c r="AG2046" s="16">
        <f t="shared" si="111"/>
        <v>-13.799196373031995</v>
      </c>
    </row>
    <row r="2047" spans="29:33" x14ac:dyDescent="0.25">
      <c r="AC2047" s="16">
        <v>2043</v>
      </c>
      <c r="AD2047" s="16">
        <f t="shared" si="112"/>
        <v>2449.4260409258186</v>
      </c>
      <c r="AE2047" s="16">
        <f t="shared" ref="AE2047:AE2110" si="113">(AC2047/$X$104)*100</f>
        <v>86.957310205476489</v>
      </c>
      <c r="AF2047" s="16">
        <f>'Gearing Calculator'!$C$17*Braking!AD2047</f>
        <v>3674.1390613887279</v>
      </c>
      <c r="AG2047" s="16">
        <f t="shared" si="111"/>
        <v>-13.80217528695991</v>
      </c>
    </row>
    <row r="2048" spans="29:33" x14ac:dyDescent="0.25">
      <c r="AC2048" s="16">
        <v>2044</v>
      </c>
      <c r="AD2048" s="16">
        <f t="shared" si="112"/>
        <v>2449.9546988508923</v>
      </c>
      <c r="AE2048" s="16">
        <f t="shared" si="113"/>
        <v>86.999873744490415</v>
      </c>
      <c r="AF2048" s="16">
        <f>'Gearing Calculator'!$C$17*Braking!AD2048</f>
        <v>3674.9320482763387</v>
      </c>
      <c r="AG2048" s="16">
        <f t="shared" si="111"/>
        <v>-13.805154200887824</v>
      </c>
    </row>
    <row r="2049" spans="29:33" x14ac:dyDescent="0.25">
      <c r="AC2049" s="16">
        <v>2045</v>
      </c>
      <c r="AD2049" s="16">
        <f t="shared" si="112"/>
        <v>2450.4833567759661</v>
      </c>
      <c r="AE2049" s="16">
        <f t="shared" si="113"/>
        <v>87.042437283504356</v>
      </c>
      <c r="AF2049" s="16">
        <f>'Gearing Calculator'!$C$17*Braking!AD2049</f>
        <v>3675.7250351639491</v>
      </c>
      <c r="AG2049" s="16">
        <f t="shared" si="111"/>
        <v>-13.808133114815737</v>
      </c>
    </row>
    <row r="2050" spans="29:33" x14ac:dyDescent="0.25">
      <c r="AC2050" s="16">
        <v>2046</v>
      </c>
      <c r="AD2050" s="16">
        <f t="shared" si="112"/>
        <v>2451.0120147010402</v>
      </c>
      <c r="AE2050" s="16">
        <f t="shared" si="113"/>
        <v>87.085000822518296</v>
      </c>
      <c r="AF2050" s="16">
        <f>'Gearing Calculator'!$C$17*Braking!AD2050</f>
        <v>3676.5180220515604</v>
      </c>
      <c r="AG2050" s="16">
        <f t="shared" si="111"/>
        <v>-13.811112028743654</v>
      </c>
    </row>
    <row r="2051" spans="29:33" x14ac:dyDescent="0.25">
      <c r="AC2051" s="16">
        <v>2047</v>
      </c>
      <c r="AD2051" s="16">
        <f t="shared" si="112"/>
        <v>2451.540672626114</v>
      </c>
      <c r="AE2051" s="16">
        <f t="shared" si="113"/>
        <v>87.127564361532237</v>
      </c>
      <c r="AF2051" s="16">
        <f>'Gearing Calculator'!$C$17*Braking!AD2051</f>
        <v>3677.3110089391712</v>
      </c>
      <c r="AG2051" s="16">
        <f t="shared" si="111"/>
        <v>-13.814090942671568</v>
      </c>
    </row>
    <row r="2052" spans="29:33" x14ac:dyDescent="0.25">
      <c r="AC2052" s="16">
        <v>2048</v>
      </c>
      <c r="AD2052" s="16">
        <f t="shared" si="112"/>
        <v>2452.0693305511877</v>
      </c>
      <c r="AE2052" s="16">
        <f t="shared" si="113"/>
        <v>87.170127900546177</v>
      </c>
      <c r="AF2052" s="16">
        <f>'Gearing Calculator'!$C$17*Braking!AD2052</f>
        <v>3678.1039958267816</v>
      </c>
      <c r="AG2052" s="16">
        <f t="shared" si="111"/>
        <v>-13.817069856599481</v>
      </c>
    </row>
    <row r="2053" spans="29:33" x14ac:dyDescent="0.25">
      <c r="AC2053" s="16">
        <v>2049</v>
      </c>
      <c r="AD2053" s="16">
        <f t="shared" si="112"/>
        <v>2452.5979884762614</v>
      </c>
      <c r="AE2053" s="16">
        <f t="shared" si="113"/>
        <v>87.212691439560118</v>
      </c>
      <c r="AF2053" s="16">
        <f>'Gearing Calculator'!$C$17*Braking!AD2053</f>
        <v>3678.8969827143919</v>
      </c>
      <c r="AG2053" s="16">
        <f t="shared" si="111"/>
        <v>-13.820048770527393</v>
      </c>
    </row>
    <row r="2054" spans="29:33" x14ac:dyDescent="0.25">
      <c r="AC2054" s="16">
        <v>2050</v>
      </c>
      <c r="AD2054" s="16">
        <f t="shared" si="112"/>
        <v>2453.1266464013352</v>
      </c>
      <c r="AE2054" s="16">
        <f t="shared" si="113"/>
        <v>87.255254978574058</v>
      </c>
      <c r="AF2054" s="16">
        <f>'Gearing Calculator'!$C$17*Braking!AD2054</f>
        <v>3679.6899696020027</v>
      </c>
      <c r="AG2054" s="16">
        <f t="shared" ref="AG2054:AG2117" si="114">-(AF2054/$C$3)</f>
        <v>-13.823027684455308</v>
      </c>
    </row>
    <row r="2055" spans="29:33" x14ac:dyDescent="0.25">
      <c r="AC2055" s="16">
        <v>2051</v>
      </c>
      <c r="AD2055" s="16">
        <f t="shared" ref="AD2055:AD2118" si="115">($C$3*$C$4)*($C$9/$C$8)+(AC2055*($C$10/$C$8))</f>
        <v>2453.6553043264094</v>
      </c>
      <c r="AE2055" s="16">
        <f t="shared" si="113"/>
        <v>87.297818517587984</v>
      </c>
      <c r="AF2055" s="16">
        <f>'Gearing Calculator'!$C$17*Braking!AD2055</f>
        <v>3680.482956489614</v>
      </c>
      <c r="AG2055" s="16">
        <f t="shared" si="114"/>
        <v>-13.826006598383223</v>
      </c>
    </row>
    <row r="2056" spans="29:33" x14ac:dyDescent="0.25">
      <c r="AC2056" s="16">
        <v>2052</v>
      </c>
      <c r="AD2056" s="16">
        <f t="shared" si="115"/>
        <v>2454.1839622514831</v>
      </c>
      <c r="AE2056" s="16">
        <f t="shared" si="113"/>
        <v>87.340382056601925</v>
      </c>
      <c r="AF2056" s="16">
        <f>'Gearing Calculator'!$C$17*Braking!AD2056</f>
        <v>3681.2759433772244</v>
      </c>
      <c r="AG2056" s="16">
        <f t="shared" si="114"/>
        <v>-13.828985512311137</v>
      </c>
    </row>
    <row r="2057" spans="29:33" x14ac:dyDescent="0.25">
      <c r="AC2057" s="16">
        <v>2053</v>
      </c>
      <c r="AD2057" s="16">
        <f t="shared" si="115"/>
        <v>2454.7126201765568</v>
      </c>
      <c r="AE2057" s="16">
        <f t="shared" si="113"/>
        <v>87.382945595615865</v>
      </c>
      <c r="AF2057" s="16">
        <f>'Gearing Calculator'!$C$17*Braking!AD2057</f>
        <v>3682.0689302648352</v>
      </c>
      <c r="AG2057" s="16">
        <f t="shared" si="114"/>
        <v>-13.83196442623905</v>
      </c>
    </row>
    <row r="2058" spans="29:33" x14ac:dyDescent="0.25">
      <c r="AC2058" s="16">
        <v>2054</v>
      </c>
      <c r="AD2058" s="16">
        <f t="shared" si="115"/>
        <v>2455.2412781016305</v>
      </c>
      <c r="AE2058" s="16">
        <f t="shared" si="113"/>
        <v>87.425509134629806</v>
      </c>
      <c r="AF2058" s="16">
        <f>'Gearing Calculator'!$C$17*Braking!AD2058</f>
        <v>3682.861917152446</v>
      </c>
      <c r="AG2058" s="16">
        <f t="shared" si="114"/>
        <v>-13.834943340166966</v>
      </c>
    </row>
    <row r="2059" spans="29:33" x14ac:dyDescent="0.25">
      <c r="AC2059" s="16">
        <v>2055</v>
      </c>
      <c r="AD2059" s="16">
        <f t="shared" si="115"/>
        <v>2455.7699360267043</v>
      </c>
      <c r="AE2059" s="16">
        <f t="shared" si="113"/>
        <v>87.468072673643746</v>
      </c>
      <c r="AF2059" s="16">
        <f>'Gearing Calculator'!$C$17*Braking!AD2059</f>
        <v>3683.6549040400564</v>
      </c>
      <c r="AG2059" s="16">
        <f t="shared" si="114"/>
        <v>-13.837922254094877</v>
      </c>
    </row>
    <row r="2060" spans="29:33" x14ac:dyDescent="0.25">
      <c r="AC2060" s="16">
        <v>2056</v>
      </c>
      <c r="AD2060" s="16">
        <f t="shared" si="115"/>
        <v>2456.2985939517785</v>
      </c>
      <c r="AE2060" s="16">
        <f t="shared" si="113"/>
        <v>87.510636212657687</v>
      </c>
      <c r="AF2060" s="16">
        <f>'Gearing Calculator'!$C$17*Braking!AD2060</f>
        <v>3684.4478909276677</v>
      </c>
      <c r="AG2060" s="16">
        <f t="shared" si="114"/>
        <v>-13.840901168022794</v>
      </c>
    </row>
    <row r="2061" spans="29:33" x14ac:dyDescent="0.25">
      <c r="AC2061" s="16">
        <v>2057</v>
      </c>
      <c r="AD2061" s="16">
        <f t="shared" si="115"/>
        <v>2456.8272518768522</v>
      </c>
      <c r="AE2061" s="16">
        <f t="shared" si="113"/>
        <v>87.553199751671627</v>
      </c>
      <c r="AF2061" s="16">
        <f>'Gearing Calculator'!$C$17*Braking!AD2061</f>
        <v>3685.2408778152785</v>
      </c>
      <c r="AG2061" s="16">
        <f t="shared" si="114"/>
        <v>-13.843880081950708</v>
      </c>
    </row>
    <row r="2062" spans="29:33" x14ac:dyDescent="0.25">
      <c r="AC2062" s="16">
        <v>2058</v>
      </c>
      <c r="AD2062" s="16">
        <f t="shared" si="115"/>
        <v>2457.3559098019259</v>
      </c>
      <c r="AE2062" s="16">
        <f t="shared" si="113"/>
        <v>87.595763290685568</v>
      </c>
      <c r="AF2062" s="16">
        <f>'Gearing Calculator'!$C$17*Braking!AD2062</f>
        <v>3686.0338647028889</v>
      </c>
      <c r="AG2062" s="16">
        <f t="shared" si="114"/>
        <v>-13.846858995878621</v>
      </c>
    </row>
    <row r="2063" spans="29:33" x14ac:dyDescent="0.25">
      <c r="AC2063" s="16">
        <v>2059</v>
      </c>
      <c r="AD2063" s="16">
        <f t="shared" si="115"/>
        <v>2457.8845677269996</v>
      </c>
      <c r="AE2063" s="16">
        <f t="shared" si="113"/>
        <v>87.638326829699494</v>
      </c>
      <c r="AF2063" s="16">
        <f>'Gearing Calculator'!$C$17*Braking!AD2063</f>
        <v>3686.8268515904992</v>
      </c>
      <c r="AG2063" s="16">
        <f t="shared" si="114"/>
        <v>-13.849837909806535</v>
      </c>
    </row>
    <row r="2064" spans="29:33" x14ac:dyDescent="0.25">
      <c r="AC2064" s="16">
        <v>2060</v>
      </c>
      <c r="AD2064" s="16">
        <f t="shared" si="115"/>
        <v>2458.4132256520734</v>
      </c>
      <c r="AE2064" s="16">
        <f t="shared" si="113"/>
        <v>87.680890368713435</v>
      </c>
      <c r="AF2064" s="16">
        <f>'Gearing Calculator'!$C$17*Braking!AD2064</f>
        <v>3687.6198384781101</v>
      </c>
      <c r="AG2064" s="16">
        <f t="shared" si="114"/>
        <v>-13.852816823734448</v>
      </c>
    </row>
    <row r="2065" spans="29:33" x14ac:dyDescent="0.25">
      <c r="AC2065" s="16">
        <v>2061</v>
      </c>
      <c r="AD2065" s="16">
        <f t="shared" si="115"/>
        <v>2458.9418835771476</v>
      </c>
      <c r="AE2065" s="16">
        <f t="shared" si="113"/>
        <v>87.723453907727375</v>
      </c>
      <c r="AF2065" s="16">
        <f>'Gearing Calculator'!$C$17*Braking!AD2065</f>
        <v>3688.4128253657213</v>
      </c>
      <c r="AG2065" s="16">
        <f t="shared" si="114"/>
        <v>-13.855795737662365</v>
      </c>
    </row>
    <row r="2066" spans="29:33" x14ac:dyDescent="0.25">
      <c r="AC2066" s="16">
        <v>2062</v>
      </c>
      <c r="AD2066" s="16">
        <f t="shared" si="115"/>
        <v>2459.4705415022213</v>
      </c>
      <c r="AE2066" s="16">
        <f t="shared" si="113"/>
        <v>87.766017446741316</v>
      </c>
      <c r="AF2066" s="16">
        <f>'Gearing Calculator'!$C$17*Braking!AD2066</f>
        <v>3689.2058122533317</v>
      </c>
      <c r="AG2066" s="16">
        <f t="shared" si="114"/>
        <v>-13.858774651590277</v>
      </c>
    </row>
    <row r="2067" spans="29:33" x14ac:dyDescent="0.25">
      <c r="AC2067" s="16">
        <v>2063</v>
      </c>
      <c r="AD2067" s="16">
        <f t="shared" si="115"/>
        <v>2459.999199427295</v>
      </c>
      <c r="AE2067" s="16">
        <f t="shared" si="113"/>
        <v>87.808580985755256</v>
      </c>
      <c r="AF2067" s="16">
        <f>'Gearing Calculator'!$C$17*Braking!AD2067</f>
        <v>3689.9987991409425</v>
      </c>
      <c r="AG2067" s="16">
        <f t="shared" si="114"/>
        <v>-13.861753565518192</v>
      </c>
    </row>
    <row r="2068" spans="29:33" x14ac:dyDescent="0.25">
      <c r="AC2068" s="16">
        <v>2064</v>
      </c>
      <c r="AD2068" s="16">
        <f t="shared" si="115"/>
        <v>2460.5278573523688</v>
      </c>
      <c r="AE2068" s="16">
        <f t="shared" si="113"/>
        <v>87.851144524769197</v>
      </c>
      <c r="AF2068" s="16">
        <f>'Gearing Calculator'!$C$17*Braking!AD2068</f>
        <v>3690.7917860285534</v>
      </c>
      <c r="AG2068" s="16">
        <f t="shared" si="114"/>
        <v>-13.864732479446106</v>
      </c>
    </row>
    <row r="2069" spans="29:33" x14ac:dyDescent="0.25">
      <c r="AC2069" s="16">
        <v>2065</v>
      </c>
      <c r="AD2069" s="16">
        <f t="shared" si="115"/>
        <v>2461.0565152774425</v>
      </c>
      <c r="AE2069" s="16">
        <f t="shared" si="113"/>
        <v>87.893708063783137</v>
      </c>
      <c r="AF2069" s="16">
        <f>'Gearing Calculator'!$C$17*Braking!AD2069</f>
        <v>3691.5847729161637</v>
      </c>
      <c r="AG2069" s="16">
        <f t="shared" si="114"/>
        <v>-13.867711393374019</v>
      </c>
    </row>
    <row r="2070" spans="29:33" x14ac:dyDescent="0.25">
      <c r="AC2070" s="16">
        <v>2066</v>
      </c>
      <c r="AD2070" s="16">
        <f t="shared" si="115"/>
        <v>2461.5851732025167</v>
      </c>
      <c r="AE2070" s="16">
        <f t="shared" si="113"/>
        <v>87.936271602797063</v>
      </c>
      <c r="AF2070" s="16">
        <f>'Gearing Calculator'!$C$17*Braking!AD2070</f>
        <v>3692.377759803775</v>
      </c>
      <c r="AG2070" s="16">
        <f t="shared" si="114"/>
        <v>-13.870690307301935</v>
      </c>
    </row>
    <row r="2071" spans="29:33" x14ac:dyDescent="0.25">
      <c r="AC2071" s="16">
        <v>2067</v>
      </c>
      <c r="AD2071" s="16">
        <f t="shared" si="115"/>
        <v>2462.1138311275904</v>
      </c>
      <c r="AE2071" s="16">
        <f t="shared" si="113"/>
        <v>87.978835141811004</v>
      </c>
      <c r="AF2071" s="16">
        <f>'Gearing Calculator'!$C$17*Braking!AD2071</f>
        <v>3693.1707466913858</v>
      </c>
      <c r="AG2071" s="16">
        <f t="shared" si="114"/>
        <v>-13.87366922122985</v>
      </c>
    </row>
    <row r="2072" spans="29:33" x14ac:dyDescent="0.25">
      <c r="AC2072" s="16">
        <v>2068</v>
      </c>
      <c r="AD2072" s="16">
        <f t="shared" si="115"/>
        <v>2462.6424890526641</v>
      </c>
      <c r="AE2072" s="16">
        <f t="shared" si="113"/>
        <v>88.021398680824944</v>
      </c>
      <c r="AF2072" s="16">
        <f>'Gearing Calculator'!$C$17*Braking!AD2072</f>
        <v>3693.9637335789962</v>
      </c>
      <c r="AG2072" s="16">
        <f t="shared" si="114"/>
        <v>-13.876648135157762</v>
      </c>
    </row>
    <row r="2073" spans="29:33" x14ac:dyDescent="0.25">
      <c r="AC2073" s="16">
        <v>2069</v>
      </c>
      <c r="AD2073" s="16">
        <f t="shared" si="115"/>
        <v>2463.1711469777379</v>
      </c>
      <c r="AE2073" s="16">
        <f t="shared" si="113"/>
        <v>88.063962219838885</v>
      </c>
      <c r="AF2073" s="16">
        <f>'Gearing Calculator'!$C$17*Braking!AD2073</f>
        <v>3694.7567204666066</v>
      </c>
      <c r="AG2073" s="16">
        <f t="shared" si="114"/>
        <v>-13.879627049085675</v>
      </c>
    </row>
    <row r="2074" spans="29:33" x14ac:dyDescent="0.25">
      <c r="AC2074" s="16">
        <v>2070</v>
      </c>
      <c r="AD2074" s="16">
        <f t="shared" si="115"/>
        <v>2463.6998049028116</v>
      </c>
      <c r="AE2074" s="16">
        <f t="shared" si="113"/>
        <v>88.106525758852825</v>
      </c>
      <c r="AF2074" s="16">
        <f>'Gearing Calculator'!$C$17*Braking!AD2074</f>
        <v>3695.5497073542174</v>
      </c>
      <c r="AG2074" s="16">
        <f t="shared" si="114"/>
        <v>-13.882605963013589</v>
      </c>
    </row>
    <row r="2075" spans="29:33" x14ac:dyDescent="0.25">
      <c r="AC2075" s="16">
        <v>2071</v>
      </c>
      <c r="AD2075" s="16">
        <f t="shared" si="115"/>
        <v>2464.2284628278858</v>
      </c>
      <c r="AE2075" s="16">
        <f t="shared" si="113"/>
        <v>88.149089297866766</v>
      </c>
      <c r="AF2075" s="16">
        <f>'Gearing Calculator'!$C$17*Braking!AD2075</f>
        <v>3696.3426942418287</v>
      </c>
      <c r="AG2075" s="16">
        <f t="shared" si="114"/>
        <v>-13.885584876941506</v>
      </c>
    </row>
    <row r="2076" spans="29:33" x14ac:dyDescent="0.25">
      <c r="AC2076" s="16">
        <v>2072</v>
      </c>
      <c r="AD2076" s="16">
        <f t="shared" si="115"/>
        <v>2464.7571207529595</v>
      </c>
      <c r="AE2076" s="16">
        <f t="shared" si="113"/>
        <v>88.191652836880706</v>
      </c>
      <c r="AF2076" s="16">
        <f>'Gearing Calculator'!$C$17*Braking!AD2076</f>
        <v>3697.135681129439</v>
      </c>
      <c r="AG2076" s="16">
        <f t="shared" si="114"/>
        <v>-13.888563790869419</v>
      </c>
    </row>
    <row r="2077" spans="29:33" x14ac:dyDescent="0.25">
      <c r="AC2077" s="16">
        <v>2073</v>
      </c>
      <c r="AD2077" s="16">
        <f t="shared" si="115"/>
        <v>2465.2857786780332</v>
      </c>
      <c r="AE2077" s="16">
        <f t="shared" si="113"/>
        <v>88.234216375894647</v>
      </c>
      <c r="AF2077" s="16">
        <f>'Gearing Calculator'!$C$17*Braking!AD2077</f>
        <v>3697.9286680170499</v>
      </c>
      <c r="AG2077" s="16">
        <f t="shared" si="114"/>
        <v>-13.891542704797333</v>
      </c>
    </row>
    <row r="2078" spans="29:33" x14ac:dyDescent="0.25">
      <c r="AC2078" s="16">
        <v>2074</v>
      </c>
      <c r="AD2078" s="16">
        <f t="shared" si="115"/>
        <v>2465.814436603107</v>
      </c>
      <c r="AE2078" s="16">
        <f t="shared" si="113"/>
        <v>88.276779914908573</v>
      </c>
      <c r="AF2078" s="16">
        <f>'Gearing Calculator'!$C$17*Braking!AD2078</f>
        <v>3698.7216549046607</v>
      </c>
      <c r="AG2078" s="16">
        <f t="shared" si="114"/>
        <v>-13.894521618725248</v>
      </c>
    </row>
    <row r="2079" spans="29:33" x14ac:dyDescent="0.25">
      <c r="AC2079" s="16">
        <v>2075</v>
      </c>
      <c r="AD2079" s="16">
        <f t="shared" si="115"/>
        <v>2466.3430945281807</v>
      </c>
      <c r="AE2079" s="16">
        <f t="shared" si="113"/>
        <v>88.319343453922514</v>
      </c>
      <c r="AF2079" s="16">
        <f>'Gearing Calculator'!$C$17*Braking!AD2079</f>
        <v>3699.514641792271</v>
      </c>
      <c r="AG2079" s="16">
        <f t="shared" si="114"/>
        <v>-13.89750053265316</v>
      </c>
    </row>
    <row r="2080" spans="29:33" x14ac:dyDescent="0.25">
      <c r="AC2080" s="16">
        <v>2076</v>
      </c>
      <c r="AD2080" s="16">
        <f t="shared" si="115"/>
        <v>2466.8717524532549</v>
      </c>
      <c r="AE2080" s="16">
        <f t="shared" si="113"/>
        <v>88.361906992936454</v>
      </c>
      <c r="AF2080" s="16">
        <f>'Gearing Calculator'!$C$17*Braking!AD2080</f>
        <v>3700.3076286798823</v>
      </c>
      <c r="AG2080" s="16">
        <f t="shared" si="114"/>
        <v>-13.900479446581077</v>
      </c>
    </row>
    <row r="2081" spans="29:33" x14ac:dyDescent="0.25">
      <c r="AC2081" s="16">
        <v>2077</v>
      </c>
      <c r="AD2081" s="16">
        <f t="shared" si="115"/>
        <v>2467.4004103783286</v>
      </c>
      <c r="AE2081" s="16">
        <f t="shared" si="113"/>
        <v>88.404470531950395</v>
      </c>
      <c r="AF2081" s="16">
        <f>'Gearing Calculator'!$C$17*Braking!AD2081</f>
        <v>3701.1006155674932</v>
      </c>
      <c r="AG2081" s="16">
        <f t="shared" si="114"/>
        <v>-13.90345836050899</v>
      </c>
    </row>
    <row r="2082" spans="29:33" x14ac:dyDescent="0.25">
      <c r="AC2082" s="16">
        <v>2078</v>
      </c>
      <c r="AD2082" s="16">
        <f t="shared" si="115"/>
        <v>2467.9290683034023</v>
      </c>
      <c r="AE2082" s="16">
        <f t="shared" si="113"/>
        <v>88.447034070964335</v>
      </c>
      <c r="AF2082" s="16">
        <f>'Gearing Calculator'!$C$17*Braking!AD2082</f>
        <v>3701.8936024551035</v>
      </c>
      <c r="AG2082" s="16">
        <f t="shared" si="114"/>
        <v>-13.906437274436904</v>
      </c>
    </row>
    <row r="2083" spans="29:33" x14ac:dyDescent="0.25">
      <c r="AC2083" s="16">
        <v>2079</v>
      </c>
      <c r="AD2083" s="16">
        <f t="shared" si="115"/>
        <v>2468.4577262284761</v>
      </c>
      <c r="AE2083" s="16">
        <f t="shared" si="113"/>
        <v>88.489597609978276</v>
      </c>
      <c r="AF2083" s="16">
        <f>'Gearing Calculator'!$C$17*Braking!AD2083</f>
        <v>3702.6865893427139</v>
      </c>
      <c r="AG2083" s="16">
        <f t="shared" si="114"/>
        <v>-13.909416188364816</v>
      </c>
    </row>
    <row r="2084" spans="29:33" x14ac:dyDescent="0.25">
      <c r="AC2084" s="16">
        <v>2080</v>
      </c>
      <c r="AD2084" s="16">
        <f t="shared" si="115"/>
        <v>2468.9863841535498</v>
      </c>
      <c r="AE2084" s="16">
        <f t="shared" si="113"/>
        <v>88.532161148992216</v>
      </c>
      <c r="AF2084" s="16">
        <f>'Gearing Calculator'!$C$17*Braking!AD2084</f>
        <v>3703.4795762303247</v>
      </c>
      <c r="AG2084" s="16">
        <f t="shared" si="114"/>
        <v>-13.912395102292731</v>
      </c>
    </row>
    <row r="2085" spans="29:33" x14ac:dyDescent="0.25">
      <c r="AC2085" s="16">
        <v>2081</v>
      </c>
      <c r="AD2085" s="16">
        <f t="shared" si="115"/>
        <v>2469.515042078624</v>
      </c>
      <c r="AE2085" s="16">
        <f t="shared" si="113"/>
        <v>88.574724688006143</v>
      </c>
      <c r="AF2085" s="16">
        <f>'Gearing Calculator'!$C$17*Braking!AD2085</f>
        <v>3704.272563117936</v>
      </c>
      <c r="AG2085" s="16">
        <f t="shared" si="114"/>
        <v>-13.915374016220646</v>
      </c>
    </row>
    <row r="2086" spans="29:33" x14ac:dyDescent="0.25">
      <c r="AC2086" s="16">
        <v>2082</v>
      </c>
      <c r="AD2086" s="16">
        <f t="shared" si="115"/>
        <v>2470.0437000036977</v>
      </c>
      <c r="AE2086" s="16">
        <f t="shared" si="113"/>
        <v>88.617288227020083</v>
      </c>
      <c r="AF2086" s="16">
        <f>'Gearing Calculator'!$C$17*Braking!AD2086</f>
        <v>3705.0655500055464</v>
      </c>
      <c r="AG2086" s="16">
        <f t="shared" si="114"/>
        <v>-13.91835293014856</v>
      </c>
    </row>
    <row r="2087" spans="29:33" x14ac:dyDescent="0.25">
      <c r="AC2087" s="16">
        <v>2083</v>
      </c>
      <c r="AD2087" s="16">
        <f t="shared" si="115"/>
        <v>2470.5723579287715</v>
      </c>
      <c r="AE2087" s="16">
        <f t="shared" si="113"/>
        <v>88.659851766034024</v>
      </c>
      <c r="AF2087" s="16">
        <f>'Gearing Calculator'!$C$17*Braking!AD2087</f>
        <v>3705.8585368931572</v>
      </c>
      <c r="AG2087" s="16">
        <f t="shared" si="114"/>
        <v>-13.921331844076473</v>
      </c>
    </row>
    <row r="2088" spans="29:33" x14ac:dyDescent="0.25">
      <c r="AC2088" s="16">
        <v>2084</v>
      </c>
      <c r="AD2088" s="16">
        <f t="shared" si="115"/>
        <v>2471.1010158538456</v>
      </c>
      <c r="AE2088" s="16">
        <f t="shared" si="113"/>
        <v>88.702415305047964</v>
      </c>
      <c r="AF2088" s="16">
        <f>'Gearing Calculator'!$C$17*Braking!AD2088</f>
        <v>3706.6515237807685</v>
      </c>
      <c r="AG2088" s="16">
        <f t="shared" si="114"/>
        <v>-13.92431075800439</v>
      </c>
    </row>
    <row r="2089" spans="29:33" x14ac:dyDescent="0.25">
      <c r="AC2089" s="16">
        <v>2085</v>
      </c>
      <c r="AD2089" s="16">
        <f t="shared" si="115"/>
        <v>2471.6296737789189</v>
      </c>
      <c r="AE2089" s="16">
        <f t="shared" si="113"/>
        <v>88.744978844061905</v>
      </c>
      <c r="AF2089" s="16">
        <f>'Gearing Calculator'!$C$17*Braking!AD2089</f>
        <v>3707.4445106683784</v>
      </c>
      <c r="AG2089" s="16">
        <f t="shared" si="114"/>
        <v>-13.927289671932302</v>
      </c>
    </row>
    <row r="2090" spans="29:33" x14ac:dyDescent="0.25">
      <c r="AC2090" s="16">
        <v>2086</v>
      </c>
      <c r="AD2090" s="16">
        <f t="shared" si="115"/>
        <v>2472.1583317039931</v>
      </c>
      <c r="AE2090" s="16">
        <f t="shared" si="113"/>
        <v>88.787542383075845</v>
      </c>
      <c r="AF2090" s="16">
        <f>'Gearing Calculator'!$C$17*Braking!AD2090</f>
        <v>3708.2374975559896</v>
      </c>
      <c r="AG2090" s="16">
        <f t="shared" si="114"/>
        <v>-13.930268585860217</v>
      </c>
    </row>
    <row r="2091" spans="29:33" x14ac:dyDescent="0.25">
      <c r="AC2091" s="16">
        <v>2087</v>
      </c>
      <c r="AD2091" s="16">
        <f t="shared" si="115"/>
        <v>2472.6869896290668</v>
      </c>
      <c r="AE2091" s="16">
        <f t="shared" si="113"/>
        <v>88.830105922089786</v>
      </c>
      <c r="AF2091" s="16">
        <f>'Gearing Calculator'!$C$17*Braking!AD2091</f>
        <v>3709.0304844436005</v>
      </c>
      <c r="AG2091" s="16">
        <f t="shared" si="114"/>
        <v>-13.933247499788132</v>
      </c>
    </row>
    <row r="2092" spans="29:33" x14ac:dyDescent="0.25">
      <c r="AC2092" s="16">
        <v>2088</v>
      </c>
      <c r="AD2092" s="16">
        <f t="shared" si="115"/>
        <v>2473.2156475541406</v>
      </c>
      <c r="AE2092" s="16">
        <f t="shared" si="113"/>
        <v>88.872669461103726</v>
      </c>
      <c r="AF2092" s="16">
        <f>'Gearing Calculator'!$C$17*Braking!AD2092</f>
        <v>3709.8234713312108</v>
      </c>
      <c r="AG2092" s="16">
        <f t="shared" si="114"/>
        <v>-13.936226413716044</v>
      </c>
    </row>
    <row r="2093" spans="29:33" x14ac:dyDescent="0.25">
      <c r="AC2093" s="16">
        <v>2089</v>
      </c>
      <c r="AD2093" s="16">
        <f t="shared" si="115"/>
        <v>2473.7443054792147</v>
      </c>
      <c r="AE2093" s="16">
        <f t="shared" si="113"/>
        <v>88.915233000117652</v>
      </c>
      <c r="AF2093" s="16">
        <f>'Gearing Calculator'!$C$17*Braking!AD2093</f>
        <v>3710.6164582188221</v>
      </c>
      <c r="AG2093" s="16">
        <f t="shared" si="114"/>
        <v>-13.939205327643961</v>
      </c>
    </row>
    <row r="2094" spans="29:33" x14ac:dyDescent="0.25">
      <c r="AC2094" s="16">
        <v>2090</v>
      </c>
      <c r="AD2094" s="16">
        <f t="shared" si="115"/>
        <v>2474.272963404288</v>
      </c>
      <c r="AE2094" s="16">
        <f t="shared" si="113"/>
        <v>88.957796539131593</v>
      </c>
      <c r="AF2094" s="16">
        <f>'Gearing Calculator'!$C$17*Braking!AD2094</f>
        <v>3711.409445106432</v>
      </c>
      <c r="AG2094" s="16">
        <f t="shared" si="114"/>
        <v>-13.942184241571871</v>
      </c>
    </row>
    <row r="2095" spans="29:33" x14ac:dyDescent="0.25">
      <c r="AC2095" s="16">
        <v>2091</v>
      </c>
      <c r="AD2095" s="16">
        <f t="shared" si="115"/>
        <v>2474.8016213293622</v>
      </c>
      <c r="AE2095" s="16">
        <f t="shared" si="113"/>
        <v>89.000360078145533</v>
      </c>
      <c r="AF2095" s="16">
        <f>'Gearing Calculator'!$C$17*Braking!AD2095</f>
        <v>3712.2024319940433</v>
      </c>
      <c r="AG2095" s="16">
        <f t="shared" si="114"/>
        <v>-13.945163155499788</v>
      </c>
    </row>
    <row r="2096" spans="29:33" x14ac:dyDescent="0.25">
      <c r="AC2096" s="16">
        <v>2092</v>
      </c>
      <c r="AD2096" s="16">
        <f t="shared" si="115"/>
        <v>2475.3302792544359</v>
      </c>
      <c r="AE2096" s="16">
        <f t="shared" si="113"/>
        <v>89.042923617159474</v>
      </c>
      <c r="AF2096" s="16">
        <f>'Gearing Calculator'!$C$17*Braking!AD2096</f>
        <v>3712.9954188816537</v>
      </c>
      <c r="AG2096" s="16">
        <f t="shared" si="114"/>
        <v>-13.9481420694277</v>
      </c>
    </row>
    <row r="2097" spans="29:33" x14ac:dyDescent="0.25">
      <c r="AC2097" s="16">
        <v>2093</v>
      </c>
      <c r="AD2097" s="16">
        <f t="shared" si="115"/>
        <v>2475.8589371795097</v>
      </c>
      <c r="AE2097" s="16">
        <f t="shared" si="113"/>
        <v>89.085487156173414</v>
      </c>
      <c r="AF2097" s="16">
        <f>'Gearing Calculator'!$C$17*Braking!AD2097</f>
        <v>3713.7884057692645</v>
      </c>
      <c r="AG2097" s="16">
        <f t="shared" si="114"/>
        <v>-13.951120983355615</v>
      </c>
    </row>
    <row r="2098" spans="29:33" x14ac:dyDescent="0.25">
      <c r="AC2098" s="16">
        <v>2094</v>
      </c>
      <c r="AD2098" s="16">
        <f t="shared" si="115"/>
        <v>2476.3875951045839</v>
      </c>
      <c r="AE2098" s="16">
        <f t="shared" si="113"/>
        <v>89.128050695187355</v>
      </c>
      <c r="AF2098" s="16">
        <f>'Gearing Calculator'!$C$17*Braking!AD2098</f>
        <v>3714.5813926568758</v>
      </c>
      <c r="AG2098" s="16">
        <f t="shared" si="114"/>
        <v>-13.95409989728353</v>
      </c>
    </row>
    <row r="2099" spans="29:33" x14ac:dyDescent="0.25">
      <c r="AC2099" s="16">
        <v>2095</v>
      </c>
      <c r="AD2099" s="16">
        <f t="shared" si="115"/>
        <v>2476.9162530296571</v>
      </c>
      <c r="AE2099" s="16">
        <f t="shared" si="113"/>
        <v>89.170614234201295</v>
      </c>
      <c r="AF2099" s="16">
        <f>'Gearing Calculator'!$C$17*Braking!AD2099</f>
        <v>3715.3743795444857</v>
      </c>
      <c r="AG2099" s="16">
        <f t="shared" si="114"/>
        <v>-13.957078811211442</v>
      </c>
    </row>
    <row r="2100" spans="29:33" x14ac:dyDescent="0.25">
      <c r="AC2100" s="16">
        <v>2096</v>
      </c>
      <c r="AD2100" s="16">
        <f t="shared" si="115"/>
        <v>2477.4449109547313</v>
      </c>
      <c r="AE2100" s="16">
        <f t="shared" si="113"/>
        <v>89.213177773215222</v>
      </c>
      <c r="AF2100" s="16">
        <f>'Gearing Calculator'!$C$17*Braking!AD2100</f>
        <v>3716.167366432097</v>
      </c>
      <c r="AG2100" s="16">
        <f t="shared" si="114"/>
        <v>-13.960057725139357</v>
      </c>
    </row>
    <row r="2101" spans="29:33" x14ac:dyDescent="0.25">
      <c r="AC2101" s="16">
        <v>2097</v>
      </c>
      <c r="AD2101" s="16">
        <f t="shared" si="115"/>
        <v>2477.973568879805</v>
      </c>
      <c r="AE2101" s="16">
        <f t="shared" si="113"/>
        <v>89.255741312229162</v>
      </c>
      <c r="AF2101" s="16">
        <f>'Gearing Calculator'!$C$17*Braking!AD2101</f>
        <v>3716.9603533197078</v>
      </c>
      <c r="AG2101" s="16">
        <f t="shared" si="114"/>
        <v>-13.963036639067273</v>
      </c>
    </row>
    <row r="2102" spans="29:33" x14ac:dyDescent="0.25">
      <c r="AC2102" s="16">
        <v>2098</v>
      </c>
      <c r="AD2102" s="16">
        <f t="shared" si="115"/>
        <v>2478.5022268048788</v>
      </c>
      <c r="AE2102" s="16">
        <f t="shared" si="113"/>
        <v>89.298304851243103</v>
      </c>
      <c r="AF2102" s="16">
        <f>'Gearing Calculator'!$C$17*Braking!AD2102</f>
        <v>3717.7533402073182</v>
      </c>
      <c r="AG2102" s="16">
        <f t="shared" si="114"/>
        <v>-13.966015552995186</v>
      </c>
    </row>
    <row r="2103" spans="29:33" x14ac:dyDescent="0.25">
      <c r="AC2103" s="16">
        <v>2099</v>
      </c>
      <c r="AD2103" s="16">
        <f t="shared" si="115"/>
        <v>2479.030884729953</v>
      </c>
      <c r="AE2103" s="16">
        <f t="shared" si="113"/>
        <v>89.340868390257043</v>
      </c>
      <c r="AF2103" s="16">
        <f>'Gearing Calculator'!$C$17*Braking!AD2103</f>
        <v>3718.5463270949294</v>
      </c>
      <c r="AG2103" s="16">
        <f t="shared" si="114"/>
        <v>-13.968994466923101</v>
      </c>
    </row>
    <row r="2104" spans="29:33" x14ac:dyDescent="0.25">
      <c r="AC2104" s="16">
        <v>2100</v>
      </c>
      <c r="AD2104" s="16">
        <f t="shared" si="115"/>
        <v>2479.5595426550262</v>
      </c>
      <c r="AE2104" s="16">
        <f t="shared" si="113"/>
        <v>89.383431929270984</v>
      </c>
      <c r="AF2104" s="16">
        <f>'Gearing Calculator'!$C$17*Braking!AD2104</f>
        <v>3719.3393139825394</v>
      </c>
      <c r="AG2104" s="16">
        <f t="shared" si="114"/>
        <v>-13.971973380851013</v>
      </c>
    </row>
    <row r="2105" spans="29:33" x14ac:dyDescent="0.25">
      <c r="AC2105" s="16">
        <v>2101</v>
      </c>
      <c r="AD2105" s="16">
        <f t="shared" si="115"/>
        <v>2480.0882005801004</v>
      </c>
      <c r="AE2105" s="16">
        <f t="shared" si="113"/>
        <v>89.425995468284924</v>
      </c>
      <c r="AF2105" s="16">
        <f>'Gearing Calculator'!$C$17*Braking!AD2105</f>
        <v>3720.1323008701506</v>
      </c>
      <c r="AG2105" s="16">
        <f t="shared" si="114"/>
        <v>-13.974952294778928</v>
      </c>
    </row>
    <row r="2106" spans="29:33" x14ac:dyDescent="0.25">
      <c r="AC2106" s="16">
        <v>2102</v>
      </c>
      <c r="AD2106" s="16">
        <f t="shared" si="115"/>
        <v>2480.6168585051742</v>
      </c>
      <c r="AE2106" s="16">
        <f t="shared" si="113"/>
        <v>89.468559007298865</v>
      </c>
      <c r="AF2106" s="16">
        <f>'Gearing Calculator'!$C$17*Braking!AD2106</f>
        <v>3720.925287757761</v>
      </c>
      <c r="AG2106" s="16">
        <f t="shared" si="114"/>
        <v>-13.977931208706842</v>
      </c>
    </row>
    <row r="2107" spans="29:33" x14ac:dyDescent="0.25">
      <c r="AC2107" s="16">
        <v>2103</v>
      </c>
      <c r="AD2107" s="16">
        <f t="shared" si="115"/>
        <v>2481.1455164302479</v>
      </c>
      <c r="AE2107" s="16">
        <f t="shared" si="113"/>
        <v>89.511122546312805</v>
      </c>
      <c r="AF2107" s="16">
        <f>'Gearing Calculator'!$C$17*Braking!AD2107</f>
        <v>3721.7182746453718</v>
      </c>
      <c r="AG2107" s="16">
        <f t="shared" si="114"/>
        <v>-13.980910122634755</v>
      </c>
    </row>
    <row r="2108" spans="29:33" x14ac:dyDescent="0.25">
      <c r="AC2108" s="16">
        <v>2104</v>
      </c>
      <c r="AD2108" s="16">
        <f t="shared" si="115"/>
        <v>2481.6741743553221</v>
      </c>
      <c r="AE2108" s="16">
        <f t="shared" si="113"/>
        <v>89.553686085326731</v>
      </c>
      <c r="AF2108" s="16">
        <f>'Gearing Calculator'!$C$17*Braking!AD2108</f>
        <v>3722.5112615329831</v>
      </c>
      <c r="AG2108" s="16">
        <f t="shared" si="114"/>
        <v>-13.983889036562672</v>
      </c>
    </row>
    <row r="2109" spans="29:33" x14ac:dyDescent="0.25">
      <c r="AC2109" s="16">
        <v>2105</v>
      </c>
      <c r="AD2109" s="16">
        <f t="shared" si="115"/>
        <v>2482.2028322803953</v>
      </c>
      <c r="AE2109" s="16">
        <f t="shared" si="113"/>
        <v>89.596249624340672</v>
      </c>
      <c r="AF2109" s="16">
        <f>'Gearing Calculator'!$C$17*Braking!AD2109</f>
        <v>3723.304248420593</v>
      </c>
      <c r="AG2109" s="16">
        <f t="shared" si="114"/>
        <v>-13.986867950490582</v>
      </c>
    </row>
    <row r="2110" spans="29:33" x14ac:dyDescent="0.25">
      <c r="AC2110" s="16">
        <v>2106</v>
      </c>
      <c r="AD2110" s="16">
        <f t="shared" si="115"/>
        <v>2482.7314902054695</v>
      </c>
      <c r="AE2110" s="16">
        <f t="shared" si="113"/>
        <v>89.638813163354612</v>
      </c>
      <c r="AF2110" s="16">
        <f>'Gearing Calculator'!$C$17*Braking!AD2110</f>
        <v>3724.0972353082043</v>
      </c>
      <c r="AG2110" s="16">
        <f t="shared" si="114"/>
        <v>-13.989846864418499</v>
      </c>
    </row>
    <row r="2111" spans="29:33" x14ac:dyDescent="0.25">
      <c r="AC2111" s="16">
        <v>2107</v>
      </c>
      <c r="AD2111" s="16">
        <f t="shared" si="115"/>
        <v>2483.2601481305433</v>
      </c>
      <c r="AE2111" s="16">
        <f t="shared" ref="AE2111:AE2174" si="116">(AC2111/$X$104)*100</f>
        <v>89.681376702368553</v>
      </c>
      <c r="AF2111" s="16">
        <f>'Gearing Calculator'!$C$17*Braking!AD2111</f>
        <v>3724.8902221958151</v>
      </c>
      <c r="AG2111" s="16">
        <f t="shared" si="114"/>
        <v>-13.992825778346413</v>
      </c>
    </row>
    <row r="2112" spans="29:33" x14ac:dyDescent="0.25">
      <c r="AC2112" s="16">
        <v>2108</v>
      </c>
      <c r="AD2112" s="16">
        <f t="shared" si="115"/>
        <v>2483.788806055617</v>
      </c>
      <c r="AE2112" s="16">
        <f t="shared" si="116"/>
        <v>89.723940241382493</v>
      </c>
      <c r="AF2112" s="16">
        <f>'Gearing Calculator'!$C$17*Braking!AD2112</f>
        <v>3725.6832090834255</v>
      </c>
      <c r="AG2112" s="16">
        <f t="shared" si="114"/>
        <v>-13.995804692274326</v>
      </c>
    </row>
    <row r="2113" spans="29:33" x14ac:dyDescent="0.25">
      <c r="AC2113" s="16">
        <v>2109</v>
      </c>
      <c r="AD2113" s="16">
        <f t="shared" si="115"/>
        <v>2484.3174639806912</v>
      </c>
      <c r="AE2113" s="16">
        <f t="shared" si="116"/>
        <v>89.766503780396434</v>
      </c>
      <c r="AF2113" s="16">
        <f>'Gearing Calculator'!$C$17*Braking!AD2113</f>
        <v>3726.4761959710368</v>
      </c>
      <c r="AG2113" s="16">
        <f t="shared" si="114"/>
        <v>-13.998783606202242</v>
      </c>
    </row>
    <row r="2114" spans="29:33" x14ac:dyDescent="0.25">
      <c r="AC2114" s="16">
        <v>2110</v>
      </c>
      <c r="AD2114" s="16">
        <f t="shared" si="115"/>
        <v>2484.8461219057644</v>
      </c>
      <c r="AE2114" s="16">
        <f t="shared" si="116"/>
        <v>89.809067319410374</v>
      </c>
      <c r="AF2114" s="16">
        <f>'Gearing Calculator'!$C$17*Braking!AD2114</f>
        <v>3727.2691828586467</v>
      </c>
      <c r="AG2114" s="16">
        <f t="shared" si="114"/>
        <v>-14.001762520130153</v>
      </c>
    </row>
    <row r="2115" spans="29:33" x14ac:dyDescent="0.25">
      <c r="AC2115" s="16">
        <v>2111</v>
      </c>
      <c r="AD2115" s="16">
        <f t="shared" si="115"/>
        <v>2485.3747798308386</v>
      </c>
      <c r="AE2115" s="16">
        <f t="shared" si="116"/>
        <v>89.851630858424301</v>
      </c>
      <c r="AF2115" s="16">
        <f>'Gearing Calculator'!$C$17*Braking!AD2115</f>
        <v>3728.062169746258</v>
      </c>
      <c r="AG2115" s="16">
        <f t="shared" si="114"/>
        <v>-14.004741434058069</v>
      </c>
    </row>
    <row r="2116" spans="29:33" x14ac:dyDescent="0.25">
      <c r="AC2116" s="16">
        <v>2112</v>
      </c>
      <c r="AD2116" s="16">
        <f t="shared" si="115"/>
        <v>2485.9034377559124</v>
      </c>
      <c r="AE2116" s="16">
        <f t="shared" si="116"/>
        <v>89.894194397438241</v>
      </c>
      <c r="AF2116" s="16">
        <f>'Gearing Calculator'!$C$17*Braking!AD2116</f>
        <v>3728.8551566338683</v>
      </c>
      <c r="AG2116" s="16">
        <f t="shared" si="114"/>
        <v>-14.007720347985982</v>
      </c>
    </row>
    <row r="2117" spans="29:33" x14ac:dyDescent="0.25">
      <c r="AC2117" s="16">
        <v>2113</v>
      </c>
      <c r="AD2117" s="16">
        <f t="shared" si="115"/>
        <v>2486.4320956809861</v>
      </c>
      <c r="AE2117" s="16">
        <f t="shared" si="116"/>
        <v>89.936757936452182</v>
      </c>
      <c r="AF2117" s="16">
        <f>'Gearing Calculator'!$C$17*Braking!AD2117</f>
        <v>3729.6481435214791</v>
      </c>
      <c r="AG2117" s="16">
        <f t="shared" si="114"/>
        <v>-14.010699261913897</v>
      </c>
    </row>
    <row r="2118" spans="29:33" x14ac:dyDescent="0.25">
      <c r="AC2118" s="16">
        <v>2114</v>
      </c>
      <c r="AD2118" s="16">
        <f t="shared" si="115"/>
        <v>2486.9607536060603</v>
      </c>
      <c r="AE2118" s="16">
        <f t="shared" si="116"/>
        <v>89.979321475466122</v>
      </c>
      <c r="AF2118" s="16">
        <f>'Gearing Calculator'!$C$17*Braking!AD2118</f>
        <v>3730.4411304090904</v>
      </c>
      <c r="AG2118" s="16">
        <f t="shared" ref="AG2118:AG2181" si="117">-(AF2118/$C$3)</f>
        <v>-14.013678175841813</v>
      </c>
    </row>
    <row r="2119" spans="29:33" x14ac:dyDescent="0.25">
      <c r="AC2119" s="16">
        <v>2115</v>
      </c>
      <c r="AD2119" s="16">
        <f t="shared" ref="AD2119:AD2182" si="118">($C$3*$C$4)*($C$9/$C$8)+(AC2119*($C$10/$C$8))</f>
        <v>2487.4894115311336</v>
      </c>
      <c r="AE2119" s="16">
        <f t="shared" si="116"/>
        <v>90.021885014480063</v>
      </c>
      <c r="AF2119" s="16">
        <f>'Gearing Calculator'!$C$17*Braking!AD2119</f>
        <v>3731.2341172967003</v>
      </c>
      <c r="AG2119" s="16">
        <f t="shared" si="117"/>
        <v>-14.016657089769724</v>
      </c>
    </row>
    <row r="2120" spans="29:33" x14ac:dyDescent="0.25">
      <c r="AC2120" s="16">
        <v>2116</v>
      </c>
      <c r="AD2120" s="16">
        <f t="shared" si="118"/>
        <v>2488.0180694562077</v>
      </c>
      <c r="AE2120" s="16">
        <f t="shared" si="116"/>
        <v>90.064448553494003</v>
      </c>
      <c r="AF2120" s="16">
        <f>'Gearing Calculator'!$C$17*Braking!AD2120</f>
        <v>3732.0271041843116</v>
      </c>
      <c r="AG2120" s="16">
        <f t="shared" si="117"/>
        <v>-14.01963600369764</v>
      </c>
    </row>
    <row r="2121" spans="29:33" x14ac:dyDescent="0.25">
      <c r="AC2121" s="16">
        <v>2117</v>
      </c>
      <c r="AD2121" s="16">
        <f t="shared" si="118"/>
        <v>2488.5467273812815</v>
      </c>
      <c r="AE2121" s="16">
        <f t="shared" si="116"/>
        <v>90.107012092507944</v>
      </c>
      <c r="AF2121" s="16">
        <f>'Gearing Calculator'!$C$17*Braking!AD2121</f>
        <v>3732.8200910719224</v>
      </c>
      <c r="AG2121" s="16">
        <f t="shared" si="117"/>
        <v>-14.022614917625555</v>
      </c>
    </row>
    <row r="2122" spans="29:33" x14ac:dyDescent="0.25">
      <c r="AC2122" s="16">
        <v>2118</v>
      </c>
      <c r="AD2122" s="16">
        <f t="shared" si="118"/>
        <v>2489.0753853063552</v>
      </c>
      <c r="AE2122" s="16">
        <f t="shared" si="116"/>
        <v>90.14957563152187</v>
      </c>
      <c r="AF2122" s="16">
        <f>'Gearing Calculator'!$C$17*Braking!AD2122</f>
        <v>3733.6130779595328</v>
      </c>
      <c r="AG2122" s="16">
        <f t="shared" si="117"/>
        <v>-14.025593831553467</v>
      </c>
    </row>
    <row r="2123" spans="29:33" x14ac:dyDescent="0.25">
      <c r="AC2123" s="16">
        <v>2119</v>
      </c>
      <c r="AD2123" s="16">
        <f t="shared" si="118"/>
        <v>2489.6040432314294</v>
      </c>
      <c r="AE2123" s="16">
        <f t="shared" si="116"/>
        <v>90.19213917053581</v>
      </c>
      <c r="AF2123" s="16">
        <f>'Gearing Calculator'!$C$17*Braking!AD2123</f>
        <v>3734.4060648471441</v>
      </c>
      <c r="AG2123" s="16">
        <f t="shared" si="117"/>
        <v>-14.028572745481384</v>
      </c>
    </row>
    <row r="2124" spans="29:33" x14ac:dyDescent="0.25">
      <c r="AC2124" s="16">
        <v>2120</v>
      </c>
      <c r="AD2124" s="16">
        <f t="shared" si="118"/>
        <v>2490.1327011565027</v>
      </c>
      <c r="AE2124" s="16">
        <f t="shared" si="116"/>
        <v>90.234702709549751</v>
      </c>
      <c r="AF2124" s="16">
        <f>'Gearing Calculator'!$C$17*Braking!AD2124</f>
        <v>3735.199051734754</v>
      </c>
      <c r="AG2124" s="16">
        <f t="shared" si="117"/>
        <v>-14.031551659409294</v>
      </c>
    </row>
    <row r="2125" spans="29:33" x14ac:dyDescent="0.25">
      <c r="AC2125" s="16">
        <v>2121</v>
      </c>
      <c r="AD2125" s="16">
        <f t="shared" si="118"/>
        <v>2490.6613590815768</v>
      </c>
      <c r="AE2125" s="16">
        <f t="shared" si="116"/>
        <v>90.277266248563691</v>
      </c>
      <c r="AF2125" s="16">
        <f>'Gearing Calculator'!$C$17*Braking!AD2125</f>
        <v>3735.9920386223653</v>
      </c>
      <c r="AG2125" s="16">
        <f t="shared" si="117"/>
        <v>-14.034530573337211</v>
      </c>
    </row>
    <row r="2126" spans="29:33" x14ac:dyDescent="0.25">
      <c r="AC2126" s="16">
        <v>2122</v>
      </c>
      <c r="AD2126" s="16">
        <f t="shared" si="118"/>
        <v>2491.1900170066506</v>
      </c>
      <c r="AE2126" s="16">
        <f t="shared" si="116"/>
        <v>90.319829787577632</v>
      </c>
      <c r="AF2126" s="16">
        <f>'Gearing Calculator'!$C$17*Braking!AD2126</f>
        <v>3736.7850255099756</v>
      </c>
      <c r="AG2126" s="16">
        <f t="shared" si="117"/>
        <v>-14.037509487265122</v>
      </c>
    </row>
    <row r="2127" spans="29:33" x14ac:dyDescent="0.25">
      <c r="AC2127" s="16">
        <v>2123</v>
      </c>
      <c r="AD2127" s="16">
        <f t="shared" si="118"/>
        <v>2491.7186749317243</v>
      </c>
      <c r="AE2127" s="16">
        <f t="shared" si="116"/>
        <v>90.362393326591572</v>
      </c>
      <c r="AF2127" s="16">
        <f>'Gearing Calculator'!$C$17*Braking!AD2127</f>
        <v>3737.5780123975865</v>
      </c>
      <c r="AG2127" s="16">
        <f t="shared" si="117"/>
        <v>-14.040488401193038</v>
      </c>
    </row>
    <row r="2128" spans="29:33" x14ac:dyDescent="0.25">
      <c r="AC2128" s="16">
        <v>2124</v>
      </c>
      <c r="AD2128" s="16">
        <f t="shared" si="118"/>
        <v>2492.2473328567985</v>
      </c>
      <c r="AE2128" s="16">
        <f t="shared" si="116"/>
        <v>90.404956865605513</v>
      </c>
      <c r="AF2128" s="16">
        <f>'Gearing Calculator'!$C$17*Braking!AD2128</f>
        <v>3738.3709992851977</v>
      </c>
      <c r="AG2128" s="16">
        <f t="shared" si="117"/>
        <v>-14.043467315120953</v>
      </c>
    </row>
    <row r="2129" spans="29:33" x14ac:dyDescent="0.25">
      <c r="AC2129" s="16">
        <v>2125</v>
      </c>
      <c r="AD2129" s="16">
        <f t="shared" si="118"/>
        <v>2492.7759907818718</v>
      </c>
      <c r="AE2129" s="16">
        <f t="shared" si="116"/>
        <v>90.447520404619453</v>
      </c>
      <c r="AF2129" s="16">
        <f>'Gearing Calculator'!$C$17*Braking!AD2129</f>
        <v>3739.1639861728077</v>
      </c>
      <c r="AG2129" s="16">
        <f t="shared" si="117"/>
        <v>-14.046446229048865</v>
      </c>
    </row>
    <row r="2130" spans="29:33" x14ac:dyDescent="0.25">
      <c r="AC2130" s="16">
        <v>2126</v>
      </c>
      <c r="AD2130" s="16">
        <f t="shared" si="118"/>
        <v>2493.304648706946</v>
      </c>
      <c r="AE2130" s="16">
        <f t="shared" si="116"/>
        <v>90.49008394363338</v>
      </c>
      <c r="AF2130" s="16">
        <f>'Gearing Calculator'!$C$17*Braking!AD2130</f>
        <v>3739.9569730604189</v>
      </c>
      <c r="AG2130" s="16">
        <f t="shared" si="117"/>
        <v>-14.049425142976782</v>
      </c>
    </row>
    <row r="2131" spans="29:33" x14ac:dyDescent="0.25">
      <c r="AC2131" s="16">
        <v>2127</v>
      </c>
      <c r="AD2131" s="16">
        <f t="shared" si="118"/>
        <v>2493.8333066320197</v>
      </c>
      <c r="AE2131" s="16">
        <f t="shared" si="116"/>
        <v>90.53264748264732</v>
      </c>
      <c r="AF2131" s="16">
        <f>'Gearing Calculator'!$C$17*Braking!AD2131</f>
        <v>3740.7499599480298</v>
      </c>
      <c r="AG2131" s="16">
        <f t="shared" si="117"/>
        <v>-14.052404056904695</v>
      </c>
    </row>
    <row r="2132" spans="29:33" x14ac:dyDescent="0.25">
      <c r="AC2132" s="16">
        <v>2128</v>
      </c>
      <c r="AD2132" s="16">
        <f t="shared" si="118"/>
        <v>2494.3619645570934</v>
      </c>
      <c r="AE2132" s="16">
        <f t="shared" si="116"/>
        <v>90.575211021661261</v>
      </c>
      <c r="AF2132" s="16">
        <f>'Gearing Calculator'!$C$17*Braking!AD2132</f>
        <v>3741.5429468356401</v>
      </c>
      <c r="AG2132" s="16">
        <f t="shared" si="117"/>
        <v>-14.055382970832609</v>
      </c>
    </row>
    <row r="2133" spans="29:33" x14ac:dyDescent="0.25">
      <c r="AC2133" s="16">
        <v>2129</v>
      </c>
      <c r="AD2133" s="16">
        <f t="shared" si="118"/>
        <v>2494.8906224821676</v>
      </c>
      <c r="AE2133" s="16">
        <f t="shared" si="116"/>
        <v>90.617774560675201</v>
      </c>
      <c r="AF2133" s="16">
        <f>'Gearing Calculator'!$C$17*Braking!AD2133</f>
        <v>3742.3359337232514</v>
      </c>
      <c r="AG2133" s="16">
        <f t="shared" si="117"/>
        <v>-14.058361884760524</v>
      </c>
    </row>
    <row r="2134" spans="29:33" x14ac:dyDescent="0.25">
      <c r="AC2134" s="16">
        <v>2130</v>
      </c>
      <c r="AD2134" s="16">
        <f t="shared" si="118"/>
        <v>2495.4192804072409</v>
      </c>
      <c r="AE2134" s="16">
        <f t="shared" si="116"/>
        <v>90.660338099689142</v>
      </c>
      <c r="AF2134" s="16">
        <f>'Gearing Calculator'!$C$17*Braking!AD2134</f>
        <v>3743.1289206108613</v>
      </c>
      <c r="AG2134" s="16">
        <f t="shared" si="117"/>
        <v>-14.061340798688436</v>
      </c>
    </row>
    <row r="2135" spans="29:33" x14ac:dyDescent="0.25">
      <c r="AC2135" s="16">
        <v>2131</v>
      </c>
      <c r="AD2135" s="16">
        <f t="shared" si="118"/>
        <v>2495.9479383323151</v>
      </c>
      <c r="AE2135" s="16">
        <f t="shared" si="116"/>
        <v>90.702901638703082</v>
      </c>
      <c r="AF2135" s="16">
        <f>'Gearing Calculator'!$C$17*Braking!AD2135</f>
        <v>3743.9219074984726</v>
      </c>
      <c r="AG2135" s="16">
        <f t="shared" si="117"/>
        <v>-14.064319712616351</v>
      </c>
    </row>
    <row r="2136" spans="29:33" x14ac:dyDescent="0.25">
      <c r="AC2136" s="16">
        <v>2132</v>
      </c>
      <c r="AD2136" s="16">
        <f t="shared" si="118"/>
        <v>2496.4765962573888</v>
      </c>
      <c r="AE2136" s="16">
        <f t="shared" si="116"/>
        <v>90.745465177717023</v>
      </c>
      <c r="AF2136" s="16">
        <f>'Gearing Calculator'!$C$17*Braking!AD2136</f>
        <v>3744.714894386083</v>
      </c>
      <c r="AG2136" s="16">
        <f t="shared" si="117"/>
        <v>-14.067298626544265</v>
      </c>
    </row>
    <row r="2137" spans="29:33" x14ac:dyDescent="0.25">
      <c r="AC2137" s="16">
        <v>2133</v>
      </c>
      <c r="AD2137" s="16">
        <f t="shared" si="118"/>
        <v>2497.0052541824625</v>
      </c>
      <c r="AE2137" s="16">
        <f t="shared" si="116"/>
        <v>90.788028716730949</v>
      </c>
      <c r="AF2137" s="16">
        <f>'Gearing Calculator'!$C$17*Braking!AD2137</f>
        <v>3745.5078812736938</v>
      </c>
      <c r="AG2137" s="16">
        <f t="shared" si="117"/>
        <v>-14.070277540472178</v>
      </c>
    </row>
    <row r="2138" spans="29:33" x14ac:dyDescent="0.25">
      <c r="AC2138" s="16">
        <v>2134</v>
      </c>
      <c r="AD2138" s="16">
        <f t="shared" si="118"/>
        <v>2497.5339121075367</v>
      </c>
      <c r="AE2138" s="16">
        <f t="shared" si="116"/>
        <v>90.830592255744889</v>
      </c>
      <c r="AF2138" s="16">
        <f>'Gearing Calculator'!$C$17*Braking!AD2138</f>
        <v>3746.3008681613051</v>
      </c>
      <c r="AG2138" s="16">
        <f t="shared" si="117"/>
        <v>-14.073256454400095</v>
      </c>
    </row>
    <row r="2139" spans="29:33" x14ac:dyDescent="0.25">
      <c r="AC2139" s="16">
        <v>2135</v>
      </c>
      <c r="AD2139" s="16">
        <f t="shared" si="118"/>
        <v>2498.06257003261</v>
      </c>
      <c r="AE2139" s="16">
        <f t="shared" si="116"/>
        <v>90.87315579475883</v>
      </c>
      <c r="AF2139" s="16">
        <f>'Gearing Calculator'!$C$17*Braking!AD2139</f>
        <v>3747.093855048915</v>
      </c>
      <c r="AG2139" s="16">
        <f t="shared" si="117"/>
        <v>-14.076235368328005</v>
      </c>
    </row>
    <row r="2140" spans="29:33" x14ac:dyDescent="0.25">
      <c r="AC2140" s="16">
        <v>2136</v>
      </c>
      <c r="AD2140" s="16">
        <f t="shared" si="118"/>
        <v>2498.5912279576842</v>
      </c>
      <c r="AE2140" s="16">
        <f t="shared" si="116"/>
        <v>90.91571933377277</v>
      </c>
      <c r="AF2140" s="16">
        <f>'Gearing Calculator'!$C$17*Braking!AD2140</f>
        <v>3747.8868419365263</v>
      </c>
      <c r="AG2140" s="16">
        <f t="shared" si="117"/>
        <v>-14.079214282255922</v>
      </c>
    </row>
    <row r="2141" spans="29:33" x14ac:dyDescent="0.25">
      <c r="AC2141" s="16">
        <v>2137</v>
      </c>
      <c r="AD2141" s="16">
        <f t="shared" si="118"/>
        <v>2499.1198858827579</v>
      </c>
      <c r="AE2141" s="16">
        <f t="shared" si="116"/>
        <v>90.958282872786711</v>
      </c>
      <c r="AF2141" s="16">
        <f>'Gearing Calculator'!$C$17*Braking!AD2141</f>
        <v>3748.6798288241371</v>
      </c>
      <c r="AG2141" s="16">
        <f t="shared" si="117"/>
        <v>-14.082193196183836</v>
      </c>
    </row>
    <row r="2142" spans="29:33" x14ac:dyDescent="0.25">
      <c r="AC2142" s="16">
        <v>2138</v>
      </c>
      <c r="AD2142" s="16">
        <f t="shared" si="118"/>
        <v>2499.6485438078316</v>
      </c>
      <c r="AE2142" s="16">
        <f t="shared" si="116"/>
        <v>91.000846411800651</v>
      </c>
      <c r="AF2142" s="16">
        <f>'Gearing Calculator'!$C$17*Braking!AD2142</f>
        <v>3749.4728157117474</v>
      </c>
      <c r="AG2142" s="16">
        <f t="shared" si="117"/>
        <v>-14.085172110111749</v>
      </c>
    </row>
    <row r="2143" spans="29:33" x14ac:dyDescent="0.25">
      <c r="AC2143" s="16">
        <v>2139</v>
      </c>
      <c r="AD2143" s="16">
        <f t="shared" si="118"/>
        <v>2500.1772017329058</v>
      </c>
      <c r="AE2143" s="16">
        <f t="shared" si="116"/>
        <v>91.043409950814592</v>
      </c>
      <c r="AF2143" s="16">
        <f>'Gearing Calculator'!$C$17*Braking!AD2143</f>
        <v>3750.2658025993587</v>
      </c>
      <c r="AG2143" s="16">
        <f t="shared" si="117"/>
        <v>-14.088151024039664</v>
      </c>
    </row>
    <row r="2144" spans="29:33" x14ac:dyDescent="0.25">
      <c r="AC2144" s="16">
        <v>2140</v>
      </c>
      <c r="AD2144" s="16">
        <f t="shared" si="118"/>
        <v>2500.7058596579791</v>
      </c>
      <c r="AE2144" s="16">
        <f t="shared" si="116"/>
        <v>91.085973489828532</v>
      </c>
      <c r="AF2144" s="16">
        <f>'Gearing Calculator'!$C$17*Braking!AD2144</f>
        <v>3751.0587894869686</v>
      </c>
      <c r="AG2144" s="16">
        <f t="shared" si="117"/>
        <v>-14.091129937967576</v>
      </c>
    </row>
    <row r="2145" spans="29:33" x14ac:dyDescent="0.25">
      <c r="AC2145" s="16">
        <v>2141</v>
      </c>
      <c r="AD2145" s="16">
        <f t="shared" si="118"/>
        <v>2501.2345175830533</v>
      </c>
      <c r="AE2145" s="16">
        <f t="shared" si="116"/>
        <v>91.128537028842459</v>
      </c>
      <c r="AF2145" s="16">
        <f>'Gearing Calculator'!$C$17*Braking!AD2145</f>
        <v>3751.8517763745799</v>
      </c>
      <c r="AG2145" s="16">
        <f t="shared" si="117"/>
        <v>-14.094108851895493</v>
      </c>
    </row>
    <row r="2146" spans="29:33" x14ac:dyDescent="0.25">
      <c r="AC2146" s="16">
        <v>2142</v>
      </c>
      <c r="AD2146" s="16">
        <f t="shared" si="118"/>
        <v>2501.763175508127</v>
      </c>
      <c r="AE2146" s="16">
        <f t="shared" si="116"/>
        <v>91.171100567856399</v>
      </c>
      <c r="AF2146" s="16">
        <f>'Gearing Calculator'!$C$17*Braking!AD2146</f>
        <v>3752.6447632621903</v>
      </c>
      <c r="AG2146" s="16">
        <f t="shared" si="117"/>
        <v>-14.097087765823405</v>
      </c>
    </row>
    <row r="2147" spans="29:33" x14ac:dyDescent="0.25">
      <c r="AC2147" s="16">
        <v>2143</v>
      </c>
      <c r="AD2147" s="16">
        <f t="shared" si="118"/>
        <v>2502.2918334332007</v>
      </c>
      <c r="AE2147" s="16">
        <f t="shared" si="116"/>
        <v>91.21366410687034</v>
      </c>
      <c r="AF2147" s="16">
        <f>'Gearing Calculator'!$C$17*Braking!AD2147</f>
        <v>3753.4377501498011</v>
      </c>
      <c r="AG2147" s="16">
        <f t="shared" si="117"/>
        <v>-14.10006667975132</v>
      </c>
    </row>
    <row r="2148" spans="29:33" x14ac:dyDescent="0.25">
      <c r="AC2148" s="16">
        <v>2144</v>
      </c>
      <c r="AD2148" s="16">
        <f t="shared" si="118"/>
        <v>2502.8204913582749</v>
      </c>
      <c r="AE2148" s="16">
        <f t="shared" si="116"/>
        <v>91.25622764588428</v>
      </c>
      <c r="AF2148" s="16">
        <f>'Gearing Calculator'!$C$17*Braking!AD2148</f>
        <v>3754.2307370374124</v>
      </c>
      <c r="AG2148" s="16">
        <f t="shared" si="117"/>
        <v>-14.103045593679235</v>
      </c>
    </row>
    <row r="2149" spans="29:33" x14ac:dyDescent="0.25">
      <c r="AC2149" s="16">
        <v>2145</v>
      </c>
      <c r="AD2149" s="16">
        <f t="shared" si="118"/>
        <v>2503.3491492833482</v>
      </c>
      <c r="AE2149" s="16">
        <f t="shared" si="116"/>
        <v>91.298791184898221</v>
      </c>
      <c r="AF2149" s="16">
        <f>'Gearing Calculator'!$C$17*Braking!AD2149</f>
        <v>3755.0237239250223</v>
      </c>
      <c r="AG2149" s="16">
        <f t="shared" si="117"/>
        <v>-14.106024507607147</v>
      </c>
    </row>
    <row r="2150" spans="29:33" x14ac:dyDescent="0.25">
      <c r="AC2150" s="16">
        <v>2146</v>
      </c>
      <c r="AD2150" s="16">
        <f t="shared" si="118"/>
        <v>2503.8778072084224</v>
      </c>
      <c r="AE2150" s="16">
        <f t="shared" si="116"/>
        <v>91.341354723912161</v>
      </c>
      <c r="AF2150" s="16">
        <f>'Gearing Calculator'!$C$17*Braking!AD2150</f>
        <v>3755.8167108126336</v>
      </c>
      <c r="AG2150" s="16">
        <f t="shared" si="117"/>
        <v>-14.109003421535062</v>
      </c>
    </row>
    <row r="2151" spans="29:33" x14ac:dyDescent="0.25">
      <c r="AC2151" s="16">
        <v>2147</v>
      </c>
      <c r="AD2151" s="16">
        <f t="shared" si="118"/>
        <v>2504.4064651334961</v>
      </c>
      <c r="AE2151" s="16">
        <f t="shared" si="116"/>
        <v>91.383918262926102</v>
      </c>
      <c r="AF2151" s="16">
        <f>'Gearing Calculator'!$C$17*Braking!AD2151</f>
        <v>3756.6096977002444</v>
      </c>
      <c r="AG2151" s="16">
        <f t="shared" si="117"/>
        <v>-14.111982335462978</v>
      </c>
    </row>
    <row r="2152" spans="29:33" x14ac:dyDescent="0.25">
      <c r="AC2152" s="16">
        <v>2148</v>
      </c>
      <c r="AD2152" s="16">
        <f t="shared" si="118"/>
        <v>2504.9351230585698</v>
      </c>
      <c r="AE2152" s="16">
        <f t="shared" si="116"/>
        <v>91.426481801940028</v>
      </c>
      <c r="AF2152" s="16">
        <f>'Gearing Calculator'!$C$17*Braking!AD2152</f>
        <v>3757.4026845878548</v>
      </c>
      <c r="AG2152" s="16">
        <f t="shared" si="117"/>
        <v>-14.114961249390889</v>
      </c>
    </row>
    <row r="2153" spans="29:33" x14ac:dyDescent="0.25">
      <c r="AC2153" s="16">
        <v>2149</v>
      </c>
      <c r="AD2153" s="16">
        <f t="shared" si="118"/>
        <v>2505.463780983644</v>
      </c>
      <c r="AE2153" s="16">
        <f t="shared" si="116"/>
        <v>91.469045340953969</v>
      </c>
      <c r="AF2153" s="16">
        <f>'Gearing Calculator'!$C$17*Braking!AD2153</f>
        <v>3758.195671475466</v>
      </c>
      <c r="AG2153" s="16">
        <f t="shared" si="117"/>
        <v>-14.117940163318806</v>
      </c>
    </row>
    <row r="2154" spans="29:33" x14ac:dyDescent="0.25">
      <c r="AC2154" s="16">
        <v>2150</v>
      </c>
      <c r="AD2154" s="16">
        <f t="shared" si="118"/>
        <v>2505.9924389087173</v>
      </c>
      <c r="AE2154" s="16">
        <f t="shared" si="116"/>
        <v>91.511608879967909</v>
      </c>
      <c r="AF2154" s="16">
        <f>'Gearing Calculator'!$C$17*Braking!AD2154</f>
        <v>3758.988658363076</v>
      </c>
      <c r="AG2154" s="16">
        <f t="shared" si="117"/>
        <v>-14.120919077246716</v>
      </c>
    </row>
    <row r="2155" spans="29:33" x14ac:dyDescent="0.25">
      <c r="AC2155" s="16">
        <v>2151</v>
      </c>
      <c r="AD2155" s="16">
        <f t="shared" si="118"/>
        <v>2506.5210968337915</v>
      </c>
      <c r="AE2155" s="16">
        <f t="shared" si="116"/>
        <v>91.55417241898185</v>
      </c>
      <c r="AF2155" s="16">
        <f>'Gearing Calculator'!$C$17*Braking!AD2155</f>
        <v>3759.7816452506872</v>
      </c>
      <c r="AG2155" s="16">
        <f t="shared" si="117"/>
        <v>-14.123897991174633</v>
      </c>
    </row>
    <row r="2156" spans="29:33" x14ac:dyDescent="0.25">
      <c r="AC2156" s="16">
        <v>2152</v>
      </c>
      <c r="AD2156" s="16">
        <f t="shared" si="118"/>
        <v>2507.0497547588652</v>
      </c>
      <c r="AE2156" s="16">
        <f t="shared" si="116"/>
        <v>91.59673595799579</v>
      </c>
      <c r="AF2156" s="16">
        <f>'Gearing Calculator'!$C$17*Braking!AD2156</f>
        <v>3760.5746321382976</v>
      </c>
      <c r="AG2156" s="16">
        <f t="shared" si="117"/>
        <v>-14.126876905102547</v>
      </c>
    </row>
    <row r="2157" spans="29:33" x14ac:dyDescent="0.25">
      <c r="AC2157" s="16">
        <v>2153</v>
      </c>
      <c r="AD2157" s="16">
        <f t="shared" si="118"/>
        <v>2507.578412683939</v>
      </c>
      <c r="AE2157" s="16">
        <f t="shared" si="116"/>
        <v>91.639299497009731</v>
      </c>
      <c r="AF2157" s="16">
        <f>'Gearing Calculator'!$C$17*Braking!AD2157</f>
        <v>3761.3676190259084</v>
      </c>
      <c r="AG2157" s="16">
        <f t="shared" si="117"/>
        <v>-14.12985581903046</v>
      </c>
    </row>
    <row r="2158" spans="29:33" x14ac:dyDescent="0.25">
      <c r="AC2158" s="16">
        <v>2154</v>
      </c>
      <c r="AD2158" s="16">
        <f t="shared" si="118"/>
        <v>2508.1070706090131</v>
      </c>
      <c r="AE2158" s="16">
        <f t="shared" si="116"/>
        <v>91.681863036023671</v>
      </c>
      <c r="AF2158" s="16">
        <f>'Gearing Calculator'!$C$17*Braking!AD2158</f>
        <v>3762.1606059135197</v>
      </c>
      <c r="AG2158" s="16">
        <f t="shared" si="117"/>
        <v>-14.132834732958377</v>
      </c>
    </row>
    <row r="2159" spans="29:33" x14ac:dyDescent="0.25">
      <c r="AC2159" s="16">
        <v>2155</v>
      </c>
      <c r="AD2159" s="16">
        <f t="shared" si="118"/>
        <v>2508.6357285340864</v>
      </c>
      <c r="AE2159" s="16">
        <f t="shared" si="116"/>
        <v>91.724426575037612</v>
      </c>
      <c r="AF2159" s="16">
        <f>'Gearing Calculator'!$C$17*Braking!AD2159</f>
        <v>3762.9535928011296</v>
      </c>
      <c r="AG2159" s="16">
        <f t="shared" si="117"/>
        <v>-14.135813646886287</v>
      </c>
    </row>
    <row r="2160" spans="29:33" x14ac:dyDescent="0.25">
      <c r="AC2160" s="16">
        <v>2156</v>
      </c>
      <c r="AD2160" s="16">
        <f t="shared" si="118"/>
        <v>2509.1643864591606</v>
      </c>
      <c r="AE2160" s="16">
        <f t="shared" si="116"/>
        <v>91.766990114051538</v>
      </c>
      <c r="AF2160" s="16">
        <f>'Gearing Calculator'!$C$17*Braking!AD2160</f>
        <v>3763.7465796887409</v>
      </c>
      <c r="AG2160" s="16">
        <f t="shared" si="117"/>
        <v>-14.138792560814204</v>
      </c>
    </row>
    <row r="2161" spans="29:33" x14ac:dyDescent="0.25">
      <c r="AC2161" s="16">
        <v>2157</v>
      </c>
      <c r="AD2161" s="16">
        <f t="shared" si="118"/>
        <v>2509.6930443842343</v>
      </c>
      <c r="AE2161" s="16">
        <f t="shared" si="116"/>
        <v>91.809553653065478</v>
      </c>
      <c r="AF2161" s="16">
        <f>'Gearing Calculator'!$C$17*Braking!AD2161</f>
        <v>3764.5395665763517</v>
      </c>
      <c r="AG2161" s="16">
        <f t="shared" si="117"/>
        <v>-14.141771474742118</v>
      </c>
    </row>
    <row r="2162" spans="29:33" x14ac:dyDescent="0.25">
      <c r="AC2162" s="16">
        <v>2158</v>
      </c>
      <c r="AD2162" s="16">
        <f t="shared" si="118"/>
        <v>2510.2217023093081</v>
      </c>
      <c r="AE2162" s="16">
        <f t="shared" si="116"/>
        <v>91.852117192079419</v>
      </c>
      <c r="AF2162" s="16">
        <f>'Gearing Calculator'!$C$17*Braking!AD2162</f>
        <v>3765.3325534639621</v>
      </c>
      <c r="AG2162" s="16">
        <f t="shared" si="117"/>
        <v>-14.144750388670031</v>
      </c>
    </row>
    <row r="2163" spans="29:33" x14ac:dyDescent="0.25">
      <c r="AC2163" s="16">
        <v>2159</v>
      </c>
      <c r="AD2163" s="16">
        <f t="shared" si="118"/>
        <v>2510.7503602343822</v>
      </c>
      <c r="AE2163" s="16">
        <f t="shared" si="116"/>
        <v>91.894680731093359</v>
      </c>
      <c r="AF2163" s="16">
        <f>'Gearing Calculator'!$C$17*Braking!AD2163</f>
        <v>3766.1255403515734</v>
      </c>
      <c r="AG2163" s="16">
        <f t="shared" si="117"/>
        <v>-14.147729302597947</v>
      </c>
    </row>
    <row r="2164" spans="29:33" x14ac:dyDescent="0.25">
      <c r="AC2164" s="16">
        <v>2160</v>
      </c>
      <c r="AD2164" s="16">
        <f t="shared" si="118"/>
        <v>2511.2790181594555</v>
      </c>
      <c r="AE2164" s="16">
        <f t="shared" si="116"/>
        <v>91.9372442701073</v>
      </c>
      <c r="AF2164" s="16">
        <f>'Gearing Calculator'!$C$17*Braking!AD2164</f>
        <v>3766.9185272391833</v>
      </c>
      <c r="AG2164" s="16">
        <f t="shared" si="117"/>
        <v>-14.150708216525858</v>
      </c>
    </row>
    <row r="2165" spans="29:33" x14ac:dyDescent="0.25">
      <c r="AC2165" s="16">
        <v>2161</v>
      </c>
      <c r="AD2165" s="16">
        <f t="shared" si="118"/>
        <v>2511.8076760845297</v>
      </c>
      <c r="AE2165" s="16">
        <f t="shared" si="116"/>
        <v>91.97980780912124</v>
      </c>
      <c r="AF2165" s="16">
        <f>'Gearing Calculator'!$C$17*Braking!AD2165</f>
        <v>3767.7115141267946</v>
      </c>
      <c r="AG2165" s="16">
        <f t="shared" si="117"/>
        <v>-14.153687130453774</v>
      </c>
    </row>
    <row r="2166" spans="29:33" x14ac:dyDescent="0.25">
      <c r="AC2166" s="16">
        <v>2162</v>
      </c>
      <c r="AD2166" s="16">
        <f t="shared" si="118"/>
        <v>2512.3363340096034</v>
      </c>
      <c r="AE2166" s="16">
        <f t="shared" si="116"/>
        <v>92.022371348135181</v>
      </c>
      <c r="AF2166" s="16">
        <f>'Gearing Calculator'!$C$17*Braking!AD2166</f>
        <v>3768.5045010144049</v>
      </c>
      <c r="AG2166" s="16">
        <f t="shared" si="117"/>
        <v>-14.156666044381687</v>
      </c>
    </row>
    <row r="2167" spans="29:33" x14ac:dyDescent="0.25">
      <c r="AC2167" s="16">
        <v>2163</v>
      </c>
      <c r="AD2167" s="16">
        <f t="shared" si="118"/>
        <v>2512.8649919346772</v>
      </c>
      <c r="AE2167" s="16">
        <f t="shared" si="116"/>
        <v>92.064934887149107</v>
      </c>
      <c r="AF2167" s="16">
        <f>'Gearing Calculator'!$C$17*Braking!AD2167</f>
        <v>3769.2974879020157</v>
      </c>
      <c r="AG2167" s="16">
        <f t="shared" si="117"/>
        <v>-14.159644958309601</v>
      </c>
    </row>
    <row r="2168" spans="29:33" x14ac:dyDescent="0.25">
      <c r="AC2168" s="16">
        <v>2164</v>
      </c>
      <c r="AD2168" s="16">
        <f t="shared" si="118"/>
        <v>2513.3936498597513</v>
      </c>
      <c r="AE2168" s="16">
        <f t="shared" si="116"/>
        <v>92.107498426163048</v>
      </c>
      <c r="AF2168" s="16">
        <f>'Gearing Calculator'!$C$17*Braking!AD2168</f>
        <v>3770.090474789627</v>
      </c>
      <c r="AG2168" s="16">
        <f t="shared" si="117"/>
        <v>-14.162623872237518</v>
      </c>
    </row>
    <row r="2169" spans="29:33" x14ac:dyDescent="0.25">
      <c r="AC2169" s="16">
        <v>2165</v>
      </c>
      <c r="AD2169" s="16">
        <f t="shared" si="118"/>
        <v>2513.9223077848246</v>
      </c>
      <c r="AE2169" s="16">
        <f t="shared" si="116"/>
        <v>92.150061965176988</v>
      </c>
      <c r="AF2169" s="16">
        <f>'Gearing Calculator'!$C$17*Braking!AD2169</f>
        <v>3770.8834616772369</v>
      </c>
      <c r="AG2169" s="16">
        <f t="shared" si="117"/>
        <v>-14.165602786165429</v>
      </c>
    </row>
    <row r="2170" spans="29:33" x14ac:dyDescent="0.25">
      <c r="AC2170" s="16">
        <v>2166</v>
      </c>
      <c r="AD2170" s="16">
        <f t="shared" si="118"/>
        <v>2514.4509657098988</v>
      </c>
      <c r="AE2170" s="16">
        <f t="shared" si="116"/>
        <v>92.192625504190929</v>
      </c>
      <c r="AF2170" s="16">
        <f>'Gearing Calculator'!$C$17*Braking!AD2170</f>
        <v>3771.6764485648482</v>
      </c>
      <c r="AG2170" s="16">
        <f t="shared" si="117"/>
        <v>-14.168581700093345</v>
      </c>
    </row>
    <row r="2171" spans="29:33" x14ac:dyDescent="0.25">
      <c r="AC2171" s="16">
        <v>2167</v>
      </c>
      <c r="AD2171" s="16">
        <f t="shared" si="118"/>
        <v>2514.9796236349725</v>
      </c>
      <c r="AE2171" s="16">
        <f t="shared" si="116"/>
        <v>92.235189043204869</v>
      </c>
      <c r="AF2171" s="16">
        <f>'Gearing Calculator'!$C$17*Braking!AD2171</f>
        <v>3772.469435452459</v>
      </c>
      <c r="AG2171" s="16">
        <f t="shared" si="117"/>
        <v>-14.17156061402126</v>
      </c>
    </row>
    <row r="2172" spans="29:33" x14ac:dyDescent="0.25">
      <c r="AC2172" s="16">
        <v>2168</v>
      </c>
      <c r="AD2172" s="16">
        <f t="shared" si="118"/>
        <v>2515.5082815600463</v>
      </c>
      <c r="AE2172" s="16">
        <f t="shared" si="116"/>
        <v>92.27775258221881</v>
      </c>
      <c r="AF2172" s="16">
        <f>'Gearing Calculator'!$C$17*Braking!AD2172</f>
        <v>3773.2624223400694</v>
      </c>
      <c r="AG2172" s="16">
        <f t="shared" si="117"/>
        <v>-14.174539527949172</v>
      </c>
    </row>
    <row r="2173" spans="29:33" x14ac:dyDescent="0.25">
      <c r="AC2173" s="16">
        <v>2169</v>
      </c>
      <c r="AD2173" s="16">
        <f t="shared" si="118"/>
        <v>2516.0369394851205</v>
      </c>
      <c r="AE2173" s="16">
        <f t="shared" si="116"/>
        <v>92.32031612123275</v>
      </c>
      <c r="AF2173" s="16">
        <f>'Gearing Calculator'!$C$17*Braking!AD2173</f>
        <v>3774.0554092276807</v>
      </c>
      <c r="AG2173" s="16">
        <f t="shared" si="117"/>
        <v>-14.177518441877089</v>
      </c>
    </row>
    <row r="2174" spans="29:33" x14ac:dyDescent="0.25">
      <c r="AC2174" s="16">
        <v>2170</v>
      </c>
      <c r="AD2174" s="16">
        <f t="shared" si="118"/>
        <v>2516.5655974101937</v>
      </c>
      <c r="AE2174" s="16">
        <f t="shared" si="116"/>
        <v>92.362879660246691</v>
      </c>
      <c r="AF2174" s="16">
        <f>'Gearing Calculator'!$C$17*Braking!AD2174</f>
        <v>3774.8483961152906</v>
      </c>
      <c r="AG2174" s="16">
        <f t="shared" si="117"/>
        <v>-14.180497355804999</v>
      </c>
    </row>
    <row r="2175" spans="29:33" x14ac:dyDescent="0.25">
      <c r="AC2175" s="16">
        <v>2171</v>
      </c>
      <c r="AD2175" s="16">
        <f t="shared" si="118"/>
        <v>2517.0942553352679</v>
      </c>
      <c r="AE2175" s="16">
        <f t="shared" ref="AE2175:AE2238" si="119">(AC2175/$X$104)*100</f>
        <v>92.405443199260617</v>
      </c>
      <c r="AF2175" s="16">
        <f>'Gearing Calculator'!$C$17*Braking!AD2175</f>
        <v>3775.6413830029019</v>
      </c>
      <c r="AG2175" s="16">
        <f t="shared" si="117"/>
        <v>-14.183476269732916</v>
      </c>
    </row>
    <row r="2176" spans="29:33" x14ac:dyDescent="0.25">
      <c r="AC2176" s="16">
        <v>2172</v>
      </c>
      <c r="AD2176" s="16">
        <f t="shared" si="118"/>
        <v>2517.6229132603416</v>
      </c>
      <c r="AE2176" s="16">
        <f t="shared" si="119"/>
        <v>92.448006738274557</v>
      </c>
      <c r="AF2176" s="16">
        <f>'Gearing Calculator'!$C$17*Braking!AD2176</f>
        <v>3776.4343698905122</v>
      </c>
      <c r="AG2176" s="16">
        <f t="shared" si="117"/>
        <v>-14.186455183660827</v>
      </c>
    </row>
    <row r="2177" spans="29:33" x14ac:dyDescent="0.25">
      <c r="AC2177" s="16">
        <v>2173</v>
      </c>
      <c r="AD2177" s="16">
        <f t="shared" si="118"/>
        <v>2518.1515711854154</v>
      </c>
      <c r="AE2177" s="16">
        <f t="shared" si="119"/>
        <v>92.490570277288498</v>
      </c>
      <c r="AF2177" s="16">
        <f>'Gearing Calculator'!$C$17*Braking!AD2177</f>
        <v>3777.2273567781231</v>
      </c>
      <c r="AG2177" s="16">
        <f t="shared" si="117"/>
        <v>-14.189434097588743</v>
      </c>
    </row>
    <row r="2178" spans="29:33" x14ac:dyDescent="0.25">
      <c r="AC2178" s="16">
        <v>2174</v>
      </c>
      <c r="AD2178" s="16">
        <f t="shared" si="118"/>
        <v>2518.6802291104896</v>
      </c>
      <c r="AE2178" s="16">
        <f t="shared" si="119"/>
        <v>92.533133816302438</v>
      </c>
      <c r="AF2178" s="16">
        <f>'Gearing Calculator'!$C$17*Braking!AD2178</f>
        <v>3778.0203436657343</v>
      </c>
      <c r="AG2178" s="16">
        <f t="shared" si="117"/>
        <v>-14.192413011516658</v>
      </c>
    </row>
    <row r="2179" spans="29:33" x14ac:dyDescent="0.25">
      <c r="AC2179" s="16">
        <v>2175</v>
      </c>
      <c r="AD2179" s="16">
        <f t="shared" si="118"/>
        <v>2519.2088870355628</v>
      </c>
      <c r="AE2179" s="16">
        <f t="shared" si="119"/>
        <v>92.575697355316379</v>
      </c>
      <c r="AF2179" s="16">
        <f>'Gearing Calculator'!$C$17*Braking!AD2179</f>
        <v>3778.8133305533443</v>
      </c>
      <c r="AG2179" s="16">
        <f t="shared" si="117"/>
        <v>-14.19539192544457</v>
      </c>
    </row>
    <row r="2180" spans="29:33" x14ac:dyDescent="0.25">
      <c r="AC2180" s="16">
        <v>2176</v>
      </c>
      <c r="AD2180" s="16">
        <f t="shared" si="118"/>
        <v>2519.737544960637</v>
      </c>
      <c r="AE2180" s="16">
        <f t="shared" si="119"/>
        <v>92.618260894330319</v>
      </c>
      <c r="AF2180" s="16">
        <f>'Gearing Calculator'!$C$17*Braking!AD2180</f>
        <v>3779.6063174409555</v>
      </c>
      <c r="AG2180" s="16">
        <f t="shared" si="117"/>
        <v>-14.198370839372485</v>
      </c>
    </row>
    <row r="2181" spans="29:33" x14ac:dyDescent="0.25">
      <c r="AC2181" s="16">
        <v>2177</v>
      </c>
      <c r="AD2181" s="16">
        <f t="shared" si="118"/>
        <v>2520.2662028857108</v>
      </c>
      <c r="AE2181" s="16">
        <f t="shared" si="119"/>
        <v>92.66082443334426</v>
      </c>
      <c r="AF2181" s="16">
        <f>'Gearing Calculator'!$C$17*Braking!AD2181</f>
        <v>3780.3993043285664</v>
      </c>
      <c r="AG2181" s="16">
        <f t="shared" si="117"/>
        <v>-14.2013497533004</v>
      </c>
    </row>
    <row r="2182" spans="29:33" x14ac:dyDescent="0.25">
      <c r="AC2182" s="16">
        <v>2178</v>
      </c>
      <c r="AD2182" s="16">
        <f t="shared" si="118"/>
        <v>2520.7948608107845</v>
      </c>
      <c r="AE2182" s="16">
        <f t="shared" si="119"/>
        <v>92.703387972358186</v>
      </c>
      <c r="AF2182" s="16">
        <f>'Gearing Calculator'!$C$17*Braking!AD2182</f>
        <v>3781.1922912161767</v>
      </c>
      <c r="AG2182" s="16">
        <f t="shared" ref="AG2182:AG2245" si="120">-(AF2182/$C$3)</f>
        <v>-14.204328667228312</v>
      </c>
    </row>
    <row r="2183" spans="29:33" x14ac:dyDescent="0.25">
      <c r="AC2183" s="16">
        <v>2179</v>
      </c>
      <c r="AD2183" s="16">
        <f t="shared" ref="AD2183:AD2246" si="121">($C$3*$C$4)*($C$9/$C$8)+(AC2183*($C$10/$C$8))</f>
        <v>2521.3235187358587</v>
      </c>
      <c r="AE2183" s="16">
        <f t="shared" si="119"/>
        <v>92.745951511372127</v>
      </c>
      <c r="AF2183" s="16">
        <f>'Gearing Calculator'!$C$17*Braking!AD2183</f>
        <v>3781.985278103788</v>
      </c>
      <c r="AG2183" s="16">
        <f t="shared" si="120"/>
        <v>-14.207307581156229</v>
      </c>
    </row>
    <row r="2184" spans="29:33" x14ac:dyDescent="0.25">
      <c r="AC2184" s="16">
        <v>2180</v>
      </c>
      <c r="AD2184" s="16">
        <f t="shared" si="121"/>
        <v>2521.8521766609319</v>
      </c>
      <c r="AE2184" s="16">
        <f t="shared" si="119"/>
        <v>92.788515050386067</v>
      </c>
      <c r="AF2184" s="16">
        <f>'Gearing Calculator'!$C$17*Braking!AD2184</f>
        <v>3782.7782649913979</v>
      </c>
      <c r="AG2184" s="16">
        <f t="shared" si="120"/>
        <v>-14.210286495084141</v>
      </c>
    </row>
    <row r="2185" spans="29:33" x14ac:dyDescent="0.25">
      <c r="AC2185" s="16">
        <v>2181</v>
      </c>
      <c r="AD2185" s="16">
        <f t="shared" si="121"/>
        <v>2522.3808345860061</v>
      </c>
      <c r="AE2185" s="16">
        <f t="shared" si="119"/>
        <v>92.831078589400008</v>
      </c>
      <c r="AF2185" s="16">
        <f>'Gearing Calculator'!$C$17*Braking!AD2185</f>
        <v>3783.5712518790092</v>
      </c>
      <c r="AG2185" s="16">
        <f t="shared" si="120"/>
        <v>-14.213265409012056</v>
      </c>
    </row>
    <row r="2186" spans="29:33" x14ac:dyDescent="0.25">
      <c r="AC2186" s="16">
        <v>2182</v>
      </c>
      <c r="AD2186" s="16">
        <f t="shared" si="121"/>
        <v>2522.9094925110799</v>
      </c>
      <c r="AE2186" s="16">
        <f t="shared" si="119"/>
        <v>92.873642128413948</v>
      </c>
      <c r="AF2186" s="16">
        <f>'Gearing Calculator'!$C$17*Braking!AD2186</f>
        <v>3784.3642387666196</v>
      </c>
      <c r="AG2186" s="16">
        <f t="shared" si="120"/>
        <v>-14.21624432293997</v>
      </c>
    </row>
    <row r="2187" spans="29:33" x14ac:dyDescent="0.25">
      <c r="AC2187" s="16">
        <v>2183</v>
      </c>
      <c r="AD2187" s="16">
        <f t="shared" si="121"/>
        <v>2523.4381504361536</v>
      </c>
      <c r="AE2187" s="16">
        <f t="shared" si="119"/>
        <v>92.916205667427889</v>
      </c>
      <c r="AF2187" s="16">
        <f>'Gearing Calculator'!$C$17*Braking!AD2187</f>
        <v>3785.1572256542304</v>
      </c>
      <c r="AG2187" s="16">
        <f t="shared" si="120"/>
        <v>-14.219223236867883</v>
      </c>
    </row>
    <row r="2188" spans="29:33" x14ac:dyDescent="0.25">
      <c r="AC2188" s="16">
        <v>2184</v>
      </c>
      <c r="AD2188" s="16">
        <f t="shared" si="121"/>
        <v>2523.9668083612278</v>
      </c>
      <c r="AE2188" s="16">
        <f t="shared" si="119"/>
        <v>92.958769206441829</v>
      </c>
      <c r="AF2188" s="16">
        <f>'Gearing Calculator'!$C$17*Braking!AD2188</f>
        <v>3785.9502125418417</v>
      </c>
      <c r="AG2188" s="16">
        <f t="shared" si="120"/>
        <v>-14.2222021507958</v>
      </c>
    </row>
    <row r="2189" spans="29:33" x14ac:dyDescent="0.25">
      <c r="AC2189" s="16">
        <v>2185</v>
      </c>
      <c r="AD2189" s="16">
        <f t="shared" si="121"/>
        <v>2524.4954662863011</v>
      </c>
      <c r="AE2189" s="16">
        <f t="shared" si="119"/>
        <v>93.001332745455755</v>
      </c>
      <c r="AF2189" s="16">
        <f>'Gearing Calculator'!$C$17*Braking!AD2189</f>
        <v>3786.7431994294516</v>
      </c>
      <c r="AG2189" s="16">
        <f t="shared" si="120"/>
        <v>-14.22518106472371</v>
      </c>
    </row>
    <row r="2190" spans="29:33" x14ac:dyDescent="0.25">
      <c r="AC2190" s="16">
        <v>2186</v>
      </c>
      <c r="AD2190" s="16">
        <f t="shared" si="121"/>
        <v>2525.0241242113752</v>
      </c>
      <c r="AE2190" s="16">
        <f t="shared" si="119"/>
        <v>93.043896284469696</v>
      </c>
      <c r="AF2190" s="16">
        <f>'Gearing Calculator'!$C$17*Braking!AD2190</f>
        <v>3787.5361863170629</v>
      </c>
      <c r="AG2190" s="16">
        <f t="shared" si="120"/>
        <v>-14.228159978651627</v>
      </c>
    </row>
    <row r="2191" spans="29:33" x14ac:dyDescent="0.25">
      <c r="AC2191" s="16">
        <v>2187</v>
      </c>
      <c r="AD2191" s="16">
        <f t="shared" si="121"/>
        <v>2525.552782136449</v>
      </c>
      <c r="AE2191" s="16">
        <f t="shared" si="119"/>
        <v>93.086459823483636</v>
      </c>
      <c r="AF2191" s="16">
        <f>'Gearing Calculator'!$C$17*Braking!AD2191</f>
        <v>3788.3291732046737</v>
      </c>
      <c r="AG2191" s="16">
        <f t="shared" si="120"/>
        <v>-14.231138892579541</v>
      </c>
    </row>
    <row r="2192" spans="29:33" x14ac:dyDescent="0.25">
      <c r="AC2192" s="16">
        <v>2188</v>
      </c>
      <c r="AD2192" s="16">
        <f t="shared" si="121"/>
        <v>2526.0814400615227</v>
      </c>
      <c r="AE2192" s="16">
        <f t="shared" si="119"/>
        <v>93.129023362497577</v>
      </c>
      <c r="AF2192" s="16">
        <f>'Gearing Calculator'!$C$17*Braking!AD2192</f>
        <v>3789.122160092284</v>
      </c>
      <c r="AG2192" s="16">
        <f t="shared" si="120"/>
        <v>-14.234117806507454</v>
      </c>
    </row>
    <row r="2193" spans="29:33" x14ac:dyDescent="0.25">
      <c r="AC2193" s="16">
        <v>2189</v>
      </c>
      <c r="AD2193" s="16">
        <f t="shared" si="121"/>
        <v>2526.6100979865969</v>
      </c>
      <c r="AE2193" s="16">
        <f t="shared" si="119"/>
        <v>93.171586901511517</v>
      </c>
      <c r="AF2193" s="16">
        <f>'Gearing Calculator'!$C$17*Braking!AD2193</f>
        <v>3789.9151469798953</v>
      </c>
      <c r="AG2193" s="16">
        <f t="shared" si="120"/>
        <v>-14.237096720435369</v>
      </c>
    </row>
    <row r="2194" spans="29:33" x14ac:dyDescent="0.25">
      <c r="AC2194" s="16">
        <v>2190</v>
      </c>
      <c r="AD2194" s="16">
        <f t="shared" si="121"/>
        <v>2527.1387559116702</v>
      </c>
      <c r="AE2194" s="16">
        <f t="shared" si="119"/>
        <v>93.214150440525458</v>
      </c>
      <c r="AF2194" s="16">
        <f>'Gearing Calculator'!$C$17*Braking!AD2194</f>
        <v>3790.7081338675052</v>
      </c>
      <c r="AG2194" s="16">
        <f t="shared" si="120"/>
        <v>-14.240075634363281</v>
      </c>
    </row>
    <row r="2195" spans="29:33" x14ac:dyDescent="0.25">
      <c r="AC2195" s="16">
        <v>2191</v>
      </c>
      <c r="AD2195" s="16">
        <f t="shared" si="121"/>
        <v>2527.6674138367443</v>
      </c>
      <c r="AE2195" s="16">
        <f t="shared" si="119"/>
        <v>93.256713979539398</v>
      </c>
      <c r="AF2195" s="16">
        <f>'Gearing Calculator'!$C$17*Braking!AD2195</f>
        <v>3791.5011207551165</v>
      </c>
      <c r="AG2195" s="16">
        <f t="shared" si="120"/>
        <v>-14.243054548291196</v>
      </c>
    </row>
    <row r="2196" spans="29:33" x14ac:dyDescent="0.25">
      <c r="AC2196" s="16">
        <v>2192</v>
      </c>
      <c r="AD2196" s="16">
        <f t="shared" si="121"/>
        <v>2528.1960717618181</v>
      </c>
      <c r="AE2196" s="16">
        <f t="shared" si="119"/>
        <v>93.299277518553339</v>
      </c>
      <c r="AF2196" s="16">
        <f>'Gearing Calculator'!$C$17*Braking!AD2196</f>
        <v>3792.2941076427269</v>
      </c>
      <c r="AG2196" s="16">
        <f t="shared" si="120"/>
        <v>-14.24603346221911</v>
      </c>
    </row>
    <row r="2197" spans="29:33" x14ac:dyDescent="0.25">
      <c r="AC2197" s="16">
        <v>2193</v>
      </c>
      <c r="AD2197" s="16">
        <f t="shared" si="121"/>
        <v>2528.7247296868918</v>
      </c>
      <c r="AE2197" s="16">
        <f t="shared" si="119"/>
        <v>93.341841057567265</v>
      </c>
      <c r="AF2197" s="16">
        <f>'Gearing Calculator'!$C$17*Braking!AD2197</f>
        <v>3793.0870945303377</v>
      </c>
      <c r="AG2197" s="16">
        <f t="shared" si="120"/>
        <v>-14.249012376147025</v>
      </c>
    </row>
    <row r="2198" spans="29:33" x14ac:dyDescent="0.25">
      <c r="AC2198" s="16">
        <v>2194</v>
      </c>
      <c r="AD2198" s="16">
        <f t="shared" si="121"/>
        <v>2529.253387611966</v>
      </c>
      <c r="AE2198" s="16">
        <f t="shared" si="119"/>
        <v>93.384404596581206</v>
      </c>
      <c r="AF2198" s="16">
        <f>'Gearing Calculator'!$C$17*Braking!AD2198</f>
        <v>3793.880081417949</v>
      </c>
      <c r="AG2198" s="16">
        <f t="shared" si="120"/>
        <v>-14.25199129007494</v>
      </c>
    </row>
    <row r="2199" spans="29:33" x14ac:dyDescent="0.25">
      <c r="AC2199" s="16">
        <v>2195</v>
      </c>
      <c r="AD2199" s="16">
        <f t="shared" si="121"/>
        <v>2529.7820455370393</v>
      </c>
      <c r="AE2199" s="16">
        <f t="shared" si="119"/>
        <v>93.426968135595146</v>
      </c>
      <c r="AF2199" s="16">
        <f>'Gearing Calculator'!$C$17*Braking!AD2199</f>
        <v>3794.6730683055589</v>
      </c>
      <c r="AG2199" s="16">
        <f t="shared" si="120"/>
        <v>-14.254970204002852</v>
      </c>
    </row>
    <row r="2200" spans="29:33" x14ac:dyDescent="0.25">
      <c r="AC2200" s="16">
        <v>2196</v>
      </c>
      <c r="AD2200" s="16">
        <f t="shared" si="121"/>
        <v>2530.3107034621135</v>
      </c>
      <c r="AE2200" s="16">
        <f t="shared" si="119"/>
        <v>93.469531674609087</v>
      </c>
      <c r="AF2200" s="16">
        <f>'Gearing Calculator'!$C$17*Braking!AD2200</f>
        <v>3795.4660551931702</v>
      </c>
      <c r="AG2200" s="16">
        <f t="shared" si="120"/>
        <v>-14.257949117930767</v>
      </c>
    </row>
    <row r="2201" spans="29:33" x14ac:dyDescent="0.25">
      <c r="AC2201" s="16">
        <v>2197</v>
      </c>
      <c r="AD2201" s="16">
        <f t="shared" si="121"/>
        <v>2530.8393613871872</v>
      </c>
      <c r="AE2201" s="16">
        <f t="shared" si="119"/>
        <v>93.512095213623027</v>
      </c>
      <c r="AF2201" s="16">
        <f>'Gearing Calculator'!$C$17*Braking!AD2201</f>
        <v>3796.259042080781</v>
      </c>
      <c r="AG2201" s="16">
        <f t="shared" si="120"/>
        <v>-14.260928031858683</v>
      </c>
    </row>
    <row r="2202" spans="29:33" x14ac:dyDescent="0.25">
      <c r="AC2202" s="16">
        <v>2198</v>
      </c>
      <c r="AD2202" s="16">
        <f t="shared" si="121"/>
        <v>2531.3680193122609</v>
      </c>
      <c r="AE2202" s="16">
        <f t="shared" si="119"/>
        <v>93.554658752636968</v>
      </c>
      <c r="AF2202" s="16">
        <f>'Gearing Calculator'!$C$17*Braking!AD2202</f>
        <v>3797.0520289683914</v>
      </c>
      <c r="AG2202" s="16">
        <f t="shared" si="120"/>
        <v>-14.263906945786594</v>
      </c>
    </row>
    <row r="2203" spans="29:33" x14ac:dyDescent="0.25">
      <c r="AC2203" s="16">
        <v>2199</v>
      </c>
      <c r="AD2203" s="16">
        <f t="shared" si="121"/>
        <v>2531.8966772373351</v>
      </c>
      <c r="AE2203" s="16">
        <f t="shared" si="119"/>
        <v>93.597222291650908</v>
      </c>
      <c r="AF2203" s="16">
        <f>'Gearing Calculator'!$C$17*Braking!AD2203</f>
        <v>3797.8450158560026</v>
      </c>
      <c r="AG2203" s="16">
        <f t="shared" si="120"/>
        <v>-14.266885859714511</v>
      </c>
    </row>
    <row r="2204" spans="29:33" x14ac:dyDescent="0.25">
      <c r="AC2204" s="16">
        <v>2200</v>
      </c>
      <c r="AD2204" s="16">
        <f t="shared" si="121"/>
        <v>2532.4253351624084</v>
      </c>
      <c r="AE2204" s="16">
        <f t="shared" si="119"/>
        <v>93.639785830664835</v>
      </c>
      <c r="AF2204" s="16">
        <f>'Gearing Calculator'!$C$17*Braking!AD2204</f>
        <v>3798.6380027436126</v>
      </c>
      <c r="AG2204" s="16">
        <f t="shared" si="120"/>
        <v>-14.269864773642421</v>
      </c>
    </row>
    <row r="2205" spans="29:33" x14ac:dyDescent="0.25">
      <c r="AC2205" s="16">
        <v>2201</v>
      </c>
      <c r="AD2205" s="16">
        <f t="shared" si="121"/>
        <v>2532.9539930874826</v>
      </c>
      <c r="AE2205" s="16">
        <f t="shared" si="119"/>
        <v>93.682349369678775</v>
      </c>
      <c r="AF2205" s="16">
        <f>'Gearing Calculator'!$C$17*Braking!AD2205</f>
        <v>3799.4309896312238</v>
      </c>
      <c r="AG2205" s="16">
        <f t="shared" si="120"/>
        <v>-14.272843687570338</v>
      </c>
    </row>
    <row r="2206" spans="29:33" x14ac:dyDescent="0.25">
      <c r="AC2206" s="16">
        <v>2202</v>
      </c>
      <c r="AD2206" s="16">
        <f t="shared" si="121"/>
        <v>2533.4826510125563</v>
      </c>
      <c r="AE2206" s="16">
        <f t="shared" si="119"/>
        <v>93.724912908692716</v>
      </c>
      <c r="AF2206" s="16">
        <f>'Gearing Calculator'!$C$17*Braking!AD2206</f>
        <v>3800.2239765188342</v>
      </c>
      <c r="AG2206" s="16">
        <f t="shared" si="120"/>
        <v>-14.27582260149825</v>
      </c>
    </row>
    <row r="2207" spans="29:33" x14ac:dyDescent="0.25">
      <c r="AC2207" s="16">
        <v>2203</v>
      </c>
      <c r="AD2207" s="16">
        <f t="shared" si="121"/>
        <v>2534.01130893763</v>
      </c>
      <c r="AE2207" s="16">
        <f t="shared" si="119"/>
        <v>93.767476447706656</v>
      </c>
      <c r="AF2207" s="16">
        <f>'Gearing Calculator'!$C$17*Braking!AD2207</f>
        <v>3801.016963406445</v>
      </c>
      <c r="AG2207" s="16">
        <f t="shared" si="120"/>
        <v>-14.278801515426165</v>
      </c>
    </row>
    <row r="2208" spans="29:33" x14ac:dyDescent="0.25">
      <c r="AC2208" s="16">
        <v>2204</v>
      </c>
      <c r="AD2208" s="16">
        <f t="shared" si="121"/>
        <v>2534.5399668627042</v>
      </c>
      <c r="AE2208" s="16">
        <f t="shared" si="119"/>
        <v>93.810039986720597</v>
      </c>
      <c r="AF2208" s="16">
        <f>'Gearing Calculator'!$C$17*Braking!AD2208</f>
        <v>3801.8099502940563</v>
      </c>
      <c r="AG2208" s="16">
        <f t="shared" si="120"/>
        <v>-14.281780429354081</v>
      </c>
    </row>
    <row r="2209" spans="29:33" x14ac:dyDescent="0.25">
      <c r="AC2209" s="16">
        <v>2205</v>
      </c>
      <c r="AD2209" s="16">
        <f t="shared" si="121"/>
        <v>2535.0686247877775</v>
      </c>
      <c r="AE2209" s="16">
        <f t="shared" si="119"/>
        <v>93.852603525734537</v>
      </c>
      <c r="AF2209" s="16">
        <f>'Gearing Calculator'!$C$17*Braking!AD2209</f>
        <v>3802.6029371816662</v>
      </c>
      <c r="AG2209" s="16">
        <f t="shared" si="120"/>
        <v>-14.284759343281992</v>
      </c>
    </row>
    <row r="2210" spans="29:33" x14ac:dyDescent="0.25">
      <c r="AC2210" s="16">
        <v>2206</v>
      </c>
      <c r="AD2210" s="16">
        <f t="shared" si="121"/>
        <v>2535.5972827128517</v>
      </c>
      <c r="AE2210" s="16">
        <f t="shared" si="119"/>
        <v>93.895167064748478</v>
      </c>
      <c r="AF2210" s="16">
        <f>'Gearing Calculator'!$C$17*Braking!AD2210</f>
        <v>3803.3959240692775</v>
      </c>
      <c r="AG2210" s="16">
        <f t="shared" si="120"/>
        <v>-14.287738257209909</v>
      </c>
    </row>
    <row r="2211" spans="29:33" x14ac:dyDescent="0.25">
      <c r="AC2211" s="16">
        <v>2207</v>
      </c>
      <c r="AD2211" s="16">
        <f t="shared" si="121"/>
        <v>2536.1259406379254</v>
      </c>
      <c r="AE2211" s="16">
        <f t="shared" si="119"/>
        <v>93.937730603762418</v>
      </c>
      <c r="AF2211" s="16">
        <f>'Gearing Calculator'!$C$17*Braking!AD2211</f>
        <v>3804.1889109568883</v>
      </c>
      <c r="AG2211" s="16">
        <f t="shared" si="120"/>
        <v>-14.290717171137823</v>
      </c>
    </row>
    <row r="2212" spans="29:33" x14ac:dyDescent="0.25">
      <c r="AC2212" s="16">
        <v>2208</v>
      </c>
      <c r="AD2212" s="16">
        <f t="shared" si="121"/>
        <v>2536.6545985629991</v>
      </c>
      <c r="AE2212" s="16">
        <f t="shared" si="119"/>
        <v>93.980294142776344</v>
      </c>
      <c r="AF2212" s="16">
        <f>'Gearing Calculator'!$C$17*Braking!AD2212</f>
        <v>3804.9818978444987</v>
      </c>
      <c r="AG2212" s="16">
        <f t="shared" si="120"/>
        <v>-14.293696085065736</v>
      </c>
    </row>
    <row r="2213" spans="29:33" x14ac:dyDescent="0.25">
      <c r="AC2213" s="16">
        <v>2209</v>
      </c>
      <c r="AD2213" s="16">
        <f t="shared" si="121"/>
        <v>2537.1832564880733</v>
      </c>
      <c r="AE2213" s="16">
        <f t="shared" si="119"/>
        <v>94.022857681790285</v>
      </c>
      <c r="AF2213" s="16">
        <f>'Gearing Calculator'!$C$17*Braking!AD2213</f>
        <v>3805.77488473211</v>
      </c>
      <c r="AG2213" s="16">
        <f t="shared" si="120"/>
        <v>-14.296674998993652</v>
      </c>
    </row>
    <row r="2214" spans="29:33" x14ac:dyDescent="0.25">
      <c r="AC2214" s="16">
        <v>2210</v>
      </c>
      <c r="AD2214" s="16">
        <f t="shared" si="121"/>
        <v>2537.7119144131466</v>
      </c>
      <c r="AE2214" s="16">
        <f t="shared" si="119"/>
        <v>94.065421220804225</v>
      </c>
      <c r="AF2214" s="16">
        <f>'Gearing Calculator'!$C$17*Braking!AD2214</f>
        <v>3806.5678716197199</v>
      </c>
      <c r="AG2214" s="16">
        <f t="shared" si="120"/>
        <v>-14.299653912921563</v>
      </c>
    </row>
    <row r="2215" spans="29:33" x14ac:dyDescent="0.25">
      <c r="AC2215" s="16">
        <v>2211</v>
      </c>
      <c r="AD2215" s="16">
        <f t="shared" si="121"/>
        <v>2538.2405723382208</v>
      </c>
      <c r="AE2215" s="16">
        <f t="shared" si="119"/>
        <v>94.107984759818166</v>
      </c>
      <c r="AF2215" s="16">
        <f>'Gearing Calculator'!$C$17*Braking!AD2215</f>
        <v>3807.3608585073312</v>
      </c>
      <c r="AG2215" s="16">
        <f t="shared" si="120"/>
        <v>-14.302632826849479</v>
      </c>
    </row>
    <row r="2216" spans="29:33" x14ac:dyDescent="0.25">
      <c r="AC2216" s="16">
        <v>2212</v>
      </c>
      <c r="AD2216" s="16">
        <f t="shared" si="121"/>
        <v>2538.7692302632945</v>
      </c>
      <c r="AE2216" s="16">
        <f t="shared" si="119"/>
        <v>94.150548298832106</v>
      </c>
      <c r="AF2216" s="16">
        <f>'Gearing Calculator'!$C$17*Braking!AD2216</f>
        <v>3808.1538453949415</v>
      </c>
      <c r="AG2216" s="16">
        <f t="shared" si="120"/>
        <v>-14.305611740777392</v>
      </c>
    </row>
    <row r="2217" spans="29:33" x14ac:dyDescent="0.25">
      <c r="AC2217" s="16">
        <v>2213</v>
      </c>
      <c r="AD2217" s="16">
        <f t="shared" si="121"/>
        <v>2539.2978881883682</v>
      </c>
      <c r="AE2217" s="16">
        <f t="shared" si="119"/>
        <v>94.193111837846047</v>
      </c>
      <c r="AF2217" s="16">
        <f>'Gearing Calculator'!$C$17*Braking!AD2217</f>
        <v>3808.9468322825524</v>
      </c>
      <c r="AG2217" s="16">
        <f t="shared" si="120"/>
        <v>-14.308590654705306</v>
      </c>
    </row>
    <row r="2218" spans="29:33" x14ac:dyDescent="0.25">
      <c r="AC2218" s="16">
        <v>2214</v>
      </c>
      <c r="AD2218" s="16">
        <f t="shared" si="121"/>
        <v>2539.8265461134424</v>
      </c>
      <c r="AE2218" s="16">
        <f t="shared" si="119"/>
        <v>94.235675376859987</v>
      </c>
      <c r="AF2218" s="16">
        <f>'Gearing Calculator'!$C$17*Braking!AD2218</f>
        <v>3809.7398191701636</v>
      </c>
      <c r="AG2218" s="16">
        <f t="shared" si="120"/>
        <v>-14.311569568633223</v>
      </c>
    </row>
    <row r="2219" spans="29:33" x14ac:dyDescent="0.25">
      <c r="AC2219" s="16">
        <v>2215</v>
      </c>
      <c r="AD2219" s="16">
        <f t="shared" si="121"/>
        <v>2540.3552040385157</v>
      </c>
      <c r="AE2219" s="16">
        <f t="shared" si="119"/>
        <v>94.278238915873914</v>
      </c>
      <c r="AF2219" s="16">
        <f>'Gearing Calculator'!$C$17*Braking!AD2219</f>
        <v>3810.5328060577735</v>
      </c>
      <c r="AG2219" s="16">
        <f t="shared" si="120"/>
        <v>-14.314548482561133</v>
      </c>
    </row>
    <row r="2220" spans="29:33" x14ac:dyDescent="0.25">
      <c r="AC2220" s="16">
        <v>2216</v>
      </c>
      <c r="AD2220" s="16">
        <f t="shared" si="121"/>
        <v>2540.8838619635899</v>
      </c>
      <c r="AE2220" s="16">
        <f t="shared" si="119"/>
        <v>94.320802454887854</v>
      </c>
      <c r="AF2220" s="16">
        <f>'Gearing Calculator'!$C$17*Braking!AD2220</f>
        <v>3811.3257929453848</v>
      </c>
      <c r="AG2220" s="16">
        <f t="shared" si="120"/>
        <v>-14.31752739648905</v>
      </c>
    </row>
    <row r="2221" spans="29:33" x14ac:dyDescent="0.25">
      <c r="AC2221" s="16">
        <v>2217</v>
      </c>
      <c r="AD2221" s="16">
        <f t="shared" si="121"/>
        <v>2541.4125198886636</v>
      </c>
      <c r="AE2221" s="16">
        <f t="shared" si="119"/>
        <v>94.363365993901795</v>
      </c>
      <c r="AF2221" s="16">
        <f>'Gearing Calculator'!$C$17*Braking!AD2221</f>
        <v>3812.1187798329956</v>
      </c>
      <c r="AG2221" s="16">
        <f t="shared" si="120"/>
        <v>-14.320506310416963</v>
      </c>
    </row>
    <row r="2222" spans="29:33" x14ac:dyDescent="0.25">
      <c r="AC2222" s="16">
        <v>2218</v>
      </c>
      <c r="AD2222" s="16">
        <f t="shared" si="121"/>
        <v>2541.9411778137373</v>
      </c>
      <c r="AE2222" s="16">
        <f t="shared" si="119"/>
        <v>94.405929532915735</v>
      </c>
      <c r="AF2222" s="16">
        <f>'Gearing Calculator'!$C$17*Braking!AD2222</f>
        <v>3812.911766720606</v>
      </c>
      <c r="AG2222" s="16">
        <f t="shared" si="120"/>
        <v>-14.323485224344877</v>
      </c>
    </row>
    <row r="2223" spans="29:33" x14ac:dyDescent="0.25">
      <c r="AC2223" s="16">
        <v>2219</v>
      </c>
      <c r="AD2223" s="16">
        <f t="shared" si="121"/>
        <v>2542.4698357388115</v>
      </c>
      <c r="AE2223" s="16">
        <f t="shared" si="119"/>
        <v>94.448493071929676</v>
      </c>
      <c r="AF2223" s="16">
        <f>'Gearing Calculator'!$C$17*Braking!AD2223</f>
        <v>3813.7047536082173</v>
      </c>
      <c r="AG2223" s="16">
        <f t="shared" si="120"/>
        <v>-14.326464138272792</v>
      </c>
    </row>
    <row r="2224" spans="29:33" x14ac:dyDescent="0.25">
      <c r="AC2224" s="16">
        <v>2220</v>
      </c>
      <c r="AD2224" s="16">
        <f t="shared" si="121"/>
        <v>2542.9984936638848</v>
      </c>
      <c r="AE2224" s="16">
        <f t="shared" si="119"/>
        <v>94.491056610943616</v>
      </c>
      <c r="AF2224" s="16">
        <f>'Gearing Calculator'!$C$17*Braking!AD2224</f>
        <v>3814.4977404958272</v>
      </c>
      <c r="AG2224" s="16">
        <f t="shared" si="120"/>
        <v>-14.329443052200704</v>
      </c>
    </row>
    <row r="2225" spans="29:33" x14ac:dyDescent="0.25">
      <c r="AC2225" s="16">
        <v>2221</v>
      </c>
      <c r="AD2225" s="16">
        <f t="shared" si="121"/>
        <v>2543.527151588959</v>
      </c>
      <c r="AE2225" s="16">
        <f t="shared" si="119"/>
        <v>94.533620149957557</v>
      </c>
      <c r="AF2225" s="16">
        <f>'Gearing Calculator'!$C$17*Braking!AD2225</f>
        <v>3815.2907273834385</v>
      </c>
      <c r="AG2225" s="16">
        <f t="shared" si="120"/>
        <v>-14.332421966128621</v>
      </c>
    </row>
    <row r="2226" spans="29:33" x14ac:dyDescent="0.25">
      <c r="AC2226" s="16">
        <v>2222</v>
      </c>
      <c r="AD2226" s="16">
        <f t="shared" si="121"/>
        <v>2544.0558095140327</v>
      </c>
      <c r="AE2226" s="16">
        <f t="shared" si="119"/>
        <v>94.576183688971497</v>
      </c>
      <c r="AF2226" s="16">
        <f>'Gearing Calculator'!$C$17*Braking!AD2226</f>
        <v>3816.0837142710488</v>
      </c>
      <c r="AG2226" s="16">
        <f t="shared" si="120"/>
        <v>-14.335400880056532</v>
      </c>
    </row>
    <row r="2227" spans="29:33" x14ac:dyDescent="0.25">
      <c r="AC2227" s="16">
        <v>2223</v>
      </c>
      <c r="AD2227" s="16">
        <f t="shared" si="121"/>
        <v>2544.5844674391064</v>
      </c>
      <c r="AE2227" s="16">
        <f t="shared" si="119"/>
        <v>94.618747227985423</v>
      </c>
      <c r="AF2227" s="16">
        <f>'Gearing Calculator'!$C$17*Braking!AD2227</f>
        <v>3816.8767011586597</v>
      </c>
      <c r="AG2227" s="16">
        <f t="shared" si="120"/>
        <v>-14.338379793984448</v>
      </c>
    </row>
    <row r="2228" spans="29:33" x14ac:dyDescent="0.25">
      <c r="AC2228" s="16">
        <v>2224</v>
      </c>
      <c r="AD2228" s="16">
        <f t="shared" si="121"/>
        <v>2545.1131253641806</v>
      </c>
      <c r="AE2228" s="16">
        <f t="shared" si="119"/>
        <v>94.661310766999364</v>
      </c>
      <c r="AF2228" s="16">
        <f>'Gearing Calculator'!$C$17*Braking!AD2228</f>
        <v>3817.6696880462709</v>
      </c>
      <c r="AG2228" s="16">
        <f t="shared" si="120"/>
        <v>-14.341358707912363</v>
      </c>
    </row>
    <row r="2229" spans="29:33" x14ac:dyDescent="0.25">
      <c r="AC2229" s="16">
        <v>2225</v>
      </c>
      <c r="AD2229" s="16">
        <f t="shared" si="121"/>
        <v>2545.6417832892539</v>
      </c>
      <c r="AE2229" s="16">
        <f t="shared" si="119"/>
        <v>94.703874306013304</v>
      </c>
      <c r="AF2229" s="16">
        <f>'Gearing Calculator'!$C$17*Braking!AD2229</f>
        <v>3818.4626749338809</v>
      </c>
      <c r="AG2229" s="16">
        <f t="shared" si="120"/>
        <v>-14.344337621840275</v>
      </c>
    </row>
    <row r="2230" spans="29:33" x14ac:dyDescent="0.25">
      <c r="AC2230" s="16">
        <v>2226</v>
      </c>
      <c r="AD2230" s="16">
        <f t="shared" si="121"/>
        <v>2546.1704412143281</v>
      </c>
      <c r="AE2230" s="16">
        <f t="shared" si="119"/>
        <v>94.746437845027245</v>
      </c>
      <c r="AF2230" s="16">
        <f>'Gearing Calculator'!$C$17*Braking!AD2230</f>
        <v>3819.2556618214921</v>
      </c>
      <c r="AG2230" s="16">
        <f t="shared" si="120"/>
        <v>-14.34731653576819</v>
      </c>
    </row>
    <row r="2231" spans="29:33" x14ac:dyDescent="0.25">
      <c r="AC2231" s="16">
        <v>2227</v>
      </c>
      <c r="AD2231" s="16">
        <f t="shared" si="121"/>
        <v>2546.6990991394018</v>
      </c>
      <c r="AE2231" s="16">
        <f t="shared" si="119"/>
        <v>94.789001384041185</v>
      </c>
      <c r="AF2231" s="16">
        <f>'Gearing Calculator'!$C$17*Braking!AD2231</f>
        <v>3820.048648709103</v>
      </c>
      <c r="AG2231" s="16">
        <f t="shared" si="120"/>
        <v>-14.350295449696105</v>
      </c>
    </row>
    <row r="2232" spans="29:33" x14ac:dyDescent="0.25">
      <c r="AC2232" s="16">
        <v>2228</v>
      </c>
      <c r="AD2232" s="16">
        <f t="shared" si="121"/>
        <v>2547.2277570644756</v>
      </c>
      <c r="AE2232" s="16">
        <f t="shared" si="119"/>
        <v>94.831564923055126</v>
      </c>
      <c r="AF2232" s="16">
        <f>'Gearing Calculator'!$C$17*Braking!AD2232</f>
        <v>3820.8416355967133</v>
      </c>
      <c r="AG2232" s="16">
        <f t="shared" si="120"/>
        <v>-14.353274363624017</v>
      </c>
    </row>
    <row r="2233" spans="29:33" x14ac:dyDescent="0.25">
      <c r="AC2233" s="16">
        <v>2229</v>
      </c>
      <c r="AD2233" s="16">
        <f t="shared" si="121"/>
        <v>2547.7564149895497</v>
      </c>
      <c r="AE2233" s="16">
        <f t="shared" si="119"/>
        <v>94.874128462069066</v>
      </c>
      <c r="AF2233" s="16">
        <f>'Gearing Calculator'!$C$17*Braking!AD2233</f>
        <v>3821.6346224843246</v>
      </c>
      <c r="AG2233" s="16">
        <f t="shared" si="120"/>
        <v>-14.356253277551934</v>
      </c>
    </row>
    <row r="2234" spans="29:33" x14ac:dyDescent="0.25">
      <c r="AC2234" s="16">
        <v>2230</v>
      </c>
      <c r="AD2234" s="16">
        <f t="shared" si="121"/>
        <v>2548.285072914623</v>
      </c>
      <c r="AE2234" s="16">
        <f t="shared" si="119"/>
        <v>94.916692001082993</v>
      </c>
      <c r="AF2234" s="16">
        <f>'Gearing Calculator'!$C$17*Braking!AD2234</f>
        <v>3822.4276093719345</v>
      </c>
      <c r="AG2234" s="16">
        <f t="shared" si="120"/>
        <v>-14.359232191479844</v>
      </c>
    </row>
    <row r="2235" spans="29:33" x14ac:dyDescent="0.25">
      <c r="AC2235" s="16">
        <v>2231</v>
      </c>
      <c r="AD2235" s="16">
        <f t="shared" si="121"/>
        <v>2548.8137308396972</v>
      </c>
      <c r="AE2235" s="16">
        <f t="shared" si="119"/>
        <v>94.959255540096933</v>
      </c>
      <c r="AF2235" s="16">
        <f>'Gearing Calculator'!$C$17*Braking!AD2235</f>
        <v>3823.2205962595458</v>
      </c>
      <c r="AG2235" s="16">
        <f t="shared" si="120"/>
        <v>-14.362211105407761</v>
      </c>
    </row>
    <row r="2236" spans="29:33" x14ac:dyDescent="0.25">
      <c r="AC2236" s="16">
        <v>2232</v>
      </c>
      <c r="AD2236" s="16">
        <f t="shared" si="121"/>
        <v>2549.3423887647709</v>
      </c>
      <c r="AE2236" s="16">
        <f t="shared" si="119"/>
        <v>95.001819079110874</v>
      </c>
      <c r="AF2236" s="16">
        <f>'Gearing Calculator'!$C$17*Braking!AD2236</f>
        <v>3824.0135831471562</v>
      </c>
      <c r="AG2236" s="16">
        <f t="shared" si="120"/>
        <v>-14.365190019335675</v>
      </c>
    </row>
    <row r="2237" spans="29:33" x14ac:dyDescent="0.25">
      <c r="AC2237" s="16">
        <v>2233</v>
      </c>
      <c r="AD2237" s="16">
        <f t="shared" si="121"/>
        <v>2549.8710466898447</v>
      </c>
      <c r="AE2237" s="16">
        <f t="shared" si="119"/>
        <v>95.044382618124814</v>
      </c>
      <c r="AF2237" s="16">
        <f>'Gearing Calculator'!$C$17*Braking!AD2237</f>
        <v>3824.806570034767</v>
      </c>
      <c r="AG2237" s="16">
        <f t="shared" si="120"/>
        <v>-14.368168933263588</v>
      </c>
    </row>
    <row r="2238" spans="29:33" x14ac:dyDescent="0.25">
      <c r="AC2238" s="16">
        <v>2234</v>
      </c>
      <c r="AD2238" s="16">
        <f t="shared" si="121"/>
        <v>2550.3997046149188</v>
      </c>
      <c r="AE2238" s="16">
        <f t="shared" si="119"/>
        <v>95.086946157138755</v>
      </c>
      <c r="AF2238" s="16">
        <f>'Gearing Calculator'!$C$17*Braking!AD2238</f>
        <v>3825.5995569223783</v>
      </c>
      <c r="AG2238" s="16">
        <f t="shared" si="120"/>
        <v>-14.371147847191505</v>
      </c>
    </row>
    <row r="2239" spans="29:33" x14ac:dyDescent="0.25">
      <c r="AC2239" s="16">
        <v>2235</v>
      </c>
      <c r="AD2239" s="16">
        <f t="shared" si="121"/>
        <v>2550.9283625399921</v>
      </c>
      <c r="AE2239" s="16">
        <f t="shared" ref="AE2239:AE2302" si="122">(AC2239/$X$104)*100</f>
        <v>95.129509696152695</v>
      </c>
      <c r="AF2239" s="16">
        <f>'Gearing Calculator'!$C$17*Braking!AD2239</f>
        <v>3826.3925438099882</v>
      </c>
      <c r="AG2239" s="16">
        <f t="shared" si="120"/>
        <v>-14.374126761119415</v>
      </c>
    </row>
    <row r="2240" spans="29:33" x14ac:dyDescent="0.25">
      <c r="AC2240" s="16">
        <v>2236</v>
      </c>
      <c r="AD2240" s="16">
        <f t="shared" si="121"/>
        <v>2551.4570204650663</v>
      </c>
      <c r="AE2240" s="16">
        <f t="shared" si="122"/>
        <v>95.172073235166636</v>
      </c>
      <c r="AF2240" s="16">
        <f>'Gearing Calculator'!$C$17*Braking!AD2240</f>
        <v>3827.1855306975995</v>
      </c>
      <c r="AG2240" s="16">
        <f t="shared" si="120"/>
        <v>-14.377105675047332</v>
      </c>
    </row>
    <row r="2241" spans="29:33" x14ac:dyDescent="0.25">
      <c r="AC2241" s="16">
        <v>2237</v>
      </c>
      <c r="AD2241" s="16">
        <f t="shared" si="121"/>
        <v>2551.98567839014</v>
      </c>
      <c r="AE2241" s="16">
        <f t="shared" si="122"/>
        <v>95.214636774180576</v>
      </c>
      <c r="AF2241" s="16">
        <f>'Gearing Calculator'!$C$17*Braking!AD2241</f>
        <v>3827.9785175852103</v>
      </c>
      <c r="AG2241" s="16">
        <f t="shared" si="120"/>
        <v>-14.380084588975246</v>
      </c>
    </row>
    <row r="2242" spans="29:33" x14ac:dyDescent="0.25">
      <c r="AC2242" s="16">
        <v>2238</v>
      </c>
      <c r="AD2242" s="16">
        <f t="shared" si="121"/>
        <v>2552.5143363152138</v>
      </c>
      <c r="AE2242" s="16">
        <f t="shared" si="122"/>
        <v>95.257200313194502</v>
      </c>
      <c r="AF2242" s="16">
        <f>'Gearing Calculator'!$C$17*Braking!AD2242</f>
        <v>3828.7715044728207</v>
      </c>
      <c r="AG2242" s="16">
        <f t="shared" si="120"/>
        <v>-14.383063502903159</v>
      </c>
    </row>
    <row r="2243" spans="29:33" x14ac:dyDescent="0.25">
      <c r="AC2243" s="16">
        <v>2239</v>
      </c>
      <c r="AD2243" s="16">
        <f t="shared" si="121"/>
        <v>2553.042994240288</v>
      </c>
      <c r="AE2243" s="16">
        <f t="shared" si="122"/>
        <v>95.299763852208443</v>
      </c>
      <c r="AF2243" s="16">
        <f>'Gearing Calculator'!$C$17*Braking!AD2243</f>
        <v>3829.5644913604319</v>
      </c>
      <c r="AG2243" s="16">
        <f t="shared" si="120"/>
        <v>-14.386042416831074</v>
      </c>
    </row>
    <row r="2244" spans="29:33" x14ac:dyDescent="0.25">
      <c r="AC2244" s="16">
        <v>2240</v>
      </c>
      <c r="AD2244" s="16">
        <f t="shared" si="121"/>
        <v>2553.5716521653612</v>
      </c>
      <c r="AE2244" s="16">
        <f t="shared" si="122"/>
        <v>95.342327391222383</v>
      </c>
      <c r="AF2244" s="16">
        <f>'Gearing Calculator'!$C$17*Braking!AD2244</f>
        <v>3830.3574782480418</v>
      </c>
      <c r="AG2244" s="16">
        <f t="shared" si="120"/>
        <v>-14.389021330758986</v>
      </c>
    </row>
    <row r="2245" spans="29:33" x14ac:dyDescent="0.25">
      <c r="AC2245" s="16">
        <v>2241</v>
      </c>
      <c r="AD2245" s="16">
        <f t="shared" si="121"/>
        <v>2554.1003100904354</v>
      </c>
      <c r="AE2245" s="16">
        <f t="shared" si="122"/>
        <v>95.384890930236324</v>
      </c>
      <c r="AF2245" s="16">
        <f>'Gearing Calculator'!$C$17*Braking!AD2245</f>
        <v>3831.1504651356531</v>
      </c>
      <c r="AG2245" s="16">
        <f t="shared" si="120"/>
        <v>-14.392000244686901</v>
      </c>
    </row>
    <row r="2246" spans="29:33" x14ac:dyDescent="0.25">
      <c r="AC2246" s="16">
        <v>2242</v>
      </c>
      <c r="AD2246" s="16">
        <f t="shared" si="121"/>
        <v>2554.6289680155091</v>
      </c>
      <c r="AE2246" s="16">
        <f t="shared" si="122"/>
        <v>95.427454469250264</v>
      </c>
      <c r="AF2246" s="16">
        <f>'Gearing Calculator'!$C$17*Braking!AD2246</f>
        <v>3831.9434520232635</v>
      </c>
      <c r="AG2246" s="16">
        <f t="shared" ref="AG2246:AG2309" si="123">-(AF2246/$C$3)</f>
        <v>-14.394979158614815</v>
      </c>
    </row>
    <row r="2247" spans="29:33" x14ac:dyDescent="0.25">
      <c r="AC2247" s="16">
        <v>2243</v>
      </c>
      <c r="AD2247" s="16">
        <f t="shared" ref="AD2247:AD2310" si="124">($C$3*$C$4)*($C$9/$C$8)+(AC2247*($C$10/$C$8))</f>
        <v>2555.1576259405829</v>
      </c>
      <c r="AE2247" s="16">
        <f t="shared" si="122"/>
        <v>95.470018008264205</v>
      </c>
      <c r="AF2247" s="16">
        <f>'Gearing Calculator'!$C$17*Braking!AD2247</f>
        <v>3832.7364389108743</v>
      </c>
      <c r="AG2247" s="16">
        <f t="shared" si="123"/>
        <v>-14.397958072542728</v>
      </c>
    </row>
    <row r="2248" spans="29:33" x14ac:dyDescent="0.25">
      <c r="AC2248" s="16">
        <v>2244</v>
      </c>
      <c r="AD2248" s="16">
        <f t="shared" si="124"/>
        <v>2555.6862838656571</v>
      </c>
      <c r="AE2248" s="16">
        <f t="shared" si="122"/>
        <v>95.512581547278145</v>
      </c>
      <c r="AF2248" s="16">
        <f>'Gearing Calculator'!$C$17*Braking!AD2248</f>
        <v>3833.5294257984856</v>
      </c>
      <c r="AG2248" s="16">
        <f t="shared" si="123"/>
        <v>-14.400936986470645</v>
      </c>
    </row>
    <row r="2249" spans="29:33" x14ac:dyDescent="0.25">
      <c r="AC2249" s="16">
        <v>2245</v>
      </c>
      <c r="AD2249" s="16">
        <f t="shared" si="124"/>
        <v>2556.2149417907303</v>
      </c>
      <c r="AE2249" s="16">
        <f t="shared" si="122"/>
        <v>95.555145086292072</v>
      </c>
      <c r="AF2249" s="16">
        <f>'Gearing Calculator'!$C$17*Braking!AD2249</f>
        <v>3834.3224126860955</v>
      </c>
      <c r="AG2249" s="16">
        <f t="shared" si="123"/>
        <v>-14.403915900398557</v>
      </c>
    </row>
    <row r="2250" spans="29:33" x14ac:dyDescent="0.25">
      <c r="AC2250" s="16">
        <v>2246</v>
      </c>
      <c r="AD2250" s="16">
        <f t="shared" si="124"/>
        <v>2556.7435997158045</v>
      </c>
      <c r="AE2250" s="16">
        <f t="shared" si="122"/>
        <v>95.597708625306012</v>
      </c>
      <c r="AF2250" s="16">
        <f>'Gearing Calculator'!$C$17*Braking!AD2250</f>
        <v>3835.1153995737068</v>
      </c>
      <c r="AG2250" s="16">
        <f t="shared" si="123"/>
        <v>-14.406894814326472</v>
      </c>
    </row>
    <row r="2251" spans="29:33" x14ac:dyDescent="0.25">
      <c r="AC2251" s="16">
        <v>2247</v>
      </c>
      <c r="AD2251" s="16">
        <f t="shared" si="124"/>
        <v>2557.2722576408783</v>
      </c>
      <c r="AE2251" s="16">
        <f t="shared" si="122"/>
        <v>95.640272164319953</v>
      </c>
      <c r="AF2251" s="16">
        <f>'Gearing Calculator'!$C$17*Braking!AD2251</f>
        <v>3835.9083864613176</v>
      </c>
      <c r="AG2251" s="16">
        <f t="shared" si="123"/>
        <v>-14.409873728254388</v>
      </c>
    </row>
    <row r="2252" spans="29:33" x14ac:dyDescent="0.25">
      <c r="AC2252" s="16">
        <v>2248</v>
      </c>
      <c r="AD2252" s="16">
        <f t="shared" si="124"/>
        <v>2557.800915565952</v>
      </c>
      <c r="AE2252" s="16">
        <f t="shared" si="122"/>
        <v>95.682835703333893</v>
      </c>
      <c r="AF2252" s="16">
        <f>'Gearing Calculator'!$C$17*Braking!AD2252</f>
        <v>3836.701373348928</v>
      </c>
      <c r="AG2252" s="16">
        <f t="shared" si="123"/>
        <v>-14.412852642182299</v>
      </c>
    </row>
    <row r="2253" spans="29:33" x14ac:dyDescent="0.25">
      <c r="AC2253" s="16">
        <v>2249</v>
      </c>
      <c r="AD2253" s="16">
        <f t="shared" si="124"/>
        <v>2558.3295734910262</v>
      </c>
      <c r="AE2253" s="16">
        <f t="shared" si="122"/>
        <v>95.725399242347834</v>
      </c>
      <c r="AF2253" s="16">
        <f>'Gearing Calculator'!$C$17*Braking!AD2253</f>
        <v>3837.4943602365393</v>
      </c>
      <c r="AG2253" s="16">
        <f t="shared" si="123"/>
        <v>-14.415831556110216</v>
      </c>
    </row>
    <row r="2254" spans="29:33" x14ac:dyDescent="0.25">
      <c r="AC2254" s="16">
        <v>2250</v>
      </c>
      <c r="AD2254" s="16">
        <f t="shared" si="124"/>
        <v>2558.8582314160994</v>
      </c>
      <c r="AE2254" s="16">
        <f t="shared" si="122"/>
        <v>95.767962781361774</v>
      </c>
      <c r="AF2254" s="16">
        <f>'Gearing Calculator'!$C$17*Braking!AD2254</f>
        <v>3838.2873471241492</v>
      </c>
      <c r="AG2254" s="16">
        <f t="shared" si="123"/>
        <v>-14.418810470038126</v>
      </c>
    </row>
    <row r="2255" spans="29:33" x14ac:dyDescent="0.25">
      <c r="AC2255" s="16">
        <v>2251</v>
      </c>
      <c r="AD2255" s="16">
        <f t="shared" si="124"/>
        <v>2559.3868893411736</v>
      </c>
      <c r="AE2255" s="16">
        <f t="shared" si="122"/>
        <v>95.810526320375715</v>
      </c>
      <c r="AF2255" s="16">
        <f>'Gearing Calculator'!$C$17*Braking!AD2255</f>
        <v>3839.0803340117604</v>
      </c>
      <c r="AG2255" s="16">
        <f t="shared" si="123"/>
        <v>-14.421789383966043</v>
      </c>
    </row>
    <row r="2256" spans="29:33" x14ac:dyDescent="0.25">
      <c r="AC2256" s="16">
        <v>2252</v>
      </c>
      <c r="AD2256" s="16">
        <f t="shared" si="124"/>
        <v>2559.9155472662474</v>
      </c>
      <c r="AE2256" s="16">
        <f t="shared" si="122"/>
        <v>95.853089859389641</v>
      </c>
      <c r="AF2256" s="16">
        <f>'Gearing Calculator'!$C$17*Braking!AD2256</f>
        <v>3839.8733208993708</v>
      </c>
      <c r="AG2256" s="16">
        <f t="shared" si="123"/>
        <v>-14.424768297893955</v>
      </c>
    </row>
    <row r="2257" spans="29:33" x14ac:dyDescent="0.25">
      <c r="AC2257" s="16">
        <v>2253</v>
      </c>
      <c r="AD2257" s="16">
        <f t="shared" si="124"/>
        <v>2560.4442051913211</v>
      </c>
      <c r="AE2257" s="16">
        <f t="shared" si="122"/>
        <v>95.895653398403581</v>
      </c>
      <c r="AF2257" s="16">
        <f>'Gearing Calculator'!$C$17*Braking!AD2257</f>
        <v>3840.6663077869816</v>
      </c>
      <c r="AG2257" s="16">
        <f t="shared" si="123"/>
        <v>-14.42774721182187</v>
      </c>
    </row>
    <row r="2258" spans="29:33" x14ac:dyDescent="0.25">
      <c r="AC2258" s="16">
        <v>2254</v>
      </c>
      <c r="AD2258" s="16">
        <f t="shared" si="124"/>
        <v>2560.9728631163953</v>
      </c>
      <c r="AE2258" s="16">
        <f t="shared" si="122"/>
        <v>95.938216937417522</v>
      </c>
      <c r="AF2258" s="16">
        <f>'Gearing Calculator'!$C$17*Braking!AD2258</f>
        <v>3841.4592946745929</v>
      </c>
      <c r="AG2258" s="16">
        <f t="shared" si="123"/>
        <v>-14.430726125749786</v>
      </c>
    </row>
    <row r="2259" spans="29:33" x14ac:dyDescent="0.25">
      <c r="AC2259" s="16">
        <v>2255</v>
      </c>
      <c r="AD2259" s="16">
        <f t="shared" si="124"/>
        <v>2561.5015210414685</v>
      </c>
      <c r="AE2259" s="16">
        <f t="shared" si="122"/>
        <v>95.980780476431462</v>
      </c>
      <c r="AF2259" s="16">
        <f>'Gearing Calculator'!$C$17*Braking!AD2259</f>
        <v>3842.2522815622028</v>
      </c>
      <c r="AG2259" s="16">
        <f t="shared" si="123"/>
        <v>-14.433705039677697</v>
      </c>
    </row>
    <row r="2260" spans="29:33" x14ac:dyDescent="0.25">
      <c r="AC2260" s="16">
        <v>2256</v>
      </c>
      <c r="AD2260" s="16">
        <f t="shared" si="124"/>
        <v>2562.0301789665427</v>
      </c>
      <c r="AE2260" s="16">
        <f t="shared" si="122"/>
        <v>96.023344015445403</v>
      </c>
      <c r="AF2260" s="16">
        <f>'Gearing Calculator'!$C$17*Braking!AD2260</f>
        <v>3843.0452684498141</v>
      </c>
      <c r="AG2260" s="16">
        <f t="shared" si="123"/>
        <v>-14.436683953605613</v>
      </c>
    </row>
    <row r="2261" spans="29:33" x14ac:dyDescent="0.25">
      <c r="AC2261" s="16">
        <v>2257</v>
      </c>
      <c r="AD2261" s="16">
        <f t="shared" si="124"/>
        <v>2562.5588368916165</v>
      </c>
      <c r="AE2261" s="16">
        <f t="shared" si="122"/>
        <v>96.065907554459343</v>
      </c>
      <c r="AF2261" s="16">
        <f>'Gearing Calculator'!$C$17*Braking!AD2261</f>
        <v>3843.8382553374249</v>
      </c>
      <c r="AG2261" s="16">
        <f t="shared" si="123"/>
        <v>-14.439662867533528</v>
      </c>
    </row>
    <row r="2262" spans="29:33" x14ac:dyDescent="0.25">
      <c r="AC2262" s="16">
        <v>2258</v>
      </c>
      <c r="AD2262" s="16">
        <f t="shared" si="124"/>
        <v>2563.0874948166902</v>
      </c>
      <c r="AE2262" s="16">
        <f t="shared" si="122"/>
        <v>96.108471093473284</v>
      </c>
      <c r="AF2262" s="16">
        <f>'Gearing Calculator'!$C$17*Braking!AD2262</f>
        <v>3844.6312422250353</v>
      </c>
      <c r="AG2262" s="16">
        <f t="shared" si="123"/>
        <v>-14.44264178146144</v>
      </c>
    </row>
    <row r="2263" spans="29:33" x14ac:dyDescent="0.25">
      <c r="AC2263" s="16">
        <v>2259</v>
      </c>
      <c r="AD2263" s="16">
        <f t="shared" si="124"/>
        <v>2563.6161527417644</v>
      </c>
      <c r="AE2263" s="16">
        <f t="shared" si="122"/>
        <v>96.151034632487224</v>
      </c>
      <c r="AF2263" s="16">
        <f>'Gearing Calculator'!$C$17*Braking!AD2263</f>
        <v>3845.4242291126466</v>
      </c>
      <c r="AG2263" s="16">
        <f t="shared" si="123"/>
        <v>-14.445620695389357</v>
      </c>
    </row>
    <row r="2264" spans="29:33" x14ac:dyDescent="0.25">
      <c r="AC2264" s="16">
        <v>2260</v>
      </c>
      <c r="AD2264" s="16">
        <f t="shared" si="124"/>
        <v>2564.1448106668377</v>
      </c>
      <c r="AE2264" s="16">
        <f t="shared" si="122"/>
        <v>96.193598171501151</v>
      </c>
      <c r="AF2264" s="16">
        <f>'Gearing Calculator'!$C$17*Braking!AD2264</f>
        <v>3846.2172160002565</v>
      </c>
      <c r="AG2264" s="16">
        <f t="shared" si="123"/>
        <v>-14.448599609317268</v>
      </c>
    </row>
    <row r="2265" spans="29:33" x14ac:dyDescent="0.25">
      <c r="AC2265" s="16">
        <v>2261</v>
      </c>
      <c r="AD2265" s="16">
        <f t="shared" si="124"/>
        <v>2564.6734685919118</v>
      </c>
      <c r="AE2265" s="16">
        <f t="shared" si="122"/>
        <v>96.236161710515091</v>
      </c>
      <c r="AF2265" s="16">
        <f>'Gearing Calculator'!$C$17*Braking!AD2265</f>
        <v>3847.0102028878678</v>
      </c>
      <c r="AG2265" s="16">
        <f t="shared" si="123"/>
        <v>-14.451578523245184</v>
      </c>
    </row>
    <row r="2266" spans="29:33" x14ac:dyDescent="0.25">
      <c r="AC2266" s="16">
        <v>2262</v>
      </c>
      <c r="AD2266" s="16">
        <f t="shared" si="124"/>
        <v>2565.2021265169856</v>
      </c>
      <c r="AE2266" s="16">
        <f t="shared" si="122"/>
        <v>96.278725249529032</v>
      </c>
      <c r="AF2266" s="16">
        <f>'Gearing Calculator'!$C$17*Braking!AD2266</f>
        <v>3847.8031897754781</v>
      </c>
      <c r="AG2266" s="16">
        <f t="shared" si="123"/>
        <v>-14.454557437173097</v>
      </c>
    </row>
    <row r="2267" spans="29:33" x14ac:dyDescent="0.25">
      <c r="AC2267" s="16">
        <v>2263</v>
      </c>
      <c r="AD2267" s="16">
        <f t="shared" si="124"/>
        <v>2565.7307844420593</v>
      </c>
      <c r="AE2267" s="16">
        <f t="shared" si="122"/>
        <v>96.321288788542972</v>
      </c>
      <c r="AF2267" s="16">
        <f>'Gearing Calculator'!$C$17*Braking!AD2267</f>
        <v>3848.596176663089</v>
      </c>
      <c r="AG2267" s="16">
        <f t="shared" si="123"/>
        <v>-14.457536351101011</v>
      </c>
    </row>
    <row r="2268" spans="29:33" x14ac:dyDescent="0.25">
      <c r="AC2268" s="16">
        <v>2264</v>
      </c>
      <c r="AD2268" s="16">
        <f t="shared" si="124"/>
        <v>2566.2594423671335</v>
      </c>
      <c r="AE2268" s="16">
        <f t="shared" si="122"/>
        <v>96.363852327556913</v>
      </c>
      <c r="AF2268" s="16">
        <f>'Gearing Calculator'!$C$17*Braking!AD2268</f>
        <v>3849.3891635507002</v>
      </c>
      <c r="AG2268" s="16">
        <f t="shared" si="123"/>
        <v>-14.460515265028928</v>
      </c>
    </row>
    <row r="2269" spans="29:33" x14ac:dyDescent="0.25">
      <c r="AC2269" s="16">
        <v>2265</v>
      </c>
      <c r="AD2269" s="16">
        <f t="shared" si="124"/>
        <v>2566.7881002922068</v>
      </c>
      <c r="AE2269" s="16">
        <f t="shared" si="122"/>
        <v>96.406415866570853</v>
      </c>
      <c r="AF2269" s="16">
        <f>'Gearing Calculator'!$C$17*Braking!AD2269</f>
        <v>3850.1821504383101</v>
      </c>
      <c r="AG2269" s="16">
        <f t="shared" si="123"/>
        <v>-14.463494178956838</v>
      </c>
    </row>
    <row r="2270" spans="29:33" x14ac:dyDescent="0.25">
      <c r="AC2270" s="16">
        <v>2266</v>
      </c>
      <c r="AD2270" s="16">
        <f t="shared" si="124"/>
        <v>2567.3167582172809</v>
      </c>
      <c r="AE2270" s="16">
        <f t="shared" si="122"/>
        <v>96.448979405584794</v>
      </c>
      <c r="AF2270" s="16">
        <f>'Gearing Calculator'!$C$17*Braking!AD2270</f>
        <v>3850.9751373259214</v>
      </c>
      <c r="AG2270" s="16">
        <f t="shared" si="123"/>
        <v>-14.466473092884755</v>
      </c>
    </row>
    <row r="2271" spans="29:33" x14ac:dyDescent="0.25">
      <c r="AC2271" s="16">
        <v>2267</v>
      </c>
      <c r="AD2271" s="16">
        <f t="shared" si="124"/>
        <v>2567.8454161423547</v>
      </c>
      <c r="AE2271" s="16">
        <f t="shared" si="122"/>
        <v>96.49154294459872</v>
      </c>
      <c r="AF2271" s="16">
        <f>'Gearing Calculator'!$C$17*Braking!AD2271</f>
        <v>3851.7681242135322</v>
      </c>
      <c r="AG2271" s="16">
        <f t="shared" si="123"/>
        <v>-14.469452006812668</v>
      </c>
    </row>
    <row r="2272" spans="29:33" x14ac:dyDescent="0.25">
      <c r="AC2272" s="16">
        <v>2268</v>
      </c>
      <c r="AD2272" s="16">
        <f t="shared" si="124"/>
        <v>2568.3740740674284</v>
      </c>
      <c r="AE2272" s="16">
        <f t="shared" si="122"/>
        <v>96.534106483612661</v>
      </c>
      <c r="AF2272" s="16">
        <f>'Gearing Calculator'!$C$17*Braking!AD2272</f>
        <v>3852.5611111011426</v>
      </c>
      <c r="AG2272" s="16">
        <f t="shared" si="123"/>
        <v>-14.472430920740582</v>
      </c>
    </row>
    <row r="2273" spans="29:33" x14ac:dyDescent="0.25">
      <c r="AC2273" s="16">
        <v>2269</v>
      </c>
      <c r="AD2273" s="16">
        <f t="shared" si="124"/>
        <v>2568.9027319925026</v>
      </c>
      <c r="AE2273" s="16">
        <f t="shared" si="122"/>
        <v>96.576670022626601</v>
      </c>
      <c r="AF2273" s="16">
        <f>'Gearing Calculator'!$C$17*Braking!AD2273</f>
        <v>3853.3540979887539</v>
      </c>
      <c r="AG2273" s="16">
        <f t="shared" si="123"/>
        <v>-14.475409834668497</v>
      </c>
    </row>
    <row r="2274" spans="29:33" x14ac:dyDescent="0.25">
      <c r="AC2274" s="16">
        <v>2270</v>
      </c>
      <c r="AD2274" s="16">
        <f t="shared" si="124"/>
        <v>2569.4313899175759</v>
      </c>
      <c r="AE2274" s="16">
        <f t="shared" si="122"/>
        <v>96.619233561640542</v>
      </c>
      <c r="AF2274" s="16">
        <f>'Gearing Calculator'!$C$17*Braking!AD2274</f>
        <v>3854.1470848763638</v>
      </c>
      <c r="AG2274" s="16">
        <f t="shared" si="123"/>
        <v>-14.478388748596409</v>
      </c>
    </row>
    <row r="2275" spans="29:33" x14ac:dyDescent="0.25">
      <c r="AC2275" s="16">
        <v>2271</v>
      </c>
      <c r="AD2275" s="16">
        <f t="shared" si="124"/>
        <v>2569.9600478426501</v>
      </c>
      <c r="AE2275" s="16">
        <f t="shared" si="122"/>
        <v>96.661797100654482</v>
      </c>
      <c r="AF2275" s="16">
        <f>'Gearing Calculator'!$C$17*Braking!AD2275</f>
        <v>3854.9400717639751</v>
      </c>
      <c r="AG2275" s="16">
        <f t="shared" si="123"/>
        <v>-14.481367662524324</v>
      </c>
    </row>
    <row r="2276" spans="29:33" x14ac:dyDescent="0.25">
      <c r="AC2276" s="16">
        <v>2272</v>
      </c>
      <c r="AD2276" s="16">
        <f t="shared" si="124"/>
        <v>2570.4887057677238</v>
      </c>
      <c r="AE2276" s="16">
        <f t="shared" si="122"/>
        <v>96.704360639668423</v>
      </c>
      <c r="AF2276" s="16">
        <f>'Gearing Calculator'!$C$17*Braking!AD2276</f>
        <v>3855.7330586515855</v>
      </c>
      <c r="AG2276" s="16">
        <f t="shared" si="123"/>
        <v>-14.484346576452237</v>
      </c>
    </row>
    <row r="2277" spans="29:33" x14ac:dyDescent="0.25">
      <c r="AC2277" s="16">
        <v>2273</v>
      </c>
      <c r="AD2277" s="16">
        <f t="shared" si="124"/>
        <v>2571.0173636927975</v>
      </c>
      <c r="AE2277" s="16">
        <f t="shared" si="122"/>
        <v>96.746924178682363</v>
      </c>
      <c r="AF2277" s="16">
        <f>'Gearing Calculator'!$C$17*Braking!AD2277</f>
        <v>3856.5260455391963</v>
      </c>
      <c r="AG2277" s="16">
        <f t="shared" si="123"/>
        <v>-14.487325490380153</v>
      </c>
    </row>
    <row r="2278" spans="29:33" x14ac:dyDescent="0.25">
      <c r="AC2278" s="16">
        <v>2274</v>
      </c>
      <c r="AD2278" s="16">
        <f t="shared" si="124"/>
        <v>2571.5460216178717</v>
      </c>
      <c r="AE2278" s="16">
        <f t="shared" si="122"/>
        <v>96.789487717696304</v>
      </c>
      <c r="AF2278" s="16">
        <f>'Gearing Calculator'!$C$17*Braking!AD2278</f>
        <v>3857.3190324268076</v>
      </c>
      <c r="AG2278" s="16">
        <f t="shared" si="123"/>
        <v>-14.490304404308068</v>
      </c>
    </row>
    <row r="2279" spans="29:33" x14ac:dyDescent="0.25">
      <c r="AC2279" s="16">
        <v>2275</v>
      </c>
      <c r="AD2279" s="16">
        <f t="shared" si="124"/>
        <v>2572.074679542945</v>
      </c>
      <c r="AE2279" s="16">
        <f t="shared" si="122"/>
        <v>96.83205125671023</v>
      </c>
      <c r="AF2279" s="16">
        <f>'Gearing Calculator'!$C$17*Braking!AD2279</f>
        <v>3858.1120193144175</v>
      </c>
      <c r="AG2279" s="16">
        <f t="shared" si="123"/>
        <v>-14.49328331823598</v>
      </c>
    </row>
    <row r="2280" spans="29:33" x14ac:dyDescent="0.25">
      <c r="AC2280" s="16">
        <v>2276</v>
      </c>
      <c r="AD2280" s="16">
        <f t="shared" si="124"/>
        <v>2572.6033374680192</v>
      </c>
      <c r="AE2280" s="16">
        <f t="shared" si="122"/>
        <v>96.87461479572417</v>
      </c>
      <c r="AF2280" s="16">
        <f>'Gearing Calculator'!$C$17*Braking!AD2280</f>
        <v>3858.9050062020287</v>
      </c>
      <c r="AG2280" s="16">
        <f t="shared" si="123"/>
        <v>-14.496262232163895</v>
      </c>
    </row>
    <row r="2281" spans="29:33" x14ac:dyDescent="0.25">
      <c r="AC2281" s="16">
        <v>2277</v>
      </c>
      <c r="AD2281" s="16">
        <f t="shared" si="124"/>
        <v>2573.1319953930929</v>
      </c>
      <c r="AE2281" s="16">
        <f t="shared" si="122"/>
        <v>96.917178334738111</v>
      </c>
      <c r="AF2281" s="16">
        <f>'Gearing Calculator'!$C$17*Braking!AD2281</f>
        <v>3859.6979930896396</v>
      </c>
      <c r="AG2281" s="16">
        <f t="shared" si="123"/>
        <v>-14.49924114609181</v>
      </c>
    </row>
    <row r="2282" spans="29:33" x14ac:dyDescent="0.25">
      <c r="AC2282" s="16">
        <v>2278</v>
      </c>
      <c r="AD2282" s="16">
        <f t="shared" si="124"/>
        <v>2573.6606533181666</v>
      </c>
      <c r="AE2282" s="16">
        <f t="shared" si="122"/>
        <v>96.959741873752051</v>
      </c>
      <c r="AF2282" s="16">
        <f>'Gearing Calculator'!$C$17*Braking!AD2282</f>
        <v>3860.4909799772499</v>
      </c>
      <c r="AG2282" s="16">
        <f t="shared" si="123"/>
        <v>-14.502220060019722</v>
      </c>
    </row>
    <row r="2283" spans="29:33" x14ac:dyDescent="0.25">
      <c r="AC2283" s="16">
        <v>2279</v>
      </c>
      <c r="AD2283" s="16">
        <f t="shared" si="124"/>
        <v>2574.1893112432408</v>
      </c>
      <c r="AE2283" s="16">
        <f t="shared" si="122"/>
        <v>97.002305412765992</v>
      </c>
      <c r="AF2283" s="16">
        <f>'Gearing Calculator'!$C$17*Braking!AD2283</f>
        <v>3861.2839668648612</v>
      </c>
      <c r="AG2283" s="16">
        <f t="shared" si="123"/>
        <v>-14.505198973947639</v>
      </c>
    </row>
    <row r="2284" spans="29:33" x14ac:dyDescent="0.25">
      <c r="AC2284" s="16">
        <v>2280</v>
      </c>
      <c r="AD2284" s="16">
        <f t="shared" si="124"/>
        <v>2574.7179691683141</v>
      </c>
      <c r="AE2284" s="16">
        <f t="shared" si="122"/>
        <v>97.044868951779932</v>
      </c>
      <c r="AF2284" s="16">
        <f>'Gearing Calculator'!$C$17*Braking!AD2284</f>
        <v>3862.0769537524711</v>
      </c>
      <c r="AG2284" s="16">
        <f t="shared" si="123"/>
        <v>-14.508177887875549</v>
      </c>
    </row>
    <row r="2285" spans="29:33" x14ac:dyDescent="0.25">
      <c r="AC2285" s="16">
        <v>2281</v>
      </c>
      <c r="AD2285" s="16">
        <f t="shared" si="124"/>
        <v>2575.2466270933883</v>
      </c>
      <c r="AE2285" s="16">
        <f t="shared" si="122"/>
        <v>97.087432490793873</v>
      </c>
      <c r="AF2285" s="16">
        <f>'Gearing Calculator'!$C$17*Braking!AD2285</f>
        <v>3862.8699406400824</v>
      </c>
      <c r="AG2285" s="16">
        <f t="shared" si="123"/>
        <v>-14.511156801803466</v>
      </c>
    </row>
    <row r="2286" spans="29:33" x14ac:dyDescent="0.25">
      <c r="AC2286" s="16">
        <v>2282</v>
      </c>
      <c r="AD2286" s="16">
        <f t="shared" si="124"/>
        <v>2575.775285018462</v>
      </c>
      <c r="AE2286" s="16">
        <f t="shared" si="122"/>
        <v>97.129996029807799</v>
      </c>
      <c r="AF2286" s="16">
        <f>'Gearing Calculator'!$C$17*Braking!AD2286</f>
        <v>3863.6629275276928</v>
      </c>
      <c r="AG2286" s="16">
        <f t="shared" si="123"/>
        <v>-14.514135715731378</v>
      </c>
    </row>
    <row r="2287" spans="29:33" x14ac:dyDescent="0.25">
      <c r="AC2287" s="16">
        <v>2283</v>
      </c>
      <c r="AD2287" s="16">
        <f t="shared" si="124"/>
        <v>2576.3039429435357</v>
      </c>
      <c r="AE2287" s="16">
        <f t="shared" si="122"/>
        <v>97.17255956882174</v>
      </c>
      <c r="AF2287" s="16">
        <f>'Gearing Calculator'!$C$17*Braking!AD2287</f>
        <v>3864.4559144153036</v>
      </c>
      <c r="AG2287" s="16">
        <f t="shared" si="123"/>
        <v>-14.517114629659293</v>
      </c>
    </row>
    <row r="2288" spans="29:33" x14ac:dyDescent="0.25">
      <c r="AC2288" s="16">
        <v>2284</v>
      </c>
      <c r="AD2288" s="16">
        <f t="shared" si="124"/>
        <v>2576.8326008686099</v>
      </c>
      <c r="AE2288" s="16">
        <f t="shared" si="122"/>
        <v>97.21512310783568</v>
      </c>
      <c r="AF2288" s="16">
        <f>'Gearing Calculator'!$C$17*Braking!AD2288</f>
        <v>3865.2489013029149</v>
      </c>
      <c r="AG2288" s="16">
        <f t="shared" si="123"/>
        <v>-14.520093543587208</v>
      </c>
    </row>
    <row r="2289" spans="29:33" x14ac:dyDescent="0.25">
      <c r="AC2289" s="16">
        <v>2285</v>
      </c>
      <c r="AD2289" s="16">
        <f t="shared" si="124"/>
        <v>2577.3612587936832</v>
      </c>
      <c r="AE2289" s="16">
        <f t="shared" si="122"/>
        <v>97.257686646849621</v>
      </c>
      <c r="AF2289" s="16">
        <f>'Gearing Calculator'!$C$17*Braking!AD2289</f>
        <v>3866.0418881905248</v>
      </c>
      <c r="AG2289" s="16">
        <f t="shared" si="123"/>
        <v>-14.52307245751512</v>
      </c>
    </row>
    <row r="2290" spans="29:33" x14ac:dyDescent="0.25">
      <c r="AC2290" s="16">
        <v>2286</v>
      </c>
      <c r="AD2290" s="16">
        <f t="shared" si="124"/>
        <v>2577.8899167187574</v>
      </c>
      <c r="AE2290" s="16">
        <f t="shared" si="122"/>
        <v>97.300250185863561</v>
      </c>
      <c r="AF2290" s="16">
        <f>'Gearing Calculator'!$C$17*Braking!AD2290</f>
        <v>3866.8348750781361</v>
      </c>
      <c r="AG2290" s="16">
        <f t="shared" si="123"/>
        <v>-14.526051371443037</v>
      </c>
    </row>
    <row r="2291" spans="29:33" x14ac:dyDescent="0.25">
      <c r="AC2291" s="16">
        <v>2287</v>
      </c>
      <c r="AD2291" s="16">
        <f t="shared" si="124"/>
        <v>2578.4185746438311</v>
      </c>
      <c r="AE2291" s="16">
        <f t="shared" si="122"/>
        <v>97.342813724877502</v>
      </c>
      <c r="AF2291" s="16">
        <f>'Gearing Calculator'!$C$17*Braking!AD2291</f>
        <v>3867.6278619657469</v>
      </c>
      <c r="AG2291" s="16">
        <f t="shared" si="123"/>
        <v>-14.529030285370951</v>
      </c>
    </row>
    <row r="2292" spans="29:33" x14ac:dyDescent="0.25">
      <c r="AC2292" s="16">
        <v>2288</v>
      </c>
      <c r="AD2292" s="16">
        <f t="shared" si="124"/>
        <v>2578.9472325689048</v>
      </c>
      <c r="AE2292" s="16">
        <f t="shared" si="122"/>
        <v>97.385377263891442</v>
      </c>
      <c r="AF2292" s="16">
        <f>'Gearing Calculator'!$C$17*Braking!AD2292</f>
        <v>3868.4208488533573</v>
      </c>
      <c r="AG2292" s="16">
        <f t="shared" si="123"/>
        <v>-14.532009199298864</v>
      </c>
    </row>
    <row r="2293" spans="29:33" x14ac:dyDescent="0.25">
      <c r="AC2293" s="16">
        <v>2289</v>
      </c>
      <c r="AD2293" s="16">
        <f t="shared" si="124"/>
        <v>2579.475890493979</v>
      </c>
      <c r="AE2293" s="16">
        <f t="shared" si="122"/>
        <v>97.427940802905383</v>
      </c>
      <c r="AF2293" s="16">
        <f>'Gearing Calculator'!$C$17*Braking!AD2293</f>
        <v>3869.2138357409685</v>
      </c>
      <c r="AG2293" s="16">
        <f t="shared" si="123"/>
        <v>-14.534988113226779</v>
      </c>
    </row>
    <row r="2294" spans="29:33" x14ac:dyDescent="0.25">
      <c r="AC2294" s="16">
        <v>2290</v>
      </c>
      <c r="AD2294" s="16">
        <f t="shared" si="124"/>
        <v>2580.0045484190523</v>
      </c>
      <c r="AE2294" s="16">
        <f t="shared" si="122"/>
        <v>97.470504341919309</v>
      </c>
      <c r="AF2294" s="16">
        <f>'Gearing Calculator'!$C$17*Braking!AD2294</f>
        <v>3870.0068226285784</v>
      </c>
      <c r="AG2294" s="16">
        <f t="shared" si="123"/>
        <v>-14.537967027154691</v>
      </c>
    </row>
    <row r="2295" spans="29:33" x14ac:dyDescent="0.25">
      <c r="AC2295" s="16">
        <v>2291</v>
      </c>
      <c r="AD2295" s="16">
        <f t="shared" si="124"/>
        <v>2580.5332063441265</v>
      </c>
      <c r="AE2295" s="16">
        <f t="shared" si="122"/>
        <v>97.513067880933249</v>
      </c>
      <c r="AF2295" s="16">
        <f>'Gearing Calculator'!$C$17*Braking!AD2295</f>
        <v>3870.7998095161897</v>
      </c>
      <c r="AG2295" s="16">
        <f t="shared" si="123"/>
        <v>-14.540945941082606</v>
      </c>
    </row>
    <row r="2296" spans="29:33" x14ac:dyDescent="0.25">
      <c r="AC2296" s="16">
        <v>2292</v>
      </c>
      <c r="AD2296" s="16">
        <f t="shared" si="124"/>
        <v>2581.0618642692002</v>
      </c>
      <c r="AE2296" s="16">
        <f t="shared" si="122"/>
        <v>97.55563141994719</v>
      </c>
      <c r="AF2296" s="16">
        <f>'Gearing Calculator'!$C$17*Braking!AD2296</f>
        <v>3871.5927964038001</v>
      </c>
      <c r="AG2296" s="16">
        <f t="shared" si="123"/>
        <v>-14.54392485501052</v>
      </c>
    </row>
    <row r="2297" spans="29:33" x14ac:dyDescent="0.25">
      <c r="AC2297" s="16">
        <v>2293</v>
      </c>
      <c r="AD2297" s="16">
        <f t="shared" si="124"/>
        <v>2581.5905221942739</v>
      </c>
      <c r="AE2297" s="16">
        <f t="shared" si="122"/>
        <v>97.59819495896113</v>
      </c>
      <c r="AF2297" s="16">
        <f>'Gearing Calculator'!$C$17*Braking!AD2297</f>
        <v>3872.3857832914109</v>
      </c>
      <c r="AG2297" s="16">
        <f t="shared" si="123"/>
        <v>-14.546903768938433</v>
      </c>
    </row>
    <row r="2298" spans="29:33" x14ac:dyDescent="0.25">
      <c r="AC2298" s="16">
        <v>2294</v>
      </c>
      <c r="AD2298" s="16">
        <f t="shared" si="124"/>
        <v>2582.1191801193481</v>
      </c>
      <c r="AE2298" s="16">
        <f t="shared" si="122"/>
        <v>97.640758497975071</v>
      </c>
      <c r="AF2298" s="16">
        <f>'Gearing Calculator'!$C$17*Braking!AD2298</f>
        <v>3873.1787701790222</v>
      </c>
      <c r="AG2298" s="16">
        <f t="shared" si="123"/>
        <v>-14.54988268286635</v>
      </c>
    </row>
    <row r="2299" spans="29:33" x14ac:dyDescent="0.25">
      <c r="AC2299" s="16">
        <v>2295</v>
      </c>
      <c r="AD2299" s="16">
        <f t="shared" si="124"/>
        <v>2582.6478380444214</v>
      </c>
      <c r="AE2299" s="16">
        <f t="shared" si="122"/>
        <v>97.683322036989011</v>
      </c>
      <c r="AF2299" s="16">
        <f>'Gearing Calculator'!$C$17*Braking!AD2299</f>
        <v>3873.9717570666321</v>
      </c>
      <c r="AG2299" s="16">
        <f t="shared" si="123"/>
        <v>-14.55286159679426</v>
      </c>
    </row>
    <row r="2300" spans="29:33" x14ac:dyDescent="0.25">
      <c r="AC2300" s="16">
        <v>2296</v>
      </c>
      <c r="AD2300" s="16">
        <f t="shared" si="124"/>
        <v>2583.1764959694956</v>
      </c>
      <c r="AE2300" s="16">
        <f t="shared" si="122"/>
        <v>97.725885576002952</v>
      </c>
      <c r="AF2300" s="16">
        <f>'Gearing Calculator'!$C$17*Braking!AD2300</f>
        <v>3874.7647439542434</v>
      </c>
      <c r="AG2300" s="16">
        <f t="shared" si="123"/>
        <v>-14.555840510722177</v>
      </c>
    </row>
    <row r="2301" spans="29:33" x14ac:dyDescent="0.25">
      <c r="AC2301" s="16">
        <v>2297</v>
      </c>
      <c r="AD2301" s="16">
        <f t="shared" si="124"/>
        <v>2583.7051538945693</v>
      </c>
      <c r="AE2301" s="16">
        <f t="shared" si="122"/>
        <v>97.768449115016878</v>
      </c>
      <c r="AF2301" s="16">
        <f>'Gearing Calculator'!$C$17*Braking!AD2301</f>
        <v>3875.5577308418542</v>
      </c>
      <c r="AG2301" s="16">
        <f t="shared" si="123"/>
        <v>-14.558819424650091</v>
      </c>
    </row>
    <row r="2302" spans="29:33" x14ac:dyDescent="0.25">
      <c r="AC2302" s="16">
        <v>2298</v>
      </c>
      <c r="AD2302" s="16">
        <f t="shared" si="124"/>
        <v>2584.2338118196431</v>
      </c>
      <c r="AE2302" s="16">
        <f t="shared" si="122"/>
        <v>97.811012654030819</v>
      </c>
      <c r="AF2302" s="16">
        <f>'Gearing Calculator'!$C$17*Braking!AD2302</f>
        <v>3876.3507177294646</v>
      </c>
      <c r="AG2302" s="16">
        <f t="shared" si="123"/>
        <v>-14.561798338578004</v>
      </c>
    </row>
    <row r="2303" spans="29:33" x14ac:dyDescent="0.25">
      <c r="AC2303" s="16">
        <v>2299</v>
      </c>
      <c r="AD2303" s="16">
        <f t="shared" si="124"/>
        <v>2584.7624697447172</v>
      </c>
      <c r="AE2303" s="16">
        <f t="shared" ref="AE2303:AE2354" si="125">(AC2303/$X$104)*100</f>
        <v>97.853576193044759</v>
      </c>
      <c r="AF2303" s="16">
        <f>'Gearing Calculator'!$C$17*Braking!AD2303</f>
        <v>3877.1437046170759</v>
      </c>
      <c r="AG2303" s="16">
        <f t="shared" si="123"/>
        <v>-14.56477725250592</v>
      </c>
    </row>
    <row r="2304" spans="29:33" x14ac:dyDescent="0.25">
      <c r="AC2304" s="16">
        <v>2300</v>
      </c>
      <c r="AD2304" s="16">
        <f t="shared" si="124"/>
        <v>2585.291127669791</v>
      </c>
      <c r="AE2304" s="16">
        <f t="shared" si="125"/>
        <v>97.8961397320587</v>
      </c>
      <c r="AF2304" s="16">
        <f>'Gearing Calculator'!$C$17*Braking!AD2304</f>
        <v>3877.9366915046867</v>
      </c>
      <c r="AG2304" s="16">
        <f t="shared" si="123"/>
        <v>-14.567756166433835</v>
      </c>
    </row>
    <row r="2305" spans="29:33" x14ac:dyDescent="0.25">
      <c r="AC2305" s="16">
        <v>2301</v>
      </c>
      <c r="AD2305" s="16">
        <f t="shared" si="124"/>
        <v>2585.8197855948647</v>
      </c>
      <c r="AE2305" s="16">
        <f t="shared" si="125"/>
        <v>97.93870327107264</v>
      </c>
      <c r="AF2305" s="16">
        <f>'Gearing Calculator'!$C$17*Braking!AD2305</f>
        <v>3878.729678392297</v>
      </c>
      <c r="AG2305" s="16">
        <f t="shared" si="123"/>
        <v>-14.570735080361748</v>
      </c>
    </row>
    <row r="2306" spans="29:33" x14ac:dyDescent="0.25">
      <c r="AC2306" s="16">
        <v>2302</v>
      </c>
      <c r="AD2306" s="16">
        <f t="shared" si="124"/>
        <v>2586.3484435199384</v>
      </c>
      <c r="AE2306" s="16">
        <f t="shared" si="125"/>
        <v>97.981266810086581</v>
      </c>
      <c r="AF2306" s="16">
        <f>'Gearing Calculator'!$C$17*Braking!AD2306</f>
        <v>3879.5226652799074</v>
      </c>
      <c r="AG2306" s="16">
        <f t="shared" si="123"/>
        <v>-14.57371399428966</v>
      </c>
    </row>
    <row r="2307" spans="29:33" x14ac:dyDescent="0.25">
      <c r="AC2307" s="16">
        <v>2303</v>
      </c>
      <c r="AD2307" s="16">
        <f t="shared" si="124"/>
        <v>2586.8771014450122</v>
      </c>
      <c r="AE2307" s="16">
        <f t="shared" si="125"/>
        <v>98.023830349100521</v>
      </c>
      <c r="AF2307" s="16">
        <f>'Gearing Calculator'!$C$17*Braking!AD2307</f>
        <v>3880.3156521675182</v>
      </c>
      <c r="AG2307" s="16">
        <f t="shared" si="123"/>
        <v>-14.576692908217575</v>
      </c>
    </row>
    <row r="2308" spans="29:33" x14ac:dyDescent="0.25">
      <c r="AC2308" s="16">
        <v>2304</v>
      </c>
      <c r="AD2308" s="16">
        <f t="shared" si="124"/>
        <v>2587.4057593700863</v>
      </c>
      <c r="AE2308" s="16">
        <f t="shared" si="125"/>
        <v>98.066393888114462</v>
      </c>
      <c r="AF2308" s="16">
        <f>'Gearing Calculator'!$C$17*Braking!AD2308</f>
        <v>3881.1086390551295</v>
      </c>
      <c r="AG2308" s="16">
        <f t="shared" si="123"/>
        <v>-14.579671822145491</v>
      </c>
    </row>
    <row r="2309" spans="29:33" x14ac:dyDescent="0.25">
      <c r="AC2309" s="16">
        <v>2305</v>
      </c>
      <c r="AD2309" s="16">
        <f t="shared" si="124"/>
        <v>2587.9344172951601</v>
      </c>
      <c r="AE2309" s="16">
        <f t="shared" si="125"/>
        <v>98.108957427128388</v>
      </c>
      <c r="AF2309" s="16">
        <f>'Gearing Calculator'!$C$17*Braking!AD2309</f>
        <v>3881.9016259427399</v>
      </c>
      <c r="AG2309" s="16">
        <f t="shared" si="123"/>
        <v>-14.582650736073404</v>
      </c>
    </row>
    <row r="2310" spans="29:33" x14ac:dyDescent="0.25">
      <c r="AC2310" s="16">
        <v>2306</v>
      </c>
      <c r="AD2310" s="16">
        <f t="shared" si="124"/>
        <v>2588.4630752202338</v>
      </c>
      <c r="AE2310" s="16">
        <f t="shared" si="125"/>
        <v>98.151520966142328</v>
      </c>
      <c r="AF2310" s="16">
        <f>'Gearing Calculator'!$C$17*Braking!AD2310</f>
        <v>3882.6946128303507</v>
      </c>
      <c r="AG2310" s="16">
        <f t="shared" ref="AG2310:AG2354" si="126">-(AF2310/$C$3)</f>
        <v>-14.585629650001318</v>
      </c>
    </row>
    <row r="2311" spans="29:33" x14ac:dyDescent="0.25">
      <c r="AC2311" s="16">
        <v>2307</v>
      </c>
      <c r="AD2311" s="16">
        <f t="shared" ref="AD2311:AD2354" si="127">($C$3*$C$4)*($C$9/$C$8)+(AC2311*($C$10/$C$8))</f>
        <v>2588.9917331453075</v>
      </c>
      <c r="AE2311" s="16">
        <f t="shared" si="125"/>
        <v>98.194084505156269</v>
      </c>
      <c r="AF2311" s="16">
        <f>'Gearing Calculator'!$C$17*Braking!AD2311</f>
        <v>3883.4875997179615</v>
      </c>
      <c r="AG2311" s="16">
        <f t="shared" si="126"/>
        <v>-14.588608563929233</v>
      </c>
    </row>
    <row r="2312" spans="29:33" x14ac:dyDescent="0.25">
      <c r="AC2312" s="16">
        <v>2308</v>
      </c>
      <c r="AD2312" s="16">
        <f t="shared" si="127"/>
        <v>2589.5203910703813</v>
      </c>
      <c r="AE2312" s="16">
        <f t="shared" si="125"/>
        <v>98.236648044170209</v>
      </c>
      <c r="AF2312" s="16">
        <f>'Gearing Calculator'!$C$17*Braking!AD2312</f>
        <v>3884.2805866055719</v>
      </c>
      <c r="AG2312" s="16">
        <f t="shared" si="126"/>
        <v>-14.591587477857145</v>
      </c>
    </row>
    <row r="2313" spans="29:33" x14ac:dyDescent="0.25">
      <c r="AC2313" s="16">
        <v>2309</v>
      </c>
      <c r="AD2313" s="16">
        <f t="shared" si="127"/>
        <v>2590.0490489954555</v>
      </c>
      <c r="AE2313" s="16">
        <f t="shared" si="125"/>
        <v>98.27921158318415</v>
      </c>
      <c r="AF2313" s="16">
        <f>'Gearing Calculator'!$C$17*Braking!AD2313</f>
        <v>3885.0735734931832</v>
      </c>
      <c r="AG2313" s="16">
        <f t="shared" si="126"/>
        <v>-14.594566391785062</v>
      </c>
    </row>
    <row r="2314" spans="29:33" x14ac:dyDescent="0.25">
      <c r="AC2314" s="16">
        <v>2310</v>
      </c>
      <c r="AD2314" s="16">
        <f t="shared" si="127"/>
        <v>2590.5777069205292</v>
      </c>
      <c r="AE2314" s="16">
        <f t="shared" si="125"/>
        <v>98.32177512219809</v>
      </c>
      <c r="AF2314" s="16">
        <f>'Gearing Calculator'!$C$17*Braking!AD2314</f>
        <v>3885.866560380794</v>
      </c>
      <c r="AG2314" s="16">
        <f t="shared" si="126"/>
        <v>-14.597545305712975</v>
      </c>
    </row>
    <row r="2315" spans="29:33" x14ac:dyDescent="0.25">
      <c r="AC2315" s="16">
        <v>2311</v>
      </c>
      <c r="AD2315" s="16">
        <f t="shared" si="127"/>
        <v>2591.1063648456029</v>
      </c>
      <c r="AE2315" s="16">
        <f t="shared" si="125"/>
        <v>98.364338661212031</v>
      </c>
      <c r="AF2315" s="16">
        <f>'Gearing Calculator'!$C$17*Braking!AD2315</f>
        <v>3886.6595472684044</v>
      </c>
      <c r="AG2315" s="16">
        <f t="shared" si="126"/>
        <v>-14.600524219640889</v>
      </c>
    </row>
    <row r="2316" spans="29:33" x14ac:dyDescent="0.25">
      <c r="AC2316" s="16">
        <v>2312</v>
      </c>
      <c r="AD2316" s="16">
        <f t="shared" si="127"/>
        <v>2591.6350227706766</v>
      </c>
      <c r="AE2316" s="16">
        <f t="shared" si="125"/>
        <v>98.406902200225957</v>
      </c>
      <c r="AF2316" s="16">
        <f>'Gearing Calculator'!$C$17*Braking!AD2316</f>
        <v>3887.4525341560147</v>
      </c>
      <c r="AG2316" s="16">
        <f t="shared" si="126"/>
        <v>-14.603503133568802</v>
      </c>
    </row>
    <row r="2317" spans="29:33" x14ac:dyDescent="0.25">
      <c r="AC2317" s="16">
        <v>2313</v>
      </c>
      <c r="AD2317" s="16">
        <f t="shared" si="127"/>
        <v>2592.1636806957504</v>
      </c>
      <c r="AE2317" s="16">
        <f t="shared" si="125"/>
        <v>98.449465739239898</v>
      </c>
      <c r="AF2317" s="16">
        <f>'Gearing Calculator'!$C$17*Braking!AD2317</f>
        <v>3888.2455210436256</v>
      </c>
      <c r="AG2317" s="16">
        <f t="shared" si="126"/>
        <v>-14.606482047496716</v>
      </c>
    </row>
    <row r="2318" spans="29:33" x14ac:dyDescent="0.25">
      <c r="AC2318" s="16">
        <v>2314</v>
      </c>
      <c r="AD2318" s="16">
        <f t="shared" si="127"/>
        <v>2592.6923386208246</v>
      </c>
      <c r="AE2318" s="16">
        <f t="shared" si="125"/>
        <v>98.492029278253838</v>
      </c>
      <c r="AF2318" s="16">
        <f>'Gearing Calculator'!$C$17*Braking!AD2318</f>
        <v>3889.0385079312368</v>
      </c>
      <c r="AG2318" s="16">
        <f t="shared" si="126"/>
        <v>-14.609460961424633</v>
      </c>
    </row>
    <row r="2319" spans="29:33" x14ac:dyDescent="0.25">
      <c r="AC2319" s="16">
        <v>2315</v>
      </c>
      <c r="AD2319" s="16">
        <f t="shared" si="127"/>
        <v>2593.2209965458983</v>
      </c>
      <c r="AE2319" s="16">
        <f t="shared" si="125"/>
        <v>98.534592817267779</v>
      </c>
      <c r="AF2319" s="16">
        <f>'Gearing Calculator'!$C$17*Braking!AD2319</f>
        <v>3889.8314948188472</v>
      </c>
      <c r="AG2319" s="16">
        <f t="shared" si="126"/>
        <v>-14.612439875352544</v>
      </c>
    </row>
    <row r="2320" spans="29:33" x14ac:dyDescent="0.25">
      <c r="AC2320" s="16">
        <v>2316</v>
      </c>
      <c r="AD2320" s="16">
        <f t="shared" si="127"/>
        <v>2593.749654470972</v>
      </c>
      <c r="AE2320" s="16">
        <f t="shared" si="125"/>
        <v>98.577156356281719</v>
      </c>
      <c r="AF2320" s="16">
        <f>'Gearing Calculator'!$C$17*Braking!AD2320</f>
        <v>3890.624481706458</v>
      </c>
      <c r="AG2320" s="16">
        <f t="shared" si="126"/>
        <v>-14.61541878928046</v>
      </c>
    </row>
    <row r="2321" spans="29:33" x14ac:dyDescent="0.25">
      <c r="AC2321" s="16">
        <v>2317</v>
      </c>
      <c r="AD2321" s="16">
        <f t="shared" si="127"/>
        <v>2594.2783123960457</v>
      </c>
      <c r="AE2321" s="16">
        <f t="shared" si="125"/>
        <v>98.61971989529566</v>
      </c>
      <c r="AF2321" s="16">
        <f>'Gearing Calculator'!$C$17*Braking!AD2321</f>
        <v>3891.4174685940689</v>
      </c>
      <c r="AG2321" s="16">
        <f t="shared" si="126"/>
        <v>-14.618397703208373</v>
      </c>
    </row>
    <row r="2322" spans="29:33" x14ac:dyDescent="0.25">
      <c r="AC2322" s="16">
        <v>2318</v>
      </c>
      <c r="AD2322" s="16">
        <f t="shared" si="127"/>
        <v>2594.8069703211195</v>
      </c>
      <c r="AE2322" s="16">
        <f t="shared" si="125"/>
        <v>98.6622834343096</v>
      </c>
      <c r="AF2322" s="16">
        <f>'Gearing Calculator'!$C$17*Braking!AD2322</f>
        <v>3892.2104554816792</v>
      </c>
      <c r="AG2322" s="16">
        <f t="shared" si="126"/>
        <v>-14.621376617136287</v>
      </c>
    </row>
    <row r="2323" spans="29:33" x14ac:dyDescent="0.25">
      <c r="AC2323" s="16">
        <v>2319</v>
      </c>
      <c r="AD2323" s="16">
        <f t="shared" si="127"/>
        <v>2595.3356282461937</v>
      </c>
      <c r="AE2323" s="16">
        <f t="shared" si="125"/>
        <v>98.704846973323527</v>
      </c>
      <c r="AF2323" s="16">
        <f>'Gearing Calculator'!$C$17*Braking!AD2323</f>
        <v>3893.0034423692905</v>
      </c>
      <c r="AG2323" s="16">
        <f t="shared" si="126"/>
        <v>-14.624355531064202</v>
      </c>
    </row>
    <row r="2324" spans="29:33" x14ac:dyDescent="0.25">
      <c r="AC2324" s="16">
        <v>2320</v>
      </c>
      <c r="AD2324" s="16">
        <f t="shared" si="127"/>
        <v>2595.8642861712674</v>
      </c>
      <c r="AE2324" s="16">
        <f t="shared" si="125"/>
        <v>98.747410512337467</v>
      </c>
      <c r="AF2324" s="16">
        <f>'Gearing Calculator'!$C$17*Braking!AD2324</f>
        <v>3893.7964292569013</v>
      </c>
      <c r="AG2324" s="16">
        <f t="shared" si="126"/>
        <v>-14.627334444992117</v>
      </c>
    </row>
    <row r="2325" spans="29:33" x14ac:dyDescent="0.25">
      <c r="AC2325" s="16">
        <v>2321</v>
      </c>
      <c r="AD2325" s="16">
        <f t="shared" si="127"/>
        <v>2596.3929440963411</v>
      </c>
      <c r="AE2325" s="16">
        <f t="shared" si="125"/>
        <v>98.789974051351408</v>
      </c>
      <c r="AF2325" s="16">
        <f>'Gearing Calculator'!$C$17*Braking!AD2325</f>
        <v>3894.5894161445117</v>
      </c>
      <c r="AG2325" s="16">
        <f t="shared" si="126"/>
        <v>-14.630313358920029</v>
      </c>
    </row>
    <row r="2326" spans="29:33" x14ac:dyDescent="0.25">
      <c r="AC2326" s="16">
        <v>2322</v>
      </c>
      <c r="AD2326" s="16">
        <f t="shared" si="127"/>
        <v>2596.9216020214149</v>
      </c>
      <c r="AE2326" s="16">
        <f t="shared" si="125"/>
        <v>98.832537590365348</v>
      </c>
      <c r="AF2326" s="16">
        <f>'Gearing Calculator'!$C$17*Braking!AD2326</f>
        <v>3895.3824030321221</v>
      </c>
      <c r="AG2326" s="16">
        <f t="shared" si="126"/>
        <v>-14.633292272847942</v>
      </c>
    </row>
    <row r="2327" spans="29:33" x14ac:dyDescent="0.25">
      <c r="AC2327" s="16">
        <v>2323</v>
      </c>
      <c r="AD2327" s="16">
        <f t="shared" si="127"/>
        <v>2597.4502599464886</v>
      </c>
      <c r="AE2327" s="16">
        <f t="shared" si="125"/>
        <v>98.875101129379289</v>
      </c>
      <c r="AF2327" s="16">
        <f>'Gearing Calculator'!$C$17*Braking!AD2327</f>
        <v>3896.1753899197329</v>
      </c>
      <c r="AG2327" s="16">
        <f t="shared" si="126"/>
        <v>-14.636271186775856</v>
      </c>
    </row>
    <row r="2328" spans="29:33" x14ac:dyDescent="0.25">
      <c r="AC2328" s="16">
        <v>2324</v>
      </c>
      <c r="AD2328" s="16">
        <f t="shared" si="127"/>
        <v>2597.9789178715628</v>
      </c>
      <c r="AE2328" s="16">
        <f t="shared" si="125"/>
        <v>98.917664668393229</v>
      </c>
      <c r="AF2328" s="16">
        <f>'Gearing Calculator'!$C$17*Braking!AD2328</f>
        <v>3896.9683768073442</v>
      </c>
      <c r="AG2328" s="16">
        <f t="shared" si="126"/>
        <v>-14.639250100703773</v>
      </c>
    </row>
    <row r="2329" spans="29:33" x14ac:dyDescent="0.25">
      <c r="AC2329" s="16">
        <v>2325</v>
      </c>
      <c r="AD2329" s="16">
        <f t="shared" si="127"/>
        <v>2598.5075757966365</v>
      </c>
      <c r="AE2329" s="16">
        <f t="shared" si="125"/>
        <v>98.96022820740717</v>
      </c>
      <c r="AF2329" s="16">
        <f>'Gearing Calculator'!$C$17*Braking!AD2329</f>
        <v>3897.7613636949545</v>
      </c>
      <c r="AG2329" s="16">
        <f t="shared" si="126"/>
        <v>-14.642229014631685</v>
      </c>
    </row>
    <row r="2330" spans="29:33" x14ac:dyDescent="0.25">
      <c r="AC2330" s="16">
        <v>2326</v>
      </c>
      <c r="AD2330" s="16">
        <f t="shared" si="127"/>
        <v>2599.0362337217102</v>
      </c>
      <c r="AE2330" s="16">
        <f t="shared" si="125"/>
        <v>99.00279174642111</v>
      </c>
      <c r="AF2330" s="16">
        <f>'Gearing Calculator'!$C$17*Braking!AD2330</f>
        <v>3898.5543505825653</v>
      </c>
      <c r="AG2330" s="16">
        <f t="shared" si="126"/>
        <v>-14.6452079285596</v>
      </c>
    </row>
    <row r="2331" spans="29:33" x14ac:dyDescent="0.25">
      <c r="AC2331" s="16">
        <v>2327</v>
      </c>
      <c r="AD2331" s="16">
        <f t="shared" si="127"/>
        <v>2599.564891646784</v>
      </c>
      <c r="AE2331" s="16">
        <f t="shared" si="125"/>
        <v>99.045355285435036</v>
      </c>
      <c r="AF2331" s="16">
        <f>'Gearing Calculator'!$C$17*Braking!AD2331</f>
        <v>3899.3473374701762</v>
      </c>
      <c r="AG2331" s="16">
        <f t="shared" si="126"/>
        <v>-14.648186842487515</v>
      </c>
    </row>
    <row r="2332" spans="29:33" x14ac:dyDescent="0.25">
      <c r="AC2332" s="16">
        <v>2328</v>
      </c>
      <c r="AD2332" s="16">
        <f t="shared" si="127"/>
        <v>2600.0935495718577</v>
      </c>
      <c r="AE2332" s="16">
        <f t="shared" si="125"/>
        <v>99.087918824448977</v>
      </c>
      <c r="AF2332" s="16">
        <f>'Gearing Calculator'!$C$17*Braking!AD2332</f>
        <v>3900.1403243577865</v>
      </c>
      <c r="AG2332" s="16">
        <f t="shared" si="126"/>
        <v>-14.651165756415427</v>
      </c>
    </row>
    <row r="2333" spans="29:33" x14ac:dyDescent="0.25">
      <c r="AC2333" s="16">
        <v>2329</v>
      </c>
      <c r="AD2333" s="16">
        <f t="shared" si="127"/>
        <v>2600.6222074969319</v>
      </c>
      <c r="AE2333" s="16">
        <f t="shared" si="125"/>
        <v>99.130482363462917</v>
      </c>
      <c r="AF2333" s="16">
        <f>'Gearing Calculator'!$C$17*Braking!AD2333</f>
        <v>3900.9333112453978</v>
      </c>
      <c r="AG2333" s="16">
        <f t="shared" si="126"/>
        <v>-14.654144670343344</v>
      </c>
    </row>
    <row r="2334" spans="29:33" x14ac:dyDescent="0.25">
      <c r="AC2334" s="16">
        <v>2330</v>
      </c>
      <c r="AD2334" s="16">
        <f t="shared" si="127"/>
        <v>2601.1508654220056</v>
      </c>
      <c r="AE2334" s="16">
        <f t="shared" si="125"/>
        <v>99.173045902476858</v>
      </c>
      <c r="AF2334" s="16">
        <f>'Gearing Calculator'!$C$17*Braking!AD2334</f>
        <v>3901.7262981330086</v>
      </c>
      <c r="AG2334" s="16">
        <f t="shared" si="126"/>
        <v>-14.657123584271257</v>
      </c>
    </row>
    <row r="2335" spans="29:33" x14ac:dyDescent="0.25">
      <c r="AC2335" s="16">
        <v>2331</v>
      </c>
      <c r="AD2335" s="16">
        <f t="shared" si="127"/>
        <v>2601.6795233470793</v>
      </c>
      <c r="AE2335" s="16">
        <f t="shared" si="125"/>
        <v>99.215609441490798</v>
      </c>
      <c r="AF2335" s="16">
        <f>'Gearing Calculator'!$C$17*Braking!AD2335</f>
        <v>3902.519285020619</v>
      </c>
      <c r="AG2335" s="16">
        <f t="shared" si="126"/>
        <v>-14.660102498199171</v>
      </c>
    </row>
    <row r="2336" spans="29:33" x14ac:dyDescent="0.25">
      <c r="AC2336" s="16">
        <v>2332</v>
      </c>
      <c r="AD2336" s="16">
        <f t="shared" si="127"/>
        <v>2602.2081812721531</v>
      </c>
      <c r="AE2336" s="16">
        <f t="shared" si="125"/>
        <v>99.258172980504739</v>
      </c>
      <c r="AF2336" s="16">
        <f>'Gearing Calculator'!$C$17*Braking!AD2336</f>
        <v>3903.3122719082294</v>
      </c>
      <c r="AG2336" s="16">
        <f t="shared" si="126"/>
        <v>-14.663081412127083</v>
      </c>
    </row>
    <row r="2337" spans="29:33" x14ac:dyDescent="0.25">
      <c r="AC2337" s="16">
        <v>2333</v>
      </c>
      <c r="AD2337" s="16">
        <f t="shared" si="127"/>
        <v>2602.7368391972268</v>
      </c>
      <c r="AE2337" s="16">
        <f t="shared" si="125"/>
        <v>99.300736519518679</v>
      </c>
      <c r="AF2337" s="16">
        <f>'Gearing Calculator'!$C$17*Braking!AD2337</f>
        <v>3904.1052587958402</v>
      </c>
      <c r="AG2337" s="16">
        <f t="shared" si="126"/>
        <v>-14.666060326054998</v>
      </c>
    </row>
    <row r="2338" spans="29:33" x14ac:dyDescent="0.25">
      <c r="AC2338" s="16">
        <v>2334</v>
      </c>
      <c r="AD2338" s="16">
        <f t="shared" si="127"/>
        <v>2603.265497122301</v>
      </c>
      <c r="AE2338" s="16">
        <f t="shared" si="125"/>
        <v>99.343300058532606</v>
      </c>
      <c r="AF2338" s="16">
        <f>'Gearing Calculator'!$C$17*Braking!AD2338</f>
        <v>3904.8982456834515</v>
      </c>
      <c r="AG2338" s="16">
        <f t="shared" si="126"/>
        <v>-14.669039239982913</v>
      </c>
    </row>
    <row r="2339" spans="29:33" x14ac:dyDescent="0.25">
      <c r="AC2339" s="16">
        <v>2335</v>
      </c>
      <c r="AD2339" s="16">
        <f t="shared" si="127"/>
        <v>2603.7941550473747</v>
      </c>
      <c r="AE2339" s="16">
        <f t="shared" si="125"/>
        <v>99.385863597546546</v>
      </c>
      <c r="AF2339" s="16">
        <f>'Gearing Calculator'!$C$17*Braking!AD2339</f>
        <v>3905.6912325710618</v>
      </c>
      <c r="AG2339" s="16">
        <f t="shared" si="126"/>
        <v>-14.672018153910827</v>
      </c>
    </row>
    <row r="2340" spans="29:33" x14ac:dyDescent="0.25">
      <c r="AC2340" s="16">
        <v>2336</v>
      </c>
      <c r="AD2340" s="16">
        <f t="shared" si="127"/>
        <v>2604.3228129724484</v>
      </c>
      <c r="AE2340" s="16">
        <f t="shared" si="125"/>
        <v>99.428427136560487</v>
      </c>
      <c r="AF2340" s="16">
        <f>'Gearing Calculator'!$C$17*Braking!AD2340</f>
        <v>3906.4842194586727</v>
      </c>
      <c r="AG2340" s="16">
        <f t="shared" si="126"/>
        <v>-14.67499706783874</v>
      </c>
    </row>
    <row r="2341" spans="29:33" x14ac:dyDescent="0.25">
      <c r="AC2341" s="16">
        <v>2337</v>
      </c>
      <c r="AD2341" s="16">
        <f t="shared" si="127"/>
        <v>2604.8514708975222</v>
      </c>
      <c r="AE2341" s="16">
        <f t="shared" si="125"/>
        <v>99.470990675574427</v>
      </c>
      <c r="AF2341" s="16">
        <f>'Gearing Calculator'!$C$17*Braking!AD2341</f>
        <v>3907.2772063462835</v>
      </c>
      <c r="AG2341" s="16">
        <f t="shared" si="126"/>
        <v>-14.677975981766656</v>
      </c>
    </row>
    <row r="2342" spans="29:33" x14ac:dyDescent="0.25">
      <c r="AC2342" s="16">
        <v>2338</v>
      </c>
      <c r="AD2342" s="16">
        <f t="shared" si="127"/>
        <v>2605.3801288225959</v>
      </c>
      <c r="AE2342" s="16">
        <f t="shared" si="125"/>
        <v>99.513554214588368</v>
      </c>
      <c r="AF2342" s="16">
        <f>'Gearing Calculator'!$C$17*Braking!AD2342</f>
        <v>3908.0701932338939</v>
      </c>
      <c r="AG2342" s="16">
        <f t="shared" si="126"/>
        <v>-14.680954895694567</v>
      </c>
    </row>
    <row r="2343" spans="29:33" x14ac:dyDescent="0.25">
      <c r="AC2343" s="16">
        <v>2339</v>
      </c>
      <c r="AD2343" s="16">
        <f t="shared" si="127"/>
        <v>2605.9087867476701</v>
      </c>
      <c r="AE2343" s="16">
        <f t="shared" si="125"/>
        <v>99.556117753602308</v>
      </c>
      <c r="AF2343" s="16">
        <f>'Gearing Calculator'!$C$17*Braking!AD2343</f>
        <v>3908.8631801215051</v>
      </c>
      <c r="AG2343" s="16">
        <f t="shared" si="126"/>
        <v>-14.683933809622484</v>
      </c>
    </row>
    <row r="2344" spans="29:33" x14ac:dyDescent="0.25">
      <c r="AC2344" s="16">
        <v>2340</v>
      </c>
      <c r="AD2344" s="16">
        <f t="shared" si="127"/>
        <v>2606.4374446727438</v>
      </c>
      <c r="AE2344" s="16">
        <f t="shared" si="125"/>
        <v>99.598681292616249</v>
      </c>
      <c r="AF2344" s="16">
        <f>'Gearing Calculator'!$C$17*Braking!AD2344</f>
        <v>3909.656167009116</v>
      </c>
      <c r="AG2344" s="16">
        <f t="shared" si="126"/>
        <v>-14.6869127235504</v>
      </c>
    </row>
    <row r="2345" spans="29:33" x14ac:dyDescent="0.25">
      <c r="AC2345" s="16">
        <v>2341</v>
      </c>
      <c r="AD2345" s="16">
        <f t="shared" si="127"/>
        <v>2606.9661025978176</v>
      </c>
      <c r="AE2345" s="16">
        <f t="shared" si="125"/>
        <v>99.641244831630189</v>
      </c>
      <c r="AF2345" s="16">
        <f>'Gearing Calculator'!$C$17*Braking!AD2345</f>
        <v>3910.4491538967263</v>
      </c>
      <c r="AG2345" s="16">
        <f t="shared" si="126"/>
        <v>-14.689891637478311</v>
      </c>
    </row>
    <row r="2346" spans="29:33" x14ac:dyDescent="0.25">
      <c r="AC2346" s="16">
        <v>2342</v>
      </c>
      <c r="AD2346" s="16">
        <f t="shared" si="127"/>
        <v>2607.4947605228913</v>
      </c>
      <c r="AE2346" s="16">
        <f t="shared" si="125"/>
        <v>99.683808370644115</v>
      </c>
      <c r="AF2346" s="16">
        <f>'Gearing Calculator'!$C$17*Braking!AD2346</f>
        <v>3911.2421407843367</v>
      </c>
      <c r="AG2346" s="16">
        <f t="shared" si="126"/>
        <v>-14.692870551406225</v>
      </c>
    </row>
    <row r="2347" spans="29:33" x14ac:dyDescent="0.25">
      <c r="AC2347" s="16">
        <v>2343</v>
      </c>
      <c r="AD2347" s="16">
        <f t="shared" si="127"/>
        <v>2608.023418447965</v>
      </c>
      <c r="AE2347" s="16">
        <f t="shared" si="125"/>
        <v>99.726371909658056</v>
      </c>
      <c r="AF2347" s="16">
        <f>'Gearing Calculator'!$C$17*Braking!AD2347</f>
        <v>3912.0351276719475</v>
      </c>
      <c r="AG2347" s="16">
        <f t="shared" si="126"/>
        <v>-14.695849465334138</v>
      </c>
    </row>
    <row r="2348" spans="29:33" x14ac:dyDescent="0.25">
      <c r="AC2348" s="16">
        <v>2344</v>
      </c>
      <c r="AD2348" s="16">
        <f t="shared" si="127"/>
        <v>2608.5520763730392</v>
      </c>
      <c r="AE2348" s="16">
        <f t="shared" si="125"/>
        <v>99.768935448671996</v>
      </c>
      <c r="AF2348" s="16">
        <f>'Gearing Calculator'!$C$17*Braking!AD2348</f>
        <v>3912.8281145595588</v>
      </c>
      <c r="AG2348" s="16">
        <f t="shared" si="126"/>
        <v>-14.698828379262055</v>
      </c>
    </row>
    <row r="2349" spans="29:33" x14ac:dyDescent="0.25">
      <c r="AC2349" s="16">
        <v>2345</v>
      </c>
      <c r="AD2349" s="16">
        <f t="shared" si="127"/>
        <v>2609.0807342981129</v>
      </c>
      <c r="AE2349" s="16">
        <f t="shared" si="125"/>
        <v>99.811498987685937</v>
      </c>
      <c r="AF2349" s="16">
        <f>'Gearing Calculator'!$C$17*Braking!AD2349</f>
        <v>3913.6211014471692</v>
      </c>
      <c r="AG2349" s="16">
        <f t="shared" si="126"/>
        <v>-14.701807293189967</v>
      </c>
    </row>
    <row r="2350" spans="29:33" x14ac:dyDescent="0.25">
      <c r="AC2350" s="16">
        <v>2346</v>
      </c>
      <c r="AD2350" s="16">
        <f t="shared" si="127"/>
        <v>2609.6093922231867</v>
      </c>
      <c r="AE2350" s="16">
        <f t="shared" si="125"/>
        <v>99.854062526699877</v>
      </c>
      <c r="AF2350" s="16">
        <f>'Gearing Calculator'!$C$17*Braking!AD2350</f>
        <v>3914.41408833478</v>
      </c>
      <c r="AG2350" s="16">
        <f t="shared" si="126"/>
        <v>-14.704786207117882</v>
      </c>
    </row>
    <row r="2351" spans="29:33" x14ac:dyDescent="0.25">
      <c r="AC2351" s="16">
        <v>2347</v>
      </c>
      <c r="AD2351" s="16">
        <f t="shared" si="127"/>
        <v>2610.1380501482604</v>
      </c>
      <c r="AE2351" s="16">
        <f t="shared" si="125"/>
        <v>99.896626065713818</v>
      </c>
      <c r="AF2351" s="16">
        <f>'Gearing Calculator'!$C$17*Braking!AD2351</f>
        <v>3915.2070752223908</v>
      </c>
      <c r="AG2351" s="16">
        <f t="shared" si="126"/>
        <v>-14.707765121045796</v>
      </c>
    </row>
    <row r="2352" spans="29:33" x14ac:dyDescent="0.25">
      <c r="AC2352" s="16">
        <v>2348</v>
      </c>
      <c r="AD2352" s="16">
        <f t="shared" si="127"/>
        <v>2610.6667080733341</v>
      </c>
      <c r="AE2352" s="16">
        <f t="shared" si="125"/>
        <v>99.939189604727758</v>
      </c>
      <c r="AF2352" s="16">
        <f>'Gearing Calculator'!$C$17*Braking!AD2352</f>
        <v>3916.0000621100012</v>
      </c>
      <c r="AG2352" s="16">
        <f t="shared" si="126"/>
        <v>-14.710744034973709</v>
      </c>
    </row>
    <row r="2353" spans="29:33" x14ac:dyDescent="0.25">
      <c r="AC2353" s="16">
        <v>2349</v>
      </c>
      <c r="AD2353" s="16">
        <f t="shared" si="127"/>
        <v>2611.1953659984083</v>
      </c>
      <c r="AE2353" s="16">
        <f t="shared" si="125"/>
        <v>99.981753143741685</v>
      </c>
      <c r="AF2353" s="16">
        <f>'Gearing Calculator'!$C$17*Braking!AD2353</f>
        <v>3916.7930489976125</v>
      </c>
      <c r="AG2353" s="16">
        <f t="shared" si="126"/>
        <v>-14.713722948901625</v>
      </c>
    </row>
    <row r="2354" spans="29:33" ht="15.75" thickBot="1" x14ac:dyDescent="0.3">
      <c r="AC2354" s="123">
        <v>2350</v>
      </c>
      <c r="AD2354" s="123">
        <f t="shared" si="127"/>
        <v>2611.724023923482</v>
      </c>
      <c r="AE2354" s="123">
        <f t="shared" si="125"/>
        <v>100.02431668275563</v>
      </c>
      <c r="AF2354" s="123">
        <f>'Gearing Calculator'!$C$17*Braking!AD2354</f>
        <v>3917.5860358852233</v>
      </c>
      <c r="AG2354" s="123">
        <f t="shared" si="126"/>
        <v>-14.71670186282954</v>
      </c>
    </row>
  </sheetData>
  <mergeCells count="6">
    <mergeCell ref="C8:D8"/>
    <mergeCell ref="AC2:AG2"/>
    <mergeCell ref="G2:M2"/>
    <mergeCell ref="O2:U2"/>
    <mergeCell ref="W2:X2"/>
    <mergeCell ref="Z2:AA2"/>
  </mergeCells>
  <dataValidations count="3">
    <dataValidation type="list" allowBlank="1" showInputMessage="1" showErrorMessage="1" sqref="C22" xr:uid="{14FA8C01-B754-46DC-8698-3BCA1F802660}">
      <formula1>$A$105:$A$110</formula1>
    </dataValidation>
    <dataValidation type="list" allowBlank="1" showInputMessage="1" showErrorMessage="1" sqref="C26" xr:uid="{3BC2D4D4-48E1-461B-A4A0-4A02B614B9C3}">
      <formula1>$A$5:$A$104</formula1>
    </dataValidation>
    <dataValidation type="list" allowBlank="1" showInputMessage="1" showErrorMessage="1" sqref="C24" xr:uid="{D147DCA4-5AB4-48CF-BFF2-01D03EF05CBA}">
      <formula1>$G$4:$G$103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3EACE-F1D5-4688-BA2F-D274D64E1C29}">
  <sheetPr>
    <tabColor rgb="FF00B0F0"/>
  </sheetPr>
  <dimension ref="B1:F109"/>
  <sheetViews>
    <sheetView topLeftCell="G1" zoomScale="140" zoomScaleNormal="140" workbookViewId="0">
      <selection activeCell="F3" sqref="F3"/>
    </sheetView>
  </sheetViews>
  <sheetFormatPr defaultRowHeight="15" x14ac:dyDescent="0.25"/>
  <cols>
    <col min="1" max="1" width="1.42578125" customWidth="1"/>
    <col min="2" max="2" width="6" bestFit="1" customWidth="1"/>
    <col min="3" max="3" width="12.140625" bestFit="1" customWidth="1"/>
    <col min="4" max="4" width="11.5703125" bestFit="1" customWidth="1"/>
    <col min="5" max="5" width="10.42578125" bestFit="1" customWidth="1"/>
    <col min="6" max="6" width="12" bestFit="1" customWidth="1"/>
    <col min="7" max="7" width="1.42578125" customWidth="1"/>
    <col min="10" max="10" width="9.140625" customWidth="1"/>
  </cols>
  <sheetData>
    <row r="1" spans="2:6" ht="7.5" customHeight="1" thickBot="1" x14ac:dyDescent="0.3"/>
    <row r="2" spans="2:6" ht="15.75" thickBot="1" x14ac:dyDescent="0.3">
      <c r="B2" s="72" t="s">
        <v>15</v>
      </c>
      <c r="C2" s="92" t="s">
        <v>49</v>
      </c>
      <c r="D2" s="92" t="s">
        <v>51</v>
      </c>
      <c r="E2" s="94" t="s">
        <v>52</v>
      </c>
      <c r="F2" s="93" t="s">
        <v>50</v>
      </c>
    </row>
    <row r="3" spans="2:6" x14ac:dyDescent="0.25">
      <c r="B3" s="41">
        <v>5200</v>
      </c>
      <c r="C3" s="16">
        <v>30</v>
      </c>
      <c r="D3" s="65">
        <f t="shared" ref="D3:D44" si="0">0.7457*C3</f>
        <v>22.371000000000002</v>
      </c>
      <c r="E3" s="16">
        <f t="shared" ref="E3:E44" si="1">D3*10^3</f>
        <v>22371.000000000004</v>
      </c>
      <c r="F3" s="21">
        <f t="shared" ref="F3:F44" si="2">(C3*5252)/B3</f>
        <v>30.3</v>
      </c>
    </row>
    <row r="4" spans="2:6" x14ac:dyDescent="0.25">
      <c r="B4" s="41">
        <v>5300</v>
      </c>
      <c r="C4" s="16">
        <v>31</v>
      </c>
      <c r="D4" s="65">
        <f t="shared" si="0"/>
        <v>23.116700000000002</v>
      </c>
      <c r="E4" s="16">
        <f t="shared" si="1"/>
        <v>23116.7</v>
      </c>
      <c r="F4" s="21">
        <f t="shared" si="2"/>
        <v>30.719245283018868</v>
      </c>
    </row>
    <row r="5" spans="2:6" x14ac:dyDescent="0.25">
      <c r="B5" s="41">
        <v>5400</v>
      </c>
      <c r="C5" s="16">
        <v>32</v>
      </c>
      <c r="D5" s="65">
        <f t="shared" si="0"/>
        <v>23.862400000000001</v>
      </c>
      <c r="E5" s="16">
        <f t="shared" si="1"/>
        <v>23862.400000000001</v>
      </c>
      <c r="F5" s="21">
        <f t="shared" si="2"/>
        <v>31.122962962962962</v>
      </c>
    </row>
    <row r="6" spans="2:6" x14ac:dyDescent="0.25">
      <c r="B6" s="41">
        <v>5500</v>
      </c>
      <c r="C6" s="16">
        <v>33</v>
      </c>
      <c r="D6" s="65">
        <f t="shared" si="0"/>
        <v>24.6081</v>
      </c>
      <c r="E6" s="16">
        <f t="shared" si="1"/>
        <v>24608.1</v>
      </c>
      <c r="F6" s="21">
        <f t="shared" si="2"/>
        <v>31.512</v>
      </c>
    </row>
    <row r="7" spans="2:6" x14ac:dyDescent="0.25">
      <c r="B7" s="41">
        <v>5600</v>
      </c>
      <c r="C7" s="16">
        <v>34</v>
      </c>
      <c r="D7" s="65">
        <f t="shared" si="0"/>
        <v>25.3538</v>
      </c>
      <c r="E7" s="16">
        <f t="shared" si="1"/>
        <v>25353.8</v>
      </c>
      <c r="F7" s="21">
        <f t="shared" si="2"/>
        <v>31.887142857142859</v>
      </c>
    </row>
    <row r="8" spans="2:6" x14ac:dyDescent="0.25">
      <c r="B8" s="41">
        <v>5700</v>
      </c>
      <c r="C8" s="16">
        <v>35</v>
      </c>
      <c r="D8" s="65">
        <f t="shared" si="0"/>
        <v>26.099500000000003</v>
      </c>
      <c r="E8" s="16">
        <f t="shared" si="1"/>
        <v>26099.500000000004</v>
      </c>
      <c r="F8" s="21">
        <f t="shared" si="2"/>
        <v>32.249122807017542</v>
      </c>
    </row>
    <row r="9" spans="2:6" x14ac:dyDescent="0.25">
      <c r="B9" s="41">
        <v>5800</v>
      </c>
      <c r="C9" s="16">
        <v>36</v>
      </c>
      <c r="D9" s="65">
        <f t="shared" si="0"/>
        <v>26.845200000000002</v>
      </c>
      <c r="E9" s="16">
        <f t="shared" si="1"/>
        <v>26845.200000000001</v>
      </c>
      <c r="F9" s="21">
        <f t="shared" si="2"/>
        <v>32.598620689655171</v>
      </c>
    </row>
    <row r="10" spans="2:6" x14ac:dyDescent="0.25">
      <c r="B10" s="41">
        <v>5900</v>
      </c>
      <c r="C10" s="16">
        <v>37</v>
      </c>
      <c r="D10" s="65">
        <f t="shared" si="0"/>
        <v>27.590900000000001</v>
      </c>
      <c r="E10" s="16">
        <f t="shared" si="1"/>
        <v>27590.9</v>
      </c>
      <c r="F10" s="21">
        <f t="shared" si="2"/>
        <v>32.936271186440678</v>
      </c>
    </row>
    <row r="11" spans="2:6" x14ac:dyDescent="0.25">
      <c r="B11" s="41">
        <v>6000</v>
      </c>
      <c r="C11" s="16">
        <v>38</v>
      </c>
      <c r="D11" s="65">
        <f t="shared" si="0"/>
        <v>28.336600000000001</v>
      </c>
      <c r="E11" s="16">
        <f t="shared" si="1"/>
        <v>28336.600000000002</v>
      </c>
      <c r="F11" s="21">
        <f t="shared" si="2"/>
        <v>33.262666666666668</v>
      </c>
    </row>
    <row r="12" spans="2:6" x14ac:dyDescent="0.25">
      <c r="B12" s="41">
        <v>6100</v>
      </c>
      <c r="C12" s="16">
        <v>38.5</v>
      </c>
      <c r="D12" s="65">
        <f t="shared" si="0"/>
        <v>28.70945</v>
      </c>
      <c r="E12" s="16">
        <f t="shared" si="1"/>
        <v>28709.45</v>
      </c>
      <c r="F12" s="21">
        <f t="shared" si="2"/>
        <v>33.14786885245902</v>
      </c>
    </row>
    <row r="13" spans="2:6" x14ac:dyDescent="0.25">
      <c r="B13" s="41">
        <v>6200</v>
      </c>
      <c r="C13" s="16">
        <v>39</v>
      </c>
      <c r="D13" s="65">
        <f t="shared" si="0"/>
        <v>29.0823</v>
      </c>
      <c r="E13" s="16">
        <f t="shared" si="1"/>
        <v>29082.3</v>
      </c>
      <c r="F13" s="21">
        <f t="shared" si="2"/>
        <v>33.036774193548389</v>
      </c>
    </row>
    <row r="14" spans="2:6" x14ac:dyDescent="0.25">
      <c r="B14" s="41">
        <v>6300</v>
      </c>
      <c r="C14" s="16">
        <v>39.5</v>
      </c>
      <c r="D14" s="65">
        <f t="shared" si="0"/>
        <v>29.45515</v>
      </c>
      <c r="E14" s="16">
        <f t="shared" si="1"/>
        <v>29455.15</v>
      </c>
      <c r="F14" s="21">
        <f t="shared" si="2"/>
        <v>32.929206349206346</v>
      </c>
    </row>
    <row r="15" spans="2:6" x14ac:dyDescent="0.25">
      <c r="B15" s="41">
        <v>6400</v>
      </c>
      <c r="C15" s="16">
        <v>40</v>
      </c>
      <c r="D15" s="65">
        <f t="shared" si="0"/>
        <v>29.828000000000003</v>
      </c>
      <c r="E15" s="16">
        <f t="shared" si="1"/>
        <v>29828.000000000004</v>
      </c>
      <c r="F15" s="21">
        <f t="shared" si="2"/>
        <v>32.825000000000003</v>
      </c>
    </row>
    <row r="16" spans="2:6" x14ac:dyDescent="0.25">
      <c r="B16" s="41">
        <v>6500</v>
      </c>
      <c r="C16" s="16">
        <v>40</v>
      </c>
      <c r="D16" s="65">
        <f t="shared" si="0"/>
        <v>29.828000000000003</v>
      </c>
      <c r="E16" s="16">
        <f t="shared" si="1"/>
        <v>29828.000000000004</v>
      </c>
      <c r="F16" s="21">
        <f t="shared" si="2"/>
        <v>32.32</v>
      </c>
    </row>
    <row r="17" spans="2:6" x14ac:dyDescent="0.25">
      <c r="B17" s="41">
        <v>6600</v>
      </c>
      <c r="C17" s="16">
        <v>40.5</v>
      </c>
      <c r="D17" s="65">
        <f t="shared" si="0"/>
        <v>30.200850000000003</v>
      </c>
      <c r="E17" s="16">
        <f t="shared" si="1"/>
        <v>30200.850000000002</v>
      </c>
      <c r="F17" s="21">
        <f t="shared" si="2"/>
        <v>32.228181818181817</v>
      </c>
    </row>
    <row r="18" spans="2:6" x14ac:dyDescent="0.25">
      <c r="B18" s="41">
        <v>6700</v>
      </c>
      <c r="C18" s="16">
        <v>41</v>
      </c>
      <c r="D18" s="65">
        <f t="shared" si="0"/>
        <v>30.573700000000002</v>
      </c>
      <c r="E18" s="16">
        <f t="shared" si="1"/>
        <v>30573.7</v>
      </c>
      <c r="F18" s="21">
        <f t="shared" si="2"/>
        <v>32.139104477611937</v>
      </c>
    </row>
    <row r="19" spans="2:6" x14ac:dyDescent="0.25">
      <c r="B19" s="41">
        <v>6800</v>
      </c>
      <c r="C19" s="16">
        <v>42</v>
      </c>
      <c r="D19" s="65">
        <f t="shared" si="0"/>
        <v>31.319400000000002</v>
      </c>
      <c r="E19" s="16">
        <f t="shared" si="1"/>
        <v>31319.4</v>
      </c>
      <c r="F19" s="21">
        <f t="shared" si="2"/>
        <v>32.438823529411764</v>
      </c>
    </row>
    <row r="20" spans="2:6" x14ac:dyDescent="0.25">
      <c r="B20" s="41">
        <v>6900</v>
      </c>
      <c r="C20" s="16">
        <v>43</v>
      </c>
      <c r="D20" s="65">
        <f t="shared" si="0"/>
        <v>32.065100000000001</v>
      </c>
      <c r="E20" s="16">
        <f t="shared" si="1"/>
        <v>32065.100000000002</v>
      </c>
      <c r="F20" s="21">
        <f t="shared" si="2"/>
        <v>32.729855072463771</v>
      </c>
    </row>
    <row r="21" spans="2:6" x14ac:dyDescent="0.25">
      <c r="B21" s="41">
        <v>7000</v>
      </c>
      <c r="C21" s="16">
        <v>44</v>
      </c>
      <c r="D21" s="65">
        <f t="shared" si="0"/>
        <v>32.8108</v>
      </c>
      <c r="E21" s="16">
        <f t="shared" si="1"/>
        <v>32810.800000000003</v>
      </c>
      <c r="F21" s="21">
        <f t="shared" si="2"/>
        <v>33.012571428571427</v>
      </c>
    </row>
    <row r="22" spans="2:6" x14ac:dyDescent="0.25">
      <c r="B22" s="41">
        <v>7100</v>
      </c>
      <c r="C22" s="16">
        <v>44.5</v>
      </c>
      <c r="D22" s="65">
        <f t="shared" si="0"/>
        <v>33.18365</v>
      </c>
      <c r="E22" s="16">
        <f t="shared" si="1"/>
        <v>33183.65</v>
      </c>
      <c r="F22" s="21">
        <f t="shared" si="2"/>
        <v>32.917464788732396</v>
      </c>
    </row>
    <row r="23" spans="2:6" x14ac:dyDescent="0.25">
      <c r="B23" s="41">
        <v>7200</v>
      </c>
      <c r="C23" s="16">
        <v>45</v>
      </c>
      <c r="D23" s="65">
        <f t="shared" si="0"/>
        <v>33.5565</v>
      </c>
      <c r="E23" s="16">
        <f t="shared" si="1"/>
        <v>33556.5</v>
      </c>
      <c r="F23" s="21">
        <f t="shared" si="2"/>
        <v>32.825000000000003</v>
      </c>
    </row>
    <row r="24" spans="2:6" x14ac:dyDescent="0.25">
      <c r="B24" s="41">
        <v>7300</v>
      </c>
      <c r="C24" s="16">
        <v>46</v>
      </c>
      <c r="D24" s="65">
        <f t="shared" si="0"/>
        <v>34.302199999999999</v>
      </c>
      <c r="E24" s="16">
        <f t="shared" si="1"/>
        <v>34302.199999999997</v>
      </c>
      <c r="F24" s="21">
        <f t="shared" si="2"/>
        <v>33.094794520547943</v>
      </c>
    </row>
    <row r="25" spans="2:6" x14ac:dyDescent="0.25">
      <c r="B25" s="41">
        <v>7400</v>
      </c>
      <c r="C25" s="16">
        <v>47</v>
      </c>
      <c r="D25" s="65">
        <f t="shared" si="0"/>
        <v>35.047899999999998</v>
      </c>
      <c r="E25" s="16">
        <f t="shared" si="1"/>
        <v>35047.9</v>
      </c>
      <c r="F25" s="21">
        <f t="shared" si="2"/>
        <v>33.357297297297301</v>
      </c>
    </row>
    <row r="26" spans="2:6" x14ac:dyDescent="0.25">
      <c r="B26" s="41">
        <v>7500</v>
      </c>
      <c r="C26" s="16">
        <v>48</v>
      </c>
      <c r="D26" s="65">
        <f t="shared" si="0"/>
        <v>35.793599999999998</v>
      </c>
      <c r="E26" s="16">
        <f t="shared" si="1"/>
        <v>35793.599999999999</v>
      </c>
      <c r="F26" s="21">
        <f t="shared" si="2"/>
        <v>33.6128</v>
      </c>
    </row>
    <row r="27" spans="2:6" x14ac:dyDescent="0.25">
      <c r="B27" s="41">
        <v>7600</v>
      </c>
      <c r="C27" s="16">
        <v>49</v>
      </c>
      <c r="D27" s="65">
        <f t="shared" si="0"/>
        <v>36.539300000000004</v>
      </c>
      <c r="E27" s="16">
        <f t="shared" si="1"/>
        <v>36539.300000000003</v>
      </c>
      <c r="F27" s="21">
        <f t="shared" si="2"/>
        <v>33.861578947368422</v>
      </c>
    </row>
    <row r="28" spans="2:6" x14ac:dyDescent="0.25">
      <c r="B28" s="41">
        <v>7700</v>
      </c>
      <c r="C28" s="16">
        <v>49.5</v>
      </c>
      <c r="D28" s="65">
        <f t="shared" si="0"/>
        <v>36.912150000000004</v>
      </c>
      <c r="E28" s="16">
        <f t="shared" si="1"/>
        <v>36912.15</v>
      </c>
      <c r="F28" s="21">
        <f t="shared" si="2"/>
        <v>33.762857142857143</v>
      </c>
    </row>
    <row r="29" spans="2:6" x14ac:dyDescent="0.25">
      <c r="B29" s="41">
        <v>7800</v>
      </c>
      <c r="C29" s="16">
        <v>50</v>
      </c>
      <c r="D29" s="65">
        <f t="shared" si="0"/>
        <v>37.285000000000004</v>
      </c>
      <c r="E29" s="16">
        <f t="shared" si="1"/>
        <v>37285.000000000007</v>
      </c>
      <c r="F29" s="21">
        <f t="shared" si="2"/>
        <v>33.666666666666664</v>
      </c>
    </row>
    <row r="30" spans="2:6" x14ac:dyDescent="0.25">
      <c r="B30" s="41">
        <v>7900</v>
      </c>
      <c r="C30" s="16">
        <v>51</v>
      </c>
      <c r="D30" s="65">
        <f t="shared" si="0"/>
        <v>38.030700000000003</v>
      </c>
      <c r="E30" s="16">
        <f t="shared" si="1"/>
        <v>38030.700000000004</v>
      </c>
      <c r="F30" s="21">
        <f t="shared" si="2"/>
        <v>33.905316455696202</v>
      </c>
    </row>
    <row r="31" spans="2:6" x14ac:dyDescent="0.25">
      <c r="B31" s="41">
        <v>8000</v>
      </c>
      <c r="C31" s="16">
        <v>52</v>
      </c>
      <c r="D31" s="65">
        <f t="shared" si="0"/>
        <v>38.776400000000002</v>
      </c>
      <c r="E31" s="16">
        <f t="shared" si="1"/>
        <v>38776.400000000001</v>
      </c>
      <c r="F31" s="21">
        <f t="shared" si="2"/>
        <v>34.137999999999998</v>
      </c>
    </row>
    <row r="32" spans="2:6" x14ac:dyDescent="0.25">
      <c r="B32" s="41">
        <v>8100</v>
      </c>
      <c r="C32" s="16">
        <v>52.5</v>
      </c>
      <c r="D32" s="65">
        <f t="shared" si="0"/>
        <v>39.149250000000002</v>
      </c>
      <c r="E32" s="16">
        <f t="shared" si="1"/>
        <v>39149.25</v>
      </c>
      <c r="F32" s="21">
        <f t="shared" si="2"/>
        <v>34.040740740740738</v>
      </c>
    </row>
    <row r="33" spans="2:6" x14ac:dyDescent="0.25">
      <c r="B33" s="41">
        <v>8200</v>
      </c>
      <c r="C33" s="16">
        <v>53</v>
      </c>
      <c r="D33" s="65">
        <f t="shared" si="0"/>
        <v>39.522100000000002</v>
      </c>
      <c r="E33" s="16">
        <f t="shared" si="1"/>
        <v>39522.1</v>
      </c>
      <c r="F33" s="21">
        <f t="shared" si="2"/>
        <v>33.945853658536585</v>
      </c>
    </row>
    <row r="34" spans="2:6" x14ac:dyDescent="0.25">
      <c r="B34" s="41">
        <v>8300</v>
      </c>
      <c r="C34" s="16">
        <v>54</v>
      </c>
      <c r="D34" s="65">
        <f t="shared" si="0"/>
        <v>40.267800000000001</v>
      </c>
      <c r="E34" s="16">
        <f t="shared" si="1"/>
        <v>40267.800000000003</v>
      </c>
      <c r="F34" s="21">
        <f t="shared" si="2"/>
        <v>34.169638554216867</v>
      </c>
    </row>
    <row r="35" spans="2:6" x14ac:dyDescent="0.25">
      <c r="B35" s="41">
        <v>8400</v>
      </c>
      <c r="C35" s="16">
        <v>55</v>
      </c>
      <c r="D35" s="65">
        <f t="shared" si="0"/>
        <v>41.013500000000001</v>
      </c>
      <c r="E35" s="16">
        <f t="shared" si="1"/>
        <v>41013.5</v>
      </c>
      <c r="F35" s="21">
        <f t="shared" si="2"/>
        <v>34.388095238095239</v>
      </c>
    </row>
    <row r="36" spans="2:6" x14ac:dyDescent="0.25">
      <c r="B36" s="41">
        <v>8500</v>
      </c>
      <c r="C36" s="16">
        <v>56</v>
      </c>
      <c r="D36" s="65">
        <f t="shared" si="0"/>
        <v>41.7592</v>
      </c>
      <c r="E36" s="16">
        <f t="shared" si="1"/>
        <v>41759.199999999997</v>
      </c>
      <c r="F36" s="21">
        <f t="shared" si="2"/>
        <v>34.60141176470588</v>
      </c>
    </row>
    <row r="37" spans="2:6" x14ac:dyDescent="0.25">
      <c r="B37" s="41">
        <v>8600</v>
      </c>
      <c r="C37" s="16">
        <v>57</v>
      </c>
      <c r="D37" s="65">
        <f t="shared" si="0"/>
        <v>42.504899999999999</v>
      </c>
      <c r="E37" s="16">
        <f t="shared" si="1"/>
        <v>42504.9</v>
      </c>
      <c r="F37" s="21">
        <f t="shared" si="2"/>
        <v>34.809767441860465</v>
      </c>
    </row>
    <row r="38" spans="2:6" x14ac:dyDescent="0.25">
      <c r="B38" s="41">
        <v>8700</v>
      </c>
      <c r="C38" s="16">
        <v>58</v>
      </c>
      <c r="D38" s="65">
        <f t="shared" si="0"/>
        <v>43.250599999999999</v>
      </c>
      <c r="E38" s="16">
        <f t="shared" si="1"/>
        <v>43250.6</v>
      </c>
      <c r="F38" s="21">
        <f t="shared" si="2"/>
        <v>35.013333333333335</v>
      </c>
    </row>
    <row r="39" spans="2:6" x14ac:dyDescent="0.25">
      <c r="B39" s="41">
        <v>8800</v>
      </c>
      <c r="C39" s="16">
        <v>59</v>
      </c>
      <c r="D39" s="65">
        <f t="shared" si="0"/>
        <v>43.996300000000005</v>
      </c>
      <c r="E39" s="16">
        <f t="shared" si="1"/>
        <v>43996.3</v>
      </c>
      <c r="F39" s="21">
        <f t="shared" si="2"/>
        <v>35.212272727272726</v>
      </c>
    </row>
    <row r="40" spans="2:6" x14ac:dyDescent="0.25">
      <c r="B40" s="41">
        <v>8900</v>
      </c>
      <c r="C40" s="16">
        <v>60</v>
      </c>
      <c r="D40" s="65">
        <f t="shared" si="0"/>
        <v>44.742000000000004</v>
      </c>
      <c r="E40" s="16">
        <f t="shared" si="1"/>
        <v>44742.000000000007</v>
      </c>
      <c r="F40" s="21">
        <f t="shared" si="2"/>
        <v>35.406741573033706</v>
      </c>
    </row>
    <row r="41" spans="2:6" x14ac:dyDescent="0.25">
      <c r="B41" s="41">
        <v>9000</v>
      </c>
      <c r="C41" s="16">
        <v>61</v>
      </c>
      <c r="D41" s="65">
        <f t="shared" si="0"/>
        <v>45.487700000000004</v>
      </c>
      <c r="E41" s="16">
        <f t="shared" si="1"/>
        <v>45487.700000000004</v>
      </c>
      <c r="F41" s="21">
        <f t="shared" si="2"/>
        <v>35.596888888888891</v>
      </c>
    </row>
    <row r="42" spans="2:6" x14ac:dyDescent="0.25">
      <c r="B42" s="41">
        <v>9100</v>
      </c>
      <c r="C42" s="16">
        <v>62</v>
      </c>
      <c r="D42" s="65">
        <f t="shared" si="0"/>
        <v>46.233400000000003</v>
      </c>
      <c r="E42" s="16">
        <f t="shared" si="1"/>
        <v>46233.4</v>
      </c>
      <c r="F42" s="21">
        <f t="shared" si="2"/>
        <v>35.782857142857139</v>
      </c>
    </row>
    <row r="43" spans="2:6" x14ac:dyDescent="0.25">
      <c r="B43" s="41">
        <v>9200</v>
      </c>
      <c r="C43" s="16">
        <v>64</v>
      </c>
      <c r="D43" s="65">
        <f t="shared" si="0"/>
        <v>47.724800000000002</v>
      </c>
      <c r="E43" s="16">
        <f t="shared" si="1"/>
        <v>47724.800000000003</v>
      </c>
      <c r="F43" s="21">
        <f t="shared" si="2"/>
        <v>36.535652173913043</v>
      </c>
    </row>
    <row r="44" spans="2:6" x14ac:dyDescent="0.25">
      <c r="B44" s="41">
        <v>9300</v>
      </c>
      <c r="C44" s="16">
        <v>66</v>
      </c>
      <c r="D44" s="65">
        <f t="shared" si="0"/>
        <v>49.216200000000001</v>
      </c>
      <c r="E44" s="16">
        <f t="shared" si="1"/>
        <v>49216.2</v>
      </c>
      <c r="F44" s="21">
        <f t="shared" si="2"/>
        <v>37.27225806451613</v>
      </c>
    </row>
    <row r="45" spans="2:6" x14ac:dyDescent="0.25">
      <c r="B45" s="41">
        <v>9400</v>
      </c>
      <c r="C45" s="16">
        <v>68</v>
      </c>
      <c r="D45" s="65">
        <f t="shared" ref="D45:D108" si="3">0.7457*C45</f>
        <v>50.707599999999999</v>
      </c>
      <c r="E45" s="16">
        <f t="shared" ref="E45:E108" si="4">D45*10^3</f>
        <v>50707.6</v>
      </c>
      <c r="F45" s="21">
        <f t="shared" ref="F45:F108" si="5">(C45*5252)/B45</f>
        <v>37.993191489361699</v>
      </c>
    </row>
    <row r="46" spans="2:6" x14ac:dyDescent="0.25">
      <c r="B46" s="41">
        <v>9500</v>
      </c>
      <c r="C46" s="16">
        <v>70</v>
      </c>
      <c r="D46" s="65">
        <f t="shared" si="3"/>
        <v>52.199000000000005</v>
      </c>
      <c r="E46" s="16">
        <f t="shared" si="4"/>
        <v>52199.000000000007</v>
      </c>
      <c r="F46" s="21">
        <f t="shared" si="5"/>
        <v>38.698947368421052</v>
      </c>
    </row>
    <row r="47" spans="2:6" x14ac:dyDescent="0.25">
      <c r="B47" s="41">
        <v>9600</v>
      </c>
      <c r="C47" s="16">
        <v>72</v>
      </c>
      <c r="D47" s="65">
        <f t="shared" si="3"/>
        <v>53.690400000000004</v>
      </c>
      <c r="E47" s="16">
        <f t="shared" si="4"/>
        <v>53690.400000000001</v>
      </c>
      <c r="F47" s="21">
        <f t="shared" si="5"/>
        <v>39.39</v>
      </c>
    </row>
    <row r="48" spans="2:6" x14ac:dyDescent="0.25">
      <c r="B48" s="41">
        <v>9700</v>
      </c>
      <c r="C48" s="16">
        <v>74</v>
      </c>
      <c r="D48" s="65">
        <f t="shared" si="3"/>
        <v>55.181800000000003</v>
      </c>
      <c r="E48" s="16">
        <f t="shared" si="4"/>
        <v>55181.8</v>
      </c>
      <c r="F48" s="21">
        <f t="shared" si="5"/>
        <v>40.066804123711343</v>
      </c>
    </row>
    <row r="49" spans="2:6" x14ac:dyDescent="0.25">
      <c r="B49" s="41">
        <v>9800</v>
      </c>
      <c r="C49" s="16">
        <v>76</v>
      </c>
      <c r="D49" s="65">
        <f t="shared" si="3"/>
        <v>56.673200000000001</v>
      </c>
      <c r="E49" s="16">
        <f t="shared" si="4"/>
        <v>56673.200000000004</v>
      </c>
      <c r="F49" s="21">
        <f t="shared" si="5"/>
        <v>40.729795918367344</v>
      </c>
    </row>
    <row r="50" spans="2:6" x14ac:dyDescent="0.25">
      <c r="B50" s="41">
        <v>9900</v>
      </c>
      <c r="C50" s="16">
        <v>78</v>
      </c>
      <c r="D50" s="65">
        <f t="shared" si="3"/>
        <v>58.1646</v>
      </c>
      <c r="E50" s="16">
        <f t="shared" si="4"/>
        <v>58164.6</v>
      </c>
      <c r="F50" s="21">
        <f t="shared" si="5"/>
        <v>41.379393939393943</v>
      </c>
    </row>
    <row r="51" spans="2:6" x14ac:dyDescent="0.25">
      <c r="B51" s="41">
        <v>10000</v>
      </c>
      <c r="C51" s="16">
        <v>81</v>
      </c>
      <c r="D51" s="65">
        <f t="shared" si="3"/>
        <v>60.401700000000005</v>
      </c>
      <c r="E51" s="16">
        <f t="shared" si="4"/>
        <v>60401.700000000004</v>
      </c>
      <c r="F51" s="21">
        <f t="shared" si="5"/>
        <v>42.541200000000003</v>
      </c>
    </row>
    <row r="52" spans="2:6" x14ac:dyDescent="0.25">
      <c r="B52" s="41">
        <v>10100</v>
      </c>
      <c r="C52" s="16">
        <v>83</v>
      </c>
      <c r="D52" s="65">
        <f t="shared" si="3"/>
        <v>61.893100000000004</v>
      </c>
      <c r="E52" s="16">
        <f t="shared" si="4"/>
        <v>61893.100000000006</v>
      </c>
      <c r="F52" s="21">
        <f t="shared" si="5"/>
        <v>43.16</v>
      </c>
    </row>
    <row r="53" spans="2:6" x14ac:dyDescent="0.25">
      <c r="B53" s="41">
        <v>10200</v>
      </c>
      <c r="C53" s="16">
        <v>85</v>
      </c>
      <c r="D53" s="65">
        <f t="shared" si="3"/>
        <v>63.384500000000003</v>
      </c>
      <c r="E53" s="16">
        <f t="shared" si="4"/>
        <v>63384.5</v>
      </c>
      <c r="F53" s="21">
        <f t="shared" si="5"/>
        <v>43.766666666666666</v>
      </c>
    </row>
    <row r="54" spans="2:6" x14ac:dyDescent="0.25">
      <c r="B54" s="41">
        <v>10300</v>
      </c>
      <c r="C54" s="16">
        <v>87</v>
      </c>
      <c r="D54" s="65">
        <f t="shared" si="3"/>
        <v>64.875900000000001</v>
      </c>
      <c r="E54" s="16">
        <f t="shared" si="4"/>
        <v>64875.9</v>
      </c>
      <c r="F54" s="21">
        <f t="shared" si="5"/>
        <v>44.361553398058255</v>
      </c>
    </row>
    <row r="55" spans="2:6" x14ac:dyDescent="0.25">
      <c r="B55" s="41">
        <v>10400</v>
      </c>
      <c r="C55" s="16">
        <v>89</v>
      </c>
      <c r="D55" s="65">
        <f t="shared" si="3"/>
        <v>66.3673</v>
      </c>
      <c r="E55" s="16">
        <f t="shared" si="4"/>
        <v>66367.3</v>
      </c>
      <c r="F55" s="21">
        <f t="shared" si="5"/>
        <v>44.945</v>
      </c>
    </row>
    <row r="56" spans="2:6" x14ac:dyDescent="0.25">
      <c r="B56" s="41">
        <v>10500</v>
      </c>
      <c r="C56" s="16">
        <v>91</v>
      </c>
      <c r="D56" s="65">
        <f t="shared" si="3"/>
        <v>67.858699999999999</v>
      </c>
      <c r="E56" s="16">
        <f t="shared" si="4"/>
        <v>67858.7</v>
      </c>
      <c r="F56" s="21">
        <f t="shared" si="5"/>
        <v>45.517333333333333</v>
      </c>
    </row>
    <row r="57" spans="2:6" x14ac:dyDescent="0.25">
      <c r="B57" s="41">
        <v>10600</v>
      </c>
      <c r="C57" s="16">
        <v>92</v>
      </c>
      <c r="D57" s="65">
        <f t="shared" si="3"/>
        <v>68.604399999999998</v>
      </c>
      <c r="E57" s="16">
        <f t="shared" si="4"/>
        <v>68604.399999999994</v>
      </c>
      <c r="F57" s="21">
        <f t="shared" si="5"/>
        <v>45.583396226415097</v>
      </c>
    </row>
    <row r="58" spans="2:6" x14ac:dyDescent="0.25">
      <c r="B58" s="41">
        <v>10700</v>
      </c>
      <c r="C58" s="16">
        <v>93</v>
      </c>
      <c r="D58" s="65">
        <f t="shared" si="3"/>
        <v>69.350099999999998</v>
      </c>
      <c r="E58" s="16">
        <f t="shared" si="4"/>
        <v>69350.099999999991</v>
      </c>
      <c r="F58" s="21">
        <f t="shared" si="5"/>
        <v>45.648224299065419</v>
      </c>
    </row>
    <row r="59" spans="2:6" x14ac:dyDescent="0.25">
      <c r="B59" s="41">
        <v>10800</v>
      </c>
      <c r="C59" s="16">
        <v>94</v>
      </c>
      <c r="D59" s="65">
        <f t="shared" si="3"/>
        <v>70.095799999999997</v>
      </c>
      <c r="E59" s="16">
        <f t="shared" si="4"/>
        <v>70095.8</v>
      </c>
      <c r="F59" s="21">
        <f t="shared" si="5"/>
        <v>45.711851851851854</v>
      </c>
    </row>
    <row r="60" spans="2:6" x14ac:dyDescent="0.25">
      <c r="B60" s="41">
        <v>10900</v>
      </c>
      <c r="C60" s="16">
        <v>95</v>
      </c>
      <c r="D60" s="65">
        <f t="shared" si="3"/>
        <v>70.841499999999996</v>
      </c>
      <c r="E60" s="16">
        <f t="shared" si="4"/>
        <v>70841.5</v>
      </c>
      <c r="F60" s="21">
        <f t="shared" si="5"/>
        <v>45.774311926605506</v>
      </c>
    </row>
    <row r="61" spans="2:6" x14ac:dyDescent="0.25">
      <c r="B61" s="41">
        <v>11000</v>
      </c>
      <c r="C61" s="16">
        <v>95</v>
      </c>
      <c r="D61" s="65">
        <f t="shared" si="3"/>
        <v>70.841499999999996</v>
      </c>
      <c r="E61" s="16">
        <f t="shared" si="4"/>
        <v>70841.5</v>
      </c>
      <c r="F61" s="21">
        <f t="shared" si="5"/>
        <v>45.358181818181819</v>
      </c>
    </row>
    <row r="62" spans="2:6" x14ac:dyDescent="0.25">
      <c r="B62" s="41">
        <v>11100</v>
      </c>
      <c r="C62" s="16">
        <v>95</v>
      </c>
      <c r="D62" s="65">
        <f t="shared" si="3"/>
        <v>70.841499999999996</v>
      </c>
      <c r="E62" s="16">
        <f t="shared" si="4"/>
        <v>70841.5</v>
      </c>
      <c r="F62" s="21">
        <f t="shared" si="5"/>
        <v>44.949549549549552</v>
      </c>
    </row>
    <row r="63" spans="2:6" x14ac:dyDescent="0.25">
      <c r="B63" s="41">
        <v>11200</v>
      </c>
      <c r="C63" s="16">
        <v>95</v>
      </c>
      <c r="D63" s="65">
        <f t="shared" si="3"/>
        <v>70.841499999999996</v>
      </c>
      <c r="E63" s="16">
        <f t="shared" si="4"/>
        <v>70841.5</v>
      </c>
      <c r="F63" s="21">
        <f t="shared" si="5"/>
        <v>44.548214285714288</v>
      </c>
    </row>
    <row r="64" spans="2:6" x14ac:dyDescent="0.25">
      <c r="B64" s="41">
        <v>11300</v>
      </c>
      <c r="C64" s="16">
        <v>95</v>
      </c>
      <c r="D64" s="65">
        <f t="shared" si="3"/>
        <v>70.841499999999996</v>
      </c>
      <c r="E64" s="16">
        <f t="shared" si="4"/>
        <v>70841.5</v>
      </c>
      <c r="F64" s="21">
        <f t="shared" si="5"/>
        <v>44.153982300884955</v>
      </c>
    </row>
    <row r="65" spans="2:6" x14ac:dyDescent="0.25">
      <c r="B65" s="41">
        <v>11400</v>
      </c>
      <c r="C65" s="16">
        <v>95</v>
      </c>
      <c r="D65" s="65">
        <f t="shared" si="3"/>
        <v>70.841499999999996</v>
      </c>
      <c r="E65" s="16">
        <f t="shared" si="4"/>
        <v>70841.5</v>
      </c>
      <c r="F65" s="21">
        <f t="shared" si="5"/>
        <v>43.766666666666666</v>
      </c>
    </row>
    <row r="66" spans="2:6" x14ac:dyDescent="0.25">
      <c r="B66" s="41">
        <v>11500</v>
      </c>
      <c r="C66" s="16">
        <v>95</v>
      </c>
      <c r="D66" s="65">
        <f t="shared" si="3"/>
        <v>70.841499999999996</v>
      </c>
      <c r="E66" s="16">
        <f t="shared" si="4"/>
        <v>70841.5</v>
      </c>
      <c r="F66" s="21">
        <f t="shared" si="5"/>
        <v>43.386086956521737</v>
      </c>
    </row>
    <row r="67" spans="2:6" x14ac:dyDescent="0.25">
      <c r="B67" s="41">
        <v>11600</v>
      </c>
      <c r="C67" s="16">
        <v>96</v>
      </c>
      <c r="D67" s="65">
        <f t="shared" si="3"/>
        <v>71.587199999999996</v>
      </c>
      <c r="E67" s="16">
        <f t="shared" si="4"/>
        <v>71587.199999999997</v>
      </c>
      <c r="F67" s="21">
        <f t="shared" si="5"/>
        <v>43.464827586206894</v>
      </c>
    </row>
    <row r="68" spans="2:6" x14ac:dyDescent="0.25">
      <c r="B68" s="41">
        <v>11700</v>
      </c>
      <c r="C68" s="16">
        <v>97</v>
      </c>
      <c r="D68" s="65">
        <f t="shared" si="3"/>
        <v>72.332900000000009</v>
      </c>
      <c r="E68" s="16">
        <f t="shared" si="4"/>
        <v>72332.900000000009</v>
      </c>
      <c r="F68" s="21">
        <f t="shared" si="5"/>
        <v>43.542222222222222</v>
      </c>
    </row>
    <row r="69" spans="2:6" x14ac:dyDescent="0.25">
      <c r="B69" s="41">
        <v>11800</v>
      </c>
      <c r="C69" s="16">
        <v>98</v>
      </c>
      <c r="D69" s="65">
        <f t="shared" si="3"/>
        <v>73.078600000000009</v>
      </c>
      <c r="E69" s="16">
        <f t="shared" si="4"/>
        <v>73078.600000000006</v>
      </c>
      <c r="F69" s="21">
        <f t="shared" si="5"/>
        <v>43.618305084745764</v>
      </c>
    </row>
    <row r="70" spans="2:6" x14ac:dyDescent="0.25">
      <c r="B70" s="41">
        <v>11900</v>
      </c>
      <c r="C70" s="16">
        <v>99</v>
      </c>
      <c r="D70" s="65">
        <f t="shared" si="3"/>
        <v>73.824300000000008</v>
      </c>
      <c r="E70" s="16">
        <f t="shared" si="4"/>
        <v>73824.3</v>
      </c>
      <c r="F70" s="21">
        <f t="shared" si="5"/>
        <v>43.693109243697478</v>
      </c>
    </row>
    <row r="71" spans="2:6" x14ac:dyDescent="0.25">
      <c r="B71" s="41">
        <v>12000</v>
      </c>
      <c r="C71" s="16">
        <v>100</v>
      </c>
      <c r="D71" s="65">
        <f t="shared" si="3"/>
        <v>74.570000000000007</v>
      </c>
      <c r="E71" s="16">
        <f t="shared" si="4"/>
        <v>74570.000000000015</v>
      </c>
      <c r="F71" s="21">
        <f t="shared" si="5"/>
        <v>43.766666666666666</v>
      </c>
    </row>
    <row r="72" spans="2:6" x14ac:dyDescent="0.25">
      <c r="B72" s="41">
        <v>12100</v>
      </c>
      <c r="C72" s="16">
        <v>102</v>
      </c>
      <c r="D72" s="65">
        <f t="shared" si="3"/>
        <v>76.061400000000006</v>
      </c>
      <c r="E72" s="16">
        <f t="shared" si="4"/>
        <v>76061.400000000009</v>
      </c>
      <c r="F72" s="21">
        <f t="shared" si="5"/>
        <v>44.27305785123967</v>
      </c>
    </row>
    <row r="73" spans="2:6" x14ac:dyDescent="0.25">
      <c r="B73" s="41">
        <v>12200</v>
      </c>
      <c r="C73" s="16">
        <v>103</v>
      </c>
      <c r="D73" s="65">
        <f t="shared" si="3"/>
        <v>76.807100000000005</v>
      </c>
      <c r="E73" s="16">
        <f t="shared" si="4"/>
        <v>76807.100000000006</v>
      </c>
      <c r="F73" s="21">
        <f t="shared" si="5"/>
        <v>44.340655737704921</v>
      </c>
    </row>
    <row r="74" spans="2:6" x14ac:dyDescent="0.25">
      <c r="B74" s="41">
        <v>12300</v>
      </c>
      <c r="C74" s="16">
        <v>104</v>
      </c>
      <c r="D74" s="65">
        <f t="shared" si="3"/>
        <v>77.552800000000005</v>
      </c>
      <c r="E74" s="16">
        <f t="shared" si="4"/>
        <v>77552.800000000003</v>
      </c>
      <c r="F74" s="21">
        <f t="shared" si="5"/>
        <v>44.407154471544715</v>
      </c>
    </row>
    <row r="75" spans="2:6" x14ac:dyDescent="0.25">
      <c r="B75" s="41">
        <v>12400</v>
      </c>
      <c r="C75" s="16">
        <v>105</v>
      </c>
      <c r="D75" s="65">
        <f t="shared" si="3"/>
        <v>78.298500000000004</v>
      </c>
      <c r="E75" s="16">
        <f t="shared" si="4"/>
        <v>78298.5</v>
      </c>
      <c r="F75" s="21">
        <f t="shared" si="5"/>
        <v>44.472580645161287</v>
      </c>
    </row>
    <row r="76" spans="2:6" x14ac:dyDescent="0.25">
      <c r="B76" s="41">
        <v>12500</v>
      </c>
      <c r="C76" s="16">
        <v>106</v>
      </c>
      <c r="D76" s="65">
        <f t="shared" si="3"/>
        <v>79.044200000000004</v>
      </c>
      <c r="E76" s="16">
        <f t="shared" si="4"/>
        <v>79044.2</v>
      </c>
      <c r="F76" s="21">
        <f t="shared" si="5"/>
        <v>44.536960000000001</v>
      </c>
    </row>
    <row r="77" spans="2:6" x14ac:dyDescent="0.25">
      <c r="B77" s="41">
        <v>12600</v>
      </c>
      <c r="C77" s="16">
        <v>107</v>
      </c>
      <c r="D77" s="65">
        <f t="shared" si="3"/>
        <v>79.789900000000003</v>
      </c>
      <c r="E77" s="16">
        <f t="shared" si="4"/>
        <v>79789.900000000009</v>
      </c>
      <c r="F77" s="21">
        <f t="shared" si="5"/>
        <v>44.600317460317463</v>
      </c>
    </row>
    <row r="78" spans="2:6" x14ac:dyDescent="0.25">
      <c r="B78" s="41">
        <v>12700</v>
      </c>
      <c r="C78" s="16">
        <v>108</v>
      </c>
      <c r="D78" s="65">
        <f t="shared" si="3"/>
        <v>80.535600000000002</v>
      </c>
      <c r="E78" s="16">
        <f t="shared" si="4"/>
        <v>80535.600000000006</v>
      </c>
      <c r="F78" s="21">
        <f t="shared" si="5"/>
        <v>44.662677165354332</v>
      </c>
    </row>
    <row r="79" spans="2:6" x14ac:dyDescent="0.25">
      <c r="B79" s="41">
        <v>12800</v>
      </c>
      <c r="C79" s="16">
        <v>108.5</v>
      </c>
      <c r="D79" s="65">
        <f t="shared" si="3"/>
        <v>80.908450000000002</v>
      </c>
      <c r="E79" s="16">
        <f t="shared" si="4"/>
        <v>80908.45</v>
      </c>
      <c r="F79" s="21">
        <f t="shared" si="5"/>
        <v>44.518906250000001</v>
      </c>
    </row>
    <row r="80" spans="2:6" x14ac:dyDescent="0.25">
      <c r="B80" s="41">
        <v>12900</v>
      </c>
      <c r="C80" s="16">
        <v>109</v>
      </c>
      <c r="D80" s="65">
        <f t="shared" si="3"/>
        <v>81.281300000000002</v>
      </c>
      <c r="E80" s="16">
        <f t="shared" si="4"/>
        <v>81281.3</v>
      </c>
      <c r="F80" s="21">
        <f t="shared" si="5"/>
        <v>44.377364341085269</v>
      </c>
    </row>
    <row r="81" spans="2:6" x14ac:dyDescent="0.25">
      <c r="B81" s="41">
        <v>13000</v>
      </c>
      <c r="C81" s="16">
        <v>109</v>
      </c>
      <c r="D81" s="65">
        <f t="shared" si="3"/>
        <v>81.281300000000002</v>
      </c>
      <c r="E81" s="16">
        <f t="shared" si="4"/>
        <v>81281.3</v>
      </c>
      <c r="F81" s="21">
        <f t="shared" si="5"/>
        <v>44.036000000000001</v>
      </c>
    </row>
    <row r="82" spans="2:6" x14ac:dyDescent="0.25">
      <c r="B82" s="41">
        <v>13100</v>
      </c>
      <c r="C82" s="16">
        <v>109</v>
      </c>
      <c r="D82" s="65">
        <f t="shared" si="3"/>
        <v>81.281300000000002</v>
      </c>
      <c r="E82" s="16">
        <f t="shared" si="4"/>
        <v>81281.3</v>
      </c>
      <c r="F82" s="21">
        <f t="shared" si="5"/>
        <v>43.699847328244275</v>
      </c>
    </row>
    <row r="83" spans="2:6" x14ac:dyDescent="0.25">
      <c r="B83" s="41">
        <v>13200</v>
      </c>
      <c r="C83" s="16">
        <v>109</v>
      </c>
      <c r="D83" s="65">
        <f t="shared" si="3"/>
        <v>81.281300000000002</v>
      </c>
      <c r="E83" s="16">
        <f t="shared" si="4"/>
        <v>81281.3</v>
      </c>
      <c r="F83" s="21">
        <f t="shared" si="5"/>
        <v>43.368787878787877</v>
      </c>
    </row>
    <row r="84" spans="2:6" x14ac:dyDescent="0.25">
      <c r="B84" s="41">
        <v>13300</v>
      </c>
      <c r="C84" s="16">
        <v>109</v>
      </c>
      <c r="D84" s="65">
        <f t="shared" si="3"/>
        <v>81.281300000000002</v>
      </c>
      <c r="E84" s="16">
        <f t="shared" si="4"/>
        <v>81281.3</v>
      </c>
      <c r="F84" s="21">
        <f t="shared" si="5"/>
        <v>43.042706766917291</v>
      </c>
    </row>
    <row r="85" spans="2:6" x14ac:dyDescent="0.25">
      <c r="B85" s="41">
        <v>13400</v>
      </c>
      <c r="C85" s="16">
        <v>109</v>
      </c>
      <c r="D85" s="65">
        <f t="shared" si="3"/>
        <v>81.281300000000002</v>
      </c>
      <c r="E85" s="16">
        <f t="shared" si="4"/>
        <v>81281.3</v>
      </c>
      <c r="F85" s="21">
        <f t="shared" si="5"/>
        <v>42.721492537313431</v>
      </c>
    </row>
    <row r="86" spans="2:6" x14ac:dyDescent="0.25">
      <c r="B86" s="41">
        <v>13500</v>
      </c>
      <c r="C86" s="16">
        <v>109</v>
      </c>
      <c r="D86" s="65">
        <f t="shared" si="3"/>
        <v>81.281300000000002</v>
      </c>
      <c r="E86" s="16">
        <f t="shared" si="4"/>
        <v>81281.3</v>
      </c>
      <c r="F86" s="21">
        <f t="shared" si="5"/>
        <v>42.40503703703704</v>
      </c>
    </row>
    <row r="87" spans="2:6" x14ac:dyDescent="0.25">
      <c r="B87" s="41">
        <v>13600</v>
      </c>
      <c r="C87" s="16">
        <v>109</v>
      </c>
      <c r="D87" s="65">
        <f t="shared" si="3"/>
        <v>81.281300000000002</v>
      </c>
      <c r="E87" s="16">
        <f t="shared" si="4"/>
        <v>81281.3</v>
      </c>
      <c r="F87" s="21">
        <f t="shared" si="5"/>
        <v>42.093235294117648</v>
      </c>
    </row>
    <row r="88" spans="2:6" x14ac:dyDescent="0.25">
      <c r="B88" s="41">
        <v>13700</v>
      </c>
      <c r="C88" s="16">
        <v>109</v>
      </c>
      <c r="D88" s="65">
        <f t="shared" si="3"/>
        <v>81.281300000000002</v>
      </c>
      <c r="E88" s="16">
        <f t="shared" si="4"/>
        <v>81281.3</v>
      </c>
      <c r="F88" s="21">
        <f t="shared" si="5"/>
        <v>41.785985401459854</v>
      </c>
    </row>
    <row r="89" spans="2:6" x14ac:dyDescent="0.25">
      <c r="B89" s="41">
        <v>13800</v>
      </c>
      <c r="C89" s="16">
        <v>109.5</v>
      </c>
      <c r="D89" s="65">
        <f t="shared" si="3"/>
        <v>81.654150000000001</v>
      </c>
      <c r="E89" s="16">
        <f t="shared" si="4"/>
        <v>81654.149999999994</v>
      </c>
      <c r="F89" s="21">
        <f t="shared" si="5"/>
        <v>41.673478260869565</v>
      </c>
    </row>
    <row r="90" spans="2:6" x14ac:dyDescent="0.25">
      <c r="B90" s="41">
        <v>13900</v>
      </c>
      <c r="C90" s="16">
        <v>110</v>
      </c>
      <c r="D90" s="65">
        <f t="shared" si="3"/>
        <v>82.027000000000001</v>
      </c>
      <c r="E90" s="16">
        <f t="shared" si="4"/>
        <v>82027</v>
      </c>
      <c r="F90" s="21">
        <f t="shared" si="5"/>
        <v>41.562589928057555</v>
      </c>
    </row>
    <row r="91" spans="2:6" x14ac:dyDescent="0.25">
      <c r="B91" s="41">
        <v>14000</v>
      </c>
      <c r="C91" s="16">
        <v>111</v>
      </c>
      <c r="D91" s="65">
        <f t="shared" si="3"/>
        <v>82.7727</v>
      </c>
      <c r="E91" s="16">
        <f t="shared" si="4"/>
        <v>82772.7</v>
      </c>
      <c r="F91" s="21">
        <f t="shared" si="5"/>
        <v>41.640857142857143</v>
      </c>
    </row>
    <row r="92" spans="2:6" x14ac:dyDescent="0.25">
      <c r="B92" s="41">
        <v>14100</v>
      </c>
      <c r="C92" s="16">
        <v>111.5</v>
      </c>
      <c r="D92" s="65">
        <f t="shared" si="3"/>
        <v>83.14555</v>
      </c>
      <c r="E92" s="16">
        <f t="shared" si="4"/>
        <v>83145.55</v>
      </c>
      <c r="F92" s="21">
        <f t="shared" si="5"/>
        <v>41.531773049645388</v>
      </c>
    </row>
    <row r="93" spans="2:6" x14ac:dyDescent="0.25">
      <c r="B93" s="41">
        <v>14200</v>
      </c>
      <c r="C93" s="16">
        <v>112</v>
      </c>
      <c r="D93" s="65">
        <f t="shared" si="3"/>
        <v>83.5184</v>
      </c>
      <c r="E93" s="16">
        <f t="shared" si="4"/>
        <v>83518.399999999994</v>
      </c>
      <c r="F93" s="21">
        <f t="shared" si="5"/>
        <v>41.424225352112678</v>
      </c>
    </row>
    <row r="94" spans="2:6" x14ac:dyDescent="0.25">
      <c r="B94" s="41">
        <v>14300</v>
      </c>
      <c r="C94" s="16">
        <v>112</v>
      </c>
      <c r="D94" s="65">
        <f t="shared" si="3"/>
        <v>83.5184</v>
      </c>
      <c r="E94" s="16">
        <f t="shared" si="4"/>
        <v>83518.399999999994</v>
      </c>
      <c r="F94" s="21">
        <f t="shared" si="5"/>
        <v>41.134545454545453</v>
      </c>
    </row>
    <row r="95" spans="2:6" x14ac:dyDescent="0.25">
      <c r="B95" s="41">
        <v>14400</v>
      </c>
      <c r="C95" s="16">
        <v>112</v>
      </c>
      <c r="D95" s="65">
        <f t="shared" si="3"/>
        <v>83.5184</v>
      </c>
      <c r="E95" s="16">
        <f t="shared" si="4"/>
        <v>83518.399999999994</v>
      </c>
      <c r="F95" s="21">
        <f t="shared" si="5"/>
        <v>40.848888888888887</v>
      </c>
    </row>
    <row r="96" spans="2:6" x14ac:dyDescent="0.25">
      <c r="B96" s="41">
        <v>14500</v>
      </c>
      <c r="C96" s="16">
        <v>112</v>
      </c>
      <c r="D96" s="65">
        <f t="shared" si="3"/>
        <v>83.5184</v>
      </c>
      <c r="E96" s="16">
        <f t="shared" si="4"/>
        <v>83518.399999999994</v>
      </c>
      <c r="F96" s="21">
        <f t="shared" si="5"/>
        <v>40.567172413793102</v>
      </c>
    </row>
    <row r="97" spans="2:6" x14ac:dyDescent="0.25">
      <c r="B97" s="41">
        <v>14600</v>
      </c>
      <c r="C97" s="16">
        <v>112</v>
      </c>
      <c r="D97" s="65">
        <f t="shared" si="3"/>
        <v>83.5184</v>
      </c>
      <c r="E97" s="16">
        <f t="shared" si="4"/>
        <v>83518.399999999994</v>
      </c>
      <c r="F97" s="21">
        <f t="shared" si="5"/>
        <v>40.289315068493153</v>
      </c>
    </row>
    <row r="98" spans="2:6" x14ac:dyDescent="0.25">
      <c r="B98" s="41">
        <v>14700</v>
      </c>
      <c r="C98" s="16">
        <v>111.5</v>
      </c>
      <c r="D98" s="65">
        <f t="shared" si="3"/>
        <v>83.14555</v>
      </c>
      <c r="E98" s="16">
        <f t="shared" si="4"/>
        <v>83145.55</v>
      </c>
      <c r="F98" s="21">
        <f t="shared" si="5"/>
        <v>39.836598639455779</v>
      </c>
    </row>
    <row r="99" spans="2:6" x14ac:dyDescent="0.25">
      <c r="B99" s="41">
        <v>14800</v>
      </c>
      <c r="C99" s="16">
        <v>111</v>
      </c>
      <c r="D99" s="65">
        <f t="shared" si="3"/>
        <v>82.7727</v>
      </c>
      <c r="E99" s="16">
        <f t="shared" si="4"/>
        <v>82772.7</v>
      </c>
      <c r="F99" s="21">
        <f t="shared" si="5"/>
        <v>39.39</v>
      </c>
    </row>
    <row r="100" spans="2:6" x14ac:dyDescent="0.25">
      <c r="B100" s="41">
        <v>14900</v>
      </c>
      <c r="C100" s="16">
        <v>110.5</v>
      </c>
      <c r="D100" s="65">
        <f t="shared" si="3"/>
        <v>82.399850000000001</v>
      </c>
      <c r="E100" s="16">
        <f t="shared" si="4"/>
        <v>82399.850000000006</v>
      </c>
      <c r="F100" s="21">
        <f t="shared" si="5"/>
        <v>38.94939597315436</v>
      </c>
    </row>
    <row r="101" spans="2:6" x14ac:dyDescent="0.25">
      <c r="B101" s="41">
        <v>15000</v>
      </c>
      <c r="C101" s="16">
        <v>110</v>
      </c>
      <c r="D101" s="65">
        <f t="shared" si="3"/>
        <v>82.027000000000001</v>
      </c>
      <c r="E101" s="16">
        <f t="shared" si="4"/>
        <v>82027</v>
      </c>
      <c r="F101" s="21">
        <f t="shared" si="5"/>
        <v>38.514666666666663</v>
      </c>
    </row>
    <row r="102" spans="2:6" x14ac:dyDescent="0.25">
      <c r="B102" s="41">
        <v>15100</v>
      </c>
      <c r="C102" s="16">
        <v>109</v>
      </c>
      <c r="D102" s="65">
        <f t="shared" si="3"/>
        <v>81.281300000000002</v>
      </c>
      <c r="E102" s="16">
        <f t="shared" si="4"/>
        <v>81281.3</v>
      </c>
      <c r="F102" s="21">
        <f t="shared" si="5"/>
        <v>37.911788079470199</v>
      </c>
    </row>
    <row r="103" spans="2:6" x14ac:dyDescent="0.25">
      <c r="B103" s="41">
        <v>15200</v>
      </c>
      <c r="C103" s="16">
        <v>108</v>
      </c>
      <c r="D103" s="65">
        <f t="shared" si="3"/>
        <v>80.535600000000002</v>
      </c>
      <c r="E103" s="16">
        <f t="shared" si="4"/>
        <v>80535.600000000006</v>
      </c>
      <c r="F103" s="21">
        <f t="shared" si="5"/>
        <v>37.316842105263156</v>
      </c>
    </row>
    <row r="104" spans="2:6" x14ac:dyDescent="0.25">
      <c r="B104" s="41">
        <v>15300</v>
      </c>
      <c r="C104" s="16">
        <v>107</v>
      </c>
      <c r="D104" s="65">
        <f t="shared" si="3"/>
        <v>79.789900000000003</v>
      </c>
      <c r="E104" s="16">
        <f t="shared" si="4"/>
        <v>79789.900000000009</v>
      </c>
      <c r="F104" s="21">
        <f t="shared" si="5"/>
        <v>36.729673202614379</v>
      </c>
    </row>
    <row r="105" spans="2:6" x14ac:dyDescent="0.25">
      <c r="B105" s="41">
        <v>15400</v>
      </c>
      <c r="C105" s="16">
        <v>106.5</v>
      </c>
      <c r="D105" s="65">
        <f t="shared" si="3"/>
        <v>79.417050000000003</v>
      </c>
      <c r="E105" s="16">
        <f t="shared" si="4"/>
        <v>79417.05</v>
      </c>
      <c r="F105" s="21">
        <f t="shared" si="5"/>
        <v>36.320649350649347</v>
      </c>
    </row>
    <row r="106" spans="2:6" x14ac:dyDescent="0.25">
      <c r="B106" s="41">
        <v>15500</v>
      </c>
      <c r="C106" s="16">
        <v>106</v>
      </c>
      <c r="D106" s="65">
        <f t="shared" si="3"/>
        <v>79.044200000000004</v>
      </c>
      <c r="E106" s="16">
        <f t="shared" si="4"/>
        <v>79044.2</v>
      </c>
      <c r="F106" s="21">
        <f t="shared" si="5"/>
        <v>35.91690322580645</v>
      </c>
    </row>
    <row r="107" spans="2:6" x14ac:dyDescent="0.25">
      <c r="B107" s="41">
        <v>15600</v>
      </c>
      <c r="C107" s="16">
        <v>105.5</v>
      </c>
      <c r="D107" s="65">
        <f t="shared" si="3"/>
        <v>78.671350000000004</v>
      </c>
      <c r="E107" s="16">
        <f t="shared" si="4"/>
        <v>78671.350000000006</v>
      </c>
      <c r="F107" s="21">
        <f t="shared" si="5"/>
        <v>35.518333333333331</v>
      </c>
    </row>
    <row r="108" spans="2:6" ht="15.75" thickBot="1" x14ac:dyDescent="0.3">
      <c r="B108" s="41">
        <v>15700</v>
      </c>
      <c r="C108" s="18">
        <v>105</v>
      </c>
      <c r="D108" s="65">
        <f t="shared" si="3"/>
        <v>78.298500000000004</v>
      </c>
      <c r="E108" s="16">
        <f t="shared" si="4"/>
        <v>78298.5</v>
      </c>
      <c r="F108" s="21">
        <f t="shared" si="5"/>
        <v>35.124840764331211</v>
      </c>
    </row>
    <row r="109" spans="2:6" ht="15.75" thickBot="1" x14ac:dyDescent="0.3">
      <c r="B109" s="42">
        <v>15800</v>
      </c>
      <c r="C109" s="18">
        <v>105</v>
      </c>
      <c r="D109" s="95">
        <f t="shared" ref="D109" si="6">0.7457*C109</f>
        <v>78.298500000000004</v>
      </c>
      <c r="E109" s="18">
        <f t="shared" ref="E109" si="7">D109*10^3</f>
        <v>78298.5</v>
      </c>
      <c r="F109" s="96">
        <f t="shared" ref="F109" si="8">(C109*5252)/B109</f>
        <v>34.902531645569617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9E77B-4C99-4782-B711-3148835401C9}">
  <sheetPr>
    <tabColor rgb="FF0070C0"/>
  </sheetPr>
  <dimension ref="B1:AQ2406"/>
  <sheetViews>
    <sheetView tabSelected="1" zoomScale="85" zoomScaleNormal="85" workbookViewId="0">
      <pane ySplit="3" topLeftCell="A2366" activePane="bottomLeft" state="frozen"/>
      <selection pane="bottomLeft" activeCell="AK2386" sqref="AK2386"/>
    </sheetView>
  </sheetViews>
  <sheetFormatPr defaultRowHeight="15" x14ac:dyDescent="0.25"/>
  <cols>
    <col min="3" max="12" width="9.140625" customWidth="1"/>
    <col min="13" max="13" width="8.5703125" bestFit="1" customWidth="1"/>
    <col min="14" max="14" width="12" bestFit="1" customWidth="1"/>
    <col min="15" max="15" width="5.28515625" bestFit="1" customWidth="1"/>
    <col min="16" max="16" width="10.140625" bestFit="1" customWidth="1"/>
    <col min="17" max="17" width="12" bestFit="1" customWidth="1"/>
    <col min="18" max="18" width="8.28515625" hidden="1" customWidth="1"/>
    <col min="19" max="19" width="8.42578125" bestFit="1" customWidth="1"/>
    <col min="20" max="21" width="13.7109375" bestFit="1" customWidth="1"/>
    <col min="22" max="22" width="8.85546875" bestFit="1" customWidth="1"/>
    <col min="23" max="23" width="12.7109375" bestFit="1" customWidth="1"/>
    <col min="24" max="28" width="12" bestFit="1" customWidth="1"/>
    <col min="29" max="29" width="6" bestFit="1" customWidth="1"/>
    <col min="30" max="30" width="10.85546875" bestFit="1" customWidth="1"/>
    <col min="31" max="31" width="10.85546875" hidden="1" customWidth="1"/>
    <col min="32" max="34" width="12.7109375" bestFit="1" customWidth="1"/>
    <col min="35" max="35" width="14.140625" bestFit="1" customWidth="1"/>
    <col min="36" max="36" width="9.5703125" bestFit="1" customWidth="1"/>
    <col min="37" max="37" width="12" bestFit="1" customWidth="1"/>
    <col min="38" max="38" width="14.140625" bestFit="1" customWidth="1"/>
    <col min="39" max="39" width="7" bestFit="1" customWidth="1"/>
    <col min="40" max="40" width="6" bestFit="1" customWidth="1"/>
    <col min="41" max="41" width="10.85546875" bestFit="1" customWidth="1"/>
    <col min="42" max="42" width="12" bestFit="1" customWidth="1"/>
    <col min="43" max="43" width="17" bestFit="1" customWidth="1"/>
    <col min="44" max="44" width="8" bestFit="1" customWidth="1"/>
    <col min="45" max="45" width="14.140625" bestFit="1" customWidth="1"/>
    <col min="46" max="46" width="7" bestFit="1" customWidth="1"/>
    <col min="47" max="47" width="6" bestFit="1" customWidth="1"/>
    <col min="48" max="48" width="10.85546875" bestFit="1" customWidth="1"/>
    <col min="49" max="49" width="12" bestFit="1" customWidth="1"/>
    <col min="50" max="50" width="17" bestFit="1" customWidth="1"/>
  </cols>
  <sheetData>
    <row r="1" spans="2:41" ht="15.75" thickBot="1" x14ac:dyDescent="0.3"/>
    <row r="2" spans="2:41" ht="15.75" thickBot="1" x14ac:dyDescent="0.3">
      <c r="B2" s="35" t="s">
        <v>174</v>
      </c>
      <c r="C2" s="35" t="s">
        <v>203</v>
      </c>
      <c r="D2" s="35" t="s">
        <v>204</v>
      </c>
      <c r="E2" s="35" t="s">
        <v>175</v>
      </c>
      <c r="F2" s="35" t="s">
        <v>176</v>
      </c>
      <c r="G2" s="35" t="s">
        <v>177</v>
      </c>
      <c r="H2" s="35" t="s">
        <v>177</v>
      </c>
      <c r="I2" s="35" t="s">
        <v>178</v>
      </c>
      <c r="J2" s="35" t="s">
        <v>179</v>
      </c>
      <c r="K2" s="35" t="s">
        <v>180</v>
      </c>
      <c r="M2" s="126" t="s">
        <v>219</v>
      </c>
      <c r="N2" s="126" t="s">
        <v>174</v>
      </c>
      <c r="O2" s="126" t="s">
        <v>207</v>
      </c>
      <c r="P2" s="126" t="s">
        <v>111</v>
      </c>
      <c r="Q2" s="126" t="s">
        <v>222</v>
      </c>
      <c r="R2" s="126" t="s">
        <v>237</v>
      </c>
      <c r="S2" s="126" t="s">
        <v>15</v>
      </c>
      <c r="T2" s="126" t="s">
        <v>220</v>
      </c>
      <c r="U2" s="126" t="s">
        <v>221</v>
      </c>
      <c r="V2" s="126" t="s">
        <v>208</v>
      </c>
      <c r="W2" s="126" t="s">
        <v>209</v>
      </c>
      <c r="X2" s="126" t="s">
        <v>162</v>
      </c>
      <c r="Y2" s="126" t="s">
        <v>210</v>
      </c>
      <c r="Z2" s="126" t="s">
        <v>211</v>
      </c>
      <c r="AA2" s="126" t="s">
        <v>212</v>
      </c>
      <c r="AB2" s="126" t="s">
        <v>213</v>
      </c>
      <c r="AC2" s="126" t="s">
        <v>214</v>
      </c>
      <c r="AD2" s="126" t="s">
        <v>215</v>
      </c>
      <c r="AF2" s="179" t="s">
        <v>245</v>
      </c>
      <c r="AG2" s="180"/>
      <c r="AH2" s="181"/>
      <c r="AJ2" s="131" t="s">
        <v>243</v>
      </c>
      <c r="AK2" s="140">
        <f>SUM(N4:N2403)</f>
        <v>58.094583806889652</v>
      </c>
      <c r="AL2" s="3"/>
      <c r="AM2" s="3"/>
      <c r="AN2" s="3"/>
      <c r="AO2" s="3"/>
    </row>
    <row r="3" spans="2:41" ht="15.75" thickBot="1" x14ac:dyDescent="0.3">
      <c r="B3" s="111" t="s">
        <v>77</v>
      </c>
      <c r="C3" s="111" t="s">
        <v>27</v>
      </c>
      <c r="D3" s="111" t="s">
        <v>27</v>
      </c>
      <c r="E3" s="111" t="s">
        <v>181</v>
      </c>
      <c r="F3" s="111" t="s">
        <v>181</v>
      </c>
      <c r="G3" s="111" t="s">
        <v>181</v>
      </c>
      <c r="H3" s="36" t="s">
        <v>96</v>
      </c>
      <c r="I3" s="111" t="s">
        <v>182</v>
      </c>
      <c r="J3" s="111" t="s">
        <v>182</v>
      </c>
      <c r="K3" s="111" t="s">
        <v>46</v>
      </c>
      <c r="M3" s="133" t="s">
        <v>27</v>
      </c>
      <c r="N3" s="133" t="s">
        <v>77</v>
      </c>
      <c r="O3" s="133"/>
      <c r="P3" s="133"/>
      <c r="Q3" s="133" t="s">
        <v>96</v>
      </c>
      <c r="R3" s="133"/>
      <c r="S3" s="133"/>
      <c r="T3" s="133" t="s">
        <v>123</v>
      </c>
      <c r="U3" s="133" t="s">
        <v>123</v>
      </c>
      <c r="V3" s="133" t="s">
        <v>153</v>
      </c>
      <c r="W3" s="133" t="s">
        <v>153</v>
      </c>
      <c r="X3" s="133" t="s">
        <v>153</v>
      </c>
      <c r="Y3" s="133" t="s">
        <v>153</v>
      </c>
      <c r="Z3" s="133" t="s">
        <v>182</v>
      </c>
      <c r="AA3" s="133" t="s">
        <v>182</v>
      </c>
      <c r="AB3" s="133" t="s">
        <v>153</v>
      </c>
      <c r="AC3" s="133" t="s">
        <v>217</v>
      </c>
      <c r="AD3" s="136" t="s">
        <v>218</v>
      </c>
      <c r="AF3" s="137" t="s">
        <v>246</v>
      </c>
      <c r="AG3" s="137" t="s">
        <v>247</v>
      </c>
      <c r="AH3" s="138" t="s">
        <v>248</v>
      </c>
      <c r="AJ3" s="132" t="s">
        <v>244</v>
      </c>
      <c r="AK3" s="132">
        <f>B2403-B4</f>
        <v>61.807000000000016</v>
      </c>
    </row>
    <row r="4" spans="2:41" x14ac:dyDescent="0.25">
      <c r="B4" s="16">
        <v>195.76900000000001</v>
      </c>
      <c r="C4" s="16">
        <v>7274</v>
      </c>
      <c r="D4" s="16">
        <v>1</v>
      </c>
      <c r="E4" s="113">
        <v>207</v>
      </c>
      <c r="F4" s="113">
        <v>205.3</v>
      </c>
      <c r="G4" s="113">
        <v>201.8</v>
      </c>
      <c r="H4" s="112">
        <f>G4/3.6</f>
        <v>56.055555555555557</v>
      </c>
      <c r="I4" s="113">
        <v>4.5999999999999996</v>
      </c>
      <c r="J4" s="113">
        <v>15.8</v>
      </c>
      <c r="K4" s="113">
        <v>-5</v>
      </c>
      <c r="L4" s="188" t="s">
        <v>183</v>
      </c>
      <c r="M4" s="15">
        <v>1</v>
      </c>
      <c r="N4" s="15">
        <f>1/Q4</f>
        <v>1.7839444995044598E-2</v>
      </c>
      <c r="O4" s="15">
        <v>6</v>
      </c>
      <c r="P4" s="15">
        <f t="shared" ref="P4:P67" si="0">VLOOKUP(O4,$AJ$5:$AK$10,2,FALSE)</f>
        <v>7.3113821138211375</v>
      </c>
      <c r="Q4" s="15">
        <f>G4/3.6</f>
        <v>56.055555555555557</v>
      </c>
      <c r="R4" s="112">
        <f t="shared" ref="R4:R67" si="1">VLOOKUP(O4,$AJ$5:$AL$10,3,FALSE)</f>
        <v>311.95699999999999</v>
      </c>
      <c r="S4" s="15">
        <f>IF(S3=15800,15800,ROUND((((Q4*60)/'Gearing Calculator'!$C$14)*'Track Data'!P4),-2))</f>
        <v>12400</v>
      </c>
      <c r="T4" s="15">
        <f>AH4</f>
        <v>3.6342302460270166</v>
      </c>
      <c r="U4" s="15">
        <f>IF(AC4=100,Braking!$AG$2354,IF(AC4=50,Braking!$AG$1179,IF(AC4=75,Braking!$AG$1767,0)))</f>
        <v>0</v>
      </c>
      <c r="V4" s="15">
        <f>0.5*'Gearing Calculator'!$C$15*'Gearing Calculator'!$C$20*'Gearing Calculator'!$W$20*('Track Data'!Q4^2)</f>
        <v>332.57312666666667</v>
      </c>
      <c r="W4" s="15">
        <f>('Gearing Calculator'!$U$9*'Track Data'!T4)+'Track Data'!V4</f>
        <v>1300.0052181590586</v>
      </c>
      <c r="X4" s="15">
        <f>('Gearing Calculator'!$U$9*9.81)*('Gearing Calculator'!$U$16/'Gearing Calculator'!$C$7)-(('Track Data'!W4)*('Gearing Calculator'!$U$17/'Gearing Calculator'!$C$7))</f>
        <v>692.57067389386441</v>
      </c>
      <c r="Y4" s="15">
        <f>('Gearing Calculator'!$U$9*9.81)*(('Gearing Calculator'!$C$7-'Gearing Calculator'!$U$16)/'Gearing Calculator'!$C$7)+(('Track Data'!W4)*('Gearing Calculator'!$U$17/'Gearing Calculator'!$C$7))</f>
        <v>1918.8513261061357</v>
      </c>
      <c r="Z4" s="15">
        <f>((X4*COS('Gearing Calculator'!$C$21))/'Gearing Calculator'!$C$22)/2</f>
        <v>21.412094822377146</v>
      </c>
      <c r="AA4" s="15">
        <f>Y4/'Gearing Calculator'!$C$24</f>
        <v>26.793600428418802</v>
      </c>
      <c r="AB4" s="15">
        <f t="shared" ref="AB4:AB67" si="2">(T4*O4)+V4</f>
        <v>354.37850814282876</v>
      </c>
      <c r="AC4" s="15">
        <v>0</v>
      </c>
      <c r="AD4" s="15">
        <v>0</v>
      </c>
      <c r="AE4" s="15">
        <v>1</v>
      </c>
      <c r="AF4" s="15">
        <f>IF(AC4=0,IF(O4=6,INDEX(Acceleration!$V$4:$V$110,MATCH('Track Data'!S4,Acceleration!$K$4:$K$110,0)),IF('Track Data'!O4=5,INDEX(Acceleration!$U$4:$U$110,MATCH('Track Data'!S4,Acceleration!$K$4:$K$110,0)),1)),U4)</f>
        <v>3.6342302460270166</v>
      </c>
      <c r="AG4" s="15">
        <f>IF(AC4=0,IF(O4=4,INDEX(Acceleration!$T$4:$T$110,MATCH('Track Data'!S4,Acceleration!$K$4:$K$110,0)),IF('Track Data'!O4=3,INDEX(Acceleration!$S$4:$S$110,MATCH('Track Data'!S4,Acceleration!$K$4:$K$110,0)),'Track Data'!AF4)),'Track Data'!U4)</f>
        <v>3.6342302460270166</v>
      </c>
      <c r="AH4" s="15">
        <f>IF(AC4=0,IF(O4=2,INDEX(Acceleration!$R$4:$R$110,MATCH('Track Data'!S4,Acceleration!$K$4:$K$110,0)),IF('Track Data'!O4=1,INDEX(Acceleration!$Q$4:$Q$110,MATCH('Track Data'!S4,Acceleration!$K$4:$K$110,0)),'Track Data'!AG4)),'Track Data'!U4)</f>
        <v>3.6342302460270166</v>
      </c>
    </row>
    <row r="5" spans="2:41" x14ac:dyDescent="0.25">
      <c r="B5" s="16">
        <v>195.786</v>
      </c>
      <c r="C5" s="16">
        <v>7275</v>
      </c>
      <c r="D5" s="16">
        <v>2</v>
      </c>
      <c r="E5" s="113">
        <v>207</v>
      </c>
      <c r="F5" s="113">
        <v>205.6</v>
      </c>
      <c r="G5" s="113">
        <v>202</v>
      </c>
      <c r="H5" s="113">
        <f t="shared" ref="H5:H68" si="3">G5/3.6</f>
        <v>56.111111111111107</v>
      </c>
      <c r="I5" s="113">
        <v>4.5</v>
      </c>
      <c r="J5" s="113">
        <v>15.26</v>
      </c>
      <c r="K5" s="113">
        <v>-5</v>
      </c>
      <c r="L5" s="189"/>
      <c r="M5" s="16">
        <v>2</v>
      </c>
      <c r="N5" s="16">
        <f>1/Q5</f>
        <v>1.7818848002621818E-2</v>
      </c>
      <c r="O5" s="16">
        <v>6</v>
      </c>
      <c r="P5" s="16">
        <f t="shared" si="0"/>
        <v>7.3113821138211375</v>
      </c>
      <c r="Q5" s="16">
        <f>IF(AD4=0,SQRT(Q4^2+(2*T4)),Q4)</f>
        <v>56.12035075740377</v>
      </c>
      <c r="R5" s="113">
        <f t="shared" si="1"/>
        <v>311.95699999999999</v>
      </c>
      <c r="S5" s="16">
        <f>IF(S4=15800,15800,ROUND((((Q5*60)/'Gearing Calculator'!$C$14)*'Track Data'!P5),-2))</f>
        <v>12400</v>
      </c>
      <c r="T5" s="16">
        <f t="shared" ref="T5:T68" si="4">AH5</f>
        <v>3.6342302460270166</v>
      </c>
      <c r="U5" s="16">
        <f>IF(AC5=100,Braking!$AG$2354,IF(AC5=50,Braking!$AG$1179,IF(AC5=75,Braking!$AG$1767,0)))</f>
        <v>0</v>
      </c>
      <c r="V5" s="16">
        <f>0.5*'Gearing Calculator'!$C$15*'Gearing Calculator'!$C$20*'Gearing Calculator'!$W$20*('Track Data'!Q5^2)</f>
        <v>333.34242052514571</v>
      </c>
      <c r="W5" s="16">
        <f>('Gearing Calculator'!$U$9*'Track Data'!T5)+'Track Data'!V5</f>
        <v>1300.7745120175375</v>
      </c>
      <c r="X5" s="16">
        <f>('Gearing Calculator'!$U$9*9.81)*('Gearing Calculator'!$U$16/'Gearing Calculator'!$C$7)-(('Track Data'!W5)*('Gearing Calculator'!$U$17/'Gearing Calculator'!$C$7))</f>
        <v>692.15135620304386</v>
      </c>
      <c r="Y5" s="16">
        <f>('Gearing Calculator'!$U$9*9.81)*(('Gearing Calculator'!$C$7-'Gearing Calculator'!$U$16)/'Gearing Calculator'!$C$7)+(('Track Data'!W5)*('Gearing Calculator'!$U$17/'Gearing Calculator'!$C$7))</f>
        <v>1919.2706437969562</v>
      </c>
      <c r="Z5" s="16">
        <f>((X5*COS('Gearing Calculator'!$C$21))/'Gearing Calculator'!$C$22)/2</f>
        <v>21.399130845565839</v>
      </c>
      <c r="AA5" s="16">
        <f>Y5/'Gearing Calculator'!$C$24</f>
        <v>26.799455509793557</v>
      </c>
      <c r="AB5" s="16">
        <f t="shared" si="2"/>
        <v>355.14780200130781</v>
      </c>
      <c r="AC5" s="16">
        <v>0</v>
      </c>
      <c r="AD5" s="16">
        <v>0</v>
      </c>
      <c r="AE5" s="16">
        <v>2</v>
      </c>
      <c r="AF5" s="16">
        <f>IF(AC5=0,IF(O5=6,INDEX(Acceleration!$V$4:$V$110,MATCH('Track Data'!S5,Acceleration!$K$4:$K$110,0)),IF('Track Data'!O5=5,INDEX(Acceleration!$U$4:$U$110,MATCH('Track Data'!S5,Acceleration!$K$4:$K$110,0)),1)),U5)</f>
        <v>3.6342302460270166</v>
      </c>
      <c r="AG5" s="16">
        <f>IF(AC5=0,IF(O5=4,INDEX(Acceleration!$T$4:$T$110,MATCH('Track Data'!S5,Acceleration!$K$4:$K$110,0)),IF('Track Data'!O5=3,INDEX(Acceleration!$S$4:$S$110,MATCH('Track Data'!S5,Acceleration!$K$4:$K$110,0)),'Track Data'!AF5)),'Track Data'!U5)</f>
        <v>3.6342302460270166</v>
      </c>
      <c r="AH5" s="16">
        <f>IF(AC5=0,IF(O5=2,INDEX(Acceleration!$R$4:$R$110,MATCH('Track Data'!S5,Acceleration!$K$4:$K$110,0)),IF('Track Data'!O5=1,INDEX(Acceleration!$Q$4:$Q$110,MATCH('Track Data'!S5,Acceleration!$K$4:$K$110,0)),'Track Data'!AG5)),'Track Data'!U5)</f>
        <v>3.6342302460270166</v>
      </c>
      <c r="AJ5" s="48">
        <v>1</v>
      </c>
      <c r="AK5" s="48">
        <v>16.424119241192415</v>
      </c>
      <c r="AL5" s="135">
        <v>434.78</v>
      </c>
    </row>
    <row r="6" spans="2:41" x14ac:dyDescent="0.25">
      <c r="B6" s="16">
        <v>195.804</v>
      </c>
      <c r="C6" s="16">
        <v>7277</v>
      </c>
      <c r="D6" s="16">
        <v>3</v>
      </c>
      <c r="E6" s="113">
        <v>207</v>
      </c>
      <c r="F6" s="113">
        <v>205.8</v>
      </c>
      <c r="G6" s="113">
        <v>202.2</v>
      </c>
      <c r="H6" s="113">
        <f t="shared" si="3"/>
        <v>56.166666666666664</v>
      </c>
      <c r="I6" s="113">
        <v>4.3</v>
      </c>
      <c r="J6" s="113">
        <v>15.74</v>
      </c>
      <c r="K6" s="113">
        <v>-5</v>
      </c>
      <c r="L6" s="189"/>
      <c r="M6" s="16">
        <v>3</v>
      </c>
      <c r="N6" s="16">
        <f t="shared" ref="N6:N69" si="5">1/Q6</f>
        <v>1.7798322188224247E-2</v>
      </c>
      <c r="O6" s="16">
        <v>6</v>
      </c>
      <c r="P6" s="16">
        <f t="shared" si="0"/>
        <v>7.3113821138211375</v>
      </c>
      <c r="Q6" s="16">
        <f t="shared" ref="Q6:Q69" si="6">IF(AD5=0,SQRT(Q5^2+(2*T5)),Q5)</f>
        <v>56.185071234502182</v>
      </c>
      <c r="R6" s="113">
        <f t="shared" si="1"/>
        <v>311.95699999999999</v>
      </c>
      <c r="S6" s="16">
        <f>IF(S5=15800,15800,ROUND((((Q6*60)/'Gearing Calculator'!$C$14)*'Track Data'!P6),-2))</f>
        <v>12500</v>
      </c>
      <c r="T6" s="16">
        <f t="shared" si="4"/>
        <v>3.6270085462483364</v>
      </c>
      <c r="U6" s="16">
        <f>IF(AC6=100,Braking!$AG$2354,IF(AC6=50,Braking!$AG$1179,IF(AC6=75,Braking!$AG$1767,0)))</f>
        <v>0</v>
      </c>
      <c r="V6" s="16">
        <f>0.5*'Gearing Calculator'!$C$15*'Gearing Calculator'!$C$20*'Gearing Calculator'!$W$20*('Track Data'!Q6^2)</f>
        <v>334.11171438362476</v>
      </c>
      <c r="W6" s="16">
        <f>('Gearing Calculator'!$U$9*'Track Data'!T6)+'Track Data'!V6</f>
        <v>1299.6213893949318</v>
      </c>
      <c r="X6" s="16">
        <f>('Gearing Calculator'!$U$9*9.81)*('Gearing Calculator'!$U$16/'Gearing Calculator'!$C$7)-(('Track Data'!W6)*('Gearing Calculator'!$U$17/'Gearing Calculator'!$C$7))</f>
        <v>692.77988678341262</v>
      </c>
      <c r="Y6" s="16">
        <f>('Gearing Calculator'!$U$9*9.81)*(('Gearing Calculator'!$C$7-'Gearing Calculator'!$U$16)/'Gearing Calculator'!$C$7)+(('Track Data'!W6)*('Gearing Calculator'!$U$17/'Gearing Calculator'!$C$7))</f>
        <v>1918.6421132165874</v>
      </c>
      <c r="Z6" s="16">
        <f>((X6*COS('Gearing Calculator'!$C$21))/'Gearing Calculator'!$C$22)/2</f>
        <v>21.418563023237983</v>
      </c>
      <c r="AA6" s="16">
        <f>Y6/'Gearing Calculator'!$C$24</f>
        <v>26.790679114771013</v>
      </c>
      <c r="AB6" s="16">
        <f t="shared" si="2"/>
        <v>355.87376566111476</v>
      </c>
      <c r="AC6" s="16">
        <v>0</v>
      </c>
      <c r="AD6" s="16">
        <v>0</v>
      </c>
      <c r="AE6" s="16">
        <v>3</v>
      </c>
      <c r="AF6" s="16">
        <f>IF(AC6=0,IF(O6=6,INDEX(Acceleration!$V$4:$V$110,MATCH('Track Data'!S6,Acceleration!$K$4:$K$110,0)),IF('Track Data'!O6=5,INDEX(Acceleration!$U$4:$U$110,MATCH('Track Data'!S6,Acceleration!$K$4:$K$110,0)),1)),U6)</f>
        <v>3.6270085462483364</v>
      </c>
      <c r="AG6" s="16">
        <f>IF(AC6=0,IF(O6=4,INDEX(Acceleration!$T$4:$T$110,MATCH('Track Data'!S6,Acceleration!$K$4:$K$110,0)),IF('Track Data'!O6=3,INDEX(Acceleration!$S$4:$S$110,MATCH('Track Data'!S6,Acceleration!$K$4:$K$110,0)),'Track Data'!AF6)),'Track Data'!U6)</f>
        <v>3.6270085462483364</v>
      </c>
      <c r="AH6" s="16">
        <f>IF(AC6=0,IF(O6=2,INDEX(Acceleration!$R$4:$R$110,MATCH('Track Data'!S6,Acceleration!$K$4:$K$110,0)),IF('Track Data'!O6=1,INDEX(Acceleration!$Q$4:$Q$110,MATCH('Track Data'!S6,Acceleration!$K$4:$K$110,0)),'Track Data'!AG6)),'Track Data'!U6)</f>
        <v>3.6270085462483364</v>
      </c>
      <c r="AJ6" s="48">
        <v>2</v>
      </c>
      <c r="AK6" s="48">
        <v>12.715447154471546</v>
      </c>
      <c r="AL6" s="135">
        <v>373.41300000000001</v>
      </c>
    </row>
    <row r="7" spans="2:41" x14ac:dyDescent="0.25">
      <c r="B7" s="16">
        <v>195.821</v>
      </c>
      <c r="C7" s="16">
        <v>7278</v>
      </c>
      <c r="D7" s="16">
        <v>4</v>
      </c>
      <c r="E7" s="113">
        <v>208</v>
      </c>
      <c r="F7" s="113">
        <v>205.8</v>
      </c>
      <c r="G7" s="113">
        <v>202.4</v>
      </c>
      <c r="H7" s="113">
        <f t="shared" si="3"/>
        <v>56.222222222222221</v>
      </c>
      <c r="I7" s="113">
        <v>4.3</v>
      </c>
      <c r="J7" s="113">
        <v>16.149999999999999</v>
      </c>
      <c r="K7" s="113">
        <v>-5</v>
      </c>
      <c r="L7" s="189"/>
      <c r="M7" s="16">
        <v>4</v>
      </c>
      <c r="N7" s="16">
        <f t="shared" si="5"/>
        <v>1.7777907719833907E-2</v>
      </c>
      <c r="O7" s="16">
        <v>6</v>
      </c>
      <c r="P7" s="16">
        <f t="shared" si="0"/>
        <v>7.3113821138211375</v>
      </c>
      <c r="Q7" s="16">
        <f t="shared" si="6"/>
        <v>56.249588858218168</v>
      </c>
      <c r="R7" s="113">
        <f t="shared" si="1"/>
        <v>311.95699999999999</v>
      </c>
      <c r="S7" s="16">
        <f>IF(S6=15800,15800,ROUND((((Q7*60)/'Gearing Calculator'!$C$14)*'Track Data'!P7),-2))</f>
        <v>12500</v>
      </c>
      <c r="T7" s="16">
        <f t="shared" si="4"/>
        <v>3.6270085462483364</v>
      </c>
      <c r="U7" s="16">
        <f>IF(AC7=100,Braking!$AG$2354,IF(AC7=50,Braking!$AG$1179,IF(AC7=75,Braking!$AG$1767,0)))</f>
        <v>0</v>
      </c>
      <c r="V7" s="16">
        <f>0.5*'Gearing Calculator'!$C$15*'Gearing Calculator'!$C$20*'Gearing Calculator'!$W$20*('Track Data'!Q7^2)</f>
        <v>334.87947955269465</v>
      </c>
      <c r="W7" s="16">
        <f>('Gearing Calculator'!$U$9*'Track Data'!T7)+'Track Data'!V7</f>
        <v>1300.3891545640017</v>
      </c>
      <c r="X7" s="16">
        <f>('Gearing Calculator'!$U$9*9.81)*('Gearing Calculator'!$U$16/'Gearing Calculator'!$C$7)-(('Track Data'!W7)*('Gearing Calculator'!$U$17/'Gearing Calculator'!$C$7))</f>
        <v>692.36140233271999</v>
      </c>
      <c r="Y7" s="16">
        <f>('Gearing Calculator'!$U$9*9.81)*(('Gearing Calculator'!$C$7-'Gearing Calculator'!$U$16)/'Gearing Calculator'!$C$7)+(('Track Data'!W7)*('Gearing Calculator'!$U$17/'Gearing Calculator'!$C$7))</f>
        <v>1919.06059766728</v>
      </c>
      <c r="Z7" s="16">
        <f>((X7*COS('Gearing Calculator'!$C$21))/'Gearing Calculator'!$C$22)/2</f>
        <v>21.405624807576121</v>
      </c>
      <c r="AA7" s="16">
        <f>Y7/'Gearing Calculator'!$C$24</f>
        <v>26.796522561318859</v>
      </c>
      <c r="AB7" s="16">
        <f t="shared" si="2"/>
        <v>356.64153083018465</v>
      </c>
      <c r="AC7" s="16">
        <v>0</v>
      </c>
      <c r="AD7" s="16">
        <v>0</v>
      </c>
      <c r="AE7" s="16">
        <v>4</v>
      </c>
      <c r="AF7" s="16">
        <f>IF(AC7=0,IF(O7=6,INDEX(Acceleration!$V$4:$V$110,MATCH('Track Data'!S7,Acceleration!$K$4:$K$110,0)),IF('Track Data'!O7=5,INDEX(Acceleration!$U$4:$U$110,MATCH('Track Data'!S7,Acceleration!$K$4:$K$110,0)),1)),U7)</f>
        <v>3.6270085462483364</v>
      </c>
      <c r="AG7" s="16">
        <f>IF(AC7=0,IF(O7=4,INDEX(Acceleration!$T$4:$T$110,MATCH('Track Data'!S7,Acceleration!$K$4:$K$110,0)),IF('Track Data'!O7=3,INDEX(Acceleration!$S$4:$S$110,MATCH('Track Data'!S7,Acceleration!$K$4:$K$110,0)),'Track Data'!AF7)),'Track Data'!U7)</f>
        <v>3.6270085462483364</v>
      </c>
      <c r="AH7" s="16">
        <f>IF(AC7=0,IF(O7=2,INDEX(Acceleration!$R$4:$R$110,MATCH('Track Data'!S7,Acceleration!$K$4:$K$110,0)),IF('Track Data'!O7=1,INDEX(Acceleration!$Q$4:$Q$110,MATCH('Track Data'!S7,Acceleration!$K$4:$K$110,0)),'Track Data'!AG7)),'Track Data'!U7)</f>
        <v>3.6270085462483364</v>
      </c>
      <c r="AJ7" s="48">
        <v>3</v>
      </c>
      <c r="AK7" s="48">
        <v>10.596205962059623</v>
      </c>
      <c r="AL7" s="135">
        <v>345.36</v>
      </c>
    </row>
    <row r="8" spans="2:41" x14ac:dyDescent="0.25">
      <c r="B8" s="16">
        <v>195.839</v>
      </c>
      <c r="C8" s="16">
        <v>7278</v>
      </c>
      <c r="D8" s="16">
        <v>5</v>
      </c>
      <c r="E8" s="113">
        <v>208</v>
      </c>
      <c r="F8" s="113">
        <v>205.9</v>
      </c>
      <c r="G8" s="113">
        <v>202.5</v>
      </c>
      <c r="H8" s="113">
        <f t="shared" si="3"/>
        <v>56.25</v>
      </c>
      <c r="I8" s="113">
        <v>4.3</v>
      </c>
      <c r="J8" s="113">
        <v>15.54</v>
      </c>
      <c r="K8" s="113">
        <v>-5</v>
      </c>
      <c r="L8" s="189"/>
      <c r="M8" s="16">
        <v>5</v>
      </c>
      <c r="N8" s="16">
        <f t="shared" si="5"/>
        <v>1.7757563336159094E-2</v>
      </c>
      <c r="O8" s="16">
        <v>6</v>
      </c>
      <c r="P8" s="16">
        <f t="shared" si="0"/>
        <v>7.3113821138211375</v>
      </c>
      <c r="Q8" s="16">
        <f t="shared" si="6"/>
        <v>56.31403256570318</v>
      </c>
      <c r="R8" s="113">
        <f t="shared" si="1"/>
        <v>311.95699999999999</v>
      </c>
      <c r="S8" s="16">
        <f>IF(S7=15800,15800,ROUND((((Q8*60)/'Gearing Calculator'!$C$14)*'Track Data'!P8),-2))</f>
        <v>12500</v>
      </c>
      <c r="T8" s="16">
        <f t="shared" si="4"/>
        <v>3.6270085462483364</v>
      </c>
      <c r="U8" s="16">
        <f>IF(AC8=100,Braking!$AG$2354,IF(AC8=50,Braking!$AG$1179,IF(AC8=75,Braking!$AG$1767,0)))</f>
        <v>0</v>
      </c>
      <c r="V8" s="16">
        <f>0.5*'Gearing Calculator'!$C$15*'Gearing Calculator'!$C$20*'Gearing Calculator'!$W$20*('Track Data'!Q8^2)</f>
        <v>335.64724472176448</v>
      </c>
      <c r="W8" s="16">
        <f>('Gearing Calculator'!$U$9*'Track Data'!T8)+'Track Data'!V8</f>
        <v>1301.1569197330716</v>
      </c>
      <c r="X8" s="16">
        <f>('Gearing Calculator'!$U$9*9.81)*('Gearing Calculator'!$U$16/'Gearing Calculator'!$C$7)-(('Track Data'!W8)*('Gearing Calculator'!$U$17/'Gearing Calculator'!$C$7))</f>
        <v>691.94291788202736</v>
      </c>
      <c r="Y8" s="16">
        <f>('Gearing Calculator'!$U$9*9.81)*(('Gearing Calculator'!$C$7-'Gearing Calculator'!$U$16)/'Gearing Calculator'!$C$7)+(('Track Data'!W8)*('Gearing Calculator'!$U$17/'Gearing Calculator'!$C$7))</f>
        <v>1919.4790821179727</v>
      </c>
      <c r="Z8" s="16">
        <f>((X8*COS('Gearing Calculator'!$C$21))/'Gearing Calculator'!$C$22)/2</f>
        <v>21.392686591914252</v>
      </c>
      <c r="AA8" s="16">
        <f>Y8/'Gearing Calculator'!$C$24</f>
        <v>26.802366007866706</v>
      </c>
      <c r="AB8" s="16">
        <f t="shared" si="2"/>
        <v>357.40929599925448</v>
      </c>
      <c r="AC8" s="16">
        <v>0</v>
      </c>
      <c r="AD8" s="16">
        <v>0</v>
      </c>
      <c r="AE8" s="16">
        <v>5</v>
      </c>
      <c r="AF8" s="16">
        <f>IF(AC8=0,IF(O8=6,INDEX(Acceleration!$V$4:$V$110,MATCH('Track Data'!S8,Acceleration!$K$4:$K$110,0)),IF('Track Data'!O8=5,INDEX(Acceleration!$U$4:$U$110,MATCH('Track Data'!S8,Acceleration!$K$4:$K$110,0)),1)),U8)</f>
        <v>3.6270085462483364</v>
      </c>
      <c r="AG8" s="16">
        <f>IF(AC8=0,IF(O8=4,INDEX(Acceleration!$T$4:$T$110,MATCH('Track Data'!S8,Acceleration!$K$4:$K$110,0)),IF('Track Data'!O8=3,INDEX(Acceleration!$S$4:$S$110,MATCH('Track Data'!S8,Acceleration!$K$4:$K$110,0)),'Track Data'!AF8)),'Track Data'!U8)</f>
        <v>3.6270085462483364</v>
      </c>
      <c r="AH8" s="16">
        <f>IF(AC8=0,IF(O8=2,INDEX(Acceleration!$R$4:$R$110,MATCH('Track Data'!S8,Acceleration!$K$4:$K$110,0)),IF('Track Data'!O8=1,INDEX(Acceleration!$Q$4:$Q$110,MATCH('Track Data'!S8,Acceleration!$K$4:$K$110,0)),'Track Data'!AG8)),'Track Data'!U8)</f>
        <v>3.6270085462483364</v>
      </c>
      <c r="AJ8" s="48">
        <v>4</v>
      </c>
      <c r="AK8" s="48">
        <v>9.1833785004516724</v>
      </c>
      <c r="AL8" s="135">
        <v>329.49099999999999</v>
      </c>
    </row>
    <row r="9" spans="2:41" x14ac:dyDescent="0.25">
      <c r="B9" s="16">
        <v>195.85599999999999</v>
      </c>
      <c r="C9" s="16">
        <v>7279</v>
      </c>
      <c r="D9" s="16">
        <v>6</v>
      </c>
      <c r="E9" s="113">
        <v>208</v>
      </c>
      <c r="F9" s="113">
        <v>206.1</v>
      </c>
      <c r="G9" s="113">
        <v>202.7</v>
      </c>
      <c r="H9" s="113">
        <f t="shared" si="3"/>
        <v>56.30555555555555</v>
      </c>
      <c r="I9" s="113">
        <v>4.7</v>
      </c>
      <c r="J9" s="113">
        <v>15.06</v>
      </c>
      <c r="K9" s="113">
        <v>-6</v>
      </c>
      <c r="L9" s="189"/>
      <c r="M9" s="16">
        <v>6</v>
      </c>
      <c r="N9" s="16">
        <f t="shared" si="5"/>
        <v>1.7737288637103495E-2</v>
      </c>
      <c r="O9" s="16">
        <v>6</v>
      </c>
      <c r="P9" s="16">
        <f t="shared" si="0"/>
        <v>7.3113821138211375</v>
      </c>
      <c r="Q9" s="16">
        <f t="shared" si="6"/>
        <v>56.37840261042853</v>
      </c>
      <c r="R9" s="113">
        <f t="shared" si="1"/>
        <v>311.95699999999999</v>
      </c>
      <c r="S9" s="16">
        <f>IF(S8=15800,15800,ROUND((((Q9*60)/'Gearing Calculator'!$C$14)*'Track Data'!P9),-2))</f>
        <v>12500</v>
      </c>
      <c r="T9" s="16">
        <f t="shared" si="4"/>
        <v>3.6270085462483364</v>
      </c>
      <c r="U9" s="16">
        <f>IF(AC9=100,Braking!$AG$2354,IF(AC9=50,Braking!$AG$1179,IF(AC9=75,Braking!$AG$1767,0)))</f>
        <v>0</v>
      </c>
      <c r="V9" s="16">
        <f>0.5*'Gearing Calculator'!$C$15*'Gearing Calculator'!$C$20*'Gearing Calculator'!$W$20*('Track Data'!Q9^2)</f>
        <v>336.41500989083431</v>
      </c>
      <c r="W9" s="16">
        <f>('Gearing Calculator'!$U$9*'Track Data'!T9)+'Track Data'!V9</f>
        <v>1301.9246849021415</v>
      </c>
      <c r="X9" s="16">
        <f>('Gearing Calculator'!$U$9*9.81)*('Gearing Calculator'!$U$16/'Gearing Calculator'!$C$7)-(('Track Data'!W9)*('Gearing Calculator'!$U$17/'Gearing Calculator'!$C$7))</f>
        <v>691.52443343133461</v>
      </c>
      <c r="Y9" s="16">
        <f>('Gearing Calculator'!$U$9*9.81)*(('Gearing Calculator'!$C$7-'Gearing Calculator'!$U$16)/'Gearing Calculator'!$C$7)+(('Track Data'!W9)*('Gearing Calculator'!$U$17/'Gearing Calculator'!$C$7))</f>
        <v>1919.8975665686653</v>
      </c>
      <c r="Z9" s="16">
        <f>((X9*COS('Gearing Calculator'!$C$21))/'Gearing Calculator'!$C$22)/2</f>
        <v>21.379748376252387</v>
      </c>
      <c r="AA9" s="16">
        <f>Y9/'Gearing Calculator'!$C$24</f>
        <v>26.808209454414552</v>
      </c>
      <c r="AB9" s="16">
        <f t="shared" si="2"/>
        <v>358.17706116832431</v>
      </c>
      <c r="AC9" s="16">
        <v>0</v>
      </c>
      <c r="AD9" s="16">
        <v>0</v>
      </c>
      <c r="AE9" s="16">
        <v>6</v>
      </c>
      <c r="AF9" s="16">
        <f>IF(AC9=0,IF(O9=6,INDEX(Acceleration!$V$4:$V$110,MATCH('Track Data'!S9,Acceleration!$K$4:$K$110,0)),IF('Track Data'!O9=5,INDEX(Acceleration!$U$4:$U$110,MATCH('Track Data'!S9,Acceleration!$K$4:$K$110,0)),1)),U9)</f>
        <v>3.6270085462483364</v>
      </c>
      <c r="AG9" s="16">
        <f>IF(AC9=0,IF(O9=4,INDEX(Acceleration!$T$4:$T$110,MATCH('Track Data'!S9,Acceleration!$K$4:$K$110,0)),IF('Track Data'!O9=3,INDEX(Acceleration!$S$4:$S$110,MATCH('Track Data'!S9,Acceleration!$K$4:$K$110,0)),'Track Data'!AF9)),'Track Data'!U9)</f>
        <v>3.6270085462483364</v>
      </c>
      <c r="AH9" s="16">
        <f>IF(AC9=0,IF(O9=2,INDEX(Acceleration!$R$4:$R$110,MATCH('Track Data'!S9,Acceleration!$K$4:$K$110,0)),IF('Track Data'!O9=1,INDEX(Acceleration!$Q$4:$Q$110,MATCH('Track Data'!S9,Acceleration!$K$4:$K$110,0)),'Track Data'!AG9)),'Track Data'!U9)</f>
        <v>3.6270085462483364</v>
      </c>
      <c r="AJ9" s="48">
        <v>5</v>
      </c>
      <c r="AK9" s="48">
        <v>8.1742160278745661</v>
      </c>
      <c r="AL9" s="135">
        <v>319.54399999999998</v>
      </c>
    </row>
    <row r="10" spans="2:41" x14ac:dyDescent="0.25">
      <c r="B10" s="16">
        <v>195.874</v>
      </c>
      <c r="C10" s="16">
        <v>7280</v>
      </c>
      <c r="D10" s="16">
        <v>7</v>
      </c>
      <c r="E10" s="113">
        <v>208</v>
      </c>
      <c r="F10" s="113">
        <v>206.4</v>
      </c>
      <c r="G10" s="113">
        <v>202.9</v>
      </c>
      <c r="H10" s="113">
        <f t="shared" si="3"/>
        <v>56.361111111111114</v>
      </c>
      <c r="I10" s="113">
        <v>4.9000000000000004</v>
      </c>
      <c r="J10" s="113">
        <v>14.22</v>
      </c>
      <c r="K10" s="113">
        <v>-7.4</v>
      </c>
      <c r="L10" s="189"/>
      <c r="M10" s="16">
        <v>7</v>
      </c>
      <c r="N10" s="16">
        <f t="shared" si="5"/>
        <v>1.7717083225761175E-2</v>
      </c>
      <c r="O10" s="16">
        <v>6</v>
      </c>
      <c r="P10" s="16">
        <f t="shared" si="0"/>
        <v>7.3113821138211375</v>
      </c>
      <c r="Q10" s="16">
        <f t="shared" si="6"/>
        <v>56.44269924442019</v>
      </c>
      <c r="R10" s="113">
        <f t="shared" si="1"/>
        <v>311.95699999999999</v>
      </c>
      <c r="S10" s="16">
        <f>IF(S9=15800,15800,ROUND((((Q10*60)/'Gearing Calculator'!$C$14)*'Track Data'!P10),-2))</f>
        <v>12500</v>
      </c>
      <c r="T10" s="16">
        <f t="shared" si="4"/>
        <v>3.6270085462483364</v>
      </c>
      <c r="U10" s="16">
        <f>IF(AC10=100,Braking!$AG$2354,IF(AC10=50,Braking!$AG$1179,IF(AC10=75,Braking!$AG$1767,0)))</f>
        <v>0</v>
      </c>
      <c r="V10" s="16">
        <f>0.5*'Gearing Calculator'!$C$15*'Gearing Calculator'!$C$20*'Gearing Calculator'!$W$20*('Track Data'!Q10^2)</f>
        <v>337.1827750599042</v>
      </c>
      <c r="W10" s="16">
        <f>('Gearing Calculator'!$U$9*'Track Data'!T10)+'Track Data'!V10</f>
        <v>1302.6924500712112</v>
      </c>
      <c r="X10" s="16">
        <f>('Gearing Calculator'!$U$9*9.81)*('Gearing Calculator'!$U$16/'Gearing Calculator'!$C$7)-(('Track Data'!W10)*('Gearing Calculator'!$U$17/'Gearing Calculator'!$C$7))</f>
        <v>691.1059489806421</v>
      </c>
      <c r="Y10" s="16">
        <f>('Gearing Calculator'!$U$9*9.81)*(('Gearing Calculator'!$C$7-'Gearing Calculator'!$U$16)/'Gearing Calculator'!$C$7)+(('Track Data'!W10)*('Gearing Calculator'!$U$17/'Gearing Calculator'!$C$7))</f>
        <v>1920.3160510193579</v>
      </c>
      <c r="Z10" s="16">
        <f>((X10*COS('Gearing Calculator'!$C$21))/'Gearing Calculator'!$C$22)/2</f>
        <v>21.366810160590529</v>
      </c>
      <c r="AA10" s="16">
        <f>Y10/'Gearing Calculator'!$C$24</f>
        <v>26.814052900962398</v>
      </c>
      <c r="AB10" s="16">
        <f t="shared" si="2"/>
        <v>358.9448263373942</v>
      </c>
      <c r="AC10" s="16">
        <v>0</v>
      </c>
      <c r="AD10" s="16">
        <v>0</v>
      </c>
      <c r="AE10" s="16">
        <v>7</v>
      </c>
      <c r="AF10" s="16">
        <f>IF(AC10=0,IF(O10=6,INDEX(Acceleration!$V$4:$V$110,MATCH('Track Data'!S10,Acceleration!$K$4:$K$110,0)),IF('Track Data'!O10=5,INDEX(Acceleration!$U$4:$U$110,MATCH('Track Data'!S10,Acceleration!$K$4:$K$110,0)),1)),U10)</f>
        <v>3.6270085462483364</v>
      </c>
      <c r="AG10" s="16">
        <f>IF(AC10=0,IF(O10=4,INDEX(Acceleration!$T$4:$T$110,MATCH('Track Data'!S10,Acceleration!$K$4:$K$110,0)),IF('Track Data'!O10=3,INDEX(Acceleration!$S$4:$S$110,MATCH('Track Data'!S10,Acceleration!$K$4:$K$110,0)),'Track Data'!AF10)),'Track Data'!U10)</f>
        <v>3.6270085462483364</v>
      </c>
      <c r="AH10" s="16">
        <f>IF(AC10=0,IF(O10=2,INDEX(Acceleration!$R$4:$R$110,MATCH('Track Data'!S10,Acceleration!$K$4:$K$110,0)),IF('Track Data'!O10=1,INDEX(Acceleration!$Q$4:$Q$110,MATCH('Track Data'!S10,Acceleration!$K$4:$K$110,0)),'Track Data'!AG10)),'Track Data'!U10)</f>
        <v>3.6270085462483364</v>
      </c>
      <c r="AJ10" s="48">
        <v>6</v>
      </c>
      <c r="AK10" s="48">
        <v>7.3113821138211375</v>
      </c>
      <c r="AL10" s="135">
        <v>311.95699999999999</v>
      </c>
    </row>
    <row r="11" spans="2:41" x14ac:dyDescent="0.25">
      <c r="B11" s="16">
        <v>195.89099999999999</v>
      </c>
      <c r="C11" s="16">
        <v>7281</v>
      </c>
      <c r="D11" s="16">
        <v>8</v>
      </c>
      <c r="E11" s="113">
        <v>208</v>
      </c>
      <c r="F11" s="113">
        <v>206.5</v>
      </c>
      <c r="G11" s="113">
        <v>203.2</v>
      </c>
      <c r="H11" s="113">
        <f t="shared" si="3"/>
        <v>56.444444444444443</v>
      </c>
      <c r="I11" s="113">
        <v>4.9000000000000004</v>
      </c>
      <c r="J11" s="113">
        <v>15.09</v>
      </c>
      <c r="K11" s="113">
        <v>-8.8000000000000007</v>
      </c>
      <c r="L11" s="189"/>
      <c r="M11" s="16">
        <v>8</v>
      </c>
      <c r="N11" s="16">
        <f t="shared" si="5"/>
        <v>1.7696946708383964E-2</v>
      </c>
      <c r="O11" s="16">
        <v>6</v>
      </c>
      <c r="P11" s="16">
        <f t="shared" si="0"/>
        <v>7.3113821138211375</v>
      </c>
      <c r="Q11" s="16">
        <f t="shared" si="6"/>
        <v>56.506922718270268</v>
      </c>
      <c r="R11" s="113">
        <f t="shared" si="1"/>
        <v>311.95699999999999</v>
      </c>
      <c r="S11" s="16">
        <f>IF(S10=15800,15800,ROUND((((Q11*60)/'Gearing Calculator'!$C$14)*'Track Data'!P11),-2))</f>
        <v>12500</v>
      </c>
      <c r="T11" s="16">
        <f t="shared" si="4"/>
        <v>3.6270085462483364</v>
      </c>
      <c r="U11" s="16">
        <f>IF(AC11=100,Braking!$AG$2354,IF(AC11=50,Braking!$AG$1179,IF(AC11=75,Braking!$AG$1767,0)))</f>
        <v>0</v>
      </c>
      <c r="V11" s="16">
        <f>0.5*'Gearing Calculator'!$C$15*'Gearing Calculator'!$C$20*'Gearing Calculator'!$W$20*('Track Data'!Q11^2)</f>
        <v>337.95054022897403</v>
      </c>
      <c r="W11" s="16">
        <f>('Gearing Calculator'!$U$9*'Track Data'!T11)+'Track Data'!V11</f>
        <v>1303.4602152402811</v>
      </c>
      <c r="X11" s="16">
        <f>('Gearing Calculator'!$U$9*9.81)*('Gearing Calculator'!$U$16/'Gearing Calculator'!$C$7)-(('Track Data'!W11)*('Gearing Calculator'!$U$17/'Gearing Calculator'!$C$7))</f>
        <v>690.68746452994947</v>
      </c>
      <c r="Y11" s="16">
        <f>('Gearing Calculator'!$U$9*9.81)*(('Gearing Calculator'!$C$7-'Gearing Calculator'!$U$16)/'Gearing Calculator'!$C$7)+(('Track Data'!W11)*('Gearing Calculator'!$U$17/'Gearing Calculator'!$C$7))</f>
        <v>1920.7345354700506</v>
      </c>
      <c r="Z11" s="16">
        <f>((X11*COS('Gearing Calculator'!$C$21))/'Gearing Calculator'!$C$22)/2</f>
        <v>21.353871944928663</v>
      </c>
      <c r="AA11" s="16">
        <f>Y11/'Gearing Calculator'!$C$24</f>
        <v>26.819896347510245</v>
      </c>
      <c r="AB11" s="16">
        <f t="shared" si="2"/>
        <v>359.71259150646404</v>
      </c>
      <c r="AC11" s="16">
        <v>0</v>
      </c>
      <c r="AD11" s="16">
        <v>0</v>
      </c>
      <c r="AE11" s="16">
        <v>8</v>
      </c>
      <c r="AF11" s="16">
        <f>IF(AC11=0,IF(O11=6,INDEX(Acceleration!$V$4:$V$110,MATCH('Track Data'!S11,Acceleration!$K$4:$K$110,0)),IF('Track Data'!O11=5,INDEX(Acceleration!$U$4:$U$110,MATCH('Track Data'!S11,Acceleration!$K$4:$K$110,0)),1)),U11)</f>
        <v>3.6270085462483364</v>
      </c>
      <c r="AG11" s="16">
        <f>IF(AC11=0,IF(O11=4,INDEX(Acceleration!$T$4:$T$110,MATCH('Track Data'!S11,Acceleration!$K$4:$K$110,0)),IF('Track Data'!O11=3,INDEX(Acceleration!$S$4:$S$110,MATCH('Track Data'!S11,Acceleration!$K$4:$K$110,0)),'Track Data'!AF11)),'Track Data'!U11)</f>
        <v>3.6270085462483364</v>
      </c>
      <c r="AH11" s="16">
        <f>IF(AC11=0,IF(O11=2,INDEX(Acceleration!$R$4:$R$110,MATCH('Track Data'!S11,Acceleration!$K$4:$K$110,0)),IF('Track Data'!O11=1,INDEX(Acceleration!$Q$4:$Q$110,MATCH('Track Data'!S11,Acceleration!$K$4:$K$110,0)),'Track Data'!AG11)),'Track Data'!U11)</f>
        <v>3.6270085462483364</v>
      </c>
    </row>
    <row r="12" spans="2:41" x14ac:dyDescent="0.25">
      <c r="B12" s="16">
        <v>195.90899999999999</v>
      </c>
      <c r="C12" s="16">
        <v>7282</v>
      </c>
      <c r="D12" s="16">
        <v>9</v>
      </c>
      <c r="E12" s="113">
        <v>208</v>
      </c>
      <c r="F12" s="113">
        <v>206.5</v>
      </c>
      <c r="G12" s="113">
        <v>203.3</v>
      </c>
      <c r="H12" s="113">
        <f t="shared" si="3"/>
        <v>56.472222222222221</v>
      </c>
      <c r="I12" s="113">
        <v>4.9000000000000004</v>
      </c>
      <c r="J12" s="113">
        <v>14.64</v>
      </c>
      <c r="K12" s="113">
        <v>-9.5</v>
      </c>
      <c r="L12" s="189"/>
      <c r="M12" s="16">
        <v>9</v>
      </c>
      <c r="N12" s="16">
        <f t="shared" si="5"/>
        <v>1.7676878694349203E-2</v>
      </c>
      <c r="O12" s="16">
        <v>6</v>
      </c>
      <c r="P12" s="16">
        <f t="shared" si="0"/>
        <v>7.3113821138211375</v>
      </c>
      <c r="Q12" s="16">
        <f t="shared" si="6"/>
        <v>56.571073281148422</v>
      </c>
      <c r="R12" s="113">
        <f t="shared" si="1"/>
        <v>311.95699999999999</v>
      </c>
      <c r="S12" s="16">
        <f>IF(S11=15800,15800,ROUND((((Q12*60)/'Gearing Calculator'!$C$14)*'Track Data'!P12),-2))</f>
        <v>12500</v>
      </c>
      <c r="T12" s="16">
        <f t="shared" si="4"/>
        <v>3.6270085462483364</v>
      </c>
      <c r="U12" s="16">
        <f>IF(AC12=100,Braking!$AG$2354,IF(AC12=50,Braking!$AG$1179,IF(AC12=75,Braking!$AG$1767,0)))</f>
        <v>0</v>
      </c>
      <c r="V12" s="16">
        <f>0.5*'Gearing Calculator'!$C$15*'Gearing Calculator'!$C$20*'Gearing Calculator'!$W$20*('Track Data'!Q12^2)</f>
        <v>338.71830539804387</v>
      </c>
      <c r="W12" s="16">
        <f>('Gearing Calculator'!$U$9*'Track Data'!T12)+'Track Data'!V12</f>
        <v>1304.2279804093509</v>
      </c>
      <c r="X12" s="16">
        <f>('Gearing Calculator'!$U$9*9.81)*('Gearing Calculator'!$U$16/'Gearing Calculator'!$C$7)-(('Track Data'!W12)*('Gearing Calculator'!$U$17/'Gearing Calculator'!$C$7))</f>
        <v>690.26898007925683</v>
      </c>
      <c r="Y12" s="16">
        <f>('Gearing Calculator'!$U$9*9.81)*(('Gearing Calculator'!$C$7-'Gearing Calculator'!$U$16)/'Gearing Calculator'!$C$7)+(('Track Data'!W12)*('Gearing Calculator'!$U$17/'Gearing Calculator'!$C$7))</f>
        <v>1921.1530199207432</v>
      </c>
      <c r="Z12" s="16">
        <f>((X12*COS('Gearing Calculator'!$C$21))/'Gearing Calculator'!$C$22)/2</f>
        <v>21.340933729266801</v>
      </c>
      <c r="AA12" s="16">
        <f>Y12/'Gearing Calculator'!$C$24</f>
        <v>26.825739794058087</v>
      </c>
      <c r="AB12" s="16">
        <f t="shared" si="2"/>
        <v>360.48035667553387</v>
      </c>
      <c r="AC12" s="16">
        <v>0</v>
      </c>
      <c r="AD12" s="16">
        <v>0</v>
      </c>
      <c r="AE12" s="16">
        <v>9</v>
      </c>
      <c r="AF12" s="16">
        <f>IF(AC12=0,IF(O12=6,INDEX(Acceleration!$V$4:$V$110,MATCH('Track Data'!S12,Acceleration!$K$4:$K$110,0)),IF('Track Data'!O12=5,INDEX(Acceleration!$U$4:$U$110,MATCH('Track Data'!S12,Acceleration!$K$4:$K$110,0)),1)),U12)</f>
        <v>3.6270085462483364</v>
      </c>
      <c r="AG12" s="16">
        <f>IF(AC12=0,IF(O12=4,INDEX(Acceleration!$T$4:$T$110,MATCH('Track Data'!S12,Acceleration!$K$4:$K$110,0)),IF('Track Data'!O12=3,INDEX(Acceleration!$S$4:$S$110,MATCH('Track Data'!S12,Acceleration!$K$4:$K$110,0)),'Track Data'!AF12)),'Track Data'!U12)</f>
        <v>3.6270085462483364</v>
      </c>
      <c r="AH12" s="16">
        <f>IF(AC12=0,IF(O12=2,INDEX(Acceleration!$R$4:$R$110,MATCH('Track Data'!S12,Acceleration!$K$4:$K$110,0)),IF('Track Data'!O12=1,INDEX(Acceleration!$Q$4:$Q$110,MATCH('Track Data'!S12,Acceleration!$K$4:$K$110,0)),'Track Data'!AG12)),'Track Data'!U12)</f>
        <v>3.6270085462483364</v>
      </c>
    </row>
    <row r="13" spans="2:41" x14ac:dyDescent="0.25">
      <c r="B13" s="16">
        <v>195.92599999999999</v>
      </c>
      <c r="C13" s="16">
        <v>7283</v>
      </c>
      <c r="D13" s="16">
        <v>10</v>
      </c>
      <c r="E13" s="113">
        <v>208</v>
      </c>
      <c r="F13" s="113">
        <v>206.5</v>
      </c>
      <c r="G13" s="113">
        <v>203.5</v>
      </c>
      <c r="H13" s="113">
        <f t="shared" si="3"/>
        <v>56.527777777777779</v>
      </c>
      <c r="I13" s="113">
        <v>4.8</v>
      </c>
      <c r="J13" s="113">
        <v>14.53</v>
      </c>
      <c r="K13" s="113">
        <v>-10</v>
      </c>
      <c r="L13" s="189"/>
      <c r="M13" s="16">
        <v>10</v>
      </c>
      <c r="N13" s="16">
        <f t="shared" si="5"/>
        <v>1.7656878796127939E-2</v>
      </c>
      <c r="O13" s="16">
        <v>6</v>
      </c>
      <c r="P13" s="16">
        <f t="shared" si="0"/>
        <v>7.3113821138211375</v>
      </c>
      <c r="Q13" s="16">
        <f t="shared" si="6"/>
        <v>56.635151180813153</v>
      </c>
      <c r="R13" s="113">
        <f t="shared" si="1"/>
        <v>311.95699999999999</v>
      </c>
      <c r="S13" s="16">
        <f>IF(S12=15800,15800,ROUND((((Q13*60)/'Gearing Calculator'!$C$14)*'Track Data'!P13),-2))</f>
        <v>12600</v>
      </c>
      <c r="T13" s="16">
        <f t="shared" si="4"/>
        <v>3.6195737831919588</v>
      </c>
      <c r="U13" s="16">
        <f>IF(AC13=100,Braking!$AG$2354,IF(AC13=50,Braking!$AG$1179,IF(AC13=75,Braking!$AG$1767,0)))</f>
        <v>0</v>
      </c>
      <c r="V13" s="16">
        <f>0.5*'Gearing Calculator'!$C$15*'Gearing Calculator'!$C$20*'Gearing Calculator'!$W$20*('Track Data'!Q13^2)</f>
        <v>339.4860705671137</v>
      </c>
      <c r="W13" s="16">
        <f>('Gearing Calculator'!$U$9*'Track Data'!T13)+'Track Data'!V13</f>
        <v>1303.016611652813</v>
      </c>
      <c r="X13" s="16">
        <f>('Gearing Calculator'!$U$9*9.81)*('Gearing Calculator'!$U$16/'Gearing Calculator'!$C$7)-(('Track Data'!W13)*('Gearing Calculator'!$U$17/'Gearing Calculator'!$C$7))</f>
        <v>690.92925878046458</v>
      </c>
      <c r="Y13" s="16">
        <f>('Gearing Calculator'!$U$9*9.81)*(('Gearing Calculator'!$C$7-'Gearing Calculator'!$U$16)/'Gearing Calculator'!$C$7)+(('Track Data'!W13)*('Gearing Calculator'!$U$17/'Gearing Calculator'!$C$7))</f>
        <v>1920.4927412195354</v>
      </c>
      <c r="Z13" s="16">
        <f>((X13*COS('Gearing Calculator'!$C$21))/'Gearing Calculator'!$C$22)/2</f>
        <v>21.361347458424529</v>
      </c>
      <c r="AA13" s="16">
        <f>Y13/'Gearing Calculator'!$C$24</f>
        <v>26.816520088783967</v>
      </c>
      <c r="AB13" s="16">
        <f t="shared" si="2"/>
        <v>361.20351326626547</v>
      </c>
      <c r="AC13" s="16">
        <v>0</v>
      </c>
      <c r="AD13" s="16">
        <v>0</v>
      </c>
      <c r="AE13" s="16">
        <v>10</v>
      </c>
      <c r="AF13" s="16">
        <f>IF(AC13=0,IF(O13=6,INDEX(Acceleration!$V$4:$V$110,MATCH('Track Data'!S13,Acceleration!$K$4:$K$110,0)),IF('Track Data'!O13=5,INDEX(Acceleration!$U$4:$U$110,MATCH('Track Data'!S13,Acceleration!$K$4:$K$110,0)),1)),U13)</f>
        <v>3.6195737831919588</v>
      </c>
      <c r="AG13" s="16">
        <f>IF(AC13=0,IF(O13=4,INDEX(Acceleration!$T$4:$T$110,MATCH('Track Data'!S13,Acceleration!$K$4:$K$110,0)),IF('Track Data'!O13=3,INDEX(Acceleration!$S$4:$S$110,MATCH('Track Data'!S13,Acceleration!$K$4:$K$110,0)),'Track Data'!AF13)),'Track Data'!U13)</f>
        <v>3.6195737831919588</v>
      </c>
      <c r="AH13" s="16">
        <f>IF(AC13=0,IF(O13=2,INDEX(Acceleration!$R$4:$R$110,MATCH('Track Data'!S13,Acceleration!$K$4:$K$110,0)),IF('Track Data'!O13=1,INDEX(Acceleration!$Q$4:$Q$110,MATCH('Track Data'!S13,Acceleration!$K$4:$K$110,0)),'Track Data'!AG13)),'Track Data'!U13)</f>
        <v>3.6195737831919588</v>
      </c>
    </row>
    <row r="14" spans="2:41" x14ac:dyDescent="0.25">
      <c r="B14" s="16">
        <v>195.94300000000001</v>
      </c>
      <c r="C14" s="16">
        <v>7284</v>
      </c>
      <c r="D14" s="16">
        <v>11</v>
      </c>
      <c r="E14" s="113">
        <v>209</v>
      </c>
      <c r="F14" s="113">
        <v>206.7</v>
      </c>
      <c r="G14" s="113">
        <v>203.7</v>
      </c>
      <c r="H14" s="113">
        <f t="shared" si="3"/>
        <v>56.583333333333329</v>
      </c>
      <c r="I14" s="113">
        <v>4.8</v>
      </c>
      <c r="J14" s="113">
        <v>13</v>
      </c>
      <c r="K14" s="113">
        <v>-6.9</v>
      </c>
      <c r="L14" s="189"/>
      <c r="M14" s="16">
        <v>11</v>
      </c>
      <c r="N14" s="16">
        <f t="shared" si="5"/>
        <v>1.7636987417857408E-2</v>
      </c>
      <c r="O14" s="16">
        <v>6</v>
      </c>
      <c r="P14" s="16">
        <f t="shared" si="0"/>
        <v>7.3113821138211375</v>
      </c>
      <c r="Q14" s="16">
        <f t="shared" si="6"/>
        <v>56.699025536952092</v>
      </c>
      <c r="R14" s="113">
        <f t="shared" si="1"/>
        <v>311.95699999999999</v>
      </c>
      <c r="S14" s="16">
        <f>IF(S13=15800,15800,ROUND((((Q14*60)/'Gearing Calculator'!$C$14)*'Track Data'!P14),-2))</f>
        <v>12600</v>
      </c>
      <c r="T14" s="16">
        <f t="shared" si="4"/>
        <v>3.6195737831919588</v>
      </c>
      <c r="U14" s="16">
        <f>IF(AC14=100,Braking!$AG$2354,IF(AC14=50,Braking!$AG$1179,IF(AC14=75,Braking!$AG$1767,0)))</f>
        <v>0</v>
      </c>
      <c r="V14" s="16">
        <f>0.5*'Gearing Calculator'!$C$15*'Gearing Calculator'!$C$20*'Gearing Calculator'!$W$20*('Track Data'!Q14^2)</f>
        <v>340.25226194553977</v>
      </c>
      <c r="W14" s="16">
        <f>('Gearing Calculator'!$U$9*'Track Data'!T14)+'Track Data'!V14</f>
        <v>1303.7828030312392</v>
      </c>
      <c r="X14" s="16">
        <f>('Gearing Calculator'!$U$9*9.81)*('Gearing Calculator'!$U$16/'Gearing Calculator'!$C$7)-(('Track Data'!W14)*('Gearing Calculator'!$U$17/'Gearing Calculator'!$C$7))</f>
        <v>690.51163215315285</v>
      </c>
      <c r="Y14" s="16">
        <f>('Gearing Calculator'!$U$9*9.81)*(('Gearing Calculator'!$C$7-'Gearing Calculator'!$U$16)/'Gearing Calculator'!$C$7)+(('Track Data'!W14)*('Gearing Calculator'!$U$17/'Gearing Calculator'!$C$7))</f>
        <v>1920.9103678468473</v>
      </c>
      <c r="Z14" s="16">
        <f>((X14*COS('Gearing Calculator'!$C$21))/'Gearing Calculator'!$C$22)/2</f>
        <v>21.34843576394854</v>
      </c>
      <c r="AA14" s="16">
        <f>Y14/'Gearing Calculator'!$C$24</f>
        <v>26.822351557240239</v>
      </c>
      <c r="AB14" s="16">
        <f t="shared" si="2"/>
        <v>361.96970464469155</v>
      </c>
      <c r="AC14" s="16">
        <v>0</v>
      </c>
      <c r="AD14" s="16">
        <v>0</v>
      </c>
      <c r="AE14" s="16">
        <v>11</v>
      </c>
      <c r="AF14" s="16">
        <f>IF(AC14=0,IF(O14=6,INDEX(Acceleration!$V$4:$V$110,MATCH('Track Data'!S14,Acceleration!$K$4:$K$110,0)),IF('Track Data'!O14=5,INDEX(Acceleration!$U$4:$U$110,MATCH('Track Data'!S14,Acceleration!$K$4:$K$110,0)),1)),U14)</f>
        <v>3.6195737831919588</v>
      </c>
      <c r="AG14" s="16">
        <f>IF(AC14=0,IF(O14=4,INDEX(Acceleration!$T$4:$T$110,MATCH('Track Data'!S14,Acceleration!$K$4:$K$110,0)),IF('Track Data'!O14=3,INDEX(Acceleration!$S$4:$S$110,MATCH('Track Data'!S14,Acceleration!$K$4:$K$110,0)),'Track Data'!AF14)),'Track Data'!U14)</f>
        <v>3.6195737831919588</v>
      </c>
      <c r="AH14" s="16">
        <f>IF(AC14=0,IF(O14=2,INDEX(Acceleration!$R$4:$R$110,MATCH('Track Data'!S14,Acceleration!$K$4:$K$110,0)),IF('Track Data'!O14=1,INDEX(Acceleration!$Q$4:$Q$110,MATCH('Track Data'!S14,Acceleration!$K$4:$K$110,0)),'Track Data'!AG14)),'Track Data'!U14)</f>
        <v>3.6195737831919588</v>
      </c>
    </row>
    <row r="15" spans="2:41" x14ac:dyDescent="0.25">
      <c r="B15" s="16">
        <v>195.96100000000001</v>
      </c>
      <c r="C15" s="16">
        <v>7286</v>
      </c>
      <c r="D15" s="16">
        <v>12</v>
      </c>
      <c r="E15" s="113">
        <v>209</v>
      </c>
      <c r="F15" s="113">
        <v>206.9</v>
      </c>
      <c r="G15" s="113">
        <v>203.9</v>
      </c>
      <c r="H15" s="113">
        <f t="shared" si="3"/>
        <v>56.638888888888886</v>
      </c>
      <c r="I15" s="113">
        <v>4.3</v>
      </c>
      <c r="J15" s="113">
        <v>12.56</v>
      </c>
      <c r="K15" s="113">
        <v>-3.8</v>
      </c>
      <c r="L15" s="189"/>
      <c r="M15" s="16">
        <v>12</v>
      </c>
      <c r="N15" s="16">
        <f t="shared" si="5"/>
        <v>1.7617163114443623E-2</v>
      </c>
      <c r="O15" s="16">
        <v>6</v>
      </c>
      <c r="P15" s="16">
        <f t="shared" si="0"/>
        <v>7.3113821138211375</v>
      </c>
      <c r="Q15" s="16">
        <f t="shared" si="6"/>
        <v>56.762828016284821</v>
      </c>
      <c r="R15" s="113">
        <f t="shared" si="1"/>
        <v>311.95699999999999</v>
      </c>
      <c r="S15" s="16">
        <f>IF(S14=15800,15800,ROUND((((Q15*60)/'Gearing Calculator'!$C$14)*'Track Data'!P15),-2))</f>
        <v>12600</v>
      </c>
      <c r="T15" s="16">
        <f t="shared" si="4"/>
        <v>3.6195737831919588</v>
      </c>
      <c r="U15" s="16">
        <f>IF(AC15=100,Braking!$AG$2354,IF(AC15=50,Braking!$AG$1179,IF(AC15=75,Braking!$AG$1767,0)))</f>
        <v>0</v>
      </c>
      <c r="V15" s="16">
        <f>0.5*'Gearing Calculator'!$C$15*'Gearing Calculator'!$C$20*'Gearing Calculator'!$W$20*('Track Data'!Q15^2)</f>
        <v>341.01845332396579</v>
      </c>
      <c r="W15" s="16">
        <f>('Gearing Calculator'!$U$9*'Track Data'!T15)+'Track Data'!V15</f>
        <v>1304.5489944096653</v>
      </c>
      <c r="X15" s="16">
        <f>('Gearing Calculator'!$U$9*9.81)*('Gearing Calculator'!$U$16/'Gearing Calculator'!$C$7)-(('Track Data'!W15)*('Gearing Calculator'!$U$17/'Gearing Calculator'!$C$7))</f>
        <v>690.094005525841</v>
      </c>
      <c r="Y15" s="16">
        <f>('Gearing Calculator'!$U$9*9.81)*(('Gearing Calculator'!$C$7-'Gearing Calculator'!$U$16)/'Gearing Calculator'!$C$7)+(('Track Data'!W15)*('Gearing Calculator'!$U$17/'Gearing Calculator'!$C$7))</f>
        <v>1921.3279944741589</v>
      </c>
      <c r="Z15" s="16">
        <f>((X15*COS('Gearing Calculator'!$C$21))/'Gearing Calculator'!$C$22)/2</f>
        <v>21.335524069472545</v>
      </c>
      <c r="AA15" s="16">
        <f>Y15/'Gearing Calculator'!$C$24</f>
        <v>26.828183025696507</v>
      </c>
      <c r="AB15" s="16">
        <f t="shared" si="2"/>
        <v>362.73589602311756</v>
      </c>
      <c r="AC15" s="16">
        <v>0</v>
      </c>
      <c r="AD15" s="16">
        <v>0</v>
      </c>
      <c r="AE15" s="16">
        <v>12</v>
      </c>
      <c r="AF15" s="16">
        <f>IF(AC15=0,IF(O15=6,INDEX(Acceleration!$V$4:$V$110,MATCH('Track Data'!S15,Acceleration!$K$4:$K$110,0)),IF('Track Data'!O15=5,INDEX(Acceleration!$U$4:$U$110,MATCH('Track Data'!S15,Acceleration!$K$4:$K$110,0)),1)),U15)</f>
        <v>3.6195737831919588</v>
      </c>
      <c r="AG15" s="16">
        <f>IF(AC15=0,IF(O15=4,INDEX(Acceleration!$T$4:$T$110,MATCH('Track Data'!S15,Acceleration!$K$4:$K$110,0)),IF('Track Data'!O15=3,INDEX(Acceleration!$S$4:$S$110,MATCH('Track Data'!S15,Acceleration!$K$4:$K$110,0)),'Track Data'!AF15)),'Track Data'!U15)</f>
        <v>3.6195737831919588</v>
      </c>
      <c r="AH15" s="16">
        <f>IF(AC15=0,IF(O15=2,INDEX(Acceleration!$R$4:$R$110,MATCH('Track Data'!S15,Acceleration!$K$4:$K$110,0)),IF('Track Data'!O15=1,INDEX(Acceleration!$Q$4:$Q$110,MATCH('Track Data'!S15,Acceleration!$K$4:$K$110,0)),'Track Data'!AG15)),'Track Data'!U15)</f>
        <v>3.6195737831919588</v>
      </c>
    </row>
    <row r="16" spans="2:41" x14ac:dyDescent="0.25">
      <c r="B16" s="16">
        <v>195.97800000000001</v>
      </c>
      <c r="C16" s="16">
        <v>7286</v>
      </c>
      <c r="D16" s="16">
        <v>13</v>
      </c>
      <c r="E16" s="113">
        <v>209</v>
      </c>
      <c r="F16" s="113">
        <v>207</v>
      </c>
      <c r="G16" s="113">
        <v>204.1</v>
      </c>
      <c r="H16" s="113">
        <f t="shared" si="3"/>
        <v>56.694444444444443</v>
      </c>
      <c r="I16" s="113">
        <v>4</v>
      </c>
      <c r="J16" s="113">
        <v>12.16</v>
      </c>
      <c r="K16" s="113">
        <v>-2.2999999999999998</v>
      </c>
      <c r="L16" s="189"/>
      <c r="M16" s="16">
        <v>13</v>
      </c>
      <c r="N16" s="16">
        <f t="shared" si="5"/>
        <v>1.7597405509764991E-2</v>
      </c>
      <c r="O16" s="16">
        <v>6</v>
      </c>
      <c r="P16" s="16">
        <f t="shared" si="0"/>
        <v>7.3113821138211375</v>
      </c>
      <c r="Q16" s="16">
        <f t="shared" si="6"/>
        <v>56.826558860912144</v>
      </c>
      <c r="R16" s="113">
        <f t="shared" si="1"/>
        <v>311.95699999999999</v>
      </c>
      <c r="S16" s="16">
        <f>IF(S15=15800,15800,ROUND((((Q16*60)/'Gearing Calculator'!$C$14)*'Track Data'!P16),-2))</f>
        <v>12600</v>
      </c>
      <c r="T16" s="16">
        <f t="shared" si="4"/>
        <v>3.6195737831919588</v>
      </c>
      <c r="U16" s="16">
        <f>IF(AC16=100,Braking!$AG$2354,IF(AC16=50,Braking!$AG$1179,IF(AC16=75,Braking!$AG$1767,0)))</f>
        <v>0</v>
      </c>
      <c r="V16" s="16">
        <f>0.5*'Gearing Calculator'!$C$15*'Gearing Calculator'!$C$20*'Gearing Calculator'!$W$20*('Track Data'!Q16^2)</f>
        <v>341.78464470239186</v>
      </c>
      <c r="W16" s="16">
        <f>('Gearing Calculator'!$U$9*'Track Data'!T16)+'Track Data'!V16</f>
        <v>1305.3151857880912</v>
      </c>
      <c r="X16" s="16">
        <f>('Gearing Calculator'!$U$9*9.81)*('Gearing Calculator'!$U$16/'Gearing Calculator'!$C$7)-(('Track Data'!W16)*('Gearing Calculator'!$U$17/'Gearing Calculator'!$C$7))</f>
        <v>689.67637889852938</v>
      </c>
      <c r="Y16" s="16">
        <f>('Gearing Calculator'!$U$9*9.81)*(('Gearing Calculator'!$C$7-'Gearing Calculator'!$U$16)/'Gearing Calculator'!$C$7)+(('Track Data'!W16)*('Gearing Calculator'!$U$17/'Gearing Calculator'!$C$7))</f>
        <v>1921.7456211014705</v>
      </c>
      <c r="Z16" s="16">
        <f>((X16*COS('Gearing Calculator'!$C$21))/'Gearing Calculator'!$C$22)/2</f>
        <v>21.322612374996559</v>
      </c>
      <c r="AA16" s="16">
        <f>Y16/'Gearing Calculator'!$C$24</f>
        <v>26.834014494152775</v>
      </c>
      <c r="AB16" s="16">
        <f t="shared" si="2"/>
        <v>363.50208740154363</v>
      </c>
      <c r="AC16" s="16">
        <v>0</v>
      </c>
      <c r="AD16" s="16">
        <v>0</v>
      </c>
      <c r="AE16" s="16">
        <v>13</v>
      </c>
      <c r="AF16" s="16">
        <f>IF(AC16=0,IF(O16=6,INDEX(Acceleration!$V$4:$V$110,MATCH('Track Data'!S16,Acceleration!$K$4:$K$110,0)),IF('Track Data'!O16=5,INDEX(Acceleration!$U$4:$U$110,MATCH('Track Data'!S16,Acceleration!$K$4:$K$110,0)),1)),U16)</f>
        <v>3.6195737831919588</v>
      </c>
      <c r="AG16" s="16">
        <f>IF(AC16=0,IF(O16=4,INDEX(Acceleration!$T$4:$T$110,MATCH('Track Data'!S16,Acceleration!$K$4:$K$110,0)),IF('Track Data'!O16=3,INDEX(Acceleration!$S$4:$S$110,MATCH('Track Data'!S16,Acceleration!$K$4:$K$110,0)),'Track Data'!AF16)),'Track Data'!U16)</f>
        <v>3.6195737831919588</v>
      </c>
      <c r="AH16" s="16">
        <f>IF(AC16=0,IF(O16=2,INDEX(Acceleration!$R$4:$R$110,MATCH('Track Data'!S16,Acceleration!$K$4:$K$110,0)),IF('Track Data'!O16=1,INDEX(Acceleration!$Q$4:$Q$110,MATCH('Track Data'!S16,Acceleration!$K$4:$K$110,0)),'Track Data'!AG16)),'Track Data'!U16)</f>
        <v>3.6195737831919588</v>
      </c>
    </row>
    <row r="17" spans="2:34" x14ac:dyDescent="0.25">
      <c r="B17" s="16">
        <v>195.99600000000001</v>
      </c>
      <c r="C17" s="16">
        <v>7287</v>
      </c>
      <c r="D17" s="16">
        <v>14</v>
      </c>
      <c r="E17" s="113">
        <v>210</v>
      </c>
      <c r="F17" s="113">
        <v>207.1</v>
      </c>
      <c r="G17" s="113">
        <v>204.3</v>
      </c>
      <c r="H17" s="113">
        <f t="shared" si="3"/>
        <v>56.75</v>
      </c>
      <c r="I17" s="113">
        <v>3.4</v>
      </c>
      <c r="J17" s="113">
        <v>12.99</v>
      </c>
      <c r="K17" s="113">
        <v>0.8</v>
      </c>
      <c r="L17" s="189"/>
      <c r="M17" s="16">
        <v>14</v>
      </c>
      <c r="N17" s="16">
        <f t="shared" si="5"/>
        <v>1.7577714230646063E-2</v>
      </c>
      <c r="O17" s="16">
        <v>6</v>
      </c>
      <c r="P17" s="16">
        <f t="shared" si="0"/>
        <v>7.3113821138211375</v>
      </c>
      <c r="Q17" s="16">
        <f t="shared" si="6"/>
        <v>56.890218311578806</v>
      </c>
      <c r="R17" s="113">
        <f t="shared" si="1"/>
        <v>311.95699999999999</v>
      </c>
      <c r="S17" s="16">
        <f>IF(S16=15800,15800,ROUND((((Q17*60)/'Gearing Calculator'!$C$14)*'Track Data'!P17),-2))</f>
        <v>12600</v>
      </c>
      <c r="T17" s="16">
        <f t="shared" si="4"/>
        <v>3.6195737831919588</v>
      </c>
      <c r="U17" s="16">
        <f>IF(AC17=100,Braking!$AG$2354,IF(AC17=50,Braking!$AG$1179,IF(AC17=75,Braking!$AG$1767,0)))</f>
        <v>0</v>
      </c>
      <c r="V17" s="16">
        <f>0.5*'Gearing Calculator'!$C$15*'Gearing Calculator'!$C$20*'Gearing Calculator'!$W$20*('Track Data'!Q17^2)</f>
        <v>342.55083608081799</v>
      </c>
      <c r="W17" s="16">
        <f>('Gearing Calculator'!$U$9*'Track Data'!T17)+'Track Data'!V17</f>
        <v>1306.0813771665173</v>
      </c>
      <c r="X17" s="16">
        <f>('Gearing Calculator'!$U$9*9.81)*('Gearing Calculator'!$U$16/'Gearing Calculator'!$C$7)-(('Track Data'!W17)*('Gearing Calculator'!$U$17/'Gearing Calculator'!$C$7))</f>
        <v>689.25875227121765</v>
      </c>
      <c r="Y17" s="16">
        <f>('Gearing Calculator'!$U$9*9.81)*(('Gearing Calculator'!$C$7-'Gearing Calculator'!$U$16)/'Gearing Calculator'!$C$7)+(('Track Data'!W17)*('Gearing Calculator'!$U$17/'Gearing Calculator'!$C$7))</f>
        <v>1922.1632477287824</v>
      </c>
      <c r="Z17" s="16">
        <f>((X17*COS('Gearing Calculator'!$C$21))/'Gearing Calculator'!$C$22)/2</f>
        <v>21.309700680520567</v>
      </c>
      <c r="AA17" s="16">
        <f>Y17/'Gearing Calculator'!$C$24</f>
        <v>26.839845962609047</v>
      </c>
      <c r="AB17" s="16">
        <f t="shared" si="2"/>
        <v>364.26827877996976</v>
      </c>
      <c r="AC17" s="16">
        <v>0</v>
      </c>
      <c r="AD17" s="16">
        <v>0</v>
      </c>
      <c r="AE17" s="16">
        <v>14</v>
      </c>
      <c r="AF17" s="16">
        <f>IF(AC17=0,IF(O17=6,INDEX(Acceleration!$V$4:$V$110,MATCH('Track Data'!S17,Acceleration!$K$4:$K$110,0)),IF('Track Data'!O17=5,INDEX(Acceleration!$U$4:$U$110,MATCH('Track Data'!S17,Acceleration!$K$4:$K$110,0)),1)),U17)</f>
        <v>3.6195737831919588</v>
      </c>
      <c r="AG17" s="16">
        <f>IF(AC17=0,IF(O17=4,INDEX(Acceleration!$T$4:$T$110,MATCH('Track Data'!S17,Acceleration!$K$4:$K$110,0)),IF('Track Data'!O17=3,INDEX(Acceleration!$S$4:$S$110,MATCH('Track Data'!S17,Acceleration!$K$4:$K$110,0)),'Track Data'!AF17)),'Track Data'!U17)</f>
        <v>3.6195737831919588</v>
      </c>
      <c r="AH17" s="16">
        <f>IF(AC17=0,IF(O17=2,INDEX(Acceleration!$R$4:$R$110,MATCH('Track Data'!S17,Acceleration!$K$4:$K$110,0)),IF('Track Data'!O17=1,INDEX(Acceleration!$Q$4:$Q$110,MATCH('Track Data'!S17,Acceleration!$K$4:$K$110,0)),'Track Data'!AG17)),'Track Data'!U17)</f>
        <v>3.6195737831919588</v>
      </c>
    </row>
    <row r="18" spans="2:34" x14ac:dyDescent="0.25">
      <c r="B18" s="16">
        <v>196.012</v>
      </c>
      <c r="C18" s="16">
        <v>7288</v>
      </c>
      <c r="D18" s="16">
        <v>15</v>
      </c>
      <c r="E18" s="113">
        <v>210</v>
      </c>
      <c r="F18" s="113">
        <v>207.5</v>
      </c>
      <c r="G18" s="113">
        <v>204.5</v>
      </c>
      <c r="H18" s="113">
        <f t="shared" si="3"/>
        <v>56.805555555555557</v>
      </c>
      <c r="I18" s="113">
        <v>3</v>
      </c>
      <c r="J18" s="113">
        <v>12.16</v>
      </c>
      <c r="K18" s="113">
        <v>0</v>
      </c>
      <c r="L18" s="189"/>
      <c r="M18" s="16">
        <v>15</v>
      </c>
      <c r="N18" s="16">
        <f t="shared" si="5"/>
        <v>1.7558088906827907E-2</v>
      </c>
      <c r="O18" s="16">
        <v>6</v>
      </c>
      <c r="P18" s="16">
        <f t="shared" si="0"/>
        <v>7.3113821138211375</v>
      </c>
      <c r="Q18" s="16">
        <f t="shared" si="6"/>
        <v>56.953806607684093</v>
      </c>
      <c r="R18" s="113">
        <f t="shared" si="1"/>
        <v>311.95699999999999</v>
      </c>
      <c r="S18" s="16">
        <f>IF(S17=15800,15800,ROUND((((Q18*60)/'Gearing Calculator'!$C$14)*'Track Data'!P18),-2))</f>
        <v>12600</v>
      </c>
      <c r="T18" s="16">
        <f t="shared" si="4"/>
        <v>3.6195737831919588</v>
      </c>
      <c r="U18" s="16">
        <f>IF(AC18=100,Braking!$AG$2354,IF(AC18=50,Braking!$AG$1179,IF(AC18=75,Braking!$AG$1767,0)))</f>
        <v>0</v>
      </c>
      <c r="V18" s="16">
        <f>0.5*'Gearing Calculator'!$C$15*'Gearing Calculator'!$C$20*'Gearing Calculator'!$W$20*('Track Data'!Q18^2)</f>
        <v>343.317027459244</v>
      </c>
      <c r="W18" s="16">
        <f>('Gearing Calculator'!$U$9*'Track Data'!T18)+'Track Data'!V18</f>
        <v>1306.8475685449434</v>
      </c>
      <c r="X18" s="16">
        <f>('Gearing Calculator'!$U$9*9.81)*('Gearing Calculator'!$U$16/'Gearing Calculator'!$C$7)-(('Track Data'!W18)*('Gearing Calculator'!$U$17/'Gearing Calculator'!$C$7))</f>
        <v>688.8411256439058</v>
      </c>
      <c r="Y18" s="16">
        <f>('Gearing Calculator'!$U$9*9.81)*(('Gearing Calculator'!$C$7-'Gearing Calculator'!$U$16)/'Gearing Calculator'!$C$7)+(('Track Data'!W18)*('Gearing Calculator'!$U$17/'Gearing Calculator'!$C$7))</f>
        <v>1922.5808743560942</v>
      </c>
      <c r="Z18" s="16">
        <f>((X18*COS('Gearing Calculator'!$C$21))/'Gearing Calculator'!$C$22)/2</f>
        <v>21.296788986044575</v>
      </c>
      <c r="AA18" s="16">
        <f>Y18/'Gearing Calculator'!$C$24</f>
        <v>26.845677431065315</v>
      </c>
      <c r="AB18" s="16">
        <f t="shared" si="2"/>
        <v>365.03447015839578</v>
      </c>
      <c r="AC18" s="16">
        <v>0</v>
      </c>
      <c r="AD18" s="16">
        <v>0</v>
      </c>
      <c r="AE18" s="16">
        <v>15</v>
      </c>
      <c r="AF18" s="16">
        <f>IF(AC18=0,IF(O18=6,INDEX(Acceleration!$V$4:$V$110,MATCH('Track Data'!S18,Acceleration!$K$4:$K$110,0)),IF('Track Data'!O18=5,INDEX(Acceleration!$U$4:$U$110,MATCH('Track Data'!S18,Acceleration!$K$4:$K$110,0)),1)),U18)</f>
        <v>3.6195737831919588</v>
      </c>
      <c r="AG18" s="16">
        <f>IF(AC18=0,IF(O18=4,INDEX(Acceleration!$T$4:$T$110,MATCH('Track Data'!S18,Acceleration!$K$4:$K$110,0)),IF('Track Data'!O18=3,INDEX(Acceleration!$S$4:$S$110,MATCH('Track Data'!S18,Acceleration!$K$4:$K$110,0)),'Track Data'!AF18)),'Track Data'!U18)</f>
        <v>3.6195737831919588</v>
      </c>
      <c r="AH18" s="16">
        <f>IF(AC18=0,IF(O18=2,INDEX(Acceleration!$R$4:$R$110,MATCH('Track Data'!S18,Acceleration!$K$4:$K$110,0)),IF('Track Data'!O18=1,INDEX(Acceleration!$Q$4:$Q$110,MATCH('Track Data'!S18,Acceleration!$K$4:$K$110,0)),'Track Data'!AG18)),'Track Data'!U18)</f>
        <v>3.6195737831919588</v>
      </c>
    </row>
    <row r="19" spans="2:34" x14ac:dyDescent="0.25">
      <c r="B19" s="16">
        <v>196.03</v>
      </c>
      <c r="C19" s="16">
        <v>7289</v>
      </c>
      <c r="D19" s="16">
        <v>16</v>
      </c>
      <c r="E19" s="113">
        <v>210</v>
      </c>
      <c r="F19" s="113">
        <v>208.2</v>
      </c>
      <c r="G19" s="113">
        <v>204.7</v>
      </c>
      <c r="H19" s="113">
        <f t="shared" si="3"/>
        <v>56.861111111111107</v>
      </c>
      <c r="I19" s="113">
        <v>2.8</v>
      </c>
      <c r="J19" s="113">
        <v>11.6</v>
      </c>
      <c r="K19" s="113">
        <v>-2.7</v>
      </c>
      <c r="L19" s="189"/>
      <c r="M19" s="16">
        <v>16</v>
      </c>
      <c r="N19" s="16">
        <f t="shared" si="5"/>
        <v>1.7538529170938878E-2</v>
      </c>
      <c r="O19" s="16">
        <v>6</v>
      </c>
      <c r="P19" s="16">
        <f t="shared" si="0"/>
        <v>7.3113821138211375</v>
      </c>
      <c r="Q19" s="16">
        <f t="shared" si="6"/>
        <v>57.017323987292357</v>
      </c>
      <c r="R19" s="113">
        <f t="shared" si="1"/>
        <v>311.95699999999999</v>
      </c>
      <c r="S19" s="16">
        <f>IF(S18=15800,15800,ROUND((((Q19*60)/'Gearing Calculator'!$C$14)*'Track Data'!P19),-2))</f>
        <v>12600</v>
      </c>
      <c r="T19" s="16">
        <f t="shared" si="4"/>
        <v>3.6195737831919588</v>
      </c>
      <c r="U19" s="16">
        <f>IF(AC19=100,Braking!$AG$2354,IF(AC19=50,Braking!$AG$1179,IF(AC19=75,Braking!$AG$1767,0)))</f>
        <v>0</v>
      </c>
      <c r="V19" s="16">
        <f>0.5*'Gearing Calculator'!$C$15*'Gearing Calculator'!$C$20*'Gearing Calculator'!$W$20*('Track Data'!Q19^2)</f>
        <v>344.08321883767013</v>
      </c>
      <c r="W19" s="16">
        <f>('Gearing Calculator'!$U$9*'Track Data'!T19)+'Track Data'!V19</f>
        <v>1307.6137599233696</v>
      </c>
      <c r="X19" s="16">
        <f>('Gearing Calculator'!$U$9*9.81)*('Gearing Calculator'!$U$16/'Gearing Calculator'!$C$7)-(('Track Data'!W19)*('Gearing Calculator'!$U$17/'Gearing Calculator'!$C$7))</f>
        <v>688.42349901659406</v>
      </c>
      <c r="Y19" s="16">
        <f>('Gearing Calculator'!$U$9*9.81)*(('Gearing Calculator'!$C$7-'Gearing Calculator'!$U$16)/'Gearing Calculator'!$C$7)+(('Track Data'!W19)*('Gearing Calculator'!$U$17/'Gearing Calculator'!$C$7))</f>
        <v>1922.9985009834058</v>
      </c>
      <c r="Z19" s="16">
        <f>((X19*COS('Gearing Calculator'!$C$21))/'Gearing Calculator'!$C$22)/2</f>
        <v>21.283877291568583</v>
      </c>
      <c r="AA19" s="16">
        <f>Y19/'Gearing Calculator'!$C$24</f>
        <v>26.851508899521583</v>
      </c>
      <c r="AB19" s="16">
        <f t="shared" si="2"/>
        <v>365.80066153682191</v>
      </c>
      <c r="AC19" s="16">
        <v>0</v>
      </c>
      <c r="AD19" s="16">
        <v>0</v>
      </c>
      <c r="AE19" s="16">
        <v>16</v>
      </c>
      <c r="AF19" s="16">
        <f>IF(AC19=0,IF(O19=6,INDEX(Acceleration!$V$4:$V$110,MATCH('Track Data'!S19,Acceleration!$K$4:$K$110,0)),IF('Track Data'!O19=5,INDEX(Acceleration!$U$4:$U$110,MATCH('Track Data'!S19,Acceleration!$K$4:$K$110,0)),1)),U19)</f>
        <v>3.6195737831919588</v>
      </c>
      <c r="AG19" s="16">
        <f>IF(AC19=0,IF(O19=4,INDEX(Acceleration!$T$4:$T$110,MATCH('Track Data'!S19,Acceleration!$K$4:$K$110,0)),IF('Track Data'!O19=3,INDEX(Acceleration!$S$4:$S$110,MATCH('Track Data'!S19,Acceleration!$K$4:$K$110,0)),'Track Data'!AF19)),'Track Data'!U19)</f>
        <v>3.6195737831919588</v>
      </c>
      <c r="AH19" s="16">
        <f>IF(AC19=0,IF(O19=2,INDEX(Acceleration!$R$4:$R$110,MATCH('Track Data'!S19,Acceleration!$K$4:$K$110,0)),IF('Track Data'!O19=1,INDEX(Acceleration!$Q$4:$Q$110,MATCH('Track Data'!S19,Acceleration!$K$4:$K$110,0)),'Track Data'!AG19)),'Track Data'!U19)</f>
        <v>3.6195737831919588</v>
      </c>
    </row>
    <row r="20" spans="2:34" x14ac:dyDescent="0.25">
      <c r="B20" s="16">
        <v>196.048</v>
      </c>
      <c r="C20" s="16">
        <v>7290</v>
      </c>
      <c r="D20" s="16">
        <v>17</v>
      </c>
      <c r="E20" s="113">
        <v>210</v>
      </c>
      <c r="F20" s="113">
        <v>208.4</v>
      </c>
      <c r="G20" s="113">
        <v>204.8</v>
      </c>
      <c r="H20" s="113">
        <f t="shared" si="3"/>
        <v>56.888888888888893</v>
      </c>
      <c r="I20" s="113">
        <v>2.7</v>
      </c>
      <c r="J20" s="113">
        <v>11.45</v>
      </c>
      <c r="K20" s="113">
        <v>-4</v>
      </c>
      <c r="L20" s="189"/>
      <c r="M20" s="16">
        <v>17</v>
      </c>
      <c r="N20" s="16">
        <f t="shared" si="5"/>
        <v>1.7519034658465733E-2</v>
      </c>
      <c r="O20" s="16">
        <v>6</v>
      </c>
      <c r="P20" s="16">
        <f t="shared" si="0"/>
        <v>7.3113821138211375</v>
      </c>
      <c r="Q20" s="16">
        <f t="shared" si="6"/>
        <v>57.080770687143392</v>
      </c>
      <c r="R20" s="113">
        <f t="shared" si="1"/>
        <v>311.95699999999999</v>
      </c>
      <c r="S20" s="16">
        <f>IF(S19=15800,15800,ROUND((((Q20*60)/'Gearing Calculator'!$C$14)*'Track Data'!P20),-2))</f>
        <v>12700</v>
      </c>
      <c r="T20" s="16">
        <f t="shared" si="4"/>
        <v>3.61192838894334</v>
      </c>
      <c r="U20" s="16">
        <f>IF(AC20=100,Braking!$AG$2354,IF(AC20=50,Braking!$AG$1179,IF(AC20=75,Braking!$AG$1767,0)))</f>
        <v>0</v>
      </c>
      <c r="V20" s="16">
        <f>0.5*'Gearing Calculator'!$C$15*'Gearing Calculator'!$C$20*'Gearing Calculator'!$W$20*('Track Data'!Q20^2)</f>
        <v>344.84941021609615</v>
      </c>
      <c r="W20" s="16">
        <f>('Gearing Calculator'!$U$9*'Track Data'!T20)+'Track Data'!V20</f>
        <v>1306.3447473528131</v>
      </c>
      <c r="X20" s="16">
        <f>('Gearing Calculator'!$U$9*9.81)*('Gearing Calculator'!$U$16/'Gearing Calculator'!$C$7)-(('Track Data'!W20)*('Gearing Calculator'!$U$17/'Gearing Calculator'!$C$7))</f>
        <v>689.11519753315315</v>
      </c>
      <c r="Y20" s="16">
        <f>('Gearing Calculator'!$U$9*9.81)*(('Gearing Calculator'!$C$7-'Gearing Calculator'!$U$16)/'Gearing Calculator'!$C$7)+(('Track Data'!W20)*('Gearing Calculator'!$U$17/'Gearing Calculator'!$C$7))</f>
        <v>1922.3068024668469</v>
      </c>
      <c r="Z20" s="16">
        <f>((X20*COS('Gearing Calculator'!$C$21))/'Gearing Calculator'!$C$22)/2</f>
        <v>21.305262422044571</v>
      </c>
      <c r="AA20" s="16">
        <f>Y20/'Gearing Calculator'!$C$24</f>
        <v>26.841850468241649</v>
      </c>
      <c r="AB20" s="16">
        <f t="shared" si="2"/>
        <v>366.52098054975619</v>
      </c>
      <c r="AC20" s="16">
        <v>0</v>
      </c>
      <c r="AD20" s="16">
        <v>0</v>
      </c>
      <c r="AE20" s="16">
        <v>17</v>
      </c>
      <c r="AF20" s="16">
        <f>IF(AC20=0,IF(O20=6,INDEX(Acceleration!$V$4:$V$110,MATCH('Track Data'!S20,Acceleration!$K$4:$K$110,0)),IF('Track Data'!O20=5,INDEX(Acceleration!$U$4:$U$110,MATCH('Track Data'!S20,Acceleration!$K$4:$K$110,0)),1)),U20)</f>
        <v>3.61192838894334</v>
      </c>
      <c r="AG20" s="16">
        <f>IF(AC20=0,IF(O20=4,INDEX(Acceleration!$T$4:$T$110,MATCH('Track Data'!S20,Acceleration!$K$4:$K$110,0)),IF('Track Data'!O20=3,INDEX(Acceleration!$S$4:$S$110,MATCH('Track Data'!S20,Acceleration!$K$4:$K$110,0)),'Track Data'!AF20)),'Track Data'!U20)</f>
        <v>3.61192838894334</v>
      </c>
      <c r="AH20" s="16">
        <f>IF(AC20=0,IF(O20=2,INDEX(Acceleration!$R$4:$R$110,MATCH('Track Data'!S20,Acceleration!$K$4:$K$110,0)),IF('Track Data'!O20=1,INDEX(Acceleration!$Q$4:$Q$110,MATCH('Track Data'!S20,Acceleration!$K$4:$K$110,0)),'Track Data'!AG20)),'Track Data'!U20)</f>
        <v>3.61192838894334</v>
      </c>
    </row>
    <row r="21" spans="2:34" x14ac:dyDescent="0.25">
      <c r="B21" s="16">
        <v>196.06399999999999</v>
      </c>
      <c r="C21" s="16">
        <v>7291</v>
      </c>
      <c r="D21" s="16">
        <v>18</v>
      </c>
      <c r="E21" s="113">
        <v>211</v>
      </c>
      <c r="F21" s="113">
        <v>208.9</v>
      </c>
      <c r="G21" s="113">
        <v>205</v>
      </c>
      <c r="H21" s="113">
        <f t="shared" si="3"/>
        <v>56.944444444444443</v>
      </c>
      <c r="I21" s="113">
        <v>2.7</v>
      </c>
      <c r="J21" s="113">
        <v>14.3</v>
      </c>
      <c r="K21" s="113">
        <v>-6.6</v>
      </c>
      <c r="L21" s="189"/>
      <c r="M21" s="16">
        <v>18</v>
      </c>
      <c r="N21" s="16">
        <f t="shared" si="5"/>
        <v>1.7499645979629348E-2</v>
      </c>
      <c r="O21" s="16">
        <v>6</v>
      </c>
      <c r="P21" s="16">
        <f t="shared" si="0"/>
        <v>7.3113821138211375</v>
      </c>
      <c r="Q21" s="16">
        <f t="shared" si="6"/>
        <v>57.144013151126643</v>
      </c>
      <c r="R21" s="113">
        <f t="shared" si="1"/>
        <v>311.95699999999999</v>
      </c>
      <c r="S21" s="16">
        <f>IF(S20=15800,15800,ROUND((((Q21*60)/'Gearing Calculator'!$C$14)*'Track Data'!P21),-2))</f>
        <v>12700</v>
      </c>
      <c r="T21" s="16">
        <f t="shared" si="4"/>
        <v>3.61192838894334</v>
      </c>
      <c r="U21" s="16">
        <f>IF(AC21=100,Braking!$AG$2354,IF(AC21=50,Braking!$AG$1179,IF(AC21=75,Braking!$AG$1767,0)))</f>
        <v>0</v>
      </c>
      <c r="V21" s="16">
        <f>0.5*'Gearing Calculator'!$C$15*'Gearing Calculator'!$C$20*'Gearing Calculator'!$W$20*('Track Data'!Q21^2)</f>
        <v>345.61398321746765</v>
      </c>
      <c r="W21" s="16">
        <f>('Gearing Calculator'!$U$9*'Track Data'!T21)+'Track Data'!V21</f>
        <v>1307.1093203541845</v>
      </c>
      <c r="X21" s="16">
        <f>('Gearing Calculator'!$U$9*9.81)*('Gearing Calculator'!$U$16/'Gearing Calculator'!$C$7)-(('Track Data'!W21)*('Gearing Calculator'!$U$17/'Gearing Calculator'!$C$7))</f>
        <v>688.69845303186116</v>
      </c>
      <c r="Y21" s="16">
        <f>('Gearing Calculator'!$U$9*9.81)*(('Gearing Calculator'!$C$7-'Gearing Calculator'!$U$16)/'Gearing Calculator'!$C$7)+(('Track Data'!W21)*('Gearing Calculator'!$U$17/'Gearing Calculator'!$C$7))</f>
        <v>1922.7235469681389</v>
      </c>
      <c r="Z21" s="16">
        <f>((X21*COS('Gearing Calculator'!$C$21))/'Gearing Calculator'!$C$22)/2</f>
        <v>21.292378000115182</v>
      </c>
      <c r="AA21" s="16">
        <f>Y21/'Gearing Calculator'!$C$24</f>
        <v>26.847669619259989</v>
      </c>
      <c r="AB21" s="16">
        <f t="shared" si="2"/>
        <v>367.28555355112769</v>
      </c>
      <c r="AC21" s="16">
        <v>0</v>
      </c>
      <c r="AD21" s="16">
        <v>0</v>
      </c>
      <c r="AE21" s="16">
        <v>18</v>
      </c>
      <c r="AF21" s="16">
        <f>IF(AC21=0,IF(O21=6,INDEX(Acceleration!$V$4:$V$110,MATCH('Track Data'!S21,Acceleration!$K$4:$K$110,0)),IF('Track Data'!O21=5,INDEX(Acceleration!$U$4:$U$110,MATCH('Track Data'!S21,Acceleration!$K$4:$K$110,0)),1)),U21)</f>
        <v>3.61192838894334</v>
      </c>
      <c r="AG21" s="16">
        <f>IF(AC21=0,IF(O21=4,INDEX(Acceleration!$T$4:$T$110,MATCH('Track Data'!S21,Acceleration!$K$4:$K$110,0)),IF('Track Data'!O21=3,INDEX(Acceleration!$S$4:$S$110,MATCH('Track Data'!S21,Acceleration!$K$4:$K$110,0)),'Track Data'!AF21)),'Track Data'!U21)</f>
        <v>3.61192838894334</v>
      </c>
      <c r="AH21" s="16">
        <f>IF(AC21=0,IF(O21=2,INDEX(Acceleration!$R$4:$R$110,MATCH('Track Data'!S21,Acceleration!$K$4:$K$110,0)),IF('Track Data'!O21=1,INDEX(Acceleration!$Q$4:$Q$110,MATCH('Track Data'!S21,Acceleration!$K$4:$K$110,0)),'Track Data'!AG21)),'Track Data'!U21)</f>
        <v>3.61192838894334</v>
      </c>
    </row>
    <row r="22" spans="2:34" x14ac:dyDescent="0.25">
      <c r="B22" s="16">
        <v>196.08199999999999</v>
      </c>
      <c r="C22" s="16">
        <v>7293</v>
      </c>
      <c r="D22" s="16">
        <v>19</v>
      </c>
      <c r="E22" s="113">
        <v>211</v>
      </c>
      <c r="F22" s="113">
        <v>209.4</v>
      </c>
      <c r="G22" s="113">
        <v>205.2</v>
      </c>
      <c r="H22" s="113">
        <f t="shared" si="3"/>
        <v>56.999999999999993</v>
      </c>
      <c r="I22" s="113">
        <v>3.3</v>
      </c>
      <c r="J22" s="113">
        <v>16.309999999999999</v>
      </c>
      <c r="K22" s="113">
        <v>-8.3000000000000007</v>
      </c>
      <c r="L22" s="189"/>
      <c r="M22" s="16">
        <v>19</v>
      </c>
      <c r="N22" s="16">
        <f t="shared" si="5"/>
        <v>1.7480321532192027E-2</v>
      </c>
      <c r="O22" s="16">
        <v>6</v>
      </c>
      <c r="P22" s="16">
        <f t="shared" si="0"/>
        <v>7.3113821138211375</v>
      </c>
      <c r="Q22" s="16">
        <f t="shared" si="6"/>
        <v>57.207185700696911</v>
      </c>
      <c r="R22" s="113">
        <f t="shared" si="1"/>
        <v>311.95699999999999</v>
      </c>
      <c r="S22" s="16">
        <f>IF(S21=15800,15800,ROUND((((Q22*60)/'Gearing Calculator'!$C$14)*'Track Data'!P22),-2))</f>
        <v>12700</v>
      </c>
      <c r="T22" s="16">
        <f t="shared" si="4"/>
        <v>3.61192838894334</v>
      </c>
      <c r="U22" s="16">
        <f>IF(AC22=100,Braking!$AG$2354,IF(AC22=50,Braking!$AG$1179,IF(AC22=75,Braking!$AG$1767,0)))</f>
        <v>0</v>
      </c>
      <c r="V22" s="16">
        <f>0.5*'Gearing Calculator'!$C$15*'Gearing Calculator'!$C$20*'Gearing Calculator'!$W$20*('Track Data'!Q22^2)</f>
        <v>346.37855621883921</v>
      </c>
      <c r="W22" s="16">
        <f>('Gearing Calculator'!$U$9*'Track Data'!T22)+'Track Data'!V22</f>
        <v>1307.8738933555562</v>
      </c>
      <c r="X22" s="16">
        <f>('Gearing Calculator'!$U$9*9.81)*('Gearing Calculator'!$U$16/'Gearing Calculator'!$C$7)-(('Track Data'!W22)*('Gearing Calculator'!$U$17/'Gearing Calculator'!$C$7))</f>
        <v>688.28170853056918</v>
      </c>
      <c r="Y22" s="16">
        <f>('Gearing Calculator'!$U$9*9.81)*(('Gearing Calculator'!$C$7-'Gearing Calculator'!$U$16)/'Gearing Calculator'!$C$7)+(('Track Data'!W22)*('Gearing Calculator'!$U$17/'Gearing Calculator'!$C$7))</f>
        <v>1923.1402914694308</v>
      </c>
      <c r="Z22" s="16">
        <f>((X22*COS('Gearing Calculator'!$C$21))/'Gearing Calculator'!$C$22)/2</f>
        <v>21.279493578185797</v>
      </c>
      <c r="AA22" s="16">
        <f>Y22/'Gearing Calculator'!$C$24</f>
        <v>26.853488770278332</v>
      </c>
      <c r="AB22" s="16">
        <f t="shared" si="2"/>
        <v>368.05012655249925</v>
      </c>
      <c r="AC22" s="16">
        <v>0</v>
      </c>
      <c r="AD22" s="16">
        <v>0</v>
      </c>
      <c r="AE22" s="16">
        <v>19</v>
      </c>
      <c r="AF22" s="16">
        <f>IF(AC22=0,IF(O22=6,INDEX(Acceleration!$V$4:$V$110,MATCH('Track Data'!S22,Acceleration!$K$4:$K$110,0)),IF('Track Data'!O22=5,INDEX(Acceleration!$U$4:$U$110,MATCH('Track Data'!S22,Acceleration!$K$4:$K$110,0)),1)),U22)</f>
        <v>3.61192838894334</v>
      </c>
      <c r="AG22" s="16">
        <f>IF(AC22=0,IF(O22=4,INDEX(Acceleration!$T$4:$T$110,MATCH('Track Data'!S22,Acceleration!$K$4:$K$110,0)),IF('Track Data'!O22=3,INDEX(Acceleration!$S$4:$S$110,MATCH('Track Data'!S22,Acceleration!$K$4:$K$110,0)),'Track Data'!AF22)),'Track Data'!U22)</f>
        <v>3.61192838894334</v>
      </c>
      <c r="AH22" s="16">
        <f>IF(AC22=0,IF(O22=2,INDEX(Acceleration!$R$4:$R$110,MATCH('Track Data'!S22,Acceleration!$K$4:$K$110,0)),IF('Track Data'!O22=1,INDEX(Acceleration!$Q$4:$Q$110,MATCH('Track Data'!S22,Acceleration!$K$4:$K$110,0)),'Track Data'!AG22)),'Track Data'!U22)</f>
        <v>3.61192838894334</v>
      </c>
    </row>
    <row r="23" spans="2:34" x14ac:dyDescent="0.25">
      <c r="B23" s="16">
        <v>196.09899999999999</v>
      </c>
      <c r="C23" s="16">
        <v>7293</v>
      </c>
      <c r="D23" s="16">
        <v>20</v>
      </c>
      <c r="E23" s="113">
        <v>210</v>
      </c>
      <c r="F23" s="113">
        <v>209.5</v>
      </c>
      <c r="G23" s="113">
        <v>205.3</v>
      </c>
      <c r="H23" s="113">
        <f t="shared" si="3"/>
        <v>57.027777777777779</v>
      </c>
      <c r="I23" s="113">
        <v>3.8</v>
      </c>
      <c r="J23" s="113">
        <v>17.600000000000001</v>
      </c>
      <c r="K23" s="113">
        <v>-7</v>
      </c>
      <c r="L23" s="189"/>
      <c r="M23" s="16">
        <v>20</v>
      </c>
      <c r="N23" s="16">
        <f t="shared" si="5"/>
        <v>1.7461060962289034E-2</v>
      </c>
      <c r="O23" s="16">
        <v>6</v>
      </c>
      <c r="P23" s="16">
        <f t="shared" si="0"/>
        <v>7.3113821138211375</v>
      </c>
      <c r="Q23" s="16">
        <f t="shared" si="6"/>
        <v>57.270288567213527</v>
      </c>
      <c r="R23" s="113">
        <f t="shared" si="1"/>
        <v>311.95699999999999</v>
      </c>
      <c r="S23" s="16">
        <f>IF(S22=15800,15800,ROUND((((Q23*60)/'Gearing Calculator'!$C$14)*'Track Data'!P23),-2))</f>
        <v>12700</v>
      </c>
      <c r="T23" s="16">
        <f t="shared" si="4"/>
        <v>3.61192838894334</v>
      </c>
      <c r="U23" s="16">
        <f>IF(AC23=100,Braking!$AG$2354,IF(AC23=50,Braking!$AG$1179,IF(AC23=75,Braking!$AG$1767,0)))</f>
        <v>0</v>
      </c>
      <c r="V23" s="16">
        <f>0.5*'Gearing Calculator'!$C$15*'Gearing Calculator'!$C$20*'Gearing Calculator'!$W$20*('Track Data'!Q23^2)</f>
        <v>347.14312922021077</v>
      </c>
      <c r="W23" s="16">
        <f>('Gearing Calculator'!$U$9*'Track Data'!T23)+'Track Data'!V23</f>
        <v>1308.6384663569279</v>
      </c>
      <c r="X23" s="16">
        <f>('Gearing Calculator'!$U$9*9.81)*('Gearing Calculator'!$U$16/'Gearing Calculator'!$C$7)-(('Track Data'!W23)*('Gearing Calculator'!$U$17/'Gearing Calculator'!$C$7))</f>
        <v>687.86496402927708</v>
      </c>
      <c r="Y23" s="16">
        <f>('Gearing Calculator'!$U$9*9.81)*(('Gearing Calculator'!$C$7-'Gearing Calculator'!$U$16)/'Gearing Calculator'!$C$7)+(('Track Data'!W23)*('Gearing Calculator'!$U$17/'Gearing Calculator'!$C$7))</f>
        <v>1923.5570359707231</v>
      </c>
      <c r="Z23" s="16">
        <f>((X23*COS('Gearing Calculator'!$C$21))/'Gearing Calculator'!$C$22)/2</f>
        <v>21.266609156256404</v>
      </c>
      <c r="AA23" s="16">
        <f>Y23/'Gearing Calculator'!$C$24</f>
        <v>26.859307921296679</v>
      </c>
      <c r="AB23" s="16">
        <f t="shared" si="2"/>
        <v>368.81469955387081</v>
      </c>
      <c r="AC23" s="16">
        <v>0</v>
      </c>
      <c r="AD23" s="16">
        <v>0</v>
      </c>
      <c r="AE23" s="16">
        <v>20</v>
      </c>
      <c r="AF23" s="16">
        <f>IF(AC23=0,IF(O23=6,INDEX(Acceleration!$V$4:$V$110,MATCH('Track Data'!S23,Acceleration!$K$4:$K$110,0)),IF('Track Data'!O23=5,INDEX(Acceleration!$U$4:$U$110,MATCH('Track Data'!S23,Acceleration!$K$4:$K$110,0)),1)),U23)</f>
        <v>3.61192838894334</v>
      </c>
      <c r="AG23" s="16">
        <f>IF(AC23=0,IF(O23=4,INDEX(Acceleration!$T$4:$T$110,MATCH('Track Data'!S23,Acceleration!$K$4:$K$110,0)),IF('Track Data'!O23=3,INDEX(Acceleration!$S$4:$S$110,MATCH('Track Data'!S23,Acceleration!$K$4:$K$110,0)),'Track Data'!AF23)),'Track Data'!U23)</f>
        <v>3.61192838894334</v>
      </c>
      <c r="AH23" s="16">
        <f>IF(AC23=0,IF(O23=2,INDEX(Acceleration!$R$4:$R$110,MATCH('Track Data'!S23,Acceleration!$K$4:$K$110,0)),IF('Track Data'!O23=1,INDEX(Acceleration!$Q$4:$Q$110,MATCH('Track Data'!S23,Acceleration!$K$4:$K$110,0)),'Track Data'!AG23)),'Track Data'!U23)</f>
        <v>3.61192838894334</v>
      </c>
    </row>
    <row r="24" spans="2:34" x14ac:dyDescent="0.25">
      <c r="B24" s="16">
        <v>196.11600000000001</v>
      </c>
      <c r="C24" s="16">
        <v>7294</v>
      </c>
      <c r="D24" s="16">
        <v>21</v>
      </c>
      <c r="E24" s="113">
        <v>209</v>
      </c>
      <c r="F24" s="113">
        <v>209.8</v>
      </c>
      <c r="G24" s="113">
        <v>205.5</v>
      </c>
      <c r="H24" s="113">
        <f t="shared" si="3"/>
        <v>57.083333333333329</v>
      </c>
      <c r="I24" s="113">
        <v>5.7</v>
      </c>
      <c r="J24" s="113">
        <v>17.73</v>
      </c>
      <c r="K24" s="113">
        <v>-4.3</v>
      </c>
      <c r="L24" s="189"/>
      <c r="M24" s="16">
        <v>21</v>
      </c>
      <c r="N24" s="16">
        <f t="shared" si="5"/>
        <v>1.7441863918778965E-2</v>
      </c>
      <c r="O24" s="16">
        <v>6</v>
      </c>
      <c r="P24" s="16">
        <f t="shared" si="0"/>
        <v>7.3113821138211375</v>
      </c>
      <c r="Q24" s="16">
        <f t="shared" si="6"/>
        <v>57.333321980762598</v>
      </c>
      <c r="R24" s="113">
        <f t="shared" si="1"/>
        <v>311.95699999999999</v>
      </c>
      <c r="S24" s="16">
        <f>IF(S23=15800,15800,ROUND((((Q24*60)/'Gearing Calculator'!$C$14)*'Track Data'!P24),-2))</f>
        <v>12700</v>
      </c>
      <c r="T24" s="16">
        <f t="shared" si="4"/>
        <v>3.61192838894334</v>
      </c>
      <c r="U24" s="16">
        <f>IF(AC24=100,Braking!$AG$2354,IF(AC24=50,Braking!$AG$1179,IF(AC24=75,Braking!$AG$1767,0)))</f>
        <v>0</v>
      </c>
      <c r="V24" s="16">
        <f>0.5*'Gearing Calculator'!$C$15*'Gearing Calculator'!$C$20*'Gearing Calculator'!$W$20*('Track Data'!Q24^2)</f>
        <v>347.90770222158233</v>
      </c>
      <c r="W24" s="16">
        <f>('Gearing Calculator'!$U$9*'Track Data'!T24)+'Track Data'!V24</f>
        <v>1309.4030393582993</v>
      </c>
      <c r="X24" s="16">
        <f>('Gearing Calculator'!$U$9*9.81)*('Gearing Calculator'!$U$16/'Gearing Calculator'!$C$7)-(('Track Data'!W24)*('Gearing Calculator'!$U$17/'Gearing Calculator'!$C$7))</f>
        <v>687.44821952798509</v>
      </c>
      <c r="Y24" s="16">
        <f>('Gearing Calculator'!$U$9*9.81)*(('Gearing Calculator'!$C$7-'Gearing Calculator'!$U$16)/'Gearing Calculator'!$C$7)+(('Track Data'!W24)*('Gearing Calculator'!$U$17/'Gearing Calculator'!$C$7))</f>
        <v>1923.9737804720148</v>
      </c>
      <c r="Z24" s="16">
        <f>((X24*COS('Gearing Calculator'!$C$21))/'Gearing Calculator'!$C$22)/2</f>
        <v>21.253724734327019</v>
      </c>
      <c r="AA24" s="16">
        <f>Y24/'Gearing Calculator'!$C$24</f>
        <v>26.865127072315019</v>
      </c>
      <c r="AB24" s="16">
        <f t="shared" si="2"/>
        <v>369.57927255524237</v>
      </c>
      <c r="AC24" s="16">
        <v>0</v>
      </c>
      <c r="AD24" s="16">
        <v>0</v>
      </c>
      <c r="AE24" s="16">
        <v>21</v>
      </c>
      <c r="AF24" s="16">
        <f>IF(AC24=0,IF(O24=6,INDEX(Acceleration!$V$4:$V$110,MATCH('Track Data'!S24,Acceleration!$K$4:$K$110,0)),IF('Track Data'!O24=5,INDEX(Acceleration!$U$4:$U$110,MATCH('Track Data'!S24,Acceleration!$K$4:$K$110,0)),1)),U24)</f>
        <v>3.61192838894334</v>
      </c>
      <c r="AG24" s="16">
        <f>IF(AC24=0,IF(O24=4,INDEX(Acceleration!$T$4:$T$110,MATCH('Track Data'!S24,Acceleration!$K$4:$K$110,0)),IF('Track Data'!O24=3,INDEX(Acceleration!$S$4:$S$110,MATCH('Track Data'!S24,Acceleration!$K$4:$K$110,0)),'Track Data'!AF24)),'Track Data'!U24)</f>
        <v>3.61192838894334</v>
      </c>
      <c r="AH24" s="16">
        <f>IF(AC24=0,IF(O24=2,INDEX(Acceleration!$R$4:$R$110,MATCH('Track Data'!S24,Acceleration!$K$4:$K$110,0)),IF('Track Data'!O24=1,INDEX(Acceleration!$Q$4:$Q$110,MATCH('Track Data'!S24,Acceleration!$K$4:$K$110,0)),'Track Data'!AG24)),'Track Data'!U24)</f>
        <v>3.61192838894334</v>
      </c>
    </row>
    <row r="25" spans="2:34" x14ac:dyDescent="0.25">
      <c r="B25" s="16">
        <v>196.13300000000001</v>
      </c>
      <c r="C25" s="16">
        <v>7295</v>
      </c>
      <c r="D25" s="16">
        <v>22</v>
      </c>
      <c r="E25" s="113">
        <v>208</v>
      </c>
      <c r="F25" s="113">
        <v>209.7</v>
      </c>
      <c r="G25" s="113">
        <v>205.7</v>
      </c>
      <c r="H25" s="113">
        <f t="shared" si="3"/>
        <v>57.138888888888886</v>
      </c>
      <c r="I25" s="113">
        <v>8</v>
      </c>
      <c r="J25" s="113">
        <v>19.399999999999999</v>
      </c>
      <c r="K25" s="113">
        <v>-1.7</v>
      </c>
      <c r="L25" s="189"/>
      <c r="M25" s="16">
        <v>22</v>
      </c>
      <c r="N25" s="16">
        <f t="shared" si="5"/>
        <v>1.7422730053216848E-2</v>
      </c>
      <c r="O25" s="16">
        <v>6</v>
      </c>
      <c r="P25" s="16">
        <f t="shared" si="0"/>
        <v>7.3113821138211375</v>
      </c>
      <c r="Q25" s="16">
        <f t="shared" si="6"/>
        <v>57.396286170166817</v>
      </c>
      <c r="R25" s="113">
        <f t="shared" si="1"/>
        <v>311.95699999999999</v>
      </c>
      <c r="S25" s="16">
        <f>IF(S24=15800,15800,ROUND((((Q25*60)/'Gearing Calculator'!$C$14)*'Track Data'!P25),-2))</f>
        <v>12700</v>
      </c>
      <c r="T25" s="16">
        <f t="shared" si="4"/>
        <v>3.61192838894334</v>
      </c>
      <c r="U25" s="16">
        <f>IF(AC25=100,Braking!$AG$2354,IF(AC25=50,Braking!$AG$1179,IF(AC25=75,Braking!$AG$1767,0)))</f>
        <v>0</v>
      </c>
      <c r="V25" s="16">
        <f>0.5*'Gearing Calculator'!$C$15*'Gearing Calculator'!$C$20*'Gearing Calculator'!$W$20*('Track Data'!Q25^2)</f>
        <v>348.67227522295389</v>
      </c>
      <c r="W25" s="16">
        <f>('Gearing Calculator'!$U$9*'Track Data'!T25)+'Track Data'!V25</f>
        <v>1310.1676123596708</v>
      </c>
      <c r="X25" s="16">
        <f>('Gearing Calculator'!$U$9*9.81)*('Gearing Calculator'!$U$16/'Gearing Calculator'!$C$7)-(('Track Data'!W25)*('Gearing Calculator'!$U$17/'Gearing Calculator'!$C$7))</f>
        <v>687.0314750266931</v>
      </c>
      <c r="Y25" s="16">
        <f>('Gearing Calculator'!$U$9*9.81)*(('Gearing Calculator'!$C$7-'Gearing Calculator'!$U$16)/'Gearing Calculator'!$C$7)+(('Track Data'!W25)*('Gearing Calculator'!$U$17/'Gearing Calculator'!$C$7))</f>
        <v>1924.390524973307</v>
      </c>
      <c r="Z25" s="16">
        <f>((X25*COS('Gearing Calculator'!$C$21))/'Gearing Calculator'!$C$22)/2</f>
        <v>21.24084031239763</v>
      </c>
      <c r="AA25" s="16">
        <f>Y25/'Gearing Calculator'!$C$24</f>
        <v>26.870946223333362</v>
      </c>
      <c r="AB25" s="16">
        <f t="shared" si="2"/>
        <v>370.34384555661393</v>
      </c>
      <c r="AC25" s="16">
        <v>0</v>
      </c>
      <c r="AD25" s="16">
        <v>0</v>
      </c>
      <c r="AE25" s="16">
        <v>22</v>
      </c>
      <c r="AF25" s="16">
        <f>IF(AC25=0,IF(O25=6,INDEX(Acceleration!$V$4:$V$110,MATCH('Track Data'!S25,Acceleration!$K$4:$K$110,0)),IF('Track Data'!O25=5,INDEX(Acceleration!$U$4:$U$110,MATCH('Track Data'!S25,Acceleration!$K$4:$K$110,0)),1)),U25)</f>
        <v>3.61192838894334</v>
      </c>
      <c r="AG25" s="16">
        <f>IF(AC25=0,IF(O25=4,INDEX(Acceleration!$T$4:$T$110,MATCH('Track Data'!S25,Acceleration!$K$4:$K$110,0)),IF('Track Data'!O25=3,INDEX(Acceleration!$S$4:$S$110,MATCH('Track Data'!S25,Acceleration!$K$4:$K$110,0)),'Track Data'!AF25)),'Track Data'!U25)</f>
        <v>3.61192838894334</v>
      </c>
      <c r="AH25" s="16">
        <f>IF(AC25=0,IF(O25=2,INDEX(Acceleration!$R$4:$R$110,MATCH('Track Data'!S25,Acceleration!$K$4:$K$110,0)),IF('Track Data'!O25=1,INDEX(Acceleration!$Q$4:$Q$110,MATCH('Track Data'!S25,Acceleration!$K$4:$K$110,0)),'Track Data'!AG25)),'Track Data'!U25)</f>
        <v>3.61192838894334</v>
      </c>
    </row>
    <row r="26" spans="2:34" x14ac:dyDescent="0.25">
      <c r="B26" s="16">
        <v>196.15</v>
      </c>
      <c r="C26" s="16">
        <v>7296</v>
      </c>
      <c r="D26" s="16">
        <v>23</v>
      </c>
      <c r="E26" s="113">
        <v>207</v>
      </c>
      <c r="F26" s="113">
        <v>209.6</v>
      </c>
      <c r="G26" s="113">
        <v>205.9</v>
      </c>
      <c r="H26" s="113">
        <f t="shared" si="3"/>
        <v>57.194444444444443</v>
      </c>
      <c r="I26" s="113">
        <v>10</v>
      </c>
      <c r="J26" s="113">
        <v>23.82</v>
      </c>
      <c r="K26" s="113">
        <v>1</v>
      </c>
      <c r="L26" s="189"/>
      <c r="M26" s="16">
        <v>23</v>
      </c>
      <c r="N26" s="16">
        <f t="shared" si="5"/>
        <v>1.7403659019827589E-2</v>
      </c>
      <c r="O26" s="16">
        <v>6</v>
      </c>
      <c r="P26" s="16">
        <f t="shared" si="0"/>
        <v>7.3113821138211375</v>
      </c>
      <c r="Q26" s="16">
        <f t="shared" si="6"/>
        <v>57.459181362995153</v>
      </c>
      <c r="R26" s="113">
        <f t="shared" si="1"/>
        <v>311.95699999999999</v>
      </c>
      <c r="S26" s="16">
        <f>IF(S25=15800,15800,ROUND((((Q26*60)/'Gearing Calculator'!$C$14)*'Track Data'!P26),-2))</f>
        <v>12700</v>
      </c>
      <c r="T26" s="16">
        <f t="shared" si="4"/>
        <v>3.61192838894334</v>
      </c>
      <c r="U26" s="16">
        <f>IF(AC26=100,Braking!$AG$2354,IF(AC26=50,Braking!$AG$1179,IF(AC26=75,Braking!$AG$1767,0)))</f>
        <v>0</v>
      </c>
      <c r="V26" s="16">
        <f>0.5*'Gearing Calculator'!$C$15*'Gearing Calculator'!$C$20*'Gearing Calculator'!$W$20*('Track Data'!Q26^2)</f>
        <v>349.43684822432544</v>
      </c>
      <c r="W26" s="16">
        <f>('Gearing Calculator'!$U$9*'Track Data'!T26)+'Track Data'!V26</f>
        <v>1310.9321853610425</v>
      </c>
      <c r="X26" s="16">
        <f>('Gearing Calculator'!$U$9*9.81)*('Gearing Calculator'!$U$16/'Gearing Calculator'!$C$7)-(('Track Data'!W26)*('Gearing Calculator'!$U$17/'Gearing Calculator'!$C$7))</f>
        <v>686.614730525401</v>
      </c>
      <c r="Y26" s="16">
        <f>('Gearing Calculator'!$U$9*9.81)*(('Gearing Calculator'!$C$7-'Gearing Calculator'!$U$16)/'Gearing Calculator'!$C$7)+(('Track Data'!W26)*('Gearing Calculator'!$U$17/'Gearing Calculator'!$C$7))</f>
        <v>1924.807269474599</v>
      </c>
      <c r="Z26" s="16">
        <f>((X26*COS('Gearing Calculator'!$C$21))/'Gearing Calculator'!$C$22)/2</f>
        <v>21.227955890468241</v>
      </c>
      <c r="AA26" s="16">
        <f>Y26/'Gearing Calculator'!$C$24</f>
        <v>26.876765374351706</v>
      </c>
      <c r="AB26" s="16">
        <f t="shared" si="2"/>
        <v>371.10841855798549</v>
      </c>
      <c r="AC26" s="16">
        <v>0</v>
      </c>
      <c r="AD26" s="16">
        <v>0</v>
      </c>
      <c r="AE26" s="16">
        <v>23</v>
      </c>
      <c r="AF26" s="16">
        <f>IF(AC26=0,IF(O26=6,INDEX(Acceleration!$V$4:$V$110,MATCH('Track Data'!S26,Acceleration!$K$4:$K$110,0)),IF('Track Data'!O26=5,INDEX(Acceleration!$U$4:$U$110,MATCH('Track Data'!S26,Acceleration!$K$4:$K$110,0)),1)),U26)</f>
        <v>3.61192838894334</v>
      </c>
      <c r="AG26" s="16">
        <f>IF(AC26=0,IF(O26=4,INDEX(Acceleration!$T$4:$T$110,MATCH('Track Data'!S26,Acceleration!$K$4:$K$110,0)),IF('Track Data'!O26=3,INDEX(Acceleration!$S$4:$S$110,MATCH('Track Data'!S26,Acceleration!$K$4:$K$110,0)),'Track Data'!AF26)),'Track Data'!U26)</f>
        <v>3.61192838894334</v>
      </c>
      <c r="AH26" s="16">
        <f>IF(AC26=0,IF(O26=2,INDEX(Acceleration!$R$4:$R$110,MATCH('Track Data'!S26,Acceleration!$K$4:$K$110,0)),IF('Track Data'!O26=1,INDEX(Acceleration!$Q$4:$Q$110,MATCH('Track Data'!S26,Acceleration!$K$4:$K$110,0)),'Track Data'!AG26)),'Track Data'!U26)</f>
        <v>3.61192838894334</v>
      </c>
    </row>
    <row r="27" spans="2:34" x14ac:dyDescent="0.25">
      <c r="B27" s="16">
        <v>196.167</v>
      </c>
      <c r="C27" s="16">
        <v>7297</v>
      </c>
      <c r="D27" s="16">
        <v>24</v>
      </c>
      <c r="E27" s="113">
        <v>207</v>
      </c>
      <c r="F27" s="113">
        <v>209.6</v>
      </c>
      <c r="G27" s="113">
        <v>206</v>
      </c>
      <c r="H27" s="113">
        <f t="shared" si="3"/>
        <v>57.222222222222221</v>
      </c>
      <c r="I27" s="113">
        <v>10.199999999999999</v>
      </c>
      <c r="J27" s="113">
        <v>26.49</v>
      </c>
      <c r="K27" s="113">
        <v>1.8</v>
      </c>
      <c r="L27" s="189"/>
      <c r="M27" s="16">
        <v>24</v>
      </c>
      <c r="N27" s="16">
        <f t="shared" si="5"/>
        <v>1.738465047547972E-2</v>
      </c>
      <c r="O27" s="16">
        <v>6</v>
      </c>
      <c r="P27" s="16">
        <f t="shared" si="0"/>
        <v>7.3113821138211375</v>
      </c>
      <c r="Q27" s="16">
        <f t="shared" si="6"/>
        <v>57.522007785572441</v>
      </c>
      <c r="R27" s="113">
        <f t="shared" si="1"/>
        <v>311.95699999999999</v>
      </c>
      <c r="S27" s="16">
        <f>IF(S26=15800,15800,ROUND((((Q27*60)/'Gearing Calculator'!$C$14)*'Track Data'!P27),-2))</f>
        <v>12800</v>
      </c>
      <c r="T27" s="16">
        <f t="shared" si="4"/>
        <v>3.5834047433191962</v>
      </c>
      <c r="U27" s="16">
        <f>IF(AC27=100,Braking!$AG$2354,IF(AC27=50,Braking!$AG$1179,IF(AC27=75,Braking!$AG$1767,0)))</f>
        <v>0</v>
      </c>
      <c r="V27" s="16">
        <f>0.5*'Gearing Calculator'!$C$15*'Gearing Calculator'!$C$20*'Gearing Calculator'!$W$20*('Track Data'!Q27^2)</f>
        <v>350.201421225697</v>
      </c>
      <c r="W27" s="16">
        <f>('Gearing Calculator'!$U$9*'Track Data'!T27)+'Track Data'!V27</f>
        <v>1304.1037638972671</v>
      </c>
      <c r="X27" s="16">
        <f>('Gearing Calculator'!$U$9*9.81)*('Gearing Calculator'!$U$16/'Gearing Calculator'!$C$7)-(('Track Data'!W27)*('Gearing Calculator'!$U$17/'Gearing Calculator'!$C$7))</f>
        <v>690.3366865615518</v>
      </c>
      <c r="Y27" s="16">
        <f>('Gearing Calculator'!$U$9*9.81)*(('Gearing Calculator'!$C$7-'Gearing Calculator'!$U$16)/'Gearing Calculator'!$C$7)+(('Track Data'!W27)*('Gearing Calculator'!$U$17/'Gearing Calculator'!$C$7))</f>
        <v>1921.0853134384483</v>
      </c>
      <c r="Z27" s="16">
        <f>((X27*COS('Gearing Calculator'!$C$21))/'Gearing Calculator'!$C$22)/2</f>
        <v>21.343026999562003</v>
      </c>
      <c r="AA27" s="16">
        <f>Y27/'Gearing Calculator'!$C$24</f>
        <v>26.824794384474583</v>
      </c>
      <c r="AB27" s="16">
        <f t="shared" si="2"/>
        <v>371.70184968561216</v>
      </c>
      <c r="AC27" s="16">
        <v>0</v>
      </c>
      <c r="AD27" s="16">
        <v>0</v>
      </c>
      <c r="AE27" s="16">
        <v>24</v>
      </c>
      <c r="AF27" s="16">
        <f>IF(AC27=0,IF(O27=6,INDEX(Acceleration!$V$4:$V$110,MATCH('Track Data'!S27,Acceleration!$K$4:$K$110,0)),IF('Track Data'!O27=5,INDEX(Acceleration!$U$4:$U$110,MATCH('Track Data'!S27,Acceleration!$K$4:$K$110,0)),1)),U27)</f>
        <v>3.5834047433191962</v>
      </c>
      <c r="AG27" s="16">
        <f>IF(AC27=0,IF(O27=4,INDEX(Acceleration!$T$4:$T$110,MATCH('Track Data'!S27,Acceleration!$K$4:$K$110,0)),IF('Track Data'!O27=3,INDEX(Acceleration!$S$4:$S$110,MATCH('Track Data'!S27,Acceleration!$K$4:$K$110,0)),'Track Data'!AF27)),'Track Data'!U27)</f>
        <v>3.5834047433191962</v>
      </c>
      <c r="AH27" s="16">
        <f>IF(AC27=0,IF(O27=2,INDEX(Acceleration!$R$4:$R$110,MATCH('Track Data'!S27,Acceleration!$K$4:$K$110,0)),IF('Track Data'!O27=1,INDEX(Acceleration!$Q$4:$Q$110,MATCH('Track Data'!S27,Acceleration!$K$4:$K$110,0)),'Track Data'!AG27)),'Track Data'!U27)</f>
        <v>3.5834047433191962</v>
      </c>
    </row>
    <row r="28" spans="2:34" x14ac:dyDescent="0.25">
      <c r="B28" s="16">
        <v>196.184</v>
      </c>
      <c r="C28" s="16">
        <v>7298</v>
      </c>
      <c r="D28" s="16">
        <v>25</v>
      </c>
      <c r="E28" s="113">
        <v>209</v>
      </c>
      <c r="F28" s="113">
        <v>209.7</v>
      </c>
      <c r="G28" s="113">
        <v>206.1</v>
      </c>
      <c r="H28" s="113">
        <f t="shared" si="3"/>
        <v>57.25</v>
      </c>
      <c r="I28" s="113">
        <v>9.1</v>
      </c>
      <c r="J28" s="113">
        <v>28.24</v>
      </c>
      <c r="K28" s="113">
        <v>1.8</v>
      </c>
      <c r="L28" s="189"/>
      <c r="M28" s="16">
        <v>25</v>
      </c>
      <c r="N28" s="16">
        <f t="shared" si="5"/>
        <v>1.7365853458066637E-2</v>
      </c>
      <c r="O28" s="16">
        <v>6</v>
      </c>
      <c r="P28" s="16">
        <f t="shared" si="0"/>
        <v>7.3113821138211375</v>
      </c>
      <c r="Q28" s="16">
        <f t="shared" si="6"/>
        <v>57.584270327669302</v>
      </c>
      <c r="R28" s="113">
        <f t="shared" si="1"/>
        <v>311.95699999999999</v>
      </c>
      <c r="S28" s="16">
        <f>IF(S27=15800,15800,ROUND((((Q28*60)/'Gearing Calculator'!$C$14)*'Track Data'!P28),-2))</f>
        <v>12800</v>
      </c>
      <c r="T28" s="16">
        <f t="shared" si="4"/>
        <v>3.5834047433191962</v>
      </c>
      <c r="U28" s="16">
        <f>IF(AC28=100,Braking!$AG$2354,IF(AC28=50,Braking!$AG$1179,IF(AC28=75,Braking!$AG$1767,0)))</f>
        <v>0</v>
      </c>
      <c r="V28" s="16">
        <f>0.5*'Gearing Calculator'!$C$15*'Gearing Calculator'!$C$20*'Gearing Calculator'!$W$20*('Track Data'!Q28^2)</f>
        <v>350.95995634176285</v>
      </c>
      <c r="W28" s="16">
        <f>('Gearing Calculator'!$U$9*'Track Data'!T28)+'Track Data'!V28</f>
        <v>1304.8622990133329</v>
      </c>
      <c r="X28" s="16">
        <f>('Gearing Calculator'!$U$9*9.81)*('Gearing Calculator'!$U$16/'Gearing Calculator'!$C$7)-(('Track Data'!W28)*('Gearing Calculator'!$U$17/'Gearing Calculator'!$C$7))</f>
        <v>689.92323312010114</v>
      </c>
      <c r="Y28" s="16">
        <f>('Gearing Calculator'!$U$9*9.81)*(('Gearing Calculator'!$C$7-'Gearing Calculator'!$U$16)/'Gearing Calculator'!$C$7)+(('Track Data'!W28)*('Gearing Calculator'!$U$17/'Gearing Calculator'!$C$7))</f>
        <v>1921.498766879899</v>
      </c>
      <c r="Z28" s="16">
        <f>((X28*COS('Gearing Calculator'!$C$21))/'Gearing Calculator'!$C$22)/2</f>
        <v>21.330244326794173</v>
      </c>
      <c r="AA28" s="16">
        <f>Y28/'Gearing Calculator'!$C$24</f>
        <v>26.830567581259174</v>
      </c>
      <c r="AB28" s="16">
        <f t="shared" si="2"/>
        <v>372.460384801678</v>
      </c>
      <c r="AC28" s="16">
        <v>0</v>
      </c>
      <c r="AD28" s="16">
        <v>0</v>
      </c>
      <c r="AE28" s="16">
        <v>25</v>
      </c>
      <c r="AF28" s="16">
        <f>IF(AC28=0,IF(O28=6,INDEX(Acceleration!$V$4:$V$110,MATCH('Track Data'!S28,Acceleration!$K$4:$K$110,0)),IF('Track Data'!O28=5,INDEX(Acceleration!$U$4:$U$110,MATCH('Track Data'!S28,Acceleration!$K$4:$K$110,0)),1)),U28)</f>
        <v>3.5834047433191962</v>
      </c>
      <c r="AG28" s="16">
        <f>IF(AC28=0,IF(O28=4,INDEX(Acceleration!$T$4:$T$110,MATCH('Track Data'!S28,Acceleration!$K$4:$K$110,0)),IF('Track Data'!O28=3,INDEX(Acceleration!$S$4:$S$110,MATCH('Track Data'!S28,Acceleration!$K$4:$K$110,0)),'Track Data'!AF28)),'Track Data'!U28)</f>
        <v>3.5834047433191962</v>
      </c>
      <c r="AH28" s="16">
        <f>IF(AC28=0,IF(O28=2,INDEX(Acceleration!$R$4:$R$110,MATCH('Track Data'!S28,Acceleration!$K$4:$K$110,0)),IF('Track Data'!O28=1,INDEX(Acceleration!$Q$4:$Q$110,MATCH('Track Data'!S28,Acceleration!$K$4:$K$110,0)),'Track Data'!AG28)),'Track Data'!U28)</f>
        <v>3.5834047433191962</v>
      </c>
    </row>
    <row r="29" spans="2:34" x14ac:dyDescent="0.25">
      <c r="B29" s="16">
        <v>196.202</v>
      </c>
      <c r="C29" s="16">
        <v>7300</v>
      </c>
      <c r="D29" s="16">
        <v>26</v>
      </c>
      <c r="E29" s="113">
        <v>210</v>
      </c>
      <c r="F29" s="113">
        <v>209.7</v>
      </c>
      <c r="G29" s="113">
        <v>206.3</v>
      </c>
      <c r="H29" s="113">
        <f t="shared" si="3"/>
        <v>57.305555555555557</v>
      </c>
      <c r="I29" s="113">
        <v>7.5</v>
      </c>
      <c r="J29" s="113">
        <v>28.2</v>
      </c>
      <c r="K29" s="113">
        <v>1.8</v>
      </c>
      <c r="L29" s="189"/>
      <c r="M29" s="16">
        <v>26</v>
      </c>
      <c r="N29" s="16">
        <f t="shared" si="5"/>
        <v>1.7347117281482412E-2</v>
      </c>
      <c r="O29" s="16">
        <v>6</v>
      </c>
      <c r="P29" s="16">
        <f t="shared" si="0"/>
        <v>7.3113821138211375</v>
      </c>
      <c r="Q29" s="16">
        <f t="shared" si="6"/>
        <v>57.646465621551627</v>
      </c>
      <c r="R29" s="113">
        <f t="shared" si="1"/>
        <v>311.95699999999999</v>
      </c>
      <c r="S29" s="16">
        <f>IF(S28=15800,15800,ROUND((((Q29*60)/'Gearing Calculator'!$C$14)*'Track Data'!P29),-2))</f>
        <v>12800</v>
      </c>
      <c r="T29" s="16">
        <f t="shared" si="4"/>
        <v>3.5834047433191962</v>
      </c>
      <c r="U29" s="16">
        <f>IF(AC29=100,Braking!$AG$2354,IF(AC29=50,Braking!$AG$1179,IF(AC29=75,Braking!$AG$1767,0)))</f>
        <v>0</v>
      </c>
      <c r="V29" s="16">
        <f>0.5*'Gearing Calculator'!$C$15*'Gearing Calculator'!$C$20*'Gearing Calculator'!$W$20*('Track Data'!Q29^2)</f>
        <v>351.71849145782863</v>
      </c>
      <c r="W29" s="16">
        <f>('Gearing Calculator'!$U$9*'Track Data'!T29)+'Track Data'!V29</f>
        <v>1305.6208341293986</v>
      </c>
      <c r="X29" s="16">
        <f>('Gearing Calculator'!$U$9*9.81)*('Gearing Calculator'!$U$16/'Gearing Calculator'!$C$7)-(('Track Data'!W29)*('Gearing Calculator'!$U$17/'Gearing Calculator'!$C$7))</f>
        <v>689.5097796786506</v>
      </c>
      <c r="Y29" s="16">
        <f>('Gearing Calculator'!$U$9*9.81)*(('Gearing Calculator'!$C$7-'Gearing Calculator'!$U$16)/'Gearing Calculator'!$C$7)+(('Track Data'!W29)*('Gearing Calculator'!$U$17/'Gearing Calculator'!$C$7))</f>
        <v>1921.9122203213494</v>
      </c>
      <c r="Z29" s="16">
        <f>((X29*COS('Gearing Calculator'!$C$21))/'Gearing Calculator'!$C$22)/2</f>
        <v>21.317461654026349</v>
      </c>
      <c r="AA29" s="16">
        <f>Y29/'Gearing Calculator'!$C$24</f>
        <v>26.836340778043763</v>
      </c>
      <c r="AB29" s="16">
        <f t="shared" si="2"/>
        <v>373.21891991774379</v>
      </c>
      <c r="AC29" s="16">
        <v>0</v>
      </c>
      <c r="AD29" s="16">
        <v>0</v>
      </c>
      <c r="AE29" s="16">
        <v>26</v>
      </c>
      <c r="AF29" s="16">
        <f>IF(AC29=0,IF(O29=6,INDEX(Acceleration!$V$4:$V$110,MATCH('Track Data'!S29,Acceleration!$K$4:$K$110,0)),IF('Track Data'!O29=5,INDEX(Acceleration!$U$4:$U$110,MATCH('Track Data'!S29,Acceleration!$K$4:$K$110,0)),1)),U29)</f>
        <v>3.5834047433191962</v>
      </c>
      <c r="AG29" s="16">
        <f>IF(AC29=0,IF(O29=4,INDEX(Acceleration!$T$4:$T$110,MATCH('Track Data'!S29,Acceleration!$K$4:$K$110,0)),IF('Track Data'!O29=3,INDEX(Acceleration!$S$4:$S$110,MATCH('Track Data'!S29,Acceleration!$K$4:$K$110,0)),'Track Data'!AF29)),'Track Data'!U29)</f>
        <v>3.5834047433191962</v>
      </c>
      <c r="AH29" s="16">
        <f>IF(AC29=0,IF(O29=2,INDEX(Acceleration!$R$4:$R$110,MATCH('Track Data'!S29,Acceleration!$K$4:$K$110,0)),IF('Track Data'!O29=1,INDEX(Acceleration!$Q$4:$Q$110,MATCH('Track Data'!S29,Acceleration!$K$4:$K$110,0)),'Track Data'!AG29)),'Track Data'!U29)</f>
        <v>3.5834047433191962</v>
      </c>
    </row>
    <row r="30" spans="2:34" x14ac:dyDescent="0.25">
      <c r="B30" s="16">
        <v>196.21899999999999</v>
      </c>
      <c r="C30" s="16">
        <v>7300</v>
      </c>
      <c r="D30" s="16">
        <v>27</v>
      </c>
      <c r="E30" s="113">
        <v>210</v>
      </c>
      <c r="F30" s="113">
        <v>209.8</v>
      </c>
      <c r="G30" s="113">
        <v>206.4</v>
      </c>
      <c r="H30" s="113">
        <f t="shared" si="3"/>
        <v>57.333333333333336</v>
      </c>
      <c r="I30" s="113">
        <v>7.5</v>
      </c>
      <c r="J30" s="113">
        <v>27.87</v>
      </c>
      <c r="K30" s="113">
        <v>1.8</v>
      </c>
      <c r="L30" s="189"/>
      <c r="M30" s="16">
        <v>27</v>
      </c>
      <c r="N30" s="16">
        <f t="shared" si="5"/>
        <v>1.7328441618224999E-2</v>
      </c>
      <c r="O30" s="16">
        <v>6</v>
      </c>
      <c r="P30" s="16">
        <f t="shared" si="0"/>
        <v>7.3113821138211375</v>
      </c>
      <c r="Q30" s="16">
        <f t="shared" si="6"/>
        <v>57.708593884649211</v>
      </c>
      <c r="R30" s="113">
        <f t="shared" si="1"/>
        <v>311.95699999999999</v>
      </c>
      <c r="S30" s="16">
        <f>IF(S29=15800,15800,ROUND((((Q30*60)/'Gearing Calculator'!$C$14)*'Track Data'!P30),-2))</f>
        <v>12800</v>
      </c>
      <c r="T30" s="16">
        <f t="shared" si="4"/>
        <v>3.5834047433191962</v>
      </c>
      <c r="U30" s="16">
        <f>IF(AC30=100,Braking!$AG$2354,IF(AC30=50,Braking!$AG$1179,IF(AC30=75,Braking!$AG$1767,0)))</f>
        <v>0</v>
      </c>
      <c r="V30" s="16">
        <f>0.5*'Gearing Calculator'!$C$15*'Gearing Calculator'!$C$20*'Gearing Calculator'!$W$20*('Track Data'!Q30^2)</f>
        <v>352.47702657389453</v>
      </c>
      <c r="W30" s="16">
        <f>('Gearing Calculator'!$U$9*'Track Data'!T30)+'Track Data'!V30</f>
        <v>1306.3793692454644</v>
      </c>
      <c r="X30" s="16">
        <f>('Gearing Calculator'!$U$9*9.81)*('Gearing Calculator'!$U$16/'Gearing Calculator'!$C$7)-(('Track Data'!W30)*('Gearing Calculator'!$U$17/'Gearing Calculator'!$C$7))</f>
        <v>689.09632623719995</v>
      </c>
      <c r="Y30" s="16">
        <f>('Gearing Calculator'!$U$9*9.81)*(('Gearing Calculator'!$C$7-'Gearing Calculator'!$U$16)/'Gearing Calculator'!$C$7)+(('Track Data'!W30)*('Gearing Calculator'!$U$17/'Gearing Calculator'!$C$7))</f>
        <v>1922.3256737628001</v>
      </c>
      <c r="Z30" s="16">
        <f>((X30*COS('Gearing Calculator'!$C$21))/'Gearing Calculator'!$C$22)/2</f>
        <v>21.304678981258519</v>
      </c>
      <c r="AA30" s="16">
        <f>Y30/'Gearing Calculator'!$C$24</f>
        <v>26.842113974828354</v>
      </c>
      <c r="AB30" s="16">
        <f t="shared" si="2"/>
        <v>373.97745503380969</v>
      </c>
      <c r="AC30" s="16">
        <v>0</v>
      </c>
      <c r="AD30" s="16">
        <v>0</v>
      </c>
      <c r="AE30" s="16">
        <v>27</v>
      </c>
      <c r="AF30" s="16">
        <f>IF(AC30=0,IF(O30=6,INDEX(Acceleration!$V$4:$V$110,MATCH('Track Data'!S30,Acceleration!$K$4:$K$110,0)),IF('Track Data'!O30=5,INDEX(Acceleration!$U$4:$U$110,MATCH('Track Data'!S30,Acceleration!$K$4:$K$110,0)),1)),U30)</f>
        <v>3.5834047433191962</v>
      </c>
      <c r="AG30" s="16">
        <f>IF(AC30=0,IF(O30=4,INDEX(Acceleration!$T$4:$T$110,MATCH('Track Data'!S30,Acceleration!$K$4:$K$110,0)),IF('Track Data'!O30=3,INDEX(Acceleration!$S$4:$S$110,MATCH('Track Data'!S30,Acceleration!$K$4:$K$110,0)),'Track Data'!AF30)),'Track Data'!U30)</f>
        <v>3.5834047433191962</v>
      </c>
      <c r="AH30" s="16">
        <f>IF(AC30=0,IF(O30=2,INDEX(Acceleration!$R$4:$R$110,MATCH('Track Data'!S30,Acceleration!$K$4:$K$110,0)),IF('Track Data'!O30=1,INDEX(Acceleration!$Q$4:$Q$110,MATCH('Track Data'!S30,Acceleration!$K$4:$K$110,0)),'Track Data'!AG30)),'Track Data'!U30)</f>
        <v>3.5834047433191962</v>
      </c>
    </row>
    <row r="31" spans="2:34" x14ac:dyDescent="0.25">
      <c r="B31" s="16">
        <v>196.23599999999999</v>
      </c>
      <c r="C31" s="16">
        <v>7301</v>
      </c>
      <c r="D31" s="16">
        <v>28</v>
      </c>
      <c r="E31" s="113">
        <v>210</v>
      </c>
      <c r="F31" s="113">
        <v>210</v>
      </c>
      <c r="G31" s="113">
        <v>206.6</v>
      </c>
      <c r="H31" s="113">
        <f t="shared" si="3"/>
        <v>57.388888888888886</v>
      </c>
      <c r="I31" s="113">
        <v>6.9</v>
      </c>
      <c r="J31" s="113">
        <v>26.97</v>
      </c>
      <c r="K31" s="113">
        <v>1.8</v>
      </c>
      <c r="L31" s="189"/>
      <c r="M31" s="16">
        <v>28</v>
      </c>
      <c r="N31" s="16">
        <f t="shared" si="5"/>
        <v>1.7309826143255137E-2</v>
      </c>
      <c r="O31" s="16">
        <v>6</v>
      </c>
      <c r="P31" s="16">
        <f t="shared" si="0"/>
        <v>7.3113821138211375</v>
      </c>
      <c r="Q31" s="16">
        <f t="shared" si="6"/>
        <v>57.770655333222692</v>
      </c>
      <c r="R31" s="113">
        <f t="shared" si="1"/>
        <v>311.95699999999999</v>
      </c>
      <c r="S31" s="16">
        <f>IF(S30=15800,15800,ROUND((((Q31*60)/'Gearing Calculator'!$C$14)*'Track Data'!P31),-2))</f>
        <v>12800</v>
      </c>
      <c r="T31" s="16">
        <f t="shared" si="4"/>
        <v>3.5834047433191962</v>
      </c>
      <c r="U31" s="16">
        <f>IF(AC31=100,Braking!$AG$2354,IF(AC31=50,Braking!$AG$1179,IF(AC31=75,Braking!$AG$1767,0)))</f>
        <v>0</v>
      </c>
      <c r="V31" s="16">
        <f>0.5*'Gearing Calculator'!$C$15*'Gearing Calculator'!$C$20*'Gearing Calculator'!$W$20*('Track Data'!Q31^2)</f>
        <v>353.23556168996038</v>
      </c>
      <c r="W31" s="16">
        <f>('Gearing Calculator'!$U$9*'Track Data'!T31)+'Track Data'!V31</f>
        <v>1307.1379043615302</v>
      </c>
      <c r="X31" s="16">
        <f>('Gearing Calculator'!$U$9*9.81)*('Gearing Calculator'!$U$16/'Gearing Calculator'!$C$7)-(('Track Data'!W31)*('Gearing Calculator'!$U$17/'Gearing Calculator'!$C$7))</f>
        <v>688.68287279574929</v>
      </c>
      <c r="Y31" s="16">
        <f>('Gearing Calculator'!$U$9*9.81)*(('Gearing Calculator'!$C$7-'Gearing Calculator'!$U$16)/'Gearing Calculator'!$C$7)+(('Track Data'!W31)*('Gearing Calculator'!$U$17/'Gearing Calculator'!$C$7))</f>
        <v>1922.7391272042507</v>
      </c>
      <c r="Z31" s="16">
        <f>((X31*COS('Gearing Calculator'!$C$21))/'Gearing Calculator'!$C$22)/2</f>
        <v>21.291896308490692</v>
      </c>
      <c r="AA31" s="16">
        <f>Y31/'Gearing Calculator'!$C$24</f>
        <v>26.847887171612943</v>
      </c>
      <c r="AB31" s="16">
        <f t="shared" si="2"/>
        <v>374.73599014987553</v>
      </c>
      <c r="AC31" s="16">
        <v>0</v>
      </c>
      <c r="AD31" s="16">
        <v>0</v>
      </c>
      <c r="AE31" s="16">
        <v>28</v>
      </c>
      <c r="AF31" s="16">
        <f>IF(AC31=0,IF(O31=6,INDEX(Acceleration!$V$4:$V$110,MATCH('Track Data'!S31,Acceleration!$K$4:$K$110,0)),IF('Track Data'!O31=5,INDEX(Acceleration!$U$4:$U$110,MATCH('Track Data'!S31,Acceleration!$K$4:$K$110,0)),1)),U31)</f>
        <v>3.5834047433191962</v>
      </c>
      <c r="AG31" s="16">
        <f>IF(AC31=0,IF(O31=4,INDEX(Acceleration!$T$4:$T$110,MATCH('Track Data'!S31,Acceleration!$K$4:$K$110,0)),IF('Track Data'!O31=3,INDEX(Acceleration!$S$4:$S$110,MATCH('Track Data'!S31,Acceleration!$K$4:$K$110,0)),'Track Data'!AF31)),'Track Data'!U31)</f>
        <v>3.5834047433191962</v>
      </c>
      <c r="AH31" s="16">
        <f>IF(AC31=0,IF(O31=2,INDEX(Acceleration!$R$4:$R$110,MATCH('Track Data'!S31,Acceleration!$K$4:$K$110,0)),IF('Track Data'!O31=1,INDEX(Acceleration!$Q$4:$Q$110,MATCH('Track Data'!S31,Acceleration!$K$4:$K$110,0)),'Track Data'!AG31)),'Track Data'!U31)</f>
        <v>3.5834047433191962</v>
      </c>
    </row>
    <row r="32" spans="2:34" x14ac:dyDescent="0.25">
      <c r="B32" s="16">
        <v>196.25299999999999</v>
      </c>
      <c r="C32" s="16">
        <v>7302</v>
      </c>
      <c r="D32" s="16">
        <v>29</v>
      </c>
      <c r="E32" s="113">
        <v>210</v>
      </c>
      <c r="F32" s="113">
        <v>210.1</v>
      </c>
      <c r="G32" s="113">
        <v>206.7</v>
      </c>
      <c r="H32" s="113">
        <f t="shared" si="3"/>
        <v>57.416666666666664</v>
      </c>
      <c r="I32" s="113">
        <v>6.2</v>
      </c>
      <c r="J32" s="113">
        <v>26.4</v>
      </c>
      <c r="K32" s="113">
        <v>-0.2</v>
      </c>
      <c r="L32" s="189"/>
      <c r="M32" s="16">
        <v>29</v>
      </c>
      <c r="N32" s="16">
        <f t="shared" si="5"/>
        <v>1.7291270533972603E-2</v>
      </c>
      <c r="O32" s="16">
        <v>6</v>
      </c>
      <c r="P32" s="16">
        <f t="shared" si="0"/>
        <v>7.3113821138211375</v>
      </c>
      <c r="Q32" s="16">
        <f t="shared" si="6"/>
        <v>57.832650182372326</v>
      </c>
      <c r="R32" s="113">
        <f t="shared" si="1"/>
        <v>311.95699999999999</v>
      </c>
      <c r="S32" s="16">
        <f>IF(S31=15800,15800,ROUND((((Q32*60)/'Gearing Calculator'!$C$14)*'Track Data'!P32),-2))</f>
        <v>12800</v>
      </c>
      <c r="T32" s="16">
        <f t="shared" si="4"/>
        <v>3.5834047433191962</v>
      </c>
      <c r="U32" s="16">
        <f>IF(AC32=100,Braking!$AG$2354,IF(AC32=50,Braking!$AG$1179,IF(AC32=75,Braking!$AG$1767,0)))</f>
        <v>0</v>
      </c>
      <c r="V32" s="16">
        <f>0.5*'Gearing Calculator'!$C$15*'Gearing Calculator'!$C$20*'Gearing Calculator'!$W$20*('Track Data'!Q32^2)</f>
        <v>353.99409680602616</v>
      </c>
      <c r="W32" s="16">
        <f>('Gearing Calculator'!$U$9*'Track Data'!T32)+'Track Data'!V32</f>
        <v>1307.8964394775962</v>
      </c>
      <c r="X32" s="16">
        <f>('Gearing Calculator'!$U$9*9.81)*('Gearing Calculator'!$U$16/'Gearing Calculator'!$C$7)-(('Track Data'!W32)*('Gearing Calculator'!$U$17/'Gearing Calculator'!$C$7))</f>
        <v>688.26941935429852</v>
      </c>
      <c r="Y32" s="16">
        <f>('Gearing Calculator'!$U$9*9.81)*(('Gearing Calculator'!$C$7-'Gearing Calculator'!$U$16)/'Gearing Calculator'!$C$7)+(('Track Data'!W32)*('Gearing Calculator'!$U$17/'Gearing Calculator'!$C$7))</f>
        <v>1923.1525806457016</v>
      </c>
      <c r="Z32" s="16">
        <f>((X32*COS('Gearing Calculator'!$C$21))/'Gearing Calculator'!$C$22)/2</f>
        <v>21.279113635722858</v>
      </c>
      <c r="AA32" s="16">
        <f>Y32/'Gearing Calculator'!$C$24</f>
        <v>26.853660368397538</v>
      </c>
      <c r="AB32" s="16">
        <f t="shared" si="2"/>
        <v>375.49452526594132</v>
      </c>
      <c r="AC32" s="16">
        <v>0</v>
      </c>
      <c r="AD32" s="16">
        <v>0</v>
      </c>
      <c r="AE32" s="16">
        <v>29</v>
      </c>
      <c r="AF32" s="16">
        <f>IF(AC32=0,IF(O32=6,INDEX(Acceleration!$V$4:$V$110,MATCH('Track Data'!S32,Acceleration!$K$4:$K$110,0)),IF('Track Data'!O32=5,INDEX(Acceleration!$U$4:$U$110,MATCH('Track Data'!S32,Acceleration!$K$4:$K$110,0)),1)),U32)</f>
        <v>3.5834047433191962</v>
      </c>
      <c r="AG32" s="16">
        <f>IF(AC32=0,IF(O32=4,INDEX(Acceleration!$T$4:$T$110,MATCH('Track Data'!S32,Acceleration!$K$4:$K$110,0)),IF('Track Data'!O32=3,INDEX(Acceleration!$S$4:$S$110,MATCH('Track Data'!S32,Acceleration!$K$4:$K$110,0)),'Track Data'!AF32)),'Track Data'!U32)</f>
        <v>3.5834047433191962</v>
      </c>
      <c r="AH32" s="16">
        <f>IF(AC32=0,IF(O32=2,INDEX(Acceleration!$R$4:$R$110,MATCH('Track Data'!S32,Acceleration!$K$4:$K$110,0)),IF('Track Data'!O32=1,INDEX(Acceleration!$Q$4:$Q$110,MATCH('Track Data'!S32,Acceleration!$K$4:$K$110,0)),'Track Data'!AG32)),'Track Data'!U32)</f>
        <v>3.5834047433191962</v>
      </c>
    </row>
    <row r="33" spans="2:43" x14ac:dyDescent="0.25">
      <c r="B33" s="16">
        <v>196.27</v>
      </c>
      <c r="C33" s="16">
        <v>7303</v>
      </c>
      <c r="D33" s="16">
        <v>30</v>
      </c>
      <c r="E33" s="113">
        <v>211</v>
      </c>
      <c r="F33" s="113">
        <v>210.2</v>
      </c>
      <c r="G33" s="113">
        <v>206.8</v>
      </c>
      <c r="H33" s="113">
        <f t="shared" si="3"/>
        <v>57.444444444444443</v>
      </c>
      <c r="I33" s="113">
        <v>5.4</v>
      </c>
      <c r="J33" s="113">
        <v>24.78</v>
      </c>
      <c r="K33" s="113">
        <v>-3.2</v>
      </c>
      <c r="L33" s="189"/>
      <c r="M33" s="16">
        <v>30</v>
      </c>
      <c r="N33" s="16">
        <f t="shared" si="5"/>
        <v>1.7272774470192712E-2</v>
      </c>
      <c r="O33" s="16">
        <v>6</v>
      </c>
      <c r="P33" s="16">
        <f t="shared" si="0"/>
        <v>7.3113821138211375</v>
      </c>
      <c r="Q33" s="16">
        <f t="shared" si="6"/>
        <v>57.894578646046718</v>
      </c>
      <c r="R33" s="113">
        <f t="shared" si="1"/>
        <v>311.95699999999999</v>
      </c>
      <c r="S33" s="16">
        <f>IF(S32=15800,15800,ROUND((((Q33*60)/'Gearing Calculator'!$C$14)*'Track Data'!P33),-2))</f>
        <v>12800</v>
      </c>
      <c r="T33" s="16">
        <f t="shared" si="4"/>
        <v>3.5834047433191962</v>
      </c>
      <c r="U33" s="16">
        <f>IF(AC33=100,Braking!$AG$2354,IF(AC33=50,Braking!$AG$1179,IF(AC33=75,Braking!$AG$1767,0)))</f>
        <v>0</v>
      </c>
      <c r="V33" s="16">
        <f>0.5*'Gearing Calculator'!$C$15*'Gearing Calculator'!$C$20*'Gearing Calculator'!$W$20*('Track Data'!Q33^2)</f>
        <v>354.75263192209206</v>
      </c>
      <c r="W33" s="16">
        <f>('Gearing Calculator'!$U$9*'Track Data'!T33)+'Track Data'!V33</f>
        <v>1308.654974593662</v>
      </c>
      <c r="X33" s="16">
        <f>('Gearing Calculator'!$U$9*9.81)*('Gearing Calculator'!$U$16/'Gearing Calculator'!$C$7)-(('Track Data'!W33)*('Gearing Calculator'!$U$17/'Gearing Calculator'!$C$7))</f>
        <v>687.85596591284786</v>
      </c>
      <c r="Y33" s="16">
        <f>('Gearing Calculator'!$U$9*9.81)*(('Gearing Calculator'!$C$7-'Gearing Calculator'!$U$16)/'Gearing Calculator'!$C$7)+(('Track Data'!W33)*('Gearing Calculator'!$U$17/'Gearing Calculator'!$C$7))</f>
        <v>1923.5660340871523</v>
      </c>
      <c r="Z33" s="16">
        <f>((X33*COS('Gearing Calculator'!$C$21))/'Gearing Calculator'!$C$22)/2</f>
        <v>21.266330962955031</v>
      </c>
      <c r="AA33" s="16">
        <f>Y33/'Gearing Calculator'!$C$24</f>
        <v>26.85943356518213</v>
      </c>
      <c r="AB33" s="16">
        <f t="shared" si="2"/>
        <v>376.25306038200722</v>
      </c>
      <c r="AC33" s="16">
        <v>0</v>
      </c>
      <c r="AD33" s="16">
        <v>0</v>
      </c>
      <c r="AE33" s="16">
        <v>30</v>
      </c>
      <c r="AF33" s="16">
        <f>IF(AC33=0,IF(O33=6,INDEX(Acceleration!$V$4:$V$110,MATCH('Track Data'!S33,Acceleration!$K$4:$K$110,0)),IF('Track Data'!O33=5,INDEX(Acceleration!$U$4:$U$110,MATCH('Track Data'!S33,Acceleration!$K$4:$K$110,0)),1)),U33)</f>
        <v>3.5834047433191962</v>
      </c>
      <c r="AG33" s="16">
        <f>IF(AC33=0,IF(O33=4,INDEX(Acceleration!$T$4:$T$110,MATCH('Track Data'!S33,Acceleration!$K$4:$K$110,0)),IF('Track Data'!O33=3,INDEX(Acceleration!$S$4:$S$110,MATCH('Track Data'!S33,Acceleration!$K$4:$K$110,0)),'Track Data'!AF33)),'Track Data'!U33)</f>
        <v>3.5834047433191962</v>
      </c>
      <c r="AH33" s="16">
        <f>IF(AC33=0,IF(O33=2,INDEX(Acceleration!$R$4:$R$110,MATCH('Track Data'!S33,Acceleration!$K$4:$K$110,0)),IF('Track Data'!O33=1,INDEX(Acceleration!$Q$4:$Q$110,MATCH('Track Data'!S33,Acceleration!$K$4:$K$110,0)),'Track Data'!AG33)),'Track Data'!U33)</f>
        <v>3.5834047433191962</v>
      </c>
    </row>
    <row r="34" spans="2:43" x14ac:dyDescent="0.25">
      <c r="B34" s="16">
        <v>196.28700000000001</v>
      </c>
      <c r="C34" s="16">
        <v>7304</v>
      </c>
      <c r="D34" s="16">
        <v>31</v>
      </c>
      <c r="E34" s="113">
        <v>211</v>
      </c>
      <c r="F34" s="113">
        <v>210.2</v>
      </c>
      <c r="G34" s="113">
        <v>206.9</v>
      </c>
      <c r="H34" s="113">
        <f t="shared" si="3"/>
        <v>57.472222222222221</v>
      </c>
      <c r="I34" s="113">
        <v>4.8</v>
      </c>
      <c r="J34" s="113">
        <v>24.63</v>
      </c>
      <c r="K34" s="113">
        <v>-4.7</v>
      </c>
      <c r="L34" s="189"/>
      <c r="M34" s="16">
        <v>31</v>
      </c>
      <c r="N34" s="16">
        <f t="shared" si="5"/>
        <v>1.7254337634123124E-2</v>
      </c>
      <c r="O34" s="16">
        <v>6</v>
      </c>
      <c r="P34" s="16">
        <f t="shared" si="0"/>
        <v>7.3113821138211375</v>
      </c>
      <c r="Q34" s="16">
        <f t="shared" si="6"/>
        <v>57.956440937051397</v>
      </c>
      <c r="R34" s="113">
        <f t="shared" si="1"/>
        <v>311.95699999999999</v>
      </c>
      <c r="S34" s="16">
        <f>IF(S33=15800,15800,ROUND((((Q34*60)/'Gearing Calculator'!$C$14)*'Track Data'!P34),-2))</f>
        <v>12800</v>
      </c>
      <c r="T34" s="16">
        <f t="shared" si="4"/>
        <v>3.5834047433191962</v>
      </c>
      <c r="U34" s="16">
        <f>IF(AC34=100,Braking!$AG$2354,IF(AC34=50,Braking!$AG$1179,IF(AC34=75,Braking!$AG$1767,0)))</f>
        <v>0</v>
      </c>
      <c r="V34" s="16">
        <f>0.5*'Gearing Calculator'!$C$15*'Gearing Calculator'!$C$20*'Gearing Calculator'!$W$20*('Track Data'!Q34^2)</f>
        <v>355.51116703815785</v>
      </c>
      <c r="W34" s="16">
        <f>('Gearing Calculator'!$U$9*'Track Data'!T34)+'Track Data'!V34</f>
        <v>1309.4135097097278</v>
      </c>
      <c r="X34" s="16">
        <f>('Gearing Calculator'!$U$9*9.81)*('Gearing Calculator'!$U$16/'Gearing Calculator'!$C$7)-(('Track Data'!W34)*('Gearing Calculator'!$U$17/'Gearing Calculator'!$C$7))</f>
        <v>687.44251247139721</v>
      </c>
      <c r="Y34" s="16">
        <f>('Gearing Calculator'!$U$9*9.81)*(('Gearing Calculator'!$C$7-'Gearing Calculator'!$U$16)/'Gearing Calculator'!$C$7)+(('Track Data'!W34)*('Gearing Calculator'!$U$17/'Gearing Calculator'!$C$7))</f>
        <v>1923.9794875286029</v>
      </c>
      <c r="Z34" s="16">
        <f>((X34*COS('Gearing Calculator'!$C$21))/'Gearing Calculator'!$C$22)/2</f>
        <v>21.253548290187201</v>
      </c>
      <c r="AA34" s="16">
        <f>Y34/'Gearing Calculator'!$C$24</f>
        <v>26.865206761966718</v>
      </c>
      <c r="AB34" s="16">
        <f t="shared" si="2"/>
        <v>377.01159549807301</v>
      </c>
      <c r="AC34" s="16">
        <v>0</v>
      </c>
      <c r="AD34" s="16">
        <v>0</v>
      </c>
      <c r="AE34" s="16">
        <v>31</v>
      </c>
      <c r="AF34" s="16">
        <f>IF(AC34=0,IF(O34=6,INDEX(Acceleration!$V$4:$V$110,MATCH('Track Data'!S34,Acceleration!$K$4:$K$110,0)),IF('Track Data'!O34=5,INDEX(Acceleration!$U$4:$U$110,MATCH('Track Data'!S34,Acceleration!$K$4:$K$110,0)),1)),U34)</f>
        <v>3.5834047433191962</v>
      </c>
      <c r="AG34" s="16">
        <f>IF(AC34=0,IF(O34=4,INDEX(Acceleration!$T$4:$T$110,MATCH('Track Data'!S34,Acceleration!$K$4:$K$110,0)),IF('Track Data'!O34=3,INDEX(Acceleration!$S$4:$S$110,MATCH('Track Data'!S34,Acceleration!$K$4:$K$110,0)),'Track Data'!AF34)),'Track Data'!U34)</f>
        <v>3.5834047433191962</v>
      </c>
      <c r="AH34" s="16">
        <f>IF(AC34=0,IF(O34=2,INDEX(Acceleration!$R$4:$R$110,MATCH('Track Data'!S34,Acceleration!$K$4:$K$110,0)),IF('Track Data'!O34=1,INDEX(Acceleration!$Q$4:$Q$110,MATCH('Track Data'!S34,Acceleration!$K$4:$K$110,0)),'Track Data'!AG34)),'Track Data'!U34)</f>
        <v>3.5834047433191962</v>
      </c>
    </row>
    <row r="35" spans="2:43" ht="15.75" thickBot="1" x14ac:dyDescent="0.3">
      <c r="B35" s="16">
        <v>196.304</v>
      </c>
      <c r="C35" s="16">
        <v>7305</v>
      </c>
      <c r="D35" s="16">
        <v>32</v>
      </c>
      <c r="E35" s="113">
        <v>211</v>
      </c>
      <c r="F35" s="113">
        <v>209.8</v>
      </c>
      <c r="G35" s="113">
        <v>207</v>
      </c>
      <c r="H35" s="113">
        <f t="shared" si="3"/>
        <v>57.5</v>
      </c>
      <c r="I35" s="113">
        <v>4.2</v>
      </c>
      <c r="J35" s="113">
        <v>22.48</v>
      </c>
      <c r="K35" s="113">
        <v>-7.6</v>
      </c>
      <c r="L35" s="189"/>
      <c r="M35" s="16">
        <v>32</v>
      </c>
      <c r="N35" s="16">
        <f t="shared" si="5"/>
        <v>1.7235959710340903E-2</v>
      </c>
      <c r="O35" s="16">
        <v>6</v>
      </c>
      <c r="P35" s="16">
        <f t="shared" si="0"/>
        <v>7.3113821138211375</v>
      </c>
      <c r="Q35" s="16">
        <f t="shared" si="6"/>
        <v>58.01823726705738</v>
      </c>
      <c r="R35" s="113">
        <f t="shared" si="1"/>
        <v>311.95699999999999</v>
      </c>
      <c r="S35" s="16">
        <f>IF(S34=15800,15800,ROUND((((Q35*60)/'Gearing Calculator'!$C$14)*'Track Data'!P35),-2))</f>
        <v>12900</v>
      </c>
      <c r="T35" s="16">
        <f t="shared" si="4"/>
        <v>3.5549955703598606</v>
      </c>
      <c r="U35" s="16">
        <f>IF(AC35=100,Braking!$AG$2354,IF(AC35=50,Braking!$AG$1179,IF(AC35=75,Braking!$AG$1767,0)))</f>
        <v>0</v>
      </c>
      <c r="V35" s="16">
        <f>0.5*'Gearing Calculator'!$C$15*'Gearing Calculator'!$C$20*'Gearing Calculator'!$W$20*('Track Data'!Q35^2)</f>
        <v>356.26970215422369</v>
      </c>
      <c r="W35" s="16">
        <f>('Gearing Calculator'!$U$9*'Track Data'!T35)+'Track Data'!V35</f>
        <v>1302.6095229840184</v>
      </c>
      <c r="X35" s="16">
        <f>('Gearing Calculator'!$U$9*9.81)*('Gearing Calculator'!$U$16/'Gearing Calculator'!$C$7)-(('Track Data'!W35)*('Gearing Calculator'!$U$17/'Gearing Calculator'!$C$7))</f>
        <v>691.15114990656252</v>
      </c>
      <c r="Y35" s="16">
        <f>('Gearing Calculator'!$U$9*9.81)*(('Gearing Calculator'!$C$7-'Gearing Calculator'!$U$16)/'Gearing Calculator'!$C$7)+(('Track Data'!W35)*('Gearing Calculator'!$U$17/'Gearing Calculator'!$C$7))</f>
        <v>1920.2708500934375</v>
      </c>
      <c r="Z35" s="16">
        <f>((X35*COS('Gearing Calculator'!$C$21))/'Gearing Calculator'!$C$22)/2</f>
        <v>21.36820763026164</v>
      </c>
      <c r="AA35" s="16">
        <f>Y35/'Gearing Calculator'!$C$24</f>
        <v>26.813421744430556</v>
      </c>
      <c r="AB35" s="16">
        <f t="shared" si="2"/>
        <v>377.59967557638288</v>
      </c>
      <c r="AC35" s="16">
        <v>0</v>
      </c>
      <c r="AD35" s="16">
        <v>0</v>
      </c>
      <c r="AE35" s="16">
        <v>32</v>
      </c>
      <c r="AF35" s="16">
        <f>IF(AC35=0,IF(O35=6,INDEX(Acceleration!$V$4:$V$110,MATCH('Track Data'!S35,Acceleration!$K$4:$K$110,0)),IF('Track Data'!O35=5,INDEX(Acceleration!$U$4:$U$110,MATCH('Track Data'!S35,Acceleration!$K$4:$K$110,0)),1)),U35)</f>
        <v>3.5549955703598606</v>
      </c>
      <c r="AG35" s="16">
        <f>IF(AC35=0,IF(O35=4,INDEX(Acceleration!$T$4:$T$110,MATCH('Track Data'!S35,Acceleration!$K$4:$K$110,0)),IF('Track Data'!O35=3,INDEX(Acceleration!$S$4:$S$110,MATCH('Track Data'!S35,Acceleration!$K$4:$K$110,0)),'Track Data'!AF35)),'Track Data'!U35)</f>
        <v>3.5549955703598606</v>
      </c>
      <c r="AH35" s="16">
        <f>IF(AC35=0,IF(O35=2,INDEX(Acceleration!$R$4:$R$110,MATCH('Track Data'!S35,Acceleration!$K$4:$K$110,0)),IF('Track Data'!O35=1,INDEX(Acceleration!$Q$4:$Q$110,MATCH('Track Data'!S35,Acceleration!$K$4:$K$110,0)),'Track Data'!AG35)),'Track Data'!U35)</f>
        <v>3.5549955703598606</v>
      </c>
    </row>
    <row r="36" spans="2:43" ht="15.75" thickBot="1" x14ac:dyDescent="0.3">
      <c r="B36" s="16">
        <v>196.321</v>
      </c>
      <c r="C36" s="16">
        <v>7307</v>
      </c>
      <c r="D36" s="16">
        <v>33</v>
      </c>
      <c r="E36" s="113">
        <v>211</v>
      </c>
      <c r="F36" s="113">
        <v>209.7</v>
      </c>
      <c r="G36" s="113">
        <v>207.1</v>
      </c>
      <c r="H36" s="113">
        <f t="shared" si="3"/>
        <v>57.527777777777771</v>
      </c>
      <c r="I36" s="113">
        <v>4.2</v>
      </c>
      <c r="J36" s="113">
        <v>20.2</v>
      </c>
      <c r="K36" s="113">
        <v>-9.1</v>
      </c>
      <c r="L36" s="189"/>
      <c r="M36" s="16">
        <v>33</v>
      </c>
      <c r="N36" s="16">
        <f t="shared" si="5"/>
        <v>1.7217785391436882E-2</v>
      </c>
      <c r="O36" s="16">
        <v>6</v>
      </c>
      <c r="P36" s="16">
        <f t="shared" si="0"/>
        <v>7.3113821138211375</v>
      </c>
      <c r="Q36" s="16">
        <f t="shared" si="6"/>
        <v>58.079478705626187</v>
      </c>
      <c r="R36" s="113">
        <f t="shared" si="1"/>
        <v>311.95699999999999</v>
      </c>
      <c r="S36" s="16">
        <f>IF(S35=15800,15800,ROUND((((Q36*60)/'Gearing Calculator'!$C$14)*'Track Data'!P36),-2))</f>
        <v>12900</v>
      </c>
      <c r="T36" s="16">
        <f t="shared" si="4"/>
        <v>3.5549955703598606</v>
      </c>
      <c r="U36" s="16">
        <f>IF(AC36=100,Braking!$AG$2354,IF(AC36=50,Braking!$AG$1179,IF(AC36=75,Braking!$AG$1767,0)))</f>
        <v>0</v>
      </c>
      <c r="V36" s="16">
        <f>0.5*'Gearing Calculator'!$C$15*'Gearing Calculator'!$C$20*'Gearing Calculator'!$W$20*('Track Data'!Q36^2)</f>
        <v>357.02222361655748</v>
      </c>
      <c r="W36" s="16">
        <f>('Gearing Calculator'!$U$9*'Track Data'!T36)+'Track Data'!V36</f>
        <v>1303.3620444463522</v>
      </c>
      <c r="X36" s="16">
        <f>('Gearing Calculator'!$U$9*9.81)*('Gearing Calculator'!$U$16/'Gearing Calculator'!$C$7)-(('Track Data'!W36)*('Gearing Calculator'!$U$17/'Gearing Calculator'!$C$7))</f>
        <v>690.74097431709072</v>
      </c>
      <c r="Y36" s="16">
        <f>('Gearing Calculator'!$U$9*9.81)*(('Gearing Calculator'!$C$7-'Gearing Calculator'!$U$16)/'Gearing Calculator'!$C$7)+(('Track Data'!W36)*('Gearing Calculator'!$U$17/'Gearing Calculator'!$C$7))</f>
        <v>1920.6810256829094</v>
      </c>
      <c r="Z36" s="16">
        <f>((X36*COS('Gearing Calculator'!$C$21))/'Gearing Calculator'!$C$22)/2</f>
        <v>21.355526298310032</v>
      </c>
      <c r="AA36" s="16">
        <f>Y36/'Gearing Calculator'!$C$24</f>
        <v>26.819149171407457</v>
      </c>
      <c r="AB36" s="16">
        <f t="shared" si="2"/>
        <v>378.35219703871667</v>
      </c>
      <c r="AC36" s="16">
        <v>0</v>
      </c>
      <c r="AD36" s="16">
        <v>0</v>
      </c>
      <c r="AE36" s="16">
        <v>33</v>
      </c>
      <c r="AF36" s="16">
        <f>IF(AC36=0,IF(O36=6,INDEX(Acceleration!$V$4:$V$110,MATCH('Track Data'!S36,Acceleration!$K$4:$K$110,0)),IF('Track Data'!O36=5,INDEX(Acceleration!$U$4:$U$110,MATCH('Track Data'!S36,Acceleration!$K$4:$K$110,0)),1)),U36)</f>
        <v>3.5549955703598606</v>
      </c>
      <c r="AG36" s="16">
        <f>IF(AC36=0,IF(O36=4,INDEX(Acceleration!$T$4:$T$110,MATCH('Track Data'!S36,Acceleration!$K$4:$K$110,0)),IF('Track Data'!O36=3,INDEX(Acceleration!$S$4:$S$110,MATCH('Track Data'!S36,Acceleration!$K$4:$K$110,0)),'Track Data'!AF36)),'Track Data'!U36)</f>
        <v>3.5549955703598606</v>
      </c>
      <c r="AH36" s="16">
        <f>IF(AC36=0,IF(O36=2,INDEX(Acceleration!$R$4:$R$110,MATCH('Track Data'!S36,Acceleration!$K$4:$K$110,0)),IF('Track Data'!O36=1,INDEX(Acceleration!$Q$4:$Q$110,MATCH('Track Data'!S36,Acceleration!$K$4:$K$110,0)),'Track Data'!AG36)),'Track Data'!U36)</f>
        <v>3.5549955703598606</v>
      </c>
      <c r="AJ36" s="179" t="s">
        <v>235</v>
      </c>
      <c r="AK36" s="180"/>
      <c r="AL36" s="180"/>
      <c r="AM36" s="180"/>
      <c r="AN36" s="180"/>
      <c r="AO36" s="180"/>
      <c r="AP36" s="180"/>
      <c r="AQ36" s="181"/>
    </row>
    <row r="37" spans="2:43" x14ac:dyDescent="0.25">
      <c r="B37" s="16">
        <v>196.33799999999999</v>
      </c>
      <c r="C37" s="16">
        <v>7307</v>
      </c>
      <c r="D37" s="16">
        <v>34</v>
      </c>
      <c r="E37" s="113">
        <v>211</v>
      </c>
      <c r="F37" s="113">
        <v>210</v>
      </c>
      <c r="G37" s="113">
        <v>207.2</v>
      </c>
      <c r="H37" s="113">
        <f t="shared" si="3"/>
        <v>57.55555555555555</v>
      </c>
      <c r="I37" s="113">
        <v>4.4000000000000004</v>
      </c>
      <c r="J37" s="113">
        <v>17.899999999999999</v>
      </c>
      <c r="K37" s="113">
        <v>-6.5</v>
      </c>
      <c r="L37" s="189"/>
      <c r="M37" s="16">
        <v>34</v>
      </c>
      <c r="N37" s="16">
        <f t="shared" si="5"/>
        <v>1.7199668442848735E-2</v>
      </c>
      <c r="O37" s="16">
        <v>6</v>
      </c>
      <c r="P37" s="16">
        <f t="shared" si="0"/>
        <v>7.3113821138211375</v>
      </c>
      <c r="Q37" s="16">
        <f t="shared" si="6"/>
        <v>58.140655636636957</v>
      </c>
      <c r="R37" s="113">
        <f t="shared" si="1"/>
        <v>311.95699999999999</v>
      </c>
      <c r="S37" s="16">
        <f>IF(S36=15800,15800,ROUND((((Q37*60)/'Gearing Calculator'!$C$14)*'Track Data'!P37),-2))</f>
        <v>12900</v>
      </c>
      <c r="T37" s="16">
        <f t="shared" si="4"/>
        <v>3.5549955703598606</v>
      </c>
      <c r="U37" s="16">
        <f>IF(AC37=100,Braking!$AG$2354,IF(AC37=50,Braking!$AG$1179,IF(AC37=75,Braking!$AG$1767,0)))</f>
        <v>0</v>
      </c>
      <c r="V37" s="16">
        <f>0.5*'Gearing Calculator'!$C$15*'Gearing Calculator'!$C$20*'Gearing Calculator'!$W$20*('Track Data'!Q37^2)</f>
        <v>357.77474507889116</v>
      </c>
      <c r="W37" s="16">
        <f>('Gearing Calculator'!$U$9*'Track Data'!T37)+'Track Data'!V37</f>
        <v>1304.114565908686</v>
      </c>
      <c r="X37" s="16">
        <f>('Gearing Calculator'!$U$9*9.81)*('Gearing Calculator'!$U$16/'Gearing Calculator'!$C$7)-(('Track Data'!W37)*('Gearing Calculator'!$U$17/'Gearing Calculator'!$C$7))</f>
        <v>690.3307987276188</v>
      </c>
      <c r="Y37" s="16">
        <f>('Gearing Calculator'!$U$9*9.81)*(('Gearing Calculator'!$C$7-'Gearing Calculator'!$U$16)/'Gearing Calculator'!$C$7)+(('Track Data'!W37)*('Gearing Calculator'!$U$17/'Gearing Calculator'!$C$7))</f>
        <v>1921.0912012723811</v>
      </c>
      <c r="Z37" s="16">
        <f>((X37*COS('Gearing Calculator'!$C$21))/'Gearing Calculator'!$C$22)/2</f>
        <v>21.342844966358424</v>
      </c>
      <c r="AA37" s="16">
        <f>Y37/'Gearing Calculator'!$C$24</f>
        <v>26.824876598384353</v>
      </c>
      <c r="AB37" s="16">
        <f t="shared" si="2"/>
        <v>379.10471850105034</v>
      </c>
      <c r="AC37" s="16">
        <v>0</v>
      </c>
      <c r="AD37" s="16">
        <v>0</v>
      </c>
      <c r="AE37" s="16">
        <v>34</v>
      </c>
      <c r="AF37" s="16">
        <f>IF(AC37=0,IF(O37=6,INDEX(Acceleration!$V$4:$V$110,MATCH('Track Data'!S37,Acceleration!$K$4:$K$110,0)),IF('Track Data'!O37=5,INDEX(Acceleration!$U$4:$U$110,MATCH('Track Data'!S37,Acceleration!$K$4:$K$110,0)),1)),U37)</f>
        <v>3.5549955703598606</v>
      </c>
      <c r="AG37" s="16">
        <f>IF(AC37=0,IF(O37=4,INDEX(Acceleration!$T$4:$T$110,MATCH('Track Data'!S37,Acceleration!$K$4:$K$110,0)),IF('Track Data'!O37=3,INDEX(Acceleration!$S$4:$S$110,MATCH('Track Data'!S37,Acceleration!$K$4:$K$110,0)),'Track Data'!AF37)),'Track Data'!U37)</f>
        <v>3.5549955703598606</v>
      </c>
      <c r="AH37" s="16">
        <f>IF(AC37=0,IF(O37=2,INDEX(Acceleration!$R$4:$R$110,MATCH('Track Data'!S37,Acceleration!$K$4:$K$110,0)),IF('Track Data'!O37=1,INDEX(Acceleration!$Q$4:$Q$110,MATCH('Track Data'!S37,Acceleration!$K$4:$K$110,0)),'Track Data'!AG37)),'Track Data'!U37)</f>
        <v>3.5549955703598606</v>
      </c>
      <c r="AJ37" s="187" t="s">
        <v>223</v>
      </c>
      <c r="AK37" s="126" t="s">
        <v>225</v>
      </c>
      <c r="AL37" s="126" t="s">
        <v>226</v>
      </c>
      <c r="AM37" s="126" t="s">
        <v>227</v>
      </c>
      <c r="AN37" s="126" t="s">
        <v>231</v>
      </c>
      <c r="AO37" s="127" t="s">
        <v>229</v>
      </c>
      <c r="AP37" s="127" t="s">
        <v>230</v>
      </c>
      <c r="AQ37" s="126" t="s">
        <v>228</v>
      </c>
    </row>
    <row r="38" spans="2:43" ht="15.75" thickBot="1" x14ac:dyDescent="0.3">
      <c r="B38" s="16">
        <v>196.35599999999999</v>
      </c>
      <c r="C38" s="16">
        <v>7308</v>
      </c>
      <c r="D38" s="16">
        <v>35</v>
      </c>
      <c r="E38" s="113">
        <v>212</v>
      </c>
      <c r="F38" s="113">
        <v>210.6</v>
      </c>
      <c r="G38" s="113">
        <v>207.3</v>
      </c>
      <c r="H38" s="113">
        <f t="shared" si="3"/>
        <v>57.583333333333336</v>
      </c>
      <c r="I38" s="113">
        <v>4.5</v>
      </c>
      <c r="J38" s="113">
        <v>15.99</v>
      </c>
      <c r="K38" s="113">
        <v>-1.3</v>
      </c>
      <c r="L38" s="189"/>
      <c r="M38" s="16">
        <v>35</v>
      </c>
      <c r="N38" s="16">
        <f t="shared" si="5"/>
        <v>1.718160856337839E-2</v>
      </c>
      <c r="O38" s="16">
        <v>6</v>
      </c>
      <c r="P38" s="16">
        <f t="shared" si="0"/>
        <v>7.3113821138211375</v>
      </c>
      <c r="Q38" s="16">
        <f t="shared" si="6"/>
        <v>58.201768263504881</v>
      </c>
      <c r="R38" s="113">
        <f t="shared" si="1"/>
        <v>311.95699999999999</v>
      </c>
      <c r="S38" s="16">
        <f>IF(S37=15800,15800,ROUND((((Q38*60)/'Gearing Calculator'!$C$14)*'Track Data'!P38),-2))</f>
        <v>12900</v>
      </c>
      <c r="T38" s="16">
        <f t="shared" si="4"/>
        <v>3.5549955703598606</v>
      </c>
      <c r="U38" s="16">
        <f>IF(AC38=100,Braking!$AG$2354,IF(AC38=50,Braking!$AG$1179,IF(AC38=75,Braking!$AG$1767,0)))</f>
        <v>0</v>
      </c>
      <c r="V38" s="16">
        <f>0.5*'Gearing Calculator'!$C$15*'Gearing Calculator'!$C$20*'Gearing Calculator'!$W$20*('Track Data'!Q38^2)</f>
        <v>358.52726654122495</v>
      </c>
      <c r="W38" s="16">
        <f>('Gearing Calculator'!$U$9*'Track Data'!T38)+'Track Data'!V38</f>
        <v>1304.8670873710198</v>
      </c>
      <c r="X38" s="16">
        <f>('Gearing Calculator'!$U$9*9.81)*('Gearing Calculator'!$U$16/'Gearing Calculator'!$C$7)-(('Track Data'!W38)*('Gearing Calculator'!$U$17/'Gearing Calculator'!$C$7))</f>
        <v>689.92062313814699</v>
      </c>
      <c r="Y38" s="16">
        <f>('Gearing Calculator'!$U$9*9.81)*(('Gearing Calculator'!$C$7-'Gearing Calculator'!$U$16)/'Gearing Calculator'!$C$7)+(('Track Data'!W38)*('Gearing Calculator'!$U$17/'Gearing Calculator'!$C$7))</f>
        <v>1921.501376861853</v>
      </c>
      <c r="Z38" s="16">
        <f>((X38*COS('Gearing Calculator'!$C$21))/'Gearing Calculator'!$C$22)/2</f>
        <v>21.330163634406819</v>
      </c>
      <c r="AA38" s="16">
        <f>Y38/'Gearing Calculator'!$C$24</f>
        <v>26.830604025361254</v>
      </c>
      <c r="AB38" s="16">
        <f t="shared" si="2"/>
        <v>379.85723996338413</v>
      </c>
      <c r="AC38" s="16">
        <v>0</v>
      </c>
      <c r="AD38" s="16">
        <v>0</v>
      </c>
      <c r="AE38" s="16">
        <v>35</v>
      </c>
      <c r="AF38" s="16">
        <f>IF(AC38=0,IF(O38=6,INDEX(Acceleration!$V$4:$V$110,MATCH('Track Data'!S38,Acceleration!$K$4:$K$110,0)),IF('Track Data'!O38=5,INDEX(Acceleration!$U$4:$U$110,MATCH('Track Data'!S38,Acceleration!$K$4:$K$110,0)),1)),U38)</f>
        <v>3.5549955703598606</v>
      </c>
      <c r="AG38" s="16">
        <f>IF(AC38=0,IF(O38=4,INDEX(Acceleration!$T$4:$T$110,MATCH('Track Data'!S38,Acceleration!$K$4:$K$110,0)),IF('Track Data'!O38=3,INDEX(Acceleration!$S$4:$S$110,MATCH('Track Data'!S38,Acceleration!$K$4:$K$110,0)),'Track Data'!AF38)),'Track Data'!U38)</f>
        <v>3.5549955703598606</v>
      </c>
      <c r="AH38" s="16">
        <f>IF(AC38=0,IF(O38=2,INDEX(Acceleration!$R$4:$R$110,MATCH('Track Data'!S38,Acceleration!$K$4:$K$110,0)),IF('Track Data'!O38=1,INDEX(Acceleration!$Q$4:$Q$110,MATCH('Track Data'!S38,Acceleration!$K$4:$K$110,0)),'Track Data'!AG38)),'Track Data'!U38)</f>
        <v>3.5549955703598606</v>
      </c>
      <c r="AJ38" s="168"/>
      <c r="AK38" s="128" t="s">
        <v>27</v>
      </c>
      <c r="AL38" s="128" t="s">
        <v>27</v>
      </c>
      <c r="AM38" s="128" t="s">
        <v>27</v>
      </c>
      <c r="AN38" s="128" t="s">
        <v>181</v>
      </c>
      <c r="AO38" s="128" t="s">
        <v>224</v>
      </c>
      <c r="AP38" s="128" t="s">
        <v>224</v>
      </c>
      <c r="AQ38" s="128" t="s">
        <v>96</v>
      </c>
    </row>
    <row r="39" spans="2:43" x14ac:dyDescent="0.25">
      <c r="B39" s="16">
        <v>196.37299999999999</v>
      </c>
      <c r="C39" s="16">
        <v>7309</v>
      </c>
      <c r="D39" s="16">
        <v>36</v>
      </c>
      <c r="E39" s="113">
        <v>212</v>
      </c>
      <c r="F39" s="113">
        <v>211</v>
      </c>
      <c r="G39" s="113">
        <v>207.4</v>
      </c>
      <c r="H39" s="113">
        <f t="shared" si="3"/>
        <v>57.611111111111114</v>
      </c>
      <c r="I39" s="113">
        <v>3.6</v>
      </c>
      <c r="J39" s="113">
        <v>16.13</v>
      </c>
      <c r="K39" s="113">
        <v>3.9</v>
      </c>
      <c r="L39" s="189"/>
      <c r="M39" s="16">
        <v>36</v>
      </c>
      <c r="N39" s="16">
        <f t="shared" si="5"/>
        <v>1.7163605454036977E-2</v>
      </c>
      <c r="O39" s="16">
        <v>6</v>
      </c>
      <c r="P39" s="16">
        <f t="shared" si="0"/>
        <v>7.3113821138211375</v>
      </c>
      <c r="Q39" s="16">
        <f t="shared" si="6"/>
        <v>58.26281678857832</v>
      </c>
      <c r="R39" s="113">
        <f t="shared" si="1"/>
        <v>311.95699999999999</v>
      </c>
      <c r="S39" s="16">
        <f>IF(S38=15800,15800,ROUND((((Q39*60)/'Gearing Calculator'!$C$14)*'Track Data'!P39),-2))</f>
        <v>12900</v>
      </c>
      <c r="T39" s="16">
        <f t="shared" si="4"/>
        <v>3.5549955703598606</v>
      </c>
      <c r="U39" s="16">
        <f>IF(AC39=100,Braking!$AG$2354,IF(AC39=50,Braking!$AG$1179,IF(AC39=75,Braking!$AG$1767,0)))</f>
        <v>0</v>
      </c>
      <c r="V39" s="16">
        <f>0.5*'Gearing Calculator'!$C$15*'Gearing Calculator'!$C$20*'Gearing Calculator'!$W$20*('Track Data'!Q39^2)</f>
        <v>359.27978800355868</v>
      </c>
      <c r="W39" s="16">
        <f>('Gearing Calculator'!$U$9*'Track Data'!T39)+'Track Data'!V39</f>
        <v>1305.6196088333536</v>
      </c>
      <c r="X39" s="16">
        <f>('Gearing Calculator'!$U$9*9.81)*('Gearing Calculator'!$U$16/'Gearing Calculator'!$C$7)-(('Track Data'!W39)*('Gearing Calculator'!$U$17/'Gearing Calculator'!$C$7))</f>
        <v>689.51044754867519</v>
      </c>
      <c r="Y39" s="16">
        <f>('Gearing Calculator'!$U$9*9.81)*(('Gearing Calculator'!$C$7-'Gearing Calculator'!$U$16)/'Gearing Calculator'!$C$7)+(('Track Data'!W39)*('Gearing Calculator'!$U$17/'Gearing Calculator'!$C$7))</f>
        <v>1921.911552451325</v>
      </c>
      <c r="Z39" s="16">
        <f>((X39*COS('Gearing Calculator'!$C$21))/'Gearing Calculator'!$C$22)/2</f>
        <v>21.317482302455215</v>
      </c>
      <c r="AA39" s="16">
        <f>Y39/'Gearing Calculator'!$C$24</f>
        <v>26.836331452338154</v>
      </c>
      <c r="AB39" s="16">
        <f t="shared" si="2"/>
        <v>380.60976142571786</v>
      </c>
      <c r="AC39" s="16">
        <v>0</v>
      </c>
      <c r="AD39" s="16">
        <v>0</v>
      </c>
      <c r="AE39" s="16">
        <v>36</v>
      </c>
      <c r="AF39" s="16">
        <f>IF(AC39=0,IF(O39=6,INDEX(Acceleration!$V$4:$V$110,MATCH('Track Data'!S39,Acceleration!$K$4:$K$110,0)),IF('Track Data'!O39=5,INDEX(Acceleration!$U$4:$U$110,MATCH('Track Data'!S39,Acceleration!$K$4:$K$110,0)),1)),U39)</f>
        <v>3.5549955703598606</v>
      </c>
      <c r="AG39" s="16">
        <f>IF(AC39=0,IF(O39=4,INDEX(Acceleration!$T$4:$T$110,MATCH('Track Data'!S39,Acceleration!$K$4:$K$110,0)),IF('Track Data'!O39=3,INDEX(Acceleration!$S$4:$S$110,MATCH('Track Data'!S39,Acceleration!$K$4:$K$110,0)),'Track Data'!AF39)),'Track Data'!U39)</f>
        <v>3.5549955703598606</v>
      </c>
      <c r="AH39" s="16">
        <f>IF(AC39=0,IF(O39=2,INDEX(Acceleration!$R$4:$R$110,MATCH('Track Data'!S39,Acceleration!$K$4:$K$110,0)),IF('Track Data'!O39=1,INDEX(Acceleration!$Q$4:$Q$110,MATCH('Track Data'!S39,Acceleration!$K$4:$K$110,0)),'Track Data'!AG39)),'Track Data'!U39)</f>
        <v>3.5549955703598606</v>
      </c>
      <c r="AJ39" s="126">
        <v>1</v>
      </c>
      <c r="AK39" s="21">
        <v>21.31</v>
      </c>
      <c r="AL39" s="22">
        <f>PI()*AK39*2</f>
        <v>133.89467889599698</v>
      </c>
      <c r="AM39" s="22">
        <v>41.78</v>
      </c>
      <c r="AN39" s="22">
        <f>MIN(G310:G367)</f>
        <v>31.7</v>
      </c>
      <c r="AO39" s="22">
        <v>59.1</v>
      </c>
      <c r="AP39" s="22">
        <f>DEGREES(ASIN((SIN(RADIANS(AO39)))/(('Gearing Calculator'!$C$13/2)/('Gearing Calculator'!$W$16-('Gearing Calculator'!$C$13/2))+1)))</f>
        <v>50.276124960482612</v>
      </c>
      <c r="AQ39" s="22">
        <f>SQRT('Gearing Calculator'!$C$17*'Track Data'!AK39*9.81)</f>
        <v>17.708095606247443</v>
      </c>
    </row>
    <row r="40" spans="2:43" x14ac:dyDescent="0.25">
      <c r="B40" s="16">
        <v>196.38900000000001</v>
      </c>
      <c r="C40" s="16">
        <v>7310</v>
      </c>
      <c r="D40" s="16">
        <v>37</v>
      </c>
      <c r="E40" s="113">
        <v>213</v>
      </c>
      <c r="F40" s="113">
        <v>211</v>
      </c>
      <c r="G40" s="113">
        <v>207.5</v>
      </c>
      <c r="H40" s="113">
        <f t="shared" si="3"/>
        <v>57.638888888888886</v>
      </c>
      <c r="I40" s="113">
        <v>3.3</v>
      </c>
      <c r="J40" s="113">
        <v>17.350000000000001</v>
      </c>
      <c r="K40" s="113">
        <v>6.4</v>
      </c>
      <c r="L40" s="189"/>
      <c r="M40" s="16">
        <v>37</v>
      </c>
      <c r="N40" s="16">
        <f t="shared" si="5"/>
        <v>1.7145658818024035E-2</v>
      </c>
      <c r="O40" s="16">
        <v>6</v>
      </c>
      <c r="P40" s="16">
        <f t="shared" si="0"/>
        <v>7.3113821138211375</v>
      </c>
      <c r="Q40" s="16">
        <f t="shared" si="6"/>
        <v>58.323801413146619</v>
      </c>
      <c r="R40" s="113">
        <f t="shared" si="1"/>
        <v>311.95699999999999</v>
      </c>
      <c r="S40" s="16">
        <f>IF(S39=15800,15800,ROUND((((Q40*60)/'Gearing Calculator'!$C$14)*'Track Data'!P40),-2))</f>
        <v>12900</v>
      </c>
      <c r="T40" s="16">
        <f t="shared" si="4"/>
        <v>3.5549955703598606</v>
      </c>
      <c r="U40" s="16">
        <f>IF(AC40=100,Braking!$AG$2354,IF(AC40=50,Braking!$AG$1179,IF(AC40=75,Braking!$AG$1767,0)))</f>
        <v>0</v>
      </c>
      <c r="V40" s="16">
        <f>0.5*'Gearing Calculator'!$C$15*'Gearing Calculator'!$C$20*'Gearing Calculator'!$W$20*('Track Data'!Q40^2)</f>
        <v>360.03230946589247</v>
      </c>
      <c r="W40" s="16">
        <f>('Gearing Calculator'!$U$9*'Track Data'!T40)+'Track Data'!V40</f>
        <v>1306.3721302956874</v>
      </c>
      <c r="X40" s="16">
        <f>('Gearing Calculator'!$U$9*9.81)*('Gearing Calculator'!$U$16/'Gearing Calculator'!$C$7)-(('Track Data'!W40)*('Gearing Calculator'!$U$17/'Gearing Calculator'!$C$7))</f>
        <v>689.10027195920327</v>
      </c>
      <c r="Y40" s="16">
        <f>('Gearing Calculator'!$U$9*9.81)*(('Gearing Calculator'!$C$7-'Gearing Calculator'!$U$16)/'Gearing Calculator'!$C$7)+(('Track Data'!W40)*('Gearing Calculator'!$U$17/'Gearing Calculator'!$C$7))</f>
        <v>1922.3217280407966</v>
      </c>
      <c r="Z40" s="16">
        <f>((X40*COS('Gearing Calculator'!$C$21))/'Gearing Calculator'!$C$22)/2</f>
        <v>21.304800970503607</v>
      </c>
      <c r="AA40" s="16">
        <f>Y40/'Gearing Calculator'!$C$24</f>
        <v>26.842058879315051</v>
      </c>
      <c r="AB40" s="16">
        <f t="shared" si="2"/>
        <v>381.36228288805165</v>
      </c>
      <c r="AC40" s="16">
        <v>0</v>
      </c>
      <c r="AD40" s="16">
        <v>0</v>
      </c>
      <c r="AE40" s="16">
        <v>37</v>
      </c>
      <c r="AF40" s="16">
        <f>IF(AC40=0,IF(O40=6,INDEX(Acceleration!$V$4:$V$110,MATCH('Track Data'!S40,Acceleration!$K$4:$K$110,0)),IF('Track Data'!O40=5,INDEX(Acceleration!$U$4:$U$110,MATCH('Track Data'!S40,Acceleration!$K$4:$K$110,0)),1)),U40)</f>
        <v>3.5549955703598606</v>
      </c>
      <c r="AG40" s="16">
        <f>IF(AC40=0,IF(O40=4,INDEX(Acceleration!$T$4:$T$110,MATCH('Track Data'!S40,Acceleration!$K$4:$K$110,0)),IF('Track Data'!O40=3,INDEX(Acceleration!$S$4:$S$110,MATCH('Track Data'!S40,Acceleration!$K$4:$K$110,0)),'Track Data'!AF40)),'Track Data'!U40)</f>
        <v>3.5549955703598606</v>
      </c>
      <c r="AH40" s="16">
        <f>IF(AC40=0,IF(O40=2,INDEX(Acceleration!$R$4:$R$110,MATCH('Track Data'!S40,Acceleration!$K$4:$K$110,0)),IF('Track Data'!O40=1,INDEX(Acceleration!$Q$4:$Q$110,MATCH('Track Data'!S40,Acceleration!$K$4:$K$110,0)),'Track Data'!AG40)),'Track Data'!U40)</f>
        <v>3.5549955703598606</v>
      </c>
      <c r="AJ40" s="124">
        <v>2</v>
      </c>
      <c r="AK40" s="23">
        <v>75.02</v>
      </c>
      <c r="AL40" s="22">
        <f t="shared" ref="AL40:AL46" si="7">PI()*AK40*2</f>
        <v>471.36456174461256</v>
      </c>
      <c r="AM40" s="16">
        <v>117.84</v>
      </c>
      <c r="AN40" s="16">
        <f>MIN(G425:G524)</f>
        <v>94.2</v>
      </c>
      <c r="AO40" s="16">
        <v>59.3</v>
      </c>
      <c r="AP40" s="22">
        <f>DEGREES(ASIN((SIN(RADIANS(AO40)))/(('Gearing Calculator'!$C$13/2)/('Gearing Calculator'!$W$16-('Gearing Calculator'!$C$13/2))+1)))</f>
        <v>50.419976243670256</v>
      </c>
      <c r="AQ40" s="22">
        <f>SQRT('Gearing Calculator'!$C$17*'Track Data'!AK40*9.81)</f>
        <v>33.225281037186129</v>
      </c>
    </row>
    <row r="41" spans="2:43" x14ac:dyDescent="0.25">
      <c r="B41" s="16">
        <v>196.40700000000001</v>
      </c>
      <c r="C41" s="16">
        <v>7311</v>
      </c>
      <c r="D41" s="16">
        <v>38</v>
      </c>
      <c r="E41" s="113">
        <v>213</v>
      </c>
      <c r="F41" s="113">
        <v>211.1</v>
      </c>
      <c r="G41" s="113">
        <v>207.6</v>
      </c>
      <c r="H41" s="113">
        <f t="shared" si="3"/>
        <v>57.666666666666664</v>
      </c>
      <c r="I41" s="113">
        <v>3.1</v>
      </c>
      <c r="J41" s="113">
        <v>17.93</v>
      </c>
      <c r="K41" s="113">
        <v>10.1</v>
      </c>
      <c r="L41" s="189"/>
      <c r="M41" s="16">
        <v>38</v>
      </c>
      <c r="N41" s="16">
        <f t="shared" si="5"/>
        <v>1.7127768360706955E-2</v>
      </c>
      <c r="O41" s="16">
        <v>6</v>
      </c>
      <c r="P41" s="16">
        <f t="shared" si="0"/>
        <v>7.3113821138211375</v>
      </c>
      <c r="Q41" s="16">
        <f t="shared" si="6"/>
        <v>58.384722337447855</v>
      </c>
      <c r="R41" s="113">
        <f t="shared" si="1"/>
        <v>311.95699999999999</v>
      </c>
      <c r="S41" s="16">
        <f>IF(S40=15800,15800,ROUND((((Q41*60)/'Gearing Calculator'!$C$14)*'Track Data'!P41),-2))</f>
        <v>12900</v>
      </c>
      <c r="T41" s="16">
        <f t="shared" si="4"/>
        <v>3.5549955703598606</v>
      </c>
      <c r="U41" s="16">
        <f>IF(AC41=100,Braking!$AG$2354,IF(AC41=50,Braking!$AG$1179,IF(AC41=75,Braking!$AG$1767,0)))</f>
        <v>0</v>
      </c>
      <c r="V41" s="16">
        <f>0.5*'Gearing Calculator'!$C$15*'Gearing Calculator'!$C$20*'Gearing Calculator'!$W$20*('Track Data'!Q41^2)</f>
        <v>360.78483092822614</v>
      </c>
      <c r="W41" s="16">
        <f>('Gearing Calculator'!$U$9*'Track Data'!T41)+'Track Data'!V41</f>
        <v>1307.1246517580209</v>
      </c>
      <c r="X41" s="16">
        <f>('Gearing Calculator'!$U$9*9.81)*('Gearing Calculator'!$U$16/'Gearing Calculator'!$C$7)-(('Track Data'!W41)*('Gearing Calculator'!$U$17/'Gearing Calculator'!$C$7))</f>
        <v>688.69009636973158</v>
      </c>
      <c r="Y41" s="16">
        <f>('Gearing Calculator'!$U$9*9.81)*(('Gearing Calculator'!$C$7-'Gearing Calculator'!$U$16)/'Gearing Calculator'!$C$7)+(('Track Data'!W41)*('Gearing Calculator'!$U$17/'Gearing Calculator'!$C$7))</f>
        <v>1922.7319036302683</v>
      </c>
      <c r="Z41" s="16">
        <f>((X41*COS('Gearing Calculator'!$C$21))/'Gearing Calculator'!$C$22)/2</f>
        <v>21.292119638552006</v>
      </c>
      <c r="AA41" s="16">
        <f>Y41/'Gearing Calculator'!$C$24</f>
        <v>26.847786306291948</v>
      </c>
      <c r="AB41" s="16">
        <f t="shared" si="2"/>
        <v>382.11480435038533</v>
      </c>
      <c r="AC41" s="16">
        <v>0</v>
      </c>
      <c r="AD41" s="16">
        <v>0</v>
      </c>
      <c r="AE41" s="16">
        <v>38</v>
      </c>
      <c r="AF41" s="16">
        <f>IF(AC41=0,IF(O41=6,INDEX(Acceleration!$V$4:$V$110,MATCH('Track Data'!S41,Acceleration!$K$4:$K$110,0)),IF('Track Data'!O41=5,INDEX(Acceleration!$U$4:$U$110,MATCH('Track Data'!S41,Acceleration!$K$4:$K$110,0)),1)),U41)</f>
        <v>3.5549955703598606</v>
      </c>
      <c r="AG41" s="16">
        <f>IF(AC41=0,IF(O41=4,INDEX(Acceleration!$T$4:$T$110,MATCH('Track Data'!S41,Acceleration!$K$4:$K$110,0)),IF('Track Data'!O41=3,INDEX(Acceleration!$S$4:$S$110,MATCH('Track Data'!S41,Acceleration!$K$4:$K$110,0)),'Track Data'!AF41)),'Track Data'!U41)</f>
        <v>3.5549955703598606</v>
      </c>
      <c r="AH41" s="16">
        <f>IF(AC41=0,IF(O41=2,INDEX(Acceleration!$R$4:$R$110,MATCH('Track Data'!S41,Acceleration!$K$4:$K$110,0)),IF('Track Data'!O41=1,INDEX(Acceleration!$Q$4:$Q$110,MATCH('Track Data'!S41,Acceleration!$K$4:$K$110,0)),'Track Data'!AG41)),'Track Data'!U41)</f>
        <v>3.5549955703598606</v>
      </c>
      <c r="AJ41" s="124">
        <v>3</v>
      </c>
      <c r="AK41" s="23">
        <v>105.79</v>
      </c>
      <c r="AL41" s="22">
        <f t="shared" si="7"/>
        <v>664.69817364652852</v>
      </c>
      <c r="AM41" s="16">
        <v>123.83</v>
      </c>
      <c r="AN41" s="16">
        <v>111</v>
      </c>
      <c r="AO41" s="16">
        <v>60.7</v>
      </c>
      <c r="AP41" s="22">
        <f>DEGREES(ASIN((SIN(RADIANS(AO41)))/(('Gearing Calculator'!$C$13/2)/('Gearing Calculator'!$W$16-('Gearing Calculator'!$C$13/2))+1)))</f>
        <v>51.415226335993168</v>
      </c>
      <c r="AQ41" s="22">
        <f>SQRT('Gearing Calculator'!$C$17*'Track Data'!AK41*9.81)</f>
        <v>39.455035800262557</v>
      </c>
    </row>
    <row r="42" spans="2:43" x14ac:dyDescent="0.25">
      <c r="B42" s="16">
        <v>196.42400000000001</v>
      </c>
      <c r="C42" s="16">
        <v>7312</v>
      </c>
      <c r="D42" s="16">
        <v>39</v>
      </c>
      <c r="E42" s="113">
        <v>212</v>
      </c>
      <c r="F42" s="113">
        <v>211</v>
      </c>
      <c r="G42" s="113">
        <v>207.7</v>
      </c>
      <c r="H42" s="113">
        <f t="shared" si="3"/>
        <v>57.694444444444443</v>
      </c>
      <c r="I42" s="113">
        <v>4.5</v>
      </c>
      <c r="J42" s="113">
        <v>17.63</v>
      </c>
      <c r="K42" s="113">
        <v>7.7</v>
      </c>
      <c r="L42" s="189"/>
      <c r="M42" s="16">
        <v>39</v>
      </c>
      <c r="N42" s="16">
        <f t="shared" si="5"/>
        <v>1.7109933789600663E-2</v>
      </c>
      <c r="O42" s="16">
        <v>6</v>
      </c>
      <c r="P42" s="16">
        <f t="shared" si="0"/>
        <v>7.3113821138211375</v>
      </c>
      <c r="Q42" s="16">
        <f t="shared" si="6"/>
        <v>58.44557976067653</v>
      </c>
      <c r="R42" s="113">
        <f t="shared" si="1"/>
        <v>311.95699999999999</v>
      </c>
      <c r="S42" s="16">
        <f>IF(S41=15800,15800,ROUND((((Q42*60)/'Gearing Calculator'!$C$14)*'Track Data'!P42),-2))</f>
        <v>13000</v>
      </c>
      <c r="T42" s="16">
        <f t="shared" si="4"/>
        <v>3.5063437108727813</v>
      </c>
      <c r="U42" s="16">
        <f>IF(AC42=100,Braking!$AG$2354,IF(AC42=50,Braking!$AG$1179,IF(AC42=75,Braking!$AG$1767,0)))</f>
        <v>0</v>
      </c>
      <c r="V42" s="16">
        <f>0.5*'Gearing Calculator'!$C$15*'Gearing Calculator'!$C$20*'Gearing Calculator'!$W$20*('Track Data'!Q42^2)</f>
        <v>361.53735239055993</v>
      </c>
      <c r="W42" s="16">
        <f>('Gearing Calculator'!$U$9*'Track Data'!T42)+'Track Data'!V42</f>
        <v>1294.9260482248942</v>
      </c>
      <c r="X42" s="16">
        <f>('Gearing Calculator'!$U$9*9.81)*('Gearing Calculator'!$U$16/'Gearing Calculator'!$C$7)-(('Track Data'!W42)*('Gearing Calculator'!$U$17/'Gearing Calculator'!$C$7))</f>
        <v>695.33916838345999</v>
      </c>
      <c r="Y42" s="16">
        <f>('Gearing Calculator'!$U$9*9.81)*(('Gearing Calculator'!$C$7-'Gearing Calculator'!$U$16)/'Gearing Calculator'!$C$7)+(('Track Data'!W42)*('Gearing Calculator'!$U$17/'Gearing Calculator'!$C$7))</f>
        <v>1916.08283161654</v>
      </c>
      <c r="Z42" s="16">
        <f>((X42*COS('Gearing Calculator'!$C$21))/'Gearing Calculator'!$C$22)/2</f>
        <v>21.497687915993371</v>
      </c>
      <c r="AA42" s="16">
        <f>Y42/'Gearing Calculator'!$C$24</f>
        <v>26.754942959685653</v>
      </c>
      <c r="AB42" s="16">
        <f t="shared" si="2"/>
        <v>382.57541465579664</v>
      </c>
      <c r="AC42" s="16">
        <v>0</v>
      </c>
      <c r="AD42" s="16">
        <v>0</v>
      </c>
      <c r="AE42" s="16">
        <v>39</v>
      </c>
      <c r="AF42" s="16">
        <f>IF(AC42=0,IF(O42=6,INDEX(Acceleration!$V$4:$V$110,MATCH('Track Data'!S42,Acceleration!$K$4:$K$110,0)),IF('Track Data'!O42=5,INDEX(Acceleration!$U$4:$U$110,MATCH('Track Data'!S42,Acceleration!$K$4:$K$110,0)),1)),U42)</f>
        <v>3.5063437108727813</v>
      </c>
      <c r="AG42" s="16">
        <f>IF(AC42=0,IF(O42=4,INDEX(Acceleration!$T$4:$T$110,MATCH('Track Data'!S42,Acceleration!$K$4:$K$110,0)),IF('Track Data'!O42=3,INDEX(Acceleration!$S$4:$S$110,MATCH('Track Data'!S42,Acceleration!$K$4:$K$110,0)),'Track Data'!AF42)),'Track Data'!U42)</f>
        <v>3.5063437108727813</v>
      </c>
      <c r="AH42" s="16">
        <f>IF(AC42=0,IF(O42=2,INDEX(Acceleration!$R$4:$R$110,MATCH('Track Data'!S42,Acceleration!$K$4:$K$110,0)),IF('Track Data'!O42=1,INDEX(Acceleration!$Q$4:$Q$110,MATCH('Track Data'!S42,Acceleration!$K$4:$K$110,0)),'Track Data'!AG42)),'Track Data'!U42)</f>
        <v>3.5063437108727813</v>
      </c>
      <c r="AJ42" s="124">
        <v>4</v>
      </c>
      <c r="AK42" s="23">
        <v>127.06</v>
      </c>
      <c r="AL42" s="22">
        <f t="shared" si="7"/>
        <v>798.34152513023821</v>
      </c>
      <c r="AM42" s="16">
        <v>127.06</v>
      </c>
      <c r="AN42" s="16">
        <v>113.8</v>
      </c>
      <c r="AO42" s="16">
        <v>57.2</v>
      </c>
      <c r="AP42" s="22">
        <f>DEGREES(ASIN((SIN(RADIANS(AO42)))/(('Gearing Calculator'!$C$13/2)/('Gearing Calculator'!$W$16-('Gearing Calculator'!$C$13/2))+1)))</f>
        <v>48.889993475913293</v>
      </c>
      <c r="AQ42" s="22">
        <f>SQRT('Gearing Calculator'!$C$17*'Track Data'!AK42*9.81)</f>
        <v>43.239887835192171</v>
      </c>
    </row>
    <row r="43" spans="2:43" x14ac:dyDescent="0.25">
      <c r="B43" s="16">
        <v>196.441</v>
      </c>
      <c r="C43" s="16">
        <v>7314</v>
      </c>
      <c r="D43" s="16">
        <v>40</v>
      </c>
      <c r="E43" s="113">
        <v>211</v>
      </c>
      <c r="F43" s="113">
        <v>210.9</v>
      </c>
      <c r="G43" s="113">
        <v>207.8</v>
      </c>
      <c r="H43" s="113">
        <f t="shared" si="3"/>
        <v>57.722222222222221</v>
      </c>
      <c r="I43" s="113">
        <v>6.4</v>
      </c>
      <c r="J43" s="113">
        <v>16.940000000000001</v>
      </c>
      <c r="K43" s="113">
        <v>5.0999999999999996</v>
      </c>
      <c r="L43" s="189"/>
      <c r="M43" s="16">
        <v>40</v>
      </c>
      <c r="N43" s="16">
        <f t="shared" si="5"/>
        <v>1.7092397754419904E-2</v>
      </c>
      <c r="O43" s="16">
        <v>6</v>
      </c>
      <c r="P43" s="16">
        <f t="shared" si="0"/>
        <v>7.3113821138211375</v>
      </c>
      <c r="Q43" s="16">
        <f t="shared" si="6"/>
        <v>58.505542309967076</v>
      </c>
      <c r="R43" s="113">
        <f t="shared" si="1"/>
        <v>311.95699999999999</v>
      </c>
      <c r="S43" s="16">
        <f>IF(S42=15800,15800,ROUND((((Q43*60)/'Gearing Calculator'!$C$14)*'Track Data'!P43),-2))</f>
        <v>13000</v>
      </c>
      <c r="T43" s="16">
        <f t="shared" si="4"/>
        <v>3.5063437108727813</v>
      </c>
      <c r="U43" s="16">
        <f>IF(AC43=100,Braking!$AG$2354,IF(AC43=50,Braking!$AG$1179,IF(AC43=75,Braking!$AG$1767,0)))</f>
        <v>0</v>
      </c>
      <c r="V43" s="16">
        <f>0.5*'Gearing Calculator'!$C$15*'Gearing Calculator'!$C$20*'Gearing Calculator'!$W$20*('Track Data'!Q43^2)</f>
        <v>362.27957522727752</v>
      </c>
      <c r="W43" s="16">
        <f>('Gearing Calculator'!$U$9*'Track Data'!T43)+'Track Data'!V43</f>
        <v>1295.6682710616119</v>
      </c>
      <c r="X43" s="16">
        <f>('Gearing Calculator'!$U$9*9.81)*('Gearing Calculator'!$U$16/'Gearing Calculator'!$C$7)-(('Track Data'!W43)*('Gearing Calculator'!$U$17/'Gearing Calculator'!$C$7))</f>
        <v>694.93460624828049</v>
      </c>
      <c r="Y43" s="16">
        <f>('Gearing Calculator'!$U$9*9.81)*(('Gearing Calculator'!$C$7-'Gearing Calculator'!$U$16)/'Gearing Calculator'!$C$7)+(('Track Data'!W43)*('Gearing Calculator'!$U$17/'Gearing Calculator'!$C$7))</f>
        <v>1916.4873937517195</v>
      </c>
      <c r="Z43" s="16">
        <f>((X43*COS('Gearing Calculator'!$C$21))/'Gearing Calculator'!$C$22)/2</f>
        <v>21.485180134294637</v>
      </c>
      <c r="AA43" s="16">
        <f>Y43/'Gearing Calculator'!$C$24</f>
        <v>26.76059200401285</v>
      </c>
      <c r="AB43" s="16">
        <f t="shared" si="2"/>
        <v>383.31763749251422</v>
      </c>
      <c r="AC43" s="16">
        <v>0</v>
      </c>
      <c r="AD43" s="16">
        <v>0</v>
      </c>
      <c r="AE43" s="16">
        <v>40</v>
      </c>
      <c r="AF43" s="16">
        <f>IF(AC43=0,IF(O43=6,INDEX(Acceleration!$V$4:$V$110,MATCH('Track Data'!S43,Acceleration!$K$4:$K$110,0)),IF('Track Data'!O43=5,INDEX(Acceleration!$U$4:$U$110,MATCH('Track Data'!S43,Acceleration!$K$4:$K$110,0)),1)),U43)</f>
        <v>3.5063437108727813</v>
      </c>
      <c r="AG43" s="16">
        <f>IF(AC43=0,IF(O43=4,INDEX(Acceleration!$T$4:$T$110,MATCH('Track Data'!S43,Acceleration!$K$4:$K$110,0)),IF('Track Data'!O43=3,INDEX(Acceleration!$S$4:$S$110,MATCH('Track Data'!S43,Acceleration!$K$4:$K$110,0)),'Track Data'!AF43)),'Track Data'!U43)</f>
        <v>3.5063437108727813</v>
      </c>
      <c r="AH43" s="16">
        <f>IF(AC43=0,IF(O43=2,INDEX(Acceleration!$R$4:$R$110,MATCH('Track Data'!S43,Acceleration!$K$4:$K$110,0)),IF('Track Data'!O43=1,INDEX(Acceleration!$Q$4:$Q$110,MATCH('Track Data'!S43,Acceleration!$K$4:$K$110,0)),'Track Data'!AG43)),'Track Data'!U43)</f>
        <v>3.5063437108727813</v>
      </c>
      <c r="AJ43" s="124">
        <v>5</v>
      </c>
      <c r="AK43" s="23">
        <v>132.88999999999999</v>
      </c>
      <c r="AL43" s="22">
        <f t="shared" si="7"/>
        <v>834.97249547109516</v>
      </c>
      <c r="AM43" s="16">
        <v>166.45</v>
      </c>
      <c r="AN43" s="16">
        <v>112.5</v>
      </c>
      <c r="AO43" s="16">
        <v>52.4</v>
      </c>
      <c r="AP43" s="22">
        <f>DEGREES(ASIN((SIN(RADIANS(AO43)))/(('Gearing Calculator'!$C$13/2)/('Gearing Calculator'!$W$16-('Gearing Calculator'!$C$13/2))+1)))</f>
        <v>45.249166535644648</v>
      </c>
      <c r="AQ43" s="22">
        <f>SQRT('Gearing Calculator'!$C$17*'Track Data'!AK43*9.81)</f>
        <v>44.220768310828795</v>
      </c>
    </row>
    <row r="44" spans="2:43" x14ac:dyDescent="0.25">
      <c r="B44" s="16">
        <v>196.458</v>
      </c>
      <c r="C44" s="16">
        <v>7314</v>
      </c>
      <c r="D44" s="16">
        <v>41</v>
      </c>
      <c r="E44" s="113">
        <v>211</v>
      </c>
      <c r="F44" s="113">
        <v>211</v>
      </c>
      <c r="G44" s="113">
        <v>207.9</v>
      </c>
      <c r="H44" s="113">
        <f t="shared" si="3"/>
        <v>57.75</v>
      </c>
      <c r="I44" s="113">
        <v>7</v>
      </c>
      <c r="J44" s="113">
        <v>17.170000000000002</v>
      </c>
      <c r="K44" s="113">
        <v>3.9</v>
      </c>
      <c r="L44" s="189"/>
      <c r="M44" s="16">
        <v>41</v>
      </c>
      <c r="N44" s="16">
        <f t="shared" si="5"/>
        <v>1.7074915527196869E-2</v>
      </c>
      <c r="O44" s="16">
        <v>6</v>
      </c>
      <c r="P44" s="16">
        <f t="shared" si="0"/>
        <v>7.3113821138211375</v>
      </c>
      <c r="Q44" s="16">
        <f t="shared" si="6"/>
        <v>58.565443466306078</v>
      </c>
      <c r="R44" s="113">
        <f t="shared" si="1"/>
        <v>311.95699999999999</v>
      </c>
      <c r="S44" s="16">
        <f>IF(S43=15800,15800,ROUND((((Q44*60)/'Gearing Calculator'!$C$14)*'Track Data'!P44),-2))</f>
        <v>13000</v>
      </c>
      <c r="T44" s="16">
        <f t="shared" si="4"/>
        <v>3.5063437108727813</v>
      </c>
      <c r="U44" s="16">
        <f>IF(AC44=100,Braking!$AG$2354,IF(AC44=50,Braking!$AG$1179,IF(AC44=75,Braking!$AG$1767,0)))</f>
        <v>0</v>
      </c>
      <c r="V44" s="16">
        <f>0.5*'Gearing Calculator'!$C$15*'Gearing Calculator'!$C$20*'Gearing Calculator'!$W$20*('Track Data'!Q44^2)</f>
        <v>363.02179806399499</v>
      </c>
      <c r="W44" s="16">
        <f>('Gearing Calculator'!$U$9*'Track Data'!T44)+'Track Data'!V44</f>
        <v>1296.4104938983294</v>
      </c>
      <c r="X44" s="16">
        <f>('Gearing Calculator'!$U$9*9.81)*('Gearing Calculator'!$U$16/'Gearing Calculator'!$C$7)-(('Track Data'!W44)*('Gearing Calculator'!$U$17/'Gearing Calculator'!$C$7))</f>
        <v>694.53004411310121</v>
      </c>
      <c r="Y44" s="16">
        <f>('Gearing Calculator'!$U$9*9.81)*(('Gearing Calculator'!$C$7-'Gearing Calculator'!$U$16)/'Gearing Calculator'!$C$7)+(('Track Data'!W44)*('Gearing Calculator'!$U$17/'Gearing Calculator'!$C$7))</f>
        <v>1916.8919558868988</v>
      </c>
      <c r="Z44" s="16">
        <f>((X44*COS('Gearing Calculator'!$C$21))/'Gearing Calculator'!$C$22)/2</f>
        <v>21.472672352595918</v>
      </c>
      <c r="AA44" s="16">
        <f>Y44/'Gearing Calculator'!$C$24</f>
        <v>26.766241048340039</v>
      </c>
      <c r="AB44" s="16">
        <f t="shared" si="2"/>
        <v>384.0598603292317</v>
      </c>
      <c r="AC44" s="16">
        <v>0</v>
      </c>
      <c r="AD44" s="16">
        <v>0</v>
      </c>
      <c r="AE44" s="16">
        <v>41</v>
      </c>
      <c r="AF44" s="16">
        <f>IF(AC44=0,IF(O44=6,INDEX(Acceleration!$V$4:$V$110,MATCH('Track Data'!S44,Acceleration!$K$4:$K$110,0)),IF('Track Data'!O44=5,INDEX(Acceleration!$U$4:$U$110,MATCH('Track Data'!S44,Acceleration!$K$4:$K$110,0)),1)),U44)</f>
        <v>3.5063437108727813</v>
      </c>
      <c r="AG44" s="16">
        <f>IF(AC44=0,IF(O44=4,INDEX(Acceleration!$T$4:$T$110,MATCH('Track Data'!S44,Acceleration!$K$4:$K$110,0)),IF('Track Data'!O44=3,INDEX(Acceleration!$S$4:$S$110,MATCH('Track Data'!S44,Acceleration!$K$4:$K$110,0)),'Track Data'!AF44)),'Track Data'!U44)</f>
        <v>3.5063437108727813</v>
      </c>
      <c r="AH44" s="16">
        <f>IF(AC44=0,IF(O44=2,INDEX(Acceleration!$R$4:$R$110,MATCH('Track Data'!S44,Acceleration!$K$4:$K$110,0)),IF('Track Data'!O44=1,INDEX(Acceleration!$Q$4:$Q$110,MATCH('Track Data'!S44,Acceleration!$K$4:$K$110,0)),'Track Data'!AG44)),'Track Data'!U44)</f>
        <v>3.5063437108727813</v>
      </c>
      <c r="AJ44" s="124">
        <v>6</v>
      </c>
      <c r="AK44" s="23">
        <v>54.33</v>
      </c>
      <c r="AL44" s="22">
        <f t="shared" si="7"/>
        <v>341.36545773906693</v>
      </c>
      <c r="AM44" s="16">
        <v>97.86</v>
      </c>
      <c r="AN44" s="16">
        <v>79.3</v>
      </c>
      <c r="AO44" s="16">
        <v>54.3</v>
      </c>
      <c r="AP44" s="22">
        <f>DEGREES(ASIN((SIN(RADIANS(AO44)))/(('Gearing Calculator'!$C$13/2)/('Gearing Calculator'!$W$16-('Gearing Calculator'!$C$13/2))+1)))</f>
        <v>46.712096975939758</v>
      </c>
      <c r="AQ44" s="22">
        <f>SQRT('Gearing Calculator'!$C$17*'Track Data'!AK44*9.81)</f>
        <v>28.274828911949232</v>
      </c>
    </row>
    <row r="45" spans="2:43" x14ac:dyDescent="0.25">
      <c r="B45" s="16">
        <v>196.47499999999999</v>
      </c>
      <c r="C45" s="16">
        <v>7315</v>
      </c>
      <c r="D45" s="16">
        <v>42</v>
      </c>
      <c r="E45" s="113">
        <v>212</v>
      </c>
      <c r="F45" s="113">
        <v>211.2</v>
      </c>
      <c r="G45" s="113">
        <v>208.1</v>
      </c>
      <c r="H45" s="113">
        <f t="shared" si="3"/>
        <v>57.80555555555555</v>
      </c>
      <c r="I45" s="113">
        <v>7</v>
      </c>
      <c r="J45" s="113">
        <v>16.52</v>
      </c>
      <c r="K45" s="113">
        <v>1.4</v>
      </c>
      <c r="L45" s="189"/>
      <c r="M45" s="16">
        <v>42</v>
      </c>
      <c r="N45" s="16">
        <f t="shared" si="5"/>
        <v>1.7057486833317381E-2</v>
      </c>
      <c r="O45" s="16">
        <v>6</v>
      </c>
      <c r="P45" s="16">
        <f t="shared" si="0"/>
        <v>7.3113821138211375</v>
      </c>
      <c r="Q45" s="16">
        <f t="shared" si="6"/>
        <v>58.625283417880709</v>
      </c>
      <c r="R45" s="113">
        <f t="shared" si="1"/>
        <v>311.95699999999999</v>
      </c>
      <c r="S45" s="16">
        <f>IF(S44=15800,15800,ROUND((((Q45*60)/'Gearing Calculator'!$C$14)*'Track Data'!P45),-2))</f>
        <v>13000</v>
      </c>
      <c r="T45" s="16">
        <f t="shared" si="4"/>
        <v>3.5063437108727813</v>
      </c>
      <c r="U45" s="16">
        <f>IF(AC45=100,Braking!$AG$2354,IF(AC45=50,Braking!$AG$1179,IF(AC45=75,Braking!$AG$1767,0)))</f>
        <v>0</v>
      </c>
      <c r="V45" s="16">
        <f>0.5*'Gearing Calculator'!$C$15*'Gearing Calculator'!$C$20*'Gearing Calculator'!$W$20*('Track Data'!Q45^2)</f>
        <v>363.76402090071258</v>
      </c>
      <c r="W45" s="16">
        <f>('Gearing Calculator'!$U$9*'Track Data'!T45)+'Track Data'!V45</f>
        <v>1297.1527167350469</v>
      </c>
      <c r="X45" s="16">
        <f>('Gearing Calculator'!$U$9*9.81)*('Gearing Calculator'!$U$16/'Gearing Calculator'!$C$7)-(('Track Data'!W45)*('Gearing Calculator'!$U$17/'Gearing Calculator'!$C$7))</f>
        <v>694.12548197792182</v>
      </c>
      <c r="Y45" s="16">
        <f>('Gearing Calculator'!$U$9*9.81)*(('Gearing Calculator'!$C$7-'Gearing Calculator'!$U$16)/'Gearing Calculator'!$C$7)+(('Track Data'!W45)*('Gearing Calculator'!$U$17/'Gearing Calculator'!$C$7))</f>
        <v>1917.2965180220781</v>
      </c>
      <c r="Z45" s="16">
        <f>((X45*COS('Gearing Calculator'!$C$21))/'Gearing Calculator'!$C$22)/2</f>
        <v>21.460164570897188</v>
      </c>
      <c r="AA45" s="16">
        <f>Y45/'Gearing Calculator'!$C$24</f>
        <v>26.771890092667228</v>
      </c>
      <c r="AB45" s="16">
        <f t="shared" si="2"/>
        <v>384.80208316594928</v>
      </c>
      <c r="AC45" s="16">
        <v>0</v>
      </c>
      <c r="AD45" s="16">
        <v>0</v>
      </c>
      <c r="AE45" s="16">
        <v>42</v>
      </c>
      <c r="AF45" s="16">
        <f>IF(AC45=0,IF(O45=6,INDEX(Acceleration!$V$4:$V$110,MATCH('Track Data'!S45,Acceleration!$K$4:$K$110,0)),IF('Track Data'!O45=5,INDEX(Acceleration!$U$4:$U$110,MATCH('Track Data'!S45,Acceleration!$K$4:$K$110,0)),1)),U45)</f>
        <v>3.5063437108727813</v>
      </c>
      <c r="AG45" s="16">
        <f>IF(AC45=0,IF(O45=4,INDEX(Acceleration!$T$4:$T$110,MATCH('Track Data'!S45,Acceleration!$K$4:$K$110,0)),IF('Track Data'!O45=3,INDEX(Acceleration!$S$4:$S$110,MATCH('Track Data'!S45,Acceleration!$K$4:$K$110,0)),'Track Data'!AF45)),'Track Data'!U45)</f>
        <v>3.5063437108727813</v>
      </c>
      <c r="AH45" s="16">
        <f>IF(AC45=0,IF(O45=2,INDEX(Acceleration!$R$4:$R$110,MATCH('Track Data'!S45,Acceleration!$K$4:$K$110,0)),IF('Track Data'!O45=1,INDEX(Acceleration!$Q$4:$Q$110,MATCH('Track Data'!S45,Acceleration!$K$4:$K$110,0)),'Track Data'!AG45)),'Track Data'!U45)</f>
        <v>3.5063437108727813</v>
      </c>
      <c r="AJ45" s="124">
        <v>7</v>
      </c>
      <c r="AK45" s="23">
        <v>205.39</v>
      </c>
      <c r="AL45" s="22">
        <f t="shared" si="7"/>
        <v>1290.5034302416152</v>
      </c>
      <c r="AM45" s="16">
        <v>140.04</v>
      </c>
      <c r="AN45" s="16">
        <v>173.9</v>
      </c>
      <c r="AO45" s="16">
        <v>58.5</v>
      </c>
      <c r="AP45" s="22">
        <f>DEGREES(ASIN((SIN(RADIANS(AO45)))/(('Gearing Calculator'!$C$13/2)/('Gearing Calculator'!$W$16-('Gearing Calculator'!$C$13/2))+1)))</f>
        <v>49.842163139380347</v>
      </c>
      <c r="AQ45" s="22">
        <f>SQRT('Gearing Calculator'!$C$17*'Track Data'!AK45*9.81)</f>
        <v>54.975575031099041</v>
      </c>
    </row>
    <row r="46" spans="2:43" ht="15.75" thickBot="1" x14ac:dyDescent="0.3">
      <c r="B46" s="16">
        <v>196.49199999999999</v>
      </c>
      <c r="C46" s="16">
        <v>7316</v>
      </c>
      <c r="D46" s="16">
        <v>43</v>
      </c>
      <c r="E46" s="113">
        <v>212</v>
      </c>
      <c r="F46" s="113">
        <v>211.1</v>
      </c>
      <c r="G46" s="113">
        <v>208.2</v>
      </c>
      <c r="H46" s="113">
        <f t="shared" si="3"/>
        <v>57.833333333333329</v>
      </c>
      <c r="I46" s="113">
        <v>5.7</v>
      </c>
      <c r="J46" s="113">
        <v>17.48</v>
      </c>
      <c r="K46" s="113">
        <v>5</v>
      </c>
      <c r="L46" s="189"/>
      <c r="M46" s="16">
        <v>43</v>
      </c>
      <c r="N46" s="16">
        <f t="shared" si="5"/>
        <v>1.7040111400125409E-2</v>
      </c>
      <c r="O46" s="16">
        <v>6</v>
      </c>
      <c r="P46" s="16">
        <f t="shared" si="0"/>
        <v>7.3113821138211375</v>
      </c>
      <c r="Q46" s="16">
        <f t="shared" si="6"/>
        <v>58.685062351918688</v>
      </c>
      <c r="R46" s="113">
        <f t="shared" si="1"/>
        <v>311.95699999999999</v>
      </c>
      <c r="S46" s="16">
        <f>IF(S45=15800,15800,ROUND((((Q46*60)/'Gearing Calculator'!$C$14)*'Track Data'!P46),-2))</f>
        <v>13000</v>
      </c>
      <c r="T46" s="16">
        <f t="shared" si="4"/>
        <v>3.5063437108727813</v>
      </c>
      <c r="U46" s="16">
        <f>IF(AC46=100,Braking!$AG$2354,IF(AC46=50,Braking!$AG$1179,IF(AC46=75,Braking!$AG$1767,0)))</f>
        <v>0</v>
      </c>
      <c r="V46" s="16">
        <f>0.5*'Gearing Calculator'!$C$15*'Gearing Calculator'!$C$20*'Gearing Calculator'!$W$20*('Track Data'!Q46^2)</f>
        <v>364.50624373743011</v>
      </c>
      <c r="W46" s="16">
        <f>('Gearing Calculator'!$U$9*'Track Data'!T46)+'Track Data'!V46</f>
        <v>1297.8949395717646</v>
      </c>
      <c r="X46" s="16">
        <f>('Gearing Calculator'!$U$9*9.81)*('Gearing Calculator'!$U$16/'Gearing Calculator'!$C$7)-(('Track Data'!W46)*('Gearing Calculator'!$U$17/'Gearing Calculator'!$C$7))</f>
        <v>693.72091984274232</v>
      </c>
      <c r="Y46" s="16">
        <f>('Gearing Calculator'!$U$9*9.81)*(('Gearing Calculator'!$C$7-'Gearing Calculator'!$U$16)/'Gearing Calculator'!$C$7)+(('Track Data'!W46)*('Gearing Calculator'!$U$17/'Gearing Calculator'!$C$7))</f>
        <v>1917.7010801572578</v>
      </c>
      <c r="Z46" s="16">
        <f>((X46*COS('Gearing Calculator'!$C$21))/'Gearing Calculator'!$C$22)/2</f>
        <v>21.447656789198458</v>
      </c>
      <c r="AA46" s="16">
        <f>Y46/'Gearing Calculator'!$C$24</f>
        <v>26.777539136994427</v>
      </c>
      <c r="AB46" s="16">
        <f t="shared" si="2"/>
        <v>385.54430600266681</v>
      </c>
      <c r="AC46" s="16">
        <v>0</v>
      </c>
      <c r="AD46" s="16">
        <v>0</v>
      </c>
      <c r="AE46" s="16">
        <v>43</v>
      </c>
      <c r="AF46" s="16">
        <f>IF(AC46=0,IF(O46=6,INDEX(Acceleration!$V$4:$V$110,MATCH('Track Data'!S46,Acceleration!$K$4:$K$110,0)),IF('Track Data'!O46=5,INDEX(Acceleration!$U$4:$U$110,MATCH('Track Data'!S46,Acceleration!$K$4:$K$110,0)),1)),U46)</f>
        <v>3.5063437108727813</v>
      </c>
      <c r="AG46" s="16">
        <f>IF(AC46=0,IF(O46=4,INDEX(Acceleration!$T$4:$T$110,MATCH('Track Data'!S46,Acceleration!$K$4:$K$110,0)),IF('Track Data'!O46=3,INDEX(Acceleration!$S$4:$S$110,MATCH('Track Data'!S46,Acceleration!$K$4:$K$110,0)),'Track Data'!AF46)),'Track Data'!U46)</f>
        <v>3.5063437108727813</v>
      </c>
      <c r="AH46" s="16">
        <f>IF(AC46=0,IF(O46=2,INDEX(Acceleration!$R$4:$R$110,MATCH('Track Data'!S46,Acceleration!$K$4:$K$110,0)),IF('Track Data'!O46=1,INDEX(Acceleration!$Q$4:$Q$110,MATCH('Track Data'!S46,Acceleration!$K$4:$K$110,0)),'Track Data'!AG46)),'Track Data'!U46)</f>
        <v>3.5063437108727813</v>
      </c>
      <c r="AJ46" s="128">
        <v>8</v>
      </c>
      <c r="AK46" s="19">
        <v>117.59</v>
      </c>
      <c r="AL46" s="18">
        <f t="shared" si="7"/>
        <v>738.83976027124754</v>
      </c>
      <c r="AM46" s="18">
        <v>184.71</v>
      </c>
      <c r="AN46" s="18">
        <v>116.9</v>
      </c>
      <c r="AO46" s="18">
        <v>60.7</v>
      </c>
      <c r="AP46" s="18">
        <f>DEGREES(ASIN((SIN(RADIANS(AO46)))/(('Gearing Calculator'!$C$13/2)/('Gearing Calculator'!$W$16-('Gearing Calculator'!$C$13/2))+1)))</f>
        <v>51.415226335993168</v>
      </c>
      <c r="AQ46" s="18">
        <f>SQRT('Gearing Calculator'!$C$17*'Track Data'!AK46*9.81)</f>
        <v>41.597317822186561</v>
      </c>
    </row>
    <row r="47" spans="2:43" x14ac:dyDescent="0.25">
      <c r="B47" s="16">
        <v>196.50899999999999</v>
      </c>
      <c r="C47" s="16">
        <v>7317</v>
      </c>
      <c r="D47" s="16">
        <v>44</v>
      </c>
      <c r="E47" s="113">
        <v>213</v>
      </c>
      <c r="F47" s="113">
        <v>211</v>
      </c>
      <c r="G47" s="113">
        <v>208.3</v>
      </c>
      <c r="H47" s="113">
        <f t="shared" si="3"/>
        <v>57.861111111111114</v>
      </c>
      <c r="I47" s="113">
        <v>5</v>
      </c>
      <c r="J47" s="113">
        <v>17.12</v>
      </c>
      <c r="K47" s="113">
        <v>8.1999999999999993</v>
      </c>
      <c r="L47" s="189"/>
      <c r="M47" s="16">
        <v>44</v>
      </c>
      <c r="N47" s="16">
        <f t="shared" si="5"/>
        <v>1.7022788956905125E-2</v>
      </c>
      <c r="O47" s="16">
        <v>6</v>
      </c>
      <c r="P47" s="16">
        <f t="shared" si="0"/>
        <v>7.3113821138211375</v>
      </c>
      <c r="Q47" s="16">
        <f t="shared" si="6"/>
        <v>58.744780454695118</v>
      </c>
      <c r="R47" s="113">
        <f t="shared" si="1"/>
        <v>311.95699999999999</v>
      </c>
      <c r="S47" s="16">
        <f>IF(S46=15800,15800,ROUND((((Q47*60)/'Gearing Calculator'!$C$14)*'Track Data'!P47),-2))</f>
        <v>13000</v>
      </c>
      <c r="T47" s="16">
        <f t="shared" si="4"/>
        <v>3.5063437108727813</v>
      </c>
      <c r="U47" s="16">
        <f>IF(AC47=100,Braking!$AG$2354,IF(AC47=50,Braking!$AG$1179,IF(AC47=75,Braking!$AG$1767,0)))</f>
        <v>0</v>
      </c>
      <c r="V47" s="16">
        <f>0.5*'Gearing Calculator'!$C$15*'Gearing Calculator'!$C$20*'Gearing Calculator'!$W$20*('Track Data'!Q47^2)</f>
        <v>365.24846657414764</v>
      </c>
      <c r="W47" s="16">
        <f>('Gearing Calculator'!$U$9*'Track Data'!T47)+'Track Data'!V47</f>
        <v>1298.637162408482</v>
      </c>
      <c r="X47" s="16">
        <f>('Gearing Calculator'!$U$9*9.81)*('Gearing Calculator'!$U$16/'Gearing Calculator'!$C$7)-(('Track Data'!W47)*('Gearing Calculator'!$U$17/'Gearing Calculator'!$C$7))</f>
        <v>693.31635770756293</v>
      </c>
      <c r="Y47" s="16">
        <f>('Gearing Calculator'!$U$9*9.81)*(('Gearing Calculator'!$C$7-'Gearing Calculator'!$U$16)/'Gearing Calculator'!$C$7)+(('Track Data'!W47)*('Gearing Calculator'!$U$17/'Gearing Calculator'!$C$7))</f>
        <v>1918.1056422924371</v>
      </c>
      <c r="Z47" s="16">
        <f>((X47*COS('Gearing Calculator'!$C$21))/'Gearing Calculator'!$C$22)/2</f>
        <v>21.435149007499732</v>
      </c>
      <c r="AA47" s="16">
        <f>Y47/'Gearing Calculator'!$C$24</f>
        <v>26.783188181321616</v>
      </c>
      <c r="AB47" s="16">
        <f t="shared" si="2"/>
        <v>386.28652883938435</v>
      </c>
      <c r="AC47" s="16">
        <v>0</v>
      </c>
      <c r="AD47" s="16">
        <v>0</v>
      </c>
      <c r="AE47" s="16">
        <v>44</v>
      </c>
      <c r="AF47" s="16">
        <f>IF(AC47=0,IF(O47=6,INDEX(Acceleration!$V$4:$V$110,MATCH('Track Data'!S47,Acceleration!$K$4:$K$110,0)),IF('Track Data'!O47=5,INDEX(Acceleration!$U$4:$U$110,MATCH('Track Data'!S47,Acceleration!$K$4:$K$110,0)),1)),U47)</f>
        <v>3.5063437108727813</v>
      </c>
      <c r="AG47" s="16">
        <f>IF(AC47=0,IF(O47=4,INDEX(Acceleration!$T$4:$T$110,MATCH('Track Data'!S47,Acceleration!$K$4:$K$110,0)),IF('Track Data'!O47=3,INDEX(Acceleration!$S$4:$S$110,MATCH('Track Data'!S47,Acceleration!$K$4:$K$110,0)),'Track Data'!AF47)),'Track Data'!U47)</f>
        <v>3.5063437108727813</v>
      </c>
      <c r="AH47" s="16">
        <f>IF(AC47=0,IF(O47=2,INDEX(Acceleration!$R$4:$R$110,MATCH('Track Data'!S47,Acceleration!$K$4:$K$110,0)),IF('Track Data'!O47=1,INDEX(Acceleration!$Q$4:$Q$110,MATCH('Track Data'!S47,Acceleration!$K$4:$K$110,0)),'Track Data'!AG47)),'Track Data'!U47)</f>
        <v>3.5063437108727813</v>
      </c>
    </row>
    <row r="48" spans="2:43" x14ac:dyDescent="0.25">
      <c r="B48" s="16">
        <v>196.52600000000001</v>
      </c>
      <c r="C48" s="16">
        <v>7318</v>
      </c>
      <c r="D48" s="16">
        <v>45</v>
      </c>
      <c r="E48" s="113">
        <v>213</v>
      </c>
      <c r="F48" s="113">
        <v>210.8</v>
      </c>
      <c r="G48" s="113">
        <v>208.5</v>
      </c>
      <c r="H48" s="113">
        <f t="shared" si="3"/>
        <v>57.916666666666664</v>
      </c>
      <c r="I48" s="113">
        <v>4.0999999999999996</v>
      </c>
      <c r="J48" s="113">
        <v>15.87</v>
      </c>
      <c r="K48" s="113">
        <v>14.5</v>
      </c>
      <c r="L48" s="189"/>
      <c r="M48" s="16">
        <v>45</v>
      </c>
      <c r="N48" s="16">
        <f t="shared" si="5"/>
        <v>1.7005519234863209E-2</v>
      </c>
      <c r="O48" s="16">
        <v>6</v>
      </c>
      <c r="P48" s="16">
        <f t="shared" si="0"/>
        <v>7.3113821138211375</v>
      </c>
      <c r="Q48" s="16">
        <f t="shared" si="6"/>
        <v>58.804437911539253</v>
      </c>
      <c r="R48" s="113">
        <f t="shared" si="1"/>
        <v>311.95699999999999</v>
      </c>
      <c r="S48" s="16">
        <f>IF(S47=15800,15800,ROUND((((Q48*60)/'Gearing Calculator'!$C$14)*'Track Data'!P48),-2))</f>
        <v>13000</v>
      </c>
      <c r="T48" s="16">
        <f t="shared" si="4"/>
        <v>3.5063437108727813</v>
      </c>
      <c r="U48" s="16">
        <f>IF(AC48=100,Braking!$AG$2354,IF(AC48=50,Braking!$AG$1179,IF(AC48=75,Braking!$AG$1767,0)))</f>
        <v>0</v>
      </c>
      <c r="V48" s="16">
        <f>0.5*'Gearing Calculator'!$C$15*'Gearing Calculator'!$C$20*'Gearing Calculator'!$W$20*('Track Data'!Q48^2)</f>
        <v>365.99068941086517</v>
      </c>
      <c r="W48" s="16">
        <f>('Gearing Calculator'!$U$9*'Track Data'!T48)+'Track Data'!V48</f>
        <v>1299.3793852451995</v>
      </c>
      <c r="X48" s="16">
        <f>('Gearing Calculator'!$U$9*9.81)*('Gearing Calculator'!$U$16/'Gearing Calculator'!$C$7)-(('Track Data'!W48)*('Gearing Calculator'!$U$17/'Gearing Calculator'!$C$7))</f>
        <v>692.91179557238354</v>
      </c>
      <c r="Y48" s="16">
        <f>('Gearing Calculator'!$U$9*9.81)*(('Gearing Calculator'!$C$7-'Gearing Calculator'!$U$16)/'Gearing Calculator'!$C$7)+(('Track Data'!W48)*('Gearing Calculator'!$U$17/'Gearing Calculator'!$C$7))</f>
        <v>1918.5102044276164</v>
      </c>
      <c r="Z48" s="16">
        <f>((X48*COS('Gearing Calculator'!$C$21))/'Gearing Calculator'!$C$22)/2</f>
        <v>21.422641225801005</v>
      </c>
      <c r="AA48" s="16">
        <f>Y48/'Gearing Calculator'!$C$24</f>
        <v>26.788837225648805</v>
      </c>
      <c r="AB48" s="16">
        <f t="shared" si="2"/>
        <v>387.02875167610188</v>
      </c>
      <c r="AC48" s="16">
        <v>0</v>
      </c>
      <c r="AD48" s="16">
        <v>0</v>
      </c>
      <c r="AE48" s="16">
        <v>45</v>
      </c>
      <c r="AF48" s="16">
        <f>IF(AC48=0,IF(O48=6,INDEX(Acceleration!$V$4:$V$110,MATCH('Track Data'!S48,Acceleration!$K$4:$K$110,0)),IF('Track Data'!O48=5,INDEX(Acceleration!$U$4:$U$110,MATCH('Track Data'!S48,Acceleration!$K$4:$K$110,0)),1)),U48)</f>
        <v>3.5063437108727813</v>
      </c>
      <c r="AG48" s="16">
        <f>IF(AC48=0,IF(O48=4,INDEX(Acceleration!$T$4:$T$110,MATCH('Track Data'!S48,Acceleration!$K$4:$K$110,0)),IF('Track Data'!O48=3,INDEX(Acceleration!$S$4:$S$110,MATCH('Track Data'!S48,Acceleration!$K$4:$K$110,0)),'Track Data'!AF48)),'Track Data'!U48)</f>
        <v>3.5063437108727813</v>
      </c>
      <c r="AH48" s="16">
        <f>IF(AC48=0,IF(O48=2,INDEX(Acceleration!$R$4:$R$110,MATCH('Track Data'!S48,Acceleration!$K$4:$K$110,0)),IF('Track Data'!O48=1,INDEX(Acceleration!$Q$4:$Q$110,MATCH('Track Data'!S48,Acceleration!$K$4:$K$110,0)),'Track Data'!AG48)),'Track Data'!U48)</f>
        <v>3.5063437108727813</v>
      </c>
    </row>
    <row r="49" spans="2:34" x14ac:dyDescent="0.25">
      <c r="B49" s="16">
        <v>196.542</v>
      </c>
      <c r="C49" s="16">
        <v>7319</v>
      </c>
      <c r="D49" s="16">
        <v>46</v>
      </c>
      <c r="E49" s="113">
        <v>214</v>
      </c>
      <c r="F49" s="113">
        <v>211.1</v>
      </c>
      <c r="G49" s="113">
        <v>208.6</v>
      </c>
      <c r="H49" s="113">
        <f t="shared" si="3"/>
        <v>57.944444444444443</v>
      </c>
      <c r="I49" s="113">
        <v>3.5</v>
      </c>
      <c r="J49" s="113">
        <v>12.75</v>
      </c>
      <c r="K49" s="113">
        <v>20.9</v>
      </c>
      <c r="L49" s="189"/>
      <c r="M49" s="16">
        <v>46</v>
      </c>
      <c r="N49" s="16">
        <f t="shared" si="5"/>
        <v>1.6988301967111322E-2</v>
      </c>
      <c r="O49" s="16">
        <v>6</v>
      </c>
      <c r="P49" s="16">
        <f t="shared" si="0"/>
        <v>7.3113821138211375</v>
      </c>
      <c r="Q49" s="16">
        <f t="shared" si="6"/>
        <v>58.864034906841205</v>
      </c>
      <c r="R49" s="113">
        <f t="shared" si="1"/>
        <v>311.95699999999999</v>
      </c>
      <c r="S49" s="16">
        <f>IF(S48=15800,15800,ROUND((((Q49*60)/'Gearing Calculator'!$C$14)*'Track Data'!P49),-2))</f>
        <v>13000</v>
      </c>
      <c r="T49" s="16">
        <f t="shared" si="4"/>
        <v>3.5063437108727813</v>
      </c>
      <c r="U49" s="16">
        <f>IF(AC49=100,Braking!$AG$2354,IF(AC49=50,Braking!$AG$1179,IF(AC49=75,Braking!$AG$1767,0)))</f>
        <v>0</v>
      </c>
      <c r="V49" s="16">
        <f>0.5*'Gearing Calculator'!$C$15*'Gearing Calculator'!$C$20*'Gearing Calculator'!$W$20*('Track Data'!Q49^2)</f>
        <v>366.73291224758265</v>
      </c>
      <c r="W49" s="16">
        <f>('Gearing Calculator'!$U$9*'Track Data'!T49)+'Track Data'!V49</f>
        <v>1300.121608081917</v>
      </c>
      <c r="X49" s="16">
        <f>('Gearing Calculator'!$U$9*9.81)*('Gearing Calculator'!$U$16/'Gearing Calculator'!$C$7)-(('Track Data'!W49)*('Gearing Calculator'!$U$17/'Gearing Calculator'!$C$7))</f>
        <v>692.50723343720426</v>
      </c>
      <c r="Y49" s="16">
        <f>('Gearing Calculator'!$U$9*9.81)*(('Gearing Calculator'!$C$7-'Gearing Calculator'!$U$16)/'Gearing Calculator'!$C$7)+(('Track Data'!W49)*('Gearing Calculator'!$U$17/'Gearing Calculator'!$C$7))</f>
        <v>1918.9147665627956</v>
      </c>
      <c r="Z49" s="16">
        <f>((X49*COS('Gearing Calculator'!$C$21))/'Gearing Calculator'!$C$22)/2</f>
        <v>21.410133444102282</v>
      </c>
      <c r="AA49" s="16">
        <f>Y49/'Gearing Calculator'!$C$24</f>
        <v>26.794486269975998</v>
      </c>
      <c r="AB49" s="16">
        <f t="shared" si="2"/>
        <v>387.77097451281935</v>
      </c>
      <c r="AC49" s="16">
        <v>0</v>
      </c>
      <c r="AD49" s="16">
        <v>0</v>
      </c>
      <c r="AE49" s="16">
        <v>46</v>
      </c>
      <c r="AF49" s="16">
        <f>IF(AC49=0,IF(O49=6,INDEX(Acceleration!$V$4:$V$110,MATCH('Track Data'!S49,Acceleration!$K$4:$K$110,0)),IF('Track Data'!O49=5,INDEX(Acceleration!$U$4:$U$110,MATCH('Track Data'!S49,Acceleration!$K$4:$K$110,0)),1)),U49)</f>
        <v>3.5063437108727813</v>
      </c>
      <c r="AG49" s="16">
        <f>IF(AC49=0,IF(O49=4,INDEX(Acceleration!$T$4:$T$110,MATCH('Track Data'!S49,Acceleration!$K$4:$K$110,0)),IF('Track Data'!O49=3,INDEX(Acceleration!$S$4:$S$110,MATCH('Track Data'!S49,Acceleration!$K$4:$K$110,0)),'Track Data'!AF49)),'Track Data'!U49)</f>
        <v>3.5063437108727813</v>
      </c>
      <c r="AH49" s="16">
        <f>IF(AC49=0,IF(O49=2,INDEX(Acceleration!$R$4:$R$110,MATCH('Track Data'!S49,Acceleration!$K$4:$K$110,0)),IF('Track Data'!O49=1,INDEX(Acceleration!$Q$4:$Q$110,MATCH('Track Data'!S49,Acceleration!$K$4:$K$110,0)),'Track Data'!AG49)),'Track Data'!U49)</f>
        <v>3.5063437108727813</v>
      </c>
    </row>
    <row r="50" spans="2:34" x14ac:dyDescent="0.25">
      <c r="B50" s="16">
        <v>196.56</v>
      </c>
      <c r="C50" s="16">
        <v>7320</v>
      </c>
      <c r="D50" s="16">
        <v>47</v>
      </c>
      <c r="E50" s="113">
        <v>214</v>
      </c>
      <c r="F50" s="113">
        <v>211.3</v>
      </c>
      <c r="G50" s="113">
        <v>208.8</v>
      </c>
      <c r="H50" s="113">
        <f t="shared" si="3"/>
        <v>58</v>
      </c>
      <c r="I50" s="113">
        <v>2.9</v>
      </c>
      <c r="J50" s="113">
        <v>11.29</v>
      </c>
      <c r="K50" s="113">
        <v>26.1</v>
      </c>
      <c r="L50" s="189"/>
      <c r="M50" s="16">
        <v>47</v>
      </c>
      <c r="N50" s="16">
        <f t="shared" si="5"/>
        <v>1.6971136888648788E-2</v>
      </c>
      <c r="O50" s="16">
        <v>6</v>
      </c>
      <c r="P50" s="16">
        <f t="shared" si="0"/>
        <v>7.3113821138211375</v>
      </c>
      <c r="Q50" s="16">
        <f t="shared" si="6"/>
        <v>58.92357162405861</v>
      </c>
      <c r="R50" s="113">
        <f t="shared" si="1"/>
        <v>311.95699999999999</v>
      </c>
      <c r="S50" s="16">
        <f>IF(S49=15800,15800,ROUND((((Q50*60)/'Gearing Calculator'!$C$14)*'Track Data'!P50),-2))</f>
        <v>13100</v>
      </c>
      <c r="T50" s="16">
        <f t="shared" si="4"/>
        <v>3.4581068343744454</v>
      </c>
      <c r="U50" s="16">
        <f>IF(AC50=100,Braking!$AG$2354,IF(AC50=50,Braking!$AG$1179,IF(AC50=75,Braking!$AG$1767,0)))</f>
        <v>0</v>
      </c>
      <c r="V50" s="16">
        <f>0.5*'Gearing Calculator'!$C$15*'Gearing Calculator'!$C$20*'Gearing Calculator'!$W$20*('Track Data'!Q50^2)</f>
        <v>367.47513508430018</v>
      </c>
      <c r="W50" s="16">
        <f>('Gearing Calculator'!$U$9*'Track Data'!T50)+'Track Data'!V50</f>
        <v>1288.0231743947775</v>
      </c>
      <c r="X50" s="16">
        <f>('Gearing Calculator'!$U$9*9.81)*('Gearing Calculator'!$U$16/'Gearing Calculator'!$C$7)-(('Track Data'!W50)*('Gearing Calculator'!$U$17/'Gearing Calculator'!$C$7))</f>
        <v>699.10170604389691</v>
      </c>
      <c r="Y50" s="16">
        <f>('Gearing Calculator'!$U$9*9.81)*(('Gearing Calculator'!$C$7-'Gearing Calculator'!$U$16)/'Gearing Calculator'!$C$7)+(('Track Data'!W50)*('Gearing Calculator'!$U$17/'Gearing Calculator'!$C$7))</f>
        <v>1912.3202939561031</v>
      </c>
      <c r="Z50" s="16">
        <f>((X50*COS('Gearing Calculator'!$C$21))/'Gearing Calculator'!$C$22)/2</f>
        <v>21.614013680561317</v>
      </c>
      <c r="AA50" s="16">
        <f>Y50/'Gearing Calculator'!$C$24</f>
        <v>26.702405314220854</v>
      </c>
      <c r="AB50" s="16">
        <f t="shared" si="2"/>
        <v>388.22377609054683</v>
      </c>
      <c r="AC50" s="16">
        <v>0</v>
      </c>
      <c r="AD50" s="16">
        <v>0</v>
      </c>
      <c r="AE50" s="16">
        <v>47</v>
      </c>
      <c r="AF50" s="16">
        <f>IF(AC50=0,IF(O50=6,INDEX(Acceleration!$V$4:$V$110,MATCH('Track Data'!S50,Acceleration!$K$4:$K$110,0)),IF('Track Data'!O50=5,INDEX(Acceleration!$U$4:$U$110,MATCH('Track Data'!S50,Acceleration!$K$4:$K$110,0)),1)),U50)</f>
        <v>3.4581068343744454</v>
      </c>
      <c r="AG50" s="16">
        <f>IF(AC50=0,IF(O50=4,INDEX(Acceleration!$T$4:$T$110,MATCH('Track Data'!S50,Acceleration!$K$4:$K$110,0)),IF('Track Data'!O50=3,INDEX(Acceleration!$S$4:$S$110,MATCH('Track Data'!S50,Acceleration!$K$4:$K$110,0)),'Track Data'!AF50)),'Track Data'!U50)</f>
        <v>3.4581068343744454</v>
      </c>
      <c r="AH50" s="16">
        <f>IF(AC50=0,IF(O50=2,INDEX(Acceleration!$R$4:$R$110,MATCH('Track Data'!S50,Acceleration!$K$4:$K$110,0)),IF('Track Data'!O50=1,INDEX(Acceleration!$Q$4:$Q$110,MATCH('Track Data'!S50,Acceleration!$K$4:$K$110,0)),'Track Data'!AG50)),'Track Data'!U50)</f>
        <v>3.4581068343744454</v>
      </c>
    </row>
    <row r="51" spans="2:34" x14ac:dyDescent="0.25">
      <c r="B51" s="16">
        <v>196.577</v>
      </c>
      <c r="C51" s="16">
        <v>7321</v>
      </c>
      <c r="D51" s="16">
        <v>48</v>
      </c>
      <c r="E51" s="113">
        <v>214</v>
      </c>
      <c r="F51" s="113">
        <v>211.3</v>
      </c>
      <c r="G51" s="113">
        <v>208.8</v>
      </c>
      <c r="H51" s="113">
        <f t="shared" si="3"/>
        <v>58</v>
      </c>
      <c r="I51" s="113">
        <v>2.8</v>
      </c>
      <c r="J51" s="113">
        <v>11.72</v>
      </c>
      <c r="K51" s="113">
        <v>26.1</v>
      </c>
      <c r="L51" s="189"/>
      <c r="M51" s="16">
        <v>48</v>
      </c>
      <c r="N51" s="16">
        <f t="shared" si="5"/>
        <v>1.6954258811413776E-2</v>
      </c>
      <c r="O51" s="16">
        <v>6</v>
      </c>
      <c r="P51" s="16">
        <f t="shared" si="0"/>
        <v>7.3113821138211375</v>
      </c>
      <c r="Q51" s="16">
        <f t="shared" si="6"/>
        <v>58.982230430904472</v>
      </c>
      <c r="R51" s="113">
        <f t="shared" si="1"/>
        <v>311.95699999999999</v>
      </c>
      <c r="S51" s="16">
        <f>IF(S50=15800,15800,ROUND((((Q51*60)/'Gearing Calculator'!$C$14)*'Track Data'!P51),-2))</f>
        <v>13100</v>
      </c>
      <c r="T51" s="16">
        <f t="shared" si="4"/>
        <v>3.4581068343744454</v>
      </c>
      <c r="U51" s="16">
        <f>IF(AC51=100,Braking!$AG$2354,IF(AC51=50,Braking!$AG$1179,IF(AC51=75,Braking!$AG$1767,0)))</f>
        <v>0</v>
      </c>
      <c r="V51" s="16">
        <f>0.5*'Gearing Calculator'!$C$15*'Gearing Calculator'!$C$20*'Gearing Calculator'!$W$20*('Track Data'!Q51^2)</f>
        <v>368.20714713900048</v>
      </c>
      <c r="W51" s="16">
        <f>('Gearing Calculator'!$U$9*'Track Data'!T51)+'Track Data'!V51</f>
        <v>1288.7551864494778</v>
      </c>
      <c r="X51" s="16">
        <f>('Gearing Calculator'!$U$9*9.81)*('Gearing Calculator'!$U$16/'Gearing Calculator'!$C$7)-(('Track Data'!W51)*('Gearing Calculator'!$U$17/'Gearing Calculator'!$C$7))</f>
        <v>698.70270948224925</v>
      </c>
      <c r="Y51" s="16">
        <f>('Gearing Calculator'!$U$9*9.81)*(('Gearing Calculator'!$C$7-'Gearing Calculator'!$U$16)/'Gearing Calculator'!$C$7)+(('Track Data'!W51)*('Gearing Calculator'!$U$17/'Gearing Calculator'!$C$7))</f>
        <v>1912.7192905177508</v>
      </c>
      <c r="Z51" s="16">
        <f>((X51*COS('Gearing Calculator'!$C$21))/'Gearing Calculator'!$C$22)/2</f>
        <v>21.60167796879378</v>
      </c>
      <c r="AA51" s="16">
        <f>Y51/'Gearing Calculator'!$C$24</f>
        <v>26.707976644474353</v>
      </c>
      <c r="AB51" s="16">
        <f t="shared" si="2"/>
        <v>388.95578814524714</v>
      </c>
      <c r="AC51" s="16">
        <v>0</v>
      </c>
      <c r="AD51" s="16">
        <v>0</v>
      </c>
      <c r="AE51" s="16">
        <v>48</v>
      </c>
      <c r="AF51" s="16">
        <f>IF(AC51=0,IF(O51=6,INDEX(Acceleration!$V$4:$V$110,MATCH('Track Data'!S51,Acceleration!$K$4:$K$110,0)),IF('Track Data'!O51=5,INDEX(Acceleration!$U$4:$U$110,MATCH('Track Data'!S51,Acceleration!$K$4:$K$110,0)),1)),U51)</f>
        <v>3.4581068343744454</v>
      </c>
      <c r="AG51" s="16">
        <f>IF(AC51=0,IF(O51=4,INDEX(Acceleration!$T$4:$T$110,MATCH('Track Data'!S51,Acceleration!$K$4:$K$110,0)),IF('Track Data'!O51=3,INDEX(Acceleration!$S$4:$S$110,MATCH('Track Data'!S51,Acceleration!$K$4:$K$110,0)),'Track Data'!AF51)),'Track Data'!U51)</f>
        <v>3.4581068343744454</v>
      </c>
      <c r="AH51" s="16">
        <f>IF(AC51=0,IF(O51=2,INDEX(Acceleration!$R$4:$R$110,MATCH('Track Data'!S51,Acceleration!$K$4:$K$110,0)),IF('Track Data'!O51=1,INDEX(Acceleration!$Q$4:$Q$110,MATCH('Track Data'!S51,Acceleration!$K$4:$K$110,0)),'Track Data'!AG51)),'Track Data'!U51)</f>
        <v>3.4581068343744454</v>
      </c>
    </row>
    <row r="52" spans="2:34" x14ac:dyDescent="0.25">
      <c r="B52" s="16">
        <v>196.59399999999999</v>
      </c>
      <c r="C52" s="16">
        <v>7322</v>
      </c>
      <c r="D52" s="16">
        <v>49</v>
      </c>
      <c r="E52" s="113">
        <v>214</v>
      </c>
      <c r="F52" s="113">
        <v>211.2</v>
      </c>
      <c r="G52" s="113">
        <v>209</v>
      </c>
      <c r="H52" s="113">
        <f t="shared" si="3"/>
        <v>58.055555555555557</v>
      </c>
      <c r="I52" s="113">
        <v>2.8</v>
      </c>
      <c r="J52" s="113">
        <v>13.36</v>
      </c>
      <c r="K52" s="113">
        <v>26.1</v>
      </c>
      <c r="L52" s="189"/>
      <c r="M52" s="16">
        <v>49</v>
      </c>
      <c r="N52" s="16">
        <f t="shared" si="5"/>
        <v>1.6937430990808529E-2</v>
      </c>
      <c r="O52" s="16">
        <v>6</v>
      </c>
      <c r="P52" s="16">
        <f t="shared" si="0"/>
        <v>7.3113821138211375</v>
      </c>
      <c r="Q52" s="16">
        <f t="shared" si="6"/>
        <v>59.040830958524474</v>
      </c>
      <c r="R52" s="113">
        <f t="shared" si="1"/>
        <v>311.95699999999999</v>
      </c>
      <c r="S52" s="16">
        <f>IF(S51=15800,15800,ROUND((((Q52*60)/'Gearing Calculator'!$C$14)*'Track Data'!P52),-2))</f>
        <v>13100</v>
      </c>
      <c r="T52" s="16">
        <f t="shared" si="4"/>
        <v>3.4581068343744454</v>
      </c>
      <c r="U52" s="16">
        <f>IF(AC52=100,Braking!$AG$2354,IF(AC52=50,Braking!$AG$1179,IF(AC52=75,Braking!$AG$1767,0)))</f>
        <v>0</v>
      </c>
      <c r="V52" s="16">
        <f>0.5*'Gearing Calculator'!$C$15*'Gearing Calculator'!$C$20*'Gearing Calculator'!$W$20*('Track Data'!Q52^2)</f>
        <v>368.93915919370085</v>
      </c>
      <c r="W52" s="16">
        <f>('Gearing Calculator'!$U$9*'Track Data'!T52)+'Track Data'!V52</f>
        <v>1289.4871985041782</v>
      </c>
      <c r="X52" s="16">
        <f>('Gearing Calculator'!$U$9*9.81)*('Gearing Calculator'!$U$16/'Gearing Calculator'!$C$7)-(('Track Data'!W52)*('Gearing Calculator'!$U$17/'Gearing Calculator'!$C$7))</f>
        <v>698.3037129206017</v>
      </c>
      <c r="Y52" s="16">
        <f>('Gearing Calculator'!$U$9*9.81)*(('Gearing Calculator'!$C$7-'Gearing Calculator'!$U$16)/'Gearing Calculator'!$C$7)+(('Track Data'!W52)*('Gearing Calculator'!$U$17/'Gearing Calculator'!$C$7))</f>
        <v>1913.1182870793982</v>
      </c>
      <c r="Z52" s="16">
        <f>((X52*COS('Gearing Calculator'!$C$21))/'Gearing Calculator'!$C$22)/2</f>
        <v>21.589342257026249</v>
      </c>
      <c r="AA52" s="16">
        <f>Y52/'Gearing Calculator'!$C$24</f>
        <v>26.713547974727849</v>
      </c>
      <c r="AB52" s="16">
        <f t="shared" si="2"/>
        <v>389.6878001999475</v>
      </c>
      <c r="AC52" s="16">
        <v>0</v>
      </c>
      <c r="AD52" s="16">
        <v>0</v>
      </c>
      <c r="AE52" s="16">
        <v>49</v>
      </c>
      <c r="AF52" s="16">
        <f>IF(AC52=0,IF(O52=6,INDEX(Acceleration!$V$4:$V$110,MATCH('Track Data'!S52,Acceleration!$K$4:$K$110,0)),IF('Track Data'!O52=5,INDEX(Acceleration!$U$4:$U$110,MATCH('Track Data'!S52,Acceleration!$K$4:$K$110,0)),1)),U52)</f>
        <v>3.4581068343744454</v>
      </c>
      <c r="AG52" s="16">
        <f>IF(AC52=0,IF(O52=4,INDEX(Acceleration!$T$4:$T$110,MATCH('Track Data'!S52,Acceleration!$K$4:$K$110,0)),IF('Track Data'!O52=3,INDEX(Acceleration!$S$4:$S$110,MATCH('Track Data'!S52,Acceleration!$K$4:$K$110,0)),'Track Data'!AF52)),'Track Data'!U52)</f>
        <v>3.4581068343744454</v>
      </c>
      <c r="AH52" s="16">
        <f>IF(AC52=0,IF(O52=2,INDEX(Acceleration!$R$4:$R$110,MATCH('Track Data'!S52,Acceleration!$K$4:$K$110,0)),IF('Track Data'!O52=1,INDEX(Acceleration!$Q$4:$Q$110,MATCH('Track Data'!S52,Acceleration!$K$4:$K$110,0)),'Track Data'!AG52)),'Track Data'!U52)</f>
        <v>3.4581068343744454</v>
      </c>
    </row>
    <row r="53" spans="2:34" x14ac:dyDescent="0.25">
      <c r="B53" s="16">
        <v>196.61099999999999</v>
      </c>
      <c r="C53" s="16">
        <v>7323</v>
      </c>
      <c r="D53" s="16">
        <v>50</v>
      </c>
      <c r="E53" s="113">
        <v>214</v>
      </c>
      <c r="F53" s="113">
        <v>211.5</v>
      </c>
      <c r="G53" s="113">
        <v>209.1</v>
      </c>
      <c r="H53" s="113">
        <f t="shared" si="3"/>
        <v>58.083333333333329</v>
      </c>
      <c r="I53" s="113">
        <v>3.3</v>
      </c>
      <c r="J53" s="113">
        <v>12.76</v>
      </c>
      <c r="K53" s="113">
        <v>26.1</v>
      </c>
      <c r="L53" s="189"/>
      <c r="M53" s="16">
        <v>50</v>
      </c>
      <c r="N53" s="16">
        <f t="shared" si="5"/>
        <v>1.6920653177917893E-2</v>
      </c>
      <c r="O53" s="16">
        <v>6</v>
      </c>
      <c r="P53" s="16">
        <f t="shared" si="0"/>
        <v>7.3113821138211375</v>
      </c>
      <c r="Q53" s="16">
        <f t="shared" si="6"/>
        <v>59.099373380280532</v>
      </c>
      <c r="R53" s="113">
        <f t="shared" si="1"/>
        <v>311.95699999999999</v>
      </c>
      <c r="S53" s="16">
        <f>IF(S52=15800,15800,ROUND((((Q53*60)/'Gearing Calculator'!$C$14)*'Track Data'!P53),-2))</f>
        <v>13100</v>
      </c>
      <c r="T53" s="16">
        <f t="shared" si="4"/>
        <v>3.4581068343744454</v>
      </c>
      <c r="U53" s="16">
        <f>IF(AC53=100,Braking!$AG$2354,IF(AC53=50,Braking!$AG$1179,IF(AC53=75,Braking!$AG$1767,0)))</f>
        <v>0</v>
      </c>
      <c r="V53" s="16">
        <f>0.5*'Gearing Calculator'!$C$15*'Gearing Calculator'!$C$20*'Gearing Calculator'!$W$20*('Track Data'!Q53^2)</f>
        <v>369.67117124840127</v>
      </c>
      <c r="W53" s="16">
        <f>('Gearing Calculator'!$U$9*'Track Data'!T53)+'Track Data'!V53</f>
        <v>1290.2192105588786</v>
      </c>
      <c r="X53" s="16">
        <f>('Gearing Calculator'!$U$9*9.81)*('Gearing Calculator'!$U$16/'Gearing Calculator'!$C$7)-(('Track Data'!W53)*('Gearing Calculator'!$U$17/'Gearing Calculator'!$C$7))</f>
        <v>697.90471635895403</v>
      </c>
      <c r="Y53" s="16">
        <f>('Gearing Calculator'!$U$9*9.81)*(('Gearing Calculator'!$C$7-'Gearing Calculator'!$U$16)/'Gearing Calculator'!$C$7)+(('Track Data'!W53)*('Gearing Calculator'!$U$17/'Gearing Calculator'!$C$7))</f>
        <v>1913.5172836410461</v>
      </c>
      <c r="Z53" s="16">
        <f>((X53*COS('Gearing Calculator'!$C$21))/'Gearing Calculator'!$C$22)/2</f>
        <v>21.577006545258712</v>
      </c>
      <c r="AA53" s="16">
        <f>Y53/'Gearing Calculator'!$C$24</f>
        <v>26.719119304981351</v>
      </c>
      <c r="AB53" s="16">
        <f t="shared" si="2"/>
        <v>390.41981225464792</v>
      </c>
      <c r="AC53" s="16">
        <v>0</v>
      </c>
      <c r="AD53" s="16">
        <v>0</v>
      </c>
      <c r="AE53" s="16">
        <v>50</v>
      </c>
      <c r="AF53" s="16">
        <f>IF(AC53=0,IF(O53=6,INDEX(Acceleration!$V$4:$V$110,MATCH('Track Data'!S53,Acceleration!$K$4:$K$110,0)),IF('Track Data'!O53=5,INDEX(Acceleration!$U$4:$U$110,MATCH('Track Data'!S53,Acceleration!$K$4:$K$110,0)),1)),U53)</f>
        <v>3.4581068343744454</v>
      </c>
      <c r="AG53" s="16">
        <f>IF(AC53=0,IF(O53=4,INDEX(Acceleration!$T$4:$T$110,MATCH('Track Data'!S53,Acceleration!$K$4:$K$110,0)),IF('Track Data'!O53=3,INDEX(Acceleration!$S$4:$S$110,MATCH('Track Data'!S53,Acceleration!$K$4:$K$110,0)),'Track Data'!AF53)),'Track Data'!U53)</f>
        <v>3.4581068343744454</v>
      </c>
      <c r="AH53" s="16">
        <f>IF(AC53=0,IF(O53=2,INDEX(Acceleration!$R$4:$R$110,MATCH('Track Data'!S53,Acceleration!$K$4:$K$110,0)),IF('Track Data'!O53=1,INDEX(Acceleration!$Q$4:$Q$110,MATCH('Track Data'!S53,Acceleration!$K$4:$K$110,0)),'Track Data'!AG53)),'Track Data'!U53)</f>
        <v>3.4581068343744454</v>
      </c>
    </row>
    <row r="54" spans="2:34" x14ac:dyDescent="0.25">
      <c r="B54" s="16">
        <v>196.62700000000001</v>
      </c>
      <c r="C54" s="16">
        <v>7324</v>
      </c>
      <c r="D54" s="16">
        <v>51</v>
      </c>
      <c r="E54" s="113">
        <v>214</v>
      </c>
      <c r="F54" s="113">
        <v>211.6</v>
      </c>
      <c r="G54" s="113">
        <v>209.2</v>
      </c>
      <c r="H54" s="113">
        <f t="shared" si="3"/>
        <v>58.111111111111107</v>
      </c>
      <c r="I54" s="113">
        <v>3.6</v>
      </c>
      <c r="J54" s="113">
        <v>11.86</v>
      </c>
      <c r="K54" s="113">
        <v>26.1</v>
      </c>
      <c r="L54" s="189"/>
      <c r="M54" s="16">
        <v>51</v>
      </c>
      <c r="N54" s="16">
        <f t="shared" si="5"/>
        <v>1.6903925125549311E-2</v>
      </c>
      <c r="O54" s="16">
        <v>6</v>
      </c>
      <c r="P54" s="16">
        <f t="shared" si="0"/>
        <v>7.3113821138211375</v>
      </c>
      <c r="Q54" s="16">
        <f t="shared" si="6"/>
        <v>59.15785786867675</v>
      </c>
      <c r="R54" s="113">
        <f t="shared" si="1"/>
        <v>311.95699999999999</v>
      </c>
      <c r="S54" s="16">
        <f>IF(S53=15800,15800,ROUND((((Q54*60)/'Gearing Calculator'!$C$14)*'Track Data'!P54),-2))</f>
        <v>13100</v>
      </c>
      <c r="T54" s="16">
        <f t="shared" si="4"/>
        <v>3.4581068343744454</v>
      </c>
      <c r="U54" s="16">
        <f>IF(AC54=100,Braking!$AG$2354,IF(AC54=50,Braking!$AG$1179,IF(AC54=75,Braking!$AG$1767,0)))</f>
        <v>0</v>
      </c>
      <c r="V54" s="16">
        <f>0.5*'Gearing Calculator'!$C$15*'Gearing Calculator'!$C$20*'Gearing Calculator'!$W$20*('Track Data'!Q54^2)</f>
        <v>370.40318330310157</v>
      </c>
      <c r="W54" s="16">
        <f>('Gearing Calculator'!$U$9*'Track Data'!T54)+'Track Data'!V54</f>
        <v>1290.9512226135789</v>
      </c>
      <c r="X54" s="16">
        <f>('Gearing Calculator'!$U$9*9.81)*('Gearing Calculator'!$U$16/'Gearing Calculator'!$C$7)-(('Track Data'!W54)*('Gearing Calculator'!$U$17/'Gearing Calculator'!$C$7))</f>
        <v>697.50571979730637</v>
      </c>
      <c r="Y54" s="16">
        <f>('Gearing Calculator'!$U$9*9.81)*(('Gearing Calculator'!$C$7-'Gearing Calculator'!$U$16)/'Gearing Calculator'!$C$7)+(('Track Data'!W54)*('Gearing Calculator'!$U$17/'Gearing Calculator'!$C$7))</f>
        <v>1913.9162802026935</v>
      </c>
      <c r="Z54" s="16">
        <f>((X54*COS('Gearing Calculator'!$C$21))/'Gearing Calculator'!$C$22)/2</f>
        <v>21.564670833491178</v>
      </c>
      <c r="AA54" s="16">
        <f>Y54/'Gearing Calculator'!$C$24</f>
        <v>26.724690635234847</v>
      </c>
      <c r="AB54" s="16">
        <f t="shared" si="2"/>
        <v>391.15182430934823</v>
      </c>
      <c r="AC54" s="16">
        <v>0</v>
      </c>
      <c r="AD54" s="16">
        <v>0</v>
      </c>
      <c r="AE54" s="16">
        <v>51</v>
      </c>
      <c r="AF54" s="16">
        <f>IF(AC54=0,IF(O54=6,INDEX(Acceleration!$V$4:$V$110,MATCH('Track Data'!S54,Acceleration!$K$4:$K$110,0)),IF('Track Data'!O54=5,INDEX(Acceleration!$U$4:$U$110,MATCH('Track Data'!S54,Acceleration!$K$4:$K$110,0)),1)),U54)</f>
        <v>3.4581068343744454</v>
      </c>
      <c r="AG54" s="16">
        <f>IF(AC54=0,IF(O54=4,INDEX(Acceleration!$T$4:$T$110,MATCH('Track Data'!S54,Acceleration!$K$4:$K$110,0)),IF('Track Data'!O54=3,INDEX(Acceleration!$S$4:$S$110,MATCH('Track Data'!S54,Acceleration!$K$4:$K$110,0)),'Track Data'!AF54)),'Track Data'!U54)</f>
        <v>3.4581068343744454</v>
      </c>
      <c r="AH54" s="16">
        <f>IF(AC54=0,IF(O54=2,INDEX(Acceleration!$R$4:$R$110,MATCH('Track Data'!S54,Acceleration!$K$4:$K$110,0)),IF('Track Data'!O54=1,INDEX(Acceleration!$Q$4:$Q$110,MATCH('Track Data'!S54,Acceleration!$K$4:$K$110,0)),'Track Data'!AG54)),'Track Data'!U54)</f>
        <v>3.4581068343744454</v>
      </c>
    </row>
    <row r="55" spans="2:34" x14ac:dyDescent="0.25">
      <c r="B55" s="16">
        <v>196.64500000000001</v>
      </c>
      <c r="C55" s="16">
        <v>7325</v>
      </c>
      <c r="D55" s="16">
        <v>52</v>
      </c>
      <c r="E55" s="113">
        <v>214</v>
      </c>
      <c r="F55" s="113">
        <v>212.2</v>
      </c>
      <c r="G55" s="113">
        <v>209.3</v>
      </c>
      <c r="H55" s="113">
        <f t="shared" si="3"/>
        <v>58.138888888888893</v>
      </c>
      <c r="I55" s="113">
        <v>3.6</v>
      </c>
      <c r="J55" s="113">
        <v>10.57</v>
      </c>
      <c r="K55" s="113">
        <v>23.4</v>
      </c>
      <c r="L55" s="189"/>
      <c r="M55" s="16">
        <v>52</v>
      </c>
      <c r="N55" s="16">
        <f t="shared" si="5"/>
        <v>1.688724658821749E-2</v>
      </c>
      <c r="O55" s="16">
        <v>6</v>
      </c>
      <c r="P55" s="16">
        <f t="shared" si="0"/>
        <v>7.3113821138211375</v>
      </c>
      <c r="Q55" s="16">
        <f t="shared" si="6"/>
        <v>59.216284595365387</v>
      </c>
      <c r="R55" s="113">
        <f t="shared" si="1"/>
        <v>311.95699999999999</v>
      </c>
      <c r="S55" s="16">
        <f>IF(S54=15800,15800,ROUND((((Q55*60)/'Gearing Calculator'!$C$14)*'Track Data'!P55),-2))</f>
        <v>13100</v>
      </c>
      <c r="T55" s="16">
        <f t="shared" si="4"/>
        <v>3.4581068343744454</v>
      </c>
      <c r="U55" s="16">
        <f>IF(AC55=100,Braking!$AG$2354,IF(AC55=50,Braking!$AG$1179,IF(AC55=75,Braking!$AG$1767,0)))</f>
        <v>0</v>
      </c>
      <c r="V55" s="16">
        <f>0.5*'Gearing Calculator'!$C$15*'Gearing Calculator'!$C$20*'Gearing Calculator'!$W$20*('Track Data'!Q55^2)</f>
        <v>371.13519535780193</v>
      </c>
      <c r="W55" s="16">
        <f>('Gearing Calculator'!$U$9*'Track Data'!T55)+'Track Data'!V55</f>
        <v>1291.6832346682793</v>
      </c>
      <c r="X55" s="16">
        <f>('Gearing Calculator'!$U$9*9.81)*('Gearing Calculator'!$U$16/'Gearing Calculator'!$C$7)-(('Track Data'!W55)*('Gearing Calculator'!$U$17/'Gearing Calculator'!$C$7))</f>
        <v>697.10672323565882</v>
      </c>
      <c r="Y55" s="16">
        <f>('Gearing Calculator'!$U$9*9.81)*(('Gearing Calculator'!$C$7-'Gearing Calculator'!$U$16)/'Gearing Calculator'!$C$7)+(('Track Data'!W55)*('Gearing Calculator'!$U$17/'Gearing Calculator'!$C$7))</f>
        <v>1914.3152767643412</v>
      </c>
      <c r="Z55" s="16">
        <f>((X55*COS('Gearing Calculator'!$C$21))/'Gearing Calculator'!$C$22)/2</f>
        <v>21.552335121723647</v>
      </c>
      <c r="AA55" s="16">
        <f>Y55/'Gearing Calculator'!$C$24</f>
        <v>26.730261965488342</v>
      </c>
      <c r="AB55" s="16">
        <f t="shared" si="2"/>
        <v>391.88383636404859</v>
      </c>
      <c r="AC55" s="16">
        <v>0</v>
      </c>
      <c r="AD55" s="16">
        <v>0</v>
      </c>
      <c r="AE55" s="16">
        <v>52</v>
      </c>
      <c r="AF55" s="16">
        <f>IF(AC55=0,IF(O55=6,INDEX(Acceleration!$V$4:$V$110,MATCH('Track Data'!S55,Acceleration!$K$4:$K$110,0)),IF('Track Data'!O55=5,INDEX(Acceleration!$U$4:$U$110,MATCH('Track Data'!S55,Acceleration!$K$4:$K$110,0)),1)),U55)</f>
        <v>3.4581068343744454</v>
      </c>
      <c r="AG55" s="16">
        <f>IF(AC55=0,IF(O55=4,INDEX(Acceleration!$T$4:$T$110,MATCH('Track Data'!S55,Acceleration!$K$4:$K$110,0)),IF('Track Data'!O55=3,INDEX(Acceleration!$S$4:$S$110,MATCH('Track Data'!S55,Acceleration!$K$4:$K$110,0)),'Track Data'!AF55)),'Track Data'!U55)</f>
        <v>3.4581068343744454</v>
      </c>
      <c r="AH55" s="16">
        <f>IF(AC55=0,IF(O55=2,INDEX(Acceleration!$R$4:$R$110,MATCH('Track Data'!S55,Acceleration!$K$4:$K$110,0)),IF('Track Data'!O55=1,INDEX(Acceleration!$Q$4:$Q$110,MATCH('Track Data'!S55,Acceleration!$K$4:$K$110,0)),'Track Data'!AG55)),'Track Data'!U55)</f>
        <v>3.4581068343744454</v>
      </c>
    </row>
    <row r="56" spans="2:34" x14ac:dyDescent="0.25">
      <c r="B56" s="16">
        <v>196.66200000000001</v>
      </c>
      <c r="C56" s="16">
        <v>7326</v>
      </c>
      <c r="D56" s="16">
        <v>53</v>
      </c>
      <c r="E56" s="113">
        <v>215</v>
      </c>
      <c r="F56" s="113">
        <v>213.3</v>
      </c>
      <c r="G56" s="113">
        <v>209.5</v>
      </c>
      <c r="H56" s="113">
        <f t="shared" si="3"/>
        <v>58.194444444444443</v>
      </c>
      <c r="I56" s="113">
        <v>2.7</v>
      </c>
      <c r="J56" s="113">
        <v>9.19</v>
      </c>
      <c r="K56" s="113">
        <v>9.1</v>
      </c>
      <c r="L56" s="189"/>
      <c r="M56" s="16">
        <v>53</v>
      </c>
      <c r="N56" s="16">
        <f t="shared" si="5"/>
        <v>1.6870617322129279E-2</v>
      </c>
      <c r="O56" s="16">
        <v>6</v>
      </c>
      <c r="P56" s="16">
        <f t="shared" si="0"/>
        <v>7.3113821138211375</v>
      </c>
      <c r="Q56" s="16">
        <f t="shared" si="6"/>
        <v>59.274653731152718</v>
      </c>
      <c r="R56" s="113">
        <f t="shared" si="1"/>
        <v>311.95699999999999</v>
      </c>
      <c r="S56" s="16">
        <f>IF(S55=15800,15800,ROUND((((Q56*60)/'Gearing Calculator'!$C$14)*'Track Data'!P56),-2))</f>
        <v>13100</v>
      </c>
      <c r="T56" s="16">
        <f t="shared" si="4"/>
        <v>3.4581068343744454</v>
      </c>
      <c r="U56" s="16">
        <f>IF(AC56=100,Braking!$AG$2354,IF(AC56=50,Braking!$AG$1179,IF(AC56=75,Braking!$AG$1767,0)))</f>
        <v>0</v>
      </c>
      <c r="V56" s="16">
        <f>0.5*'Gearing Calculator'!$C$15*'Gearing Calculator'!$C$20*'Gearing Calculator'!$W$20*('Track Data'!Q56^2)</f>
        <v>371.8672074125023</v>
      </c>
      <c r="W56" s="16">
        <f>('Gearing Calculator'!$U$9*'Track Data'!T56)+'Track Data'!V56</f>
        <v>1292.4152467229796</v>
      </c>
      <c r="X56" s="16">
        <f>('Gearing Calculator'!$U$9*9.81)*('Gearing Calculator'!$U$16/'Gearing Calculator'!$C$7)-(('Track Data'!W56)*('Gearing Calculator'!$U$17/'Gearing Calculator'!$C$7))</f>
        <v>696.70772667401116</v>
      </c>
      <c r="Y56" s="16">
        <f>('Gearing Calculator'!$U$9*9.81)*(('Gearing Calculator'!$C$7-'Gearing Calculator'!$U$16)/'Gearing Calculator'!$C$7)+(('Track Data'!W56)*('Gearing Calculator'!$U$17/'Gearing Calculator'!$C$7))</f>
        <v>1914.7142733259889</v>
      </c>
      <c r="Z56" s="16">
        <f>((X56*COS('Gearing Calculator'!$C$21))/'Gearing Calculator'!$C$22)/2</f>
        <v>21.539999409956113</v>
      </c>
      <c r="AA56" s="16">
        <f>Y56/'Gearing Calculator'!$C$24</f>
        <v>26.735833295741841</v>
      </c>
      <c r="AB56" s="16">
        <f t="shared" si="2"/>
        <v>392.61584841874895</v>
      </c>
      <c r="AC56" s="16">
        <v>0</v>
      </c>
      <c r="AD56" s="16">
        <v>0</v>
      </c>
      <c r="AE56" s="16">
        <v>53</v>
      </c>
      <c r="AF56" s="16">
        <f>IF(AC56=0,IF(O56=6,INDEX(Acceleration!$V$4:$V$110,MATCH('Track Data'!S56,Acceleration!$K$4:$K$110,0)),IF('Track Data'!O56=5,INDEX(Acceleration!$U$4:$U$110,MATCH('Track Data'!S56,Acceleration!$K$4:$K$110,0)),1)),U56)</f>
        <v>3.4581068343744454</v>
      </c>
      <c r="AG56" s="16">
        <f>IF(AC56=0,IF(O56=4,INDEX(Acceleration!$T$4:$T$110,MATCH('Track Data'!S56,Acceleration!$K$4:$K$110,0)),IF('Track Data'!O56=3,INDEX(Acceleration!$S$4:$S$110,MATCH('Track Data'!S56,Acceleration!$K$4:$K$110,0)),'Track Data'!AF56)),'Track Data'!U56)</f>
        <v>3.4581068343744454</v>
      </c>
      <c r="AH56" s="16">
        <f>IF(AC56=0,IF(O56=2,INDEX(Acceleration!$R$4:$R$110,MATCH('Track Data'!S56,Acceleration!$K$4:$K$110,0)),IF('Track Data'!O56=1,INDEX(Acceleration!$Q$4:$Q$110,MATCH('Track Data'!S56,Acceleration!$K$4:$K$110,0)),'Track Data'!AG56)),'Track Data'!U56)</f>
        <v>3.4581068343744454</v>
      </c>
    </row>
    <row r="57" spans="2:34" x14ac:dyDescent="0.25">
      <c r="B57" s="16">
        <v>196.679</v>
      </c>
      <c r="C57" s="16">
        <v>7327</v>
      </c>
      <c r="D57" s="16">
        <v>54</v>
      </c>
      <c r="E57" s="113">
        <v>216</v>
      </c>
      <c r="F57" s="113">
        <v>213.8</v>
      </c>
      <c r="G57" s="113">
        <v>209.5</v>
      </c>
      <c r="H57" s="113">
        <f t="shared" si="3"/>
        <v>58.194444444444443</v>
      </c>
      <c r="I57" s="113">
        <v>2</v>
      </c>
      <c r="J57" s="113">
        <v>11.06</v>
      </c>
      <c r="K57" s="113">
        <v>1.9</v>
      </c>
      <c r="L57" s="189"/>
      <c r="M57" s="16">
        <v>54</v>
      </c>
      <c r="N57" s="16">
        <f t="shared" si="5"/>
        <v>1.6854037085168722E-2</v>
      </c>
      <c r="O57" s="16">
        <v>6</v>
      </c>
      <c r="P57" s="16">
        <f t="shared" si="0"/>
        <v>7.3113821138211375</v>
      </c>
      <c r="Q57" s="16">
        <f t="shared" si="6"/>
        <v>59.332965446004849</v>
      </c>
      <c r="R57" s="113">
        <f t="shared" si="1"/>
        <v>311.95699999999999</v>
      </c>
      <c r="S57" s="16">
        <f>IF(S56=15800,15800,ROUND((((Q57*60)/'Gearing Calculator'!$C$14)*'Track Data'!P57),-2))</f>
        <v>13200</v>
      </c>
      <c r="T57" s="16">
        <f t="shared" si="4"/>
        <v>3.4102730070470715</v>
      </c>
      <c r="U57" s="16">
        <f>IF(AC57=100,Braking!$AG$2354,IF(AC57=50,Braking!$AG$1179,IF(AC57=75,Braking!$AG$1767,0)))</f>
        <v>0</v>
      </c>
      <c r="V57" s="16">
        <f>0.5*'Gearing Calculator'!$C$15*'Gearing Calculator'!$C$20*'Gearing Calculator'!$W$20*('Track Data'!Q57^2)</f>
        <v>372.59921946720266</v>
      </c>
      <c r="W57" s="16">
        <f>('Gearing Calculator'!$U$9*'Track Data'!T57)+'Track Data'!V57</f>
        <v>1280.413893943133</v>
      </c>
      <c r="X57" s="16">
        <f>('Gearing Calculator'!$U$9*9.81)*('Gearing Calculator'!$U$16/'Gearing Calculator'!$C$7)-(('Track Data'!W57)*('Gearing Calculator'!$U$17/'Gearing Calculator'!$C$7))</f>
        <v>703.24928355621171</v>
      </c>
      <c r="Y57" s="16">
        <f>('Gearing Calculator'!$U$9*9.81)*(('Gearing Calculator'!$C$7-'Gearing Calculator'!$U$16)/'Gearing Calculator'!$C$7)+(('Track Data'!W57)*('Gearing Calculator'!$U$17/'Gearing Calculator'!$C$7))</f>
        <v>1908.1727164437884</v>
      </c>
      <c r="Z57" s="16">
        <f>((X57*COS('Gearing Calculator'!$C$21))/'Gearing Calculator'!$C$22)/2</f>
        <v>21.742243659572022</v>
      </c>
      <c r="AA57" s="16">
        <f>Y57/'Gearing Calculator'!$C$24</f>
        <v>26.644491220982395</v>
      </c>
      <c r="AB57" s="16">
        <f t="shared" si="2"/>
        <v>393.06085750948512</v>
      </c>
      <c r="AC57" s="16">
        <v>0</v>
      </c>
      <c r="AD57" s="16">
        <v>0</v>
      </c>
      <c r="AE57" s="16">
        <v>54</v>
      </c>
      <c r="AF57" s="16">
        <f>IF(AC57=0,IF(O57=6,INDEX(Acceleration!$V$4:$V$110,MATCH('Track Data'!S57,Acceleration!$K$4:$K$110,0)),IF('Track Data'!O57=5,INDEX(Acceleration!$U$4:$U$110,MATCH('Track Data'!S57,Acceleration!$K$4:$K$110,0)),1)),U57)</f>
        <v>3.4102730070470715</v>
      </c>
      <c r="AG57" s="16">
        <f>IF(AC57=0,IF(O57=4,INDEX(Acceleration!$T$4:$T$110,MATCH('Track Data'!S57,Acceleration!$K$4:$K$110,0)),IF('Track Data'!O57=3,INDEX(Acceleration!$S$4:$S$110,MATCH('Track Data'!S57,Acceleration!$K$4:$K$110,0)),'Track Data'!AF57)),'Track Data'!U57)</f>
        <v>3.4102730070470715</v>
      </c>
      <c r="AH57" s="16">
        <f>IF(AC57=0,IF(O57=2,INDEX(Acceleration!$R$4:$R$110,MATCH('Track Data'!S57,Acceleration!$K$4:$K$110,0)),IF('Track Data'!O57=1,INDEX(Acceleration!$Q$4:$Q$110,MATCH('Track Data'!S57,Acceleration!$K$4:$K$110,0)),'Track Data'!AG57)),'Track Data'!U57)</f>
        <v>3.4102730070470715</v>
      </c>
    </row>
    <row r="58" spans="2:34" x14ac:dyDescent="0.25">
      <c r="B58" s="16">
        <v>196.696</v>
      </c>
      <c r="C58" s="16">
        <v>7328</v>
      </c>
      <c r="D58" s="16">
        <v>55</v>
      </c>
      <c r="E58" s="113">
        <v>216</v>
      </c>
      <c r="F58" s="113">
        <v>214.1</v>
      </c>
      <c r="G58" s="113">
        <v>209.7</v>
      </c>
      <c r="H58" s="113">
        <f t="shared" si="3"/>
        <v>58.249999999999993</v>
      </c>
      <c r="I58" s="113">
        <v>1.3</v>
      </c>
      <c r="J58" s="113">
        <v>17.48</v>
      </c>
      <c r="K58" s="113">
        <v>-12.4</v>
      </c>
      <c r="L58" s="189"/>
      <c r="M58" s="16">
        <v>55</v>
      </c>
      <c r="N58" s="16">
        <f t="shared" si="5"/>
        <v>1.6837733974375036E-2</v>
      </c>
      <c r="O58" s="16">
        <v>6</v>
      </c>
      <c r="P58" s="16">
        <f t="shared" si="0"/>
        <v>7.3113821138211375</v>
      </c>
      <c r="Q58" s="16">
        <f t="shared" si="6"/>
        <v>59.390414501255165</v>
      </c>
      <c r="R58" s="113">
        <f t="shared" si="1"/>
        <v>311.95699999999999</v>
      </c>
      <c r="S58" s="16">
        <f>IF(S57=15800,15800,ROUND((((Q58*60)/'Gearing Calculator'!$C$14)*'Track Data'!P58),-2))</f>
        <v>13200</v>
      </c>
      <c r="T58" s="16">
        <f t="shared" si="4"/>
        <v>3.4102730070470715</v>
      </c>
      <c r="U58" s="16">
        <f>IF(AC58=100,Braking!$AG$2354,IF(AC58=50,Braking!$AG$1179,IF(AC58=75,Braking!$AG$1767,0)))</f>
        <v>0</v>
      </c>
      <c r="V58" s="16">
        <f>0.5*'Gearing Calculator'!$C$15*'Gearing Calculator'!$C$20*'Gearing Calculator'!$W$20*('Track Data'!Q58^2)</f>
        <v>373.32110605733442</v>
      </c>
      <c r="W58" s="16">
        <f>('Gearing Calculator'!$U$9*'Track Data'!T58)+'Track Data'!V58</f>
        <v>1281.1357805332648</v>
      </c>
      <c r="X58" s="16">
        <f>('Gearing Calculator'!$U$9*9.81)*('Gearing Calculator'!$U$16/'Gearing Calculator'!$C$7)-(('Track Data'!W58)*('Gearing Calculator'!$U$17/'Gearing Calculator'!$C$7))</f>
        <v>702.8558060642597</v>
      </c>
      <c r="Y58" s="16">
        <f>('Gearing Calculator'!$U$9*9.81)*(('Gearing Calculator'!$C$7-'Gearing Calculator'!$U$16)/'Gearing Calculator'!$C$7)+(('Track Data'!W58)*('Gearing Calculator'!$U$17/'Gearing Calculator'!$C$7))</f>
        <v>1908.5661939357403</v>
      </c>
      <c r="Z58" s="16">
        <f>((X58*COS('Gearing Calculator'!$C$21))/'Gearing Calculator'!$C$22)/2</f>
        <v>21.730078579984148</v>
      </c>
      <c r="AA58" s="16">
        <f>Y58/'Gearing Calculator'!$C$24</f>
        <v>26.649985486511724</v>
      </c>
      <c r="AB58" s="16">
        <f t="shared" si="2"/>
        <v>393.78274409961682</v>
      </c>
      <c r="AC58" s="16">
        <v>0</v>
      </c>
      <c r="AD58" s="16">
        <v>0</v>
      </c>
      <c r="AE58" s="16">
        <v>55</v>
      </c>
      <c r="AF58" s="16">
        <f>IF(AC58=0,IF(O58=6,INDEX(Acceleration!$V$4:$V$110,MATCH('Track Data'!S58,Acceleration!$K$4:$K$110,0)),IF('Track Data'!O58=5,INDEX(Acceleration!$U$4:$U$110,MATCH('Track Data'!S58,Acceleration!$K$4:$K$110,0)),1)),U58)</f>
        <v>3.4102730070470715</v>
      </c>
      <c r="AG58" s="16">
        <f>IF(AC58=0,IF(O58=4,INDEX(Acceleration!$T$4:$T$110,MATCH('Track Data'!S58,Acceleration!$K$4:$K$110,0)),IF('Track Data'!O58=3,INDEX(Acceleration!$S$4:$S$110,MATCH('Track Data'!S58,Acceleration!$K$4:$K$110,0)),'Track Data'!AF58)),'Track Data'!U58)</f>
        <v>3.4102730070470715</v>
      </c>
      <c r="AH58" s="16">
        <f>IF(AC58=0,IF(O58=2,INDEX(Acceleration!$R$4:$R$110,MATCH('Track Data'!S58,Acceleration!$K$4:$K$110,0)),IF('Track Data'!O58=1,INDEX(Acceleration!$Q$4:$Q$110,MATCH('Track Data'!S58,Acceleration!$K$4:$K$110,0)),'Track Data'!AG58)),'Track Data'!U58)</f>
        <v>3.4102730070470715</v>
      </c>
    </row>
    <row r="59" spans="2:34" x14ac:dyDescent="0.25">
      <c r="B59" s="16">
        <v>196.71199999999999</v>
      </c>
      <c r="C59" s="16">
        <v>7329</v>
      </c>
      <c r="D59" s="16">
        <v>56</v>
      </c>
      <c r="E59" s="113">
        <v>215</v>
      </c>
      <c r="F59" s="113">
        <v>214.1</v>
      </c>
      <c r="G59" s="113">
        <v>209.8</v>
      </c>
      <c r="H59" s="113">
        <f t="shared" si="3"/>
        <v>58.277777777777779</v>
      </c>
      <c r="I59" s="113">
        <v>2.5</v>
      </c>
      <c r="J59" s="113">
        <v>21.73</v>
      </c>
      <c r="K59" s="113">
        <v>-26.7</v>
      </c>
      <c r="L59" s="189"/>
      <c r="M59" s="16">
        <v>56</v>
      </c>
      <c r="N59" s="16">
        <f t="shared" si="5"/>
        <v>1.6821478082816938E-2</v>
      </c>
      <c r="O59" s="16">
        <v>6</v>
      </c>
      <c r="P59" s="16">
        <f t="shared" si="0"/>
        <v>7.3113821138211375</v>
      </c>
      <c r="Q59" s="16">
        <f t="shared" si="6"/>
        <v>59.447808039026924</v>
      </c>
      <c r="R59" s="113">
        <f t="shared" si="1"/>
        <v>311.95699999999999</v>
      </c>
      <c r="S59" s="16">
        <f>IF(S58=15800,15800,ROUND((((Q59*60)/'Gearing Calculator'!$C$14)*'Track Data'!P59),-2))</f>
        <v>13200</v>
      </c>
      <c r="T59" s="16">
        <f t="shared" si="4"/>
        <v>3.4102730070470715</v>
      </c>
      <c r="U59" s="16">
        <f>IF(AC59=100,Braking!$AG$2354,IF(AC59=50,Braking!$AG$1179,IF(AC59=75,Braking!$AG$1767,0)))</f>
        <v>0</v>
      </c>
      <c r="V59" s="16">
        <f>0.5*'Gearing Calculator'!$C$15*'Gearing Calculator'!$C$20*'Gearing Calculator'!$W$20*('Track Data'!Q59^2)</f>
        <v>374.04299264746618</v>
      </c>
      <c r="W59" s="16">
        <f>('Gearing Calculator'!$U$9*'Track Data'!T59)+'Track Data'!V59</f>
        <v>1281.8576671233966</v>
      </c>
      <c r="X59" s="16">
        <f>('Gearing Calculator'!$U$9*9.81)*('Gearing Calculator'!$U$16/'Gearing Calculator'!$C$7)-(('Track Data'!W59)*('Gearing Calculator'!$U$17/'Gearing Calculator'!$C$7))</f>
        <v>702.46232857230768</v>
      </c>
      <c r="Y59" s="16">
        <f>('Gearing Calculator'!$U$9*9.81)*(('Gearing Calculator'!$C$7-'Gearing Calculator'!$U$16)/'Gearing Calculator'!$C$7)+(('Track Data'!W59)*('Gearing Calculator'!$U$17/'Gearing Calculator'!$C$7))</f>
        <v>1908.9596714276922</v>
      </c>
      <c r="Z59" s="16">
        <f>((X59*COS('Gearing Calculator'!$C$21))/'Gearing Calculator'!$C$22)/2</f>
        <v>21.717913500396275</v>
      </c>
      <c r="AA59" s="16">
        <f>Y59/'Gearing Calculator'!$C$24</f>
        <v>26.655479752041057</v>
      </c>
      <c r="AB59" s="16">
        <f t="shared" si="2"/>
        <v>394.50463068974864</v>
      </c>
      <c r="AC59" s="16">
        <v>0</v>
      </c>
      <c r="AD59" s="16">
        <v>0</v>
      </c>
      <c r="AE59" s="16">
        <v>56</v>
      </c>
      <c r="AF59" s="16">
        <f>IF(AC59=0,IF(O59=6,INDEX(Acceleration!$V$4:$V$110,MATCH('Track Data'!S59,Acceleration!$K$4:$K$110,0)),IF('Track Data'!O59=5,INDEX(Acceleration!$U$4:$U$110,MATCH('Track Data'!S59,Acceleration!$K$4:$K$110,0)),1)),U59)</f>
        <v>3.4102730070470715</v>
      </c>
      <c r="AG59" s="16">
        <f>IF(AC59=0,IF(O59=4,INDEX(Acceleration!$T$4:$T$110,MATCH('Track Data'!S59,Acceleration!$K$4:$K$110,0)),IF('Track Data'!O59=3,INDEX(Acceleration!$S$4:$S$110,MATCH('Track Data'!S59,Acceleration!$K$4:$K$110,0)),'Track Data'!AF59)),'Track Data'!U59)</f>
        <v>3.4102730070470715</v>
      </c>
      <c r="AH59" s="16">
        <f>IF(AC59=0,IF(O59=2,INDEX(Acceleration!$R$4:$R$110,MATCH('Track Data'!S59,Acceleration!$K$4:$K$110,0)),IF('Track Data'!O59=1,INDEX(Acceleration!$Q$4:$Q$110,MATCH('Track Data'!S59,Acceleration!$K$4:$K$110,0)),'Track Data'!AG59)),'Track Data'!U59)</f>
        <v>3.4102730070470715</v>
      </c>
    </row>
    <row r="60" spans="2:34" x14ac:dyDescent="0.25">
      <c r="B60" s="16">
        <v>196.72900000000001</v>
      </c>
      <c r="C60" s="16">
        <v>7330</v>
      </c>
      <c r="D60" s="16">
        <v>57</v>
      </c>
      <c r="E60" s="113">
        <v>215</v>
      </c>
      <c r="F60" s="113">
        <v>214.1</v>
      </c>
      <c r="G60" s="113">
        <v>209.9</v>
      </c>
      <c r="H60" s="113">
        <f t="shared" si="3"/>
        <v>58.305555555555557</v>
      </c>
      <c r="I60" s="113">
        <v>4.5</v>
      </c>
      <c r="J60" s="113">
        <v>22.6</v>
      </c>
      <c r="K60" s="113">
        <v>-29.6</v>
      </c>
      <c r="L60" s="189"/>
      <c r="M60" s="16">
        <v>57</v>
      </c>
      <c r="N60" s="16">
        <f t="shared" si="5"/>
        <v>1.6805269182995956E-2</v>
      </c>
      <c r="O60" s="16">
        <v>6</v>
      </c>
      <c r="P60" s="16">
        <f t="shared" si="0"/>
        <v>7.3113821138211375</v>
      </c>
      <c r="Q60" s="16">
        <f t="shared" si="6"/>
        <v>59.505146219962256</v>
      </c>
      <c r="R60" s="113">
        <f t="shared" si="1"/>
        <v>311.95699999999999</v>
      </c>
      <c r="S60" s="16">
        <f>IF(S59=15800,15800,ROUND((((Q60*60)/'Gearing Calculator'!$C$14)*'Track Data'!P60),-2))</f>
        <v>13200</v>
      </c>
      <c r="T60" s="16">
        <f t="shared" si="4"/>
        <v>3.4102730070470715</v>
      </c>
      <c r="U60" s="16">
        <f>IF(AC60=100,Braking!$AG$2354,IF(AC60=50,Braking!$AG$1179,IF(AC60=75,Braking!$AG$1767,0)))</f>
        <v>0</v>
      </c>
      <c r="V60" s="16">
        <f>0.5*'Gearing Calculator'!$C$15*'Gearing Calculator'!$C$20*'Gearing Calculator'!$W$20*('Track Data'!Q60^2)</f>
        <v>374.76487923759788</v>
      </c>
      <c r="W60" s="16">
        <f>('Gearing Calculator'!$U$9*'Track Data'!T60)+'Track Data'!V60</f>
        <v>1282.5795537135282</v>
      </c>
      <c r="X60" s="16">
        <f>('Gearing Calculator'!$U$9*9.81)*('Gearing Calculator'!$U$16/'Gearing Calculator'!$C$7)-(('Track Data'!W60)*('Gearing Calculator'!$U$17/'Gearing Calculator'!$C$7))</f>
        <v>702.0688510803559</v>
      </c>
      <c r="Y60" s="16">
        <f>('Gearing Calculator'!$U$9*9.81)*(('Gearing Calculator'!$C$7-'Gearing Calculator'!$U$16)/'Gearing Calculator'!$C$7)+(('Track Data'!W60)*('Gearing Calculator'!$U$17/'Gearing Calculator'!$C$7))</f>
        <v>1909.3531489196441</v>
      </c>
      <c r="Z60" s="16">
        <f>((X60*COS('Gearing Calculator'!$C$21))/'Gearing Calculator'!$C$22)/2</f>
        <v>21.705748420808405</v>
      </c>
      <c r="AA60" s="16">
        <f>Y60/'Gearing Calculator'!$C$24</f>
        <v>26.660974017570386</v>
      </c>
      <c r="AB60" s="16">
        <f t="shared" si="2"/>
        <v>395.22651727988034</v>
      </c>
      <c r="AC60" s="16">
        <v>0</v>
      </c>
      <c r="AD60" s="16">
        <v>0</v>
      </c>
      <c r="AE60" s="16">
        <v>57</v>
      </c>
      <c r="AF60" s="16">
        <f>IF(AC60=0,IF(O60=6,INDEX(Acceleration!$V$4:$V$110,MATCH('Track Data'!S60,Acceleration!$K$4:$K$110,0)),IF('Track Data'!O60=5,INDEX(Acceleration!$U$4:$U$110,MATCH('Track Data'!S60,Acceleration!$K$4:$K$110,0)),1)),U60)</f>
        <v>3.4102730070470715</v>
      </c>
      <c r="AG60" s="16">
        <f>IF(AC60=0,IF(O60=4,INDEX(Acceleration!$T$4:$T$110,MATCH('Track Data'!S60,Acceleration!$K$4:$K$110,0)),IF('Track Data'!O60=3,INDEX(Acceleration!$S$4:$S$110,MATCH('Track Data'!S60,Acceleration!$K$4:$K$110,0)),'Track Data'!AF60)),'Track Data'!U60)</f>
        <v>3.4102730070470715</v>
      </c>
      <c r="AH60" s="16">
        <f>IF(AC60=0,IF(O60=2,INDEX(Acceleration!$R$4:$R$110,MATCH('Track Data'!S60,Acceleration!$K$4:$K$110,0)),IF('Track Data'!O60=1,INDEX(Acceleration!$Q$4:$Q$110,MATCH('Track Data'!S60,Acceleration!$K$4:$K$110,0)),'Track Data'!AG60)),'Track Data'!U60)</f>
        <v>3.4102730070470715</v>
      </c>
    </row>
    <row r="61" spans="2:34" x14ac:dyDescent="0.25">
      <c r="B61" s="16">
        <v>196.74600000000001</v>
      </c>
      <c r="C61" s="16">
        <v>7331</v>
      </c>
      <c r="D61" s="16">
        <v>58</v>
      </c>
      <c r="E61" s="113">
        <v>214</v>
      </c>
      <c r="F61" s="113">
        <v>214.6</v>
      </c>
      <c r="G61" s="113">
        <v>210</v>
      </c>
      <c r="H61" s="113">
        <f t="shared" si="3"/>
        <v>58.333333333333329</v>
      </c>
      <c r="I61" s="113">
        <v>8.8000000000000007</v>
      </c>
      <c r="J61" s="113">
        <v>22.82</v>
      </c>
      <c r="K61" s="113">
        <v>-21.2</v>
      </c>
      <c r="L61" s="189"/>
      <c r="M61" s="16">
        <v>58</v>
      </c>
      <c r="N61" s="16">
        <f t="shared" si="5"/>
        <v>1.6789107048945168E-2</v>
      </c>
      <c r="O61" s="16">
        <v>6</v>
      </c>
      <c r="P61" s="16">
        <f t="shared" si="0"/>
        <v>7.3113821138211375</v>
      </c>
      <c r="Q61" s="16">
        <f t="shared" si="6"/>
        <v>59.56242920393008</v>
      </c>
      <c r="R61" s="113">
        <f t="shared" si="1"/>
        <v>311.95699999999999</v>
      </c>
      <c r="S61" s="16">
        <f>IF(S60=15800,15800,ROUND((((Q61*60)/'Gearing Calculator'!$C$14)*'Track Data'!P61),-2))</f>
        <v>13200</v>
      </c>
      <c r="T61" s="16">
        <f t="shared" si="4"/>
        <v>3.4102730070470715</v>
      </c>
      <c r="U61" s="16">
        <f>IF(AC61=100,Braking!$AG$2354,IF(AC61=50,Braking!$AG$1179,IF(AC61=75,Braking!$AG$1767,0)))</f>
        <v>0</v>
      </c>
      <c r="V61" s="16">
        <f>0.5*'Gearing Calculator'!$C$15*'Gearing Calculator'!$C$20*'Gearing Calculator'!$W$20*('Track Data'!Q61^2)</f>
        <v>375.48676582772964</v>
      </c>
      <c r="W61" s="16">
        <f>('Gearing Calculator'!$U$9*'Track Data'!T61)+'Track Data'!V61</f>
        <v>1283.30144030366</v>
      </c>
      <c r="X61" s="16">
        <f>('Gearing Calculator'!$U$9*9.81)*('Gearing Calculator'!$U$16/'Gearing Calculator'!$C$7)-(('Track Data'!W61)*('Gearing Calculator'!$U$17/'Gearing Calculator'!$C$7))</f>
        <v>701.67537358840389</v>
      </c>
      <c r="Y61" s="16">
        <f>('Gearing Calculator'!$U$9*9.81)*(('Gearing Calculator'!$C$7-'Gearing Calculator'!$U$16)/'Gearing Calculator'!$C$7)+(('Track Data'!W61)*('Gearing Calculator'!$U$17/'Gearing Calculator'!$C$7))</f>
        <v>1909.746626411596</v>
      </c>
      <c r="Z61" s="16">
        <f>((X61*COS('Gearing Calculator'!$C$21))/'Gearing Calculator'!$C$22)/2</f>
        <v>21.693583341220531</v>
      </c>
      <c r="AA61" s="16">
        <f>Y61/'Gearing Calculator'!$C$24</f>
        <v>26.666468283099718</v>
      </c>
      <c r="AB61" s="16">
        <f t="shared" si="2"/>
        <v>395.94840387001204</v>
      </c>
      <c r="AC61" s="16">
        <v>0</v>
      </c>
      <c r="AD61" s="16">
        <v>0</v>
      </c>
      <c r="AE61" s="16">
        <v>58</v>
      </c>
      <c r="AF61" s="16">
        <f>IF(AC61=0,IF(O61=6,INDEX(Acceleration!$V$4:$V$110,MATCH('Track Data'!S61,Acceleration!$K$4:$K$110,0)),IF('Track Data'!O61=5,INDEX(Acceleration!$U$4:$U$110,MATCH('Track Data'!S61,Acceleration!$K$4:$K$110,0)),1)),U61)</f>
        <v>3.4102730070470715</v>
      </c>
      <c r="AG61" s="16">
        <f>IF(AC61=0,IF(O61=4,INDEX(Acceleration!$T$4:$T$110,MATCH('Track Data'!S61,Acceleration!$K$4:$K$110,0)),IF('Track Data'!O61=3,INDEX(Acceleration!$S$4:$S$110,MATCH('Track Data'!S61,Acceleration!$K$4:$K$110,0)),'Track Data'!AF61)),'Track Data'!U61)</f>
        <v>3.4102730070470715</v>
      </c>
      <c r="AH61" s="16">
        <f>IF(AC61=0,IF(O61=2,INDEX(Acceleration!$R$4:$R$110,MATCH('Track Data'!S61,Acceleration!$K$4:$K$110,0)),IF('Track Data'!O61=1,INDEX(Acceleration!$Q$4:$Q$110,MATCH('Track Data'!S61,Acceleration!$K$4:$K$110,0)),'Track Data'!AG61)),'Track Data'!U61)</f>
        <v>3.4102730070470715</v>
      </c>
    </row>
    <row r="62" spans="2:34" x14ac:dyDescent="0.25">
      <c r="B62" s="16">
        <v>196.762</v>
      </c>
      <c r="C62" s="16">
        <v>7333</v>
      </c>
      <c r="D62" s="16">
        <v>59</v>
      </c>
      <c r="E62" s="113">
        <v>213</v>
      </c>
      <c r="F62" s="113">
        <v>214.9</v>
      </c>
      <c r="G62" s="113">
        <v>210.2</v>
      </c>
      <c r="H62" s="113">
        <f t="shared" si="3"/>
        <v>58.388888888888886</v>
      </c>
      <c r="I62" s="113">
        <v>10.8</v>
      </c>
      <c r="J62" s="113">
        <v>22.91</v>
      </c>
      <c r="K62" s="113">
        <v>-12.7</v>
      </c>
      <c r="L62" s="189"/>
      <c r="M62" s="16">
        <v>59</v>
      </c>
      <c r="N62" s="16">
        <f t="shared" si="5"/>
        <v>1.6772991456215965E-2</v>
      </c>
      <c r="O62" s="16">
        <v>6</v>
      </c>
      <c r="P62" s="16">
        <f t="shared" si="0"/>
        <v>7.3113821138211375</v>
      </c>
      <c r="Q62" s="16">
        <f t="shared" si="6"/>
        <v>59.619657150031294</v>
      </c>
      <c r="R62" s="113">
        <f t="shared" si="1"/>
        <v>311.95699999999999</v>
      </c>
      <c r="S62" s="16">
        <f>IF(S61=15800,15800,ROUND((((Q62*60)/'Gearing Calculator'!$C$14)*'Track Data'!P62),-2))</f>
        <v>13200</v>
      </c>
      <c r="T62" s="16">
        <f t="shared" si="4"/>
        <v>3.4102730070470715</v>
      </c>
      <c r="U62" s="16">
        <f>IF(AC62=100,Braking!$AG$2354,IF(AC62=50,Braking!$AG$1179,IF(AC62=75,Braking!$AG$1767,0)))</f>
        <v>0</v>
      </c>
      <c r="V62" s="16">
        <f>0.5*'Gearing Calculator'!$C$15*'Gearing Calculator'!$C$20*'Gearing Calculator'!$W$20*('Track Data'!Q62^2)</f>
        <v>376.2086524178614</v>
      </c>
      <c r="W62" s="16">
        <f>('Gearing Calculator'!$U$9*'Track Data'!T62)+'Track Data'!V62</f>
        <v>1284.0233268937918</v>
      </c>
      <c r="X62" s="16">
        <f>('Gearing Calculator'!$U$9*9.81)*('Gearing Calculator'!$U$16/'Gearing Calculator'!$C$7)-(('Track Data'!W62)*('Gearing Calculator'!$U$17/'Gearing Calculator'!$C$7))</f>
        <v>701.28189609645187</v>
      </c>
      <c r="Y62" s="16">
        <f>('Gearing Calculator'!$U$9*9.81)*(('Gearing Calculator'!$C$7-'Gearing Calculator'!$U$16)/'Gearing Calculator'!$C$7)+(('Track Data'!W62)*('Gearing Calculator'!$U$17/'Gearing Calculator'!$C$7))</f>
        <v>1910.1401039035482</v>
      </c>
      <c r="Z62" s="16">
        <f>((X62*COS('Gearing Calculator'!$C$21))/'Gearing Calculator'!$C$22)/2</f>
        <v>21.681418261632651</v>
      </c>
      <c r="AA62" s="16">
        <f>Y62/'Gearing Calculator'!$C$24</f>
        <v>26.67196254862905</v>
      </c>
      <c r="AB62" s="16">
        <f t="shared" si="2"/>
        <v>396.67029046014386</v>
      </c>
      <c r="AC62" s="16">
        <v>0</v>
      </c>
      <c r="AD62" s="16">
        <v>0</v>
      </c>
      <c r="AE62" s="16">
        <v>59</v>
      </c>
      <c r="AF62" s="16">
        <f>IF(AC62=0,IF(O62=6,INDEX(Acceleration!$V$4:$V$110,MATCH('Track Data'!S62,Acceleration!$K$4:$K$110,0)),IF('Track Data'!O62=5,INDEX(Acceleration!$U$4:$U$110,MATCH('Track Data'!S62,Acceleration!$K$4:$K$110,0)),1)),U62)</f>
        <v>3.4102730070470715</v>
      </c>
      <c r="AG62" s="16">
        <f>IF(AC62=0,IF(O62=4,INDEX(Acceleration!$T$4:$T$110,MATCH('Track Data'!S62,Acceleration!$K$4:$K$110,0)),IF('Track Data'!O62=3,INDEX(Acceleration!$S$4:$S$110,MATCH('Track Data'!S62,Acceleration!$K$4:$K$110,0)),'Track Data'!AF62)),'Track Data'!U62)</f>
        <v>3.4102730070470715</v>
      </c>
      <c r="AH62" s="16">
        <f>IF(AC62=0,IF(O62=2,INDEX(Acceleration!$R$4:$R$110,MATCH('Track Data'!S62,Acceleration!$K$4:$K$110,0)),IF('Track Data'!O62=1,INDEX(Acceleration!$Q$4:$Q$110,MATCH('Track Data'!S62,Acceleration!$K$4:$K$110,0)),'Track Data'!AG62)),'Track Data'!U62)</f>
        <v>3.4102730070470715</v>
      </c>
    </row>
    <row r="63" spans="2:34" x14ac:dyDescent="0.25">
      <c r="B63" s="16">
        <v>196.779</v>
      </c>
      <c r="C63" s="16">
        <v>7334</v>
      </c>
      <c r="D63" s="16">
        <v>60</v>
      </c>
      <c r="E63" s="113">
        <v>214</v>
      </c>
      <c r="F63" s="113">
        <v>214.6</v>
      </c>
      <c r="G63" s="113">
        <v>210.3</v>
      </c>
      <c r="H63" s="113">
        <f t="shared" si="3"/>
        <v>58.416666666666671</v>
      </c>
      <c r="I63" s="113">
        <v>10.5</v>
      </c>
      <c r="J63" s="113">
        <v>26.8</v>
      </c>
      <c r="K63" s="113">
        <v>-8.5</v>
      </c>
      <c r="L63" s="189"/>
      <c r="M63" s="16">
        <v>60</v>
      </c>
      <c r="N63" s="16">
        <f t="shared" si="5"/>
        <v>1.6756922181864968E-2</v>
      </c>
      <c r="O63" s="16">
        <v>6</v>
      </c>
      <c r="P63" s="16">
        <f t="shared" si="0"/>
        <v>7.3113821138211375</v>
      </c>
      <c r="Q63" s="16">
        <f t="shared" si="6"/>
        <v>59.676830216603932</v>
      </c>
      <c r="R63" s="113">
        <f t="shared" si="1"/>
        <v>311.95699999999999</v>
      </c>
      <c r="S63" s="16">
        <f>IF(S62=15800,15800,ROUND((((Q63*60)/'Gearing Calculator'!$C$14)*'Track Data'!P63),-2))</f>
        <v>13200</v>
      </c>
      <c r="T63" s="16">
        <f t="shared" si="4"/>
        <v>3.4102730070470715</v>
      </c>
      <c r="U63" s="16">
        <f>IF(AC63=100,Braking!$AG$2354,IF(AC63=50,Braking!$AG$1179,IF(AC63=75,Braking!$AG$1767,0)))</f>
        <v>0</v>
      </c>
      <c r="V63" s="16">
        <f>0.5*'Gearing Calculator'!$C$15*'Gearing Calculator'!$C$20*'Gearing Calculator'!$W$20*('Track Data'!Q63^2)</f>
        <v>376.93053900799322</v>
      </c>
      <c r="W63" s="16">
        <f>('Gearing Calculator'!$U$9*'Track Data'!T63)+'Track Data'!V63</f>
        <v>1284.7452134839236</v>
      </c>
      <c r="X63" s="16">
        <f>('Gearing Calculator'!$U$9*9.81)*('Gearing Calculator'!$U$16/'Gearing Calculator'!$C$7)-(('Track Data'!W63)*('Gearing Calculator'!$U$17/'Gearing Calculator'!$C$7))</f>
        <v>700.88841860449986</v>
      </c>
      <c r="Y63" s="16">
        <f>('Gearing Calculator'!$U$9*9.81)*(('Gearing Calculator'!$C$7-'Gearing Calculator'!$U$16)/'Gearing Calculator'!$C$7)+(('Track Data'!W63)*('Gearing Calculator'!$U$17/'Gearing Calculator'!$C$7))</f>
        <v>1910.5335813955003</v>
      </c>
      <c r="Z63" s="16">
        <f>((X63*COS('Gearing Calculator'!$C$21))/'Gearing Calculator'!$C$22)/2</f>
        <v>21.669253182044777</v>
      </c>
      <c r="AA63" s="16">
        <f>Y63/'Gearing Calculator'!$C$24</f>
        <v>26.677456814158386</v>
      </c>
      <c r="AB63" s="16">
        <f t="shared" si="2"/>
        <v>397.39217705027568</v>
      </c>
      <c r="AC63" s="16">
        <v>0</v>
      </c>
      <c r="AD63" s="16">
        <v>0</v>
      </c>
      <c r="AE63" s="16">
        <v>60</v>
      </c>
      <c r="AF63" s="16">
        <f>IF(AC63=0,IF(O63=6,INDEX(Acceleration!$V$4:$V$110,MATCH('Track Data'!S63,Acceleration!$K$4:$K$110,0)),IF('Track Data'!O63=5,INDEX(Acceleration!$U$4:$U$110,MATCH('Track Data'!S63,Acceleration!$K$4:$K$110,0)),1)),U63)</f>
        <v>3.4102730070470715</v>
      </c>
      <c r="AG63" s="16">
        <f>IF(AC63=0,IF(O63=4,INDEX(Acceleration!$T$4:$T$110,MATCH('Track Data'!S63,Acceleration!$K$4:$K$110,0)),IF('Track Data'!O63=3,INDEX(Acceleration!$S$4:$S$110,MATCH('Track Data'!S63,Acceleration!$K$4:$K$110,0)),'Track Data'!AF63)),'Track Data'!U63)</f>
        <v>3.4102730070470715</v>
      </c>
      <c r="AH63" s="16">
        <f>IF(AC63=0,IF(O63=2,INDEX(Acceleration!$R$4:$R$110,MATCH('Track Data'!S63,Acceleration!$K$4:$K$110,0)),IF('Track Data'!O63=1,INDEX(Acceleration!$Q$4:$Q$110,MATCH('Track Data'!S63,Acceleration!$K$4:$K$110,0)),'Track Data'!AG63)),'Track Data'!U63)</f>
        <v>3.4102730070470715</v>
      </c>
    </row>
    <row r="64" spans="2:34" x14ac:dyDescent="0.25">
      <c r="B64" s="16">
        <v>196.79599999999999</v>
      </c>
      <c r="C64" s="16">
        <v>7334</v>
      </c>
      <c r="D64" s="16">
        <v>61</v>
      </c>
      <c r="E64" s="113">
        <v>215</v>
      </c>
      <c r="F64" s="113">
        <v>214.1</v>
      </c>
      <c r="G64" s="113">
        <v>210.4</v>
      </c>
      <c r="H64" s="113">
        <f t="shared" si="3"/>
        <v>58.444444444444443</v>
      </c>
      <c r="I64" s="113">
        <v>9.6</v>
      </c>
      <c r="J64" s="113">
        <v>37.57</v>
      </c>
      <c r="K64" s="113">
        <v>-0.1</v>
      </c>
      <c r="L64" s="189"/>
      <c r="M64" s="16">
        <v>61</v>
      </c>
      <c r="N64" s="16">
        <f t="shared" si="5"/>
        <v>1.6740899004441059E-2</v>
      </c>
      <c r="O64" s="16">
        <v>6</v>
      </c>
      <c r="P64" s="16">
        <f t="shared" si="0"/>
        <v>7.3113821138211375</v>
      </c>
      <c r="Q64" s="16">
        <f t="shared" si="6"/>
        <v>59.733948561228281</v>
      </c>
      <c r="R64" s="113">
        <f t="shared" si="1"/>
        <v>311.95699999999999</v>
      </c>
      <c r="S64" s="16">
        <f>IF(S63=15800,15800,ROUND((((Q64*60)/'Gearing Calculator'!$C$14)*'Track Data'!P64),-2))</f>
        <v>13200</v>
      </c>
      <c r="T64" s="16">
        <f t="shared" si="4"/>
        <v>3.4102730070470715</v>
      </c>
      <c r="U64" s="16">
        <f>IF(AC64=100,Braking!$AG$2354,IF(AC64=50,Braking!$AG$1179,IF(AC64=75,Braking!$AG$1767,0)))</f>
        <v>0</v>
      </c>
      <c r="V64" s="16">
        <f>0.5*'Gearing Calculator'!$C$15*'Gearing Calculator'!$C$20*'Gearing Calculator'!$W$20*('Track Data'!Q64^2)</f>
        <v>377.65242559812492</v>
      </c>
      <c r="W64" s="16">
        <f>('Gearing Calculator'!$U$9*'Track Data'!T64)+'Track Data'!V64</f>
        <v>1285.4671000740552</v>
      </c>
      <c r="X64" s="16">
        <f>('Gearing Calculator'!$U$9*9.81)*('Gearing Calculator'!$U$16/'Gearing Calculator'!$C$7)-(('Track Data'!W64)*('Gearing Calculator'!$U$17/'Gearing Calculator'!$C$7))</f>
        <v>700.49494111254808</v>
      </c>
      <c r="Y64" s="16">
        <f>('Gearing Calculator'!$U$9*9.81)*(('Gearing Calculator'!$C$7-'Gearing Calculator'!$U$16)/'Gearing Calculator'!$C$7)+(('Track Data'!W64)*('Gearing Calculator'!$U$17/'Gearing Calculator'!$C$7))</f>
        <v>1910.9270588874519</v>
      </c>
      <c r="Z64" s="16">
        <f>((X64*COS('Gearing Calculator'!$C$21))/'Gearing Calculator'!$C$22)/2</f>
        <v>21.65708810245691</v>
      </c>
      <c r="AA64" s="16">
        <f>Y64/'Gearing Calculator'!$C$24</f>
        <v>26.682951079687712</v>
      </c>
      <c r="AB64" s="16">
        <f t="shared" si="2"/>
        <v>398.11406364040738</v>
      </c>
      <c r="AC64" s="16">
        <v>0</v>
      </c>
      <c r="AD64" s="16">
        <v>0</v>
      </c>
      <c r="AE64" s="16">
        <v>61</v>
      </c>
      <c r="AF64" s="16">
        <f>IF(AC64=0,IF(O64=6,INDEX(Acceleration!$V$4:$V$110,MATCH('Track Data'!S64,Acceleration!$K$4:$K$110,0)),IF('Track Data'!O64=5,INDEX(Acceleration!$U$4:$U$110,MATCH('Track Data'!S64,Acceleration!$K$4:$K$110,0)),1)),U64)</f>
        <v>3.4102730070470715</v>
      </c>
      <c r="AG64" s="16">
        <f>IF(AC64=0,IF(O64=4,INDEX(Acceleration!$T$4:$T$110,MATCH('Track Data'!S64,Acceleration!$K$4:$K$110,0)),IF('Track Data'!O64=3,INDEX(Acceleration!$S$4:$S$110,MATCH('Track Data'!S64,Acceleration!$K$4:$K$110,0)),'Track Data'!AF64)),'Track Data'!U64)</f>
        <v>3.4102730070470715</v>
      </c>
      <c r="AH64" s="16">
        <f>IF(AC64=0,IF(O64=2,INDEX(Acceleration!$R$4:$R$110,MATCH('Track Data'!S64,Acceleration!$K$4:$K$110,0)),IF('Track Data'!O64=1,INDEX(Acceleration!$Q$4:$Q$110,MATCH('Track Data'!S64,Acceleration!$K$4:$K$110,0)),'Track Data'!AG64)),'Track Data'!U64)</f>
        <v>3.4102730070470715</v>
      </c>
    </row>
    <row r="65" spans="2:34" x14ac:dyDescent="0.25">
      <c r="B65" s="16">
        <v>196.81299999999999</v>
      </c>
      <c r="C65" s="16">
        <v>7335</v>
      </c>
      <c r="D65" s="16">
        <v>62</v>
      </c>
      <c r="E65" s="113">
        <v>215</v>
      </c>
      <c r="F65" s="113">
        <v>214.2</v>
      </c>
      <c r="G65" s="113">
        <v>210.6</v>
      </c>
      <c r="H65" s="113">
        <f t="shared" si="3"/>
        <v>58.5</v>
      </c>
      <c r="I65" s="113">
        <v>11.3</v>
      </c>
      <c r="J65" s="113">
        <v>37.74</v>
      </c>
      <c r="K65" s="113">
        <v>-2.6</v>
      </c>
      <c r="L65" s="189"/>
      <c r="M65" s="16">
        <v>62</v>
      </c>
      <c r="N65" s="16">
        <f t="shared" si="5"/>
        <v>1.6724921703972575E-2</v>
      </c>
      <c r="O65" s="16">
        <v>6</v>
      </c>
      <c r="P65" s="16">
        <f t="shared" si="0"/>
        <v>7.3113821138211375</v>
      </c>
      <c r="Q65" s="16">
        <f t="shared" si="6"/>
        <v>59.791012340731953</v>
      </c>
      <c r="R65" s="113">
        <f t="shared" si="1"/>
        <v>311.95699999999999</v>
      </c>
      <c r="S65" s="16">
        <f>IF(S64=15800,15800,ROUND((((Q65*60)/'Gearing Calculator'!$C$14)*'Track Data'!P65),-2))</f>
        <v>13300</v>
      </c>
      <c r="T65" s="16">
        <f t="shared" si="4"/>
        <v>3.3628306539846999</v>
      </c>
      <c r="U65" s="16">
        <f>IF(AC65=100,Braking!$AG$2354,IF(AC65=50,Braking!$AG$1179,IF(AC65=75,Braking!$AG$1767,0)))</f>
        <v>0</v>
      </c>
      <c r="V65" s="16">
        <f>0.5*'Gearing Calculator'!$C$15*'Gearing Calculator'!$C$20*'Gearing Calculator'!$W$20*('Track Data'!Q65^2)</f>
        <v>378.37431218825668</v>
      </c>
      <c r="W65" s="16">
        <f>('Gearing Calculator'!$U$9*'Track Data'!T65)+'Track Data'!V65</f>
        <v>1273.5598322789838</v>
      </c>
      <c r="X65" s="16">
        <f>('Gearing Calculator'!$U$9*9.81)*('Gearing Calculator'!$U$16/'Gearing Calculator'!$C$7)-(('Track Data'!W65)*('Gearing Calculator'!$U$17/'Gearing Calculator'!$C$7))</f>
        <v>706.98521525263118</v>
      </c>
      <c r="Y65" s="16">
        <f>('Gearing Calculator'!$U$9*9.81)*(('Gearing Calculator'!$C$7-'Gearing Calculator'!$U$16)/'Gearing Calculator'!$C$7)+(('Track Data'!W65)*('Gearing Calculator'!$U$17/'Gearing Calculator'!$C$7))</f>
        <v>1904.4367847473688</v>
      </c>
      <c r="Z65" s="16">
        <f>((X65*COS('Gearing Calculator'!$C$21))/'Gearing Calculator'!$C$22)/2</f>
        <v>21.857746851880048</v>
      </c>
      <c r="AA65" s="16">
        <f>Y65/'Gearing Calculator'!$C$24</f>
        <v>26.592325084012909</v>
      </c>
      <c r="AB65" s="16">
        <f t="shared" si="2"/>
        <v>398.55129611216489</v>
      </c>
      <c r="AC65" s="16">
        <v>0</v>
      </c>
      <c r="AD65" s="16">
        <v>0</v>
      </c>
      <c r="AE65" s="16">
        <v>62</v>
      </c>
      <c r="AF65" s="16">
        <f>IF(AC65=0,IF(O65=6,INDEX(Acceleration!$V$4:$V$110,MATCH('Track Data'!S65,Acceleration!$K$4:$K$110,0)),IF('Track Data'!O65=5,INDEX(Acceleration!$U$4:$U$110,MATCH('Track Data'!S65,Acceleration!$K$4:$K$110,0)),1)),U65)</f>
        <v>3.3628306539846999</v>
      </c>
      <c r="AG65" s="16">
        <f>IF(AC65=0,IF(O65=4,INDEX(Acceleration!$T$4:$T$110,MATCH('Track Data'!S65,Acceleration!$K$4:$K$110,0)),IF('Track Data'!O65=3,INDEX(Acceleration!$S$4:$S$110,MATCH('Track Data'!S65,Acceleration!$K$4:$K$110,0)),'Track Data'!AF65)),'Track Data'!U65)</f>
        <v>3.3628306539846999</v>
      </c>
      <c r="AH65" s="16">
        <f>IF(AC65=0,IF(O65=2,INDEX(Acceleration!$R$4:$R$110,MATCH('Track Data'!S65,Acceleration!$K$4:$K$110,0)),IF('Track Data'!O65=1,INDEX(Acceleration!$Q$4:$Q$110,MATCH('Track Data'!S65,Acceleration!$K$4:$K$110,0)),'Track Data'!AG65)),'Track Data'!U65)</f>
        <v>3.3628306539846999</v>
      </c>
    </row>
    <row r="66" spans="2:34" x14ac:dyDescent="0.25">
      <c r="B66" s="16">
        <v>196.82900000000001</v>
      </c>
      <c r="C66" s="16">
        <v>7336</v>
      </c>
      <c r="D66" s="16">
        <v>63</v>
      </c>
      <c r="E66" s="113">
        <v>214</v>
      </c>
      <c r="F66" s="113">
        <v>214.3</v>
      </c>
      <c r="G66" s="113">
        <v>210.7</v>
      </c>
      <c r="H66" s="113">
        <f t="shared" si="3"/>
        <v>58.527777777777771</v>
      </c>
      <c r="I66" s="113">
        <v>13</v>
      </c>
      <c r="J66" s="113">
        <v>33.31</v>
      </c>
      <c r="K66" s="113">
        <v>-6.3</v>
      </c>
      <c r="L66" s="189"/>
      <c r="M66" s="16">
        <v>63</v>
      </c>
      <c r="N66" s="16">
        <f t="shared" si="5"/>
        <v>1.6709211384395926E-2</v>
      </c>
      <c r="O66" s="16">
        <v>6</v>
      </c>
      <c r="P66" s="16">
        <f t="shared" si="0"/>
        <v>7.3113821138211375</v>
      </c>
      <c r="Q66" s="16">
        <f t="shared" si="6"/>
        <v>59.847228992139065</v>
      </c>
      <c r="R66" s="113">
        <f t="shared" si="1"/>
        <v>311.95699999999999</v>
      </c>
      <c r="S66" s="16">
        <f>IF(S65=15800,15800,ROUND((((Q66*60)/'Gearing Calculator'!$C$14)*'Track Data'!P66),-2))</f>
        <v>13300</v>
      </c>
      <c r="T66" s="16">
        <f t="shared" si="4"/>
        <v>3.3628306539846999</v>
      </c>
      <c r="U66" s="16">
        <f>IF(AC66=100,Braking!$AG$2354,IF(AC66=50,Braking!$AG$1179,IF(AC66=75,Braking!$AG$1767,0)))</f>
        <v>0</v>
      </c>
      <c r="V66" s="16">
        <f>0.5*'Gearing Calculator'!$C$15*'Gearing Calculator'!$C$20*'Gearing Calculator'!$W$20*('Track Data'!Q66^2)</f>
        <v>379.08615618109224</v>
      </c>
      <c r="W66" s="16">
        <f>('Gearing Calculator'!$U$9*'Track Data'!T66)+'Track Data'!V66</f>
        <v>1274.2716762718194</v>
      </c>
      <c r="X66" s="16">
        <f>('Gearing Calculator'!$U$9*9.81)*('Gearing Calculator'!$U$16/'Gearing Calculator'!$C$7)-(('Track Data'!W66)*('Gearing Calculator'!$U$17/'Gearing Calculator'!$C$7))</f>
        <v>706.59721166205213</v>
      </c>
      <c r="Y66" s="16">
        <f>('Gearing Calculator'!$U$9*9.81)*(('Gearing Calculator'!$C$7-'Gearing Calculator'!$U$16)/'Gearing Calculator'!$C$7)+(('Track Data'!W66)*('Gearing Calculator'!$U$17/'Gearing Calculator'!$C$7))</f>
        <v>1904.8247883379479</v>
      </c>
      <c r="Z66" s="16">
        <f>((X66*COS('Gearing Calculator'!$C$21))/'Gearing Calculator'!$C$22)/2</f>
        <v>21.845751008010144</v>
      </c>
      <c r="AA66" s="16">
        <f>Y66/'Gearing Calculator'!$C$24</f>
        <v>26.597742915519358</v>
      </c>
      <c r="AB66" s="16">
        <f t="shared" si="2"/>
        <v>399.26314010500045</v>
      </c>
      <c r="AC66" s="16">
        <v>0</v>
      </c>
      <c r="AD66" s="16">
        <v>0</v>
      </c>
      <c r="AE66" s="16">
        <v>63</v>
      </c>
      <c r="AF66" s="16">
        <f>IF(AC66=0,IF(O66=6,INDEX(Acceleration!$V$4:$V$110,MATCH('Track Data'!S66,Acceleration!$K$4:$K$110,0)),IF('Track Data'!O66=5,INDEX(Acceleration!$U$4:$U$110,MATCH('Track Data'!S66,Acceleration!$K$4:$K$110,0)),1)),U66)</f>
        <v>3.3628306539846999</v>
      </c>
      <c r="AG66" s="16">
        <f>IF(AC66=0,IF(O66=4,INDEX(Acceleration!$T$4:$T$110,MATCH('Track Data'!S66,Acceleration!$K$4:$K$110,0)),IF('Track Data'!O66=3,INDEX(Acceleration!$S$4:$S$110,MATCH('Track Data'!S66,Acceleration!$K$4:$K$110,0)),'Track Data'!AF66)),'Track Data'!U66)</f>
        <v>3.3628306539846999</v>
      </c>
      <c r="AH66" s="16">
        <f>IF(AC66=0,IF(O66=2,INDEX(Acceleration!$R$4:$R$110,MATCH('Track Data'!S66,Acceleration!$K$4:$K$110,0)),IF('Track Data'!O66=1,INDEX(Acceleration!$Q$4:$Q$110,MATCH('Track Data'!S66,Acceleration!$K$4:$K$110,0)),'Track Data'!AG66)),'Track Data'!U66)</f>
        <v>3.3628306539846999</v>
      </c>
    </row>
    <row r="67" spans="2:34" x14ac:dyDescent="0.25">
      <c r="B67" s="16">
        <v>196.846</v>
      </c>
      <c r="C67" s="16">
        <v>7337</v>
      </c>
      <c r="D67" s="16">
        <v>64</v>
      </c>
      <c r="E67" s="113">
        <v>214</v>
      </c>
      <c r="F67" s="113">
        <v>214.6</v>
      </c>
      <c r="G67" s="113">
        <v>210.9</v>
      </c>
      <c r="H67" s="113">
        <f t="shared" si="3"/>
        <v>58.583333333333336</v>
      </c>
      <c r="I67" s="113">
        <v>13.5</v>
      </c>
      <c r="J67" s="113">
        <v>24.7</v>
      </c>
      <c r="K67" s="113">
        <v>-13.7</v>
      </c>
      <c r="L67" s="189"/>
      <c r="M67" s="16">
        <v>64</v>
      </c>
      <c r="N67" s="16">
        <f t="shared" si="5"/>
        <v>1.6693545253611611E-2</v>
      </c>
      <c r="O67" s="16">
        <v>6</v>
      </c>
      <c r="P67" s="16">
        <f t="shared" si="0"/>
        <v>7.3113821138211375</v>
      </c>
      <c r="Q67" s="16">
        <f t="shared" si="6"/>
        <v>59.903392886759761</v>
      </c>
      <c r="R67" s="113">
        <f t="shared" si="1"/>
        <v>311.95699999999999</v>
      </c>
      <c r="S67" s="16">
        <f>IF(S66=15800,15800,ROUND((((Q67*60)/'Gearing Calculator'!$C$14)*'Track Data'!P67),-2))</f>
        <v>13300</v>
      </c>
      <c r="T67" s="16">
        <f t="shared" si="4"/>
        <v>3.3628306539846999</v>
      </c>
      <c r="U67" s="16">
        <f>IF(AC67=100,Braking!$AG$2354,IF(AC67=50,Braking!$AG$1179,IF(AC67=75,Braking!$AG$1767,0)))</f>
        <v>0</v>
      </c>
      <c r="V67" s="16">
        <f>0.5*'Gearing Calculator'!$C$15*'Gearing Calculator'!$C$20*'Gearing Calculator'!$W$20*('Track Data'!Q67^2)</f>
        <v>379.79800017392768</v>
      </c>
      <c r="W67" s="16">
        <f>('Gearing Calculator'!$U$9*'Track Data'!T67)+'Track Data'!V67</f>
        <v>1274.9835202646548</v>
      </c>
      <c r="X67" s="16">
        <f>('Gearing Calculator'!$U$9*9.81)*('Gearing Calculator'!$U$16/'Gearing Calculator'!$C$7)-(('Track Data'!W67)*('Gearing Calculator'!$U$17/'Gearing Calculator'!$C$7))</f>
        <v>706.2092080714732</v>
      </c>
      <c r="Y67" s="16">
        <f>('Gearing Calculator'!$U$9*9.81)*(('Gearing Calculator'!$C$7-'Gearing Calculator'!$U$16)/'Gearing Calculator'!$C$7)+(('Track Data'!W67)*('Gearing Calculator'!$U$17/'Gearing Calculator'!$C$7))</f>
        <v>1905.2127919285267</v>
      </c>
      <c r="Z67" s="16">
        <f>((X67*COS('Gearing Calculator'!$C$21))/'Gearing Calculator'!$C$22)/2</f>
        <v>21.83375516414025</v>
      </c>
      <c r="AA67" s="16">
        <f>Y67/'Gearing Calculator'!$C$24</f>
        <v>26.6031607470258</v>
      </c>
      <c r="AB67" s="16">
        <f t="shared" si="2"/>
        <v>399.97498409783589</v>
      </c>
      <c r="AC67" s="16">
        <v>0</v>
      </c>
      <c r="AD67" s="16">
        <v>0</v>
      </c>
      <c r="AE67" s="16">
        <v>64</v>
      </c>
      <c r="AF67" s="16">
        <f>IF(AC67=0,IF(O67=6,INDEX(Acceleration!$V$4:$V$110,MATCH('Track Data'!S67,Acceleration!$K$4:$K$110,0)),IF('Track Data'!O67=5,INDEX(Acceleration!$U$4:$U$110,MATCH('Track Data'!S67,Acceleration!$K$4:$K$110,0)),1)),U67)</f>
        <v>3.3628306539846999</v>
      </c>
      <c r="AG67" s="16">
        <f>IF(AC67=0,IF(O67=4,INDEX(Acceleration!$T$4:$T$110,MATCH('Track Data'!S67,Acceleration!$K$4:$K$110,0)),IF('Track Data'!O67=3,INDEX(Acceleration!$S$4:$S$110,MATCH('Track Data'!S67,Acceleration!$K$4:$K$110,0)),'Track Data'!AF67)),'Track Data'!U67)</f>
        <v>3.3628306539846999</v>
      </c>
      <c r="AH67" s="16">
        <f>IF(AC67=0,IF(O67=2,INDEX(Acceleration!$R$4:$R$110,MATCH('Track Data'!S67,Acceleration!$K$4:$K$110,0)),IF('Track Data'!O67=1,INDEX(Acceleration!$Q$4:$Q$110,MATCH('Track Data'!S67,Acceleration!$K$4:$K$110,0)),'Track Data'!AG67)),'Track Data'!U67)</f>
        <v>3.3628306539846999</v>
      </c>
    </row>
    <row r="68" spans="2:34" x14ac:dyDescent="0.25">
      <c r="B68" s="16">
        <v>196.863</v>
      </c>
      <c r="C68" s="16">
        <v>7338</v>
      </c>
      <c r="D68" s="16">
        <v>65</v>
      </c>
      <c r="E68" s="113">
        <v>216</v>
      </c>
      <c r="F68" s="113">
        <v>214.8</v>
      </c>
      <c r="G68" s="113">
        <v>211</v>
      </c>
      <c r="H68" s="113">
        <f t="shared" si="3"/>
        <v>58.611111111111107</v>
      </c>
      <c r="I68" s="113">
        <v>10.5</v>
      </c>
      <c r="J68" s="113">
        <v>20.75</v>
      </c>
      <c r="K68" s="113">
        <v>-21.1</v>
      </c>
      <c r="L68" s="189"/>
      <c r="M68" s="16">
        <v>65</v>
      </c>
      <c r="N68" s="16">
        <f t="shared" si="5"/>
        <v>1.6677923104855857E-2</v>
      </c>
      <c r="O68" s="16">
        <v>6</v>
      </c>
      <c r="P68" s="16">
        <f t="shared" ref="P68:P131" si="8">VLOOKUP(O68,$AJ$5:$AK$10,2,FALSE)</f>
        <v>7.3113821138211375</v>
      </c>
      <c r="Q68" s="16">
        <f t="shared" si="6"/>
        <v>59.959504172845435</v>
      </c>
      <c r="R68" s="113">
        <f t="shared" ref="R68:R131" si="9">VLOOKUP(O68,$AJ$5:$AL$10,3,FALSE)</f>
        <v>311.95699999999999</v>
      </c>
      <c r="S68" s="16">
        <f>IF(S67=15800,15800,ROUND((((Q68*60)/'Gearing Calculator'!$C$14)*'Track Data'!P68),-2))</f>
        <v>13300</v>
      </c>
      <c r="T68" s="16">
        <f t="shared" si="4"/>
        <v>3.3628306539846999</v>
      </c>
      <c r="U68" s="16">
        <f>IF(AC68=100,Braking!$AG$2354,IF(AC68=50,Braking!$AG$1179,IF(AC68=75,Braking!$AG$1767,0)))</f>
        <v>0</v>
      </c>
      <c r="V68" s="16">
        <f>0.5*'Gearing Calculator'!$C$15*'Gearing Calculator'!$C$20*'Gearing Calculator'!$W$20*('Track Data'!Q68^2)</f>
        <v>380.50984416676312</v>
      </c>
      <c r="W68" s="16">
        <f>('Gearing Calculator'!$U$9*'Track Data'!T68)+'Track Data'!V68</f>
        <v>1275.6953642574902</v>
      </c>
      <c r="X68" s="16">
        <f>('Gearing Calculator'!$U$9*9.81)*('Gearing Calculator'!$U$16/'Gearing Calculator'!$C$7)-(('Track Data'!W68)*('Gearing Calculator'!$U$17/'Gearing Calculator'!$C$7))</f>
        <v>705.82120448089415</v>
      </c>
      <c r="Y68" s="16">
        <f>('Gearing Calculator'!$U$9*9.81)*(('Gearing Calculator'!$C$7-'Gearing Calculator'!$U$16)/'Gearing Calculator'!$C$7)+(('Track Data'!W68)*('Gearing Calculator'!$U$17/'Gearing Calculator'!$C$7))</f>
        <v>1905.6007955191058</v>
      </c>
      <c r="Z68" s="16">
        <f>((X68*COS('Gearing Calculator'!$C$21))/'Gearing Calculator'!$C$22)/2</f>
        <v>21.821759320270353</v>
      </c>
      <c r="AA68" s="16">
        <f>Y68/'Gearing Calculator'!$C$24</f>
        <v>26.608578578532249</v>
      </c>
      <c r="AB68" s="16">
        <f t="shared" ref="AB68:AB131" si="10">(T68*O68)+V68</f>
        <v>400.68682809067133</v>
      </c>
      <c r="AC68" s="16">
        <v>0</v>
      </c>
      <c r="AD68" s="16">
        <v>0</v>
      </c>
      <c r="AE68" s="16">
        <v>65</v>
      </c>
      <c r="AF68" s="16">
        <f>IF(AC68=0,IF(O68=6,INDEX(Acceleration!$V$4:$V$110,MATCH('Track Data'!S68,Acceleration!$K$4:$K$110,0)),IF('Track Data'!O68=5,INDEX(Acceleration!$U$4:$U$110,MATCH('Track Data'!S68,Acceleration!$K$4:$K$110,0)),1)),U68)</f>
        <v>3.3628306539846999</v>
      </c>
      <c r="AG68" s="16">
        <f>IF(AC68=0,IF(O68=4,INDEX(Acceleration!$T$4:$T$110,MATCH('Track Data'!S68,Acceleration!$K$4:$K$110,0)),IF('Track Data'!O68=3,INDEX(Acceleration!$S$4:$S$110,MATCH('Track Data'!S68,Acceleration!$K$4:$K$110,0)),'Track Data'!AF68)),'Track Data'!U68)</f>
        <v>3.3628306539846999</v>
      </c>
      <c r="AH68" s="16">
        <f>IF(AC68=0,IF(O68=2,INDEX(Acceleration!$R$4:$R$110,MATCH('Track Data'!S68,Acceleration!$K$4:$K$110,0)),IF('Track Data'!O68=1,INDEX(Acceleration!$Q$4:$Q$110,MATCH('Track Data'!S68,Acceleration!$K$4:$K$110,0)),'Track Data'!AG68)),'Track Data'!U68)</f>
        <v>3.3628306539846999</v>
      </c>
    </row>
    <row r="69" spans="2:34" x14ac:dyDescent="0.25">
      <c r="B69" s="16">
        <v>196.87899999999999</v>
      </c>
      <c r="C69" s="16">
        <v>7339</v>
      </c>
      <c r="D69" s="16">
        <v>66</v>
      </c>
      <c r="E69" s="113">
        <v>216</v>
      </c>
      <c r="F69" s="113">
        <v>214.9</v>
      </c>
      <c r="G69" s="113">
        <v>211.1</v>
      </c>
      <c r="H69" s="113">
        <f t="shared" ref="H69:H132" si="11">G69/3.6</f>
        <v>58.638888888888886</v>
      </c>
      <c r="I69" s="113">
        <v>8.5</v>
      </c>
      <c r="J69" s="113">
        <v>21.27</v>
      </c>
      <c r="K69" s="113">
        <v>-24.8</v>
      </c>
      <c r="L69" s="189"/>
      <c r="M69" s="16">
        <v>66</v>
      </c>
      <c r="N69" s="16">
        <f t="shared" si="5"/>
        <v>1.666234473271681E-2</v>
      </c>
      <c r="O69" s="16">
        <v>6</v>
      </c>
      <c r="P69" s="16">
        <f t="shared" si="8"/>
        <v>7.3113821138211375</v>
      </c>
      <c r="Q69" s="16">
        <f t="shared" si="6"/>
        <v>60.01556299795444</v>
      </c>
      <c r="R69" s="113">
        <f t="shared" si="9"/>
        <v>311.95699999999999</v>
      </c>
      <c r="S69" s="16">
        <f>IF(S68=15800,15800,ROUND((((Q69*60)/'Gearing Calculator'!$C$14)*'Track Data'!P69),-2))</f>
        <v>13300</v>
      </c>
      <c r="T69" s="16">
        <f t="shared" ref="T69:T132" si="12">AH69</f>
        <v>3.3628306539846999</v>
      </c>
      <c r="U69" s="16">
        <f>IF(AC69=100,Braking!$AG$2354,IF(AC69=50,Braking!$AG$1179,IF(AC69=75,Braking!$AG$1767,0)))</f>
        <v>0</v>
      </c>
      <c r="V69" s="16">
        <f>0.5*'Gearing Calculator'!$C$15*'Gearing Calculator'!$C$20*'Gearing Calculator'!$W$20*('Track Data'!Q69^2)</f>
        <v>381.22168815959856</v>
      </c>
      <c r="W69" s="16">
        <f>('Gearing Calculator'!$U$9*'Track Data'!T69)+'Track Data'!V69</f>
        <v>1276.4072082503258</v>
      </c>
      <c r="X69" s="16">
        <f>('Gearing Calculator'!$U$9*9.81)*('Gearing Calculator'!$U$16/'Gearing Calculator'!$C$7)-(('Track Data'!W69)*('Gearing Calculator'!$U$17/'Gearing Calculator'!$C$7))</f>
        <v>705.43320089031511</v>
      </c>
      <c r="Y69" s="16">
        <f>('Gearing Calculator'!$U$9*9.81)*(('Gearing Calculator'!$C$7-'Gearing Calculator'!$U$16)/'Gearing Calculator'!$C$7)+(('Track Data'!W69)*('Gearing Calculator'!$U$17/'Gearing Calculator'!$C$7))</f>
        <v>1905.9887991096848</v>
      </c>
      <c r="Z69" s="16">
        <f>((X69*COS('Gearing Calculator'!$C$21))/'Gearing Calculator'!$C$22)/2</f>
        <v>21.809763476400452</v>
      </c>
      <c r="AA69" s="16">
        <f>Y69/'Gearing Calculator'!$C$24</f>
        <v>26.613996410038698</v>
      </c>
      <c r="AB69" s="16">
        <f t="shared" si="10"/>
        <v>401.39867208350677</v>
      </c>
      <c r="AC69" s="16">
        <v>0</v>
      </c>
      <c r="AD69" s="16">
        <v>0</v>
      </c>
      <c r="AE69" s="16">
        <v>66</v>
      </c>
      <c r="AF69" s="16">
        <f>IF(AC69=0,IF(O69=6,INDEX(Acceleration!$V$4:$V$110,MATCH('Track Data'!S69,Acceleration!$K$4:$K$110,0)),IF('Track Data'!O69=5,INDEX(Acceleration!$U$4:$U$110,MATCH('Track Data'!S69,Acceleration!$K$4:$K$110,0)),1)),U69)</f>
        <v>3.3628306539846999</v>
      </c>
      <c r="AG69" s="16">
        <f>IF(AC69=0,IF(O69=4,INDEX(Acceleration!$T$4:$T$110,MATCH('Track Data'!S69,Acceleration!$K$4:$K$110,0)),IF('Track Data'!O69=3,INDEX(Acceleration!$S$4:$S$110,MATCH('Track Data'!S69,Acceleration!$K$4:$K$110,0)),'Track Data'!AF69)),'Track Data'!U69)</f>
        <v>3.3628306539846999</v>
      </c>
      <c r="AH69" s="16">
        <f>IF(AC69=0,IF(O69=2,INDEX(Acceleration!$R$4:$R$110,MATCH('Track Data'!S69,Acceleration!$K$4:$K$110,0)),IF('Track Data'!O69=1,INDEX(Acceleration!$Q$4:$Q$110,MATCH('Track Data'!S69,Acceleration!$K$4:$K$110,0)),'Track Data'!AG69)),'Track Data'!U69)</f>
        <v>3.3628306539846999</v>
      </c>
    </row>
    <row r="70" spans="2:34" x14ac:dyDescent="0.25">
      <c r="B70" s="16">
        <v>196.89599999999999</v>
      </c>
      <c r="C70" s="16">
        <v>7340</v>
      </c>
      <c r="D70" s="16">
        <v>67</v>
      </c>
      <c r="E70" s="113">
        <v>216</v>
      </c>
      <c r="F70" s="113">
        <v>215</v>
      </c>
      <c r="G70" s="113">
        <v>211.2</v>
      </c>
      <c r="H70" s="113">
        <f t="shared" si="11"/>
        <v>58.666666666666664</v>
      </c>
      <c r="I70" s="113">
        <v>6.5</v>
      </c>
      <c r="J70" s="113">
        <v>20.52</v>
      </c>
      <c r="K70" s="113">
        <v>-18.2</v>
      </c>
      <c r="L70" s="189"/>
      <c r="M70" s="16">
        <v>67</v>
      </c>
      <c r="N70" s="16">
        <f t="shared" ref="N70:N133" si="13">1/Q70</f>
        <v>1.6646809933123202E-2</v>
      </c>
      <c r="O70" s="16">
        <v>6</v>
      </c>
      <c r="P70" s="16">
        <f t="shared" si="8"/>
        <v>7.3113821138211375</v>
      </c>
      <c r="Q70" s="16">
        <f t="shared" ref="Q70:Q133" si="14">IF(AD69=0,SQRT(Q69^2+(2*T69)),Q69)</f>
        <v>60.071569508956628</v>
      </c>
      <c r="R70" s="113">
        <f t="shared" si="9"/>
        <v>311.95699999999999</v>
      </c>
      <c r="S70" s="16">
        <f>IF(S69=15800,15800,ROUND((((Q70*60)/'Gearing Calculator'!$C$14)*'Track Data'!P70),-2))</f>
        <v>13300</v>
      </c>
      <c r="T70" s="16">
        <f t="shared" si="12"/>
        <v>3.3628306539846999</v>
      </c>
      <c r="U70" s="16">
        <f>IF(AC70=100,Braking!$AG$2354,IF(AC70=50,Braking!$AG$1179,IF(AC70=75,Braking!$AG$1767,0)))</f>
        <v>0</v>
      </c>
      <c r="V70" s="16">
        <f>0.5*'Gearing Calculator'!$C$15*'Gearing Calculator'!$C$20*'Gearing Calculator'!$W$20*('Track Data'!Q70^2)</f>
        <v>381.93353215243405</v>
      </c>
      <c r="W70" s="16">
        <f>('Gearing Calculator'!$U$9*'Track Data'!T70)+'Track Data'!V70</f>
        <v>1277.1190522431611</v>
      </c>
      <c r="X70" s="16">
        <f>('Gearing Calculator'!$U$9*9.81)*('Gearing Calculator'!$U$16/'Gearing Calculator'!$C$7)-(('Track Data'!W70)*('Gearing Calculator'!$U$17/'Gearing Calculator'!$C$7))</f>
        <v>705.04519729973617</v>
      </c>
      <c r="Y70" s="16">
        <f>('Gearing Calculator'!$U$9*9.81)*(('Gearing Calculator'!$C$7-'Gearing Calculator'!$U$16)/'Gearing Calculator'!$C$7)+(('Track Data'!W70)*('Gearing Calculator'!$U$17/'Gearing Calculator'!$C$7))</f>
        <v>1906.3768027002639</v>
      </c>
      <c r="Z70" s="16">
        <f>((X70*COS('Gearing Calculator'!$C$21))/'Gearing Calculator'!$C$22)/2</f>
        <v>21.797767632530558</v>
      </c>
      <c r="AA70" s="16">
        <f>Y70/'Gearing Calculator'!$C$24</f>
        <v>26.619414241545144</v>
      </c>
      <c r="AB70" s="16">
        <f t="shared" si="10"/>
        <v>402.11051607634226</v>
      </c>
      <c r="AC70" s="16">
        <v>0</v>
      </c>
      <c r="AD70" s="16">
        <v>0</v>
      </c>
      <c r="AE70" s="16">
        <v>67</v>
      </c>
      <c r="AF70" s="16">
        <f>IF(AC70=0,IF(O70=6,INDEX(Acceleration!$V$4:$V$110,MATCH('Track Data'!S70,Acceleration!$K$4:$K$110,0)),IF('Track Data'!O70=5,INDEX(Acceleration!$U$4:$U$110,MATCH('Track Data'!S70,Acceleration!$K$4:$K$110,0)),1)),U70)</f>
        <v>3.3628306539846999</v>
      </c>
      <c r="AG70" s="16">
        <f>IF(AC70=0,IF(O70=4,INDEX(Acceleration!$T$4:$T$110,MATCH('Track Data'!S70,Acceleration!$K$4:$K$110,0)),IF('Track Data'!O70=3,INDEX(Acceleration!$S$4:$S$110,MATCH('Track Data'!S70,Acceleration!$K$4:$K$110,0)),'Track Data'!AF70)),'Track Data'!U70)</f>
        <v>3.3628306539846999</v>
      </c>
      <c r="AH70" s="16">
        <f>IF(AC70=0,IF(O70=2,INDEX(Acceleration!$R$4:$R$110,MATCH('Track Data'!S70,Acceleration!$K$4:$K$110,0)),IF('Track Data'!O70=1,INDEX(Acceleration!$Q$4:$Q$110,MATCH('Track Data'!S70,Acceleration!$K$4:$K$110,0)),'Track Data'!AG70)),'Track Data'!U70)</f>
        <v>3.3628306539846999</v>
      </c>
    </row>
    <row r="71" spans="2:34" x14ac:dyDescent="0.25">
      <c r="B71" s="16">
        <v>196.91300000000001</v>
      </c>
      <c r="C71" s="16">
        <v>7341</v>
      </c>
      <c r="D71" s="16">
        <v>68</v>
      </c>
      <c r="E71" s="113">
        <v>215</v>
      </c>
      <c r="F71" s="113">
        <v>215</v>
      </c>
      <c r="G71" s="113">
        <v>211.3</v>
      </c>
      <c r="H71" s="113">
        <f t="shared" si="11"/>
        <v>58.694444444444443</v>
      </c>
      <c r="I71" s="113">
        <v>6.3</v>
      </c>
      <c r="J71" s="113">
        <v>19.46</v>
      </c>
      <c r="K71" s="113">
        <v>-5.3</v>
      </c>
      <c r="L71" s="189"/>
      <c r="M71" s="16">
        <v>68</v>
      </c>
      <c r="N71" s="16">
        <f t="shared" si="13"/>
        <v>1.6631318503333117E-2</v>
      </c>
      <c r="O71" s="16">
        <v>6</v>
      </c>
      <c r="P71" s="16">
        <f t="shared" si="8"/>
        <v>7.3113821138211375</v>
      </c>
      <c r="Q71" s="16">
        <f t="shared" si="14"/>
        <v>60.127523852037818</v>
      </c>
      <c r="R71" s="113">
        <f t="shared" si="9"/>
        <v>311.95699999999999</v>
      </c>
      <c r="S71" s="16">
        <f>IF(S70=15800,15800,ROUND((((Q71*60)/'Gearing Calculator'!$C$14)*'Track Data'!P71),-2))</f>
        <v>13300</v>
      </c>
      <c r="T71" s="16">
        <f t="shared" si="12"/>
        <v>3.3628306539846999</v>
      </c>
      <c r="U71" s="16">
        <f>IF(AC71=100,Braking!$AG$2354,IF(AC71=50,Braking!$AG$1179,IF(AC71=75,Braking!$AG$1767,0)))</f>
        <v>0</v>
      </c>
      <c r="V71" s="16">
        <f>0.5*'Gearing Calculator'!$C$15*'Gearing Calculator'!$C$20*'Gearing Calculator'!$W$20*('Track Data'!Q71^2)</f>
        <v>382.64537614526955</v>
      </c>
      <c r="W71" s="16">
        <f>('Gearing Calculator'!$U$9*'Track Data'!T71)+'Track Data'!V71</f>
        <v>1277.8308962359965</v>
      </c>
      <c r="X71" s="16">
        <f>('Gearing Calculator'!$U$9*9.81)*('Gearing Calculator'!$U$16/'Gearing Calculator'!$C$7)-(('Track Data'!W71)*('Gearing Calculator'!$U$17/'Gearing Calculator'!$C$7))</f>
        <v>704.65719370915713</v>
      </c>
      <c r="Y71" s="16">
        <f>('Gearing Calculator'!$U$9*9.81)*(('Gearing Calculator'!$C$7-'Gearing Calculator'!$U$16)/'Gearing Calculator'!$C$7)+(('Track Data'!W71)*('Gearing Calculator'!$U$17/'Gearing Calculator'!$C$7))</f>
        <v>1906.7648062908429</v>
      </c>
      <c r="Z71" s="16">
        <f>((X71*COS('Gearing Calculator'!$C$21))/'Gearing Calculator'!$C$22)/2</f>
        <v>21.785771788660661</v>
      </c>
      <c r="AA71" s="16">
        <f>Y71/'Gearing Calculator'!$C$24</f>
        <v>26.624832073051593</v>
      </c>
      <c r="AB71" s="16">
        <f t="shared" si="10"/>
        <v>402.82236006917776</v>
      </c>
      <c r="AC71" s="16">
        <v>0</v>
      </c>
      <c r="AD71" s="16">
        <v>0</v>
      </c>
      <c r="AE71" s="16">
        <v>68</v>
      </c>
      <c r="AF71" s="16">
        <f>IF(AC71=0,IF(O71=6,INDEX(Acceleration!$V$4:$V$110,MATCH('Track Data'!S71,Acceleration!$K$4:$K$110,0)),IF('Track Data'!O71=5,INDEX(Acceleration!$U$4:$U$110,MATCH('Track Data'!S71,Acceleration!$K$4:$K$110,0)),1)),U71)</f>
        <v>3.3628306539846999</v>
      </c>
      <c r="AG71" s="16">
        <f>IF(AC71=0,IF(O71=4,INDEX(Acceleration!$T$4:$T$110,MATCH('Track Data'!S71,Acceleration!$K$4:$K$110,0)),IF('Track Data'!O71=3,INDEX(Acceleration!$S$4:$S$110,MATCH('Track Data'!S71,Acceleration!$K$4:$K$110,0)),'Track Data'!AF71)),'Track Data'!U71)</f>
        <v>3.3628306539846999</v>
      </c>
      <c r="AH71" s="16">
        <f>IF(AC71=0,IF(O71=2,INDEX(Acceleration!$R$4:$R$110,MATCH('Track Data'!S71,Acceleration!$K$4:$K$110,0)),IF('Track Data'!O71=1,INDEX(Acceleration!$Q$4:$Q$110,MATCH('Track Data'!S71,Acceleration!$K$4:$K$110,0)),'Track Data'!AG71)),'Track Data'!U71)</f>
        <v>3.3628306539846999</v>
      </c>
    </row>
    <row r="72" spans="2:34" x14ac:dyDescent="0.25">
      <c r="B72" s="16">
        <v>196.929</v>
      </c>
      <c r="C72" s="16">
        <v>7342</v>
      </c>
      <c r="D72" s="16">
        <v>69</v>
      </c>
      <c r="E72" s="113">
        <v>215</v>
      </c>
      <c r="F72" s="113">
        <v>215</v>
      </c>
      <c r="G72" s="113">
        <v>211.4</v>
      </c>
      <c r="H72" s="113">
        <f t="shared" si="11"/>
        <v>58.722222222222221</v>
      </c>
      <c r="I72" s="113">
        <v>6.7</v>
      </c>
      <c r="J72" s="113">
        <v>18.63</v>
      </c>
      <c r="K72" s="113">
        <v>1.1000000000000001</v>
      </c>
      <c r="L72" s="189"/>
      <c r="M72" s="16">
        <v>69</v>
      </c>
      <c r="N72" s="16">
        <f t="shared" si="13"/>
        <v>1.6615870241922886E-2</v>
      </c>
      <c r="O72" s="16">
        <v>6</v>
      </c>
      <c r="P72" s="16">
        <f t="shared" si="8"/>
        <v>7.3113821138211375</v>
      </c>
      <c r="Q72" s="16">
        <f t="shared" si="14"/>
        <v>60.18342617270428</v>
      </c>
      <c r="R72" s="113">
        <f t="shared" si="9"/>
        <v>311.95699999999999</v>
      </c>
      <c r="S72" s="16">
        <f>IF(S71=15800,15800,ROUND((((Q72*60)/'Gearing Calculator'!$C$14)*'Track Data'!P72),-2))</f>
        <v>13300</v>
      </c>
      <c r="T72" s="16">
        <f t="shared" si="12"/>
        <v>3.3628306539846999</v>
      </c>
      <c r="U72" s="16">
        <f>IF(AC72=100,Braking!$AG$2354,IF(AC72=50,Braking!$AG$1179,IF(AC72=75,Braking!$AG$1767,0)))</f>
        <v>0</v>
      </c>
      <c r="V72" s="16">
        <f>0.5*'Gearing Calculator'!$C$15*'Gearing Calculator'!$C$20*'Gearing Calculator'!$W$20*('Track Data'!Q72^2)</f>
        <v>383.35722013810505</v>
      </c>
      <c r="W72" s="16">
        <f>('Gearing Calculator'!$U$9*'Track Data'!T72)+'Track Data'!V72</f>
        <v>1278.5427402288321</v>
      </c>
      <c r="X72" s="16">
        <f>('Gearing Calculator'!$U$9*9.81)*('Gearing Calculator'!$U$16/'Gearing Calculator'!$C$7)-(('Track Data'!W72)*('Gearing Calculator'!$U$17/'Gearing Calculator'!$C$7))</f>
        <v>704.26919011857808</v>
      </c>
      <c r="Y72" s="16">
        <f>('Gearing Calculator'!$U$9*9.81)*(('Gearing Calculator'!$C$7-'Gearing Calculator'!$U$16)/'Gearing Calculator'!$C$7)+(('Track Data'!W72)*('Gearing Calculator'!$U$17/'Gearing Calculator'!$C$7))</f>
        <v>1907.1528098814219</v>
      </c>
      <c r="Z72" s="16">
        <f>((X72*COS('Gearing Calculator'!$C$21))/'Gearing Calculator'!$C$22)/2</f>
        <v>21.77377594479076</v>
      </c>
      <c r="AA72" s="16">
        <f>Y72/'Gearing Calculator'!$C$24</f>
        <v>26.630249904558038</v>
      </c>
      <c r="AB72" s="16">
        <f t="shared" si="10"/>
        <v>403.53420406201326</v>
      </c>
      <c r="AC72" s="16">
        <v>0</v>
      </c>
      <c r="AD72" s="16">
        <v>0</v>
      </c>
      <c r="AE72" s="16">
        <v>69</v>
      </c>
      <c r="AF72" s="16">
        <f>IF(AC72=0,IF(O72=6,INDEX(Acceleration!$V$4:$V$110,MATCH('Track Data'!S72,Acceleration!$K$4:$K$110,0)),IF('Track Data'!O72=5,INDEX(Acceleration!$U$4:$U$110,MATCH('Track Data'!S72,Acceleration!$K$4:$K$110,0)),1)),U72)</f>
        <v>3.3628306539846999</v>
      </c>
      <c r="AG72" s="16">
        <f>IF(AC72=0,IF(O72=4,INDEX(Acceleration!$T$4:$T$110,MATCH('Track Data'!S72,Acceleration!$K$4:$K$110,0)),IF('Track Data'!O72=3,INDEX(Acceleration!$S$4:$S$110,MATCH('Track Data'!S72,Acceleration!$K$4:$K$110,0)),'Track Data'!AF72)),'Track Data'!U72)</f>
        <v>3.3628306539846999</v>
      </c>
      <c r="AH72" s="16">
        <f>IF(AC72=0,IF(O72=2,INDEX(Acceleration!$R$4:$R$110,MATCH('Track Data'!S72,Acceleration!$K$4:$K$110,0)),IF('Track Data'!O72=1,INDEX(Acceleration!$Q$4:$Q$110,MATCH('Track Data'!S72,Acceleration!$K$4:$K$110,0)),'Track Data'!AG72)),'Track Data'!U72)</f>
        <v>3.3628306539846999</v>
      </c>
    </row>
    <row r="73" spans="2:34" x14ac:dyDescent="0.25">
      <c r="B73" s="16">
        <v>196.946</v>
      </c>
      <c r="C73" s="16">
        <v>7343</v>
      </c>
      <c r="D73" s="16">
        <v>70</v>
      </c>
      <c r="E73" s="113">
        <v>216</v>
      </c>
      <c r="F73" s="113">
        <v>215.3</v>
      </c>
      <c r="G73" s="113">
        <v>211.5</v>
      </c>
      <c r="H73" s="113">
        <f t="shared" si="11"/>
        <v>58.75</v>
      </c>
      <c r="I73" s="113">
        <v>6.7</v>
      </c>
      <c r="J73" s="113">
        <v>20.170000000000002</v>
      </c>
      <c r="K73" s="113">
        <v>14</v>
      </c>
      <c r="L73" s="189"/>
      <c r="M73" s="16">
        <v>70</v>
      </c>
      <c r="N73" s="16">
        <f t="shared" si="13"/>
        <v>1.660046494877607E-2</v>
      </c>
      <c r="O73" s="16">
        <v>6</v>
      </c>
      <c r="P73" s="16">
        <f t="shared" si="8"/>
        <v>7.3113821138211375</v>
      </c>
      <c r="Q73" s="16">
        <f t="shared" si="14"/>
        <v>60.239276615787112</v>
      </c>
      <c r="R73" s="113">
        <f t="shared" si="9"/>
        <v>311.95699999999999</v>
      </c>
      <c r="S73" s="16">
        <f>IF(S72=15800,15800,ROUND((((Q73*60)/'Gearing Calculator'!$C$14)*'Track Data'!P73),-2))</f>
        <v>13400</v>
      </c>
      <c r="T73" s="16">
        <f t="shared" si="12"/>
        <v>3.3157685458009416</v>
      </c>
      <c r="U73" s="16">
        <f>IF(AC73=100,Braking!$AG$2354,IF(AC73=50,Braking!$AG$1179,IF(AC73=75,Braking!$AG$1767,0)))</f>
        <v>0</v>
      </c>
      <c r="V73" s="16">
        <f>0.5*'Gearing Calculator'!$C$15*'Gearing Calculator'!$C$20*'Gearing Calculator'!$W$20*('Track Data'!Q73^2)</f>
        <v>384.06906413094055</v>
      </c>
      <c r="W73" s="16">
        <f>('Gearing Calculator'!$U$9*'Track Data'!T73)+'Track Data'!V73</f>
        <v>1266.7266510231511</v>
      </c>
      <c r="X73" s="16">
        <f>('Gearing Calculator'!$U$9*9.81)*('Gearing Calculator'!$U$16/'Gearing Calculator'!$C$7)-(('Track Data'!W73)*('Gearing Calculator'!$U$17/'Gearing Calculator'!$C$7))</f>
        <v>710.70976570051721</v>
      </c>
      <c r="Y73" s="16">
        <f>('Gearing Calculator'!$U$9*9.81)*(('Gearing Calculator'!$C$7-'Gearing Calculator'!$U$16)/'Gearing Calculator'!$C$7)+(('Track Data'!W73)*('Gearing Calculator'!$U$17/'Gearing Calculator'!$C$7))</f>
        <v>1900.7122342994828</v>
      </c>
      <c r="Z73" s="16">
        <f>((X73*COS('Gearing Calculator'!$C$21))/'Gearing Calculator'!$C$22)/2</f>
        <v>21.972898171979232</v>
      </c>
      <c r="AA73" s="16">
        <f>Y73/'Gearing Calculator'!$C$24</f>
        <v>26.540317867446184</v>
      </c>
      <c r="AB73" s="16">
        <f t="shared" si="10"/>
        <v>403.96367540574619</v>
      </c>
      <c r="AC73" s="16">
        <v>0</v>
      </c>
      <c r="AD73" s="16">
        <v>0</v>
      </c>
      <c r="AE73" s="16">
        <v>70</v>
      </c>
      <c r="AF73" s="16">
        <f>IF(AC73=0,IF(O73=6,INDEX(Acceleration!$V$4:$V$110,MATCH('Track Data'!S73,Acceleration!$K$4:$K$110,0)),IF('Track Data'!O73=5,INDEX(Acceleration!$U$4:$U$110,MATCH('Track Data'!S73,Acceleration!$K$4:$K$110,0)),1)),U73)</f>
        <v>3.3157685458009416</v>
      </c>
      <c r="AG73" s="16">
        <f>IF(AC73=0,IF(O73=4,INDEX(Acceleration!$T$4:$T$110,MATCH('Track Data'!S73,Acceleration!$K$4:$K$110,0)),IF('Track Data'!O73=3,INDEX(Acceleration!$S$4:$S$110,MATCH('Track Data'!S73,Acceleration!$K$4:$K$110,0)),'Track Data'!AF73)),'Track Data'!U73)</f>
        <v>3.3157685458009416</v>
      </c>
      <c r="AH73" s="16">
        <f>IF(AC73=0,IF(O73=2,INDEX(Acceleration!$R$4:$R$110,MATCH('Track Data'!S73,Acceleration!$K$4:$K$110,0)),IF('Track Data'!O73=1,INDEX(Acceleration!$Q$4:$Q$110,MATCH('Track Data'!S73,Acceleration!$K$4:$K$110,0)),'Track Data'!AG73)),'Track Data'!U73)</f>
        <v>3.3157685458009416</v>
      </c>
    </row>
    <row r="74" spans="2:34" x14ac:dyDescent="0.25">
      <c r="B74" s="16">
        <v>196.96299999999999</v>
      </c>
      <c r="C74" s="16">
        <v>7345</v>
      </c>
      <c r="D74" s="16">
        <v>71</v>
      </c>
      <c r="E74" s="113">
        <v>216</v>
      </c>
      <c r="F74" s="113">
        <v>215.6</v>
      </c>
      <c r="G74" s="113">
        <v>211.7</v>
      </c>
      <c r="H74" s="113">
        <f t="shared" si="11"/>
        <v>58.80555555555555</v>
      </c>
      <c r="I74" s="113">
        <v>5.4</v>
      </c>
      <c r="J74" s="113">
        <v>23.61</v>
      </c>
      <c r="K74" s="113">
        <v>24.5</v>
      </c>
      <c r="L74" s="189"/>
      <c r="M74" s="16">
        <v>71</v>
      </c>
      <c r="N74" s="16">
        <f t="shared" si="13"/>
        <v>1.6585317126180155E-2</v>
      </c>
      <c r="O74" s="16">
        <v>6</v>
      </c>
      <c r="P74" s="16">
        <f t="shared" si="8"/>
        <v>7.3113821138211375</v>
      </c>
      <c r="Q74" s="16">
        <f t="shared" si="14"/>
        <v>60.294294790509973</v>
      </c>
      <c r="R74" s="113">
        <f t="shared" si="9"/>
        <v>311.95699999999999</v>
      </c>
      <c r="S74" s="16">
        <f>IF(S73=15800,15800,ROUND((((Q74*60)/'Gearing Calculator'!$C$14)*'Track Data'!P74),-2))</f>
        <v>13400</v>
      </c>
      <c r="T74" s="16">
        <f t="shared" si="12"/>
        <v>3.3157685458009416</v>
      </c>
      <c r="U74" s="16">
        <f>IF(AC74=100,Braking!$AG$2354,IF(AC74=50,Braking!$AG$1179,IF(AC74=75,Braking!$AG$1767,0)))</f>
        <v>0</v>
      </c>
      <c r="V74" s="16">
        <f>0.5*'Gearing Calculator'!$C$15*'Gearing Calculator'!$C$20*'Gearing Calculator'!$W$20*('Track Data'!Q74^2)</f>
        <v>384.7709460167157</v>
      </c>
      <c r="W74" s="16">
        <f>('Gearing Calculator'!$U$9*'Track Data'!T74)+'Track Data'!V74</f>
        <v>1267.4285329089262</v>
      </c>
      <c r="X74" s="16">
        <f>('Gearing Calculator'!$U$9*9.81)*('Gearing Calculator'!$U$16/'Gearing Calculator'!$C$7)-(('Track Data'!W74)*('Gearing Calculator'!$U$17/'Gearing Calculator'!$C$7))</f>
        <v>710.32719213863561</v>
      </c>
      <c r="Y74" s="16">
        <f>('Gearing Calculator'!$U$9*9.81)*(('Gearing Calculator'!$C$7-'Gearing Calculator'!$U$16)/'Gearing Calculator'!$C$7)+(('Track Data'!W74)*('Gearing Calculator'!$U$17/'Gearing Calculator'!$C$7))</f>
        <v>1901.0948078613644</v>
      </c>
      <c r="Z74" s="16">
        <f>((X74*COS('Gearing Calculator'!$C$21))/'Gearing Calculator'!$C$22)/2</f>
        <v>21.961070207422942</v>
      </c>
      <c r="AA74" s="16">
        <f>Y74/'Gearing Calculator'!$C$24</f>
        <v>26.54565987753945</v>
      </c>
      <c r="AB74" s="16">
        <f t="shared" si="10"/>
        <v>404.66555729152134</v>
      </c>
      <c r="AC74" s="16">
        <v>0</v>
      </c>
      <c r="AD74" s="16">
        <v>0</v>
      </c>
      <c r="AE74" s="16">
        <v>71</v>
      </c>
      <c r="AF74" s="16">
        <f>IF(AC74=0,IF(O74=6,INDEX(Acceleration!$V$4:$V$110,MATCH('Track Data'!S74,Acceleration!$K$4:$K$110,0)),IF('Track Data'!O74=5,INDEX(Acceleration!$U$4:$U$110,MATCH('Track Data'!S74,Acceleration!$K$4:$K$110,0)),1)),U74)</f>
        <v>3.3157685458009416</v>
      </c>
      <c r="AG74" s="16">
        <f>IF(AC74=0,IF(O74=4,INDEX(Acceleration!$T$4:$T$110,MATCH('Track Data'!S74,Acceleration!$K$4:$K$110,0)),IF('Track Data'!O74=3,INDEX(Acceleration!$S$4:$S$110,MATCH('Track Data'!S74,Acceleration!$K$4:$K$110,0)),'Track Data'!AF74)),'Track Data'!U74)</f>
        <v>3.3157685458009416</v>
      </c>
      <c r="AH74" s="16">
        <f>IF(AC74=0,IF(O74=2,INDEX(Acceleration!$R$4:$R$110,MATCH('Track Data'!S74,Acceleration!$K$4:$K$110,0)),IF('Track Data'!O74=1,INDEX(Acceleration!$Q$4:$Q$110,MATCH('Track Data'!S74,Acceleration!$K$4:$K$110,0)),'Track Data'!AG74)),'Track Data'!U74)</f>
        <v>3.3157685458009416</v>
      </c>
    </row>
    <row r="75" spans="2:34" x14ac:dyDescent="0.25">
      <c r="B75" s="16">
        <v>196.97900000000001</v>
      </c>
      <c r="C75" s="16">
        <v>7346</v>
      </c>
      <c r="D75" s="16">
        <v>72</v>
      </c>
      <c r="E75" s="113">
        <v>216</v>
      </c>
      <c r="F75" s="113">
        <v>215.6</v>
      </c>
      <c r="G75" s="113">
        <v>211.8</v>
      </c>
      <c r="H75" s="113">
        <f t="shared" si="11"/>
        <v>58.833333333333336</v>
      </c>
      <c r="I75" s="113">
        <v>4.5999999999999996</v>
      </c>
      <c r="J75" s="113">
        <v>24.77</v>
      </c>
      <c r="K75" s="113">
        <v>24.5</v>
      </c>
      <c r="L75" s="189"/>
      <c r="M75" s="16">
        <v>72</v>
      </c>
      <c r="N75" s="16">
        <f t="shared" si="13"/>
        <v>1.6570210694937301E-2</v>
      </c>
      <c r="O75" s="16">
        <v>6</v>
      </c>
      <c r="P75" s="16">
        <f t="shared" si="8"/>
        <v>7.3113821138211375</v>
      </c>
      <c r="Q75" s="16">
        <f t="shared" si="14"/>
        <v>60.349262807233359</v>
      </c>
      <c r="R75" s="113">
        <f t="shared" si="9"/>
        <v>311.95699999999999</v>
      </c>
      <c r="S75" s="16">
        <f>IF(S74=15800,15800,ROUND((((Q75*60)/'Gearing Calculator'!$C$14)*'Track Data'!P75),-2))</f>
        <v>13400</v>
      </c>
      <c r="T75" s="16">
        <f t="shared" si="12"/>
        <v>3.3157685458009416</v>
      </c>
      <c r="U75" s="16">
        <f>IF(AC75=100,Braking!$AG$2354,IF(AC75=50,Braking!$AG$1179,IF(AC75=75,Braking!$AG$1767,0)))</f>
        <v>0</v>
      </c>
      <c r="V75" s="16">
        <f>0.5*'Gearing Calculator'!$C$15*'Gearing Calculator'!$C$20*'Gearing Calculator'!$W$20*('Track Data'!Q75^2)</f>
        <v>385.47282790249079</v>
      </c>
      <c r="W75" s="16">
        <f>('Gearing Calculator'!$U$9*'Track Data'!T75)+'Track Data'!V75</f>
        <v>1268.1304147947014</v>
      </c>
      <c r="X75" s="16">
        <f>('Gearing Calculator'!$U$9*9.81)*('Gearing Calculator'!$U$16/'Gearing Calculator'!$C$7)-(('Track Data'!W75)*('Gearing Calculator'!$U$17/'Gearing Calculator'!$C$7))</f>
        <v>709.9446185767539</v>
      </c>
      <c r="Y75" s="16">
        <f>('Gearing Calculator'!$U$9*9.81)*(('Gearing Calculator'!$C$7-'Gearing Calculator'!$U$16)/'Gearing Calculator'!$C$7)+(('Track Data'!W75)*('Gearing Calculator'!$U$17/'Gearing Calculator'!$C$7))</f>
        <v>1901.4773814232462</v>
      </c>
      <c r="Z75" s="16">
        <f>((X75*COS('Gearing Calculator'!$C$21))/'Gearing Calculator'!$C$22)/2</f>
        <v>21.949242242866646</v>
      </c>
      <c r="AA75" s="16">
        <f>Y75/'Gearing Calculator'!$C$24</f>
        <v>26.551001887632719</v>
      </c>
      <c r="AB75" s="16">
        <f t="shared" si="10"/>
        <v>405.36743917729643</v>
      </c>
      <c r="AC75" s="16">
        <v>0</v>
      </c>
      <c r="AD75" s="16">
        <v>0</v>
      </c>
      <c r="AE75" s="16">
        <v>72</v>
      </c>
      <c r="AF75" s="16">
        <f>IF(AC75=0,IF(O75=6,INDEX(Acceleration!$V$4:$V$110,MATCH('Track Data'!S75,Acceleration!$K$4:$K$110,0)),IF('Track Data'!O75=5,INDEX(Acceleration!$U$4:$U$110,MATCH('Track Data'!S75,Acceleration!$K$4:$K$110,0)),1)),U75)</f>
        <v>3.3157685458009416</v>
      </c>
      <c r="AG75" s="16">
        <f>IF(AC75=0,IF(O75=4,INDEX(Acceleration!$T$4:$T$110,MATCH('Track Data'!S75,Acceleration!$K$4:$K$110,0)),IF('Track Data'!O75=3,INDEX(Acceleration!$S$4:$S$110,MATCH('Track Data'!S75,Acceleration!$K$4:$K$110,0)),'Track Data'!AF75)),'Track Data'!U75)</f>
        <v>3.3157685458009416</v>
      </c>
      <c r="AH75" s="16">
        <f>IF(AC75=0,IF(O75=2,INDEX(Acceleration!$R$4:$R$110,MATCH('Track Data'!S75,Acceleration!$K$4:$K$110,0)),IF('Track Data'!O75=1,INDEX(Acceleration!$Q$4:$Q$110,MATCH('Track Data'!S75,Acceleration!$K$4:$K$110,0)),'Track Data'!AG75)),'Track Data'!U75)</f>
        <v>3.3157685458009416</v>
      </c>
    </row>
    <row r="76" spans="2:34" x14ac:dyDescent="0.25">
      <c r="B76" s="16">
        <v>196.99600000000001</v>
      </c>
      <c r="C76" s="16">
        <v>7347</v>
      </c>
      <c r="D76" s="16">
        <v>73</v>
      </c>
      <c r="E76" s="113">
        <v>217</v>
      </c>
      <c r="F76" s="113">
        <v>215.6</v>
      </c>
      <c r="G76" s="113">
        <v>212</v>
      </c>
      <c r="H76" s="113">
        <f t="shared" si="11"/>
        <v>58.888888888888886</v>
      </c>
      <c r="I76" s="113">
        <v>3.6</v>
      </c>
      <c r="J76" s="113">
        <v>22.87</v>
      </c>
      <c r="K76" s="113">
        <v>24.5</v>
      </c>
      <c r="L76" s="189"/>
      <c r="M76" s="16">
        <v>73</v>
      </c>
      <c r="N76" s="16">
        <f t="shared" si="13"/>
        <v>1.6555145466887449E-2</v>
      </c>
      <c r="O76" s="16">
        <v>6</v>
      </c>
      <c r="P76" s="16">
        <f t="shared" si="8"/>
        <v>7.3113821138211375</v>
      </c>
      <c r="Q76" s="16">
        <f t="shared" si="14"/>
        <v>60.404180802889144</v>
      </c>
      <c r="R76" s="113">
        <f t="shared" si="9"/>
        <v>311.95699999999999</v>
      </c>
      <c r="S76" s="16">
        <f>IF(S75=15800,15800,ROUND((((Q76*60)/'Gearing Calculator'!$C$14)*'Track Data'!P76),-2))</f>
        <v>13400</v>
      </c>
      <c r="T76" s="16">
        <f t="shared" si="12"/>
        <v>3.3157685458009416</v>
      </c>
      <c r="U76" s="16">
        <f>IF(AC76=100,Braking!$AG$2354,IF(AC76=50,Braking!$AG$1179,IF(AC76=75,Braking!$AG$1767,0)))</f>
        <v>0</v>
      </c>
      <c r="V76" s="16">
        <f>0.5*'Gearing Calculator'!$C$15*'Gearing Calculator'!$C$20*'Gearing Calculator'!$W$20*('Track Data'!Q76^2)</f>
        <v>386.17470978826594</v>
      </c>
      <c r="W76" s="16">
        <f>('Gearing Calculator'!$U$9*'Track Data'!T76)+'Track Data'!V76</f>
        <v>1268.8322966804765</v>
      </c>
      <c r="X76" s="16">
        <f>('Gearing Calculator'!$U$9*9.81)*('Gearing Calculator'!$U$16/'Gearing Calculator'!$C$7)-(('Track Data'!W76)*('Gearing Calculator'!$U$17/'Gearing Calculator'!$C$7))</f>
        <v>709.5620450148723</v>
      </c>
      <c r="Y76" s="16">
        <f>('Gearing Calculator'!$U$9*9.81)*(('Gearing Calculator'!$C$7-'Gearing Calculator'!$U$16)/'Gearing Calculator'!$C$7)+(('Track Data'!W76)*('Gearing Calculator'!$U$17/'Gearing Calculator'!$C$7))</f>
        <v>1901.8599549851278</v>
      </c>
      <c r="Z76" s="16">
        <f>((X76*COS('Gearing Calculator'!$C$21))/'Gearing Calculator'!$C$22)/2</f>
        <v>21.937414278310357</v>
      </c>
      <c r="AA76" s="16">
        <f>Y76/'Gearing Calculator'!$C$24</f>
        <v>26.556343897725981</v>
      </c>
      <c r="AB76" s="16">
        <f t="shared" si="10"/>
        <v>406.06932106307158</v>
      </c>
      <c r="AC76" s="16">
        <v>0</v>
      </c>
      <c r="AD76" s="16">
        <v>0</v>
      </c>
      <c r="AE76" s="16">
        <v>73</v>
      </c>
      <c r="AF76" s="16">
        <f>IF(AC76=0,IF(O76=6,INDEX(Acceleration!$V$4:$V$110,MATCH('Track Data'!S76,Acceleration!$K$4:$K$110,0)),IF('Track Data'!O76=5,INDEX(Acceleration!$U$4:$U$110,MATCH('Track Data'!S76,Acceleration!$K$4:$K$110,0)),1)),U76)</f>
        <v>3.3157685458009416</v>
      </c>
      <c r="AG76" s="16">
        <f>IF(AC76=0,IF(O76=4,INDEX(Acceleration!$T$4:$T$110,MATCH('Track Data'!S76,Acceleration!$K$4:$K$110,0)),IF('Track Data'!O76=3,INDEX(Acceleration!$S$4:$S$110,MATCH('Track Data'!S76,Acceleration!$K$4:$K$110,0)),'Track Data'!AF76)),'Track Data'!U76)</f>
        <v>3.3157685458009416</v>
      </c>
      <c r="AH76" s="16">
        <f>IF(AC76=0,IF(O76=2,INDEX(Acceleration!$R$4:$R$110,MATCH('Track Data'!S76,Acceleration!$K$4:$K$110,0)),IF('Track Data'!O76=1,INDEX(Acceleration!$Q$4:$Q$110,MATCH('Track Data'!S76,Acceleration!$K$4:$K$110,0)),'Track Data'!AG76)),'Track Data'!U76)</f>
        <v>3.3157685458009416</v>
      </c>
    </row>
    <row r="77" spans="2:34" x14ac:dyDescent="0.25">
      <c r="B77" s="16">
        <v>197.01300000000001</v>
      </c>
      <c r="C77" s="16">
        <v>7347</v>
      </c>
      <c r="D77" s="16">
        <v>74</v>
      </c>
      <c r="E77" s="113">
        <v>217</v>
      </c>
      <c r="F77" s="113">
        <v>215.7</v>
      </c>
      <c r="G77" s="113">
        <v>212.2</v>
      </c>
      <c r="H77" s="113">
        <f t="shared" si="11"/>
        <v>58.944444444444443</v>
      </c>
      <c r="I77" s="113">
        <v>3</v>
      </c>
      <c r="J77" s="113">
        <v>19.28</v>
      </c>
      <c r="K77" s="113">
        <v>24.5</v>
      </c>
      <c r="L77" s="189"/>
      <c r="M77" s="16">
        <v>74</v>
      </c>
      <c r="N77" s="16">
        <f t="shared" si="13"/>
        <v>1.6540121255065866E-2</v>
      </c>
      <c r="O77" s="16">
        <v>6</v>
      </c>
      <c r="P77" s="16">
        <f t="shared" si="8"/>
        <v>7.3113821138211375</v>
      </c>
      <c r="Q77" s="16">
        <f t="shared" si="14"/>
        <v>60.459048913787285</v>
      </c>
      <c r="R77" s="113">
        <f t="shared" si="9"/>
        <v>311.95699999999999</v>
      </c>
      <c r="S77" s="16">
        <f>IF(S76=15800,15800,ROUND((((Q77*60)/'Gearing Calculator'!$C$14)*'Track Data'!P77),-2))</f>
        <v>13400</v>
      </c>
      <c r="T77" s="16">
        <f t="shared" si="12"/>
        <v>3.3157685458009416</v>
      </c>
      <c r="U77" s="16">
        <f>IF(AC77=100,Braking!$AG$2354,IF(AC77=50,Braking!$AG$1179,IF(AC77=75,Braking!$AG$1767,0)))</f>
        <v>0</v>
      </c>
      <c r="V77" s="16">
        <f>0.5*'Gearing Calculator'!$C$15*'Gearing Calculator'!$C$20*'Gearing Calculator'!$W$20*('Track Data'!Q77^2)</f>
        <v>386.87659167404109</v>
      </c>
      <c r="W77" s="16">
        <f>('Gearing Calculator'!$U$9*'Track Data'!T77)+'Track Data'!V77</f>
        <v>1269.5341785662517</v>
      </c>
      <c r="X77" s="16">
        <f>('Gearing Calculator'!$U$9*9.81)*('Gearing Calculator'!$U$16/'Gearing Calculator'!$C$7)-(('Track Data'!W77)*('Gearing Calculator'!$U$17/'Gearing Calculator'!$C$7))</f>
        <v>709.17947145299058</v>
      </c>
      <c r="Y77" s="16">
        <f>('Gearing Calculator'!$U$9*9.81)*(('Gearing Calculator'!$C$7-'Gearing Calculator'!$U$16)/'Gearing Calculator'!$C$7)+(('Track Data'!W77)*('Gearing Calculator'!$U$17/'Gearing Calculator'!$C$7))</f>
        <v>1902.2425285470094</v>
      </c>
      <c r="Z77" s="16">
        <f>((X77*COS('Gearing Calculator'!$C$21))/'Gearing Calculator'!$C$22)/2</f>
        <v>21.925586313754064</v>
      </c>
      <c r="AA77" s="16">
        <f>Y77/'Gearing Calculator'!$C$24</f>
        <v>26.561685907819246</v>
      </c>
      <c r="AB77" s="16">
        <f t="shared" si="10"/>
        <v>406.77120294884674</v>
      </c>
      <c r="AC77" s="16">
        <v>0</v>
      </c>
      <c r="AD77" s="16">
        <v>0</v>
      </c>
      <c r="AE77" s="16">
        <v>74</v>
      </c>
      <c r="AF77" s="16">
        <f>IF(AC77=0,IF(O77=6,INDEX(Acceleration!$V$4:$V$110,MATCH('Track Data'!S77,Acceleration!$K$4:$K$110,0)),IF('Track Data'!O77=5,INDEX(Acceleration!$U$4:$U$110,MATCH('Track Data'!S77,Acceleration!$K$4:$K$110,0)),1)),U77)</f>
        <v>3.3157685458009416</v>
      </c>
      <c r="AG77" s="16">
        <f>IF(AC77=0,IF(O77=4,INDEX(Acceleration!$T$4:$T$110,MATCH('Track Data'!S77,Acceleration!$K$4:$K$110,0)),IF('Track Data'!O77=3,INDEX(Acceleration!$S$4:$S$110,MATCH('Track Data'!S77,Acceleration!$K$4:$K$110,0)),'Track Data'!AF77)),'Track Data'!U77)</f>
        <v>3.3157685458009416</v>
      </c>
      <c r="AH77" s="16">
        <f>IF(AC77=0,IF(O77=2,INDEX(Acceleration!$R$4:$R$110,MATCH('Track Data'!S77,Acceleration!$K$4:$K$110,0)),IF('Track Data'!O77=1,INDEX(Acceleration!$Q$4:$Q$110,MATCH('Track Data'!S77,Acceleration!$K$4:$K$110,0)),'Track Data'!AG77)),'Track Data'!U77)</f>
        <v>3.3157685458009416</v>
      </c>
    </row>
    <row r="78" spans="2:34" x14ac:dyDescent="0.25">
      <c r="B78" s="16">
        <v>197.029</v>
      </c>
      <c r="C78" s="16">
        <v>7348</v>
      </c>
      <c r="D78" s="16">
        <v>75</v>
      </c>
      <c r="E78" s="113">
        <v>218</v>
      </c>
      <c r="F78" s="113">
        <v>215.6</v>
      </c>
      <c r="G78" s="113">
        <v>212.3</v>
      </c>
      <c r="H78" s="113">
        <f t="shared" si="11"/>
        <v>58.972222222222221</v>
      </c>
      <c r="I78" s="113">
        <v>3</v>
      </c>
      <c r="J78" s="113">
        <v>18.170000000000002</v>
      </c>
      <c r="K78" s="113">
        <v>24.5</v>
      </c>
      <c r="L78" s="189"/>
      <c r="M78" s="16">
        <v>75</v>
      </c>
      <c r="N78" s="16">
        <f t="shared" si="13"/>
        <v>1.6525137873693401E-2</v>
      </c>
      <c r="O78" s="16">
        <v>6</v>
      </c>
      <c r="P78" s="16">
        <f t="shared" si="8"/>
        <v>7.3113821138211375</v>
      </c>
      <c r="Q78" s="16">
        <f t="shared" si="14"/>
        <v>60.513867275619766</v>
      </c>
      <c r="R78" s="113">
        <f t="shared" si="9"/>
        <v>311.95699999999999</v>
      </c>
      <c r="S78" s="16">
        <f>IF(S77=15800,15800,ROUND((((Q78*60)/'Gearing Calculator'!$C$14)*'Track Data'!P78),-2))</f>
        <v>13400</v>
      </c>
      <c r="T78" s="16">
        <f t="shared" si="12"/>
        <v>3.3157685458009416</v>
      </c>
      <c r="U78" s="16">
        <f>IF(AC78=100,Braking!$AG$2354,IF(AC78=50,Braking!$AG$1179,IF(AC78=75,Braking!$AG$1767,0)))</f>
        <v>0</v>
      </c>
      <c r="V78" s="16">
        <f>0.5*'Gearing Calculator'!$C$15*'Gearing Calculator'!$C$20*'Gearing Calculator'!$W$20*('Track Data'!Q78^2)</f>
        <v>387.57847355981619</v>
      </c>
      <c r="W78" s="16">
        <f>('Gearing Calculator'!$U$9*'Track Data'!T78)+'Track Data'!V78</f>
        <v>1270.2360604520268</v>
      </c>
      <c r="X78" s="16">
        <f>('Gearing Calculator'!$U$9*9.81)*('Gearing Calculator'!$U$16/'Gearing Calculator'!$C$7)-(('Track Data'!W78)*('Gearing Calculator'!$U$17/'Gearing Calculator'!$C$7))</f>
        <v>708.79689789110898</v>
      </c>
      <c r="Y78" s="16">
        <f>('Gearing Calculator'!$U$9*9.81)*(('Gearing Calculator'!$C$7-'Gearing Calculator'!$U$16)/'Gearing Calculator'!$C$7)+(('Track Data'!W78)*('Gearing Calculator'!$U$17/'Gearing Calculator'!$C$7))</f>
        <v>1902.625102108891</v>
      </c>
      <c r="Z78" s="16">
        <f>((X78*COS('Gearing Calculator'!$C$21))/'Gearing Calculator'!$C$22)/2</f>
        <v>21.913758349197771</v>
      </c>
      <c r="AA78" s="16">
        <f>Y78/'Gearing Calculator'!$C$24</f>
        <v>26.567027917912512</v>
      </c>
      <c r="AB78" s="16">
        <f t="shared" si="10"/>
        <v>407.47308483462183</v>
      </c>
      <c r="AC78" s="16">
        <v>0</v>
      </c>
      <c r="AD78" s="16">
        <v>0</v>
      </c>
      <c r="AE78" s="16">
        <v>75</v>
      </c>
      <c r="AF78" s="16">
        <f>IF(AC78=0,IF(O78=6,INDEX(Acceleration!$V$4:$V$110,MATCH('Track Data'!S78,Acceleration!$K$4:$K$110,0)),IF('Track Data'!O78=5,INDEX(Acceleration!$U$4:$U$110,MATCH('Track Data'!S78,Acceleration!$K$4:$K$110,0)),1)),U78)</f>
        <v>3.3157685458009416</v>
      </c>
      <c r="AG78" s="16">
        <f>IF(AC78=0,IF(O78=4,INDEX(Acceleration!$T$4:$T$110,MATCH('Track Data'!S78,Acceleration!$K$4:$K$110,0)),IF('Track Data'!O78=3,INDEX(Acceleration!$S$4:$S$110,MATCH('Track Data'!S78,Acceleration!$K$4:$K$110,0)),'Track Data'!AF78)),'Track Data'!U78)</f>
        <v>3.3157685458009416</v>
      </c>
      <c r="AH78" s="16">
        <f>IF(AC78=0,IF(O78=2,INDEX(Acceleration!$R$4:$R$110,MATCH('Track Data'!S78,Acceleration!$K$4:$K$110,0)),IF('Track Data'!O78=1,INDEX(Acceleration!$Q$4:$Q$110,MATCH('Track Data'!S78,Acceleration!$K$4:$K$110,0)),'Track Data'!AG78)),'Track Data'!U78)</f>
        <v>3.3157685458009416</v>
      </c>
    </row>
    <row r="79" spans="2:34" x14ac:dyDescent="0.25">
      <c r="B79" s="16">
        <v>197.04599999999999</v>
      </c>
      <c r="C79" s="16">
        <v>7349</v>
      </c>
      <c r="D79" s="16">
        <v>76</v>
      </c>
      <c r="E79" s="113">
        <v>218</v>
      </c>
      <c r="F79" s="113">
        <v>215.7</v>
      </c>
      <c r="G79" s="113">
        <v>212.5</v>
      </c>
      <c r="H79" s="113">
        <f t="shared" si="11"/>
        <v>59.027777777777779</v>
      </c>
      <c r="I79" s="113">
        <v>2.9</v>
      </c>
      <c r="J79" s="113">
        <v>17.170000000000002</v>
      </c>
      <c r="K79" s="113">
        <v>21.9</v>
      </c>
      <c r="L79" s="189"/>
      <c r="M79" s="16">
        <v>76</v>
      </c>
      <c r="N79" s="16">
        <f t="shared" si="13"/>
        <v>1.651019513816682E-2</v>
      </c>
      <c r="O79" s="16">
        <v>6</v>
      </c>
      <c r="P79" s="16">
        <f t="shared" si="8"/>
        <v>7.3113821138211375</v>
      </c>
      <c r="Q79" s="16">
        <f t="shared" si="14"/>
        <v>60.568636023464542</v>
      </c>
      <c r="R79" s="113">
        <f t="shared" si="9"/>
        <v>311.95699999999999</v>
      </c>
      <c r="S79" s="16">
        <f>IF(S78=15800,15800,ROUND((((Q79*60)/'Gearing Calculator'!$C$14)*'Track Data'!P79),-2))</f>
        <v>13400</v>
      </c>
      <c r="T79" s="16">
        <f t="shared" si="12"/>
        <v>3.3157685458009416</v>
      </c>
      <c r="U79" s="16">
        <f>IF(AC79=100,Braking!$AG$2354,IF(AC79=50,Braking!$AG$1179,IF(AC79=75,Braking!$AG$1767,0)))</f>
        <v>0</v>
      </c>
      <c r="V79" s="16">
        <f>0.5*'Gearing Calculator'!$C$15*'Gearing Calculator'!$C$20*'Gearing Calculator'!$W$20*('Track Data'!Q79^2)</f>
        <v>388.28035544559128</v>
      </c>
      <c r="W79" s="16">
        <f>('Gearing Calculator'!$U$9*'Track Data'!T79)+'Track Data'!V79</f>
        <v>1270.9379423378018</v>
      </c>
      <c r="X79" s="16">
        <f>('Gearing Calculator'!$U$9*9.81)*('Gearing Calculator'!$U$16/'Gearing Calculator'!$C$7)-(('Track Data'!W79)*('Gearing Calculator'!$U$17/'Gearing Calculator'!$C$7))</f>
        <v>708.41432432922738</v>
      </c>
      <c r="Y79" s="16">
        <f>('Gearing Calculator'!$U$9*9.81)*(('Gearing Calculator'!$C$7-'Gearing Calculator'!$U$16)/'Gearing Calculator'!$C$7)+(('Track Data'!W79)*('Gearing Calculator'!$U$17/'Gearing Calculator'!$C$7))</f>
        <v>1903.0076756707726</v>
      </c>
      <c r="Z79" s="16">
        <f>((X79*COS('Gearing Calculator'!$C$21))/'Gearing Calculator'!$C$22)/2</f>
        <v>21.901930384641478</v>
      </c>
      <c r="AA79" s="16">
        <f>Y79/'Gearing Calculator'!$C$24</f>
        <v>26.572369928005774</v>
      </c>
      <c r="AB79" s="16">
        <f t="shared" si="10"/>
        <v>408.17496672039692</v>
      </c>
      <c r="AC79" s="16">
        <v>0</v>
      </c>
      <c r="AD79" s="16">
        <v>0</v>
      </c>
      <c r="AE79" s="16">
        <v>76</v>
      </c>
      <c r="AF79" s="16">
        <f>IF(AC79=0,IF(O79=6,INDEX(Acceleration!$V$4:$V$110,MATCH('Track Data'!S79,Acceleration!$K$4:$K$110,0)),IF('Track Data'!O79=5,INDEX(Acceleration!$U$4:$U$110,MATCH('Track Data'!S79,Acceleration!$K$4:$K$110,0)),1)),U79)</f>
        <v>3.3157685458009416</v>
      </c>
      <c r="AG79" s="16">
        <f>IF(AC79=0,IF(O79=4,INDEX(Acceleration!$T$4:$T$110,MATCH('Track Data'!S79,Acceleration!$K$4:$K$110,0)),IF('Track Data'!O79=3,INDEX(Acceleration!$S$4:$S$110,MATCH('Track Data'!S79,Acceleration!$K$4:$K$110,0)),'Track Data'!AF79)),'Track Data'!U79)</f>
        <v>3.3157685458009416</v>
      </c>
      <c r="AH79" s="16">
        <f>IF(AC79=0,IF(O79=2,INDEX(Acceleration!$R$4:$R$110,MATCH('Track Data'!S79,Acceleration!$K$4:$K$110,0)),IF('Track Data'!O79=1,INDEX(Acceleration!$Q$4:$Q$110,MATCH('Track Data'!S79,Acceleration!$K$4:$K$110,0)),'Track Data'!AG79)),'Track Data'!U79)</f>
        <v>3.3157685458009416</v>
      </c>
    </row>
    <row r="80" spans="2:34" x14ac:dyDescent="0.25">
      <c r="B80" s="16">
        <v>197.06299999999999</v>
      </c>
      <c r="C80" s="16">
        <v>7350</v>
      </c>
      <c r="D80" s="16">
        <v>77</v>
      </c>
      <c r="E80" s="113">
        <v>218</v>
      </c>
      <c r="F80" s="113">
        <v>215.8</v>
      </c>
      <c r="G80" s="113">
        <v>212.7</v>
      </c>
      <c r="H80" s="113">
        <f t="shared" si="11"/>
        <v>59.083333333333329</v>
      </c>
      <c r="I80" s="113">
        <v>3.3</v>
      </c>
      <c r="J80" s="113">
        <v>16.399999999999999</v>
      </c>
      <c r="K80" s="113">
        <v>8.3000000000000007</v>
      </c>
      <c r="L80" s="189"/>
      <c r="M80" s="16">
        <v>77</v>
      </c>
      <c r="N80" s="16">
        <f t="shared" si="13"/>
        <v>1.6495292865049263E-2</v>
      </c>
      <c r="O80" s="16">
        <v>6</v>
      </c>
      <c r="P80" s="16">
        <f t="shared" si="8"/>
        <v>7.3113821138211375</v>
      </c>
      <c r="Q80" s="16">
        <f t="shared" si="14"/>
        <v>60.623355291789387</v>
      </c>
      <c r="R80" s="113">
        <f t="shared" si="9"/>
        <v>311.95699999999999</v>
      </c>
      <c r="S80" s="16">
        <f>IF(S79=15800,15800,ROUND((((Q80*60)/'Gearing Calculator'!$C$14)*'Track Data'!P80),-2))</f>
        <v>13400</v>
      </c>
      <c r="T80" s="16">
        <f t="shared" si="12"/>
        <v>3.3157685458009416</v>
      </c>
      <c r="U80" s="16">
        <f>IF(AC80=100,Braking!$AG$2354,IF(AC80=50,Braking!$AG$1179,IF(AC80=75,Braking!$AG$1767,0)))</f>
        <v>0</v>
      </c>
      <c r="V80" s="16">
        <f>0.5*'Gearing Calculator'!$C$15*'Gearing Calculator'!$C$20*'Gearing Calculator'!$W$20*('Track Data'!Q80^2)</f>
        <v>388.98223733136643</v>
      </c>
      <c r="W80" s="16">
        <f>('Gearing Calculator'!$U$9*'Track Data'!T80)+'Track Data'!V80</f>
        <v>1271.6398242235771</v>
      </c>
      <c r="X80" s="16">
        <f>('Gearing Calculator'!$U$9*9.81)*('Gearing Calculator'!$U$16/'Gearing Calculator'!$C$7)-(('Track Data'!W80)*('Gearing Calculator'!$U$17/'Gearing Calculator'!$C$7))</f>
        <v>708.03175076734567</v>
      </c>
      <c r="Y80" s="16">
        <f>('Gearing Calculator'!$U$9*9.81)*(('Gearing Calculator'!$C$7-'Gearing Calculator'!$U$16)/'Gearing Calculator'!$C$7)+(('Track Data'!W80)*('Gearing Calculator'!$U$17/'Gearing Calculator'!$C$7))</f>
        <v>1903.3902492326542</v>
      </c>
      <c r="Z80" s="16">
        <f>((X80*COS('Gearing Calculator'!$C$21))/'Gearing Calculator'!$C$22)/2</f>
        <v>21.890102420085181</v>
      </c>
      <c r="AA80" s="16">
        <f>Y80/'Gearing Calculator'!$C$24</f>
        <v>26.577711938099039</v>
      </c>
      <c r="AB80" s="16">
        <f t="shared" si="10"/>
        <v>408.87684860617208</v>
      </c>
      <c r="AC80" s="16">
        <v>0</v>
      </c>
      <c r="AD80" s="16">
        <v>0</v>
      </c>
      <c r="AE80" s="16">
        <v>77</v>
      </c>
      <c r="AF80" s="16">
        <f>IF(AC80=0,IF(O80=6,INDEX(Acceleration!$V$4:$V$110,MATCH('Track Data'!S80,Acceleration!$K$4:$K$110,0)),IF('Track Data'!O80=5,INDEX(Acceleration!$U$4:$U$110,MATCH('Track Data'!S80,Acceleration!$K$4:$K$110,0)),1)),U80)</f>
        <v>3.3157685458009416</v>
      </c>
      <c r="AG80" s="16">
        <f>IF(AC80=0,IF(O80=4,INDEX(Acceleration!$T$4:$T$110,MATCH('Track Data'!S80,Acceleration!$K$4:$K$110,0)),IF('Track Data'!O80=3,INDEX(Acceleration!$S$4:$S$110,MATCH('Track Data'!S80,Acceleration!$K$4:$K$110,0)),'Track Data'!AF80)),'Track Data'!U80)</f>
        <v>3.3157685458009416</v>
      </c>
      <c r="AH80" s="16">
        <f>IF(AC80=0,IF(O80=2,INDEX(Acceleration!$R$4:$R$110,MATCH('Track Data'!S80,Acceleration!$K$4:$K$110,0)),IF('Track Data'!O80=1,INDEX(Acceleration!$Q$4:$Q$110,MATCH('Track Data'!S80,Acceleration!$K$4:$K$110,0)),'Track Data'!AG80)),'Track Data'!U80)</f>
        <v>3.3157685458009416</v>
      </c>
    </row>
    <row r="81" spans="2:34" x14ac:dyDescent="0.25">
      <c r="B81" s="16">
        <v>197.07900000000001</v>
      </c>
      <c r="C81" s="16">
        <v>7351</v>
      </c>
      <c r="D81" s="16">
        <v>78</v>
      </c>
      <c r="E81" s="113">
        <v>218</v>
      </c>
      <c r="F81" s="113">
        <v>215.9</v>
      </c>
      <c r="G81" s="113">
        <v>212.8</v>
      </c>
      <c r="H81" s="113">
        <f t="shared" si="11"/>
        <v>59.111111111111114</v>
      </c>
      <c r="I81" s="113">
        <v>3.4</v>
      </c>
      <c r="J81" s="113">
        <v>15.34</v>
      </c>
      <c r="K81" s="113">
        <v>1.5</v>
      </c>
      <c r="L81" s="189"/>
      <c r="M81" s="16">
        <v>78</v>
      </c>
      <c r="N81" s="16">
        <f t="shared" si="13"/>
        <v>1.6480430872060792E-2</v>
      </c>
      <c r="O81" s="16">
        <v>6</v>
      </c>
      <c r="P81" s="16">
        <f t="shared" si="8"/>
        <v>7.3113821138211375</v>
      </c>
      <c r="Q81" s="16">
        <f t="shared" si="14"/>
        <v>60.678025214455765</v>
      </c>
      <c r="R81" s="113">
        <f t="shared" si="9"/>
        <v>311.95699999999999</v>
      </c>
      <c r="S81" s="16">
        <f>IF(S80=15800,15800,ROUND((((Q81*60)/'Gearing Calculator'!$C$14)*'Track Data'!P81),-2))</f>
        <v>13500</v>
      </c>
      <c r="T81" s="16">
        <f t="shared" si="12"/>
        <v>3.2690757858319777</v>
      </c>
      <c r="U81" s="16">
        <f>IF(AC81=100,Braking!$AG$2354,IF(AC81=50,Braking!$AG$1179,IF(AC81=75,Braking!$AG$1767,0)))</f>
        <v>0</v>
      </c>
      <c r="V81" s="16">
        <f>0.5*'Gearing Calculator'!$C$15*'Gearing Calculator'!$C$20*'Gearing Calculator'!$W$20*('Track Data'!Q81^2)</f>
        <v>389.68411921714153</v>
      </c>
      <c r="W81" s="16">
        <f>('Gearing Calculator'!$U$9*'Track Data'!T81)+'Track Data'!V81</f>
        <v>1259.9120934056141</v>
      </c>
      <c r="X81" s="16">
        <f>('Gearing Calculator'!$U$9*9.81)*('Gearing Calculator'!$U$16/'Gearing Calculator'!$C$7)-(('Track Data'!W81)*('Gearing Calculator'!$U$17/'Gearing Calculator'!$C$7))</f>
        <v>714.42416499365424</v>
      </c>
      <c r="Y81" s="16">
        <f>('Gearing Calculator'!$U$9*9.81)*(('Gearing Calculator'!$C$7-'Gearing Calculator'!$U$16)/'Gearing Calculator'!$C$7)+(('Track Data'!W81)*('Gearing Calculator'!$U$17/'Gearing Calculator'!$C$7))</f>
        <v>1896.9978350063457</v>
      </c>
      <c r="Z81" s="16">
        <f>((X81*COS('Gearing Calculator'!$C$21))/'Gearing Calculator'!$C$22)/2</f>
        <v>22.087735650478947</v>
      </c>
      <c r="AA81" s="16">
        <f>Y81/'Gearing Calculator'!$C$24</f>
        <v>26.488452395047197</v>
      </c>
      <c r="AB81" s="16">
        <f t="shared" si="10"/>
        <v>409.29857393213342</v>
      </c>
      <c r="AC81" s="16">
        <v>0</v>
      </c>
      <c r="AD81" s="16">
        <v>0</v>
      </c>
      <c r="AE81" s="16">
        <v>78</v>
      </c>
      <c r="AF81" s="16">
        <f>IF(AC81=0,IF(O81=6,INDEX(Acceleration!$V$4:$V$110,MATCH('Track Data'!S81,Acceleration!$K$4:$K$110,0)),IF('Track Data'!O81=5,INDEX(Acceleration!$U$4:$U$110,MATCH('Track Data'!S81,Acceleration!$K$4:$K$110,0)),1)),U81)</f>
        <v>3.2690757858319777</v>
      </c>
      <c r="AG81" s="16">
        <f>IF(AC81=0,IF(O81=4,INDEX(Acceleration!$T$4:$T$110,MATCH('Track Data'!S81,Acceleration!$K$4:$K$110,0)),IF('Track Data'!O81=3,INDEX(Acceleration!$S$4:$S$110,MATCH('Track Data'!S81,Acceleration!$K$4:$K$110,0)),'Track Data'!AF81)),'Track Data'!U81)</f>
        <v>3.2690757858319777</v>
      </c>
      <c r="AH81" s="16">
        <f>IF(AC81=0,IF(O81=2,INDEX(Acceleration!$R$4:$R$110,MATCH('Track Data'!S81,Acceleration!$K$4:$K$110,0)),IF('Track Data'!O81=1,INDEX(Acceleration!$Q$4:$Q$110,MATCH('Track Data'!S81,Acceleration!$K$4:$K$110,0)),'Track Data'!AG81)),'Track Data'!U81)</f>
        <v>3.2690757858319777</v>
      </c>
    </row>
    <row r="82" spans="2:34" x14ac:dyDescent="0.25">
      <c r="B82" s="16">
        <v>197.096</v>
      </c>
      <c r="C82" s="16">
        <v>7353</v>
      </c>
      <c r="D82" s="16">
        <v>79</v>
      </c>
      <c r="E82" s="113">
        <v>218</v>
      </c>
      <c r="F82" s="113">
        <v>216.1</v>
      </c>
      <c r="G82" s="113">
        <v>213</v>
      </c>
      <c r="H82" s="113">
        <f t="shared" si="11"/>
        <v>59.166666666666664</v>
      </c>
      <c r="I82" s="113">
        <v>3.7</v>
      </c>
      <c r="J82" s="113">
        <v>14.54</v>
      </c>
      <c r="K82" s="113">
        <v>-12.3</v>
      </c>
      <c r="L82" s="189"/>
      <c r="M82" s="16">
        <v>79</v>
      </c>
      <c r="N82" s="16">
        <f t="shared" si="13"/>
        <v>1.6465817422926538E-2</v>
      </c>
      <c r="O82" s="16">
        <v>6</v>
      </c>
      <c r="P82" s="16">
        <f t="shared" si="8"/>
        <v>7.3113821138211375</v>
      </c>
      <c r="Q82" s="16">
        <f t="shared" si="14"/>
        <v>60.731877095128496</v>
      </c>
      <c r="R82" s="113">
        <f t="shared" si="9"/>
        <v>311.95699999999999</v>
      </c>
      <c r="S82" s="16">
        <f>IF(S81=15800,15800,ROUND((((Q82*60)/'Gearing Calculator'!$C$14)*'Track Data'!P82),-2))</f>
        <v>13500</v>
      </c>
      <c r="T82" s="16">
        <f t="shared" si="12"/>
        <v>3.2690757858319777</v>
      </c>
      <c r="U82" s="16">
        <f>IF(AC82=100,Braking!$AG$2354,IF(AC82=50,Braking!$AG$1179,IF(AC82=75,Braking!$AG$1767,0)))</f>
        <v>0</v>
      </c>
      <c r="V82" s="16">
        <f>0.5*'Gearing Calculator'!$C$15*'Gearing Calculator'!$C$20*'Gearing Calculator'!$W$20*('Track Data'!Q82^2)</f>
        <v>390.37611717948636</v>
      </c>
      <c r="W82" s="16">
        <f>('Gearing Calculator'!$U$9*'Track Data'!T82)+'Track Data'!V82</f>
        <v>1260.6040913679587</v>
      </c>
      <c r="X82" s="16">
        <f>('Gearing Calculator'!$U$9*9.81)*('Gearing Calculator'!$U$16/'Gearing Calculator'!$C$7)-(('Track Data'!W82)*('Gearing Calculator'!$U$17/'Gearing Calculator'!$C$7))</f>
        <v>714.04697884505231</v>
      </c>
      <c r="Y82" s="16">
        <f>('Gearing Calculator'!$U$9*9.81)*(('Gearing Calculator'!$C$7-'Gearing Calculator'!$U$16)/'Gearing Calculator'!$C$7)+(('Track Data'!W82)*('Gearing Calculator'!$U$17/'Gearing Calculator'!$C$7))</f>
        <v>1897.3750211549477</v>
      </c>
      <c r="Z82" s="16">
        <f>((X82*COS('Gearing Calculator'!$C$21))/'Gearing Calculator'!$C$22)/2</f>
        <v>22.07607424770233</v>
      </c>
      <c r="AA82" s="16">
        <f>Y82/'Gearing Calculator'!$C$24</f>
        <v>26.493719178781447</v>
      </c>
      <c r="AB82" s="16">
        <f t="shared" si="10"/>
        <v>409.99057189447819</v>
      </c>
      <c r="AC82" s="16">
        <v>0</v>
      </c>
      <c r="AD82" s="16">
        <v>0</v>
      </c>
      <c r="AE82" s="16">
        <v>79</v>
      </c>
      <c r="AF82" s="16">
        <f>IF(AC82=0,IF(O82=6,INDEX(Acceleration!$V$4:$V$110,MATCH('Track Data'!S82,Acceleration!$K$4:$K$110,0)),IF('Track Data'!O82=5,INDEX(Acceleration!$U$4:$U$110,MATCH('Track Data'!S82,Acceleration!$K$4:$K$110,0)),1)),U82)</f>
        <v>3.2690757858319777</v>
      </c>
      <c r="AG82" s="16">
        <f>IF(AC82=0,IF(O82=4,INDEX(Acceleration!$T$4:$T$110,MATCH('Track Data'!S82,Acceleration!$K$4:$K$110,0)),IF('Track Data'!O82=3,INDEX(Acceleration!$S$4:$S$110,MATCH('Track Data'!S82,Acceleration!$K$4:$K$110,0)),'Track Data'!AF82)),'Track Data'!U82)</f>
        <v>3.2690757858319777</v>
      </c>
      <c r="AH82" s="16">
        <f>IF(AC82=0,IF(O82=2,INDEX(Acceleration!$R$4:$R$110,MATCH('Track Data'!S82,Acceleration!$K$4:$K$110,0)),IF('Track Data'!O82=1,INDEX(Acceleration!$Q$4:$Q$110,MATCH('Track Data'!S82,Acceleration!$K$4:$K$110,0)),'Track Data'!AG82)),'Track Data'!U82)</f>
        <v>3.2690757858319777</v>
      </c>
    </row>
    <row r="83" spans="2:34" x14ac:dyDescent="0.25">
      <c r="B83" s="16">
        <v>197.113</v>
      </c>
      <c r="C83" s="16">
        <v>7353</v>
      </c>
      <c r="D83" s="16">
        <v>80</v>
      </c>
      <c r="E83" s="113">
        <v>218</v>
      </c>
      <c r="F83" s="113">
        <v>216.4</v>
      </c>
      <c r="G83" s="113">
        <v>213.3</v>
      </c>
      <c r="H83" s="113">
        <f t="shared" si="11"/>
        <v>59.25</v>
      </c>
      <c r="I83" s="113">
        <v>3.6</v>
      </c>
      <c r="J83" s="113">
        <v>14.57</v>
      </c>
      <c r="K83" s="113">
        <v>-25.9</v>
      </c>
      <c r="L83" s="189"/>
      <c r="M83" s="16">
        <v>80</v>
      </c>
      <c r="N83" s="16">
        <f t="shared" si="13"/>
        <v>1.6451242778883182E-2</v>
      </c>
      <c r="O83" s="16">
        <v>6</v>
      </c>
      <c r="P83" s="16">
        <f t="shared" si="8"/>
        <v>7.3113821138211375</v>
      </c>
      <c r="Q83" s="16">
        <f t="shared" si="14"/>
        <v>60.785681266803756</v>
      </c>
      <c r="R83" s="113">
        <f t="shared" si="9"/>
        <v>311.95699999999999</v>
      </c>
      <c r="S83" s="16">
        <f>IF(S82=15800,15800,ROUND((((Q83*60)/'Gearing Calculator'!$C$14)*'Track Data'!P83),-2))</f>
        <v>13500</v>
      </c>
      <c r="T83" s="16">
        <f t="shared" si="12"/>
        <v>3.2690757858319777</v>
      </c>
      <c r="U83" s="16">
        <f>IF(AC83=100,Braking!$AG$2354,IF(AC83=50,Braking!$AG$1179,IF(AC83=75,Braking!$AG$1767,0)))</f>
        <v>0</v>
      </c>
      <c r="V83" s="16">
        <f>0.5*'Gearing Calculator'!$C$15*'Gearing Calculator'!$C$20*'Gearing Calculator'!$W$20*('Track Data'!Q83^2)</f>
        <v>391.0681151418313</v>
      </c>
      <c r="W83" s="16">
        <f>('Gearing Calculator'!$U$9*'Track Data'!T83)+'Track Data'!V83</f>
        <v>1261.2960893303039</v>
      </c>
      <c r="X83" s="16">
        <f>('Gearing Calculator'!$U$9*9.81)*('Gearing Calculator'!$U$16/'Gearing Calculator'!$C$7)-(('Track Data'!W83)*('Gearing Calculator'!$U$17/'Gearing Calculator'!$C$7))</f>
        <v>713.66979269645003</v>
      </c>
      <c r="Y83" s="16">
        <f>('Gearing Calculator'!$U$9*9.81)*(('Gearing Calculator'!$C$7-'Gearing Calculator'!$U$16)/'Gearing Calculator'!$C$7)+(('Track Data'!W83)*('Gearing Calculator'!$U$17/'Gearing Calculator'!$C$7))</f>
        <v>1897.75220730355</v>
      </c>
      <c r="Z83" s="16">
        <f>((X83*COS('Gearing Calculator'!$C$21))/'Gearing Calculator'!$C$22)/2</f>
        <v>22.064412844925695</v>
      </c>
      <c r="AA83" s="16">
        <f>Y83/'Gearing Calculator'!$C$24</f>
        <v>26.4989859625157</v>
      </c>
      <c r="AB83" s="16">
        <f t="shared" si="10"/>
        <v>410.68256985682319</v>
      </c>
      <c r="AC83" s="16">
        <v>0</v>
      </c>
      <c r="AD83" s="16">
        <v>0</v>
      </c>
      <c r="AE83" s="16">
        <v>80</v>
      </c>
      <c r="AF83" s="16">
        <f>IF(AC83=0,IF(O83=6,INDEX(Acceleration!$V$4:$V$110,MATCH('Track Data'!S83,Acceleration!$K$4:$K$110,0)),IF('Track Data'!O83=5,INDEX(Acceleration!$U$4:$U$110,MATCH('Track Data'!S83,Acceleration!$K$4:$K$110,0)),1)),U83)</f>
        <v>3.2690757858319777</v>
      </c>
      <c r="AG83" s="16">
        <f>IF(AC83=0,IF(O83=4,INDEX(Acceleration!$T$4:$T$110,MATCH('Track Data'!S83,Acceleration!$K$4:$K$110,0)),IF('Track Data'!O83=3,INDEX(Acceleration!$S$4:$S$110,MATCH('Track Data'!S83,Acceleration!$K$4:$K$110,0)),'Track Data'!AF83)),'Track Data'!U83)</f>
        <v>3.2690757858319777</v>
      </c>
      <c r="AH83" s="16">
        <f>IF(AC83=0,IF(O83=2,INDEX(Acceleration!$R$4:$R$110,MATCH('Track Data'!S83,Acceleration!$K$4:$K$110,0)),IF('Track Data'!O83=1,INDEX(Acceleration!$Q$4:$Q$110,MATCH('Track Data'!S83,Acceleration!$K$4:$K$110,0)),'Track Data'!AG83)),'Track Data'!U83)</f>
        <v>3.2690757858319777</v>
      </c>
    </row>
    <row r="84" spans="2:34" x14ac:dyDescent="0.25">
      <c r="B84" s="16">
        <v>197.12899999999999</v>
      </c>
      <c r="C84" s="16">
        <v>7354</v>
      </c>
      <c r="D84" s="16">
        <v>81</v>
      </c>
      <c r="E84" s="113">
        <v>218</v>
      </c>
      <c r="F84" s="113">
        <v>216.5</v>
      </c>
      <c r="G84" s="113">
        <v>213.4</v>
      </c>
      <c r="H84" s="113">
        <f t="shared" si="11"/>
        <v>59.277777777777779</v>
      </c>
      <c r="I84" s="113">
        <v>3.6</v>
      </c>
      <c r="J84" s="113">
        <v>15.19</v>
      </c>
      <c r="K84" s="113">
        <v>-28</v>
      </c>
      <c r="L84" s="189"/>
      <c r="M84" s="16">
        <v>81</v>
      </c>
      <c r="N84" s="16">
        <f t="shared" si="13"/>
        <v>1.6436706768493414E-2</v>
      </c>
      <c r="O84" s="16">
        <v>6</v>
      </c>
      <c r="P84" s="16">
        <f t="shared" si="8"/>
        <v>7.3113821138211375</v>
      </c>
      <c r="Q84" s="16">
        <f t="shared" si="14"/>
        <v>60.83943785605782</v>
      </c>
      <c r="R84" s="113">
        <f t="shared" si="9"/>
        <v>311.95699999999999</v>
      </c>
      <c r="S84" s="16">
        <f>IF(S83=15800,15800,ROUND((((Q84*60)/'Gearing Calculator'!$C$14)*'Track Data'!P84),-2))</f>
        <v>13500</v>
      </c>
      <c r="T84" s="16">
        <f t="shared" si="12"/>
        <v>3.2690757858319777</v>
      </c>
      <c r="U84" s="16">
        <f>IF(AC84=100,Braking!$AG$2354,IF(AC84=50,Braking!$AG$1179,IF(AC84=75,Braking!$AG$1767,0)))</f>
        <v>0</v>
      </c>
      <c r="V84" s="16">
        <f>0.5*'Gearing Calculator'!$C$15*'Gearing Calculator'!$C$20*'Gearing Calculator'!$W$20*('Track Data'!Q84^2)</f>
        <v>391.76011310417624</v>
      </c>
      <c r="W84" s="16">
        <f>('Gearing Calculator'!$U$9*'Track Data'!T84)+'Track Data'!V84</f>
        <v>1261.9880872926487</v>
      </c>
      <c r="X84" s="16">
        <f>('Gearing Calculator'!$U$9*9.81)*('Gearing Calculator'!$U$16/'Gearing Calculator'!$C$7)-(('Track Data'!W84)*('Gearing Calculator'!$U$17/'Gearing Calculator'!$C$7))</f>
        <v>713.29260654784787</v>
      </c>
      <c r="Y84" s="16">
        <f>('Gearing Calculator'!$U$9*9.81)*(('Gearing Calculator'!$C$7-'Gearing Calculator'!$U$16)/'Gearing Calculator'!$C$7)+(('Track Data'!W84)*('Gearing Calculator'!$U$17/'Gearing Calculator'!$C$7))</f>
        <v>1898.1293934521523</v>
      </c>
      <c r="Z84" s="16">
        <f>((X84*COS('Gearing Calculator'!$C$21))/'Gearing Calculator'!$C$22)/2</f>
        <v>22.05275144214907</v>
      </c>
      <c r="AA84" s="16">
        <f>Y84/'Gearing Calculator'!$C$24</f>
        <v>26.50425274624995</v>
      </c>
      <c r="AB84" s="16">
        <f t="shared" si="10"/>
        <v>411.37456781916808</v>
      </c>
      <c r="AC84" s="16">
        <v>0</v>
      </c>
      <c r="AD84" s="16">
        <v>0</v>
      </c>
      <c r="AE84" s="16">
        <v>81</v>
      </c>
      <c r="AF84" s="16">
        <f>IF(AC84=0,IF(O84=6,INDEX(Acceleration!$V$4:$V$110,MATCH('Track Data'!S84,Acceleration!$K$4:$K$110,0)),IF('Track Data'!O84=5,INDEX(Acceleration!$U$4:$U$110,MATCH('Track Data'!S84,Acceleration!$K$4:$K$110,0)),1)),U84)</f>
        <v>3.2690757858319777</v>
      </c>
      <c r="AG84" s="16">
        <f>IF(AC84=0,IF(O84=4,INDEX(Acceleration!$T$4:$T$110,MATCH('Track Data'!S84,Acceleration!$K$4:$K$110,0)),IF('Track Data'!O84=3,INDEX(Acceleration!$S$4:$S$110,MATCH('Track Data'!S84,Acceleration!$K$4:$K$110,0)),'Track Data'!AF84)),'Track Data'!U84)</f>
        <v>3.2690757858319777</v>
      </c>
      <c r="AH84" s="16">
        <f>IF(AC84=0,IF(O84=2,INDEX(Acceleration!$R$4:$R$110,MATCH('Track Data'!S84,Acceleration!$K$4:$K$110,0)),IF('Track Data'!O84=1,INDEX(Acceleration!$Q$4:$Q$110,MATCH('Track Data'!S84,Acceleration!$K$4:$K$110,0)),'Track Data'!AG84)),'Track Data'!U84)</f>
        <v>3.2690757858319777</v>
      </c>
    </row>
    <row r="85" spans="2:34" x14ac:dyDescent="0.25">
      <c r="B85" s="16">
        <v>197.14599999999999</v>
      </c>
      <c r="C85" s="16">
        <v>7355</v>
      </c>
      <c r="D85" s="16">
        <v>82</v>
      </c>
      <c r="E85" s="113">
        <v>218</v>
      </c>
      <c r="F85" s="113">
        <v>216.8</v>
      </c>
      <c r="G85" s="113">
        <v>213.6</v>
      </c>
      <c r="H85" s="113">
        <f t="shared" si="11"/>
        <v>59.333333333333329</v>
      </c>
      <c r="I85" s="113">
        <v>3.4</v>
      </c>
      <c r="J85" s="113">
        <v>14.44</v>
      </c>
      <c r="K85" s="113">
        <v>-16.100000000000001</v>
      </c>
      <c r="L85" s="189"/>
      <c r="M85" s="16">
        <v>82</v>
      </c>
      <c r="N85" s="16">
        <f t="shared" si="13"/>
        <v>1.6422209221378409E-2</v>
      </c>
      <c r="O85" s="16">
        <v>6</v>
      </c>
      <c r="P85" s="16">
        <f t="shared" si="8"/>
        <v>7.3113821138211375</v>
      </c>
      <c r="Q85" s="16">
        <f t="shared" si="14"/>
        <v>60.893146988908249</v>
      </c>
      <c r="R85" s="113">
        <f t="shared" si="9"/>
        <v>311.95699999999999</v>
      </c>
      <c r="S85" s="16">
        <f>IF(S84=15800,15800,ROUND((((Q85*60)/'Gearing Calculator'!$C$14)*'Track Data'!P85),-2))</f>
        <v>13500</v>
      </c>
      <c r="T85" s="16">
        <f t="shared" si="12"/>
        <v>3.2690757858319777</v>
      </c>
      <c r="U85" s="16">
        <f>IF(AC85=100,Braking!$AG$2354,IF(AC85=50,Braking!$AG$1179,IF(AC85=75,Braking!$AG$1767,0)))</f>
        <v>0</v>
      </c>
      <c r="V85" s="16">
        <f>0.5*'Gearing Calculator'!$C$15*'Gearing Calculator'!$C$20*'Gearing Calculator'!$W$20*('Track Data'!Q85^2)</f>
        <v>392.45211106652124</v>
      </c>
      <c r="W85" s="16">
        <f>('Gearing Calculator'!$U$9*'Track Data'!T85)+'Track Data'!V85</f>
        <v>1262.6800852549936</v>
      </c>
      <c r="X85" s="16">
        <f>('Gearing Calculator'!$U$9*9.81)*('Gearing Calculator'!$U$16/'Gearing Calculator'!$C$7)-(('Track Data'!W85)*('Gearing Calculator'!$U$17/'Gearing Calculator'!$C$7))</f>
        <v>712.9154203992457</v>
      </c>
      <c r="Y85" s="16">
        <f>('Gearing Calculator'!$U$9*9.81)*(('Gearing Calculator'!$C$7-'Gearing Calculator'!$U$16)/'Gearing Calculator'!$C$7)+(('Track Data'!W85)*('Gearing Calculator'!$U$17/'Gearing Calculator'!$C$7))</f>
        <v>1898.5065796007543</v>
      </c>
      <c r="Z85" s="16">
        <f>((X85*COS('Gearing Calculator'!$C$21))/'Gearing Calculator'!$C$22)/2</f>
        <v>22.041090039372445</v>
      </c>
      <c r="AA85" s="16">
        <f>Y85/'Gearing Calculator'!$C$24</f>
        <v>26.5095195299842</v>
      </c>
      <c r="AB85" s="16">
        <f t="shared" si="10"/>
        <v>412.06656578151308</v>
      </c>
      <c r="AC85" s="16">
        <v>0</v>
      </c>
      <c r="AD85" s="16">
        <v>0</v>
      </c>
      <c r="AE85" s="16">
        <v>82</v>
      </c>
      <c r="AF85" s="16">
        <f>IF(AC85=0,IF(O85=6,INDEX(Acceleration!$V$4:$V$110,MATCH('Track Data'!S85,Acceleration!$K$4:$K$110,0)),IF('Track Data'!O85=5,INDEX(Acceleration!$U$4:$U$110,MATCH('Track Data'!S85,Acceleration!$K$4:$K$110,0)),1)),U85)</f>
        <v>3.2690757858319777</v>
      </c>
      <c r="AG85" s="16">
        <f>IF(AC85=0,IF(O85=4,INDEX(Acceleration!$T$4:$T$110,MATCH('Track Data'!S85,Acceleration!$K$4:$K$110,0)),IF('Track Data'!O85=3,INDEX(Acceleration!$S$4:$S$110,MATCH('Track Data'!S85,Acceleration!$K$4:$K$110,0)),'Track Data'!AF85)),'Track Data'!U85)</f>
        <v>3.2690757858319777</v>
      </c>
      <c r="AH85" s="16">
        <f>IF(AC85=0,IF(O85=2,INDEX(Acceleration!$R$4:$R$110,MATCH('Track Data'!S85,Acceleration!$K$4:$K$110,0)),IF('Track Data'!O85=1,INDEX(Acceleration!$Q$4:$Q$110,MATCH('Track Data'!S85,Acceleration!$K$4:$K$110,0)),'Track Data'!AG85)),'Track Data'!U85)</f>
        <v>3.2690757858319777</v>
      </c>
    </row>
    <row r="86" spans="2:34" x14ac:dyDescent="0.25">
      <c r="B86" s="16">
        <v>197.16200000000001</v>
      </c>
      <c r="C86" s="16">
        <v>7357</v>
      </c>
      <c r="D86" s="16">
        <v>83</v>
      </c>
      <c r="E86" s="113">
        <v>218</v>
      </c>
      <c r="F86" s="113">
        <v>217</v>
      </c>
      <c r="G86" s="113">
        <v>213.7</v>
      </c>
      <c r="H86" s="113">
        <f t="shared" si="11"/>
        <v>59.361111111111107</v>
      </c>
      <c r="I86" s="113">
        <v>3.4</v>
      </c>
      <c r="J86" s="113">
        <v>14.29</v>
      </c>
      <c r="K86" s="113">
        <v>-4.3</v>
      </c>
      <c r="L86" s="189"/>
      <c r="M86" s="16">
        <v>83</v>
      </c>
      <c r="N86" s="16">
        <f t="shared" si="13"/>
        <v>1.6407749968209439E-2</v>
      </c>
      <c r="O86" s="16">
        <v>6</v>
      </c>
      <c r="P86" s="16">
        <f t="shared" si="8"/>
        <v>7.3113821138211375</v>
      </c>
      <c r="Q86" s="16">
        <f t="shared" si="14"/>
        <v>60.946808790817343</v>
      </c>
      <c r="R86" s="113">
        <f t="shared" si="9"/>
        <v>311.95699999999999</v>
      </c>
      <c r="S86" s="16">
        <f>IF(S85=15800,15800,ROUND((((Q86*60)/'Gearing Calculator'!$C$14)*'Track Data'!P86),-2))</f>
        <v>13500</v>
      </c>
      <c r="T86" s="16">
        <f t="shared" si="12"/>
        <v>3.2690757858319777</v>
      </c>
      <c r="U86" s="16">
        <f>IF(AC86=100,Braking!$AG$2354,IF(AC86=50,Braking!$AG$1179,IF(AC86=75,Braking!$AG$1767,0)))</f>
        <v>0</v>
      </c>
      <c r="V86" s="16">
        <f>0.5*'Gearing Calculator'!$C$15*'Gearing Calculator'!$C$20*'Gearing Calculator'!$W$20*('Track Data'!Q86^2)</f>
        <v>393.14410902886613</v>
      </c>
      <c r="W86" s="16">
        <f>('Gearing Calculator'!$U$9*'Track Data'!T86)+'Track Data'!V86</f>
        <v>1263.3720832173385</v>
      </c>
      <c r="X86" s="16">
        <f>('Gearing Calculator'!$U$9*9.81)*('Gearing Calculator'!$U$16/'Gearing Calculator'!$C$7)-(('Track Data'!W86)*('Gearing Calculator'!$U$17/'Gearing Calculator'!$C$7))</f>
        <v>712.53823425064354</v>
      </c>
      <c r="Y86" s="16">
        <f>('Gearing Calculator'!$U$9*9.81)*(('Gearing Calculator'!$C$7-'Gearing Calculator'!$U$16)/'Gearing Calculator'!$C$7)+(('Track Data'!W86)*('Gearing Calculator'!$U$17/'Gearing Calculator'!$C$7))</f>
        <v>1898.8837657493564</v>
      </c>
      <c r="Z86" s="16">
        <f>((X86*COS('Gearing Calculator'!$C$21))/'Gearing Calculator'!$C$22)/2</f>
        <v>22.029428636595814</v>
      </c>
      <c r="AA86" s="16">
        <f>Y86/'Gearing Calculator'!$C$24</f>
        <v>26.514786313718449</v>
      </c>
      <c r="AB86" s="16">
        <f t="shared" si="10"/>
        <v>412.75856374385796</v>
      </c>
      <c r="AC86" s="16">
        <v>0</v>
      </c>
      <c r="AD86" s="16">
        <v>0</v>
      </c>
      <c r="AE86" s="16">
        <v>83</v>
      </c>
      <c r="AF86" s="16">
        <f>IF(AC86=0,IF(O86=6,INDEX(Acceleration!$V$4:$V$110,MATCH('Track Data'!S86,Acceleration!$K$4:$K$110,0)),IF('Track Data'!O86=5,INDEX(Acceleration!$U$4:$U$110,MATCH('Track Data'!S86,Acceleration!$K$4:$K$110,0)),1)),U86)</f>
        <v>3.2690757858319777</v>
      </c>
      <c r="AG86" s="16">
        <f>IF(AC86=0,IF(O86=4,INDEX(Acceleration!$T$4:$T$110,MATCH('Track Data'!S86,Acceleration!$K$4:$K$110,0)),IF('Track Data'!O86=3,INDEX(Acceleration!$S$4:$S$110,MATCH('Track Data'!S86,Acceleration!$K$4:$K$110,0)),'Track Data'!AF86)),'Track Data'!U86)</f>
        <v>3.2690757858319777</v>
      </c>
      <c r="AH86" s="16">
        <f>IF(AC86=0,IF(O86=2,INDEX(Acceleration!$R$4:$R$110,MATCH('Track Data'!S86,Acceleration!$K$4:$K$110,0)),IF('Track Data'!O86=1,INDEX(Acceleration!$Q$4:$Q$110,MATCH('Track Data'!S86,Acceleration!$K$4:$K$110,0)),'Track Data'!AG86)),'Track Data'!U86)</f>
        <v>3.2690757858319777</v>
      </c>
    </row>
    <row r="87" spans="2:34" x14ac:dyDescent="0.25">
      <c r="B87" s="16">
        <v>197.179</v>
      </c>
      <c r="C87" s="16">
        <v>7358</v>
      </c>
      <c r="D87" s="16">
        <v>84</v>
      </c>
      <c r="E87" s="113">
        <v>218</v>
      </c>
      <c r="F87" s="113">
        <v>217.2</v>
      </c>
      <c r="G87" s="113">
        <v>213.8</v>
      </c>
      <c r="H87" s="113">
        <f t="shared" si="11"/>
        <v>59.388888888888893</v>
      </c>
      <c r="I87" s="113">
        <v>3.4</v>
      </c>
      <c r="J87" s="113">
        <v>14.03</v>
      </c>
      <c r="K87" s="113">
        <v>1.7</v>
      </c>
      <c r="L87" s="189"/>
      <c r="M87" s="16">
        <v>84</v>
      </c>
      <c r="N87" s="16">
        <f t="shared" si="13"/>
        <v>1.6393328840699557E-2</v>
      </c>
      <c r="O87" s="16">
        <v>6</v>
      </c>
      <c r="P87" s="16">
        <f t="shared" si="8"/>
        <v>7.3113821138211375</v>
      </c>
      <c r="Q87" s="16">
        <f t="shared" si="14"/>
        <v>61.000423386695552</v>
      </c>
      <c r="R87" s="113">
        <f t="shared" si="9"/>
        <v>311.95699999999999</v>
      </c>
      <c r="S87" s="16">
        <f>IF(S86=15800,15800,ROUND((((Q87*60)/'Gearing Calculator'!$C$14)*'Track Data'!P87),-2))</f>
        <v>13500</v>
      </c>
      <c r="T87" s="16">
        <f t="shared" si="12"/>
        <v>3.2690757858319777</v>
      </c>
      <c r="U87" s="16">
        <f>IF(AC87=100,Braking!$AG$2354,IF(AC87=50,Braking!$AG$1179,IF(AC87=75,Braking!$AG$1767,0)))</f>
        <v>0</v>
      </c>
      <c r="V87" s="16">
        <f>0.5*'Gearing Calculator'!$C$15*'Gearing Calculator'!$C$20*'Gearing Calculator'!$W$20*('Track Data'!Q87^2)</f>
        <v>393.83610699121101</v>
      </c>
      <c r="W87" s="16">
        <f>('Gearing Calculator'!$U$9*'Track Data'!T87)+'Track Data'!V87</f>
        <v>1264.0640811796834</v>
      </c>
      <c r="X87" s="16">
        <f>('Gearing Calculator'!$U$9*9.81)*('Gearing Calculator'!$U$16/'Gearing Calculator'!$C$7)-(('Track Data'!W87)*('Gearing Calculator'!$U$17/'Gearing Calculator'!$C$7))</f>
        <v>712.16104810204149</v>
      </c>
      <c r="Y87" s="16">
        <f>('Gearing Calculator'!$U$9*9.81)*(('Gearing Calculator'!$C$7-'Gearing Calculator'!$U$16)/'Gearing Calculator'!$C$7)+(('Track Data'!W87)*('Gearing Calculator'!$U$17/'Gearing Calculator'!$C$7))</f>
        <v>1899.2609518979584</v>
      </c>
      <c r="Z87" s="16">
        <f>((X87*COS('Gearing Calculator'!$C$21))/'Gearing Calculator'!$C$22)/2</f>
        <v>22.017767233819193</v>
      </c>
      <c r="AA87" s="16">
        <f>Y87/'Gearing Calculator'!$C$24</f>
        <v>26.520053097452699</v>
      </c>
      <c r="AB87" s="16">
        <f t="shared" si="10"/>
        <v>413.45056170620285</v>
      </c>
      <c r="AC87" s="16">
        <v>0</v>
      </c>
      <c r="AD87" s="16">
        <v>0</v>
      </c>
      <c r="AE87" s="16">
        <v>84</v>
      </c>
      <c r="AF87" s="16">
        <f>IF(AC87=0,IF(O87=6,INDEX(Acceleration!$V$4:$V$110,MATCH('Track Data'!S87,Acceleration!$K$4:$K$110,0)),IF('Track Data'!O87=5,INDEX(Acceleration!$U$4:$U$110,MATCH('Track Data'!S87,Acceleration!$K$4:$K$110,0)),1)),U87)</f>
        <v>3.2690757858319777</v>
      </c>
      <c r="AG87" s="16">
        <f>IF(AC87=0,IF(O87=4,INDEX(Acceleration!$T$4:$T$110,MATCH('Track Data'!S87,Acceleration!$K$4:$K$110,0)),IF('Track Data'!O87=3,INDEX(Acceleration!$S$4:$S$110,MATCH('Track Data'!S87,Acceleration!$K$4:$K$110,0)),'Track Data'!AF87)),'Track Data'!U87)</f>
        <v>3.2690757858319777</v>
      </c>
      <c r="AH87" s="16">
        <f>IF(AC87=0,IF(O87=2,INDEX(Acceleration!$R$4:$R$110,MATCH('Track Data'!S87,Acceleration!$K$4:$K$110,0)),IF('Track Data'!O87=1,INDEX(Acceleration!$Q$4:$Q$110,MATCH('Track Data'!S87,Acceleration!$K$4:$K$110,0)),'Track Data'!AG87)),'Track Data'!U87)</f>
        <v>3.2690757858319777</v>
      </c>
    </row>
    <row r="88" spans="2:34" x14ac:dyDescent="0.25">
      <c r="B88" s="16">
        <v>197.196</v>
      </c>
      <c r="C88" s="16">
        <v>7359</v>
      </c>
      <c r="D88" s="16">
        <v>85</v>
      </c>
      <c r="E88" s="113">
        <v>218</v>
      </c>
      <c r="F88" s="113">
        <v>217.4</v>
      </c>
      <c r="G88" s="113">
        <v>213.9</v>
      </c>
      <c r="H88" s="113">
        <f t="shared" si="11"/>
        <v>59.416666666666664</v>
      </c>
      <c r="I88" s="113">
        <v>3.7</v>
      </c>
      <c r="J88" s="113">
        <v>15.1</v>
      </c>
      <c r="K88" s="113">
        <v>13.5</v>
      </c>
      <c r="L88" s="189"/>
      <c r="M88" s="16">
        <v>85</v>
      </c>
      <c r="N88" s="16">
        <f t="shared" si="13"/>
        <v>1.6378945671595382E-2</v>
      </c>
      <c r="O88" s="16">
        <v>6</v>
      </c>
      <c r="P88" s="16">
        <f t="shared" si="8"/>
        <v>7.3113821138211375</v>
      </c>
      <c r="Q88" s="16">
        <f t="shared" si="14"/>
        <v>61.053990900904893</v>
      </c>
      <c r="R88" s="113">
        <f t="shared" si="9"/>
        <v>311.95699999999999</v>
      </c>
      <c r="S88" s="16">
        <f>IF(S87=15800,15800,ROUND((((Q88*60)/'Gearing Calculator'!$C$14)*'Track Data'!P88),-2))</f>
        <v>13500</v>
      </c>
      <c r="T88" s="16">
        <f t="shared" si="12"/>
        <v>3.2690757858319777</v>
      </c>
      <c r="U88" s="16">
        <f>IF(AC88=100,Braking!$AG$2354,IF(AC88=50,Braking!$AG$1179,IF(AC88=75,Braking!$AG$1767,0)))</f>
        <v>0</v>
      </c>
      <c r="V88" s="16">
        <f>0.5*'Gearing Calculator'!$C$15*'Gearing Calculator'!$C$20*'Gearing Calculator'!$W$20*('Track Data'!Q88^2)</f>
        <v>394.52810495355595</v>
      </c>
      <c r="W88" s="16">
        <f>('Gearing Calculator'!$U$9*'Track Data'!T88)+'Track Data'!V88</f>
        <v>1264.7560791420283</v>
      </c>
      <c r="X88" s="16">
        <f>('Gearing Calculator'!$U$9*9.81)*('Gearing Calculator'!$U$16/'Gearing Calculator'!$C$7)-(('Track Data'!W88)*('Gearing Calculator'!$U$17/'Gearing Calculator'!$C$7))</f>
        <v>711.78386195343933</v>
      </c>
      <c r="Y88" s="16">
        <f>('Gearing Calculator'!$U$9*9.81)*(('Gearing Calculator'!$C$7-'Gearing Calculator'!$U$16)/'Gearing Calculator'!$C$7)+(('Track Data'!W88)*('Gearing Calculator'!$U$17/'Gearing Calculator'!$C$7))</f>
        <v>1899.6381380465607</v>
      </c>
      <c r="Z88" s="16">
        <f>((X88*COS('Gearing Calculator'!$C$21))/'Gearing Calculator'!$C$22)/2</f>
        <v>22.006105831042564</v>
      </c>
      <c r="AA88" s="16">
        <f>Y88/'Gearing Calculator'!$C$24</f>
        <v>26.525319881186949</v>
      </c>
      <c r="AB88" s="16">
        <f t="shared" si="10"/>
        <v>414.14255966854785</v>
      </c>
      <c r="AC88" s="16">
        <v>0</v>
      </c>
      <c r="AD88" s="16">
        <v>0</v>
      </c>
      <c r="AE88" s="16">
        <v>85</v>
      </c>
      <c r="AF88" s="16">
        <f>IF(AC88=0,IF(O88=6,INDEX(Acceleration!$V$4:$V$110,MATCH('Track Data'!S88,Acceleration!$K$4:$K$110,0)),IF('Track Data'!O88=5,INDEX(Acceleration!$U$4:$U$110,MATCH('Track Data'!S88,Acceleration!$K$4:$K$110,0)),1)),U88)</f>
        <v>3.2690757858319777</v>
      </c>
      <c r="AG88" s="16">
        <f>IF(AC88=0,IF(O88=4,INDEX(Acceleration!$T$4:$T$110,MATCH('Track Data'!S88,Acceleration!$K$4:$K$110,0)),IF('Track Data'!O88=3,INDEX(Acceleration!$S$4:$S$110,MATCH('Track Data'!S88,Acceleration!$K$4:$K$110,0)),'Track Data'!AF88)),'Track Data'!U88)</f>
        <v>3.2690757858319777</v>
      </c>
      <c r="AH88" s="16">
        <f>IF(AC88=0,IF(O88=2,INDEX(Acceleration!$R$4:$R$110,MATCH('Track Data'!S88,Acceleration!$K$4:$K$110,0)),IF('Track Data'!O88=1,INDEX(Acceleration!$Q$4:$Q$110,MATCH('Track Data'!S88,Acceleration!$K$4:$K$110,0)),'Track Data'!AG88)),'Track Data'!U88)</f>
        <v>3.2690757858319777</v>
      </c>
    </row>
    <row r="89" spans="2:34" x14ac:dyDescent="0.25">
      <c r="B89" s="16">
        <v>197.21199999999999</v>
      </c>
      <c r="C89" s="16">
        <v>7359</v>
      </c>
      <c r="D89" s="16">
        <v>86</v>
      </c>
      <c r="E89" s="113">
        <v>218</v>
      </c>
      <c r="F89" s="113">
        <v>217.6</v>
      </c>
      <c r="G89" s="113">
        <v>214.1</v>
      </c>
      <c r="H89" s="113">
        <f t="shared" si="11"/>
        <v>59.472222222222221</v>
      </c>
      <c r="I89" s="113">
        <v>3.9</v>
      </c>
      <c r="J89" s="113">
        <v>15.68</v>
      </c>
      <c r="K89" s="113">
        <v>13</v>
      </c>
      <c r="L89" s="189"/>
      <c r="M89" s="16">
        <v>86</v>
      </c>
      <c r="N89" s="16">
        <f t="shared" si="13"/>
        <v>1.6364600294668939E-2</v>
      </c>
      <c r="O89" s="16">
        <v>6</v>
      </c>
      <c r="P89" s="16">
        <f t="shared" si="8"/>
        <v>7.3113821138211375</v>
      </c>
      <c r="Q89" s="16">
        <f t="shared" si="14"/>
        <v>61.107511457262284</v>
      </c>
      <c r="R89" s="113">
        <f t="shared" si="9"/>
        <v>311.95699999999999</v>
      </c>
      <c r="S89" s="16">
        <f>IF(S88=15800,15800,ROUND((((Q89*60)/'Gearing Calculator'!$C$14)*'Track Data'!P89),-2))</f>
        <v>13500</v>
      </c>
      <c r="T89" s="16">
        <f t="shared" si="12"/>
        <v>3.2690757858319777</v>
      </c>
      <c r="U89" s="16">
        <f>IF(AC89=100,Braking!$AG$2354,IF(AC89=50,Braking!$AG$1179,IF(AC89=75,Braking!$AG$1767,0)))</f>
        <v>0</v>
      </c>
      <c r="V89" s="16">
        <f>0.5*'Gearing Calculator'!$C$15*'Gearing Calculator'!$C$20*'Gearing Calculator'!$W$20*('Track Data'!Q89^2)</f>
        <v>395.22010291590078</v>
      </c>
      <c r="W89" s="16">
        <f>('Gearing Calculator'!$U$9*'Track Data'!T89)+'Track Data'!V89</f>
        <v>1265.4480771043732</v>
      </c>
      <c r="X89" s="16">
        <f>('Gearing Calculator'!$U$9*9.81)*('Gearing Calculator'!$U$16/'Gearing Calculator'!$C$7)-(('Track Data'!W89)*('Gearing Calculator'!$U$17/'Gearing Calculator'!$C$7))</f>
        <v>711.40667580483716</v>
      </c>
      <c r="Y89" s="16">
        <f>('Gearing Calculator'!$U$9*9.81)*(('Gearing Calculator'!$C$7-'Gearing Calculator'!$U$16)/'Gearing Calculator'!$C$7)+(('Track Data'!W89)*('Gearing Calculator'!$U$17/'Gearing Calculator'!$C$7))</f>
        <v>1900.015324195163</v>
      </c>
      <c r="Z89" s="16">
        <f>((X89*COS('Gearing Calculator'!$C$21))/'Gearing Calculator'!$C$22)/2</f>
        <v>21.994444428265936</v>
      </c>
      <c r="AA89" s="16">
        <f>Y89/'Gearing Calculator'!$C$24</f>
        <v>26.530586664921202</v>
      </c>
      <c r="AB89" s="16">
        <f t="shared" si="10"/>
        <v>414.83455763089262</v>
      </c>
      <c r="AC89" s="16">
        <v>0</v>
      </c>
      <c r="AD89" s="16">
        <v>0</v>
      </c>
      <c r="AE89" s="16">
        <v>86</v>
      </c>
      <c r="AF89" s="16">
        <f>IF(AC89=0,IF(O89=6,INDEX(Acceleration!$V$4:$V$110,MATCH('Track Data'!S89,Acceleration!$K$4:$K$110,0)),IF('Track Data'!O89=5,INDEX(Acceleration!$U$4:$U$110,MATCH('Track Data'!S89,Acceleration!$K$4:$K$110,0)),1)),U89)</f>
        <v>3.2690757858319777</v>
      </c>
      <c r="AG89" s="16">
        <f>IF(AC89=0,IF(O89=4,INDEX(Acceleration!$T$4:$T$110,MATCH('Track Data'!S89,Acceleration!$K$4:$K$110,0)),IF('Track Data'!O89=3,INDEX(Acceleration!$S$4:$S$110,MATCH('Track Data'!S89,Acceleration!$K$4:$K$110,0)),'Track Data'!AF89)),'Track Data'!U89)</f>
        <v>3.2690757858319777</v>
      </c>
      <c r="AH89" s="16">
        <f>IF(AC89=0,IF(O89=2,INDEX(Acceleration!$R$4:$R$110,MATCH('Track Data'!S89,Acceleration!$K$4:$K$110,0)),IF('Track Data'!O89=1,INDEX(Acceleration!$Q$4:$Q$110,MATCH('Track Data'!S89,Acceleration!$K$4:$K$110,0)),'Track Data'!AG89)),'Track Data'!U89)</f>
        <v>3.2690757858319777</v>
      </c>
    </row>
    <row r="90" spans="2:34" x14ac:dyDescent="0.25">
      <c r="B90" s="16">
        <v>197.22900000000001</v>
      </c>
      <c r="C90" s="16">
        <v>7360</v>
      </c>
      <c r="D90" s="16">
        <v>87</v>
      </c>
      <c r="E90" s="113">
        <v>218</v>
      </c>
      <c r="F90" s="113">
        <v>217.7</v>
      </c>
      <c r="G90" s="113">
        <v>214.2</v>
      </c>
      <c r="H90" s="113">
        <f t="shared" si="11"/>
        <v>59.499999999999993</v>
      </c>
      <c r="I90" s="113">
        <v>4.2</v>
      </c>
      <c r="J90" s="113">
        <v>17.39</v>
      </c>
      <c r="K90" s="113">
        <v>9.9</v>
      </c>
      <c r="L90" s="189"/>
      <c r="M90" s="16">
        <v>87</v>
      </c>
      <c r="N90" s="16">
        <f t="shared" si="13"/>
        <v>1.635029254470961E-2</v>
      </c>
      <c r="O90" s="16">
        <v>6</v>
      </c>
      <c r="P90" s="16">
        <f t="shared" si="8"/>
        <v>7.3113821138211375</v>
      </c>
      <c r="Q90" s="16">
        <f t="shared" si="14"/>
        <v>61.160985179042896</v>
      </c>
      <c r="R90" s="113">
        <f t="shared" si="9"/>
        <v>311.95699999999999</v>
      </c>
      <c r="S90" s="16">
        <f>IF(S89=15800,15800,ROUND((((Q90*60)/'Gearing Calculator'!$C$14)*'Track Data'!P90),-2))</f>
        <v>13600</v>
      </c>
      <c r="T90" s="16">
        <f t="shared" si="12"/>
        <v>3.2227417979040949</v>
      </c>
      <c r="U90" s="16">
        <f>IF(AC90=100,Braking!$AG$2354,IF(AC90=50,Braking!$AG$1179,IF(AC90=75,Braking!$AG$1767,0)))</f>
        <v>0</v>
      </c>
      <c r="V90" s="16">
        <f>0.5*'Gearing Calculator'!$C$15*'Gearing Calculator'!$C$20*'Gearing Calculator'!$W$20*('Track Data'!Q90^2)</f>
        <v>395.91210087824567</v>
      </c>
      <c r="W90" s="16">
        <f>('Gearing Calculator'!$U$9*'Track Data'!T90)+'Track Data'!V90</f>
        <v>1253.8059674803158</v>
      </c>
      <c r="X90" s="16">
        <f>('Gearing Calculator'!$U$9*9.81)*('Gearing Calculator'!$U$16/'Gearing Calculator'!$C$7)-(('Track Data'!W90)*('Gearing Calculator'!$U$17/'Gearing Calculator'!$C$7))</f>
        <v>717.75242063307633</v>
      </c>
      <c r="Y90" s="16">
        <f>('Gearing Calculator'!$U$9*9.81)*(('Gearing Calculator'!$C$7-'Gearing Calculator'!$U$16)/'Gearing Calculator'!$C$7)+(('Track Data'!W90)*('Gearing Calculator'!$U$17/'Gearing Calculator'!$C$7))</f>
        <v>1893.6695793669237</v>
      </c>
      <c r="Z90" s="16">
        <f>((X90*COS('Gearing Calculator'!$C$21))/'Gearing Calculator'!$C$22)/2</f>
        <v>22.190634788474128</v>
      </c>
      <c r="AA90" s="16">
        <f>Y90/'Gearing Calculator'!$C$24</f>
        <v>26.441978783197726</v>
      </c>
      <c r="AB90" s="16">
        <f t="shared" si="10"/>
        <v>415.24855166567022</v>
      </c>
      <c r="AC90" s="16">
        <v>0</v>
      </c>
      <c r="AD90" s="16">
        <v>0</v>
      </c>
      <c r="AE90" s="16">
        <v>87</v>
      </c>
      <c r="AF90" s="16">
        <f>IF(AC90=0,IF(O90=6,INDEX(Acceleration!$V$4:$V$110,MATCH('Track Data'!S90,Acceleration!$K$4:$K$110,0)),IF('Track Data'!O90=5,INDEX(Acceleration!$U$4:$U$110,MATCH('Track Data'!S90,Acceleration!$K$4:$K$110,0)),1)),U90)</f>
        <v>3.2227417979040949</v>
      </c>
      <c r="AG90" s="16">
        <f>IF(AC90=0,IF(O90=4,INDEX(Acceleration!$T$4:$T$110,MATCH('Track Data'!S90,Acceleration!$K$4:$K$110,0)),IF('Track Data'!O90=3,INDEX(Acceleration!$S$4:$S$110,MATCH('Track Data'!S90,Acceleration!$K$4:$K$110,0)),'Track Data'!AF90)),'Track Data'!U90)</f>
        <v>3.2227417979040949</v>
      </c>
      <c r="AH90" s="16">
        <f>IF(AC90=0,IF(O90=2,INDEX(Acceleration!$R$4:$R$110,MATCH('Track Data'!S90,Acceleration!$K$4:$K$110,0)),IF('Track Data'!O90=1,INDEX(Acceleration!$Q$4:$Q$110,MATCH('Track Data'!S90,Acceleration!$K$4:$K$110,0)),'Track Data'!AG90)),'Track Data'!U90)</f>
        <v>3.2227417979040949</v>
      </c>
    </row>
    <row r="91" spans="2:34" x14ac:dyDescent="0.25">
      <c r="B91" s="16">
        <v>197.245</v>
      </c>
      <c r="C91" s="16">
        <v>7361</v>
      </c>
      <c r="D91" s="16">
        <v>88</v>
      </c>
      <c r="E91" s="113">
        <v>218</v>
      </c>
      <c r="F91" s="113">
        <v>217.9</v>
      </c>
      <c r="G91" s="113">
        <v>214.3</v>
      </c>
      <c r="H91" s="113">
        <f t="shared" si="11"/>
        <v>59.527777777777779</v>
      </c>
      <c r="I91" s="113">
        <v>4.8</v>
      </c>
      <c r="J91" s="113">
        <v>19.329999999999998</v>
      </c>
      <c r="K91" s="113">
        <v>3.7</v>
      </c>
      <c r="L91" s="189"/>
      <c r="M91" s="16">
        <v>88</v>
      </c>
      <c r="N91" s="16">
        <f t="shared" si="13"/>
        <v>1.6336224255337616E-2</v>
      </c>
      <c r="O91" s="16">
        <v>6</v>
      </c>
      <c r="P91" s="16">
        <f t="shared" si="8"/>
        <v>7.3113821138211375</v>
      </c>
      <c r="Q91" s="16">
        <f t="shared" si="14"/>
        <v>61.213655271245749</v>
      </c>
      <c r="R91" s="113">
        <f t="shared" si="9"/>
        <v>311.95699999999999</v>
      </c>
      <c r="S91" s="16">
        <f>IF(S90=15800,15800,ROUND((((Q91*60)/'Gearing Calculator'!$C$14)*'Track Data'!P91),-2))</f>
        <v>13600</v>
      </c>
      <c r="T91" s="16">
        <f t="shared" si="12"/>
        <v>3.2227417979040949</v>
      </c>
      <c r="U91" s="16">
        <f>IF(AC91=100,Braking!$AG$2354,IF(AC91=50,Braking!$AG$1179,IF(AC91=75,Braking!$AG$1767,0)))</f>
        <v>0</v>
      </c>
      <c r="V91" s="16">
        <f>0.5*'Gearing Calculator'!$C$15*'Gearing Calculator'!$C$20*'Gearing Calculator'!$W$20*('Track Data'!Q91^2)</f>
        <v>396.59429086202596</v>
      </c>
      <c r="W91" s="16">
        <f>('Gearing Calculator'!$U$9*'Track Data'!T91)+'Track Data'!V91</f>
        <v>1254.488157464096</v>
      </c>
      <c r="X91" s="16">
        <f>('Gearing Calculator'!$U$9*9.81)*('Gearing Calculator'!$U$16/'Gearing Calculator'!$C$7)-(('Track Data'!W91)*('Gearing Calculator'!$U$17/'Gearing Calculator'!$C$7))</f>
        <v>717.38058050261532</v>
      </c>
      <c r="Y91" s="16">
        <f>('Gearing Calculator'!$U$9*9.81)*(('Gearing Calculator'!$C$7-'Gearing Calculator'!$U$16)/'Gearing Calculator'!$C$7)+(('Track Data'!W91)*('Gearing Calculator'!$U$17/'Gearing Calculator'!$C$7))</f>
        <v>1894.0414194973846</v>
      </c>
      <c r="Z91" s="16">
        <f>((X91*COS('Gearing Calculator'!$C$21))/'Gearing Calculator'!$C$22)/2</f>
        <v>22.179138667670408</v>
      </c>
      <c r="AA91" s="16">
        <f>Y91/'Gearing Calculator'!$C$24</f>
        <v>26.447170918587933</v>
      </c>
      <c r="AB91" s="16">
        <f t="shared" si="10"/>
        <v>415.93074164945051</v>
      </c>
      <c r="AC91" s="16">
        <v>0</v>
      </c>
      <c r="AD91" s="16">
        <v>0</v>
      </c>
      <c r="AE91" s="16">
        <v>88</v>
      </c>
      <c r="AF91" s="16">
        <f>IF(AC91=0,IF(O91=6,INDEX(Acceleration!$V$4:$V$110,MATCH('Track Data'!S91,Acceleration!$K$4:$K$110,0)),IF('Track Data'!O91=5,INDEX(Acceleration!$U$4:$U$110,MATCH('Track Data'!S91,Acceleration!$K$4:$K$110,0)),1)),U91)</f>
        <v>3.2227417979040949</v>
      </c>
      <c r="AG91" s="16">
        <f>IF(AC91=0,IF(O91=4,INDEX(Acceleration!$T$4:$T$110,MATCH('Track Data'!S91,Acceleration!$K$4:$K$110,0)),IF('Track Data'!O91=3,INDEX(Acceleration!$S$4:$S$110,MATCH('Track Data'!S91,Acceleration!$K$4:$K$110,0)),'Track Data'!AF91)),'Track Data'!U91)</f>
        <v>3.2227417979040949</v>
      </c>
      <c r="AH91" s="16">
        <f>IF(AC91=0,IF(O91=2,INDEX(Acceleration!$R$4:$R$110,MATCH('Track Data'!S91,Acceleration!$K$4:$K$110,0)),IF('Track Data'!O91=1,INDEX(Acceleration!$Q$4:$Q$110,MATCH('Track Data'!S91,Acceleration!$K$4:$K$110,0)),'Track Data'!AG91)),'Track Data'!U91)</f>
        <v>3.2227417979040949</v>
      </c>
    </row>
    <row r="92" spans="2:34" x14ac:dyDescent="0.25">
      <c r="B92" s="16">
        <v>197.262</v>
      </c>
      <c r="C92" s="16">
        <v>7362</v>
      </c>
      <c r="D92" s="16">
        <v>89</v>
      </c>
      <c r="E92" s="113">
        <v>217</v>
      </c>
      <c r="F92" s="113">
        <v>218.4</v>
      </c>
      <c r="G92" s="113">
        <v>214.4</v>
      </c>
      <c r="H92" s="113">
        <f t="shared" si="11"/>
        <v>59.555555555555557</v>
      </c>
      <c r="I92" s="113">
        <v>5.8</v>
      </c>
      <c r="J92" s="113">
        <v>21.4</v>
      </c>
      <c r="K92" s="113">
        <v>-2.4</v>
      </c>
      <c r="L92" s="189"/>
      <c r="M92" s="16">
        <v>89</v>
      </c>
      <c r="N92" s="16">
        <f t="shared" si="13"/>
        <v>1.6322192217938628E-2</v>
      </c>
      <c r="O92" s="16">
        <v>6</v>
      </c>
      <c r="P92" s="16">
        <f t="shared" si="8"/>
        <v>7.3113821138211375</v>
      </c>
      <c r="Q92" s="16">
        <f t="shared" si="14"/>
        <v>61.266280083441664</v>
      </c>
      <c r="R92" s="113">
        <f t="shared" si="9"/>
        <v>311.95699999999999</v>
      </c>
      <c r="S92" s="16">
        <f>IF(S91=15800,15800,ROUND((((Q92*60)/'Gearing Calculator'!$C$14)*'Track Data'!P92),-2))</f>
        <v>13600</v>
      </c>
      <c r="T92" s="16">
        <f t="shared" si="12"/>
        <v>3.2227417979040949</v>
      </c>
      <c r="U92" s="16">
        <f>IF(AC92=100,Braking!$AG$2354,IF(AC92=50,Braking!$AG$1179,IF(AC92=75,Braking!$AG$1767,0)))</f>
        <v>0</v>
      </c>
      <c r="V92" s="16">
        <f>0.5*'Gearing Calculator'!$C$15*'Gearing Calculator'!$C$20*'Gearing Calculator'!$W$20*('Track Data'!Q92^2)</f>
        <v>397.27648084580636</v>
      </c>
      <c r="W92" s="16">
        <f>('Gearing Calculator'!$U$9*'Track Data'!T92)+'Track Data'!V92</f>
        <v>1255.1703474478763</v>
      </c>
      <c r="X92" s="16">
        <f>('Gearing Calculator'!$U$9*9.81)*('Gearing Calculator'!$U$16/'Gearing Calculator'!$C$7)-(('Track Data'!W92)*('Gearing Calculator'!$U$17/'Gearing Calculator'!$C$7))</f>
        <v>717.00874037215442</v>
      </c>
      <c r="Y92" s="16">
        <f>('Gearing Calculator'!$U$9*9.81)*(('Gearing Calculator'!$C$7-'Gearing Calculator'!$U$16)/'Gearing Calculator'!$C$7)+(('Track Data'!W92)*('Gearing Calculator'!$U$17/'Gearing Calculator'!$C$7))</f>
        <v>1894.4132596278455</v>
      </c>
      <c r="Z92" s="16">
        <f>((X92*COS('Gearing Calculator'!$C$21))/'Gearing Calculator'!$C$22)/2</f>
        <v>22.167642546866691</v>
      </c>
      <c r="AA92" s="16">
        <f>Y92/'Gearing Calculator'!$C$24</f>
        <v>26.452363053978139</v>
      </c>
      <c r="AB92" s="16">
        <f t="shared" si="10"/>
        <v>416.61293163323091</v>
      </c>
      <c r="AC92" s="16">
        <v>0</v>
      </c>
      <c r="AD92" s="16">
        <v>0</v>
      </c>
      <c r="AE92" s="16">
        <v>89</v>
      </c>
      <c r="AF92" s="16">
        <f>IF(AC92=0,IF(O92=6,INDEX(Acceleration!$V$4:$V$110,MATCH('Track Data'!S92,Acceleration!$K$4:$K$110,0)),IF('Track Data'!O92=5,INDEX(Acceleration!$U$4:$U$110,MATCH('Track Data'!S92,Acceleration!$K$4:$K$110,0)),1)),U92)</f>
        <v>3.2227417979040949</v>
      </c>
      <c r="AG92" s="16">
        <f>IF(AC92=0,IF(O92=4,INDEX(Acceleration!$T$4:$T$110,MATCH('Track Data'!S92,Acceleration!$K$4:$K$110,0)),IF('Track Data'!O92=3,INDEX(Acceleration!$S$4:$S$110,MATCH('Track Data'!S92,Acceleration!$K$4:$K$110,0)),'Track Data'!AF92)),'Track Data'!U92)</f>
        <v>3.2227417979040949</v>
      </c>
      <c r="AH92" s="16">
        <f>IF(AC92=0,IF(O92=2,INDEX(Acceleration!$R$4:$R$110,MATCH('Track Data'!S92,Acceleration!$K$4:$K$110,0)),IF('Track Data'!O92=1,INDEX(Acceleration!$Q$4:$Q$110,MATCH('Track Data'!S92,Acceleration!$K$4:$K$110,0)),'Track Data'!AG92)),'Track Data'!U92)</f>
        <v>3.2227417979040949</v>
      </c>
    </row>
    <row r="93" spans="2:34" x14ac:dyDescent="0.25">
      <c r="B93" s="16">
        <v>197.27799999999999</v>
      </c>
      <c r="C93" s="16">
        <v>7363</v>
      </c>
      <c r="D93" s="16">
        <v>90</v>
      </c>
      <c r="E93" s="113">
        <v>217</v>
      </c>
      <c r="F93" s="113">
        <v>218.7</v>
      </c>
      <c r="G93" s="113">
        <v>214.5</v>
      </c>
      <c r="H93" s="113">
        <f t="shared" si="11"/>
        <v>59.583333333333329</v>
      </c>
      <c r="I93" s="113">
        <v>6.1</v>
      </c>
      <c r="J93" s="113">
        <v>21.32</v>
      </c>
      <c r="K93" s="113">
        <v>-5.5</v>
      </c>
      <c r="L93" s="189"/>
      <c r="M93" s="16">
        <v>90</v>
      </c>
      <c r="N93" s="16">
        <f t="shared" si="13"/>
        <v>1.6308196277086049E-2</v>
      </c>
      <c r="O93" s="16">
        <v>6</v>
      </c>
      <c r="P93" s="16">
        <f t="shared" si="8"/>
        <v>7.3113821138211375</v>
      </c>
      <c r="Q93" s="16">
        <f t="shared" si="14"/>
        <v>61.318859732210683</v>
      </c>
      <c r="R93" s="113">
        <f t="shared" si="9"/>
        <v>311.95699999999999</v>
      </c>
      <c r="S93" s="16">
        <f>IF(S92=15800,15800,ROUND((((Q93*60)/'Gearing Calculator'!$C$14)*'Track Data'!P93),-2))</f>
        <v>13600</v>
      </c>
      <c r="T93" s="16">
        <f t="shared" si="12"/>
        <v>3.2227417979040949</v>
      </c>
      <c r="U93" s="16">
        <f>IF(AC93=100,Braking!$AG$2354,IF(AC93=50,Braking!$AG$1179,IF(AC93=75,Braking!$AG$1767,0)))</f>
        <v>0</v>
      </c>
      <c r="V93" s="16">
        <f>0.5*'Gearing Calculator'!$C$15*'Gearing Calculator'!$C$20*'Gearing Calculator'!$W$20*('Track Data'!Q93^2)</f>
        <v>397.95867082958665</v>
      </c>
      <c r="W93" s="16">
        <f>('Gearing Calculator'!$U$9*'Track Data'!T93)+'Track Data'!V93</f>
        <v>1255.8525374316566</v>
      </c>
      <c r="X93" s="16">
        <f>('Gearing Calculator'!$U$9*9.81)*('Gearing Calculator'!$U$16/'Gearing Calculator'!$C$7)-(('Track Data'!W93)*('Gearing Calculator'!$U$17/'Gearing Calculator'!$C$7))</f>
        <v>716.63690024169341</v>
      </c>
      <c r="Y93" s="16">
        <f>('Gearing Calculator'!$U$9*9.81)*(('Gearing Calculator'!$C$7-'Gearing Calculator'!$U$16)/'Gearing Calculator'!$C$7)+(('Track Data'!W93)*('Gearing Calculator'!$U$17/'Gearing Calculator'!$C$7))</f>
        <v>1894.7850997583066</v>
      </c>
      <c r="Z93" s="16">
        <f>((X93*COS('Gearing Calculator'!$C$21))/'Gearing Calculator'!$C$22)/2</f>
        <v>22.156146426062975</v>
      </c>
      <c r="AA93" s="16">
        <f>Y93/'Gearing Calculator'!$C$24</f>
        <v>26.457555189368346</v>
      </c>
      <c r="AB93" s="16">
        <f t="shared" si="10"/>
        <v>417.2951216170112</v>
      </c>
      <c r="AC93" s="16">
        <v>0</v>
      </c>
      <c r="AD93" s="16">
        <v>0</v>
      </c>
      <c r="AE93" s="16">
        <v>90</v>
      </c>
      <c r="AF93" s="16">
        <f>IF(AC93=0,IF(O93=6,INDEX(Acceleration!$V$4:$V$110,MATCH('Track Data'!S93,Acceleration!$K$4:$K$110,0)),IF('Track Data'!O93=5,INDEX(Acceleration!$U$4:$U$110,MATCH('Track Data'!S93,Acceleration!$K$4:$K$110,0)),1)),U93)</f>
        <v>3.2227417979040949</v>
      </c>
      <c r="AG93" s="16">
        <f>IF(AC93=0,IF(O93=4,INDEX(Acceleration!$T$4:$T$110,MATCH('Track Data'!S93,Acceleration!$K$4:$K$110,0)),IF('Track Data'!O93=3,INDEX(Acceleration!$S$4:$S$110,MATCH('Track Data'!S93,Acceleration!$K$4:$K$110,0)),'Track Data'!AF93)),'Track Data'!U93)</f>
        <v>3.2227417979040949</v>
      </c>
      <c r="AH93" s="16">
        <f>IF(AC93=0,IF(O93=2,INDEX(Acceleration!$R$4:$R$110,MATCH('Track Data'!S93,Acceleration!$K$4:$K$110,0)),IF('Track Data'!O93=1,INDEX(Acceleration!$Q$4:$Q$110,MATCH('Track Data'!S93,Acceleration!$K$4:$K$110,0)),'Track Data'!AG93)),'Track Data'!U93)</f>
        <v>3.2227417979040949</v>
      </c>
    </row>
    <row r="94" spans="2:34" x14ac:dyDescent="0.25">
      <c r="B94" s="16">
        <v>197.29400000000001</v>
      </c>
      <c r="C94" s="16">
        <v>7364</v>
      </c>
      <c r="D94" s="16">
        <v>91</v>
      </c>
      <c r="E94" s="113">
        <v>217</v>
      </c>
      <c r="F94" s="113">
        <v>218.9</v>
      </c>
      <c r="G94" s="113">
        <v>214.6</v>
      </c>
      <c r="H94" s="113">
        <f t="shared" si="11"/>
        <v>59.611111111111107</v>
      </c>
      <c r="I94" s="113">
        <v>6.1</v>
      </c>
      <c r="J94" s="113">
        <v>24.44</v>
      </c>
      <c r="K94" s="113">
        <v>-7.7</v>
      </c>
      <c r="L94" s="189"/>
      <c r="M94" s="16">
        <v>91</v>
      </c>
      <c r="N94" s="16">
        <f t="shared" si="13"/>
        <v>1.6294236278284597E-2</v>
      </c>
      <c r="O94" s="16">
        <v>6</v>
      </c>
      <c r="P94" s="16">
        <f t="shared" si="8"/>
        <v>7.3113821138211375</v>
      </c>
      <c r="Q94" s="16">
        <f t="shared" si="14"/>
        <v>61.371394333633454</v>
      </c>
      <c r="R94" s="113">
        <f t="shared" si="9"/>
        <v>311.95699999999999</v>
      </c>
      <c r="S94" s="16">
        <f>IF(S93=15800,15800,ROUND((((Q94*60)/'Gearing Calculator'!$C$14)*'Track Data'!P94),-2))</f>
        <v>13600</v>
      </c>
      <c r="T94" s="16">
        <f t="shared" si="12"/>
        <v>3.2227417979040949</v>
      </c>
      <c r="U94" s="16">
        <f>IF(AC94=100,Braking!$AG$2354,IF(AC94=50,Braking!$AG$1179,IF(AC94=75,Braking!$AG$1767,0)))</f>
        <v>0</v>
      </c>
      <c r="V94" s="16">
        <f>0.5*'Gearing Calculator'!$C$15*'Gearing Calculator'!$C$20*'Gearing Calculator'!$W$20*('Track Data'!Q94^2)</f>
        <v>398.64086081336688</v>
      </c>
      <c r="W94" s="16">
        <f>('Gearing Calculator'!$U$9*'Track Data'!T94)+'Track Data'!V94</f>
        <v>1256.5347274154369</v>
      </c>
      <c r="X94" s="16">
        <f>('Gearing Calculator'!$U$9*9.81)*('Gearing Calculator'!$U$16/'Gearing Calculator'!$C$7)-(('Track Data'!W94)*('Gearing Calculator'!$U$17/'Gearing Calculator'!$C$7))</f>
        <v>716.26506011123251</v>
      </c>
      <c r="Y94" s="16">
        <f>('Gearing Calculator'!$U$9*9.81)*(('Gearing Calculator'!$C$7-'Gearing Calculator'!$U$16)/'Gearing Calculator'!$C$7)+(('Track Data'!W94)*('Gearing Calculator'!$U$17/'Gearing Calculator'!$C$7))</f>
        <v>1895.1569398887675</v>
      </c>
      <c r="Z94" s="16">
        <f>((X94*COS('Gearing Calculator'!$C$21))/'Gearing Calculator'!$C$22)/2</f>
        <v>22.144650305259262</v>
      </c>
      <c r="AA94" s="16">
        <f>Y94/'Gearing Calculator'!$C$24</f>
        <v>26.462747324758553</v>
      </c>
      <c r="AB94" s="16">
        <f t="shared" si="10"/>
        <v>417.97731160079144</v>
      </c>
      <c r="AC94" s="16">
        <v>0</v>
      </c>
      <c r="AD94" s="16">
        <v>0</v>
      </c>
      <c r="AE94" s="16">
        <v>91</v>
      </c>
      <c r="AF94" s="16">
        <f>IF(AC94=0,IF(O94=6,INDEX(Acceleration!$V$4:$V$110,MATCH('Track Data'!S94,Acceleration!$K$4:$K$110,0)),IF('Track Data'!O94=5,INDEX(Acceleration!$U$4:$U$110,MATCH('Track Data'!S94,Acceleration!$K$4:$K$110,0)),1)),U94)</f>
        <v>3.2227417979040949</v>
      </c>
      <c r="AG94" s="16">
        <f>IF(AC94=0,IF(O94=4,INDEX(Acceleration!$T$4:$T$110,MATCH('Track Data'!S94,Acceleration!$K$4:$K$110,0)),IF('Track Data'!O94=3,INDEX(Acceleration!$S$4:$S$110,MATCH('Track Data'!S94,Acceleration!$K$4:$K$110,0)),'Track Data'!AF94)),'Track Data'!U94)</f>
        <v>3.2227417979040949</v>
      </c>
      <c r="AH94" s="16">
        <f>IF(AC94=0,IF(O94=2,INDEX(Acceleration!$R$4:$R$110,MATCH('Track Data'!S94,Acceleration!$K$4:$K$110,0)),IF('Track Data'!O94=1,INDEX(Acceleration!$Q$4:$Q$110,MATCH('Track Data'!S94,Acceleration!$K$4:$K$110,0)),'Track Data'!AG94)),'Track Data'!U94)</f>
        <v>3.2227417979040949</v>
      </c>
    </row>
    <row r="95" spans="2:34" x14ac:dyDescent="0.25">
      <c r="B95" s="16">
        <v>197.31100000000001</v>
      </c>
      <c r="C95" s="16">
        <v>7365</v>
      </c>
      <c r="D95" s="16">
        <v>92</v>
      </c>
      <c r="E95" s="113">
        <v>218</v>
      </c>
      <c r="F95" s="113">
        <v>219</v>
      </c>
      <c r="G95" s="113">
        <v>214.7</v>
      </c>
      <c r="H95" s="113">
        <f t="shared" si="11"/>
        <v>59.638888888888886</v>
      </c>
      <c r="I95" s="113">
        <v>6</v>
      </c>
      <c r="J95" s="113">
        <v>29.22</v>
      </c>
      <c r="K95" s="113">
        <v>-8.1999999999999993</v>
      </c>
      <c r="L95" s="189"/>
      <c r="M95" s="16">
        <v>92</v>
      </c>
      <c r="N95" s="16">
        <f t="shared" si="13"/>
        <v>1.6280312067963154E-2</v>
      </c>
      <c r="O95" s="16">
        <v>6</v>
      </c>
      <c r="P95" s="16">
        <f t="shared" si="8"/>
        <v>7.3113821138211375</v>
      </c>
      <c r="Q95" s="16">
        <f t="shared" si="14"/>
        <v>61.423884003294226</v>
      </c>
      <c r="R95" s="113">
        <f t="shared" si="9"/>
        <v>311.95699999999999</v>
      </c>
      <c r="S95" s="16">
        <f>IF(S94=15800,15800,ROUND((((Q95*60)/'Gearing Calculator'!$C$14)*'Track Data'!P95),-2))</f>
        <v>13600</v>
      </c>
      <c r="T95" s="16">
        <f t="shared" si="12"/>
        <v>3.2227417979040949</v>
      </c>
      <c r="U95" s="16">
        <f>IF(AC95=100,Braking!$AG$2354,IF(AC95=50,Braking!$AG$1179,IF(AC95=75,Braking!$AG$1767,0)))</f>
        <v>0</v>
      </c>
      <c r="V95" s="16">
        <f>0.5*'Gearing Calculator'!$C$15*'Gearing Calculator'!$C$20*'Gearing Calculator'!$W$20*('Track Data'!Q95^2)</f>
        <v>399.32305079714723</v>
      </c>
      <c r="W95" s="16">
        <f>('Gearing Calculator'!$U$9*'Track Data'!T95)+'Track Data'!V95</f>
        <v>1257.2169173992172</v>
      </c>
      <c r="X95" s="16">
        <f>('Gearing Calculator'!$U$9*9.81)*('Gearing Calculator'!$U$16/'Gearing Calculator'!$C$7)-(('Track Data'!W95)*('Gearing Calculator'!$U$17/'Gearing Calculator'!$C$7))</f>
        <v>715.89321998077151</v>
      </c>
      <c r="Y95" s="16">
        <f>('Gearing Calculator'!$U$9*9.81)*(('Gearing Calculator'!$C$7-'Gearing Calculator'!$U$16)/'Gearing Calculator'!$C$7)+(('Track Data'!W95)*('Gearing Calculator'!$U$17/'Gearing Calculator'!$C$7))</f>
        <v>1895.5287800192286</v>
      </c>
      <c r="Z95" s="16">
        <f>((X95*COS('Gearing Calculator'!$C$21))/'Gearing Calculator'!$C$22)/2</f>
        <v>22.133154184455545</v>
      </c>
      <c r="AA95" s="16">
        <f>Y95/'Gearing Calculator'!$C$24</f>
        <v>26.467939460148763</v>
      </c>
      <c r="AB95" s="16">
        <f t="shared" si="10"/>
        <v>418.65950158457179</v>
      </c>
      <c r="AC95" s="16">
        <v>0</v>
      </c>
      <c r="AD95" s="16">
        <v>0</v>
      </c>
      <c r="AE95" s="16">
        <v>92</v>
      </c>
      <c r="AF95" s="16">
        <f>IF(AC95=0,IF(O95=6,INDEX(Acceleration!$V$4:$V$110,MATCH('Track Data'!S95,Acceleration!$K$4:$K$110,0)),IF('Track Data'!O95=5,INDEX(Acceleration!$U$4:$U$110,MATCH('Track Data'!S95,Acceleration!$K$4:$K$110,0)),1)),U95)</f>
        <v>3.2227417979040949</v>
      </c>
      <c r="AG95" s="16">
        <f>IF(AC95=0,IF(O95=4,INDEX(Acceleration!$T$4:$T$110,MATCH('Track Data'!S95,Acceleration!$K$4:$K$110,0)),IF('Track Data'!O95=3,INDEX(Acceleration!$S$4:$S$110,MATCH('Track Data'!S95,Acceleration!$K$4:$K$110,0)),'Track Data'!AF95)),'Track Data'!U95)</f>
        <v>3.2227417979040949</v>
      </c>
      <c r="AH95" s="16">
        <f>IF(AC95=0,IF(O95=2,INDEX(Acceleration!$R$4:$R$110,MATCH('Track Data'!S95,Acceleration!$K$4:$K$110,0)),IF('Track Data'!O95=1,INDEX(Acceleration!$Q$4:$Q$110,MATCH('Track Data'!S95,Acceleration!$K$4:$K$110,0)),'Track Data'!AG95)),'Track Data'!U95)</f>
        <v>3.2227417979040949</v>
      </c>
    </row>
    <row r="96" spans="2:34" x14ac:dyDescent="0.25">
      <c r="B96" s="16">
        <v>197.327</v>
      </c>
      <c r="C96" s="16">
        <v>7366</v>
      </c>
      <c r="D96" s="16">
        <v>93</v>
      </c>
      <c r="E96" s="113">
        <v>218</v>
      </c>
      <c r="F96" s="113">
        <v>219</v>
      </c>
      <c r="G96" s="113">
        <v>214.8</v>
      </c>
      <c r="H96" s="113">
        <f t="shared" si="11"/>
        <v>59.666666666666671</v>
      </c>
      <c r="I96" s="113">
        <v>6.2</v>
      </c>
      <c r="J96" s="113">
        <v>32.32</v>
      </c>
      <c r="K96" s="113">
        <v>-8.4</v>
      </c>
      <c r="L96" s="189"/>
      <c r="M96" s="16">
        <v>93</v>
      </c>
      <c r="N96" s="16">
        <f t="shared" si="13"/>
        <v>1.6266423493467682E-2</v>
      </c>
      <c r="O96" s="16">
        <v>6</v>
      </c>
      <c r="P96" s="16">
        <f t="shared" si="8"/>
        <v>7.3113821138211375</v>
      </c>
      <c r="Q96" s="16">
        <f t="shared" si="14"/>
        <v>61.4763288562838</v>
      </c>
      <c r="R96" s="113">
        <f t="shared" si="9"/>
        <v>311.95699999999999</v>
      </c>
      <c r="S96" s="16">
        <f>IF(S95=15800,15800,ROUND((((Q96*60)/'Gearing Calculator'!$C$14)*'Track Data'!P96),-2))</f>
        <v>13600</v>
      </c>
      <c r="T96" s="16">
        <f t="shared" si="12"/>
        <v>3.2227417979040949</v>
      </c>
      <c r="U96" s="16">
        <f>IF(AC96=100,Braking!$AG$2354,IF(AC96=50,Braking!$AG$1179,IF(AC96=75,Braking!$AG$1767,0)))</f>
        <v>0</v>
      </c>
      <c r="V96" s="16">
        <f>0.5*'Gearing Calculator'!$C$15*'Gearing Calculator'!$C$20*'Gearing Calculator'!$W$20*('Track Data'!Q96^2)</f>
        <v>400.00524078092752</v>
      </c>
      <c r="W96" s="16">
        <f>('Gearing Calculator'!$U$9*'Track Data'!T96)+'Track Data'!V96</f>
        <v>1257.8991073829975</v>
      </c>
      <c r="X96" s="16">
        <f>('Gearing Calculator'!$U$9*9.81)*('Gearing Calculator'!$U$16/'Gearing Calculator'!$C$7)-(('Track Data'!W96)*('Gearing Calculator'!$U$17/'Gearing Calculator'!$C$7))</f>
        <v>715.5213798503105</v>
      </c>
      <c r="Y96" s="16">
        <f>('Gearing Calculator'!$U$9*9.81)*(('Gearing Calculator'!$C$7-'Gearing Calculator'!$U$16)/'Gearing Calculator'!$C$7)+(('Track Data'!W96)*('Gearing Calculator'!$U$17/'Gearing Calculator'!$C$7))</f>
        <v>1895.9006201496895</v>
      </c>
      <c r="Z96" s="16">
        <f>((X96*COS('Gearing Calculator'!$C$21))/'Gearing Calculator'!$C$22)/2</f>
        <v>22.121658063651829</v>
      </c>
      <c r="AA96" s="16">
        <f>Y96/'Gearing Calculator'!$C$24</f>
        <v>26.47313159553897</v>
      </c>
      <c r="AB96" s="16">
        <f t="shared" si="10"/>
        <v>419.34169156835208</v>
      </c>
      <c r="AC96" s="16">
        <v>0</v>
      </c>
      <c r="AD96" s="16">
        <v>0</v>
      </c>
      <c r="AE96" s="16">
        <v>93</v>
      </c>
      <c r="AF96" s="16">
        <f>IF(AC96=0,IF(O96=6,INDEX(Acceleration!$V$4:$V$110,MATCH('Track Data'!S96,Acceleration!$K$4:$K$110,0)),IF('Track Data'!O96=5,INDEX(Acceleration!$U$4:$U$110,MATCH('Track Data'!S96,Acceleration!$K$4:$K$110,0)),1)),U96)</f>
        <v>3.2227417979040949</v>
      </c>
      <c r="AG96" s="16">
        <f>IF(AC96=0,IF(O96=4,INDEX(Acceleration!$T$4:$T$110,MATCH('Track Data'!S96,Acceleration!$K$4:$K$110,0)),IF('Track Data'!O96=3,INDEX(Acceleration!$S$4:$S$110,MATCH('Track Data'!S96,Acceleration!$K$4:$K$110,0)),'Track Data'!AF96)),'Track Data'!U96)</f>
        <v>3.2227417979040949</v>
      </c>
      <c r="AH96" s="16">
        <f>IF(AC96=0,IF(O96=2,INDEX(Acceleration!$R$4:$R$110,MATCH('Track Data'!S96,Acceleration!$K$4:$K$110,0)),IF('Track Data'!O96=1,INDEX(Acceleration!$Q$4:$Q$110,MATCH('Track Data'!S96,Acceleration!$K$4:$K$110,0)),'Track Data'!AG96)),'Track Data'!U96)</f>
        <v>3.2227417979040949</v>
      </c>
    </row>
    <row r="97" spans="2:34" x14ac:dyDescent="0.25">
      <c r="B97" s="16">
        <v>197.34399999999999</v>
      </c>
      <c r="C97" s="16">
        <v>7367</v>
      </c>
      <c r="D97" s="16">
        <v>94</v>
      </c>
      <c r="E97" s="113">
        <v>217</v>
      </c>
      <c r="F97" s="113">
        <v>218.8</v>
      </c>
      <c r="G97" s="113">
        <v>214.9</v>
      </c>
      <c r="H97" s="113">
        <f t="shared" si="11"/>
        <v>59.694444444444443</v>
      </c>
      <c r="I97" s="113">
        <v>7.8</v>
      </c>
      <c r="J97" s="113">
        <v>34.6</v>
      </c>
      <c r="K97" s="113">
        <v>-8.9</v>
      </c>
      <c r="L97" s="189"/>
      <c r="M97" s="16">
        <v>94</v>
      </c>
      <c r="N97" s="16">
        <f t="shared" si="13"/>
        <v>1.6252570403054178E-2</v>
      </c>
      <c r="O97" s="16">
        <v>6</v>
      </c>
      <c r="P97" s="16">
        <f t="shared" si="8"/>
        <v>7.3113821138211375</v>
      </c>
      <c r="Q97" s="16">
        <f t="shared" si="14"/>
        <v>61.528729007202479</v>
      </c>
      <c r="R97" s="113">
        <f t="shared" si="9"/>
        <v>311.95699999999999</v>
      </c>
      <c r="S97" s="16">
        <f>IF(S96=15800,15800,ROUND((((Q97*60)/'Gearing Calculator'!$C$14)*'Track Data'!P97),-2))</f>
        <v>13600</v>
      </c>
      <c r="T97" s="16">
        <f t="shared" si="12"/>
        <v>3.2227417979040949</v>
      </c>
      <c r="U97" s="16">
        <f>IF(AC97=100,Braking!$AG$2354,IF(AC97=50,Braking!$AG$1179,IF(AC97=75,Braking!$AG$1767,0)))</f>
        <v>0</v>
      </c>
      <c r="V97" s="16">
        <f>0.5*'Gearing Calculator'!$C$15*'Gearing Calculator'!$C$20*'Gearing Calculator'!$W$20*('Track Data'!Q97^2)</f>
        <v>400.68743076470781</v>
      </c>
      <c r="W97" s="16">
        <f>('Gearing Calculator'!$U$9*'Track Data'!T97)+'Track Data'!V97</f>
        <v>1258.5812973667778</v>
      </c>
      <c r="X97" s="16">
        <f>('Gearing Calculator'!$U$9*9.81)*('Gearing Calculator'!$U$16/'Gearing Calculator'!$C$7)-(('Track Data'!W97)*('Gearing Calculator'!$U$17/'Gearing Calculator'!$C$7))</f>
        <v>715.1495397198496</v>
      </c>
      <c r="Y97" s="16">
        <f>('Gearing Calculator'!$U$9*9.81)*(('Gearing Calculator'!$C$7-'Gearing Calculator'!$U$16)/'Gearing Calculator'!$C$7)+(('Track Data'!W97)*('Gearing Calculator'!$U$17/'Gearing Calculator'!$C$7))</f>
        <v>1896.2724602801504</v>
      </c>
      <c r="Z97" s="16">
        <f>((X97*COS('Gearing Calculator'!$C$21))/'Gearing Calculator'!$C$22)/2</f>
        <v>22.110161942848109</v>
      </c>
      <c r="AA97" s="16">
        <f>Y97/'Gearing Calculator'!$C$24</f>
        <v>26.478323730929176</v>
      </c>
      <c r="AB97" s="16">
        <f t="shared" si="10"/>
        <v>420.02388155213237</v>
      </c>
      <c r="AC97" s="16">
        <v>0</v>
      </c>
      <c r="AD97" s="16">
        <v>0</v>
      </c>
      <c r="AE97" s="16">
        <v>94</v>
      </c>
      <c r="AF97" s="16">
        <f>IF(AC97=0,IF(O97=6,INDEX(Acceleration!$V$4:$V$110,MATCH('Track Data'!S97,Acceleration!$K$4:$K$110,0)),IF('Track Data'!O97=5,INDEX(Acceleration!$U$4:$U$110,MATCH('Track Data'!S97,Acceleration!$K$4:$K$110,0)),1)),U97)</f>
        <v>3.2227417979040949</v>
      </c>
      <c r="AG97" s="16">
        <f>IF(AC97=0,IF(O97=4,INDEX(Acceleration!$T$4:$T$110,MATCH('Track Data'!S97,Acceleration!$K$4:$K$110,0)),IF('Track Data'!O97=3,INDEX(Acceleration!$S$4:$S$110,MATCH('Track Data'!S97,Acceleration!$K$4:$K$110,0)),'Track Data'!AF97)),'Track Data'!U97)</f>
        <v>3.2227417979040949</v>
      </c>
      <c r="AH97" s="16">
        <f>IF(AC97=0,IF(O97=2,INDEX(Acceleration!$R$4:$R$110,MATCH('Track Data'!S97,Acceleration!$K$4:$K$110,0)),IF('Track Data'!O97=1,INDEX(Acceleration!$Q$4:$Q$110,MATCH('Track Data'!S97,Acceleration!$K$4:$K$110,0)),'Track Data'!AG97)),'Track Data'!U97)</f>
        <v>3.2227417979040949</v>
      </c>
    </row>
    <row r="98" spans="2:34" x14ac:dyDescent="0.25">
      <c r="B98" s="16">
        <v>197.36</v>
      </c>
      <c r="C98" s="16">
        <v>7368</v>
      </c>
      <c r="D98" s="16">
        <v>95</v>
      </c>
      <c r="E98" s="113">
        <v>217</v>
      </c>
      <c r="F98" s="113">
        <v>218.7</v>
      </c>
      <c r="G98" s="113">
        <v>214.9</v>
      </c>
      <c r="H98" s="113">
        <f t="shared" si="11"/>
        <v>59.694444444444443</v>
      </c>
      <c r="I98" s="113">
        <v>9.6999999999999993</v>
      </c>
      <c r="J98" s="113">
        <v>34.65</v>
      </c>
      <c r="K98" s="113">
        <v>-9.3000000000000007</v>
      </c>
      <c r="L98" s="189"/>
      <c r="M98" s="16">
        <v>95</v>
      </c>
      <c r="N98" s="16">
        <f t="shared" si="13"/>
        <v>1.6238752645881715E-2</v>
      </c>
      <c r="O98" s="16">
        <v>6</v>
      </c>
      <c r="P98" s="16">
        <f t="shared" si="8"/>
        <v>7.3113821138211375</v>
      </c>
      <c r="Q98" s="16">
        <f t="shared" si="14"/>
        <v>61.581084570163</v>
      </c>
      <c r="R98" s="113">
        <f t="shared" si="9"/>
        <v>311.95699999999999</v>
      </c>
      <c r="S98" s="16">
        <f>IF(S97=15800,15800,ROUND((((Q98*60)/'Gearing Calculator'!$C$14)*'Track Data'!P98),-2))</f>
        <v>13700</v>
      </c>
      <c r="T98" s="16">
        <f t="shared" si="12"/>
        <v>3.1767563146369739</v>
      </c>
      <c r="U98" s="16">
        <f>IF(AC98=100,Braking!$AG$2354,IF(AC98=50,Braking!$AG$1179,IF(AC98=75,Braking!$AG$1767,0)))</f>
        <v>0</v>
      </c>
      <c r="V98" s="16">
        <f>0.5*'Gearing Calculator'!$C$15*'Gearing Calculator'!$C$20*'Gearing Calculator'!$W$20*('Track Data'!Q98^2)</f>
        <v>401.3696207484881</v>
      </c>
      <c r="W98" s="16">
        <f>('Gearing Calculator'!$U$9*'Track Data'!T98)+'Track Data'!V98</f>
        <v>1247.0221517048506</v>
      </c>
      <c r="X98" s="16">
        <f>('Gearing Calculator'!$U$9*9.81)*('Gearing Calculator'!$U$16/'Gearing Calculator'!$C$7)-(('Track Data'!W98)*('Gearing Calculator'!$U$17/'Gearing Calculator'!$C$7))</f>
        <v>721.45006352280905</v>
      </c>
      <c r="Y98" s="16">
        <f>('Gearing Calculator'!$U$9*9.81)*(('Gearing Calculator'!$C$7-'Gearing Calculator'!$U$16)/'Gearing Calculator'!$C$7)+(('Track Data'!W98)*('Gearing Calculator'!$U$17/'Gearing Calculator'!$C$7))</f>
        <v>1889.9719364771909</v>
      </c>
      <c r="Z98" s="16">
        <f>((X98*COS('Gearing Calculator'!$C$21))/'Gearing Calculator'!$C$22)/2</f>
        <v>22.304954211976568</v>
      </c>
      <c r="AA98" s="16">
        <f>Y98/'Gearing Calculator'!$C$24</f>
        <v>26.390347286392014</v>
      </c>
      <c r="AB98" s="16">
        <f t="shared" si="10"/>
        <v>420.43015863630995</v>
      </c>
      <c r="AC98" s="16">
        <v>0</v>
      </c>
      <c r="AD98" s="16">
        <v>0</v>
      </c>
      <c r="AE98" s="16">
        <v>95</v>
      </c>
      <c r="AF98" s="16">
        <f>IF(AC98=0,IF(O98=6,INDEX(Acceleration!$V$4:$V$110,MATCH('Track Data'!S98,Acceleration!$K$4:$K$110,0)),IF('Track Data'!O98=5,INDEX(Acceleration!$U$4:$U$110,MATCH('Track Data'!S98,Acceleration!$K$4:$K$110,0)),1)),U98)</f>
        <v>3.1767563146369739</v>
      </c>
      <c r="AG98" s="16">
        <f>IF(AC98=0,IF(O98=4,INDEX(Acceleration!$T$4:$T$110,MATCH('Track Data'!S98,Acceleration!$K$4:$K$110,0)),IF('Track Data'!O98=3,INDEX(Acceleration!$S$4:$S$110,MATCH('Track Data'!S98,Acceleration!$K$4:$K$110,0)),'Track Data'!AF98)),'Track Data'!U98)</f>
        <v>3.1767563146369739</v>
      </c>
      <c r="AH98" s="16">
        <f>IF(AC98=0,IF(O98=2,INDEX(Acceleration!$R$4:$R$110,MATCH('Track Data'!S98,Acceleration!$K$4:$K$110,0)),IF('Track Data'!O98=1,INDEX(Acceleration!$Q$4:$Q$110,MATCH('Track Data'!S98,Acceleration!$K$4:$K$110,0)),'Track Data'!AG98)),'Track Data'!U98)</f>
        <v>3.1767563146369739</v>
      </c>
    </row>
    <row r="99" spans="2:34" x14ac:dyDescent="0.25">
      <c r="B99" s="16">
        <v>197.376</v>
      </c>
      <c r="C99" s="16">
        <v>7370</v>
      </c>
      <c r="D99" s="16">
        <v>96</v>
      </c>
      <c r="E99" s="113">
        <v>217</v>
      </c>
      <c r="F99" s="113">
        <v>218.7</v>
      </c>
      <c r="G99" s="113">
        <v>215</v>
      </c>
      <c r="H99" s="113">
        <f t="shared" si="11"/>
        <v>59.722222222222221</v>
      </c>
      <c r="I99" s="113">
        <v>10.1</v>
      </c>
      <c r="J99" s="113">
        <v>34.19</v>
      </c>
      <c r="K99" s="113">
        <v>-9.3000000000000007</v>
      </c>
      <c r="L99" s="189"/>
      <c r="M99" s="16">
        <v>96</v>
      </c>
      <c r="N99" s="16">
        <f t="shared" si="13"/>
        <v>1.6225166489584806E-2</v>
      </c>
      <c r="O99" s="16">
        <v>6</v>
      </c>
      <c r="P99" s="16">
        <f t="shared" si="8"/>
        <v>7.3113821138211375</v>
      </c>
      <c r="Q99" s="16">
        <f t="shared" si="14"/>
        <v>61.632649541187511</v>
      </c>
      <c r="R99" s="113">
        <f t="shared" si="9"/>
        <v>311.95699999999999</v>
      </c>
      <c r="S99" s="16">
        <f>IF(S98=15800,15800,ROUND((((Q99*60)/'Gearing Calculator'!$C$14)*'Track Data'!P99),-2))</f>
        <v>13700</v>
      </c>
      <c r="T99" s="16">
        <f t="shared" si="12"/>
        <v>3.1767563146369739</v>
      </c>
      <c r="U99" s="16">
        <f>IF(AC99=100,Braking!$AG$2354,IF(AC99=50,Braking!$AG$1179,IF(AC99=75,Braking!$AG$1767,0)))</f>
        <v>0</v>
      </c>
      <c r="V99" s="16">
        <f>0.5*'Gearing Calculator'!$C$15*'Gearing Calculator'!$C$20*'Gearing Calculator'!$W$20*('Track Data'!Q99^2)</f>
        <v>402.04207652517039</v>
      </c>
      <c r="W99" s="16">
        <f>('Gearing Calculator'!$U$9*'Track Data'!T99)+'Track Data'!V99</f>
        <v>1247.6946074815328</v>
      </c>
      <c r="X99" s="16">
        <f>('Gearing Calculator'!$U$9*9.81)*('Gearing Calculator'!$U$16/'Gearing Calculator'!$C$7)-(('Track Data'!W99)*('Gearing Calculator'!$U$17/'Gearing Calculator'!$C$7))</f>
        <v>721.08352920000186</v>
      </c>
      <c r="Y99" s="16">
        <f>('Gearing Calculator'!$U$9*9.81)*(('Gearing Calculator'!$C$7-'Gearing Calculator'!$U$16)/'Gearing Calculator'!$C$7)+(('Track Data'!W99)*('Gearing Calculator'!$U$17/'Gearing Calculator'!$C$7))</f>
        <v>1890.338470799998</v>
      </c>
      <c r="Z99" s="16">
        <f>((X99*COS('Gearing Calculator'!$C$21))/'Gearing Calculator'!$C$22)/2</f>
        <v>22.293622129964671</v>
      </c>
      <c r="AA99" s="16">
        <f>Y99/'Gearing Calculator'!$C$24</f>
        <v>26.395465334911449</v>
      </c>
      <c r="AB99" s="16">
        <f t="shared" si="10"/>
        <v>421.10261441299224</v>
      </c>
      <c r="AC99" s="16">
        <v>0</v>
      </c>
      <c r="AD99" s="16">
        <v>0</v>
      </c>
      <c r="AE99" s="16">
        <v>96</v>
      </c>
      <c r="AF99" s="16">
        <f>IF(AC99=0,IF(O99=6,INDEX(Acceleration!$V$4:$V$110,MATCH('Track Data'!S99,Acceleration!$K$4:$K$110,0)),IF('Track Data'!O99=5,INDEX(Acceleration!$U$4:$U$110,MATCH('Track Data'!S99,Acceleration!$K$4:$K$110,0)),1)),U99)</f>
        <v>3.1767563146369739</v>
      </c>
      <c r="AG99" s="16">
        <f>IF(AC99=0,IF(O99=4,INDEX(Acceleration!$T$4:$T$110,MATCH('Track Data'!S99,Acceleration!$K$4:$K$110,0)),IF('Track Data'!O99=3,INDEX(Acceleration!$S$4:$S$110,MATCH('Track Data'!S99,Acceleration!$K$4:$K$110,0)),'Track Data'!AF99)),'Track Data'!U99)</f>
        <v>3.1767563146369739</v>
      </c>
      <c r="AH99" s="16">
        <f>IF(AC99=0,IF(O99=2,INDEX(Acceleration!$R$4:$R$110,MATCH('Track Data'!S99,Acceleration!$K$4:$K$110,0)),IF('Track Data'!O99=1,INDEX(Acceleration!$Q$4:$Q$110,MATCH('Track Data'!S99,Acceleration!$K$4:$K$110,0)),'Track Data'!AG99)),'Track Data'!U99)</f>
        <v>3.1767563146369739</v>
      </c>
    </row>
    <row r="100" spans="2:34" x14ac:dyDescent="0.25">
      <c r="B100" s="16">
        <v>197.393</v>
      </c>
      <c r="C100" s="16">
        <v>7370</v>
      </c>
      <c r="D100" s="16">
        <v>97</v>
      </c>
      <c r="E100" s="113">
        <v>218</v>
      </c>
      <c r="F100" s="113">
        <v>218.7</v>
      </c>
      <c r="G100" s="113">
        <v>215.1</v>
      </c>
      <c r="H100" s="113">
        <f t="shared" si="11"/>
        <v>59.75</v>
      </c>
      <c r="I100" s="113">
        <v>10.1</v>
      </c>
      <c r="J100" s="113">
        <v>33.51</v>
      </c>
      <c r="K100" s="113">
        <v>-9.3000000000000007</v>
      </c>
      <c r="L100" s="189"/>
      <c r="M100" s="16">
        <v>97</v>
      </c>
      <c r="N100" s="16">
        <f t="shared" si="13"/>
        <v>1.621161437690943E-2</v>
      </c>
      <c r="O100" s="16">
        <v>6</v>
      </c>
      <c r="P100" s="16">
        <f t="shared" si="8"/>
        <v>7.3113821138211375</v>
      </c>
      <c r="Q100" s="16">
        <f t="shared" si="14"/>
        <v>61.684171406416048</v>
      </c>
      <c r="R100" s="113">
        <f t="shared" si="9"/>
        <v>311.95699999999999</v>
      </c>
      <c r="S100" s="16">
        <f>IF(S99=15800,15800,ROUND((((Q100*60)/'Gearing Calculator'!$C$14)*'Track Data'!P100),-2))</f>
        <v>13700</v>
      </c>
      <c r="T100" s="16">
        <f t="shared" si="12"/>
        <v>3.1767563146369739</v>
      </c>
      <c r="U100" s="16">
        <f>IF(AC100=100,Braking!$AG$2354,IF(AC100=50,Braking!$AG$1179,IF(AC100=75,Braking!$AG$1767,0)))</f>
        <v>0</v>
      </c>
      <c r="V100" s="16">
        <f>0.5*'Gearing Calculator'!$C$15*'Gearing Calculator'!$C$20*'Gearing Calculator'!$W$20*('Track Data'!Q100^2)</f>
        <v>402.71453230185278</v>
      </c>
      <c r="W100" s="16">
        <f>('Gearing Calculator'!$U$9*'Track Data'!T100)+'Track Data'!V100</f>
        <v>1248.3670632582152</v>
      </c>
      <c r="X100" s="16">
        <f>('Gearing Calculator'!$U$9*9.81)*('Gearing Calculator'!$U$16/'Gearing Calculator'!$C$7)-(('Track Data'!W100)*('Gearing Calculator'!$U$17/'Gearing Calculator'!$C$7))</f>
        <v>720.71699487719457</v>
      </c>
      <c r="Y100" s="16">
        <f>('Gearing Calculator'!$U$9*9.81)*(('Gearing Calculator'!$C$7-'Gearing Calculator'!$U$16)/'Gearing Calculator'!$C$7)+(('Track Data'!W100)*('Gearing Calculator'!$U$17/'Gearing Calculator'!$C$7))</f>
        <v>1890.7050051228055</v>
      </c>
      <c r="Z100" s="16">
        <f>((X100*COS('Gearing Calculator'!$C$21))/'Gearing Calculator'!$C$22)/2</f>
        <v>22.282290047952763</v>
      </c>
      <c r="AA100" s="16">
        <f>Y100/'Gearing Calculator'!$C$24</f>
        <v>26.400583383430888</v>
      </c>
      <c r="AB100" s="16">
        <f t="shared" si="10"/>
        <v>421.77507018967464</v>
      </c>
      <c r="AC100" s="16">
        <v>0</v>
      </c>
      <c r="AD100" s="16">
        <v>0</v>
      </c>
      <c r="AE100" s="16">
        <v>97</v>
      </c>
      <c r="AF100" s="16">
        <f>IF(AC100=0,IF(O100=6,INDEX(Acceleration!$V$4:$V$110,MATCH('Track Data'!S100,Acceleration!$K$4:$K$110,0)),IF('Track Data'!O100=5,INDEX(Acceleration!$U$4:$U$110,MATCH('Track Data'!S100,Acceleration!$K$4:$K$110,0)),1)),U100)</f>
        <v>3.1767563146369739</v>
      </c>
      <c r="AG100" s="16">
        <f>IF(AC100=0,IF(O100=4,INDEX(Acceleration!$T$4:$T$110,MATCH('Track Data'!S100,Acceleration!$K$4:$K$110,0)),IF('Track Data'!O100=3,INDEX(Acceleration!$S$4:$S$110,MATCH('Track Data'!S100,Acceleration!$K$4:$K$110,0)),'Track Data'!AF100)),'Track Data'!U100)</f>
        <v>3.1767563146369739</v>
      </c>
      <c r="AH100" s="16">
        <f>IF(AC100=0,IF(O100=2,INDEX(Acceleration!$R$4:$R$110,MATCH('Track Data'!S100,Acceleration!$K$4:$K$110,0)),IF('Track Data'!O100=1,INDEX(Acceleration!$Q$4:$Q$110,MATCH('Track Data'!S100,Acceleration!$K$4:$K$110,0)),'Track Data'!AG100)),'Track Data'!U100)</f>
        <v>3.1767563146369739</v>
      </c>
    </row>
    <row r="101" spans="2:34" x14ac:dyDescent="0.25">
      <c r="B101" s="16">
        <v>197.40899999999999</v>
      </c>
      <c r="C101" s="16">
        <v>7371</v>
      </c>
      <c r="D101" s="16">
        <v>98</v>
      </c>
      <c r="E101" s="113">
        <v>218</v>
      </c>
      <c r="F101" s="113">
        <v>218.6</v>
      </c>
      <c r="G101" s="113">
        <v>215.1</v>
      </c>
      <c r="H101" s="113">
        <f t="shared" si="11"/>
        <v>59.75</v>
      </c>
      <c r="I101" s="113">
        <v>9.6</v>
      </c>
      <c r="J101" s="113">
        <v>32.770000000000003</v>
      </c>
      <c r="K101" s="113">
        <v>-9.3000000000000007</v>
      </c>
      <c r="L101" s="189"/>
      <c r="M101" s="16">
        <v>98</v>
      </c>
      <c r="N101" s="16">
        <f t="shared" si="13"/>
        <v>1.6198096165917542E-2</v>
      </c>
      <c r="O101" s="16">
        <v>6</v>
      </c>
      <c r="P101" s="16">
        <f t="shared" si="8"/>
        <v>7.3113821138211375</v>
      </c>
      <c r="Q101" s="16">
        <f t="shared" si="14"/>
        <v>61.735650273771228</v>
      </c>
      <c r="R101" s="113">
        <f t="shared" si="9"/>
        <v>311.95699999999999</v>
      </c>
      <c r="S101" s="16">
        <f>IF(S100=15800,15800,ROUND((((Q101*60)/'Gearing Calculator'!$C$14)*'Track Data'!P101),-2))</f>
        <v>13700</v>
      </c>
      <c r="T101" s="16">
        <f t="shared" si="12"/>
        <v>3.1767563146369739</v>
      </c>
      <c r="U101" s="16">
        <f>IF(AC101=100,Braking!$AG$2354,IF(AC101=50,Braking!$AG$1179,IF(AC101=75,Braking!$AG$1767,0)))</f>
        <v>0</v>
      </c>
      <c r="V101" s="16">
        <f>0.5*'Gearing Calculator'!$C$15*'Gearing Calculator'!$C$20*'Gearing Calculator'!$W$20*('Track Data'!Q101^2)</f>
        <v>403.38698807853518</v>
      </c>
      <c r="W101" s="16">
        <f>('Gearing Calculator'!$U$9*'Track Data'!T101)+'Track Data'!V101</f>
        <v>1249.0395190348977</v>
      </c>
      <c r="X101" s="16">
        <f>('Gearing Calculator'!$U$9*9.81)*('Gearing Calculator'!$U$16/'Gearing Calculator'!$C$7)-(('Track Data'!W101)*('Gearing Calculator'!$U$17/'Gearing Calculator'!$C$7))</f>
        <v>720.35046055438727</v>
      </c>
      <c r="Y101" s="16">
        <f>('Gearing Calculator'!$U$9*9.81)*(('Gearing Calculator'!$C$7-'Gearing Calculator'!$U$16)/'Gearing Calculator'!$C$7)+(('Track Data'!W101)*('Gearing Calculator'!$U$17/'Gearing Calculator'!$C$7))</f>
        <v>1891.0715394456129</v>
      </c>
      <c r="Z101" s="16">
        <f>((X101*COS('Gearing Calculator'!$C$21))/'Gearing Calculator'!$C$22)/2</f>
        <v>22.270957965940859</v>
      </c>
      <c r="AA101" s="16">
        <f>Y101/'Gearing Calculator'!$C$24</f>
        <v>26.40570143195033</v>
      </c>
      <c r="AB101" s="16">
        <f t="shared" si="10"/>
        <v>422.44752596635703</v>
      </c>
      <c r="AC101" s="16">
        <v>0</v>
      </c>
      <c r="AD101" s="16">
        <v>0</v>
      </c>
      <c r="AE101" s="16">
        <v>98</v>
      </c>
      <c r="AF101" s="16">
        <f>IF(AC101=0,IF(O101=6,INDEX(Acceleration!$V$4:$V$110,MATCH('Track Data'!S101,Acceleration!$K$4:$K$110,0)),IF('Track Data'!O101=5,INDEX(Acceleration!$U$4:$U$110,MATCH('Track Data'!S101,Acceleration!$K$4:$K$110,0)),1)),U101)</f>
        <v>3.1767563146369739</v>
      </c>
      <c r="AG101" s="16">
        <f>IF(AC101=0,IF(O101=4,INDEX(Acceleration!$T$4:$T$110,MATCH('Track Data'!S101,Acceleration!$K$4:$K$110,0)),IF('Track Data'!O101=3,INDEX(Acceleration!$S$4:$S$110,MATCH('Track Data'!S101,Acceleration!$K$4:$K$110,0)),'Track Data'!AF101)),'Track Data'!U101)</f>
        <v>3.1767563146369739</v>
      </c>
      <c r="AH101" s="16">
        <f>IF(AC101=0,IF(O101=2,INDEX(Acceleration!$R$4:$R$110,MATCH('Track Data'!S101,Acceleration!$K$4:$K$110,0)),IF('Track Data'!O101=1,INDEX(Acceleration!$Q$4:$Q$110,MATCH('Track Data'!S101,Acceleration!$K$4:$K$110,0)),'Track Data'!AG101)),'Track Data'!U101)</f>
        <v>3.1767563146369739</v>
      </c>
    </row>
    <row r="102" spans="2:34" x14ac:dyDescent="0.25">
      <c r="B102" s="16">
        <v>197.42599999999999</v>
      </c>
      <c r="C102" s="16">
        <v>7372</v>
      </c>
      <c r="D102" s="16">
        <v>99</v>
      </c>
      <c r="E102" s="113">
        <v>219</v>
      </c>
      <c r="F102" s="113">
        <v>218.2</v>
      </c>
      <c r="G102" s="113">
        <v>215.2</v>
      </c>
      <c r="H102" s="113">
        <f t="shared" si="11"/>
        <v>59.777777777777771</v>
      </c>
      <c r="I102" s="113">
        <v>8.3000000000000007</v>
      </c>
      <c r="J102" s="113">
        <v>31.01</v>
      </c>
      <c r="K102" s="113">
        <v>-9.3000000000000007</v>
      </c>
      <c r="L102" s="189"/>
      <c r="M102" s="16">
        <v>99</v>
      </c>
      <c r="N102" s="16">
        <f t="shared" si="13"/>
        <v>1.6184611715498214E-2</v>
      </c>
      <c r="O102" s="16">
        <v>6</v>
      </c>
      <c r="P102" s="16">
        <f t="shared" si="8"/>
        <v>7.3113821138211375</v>
      </c>
      <c r="Q102" s="16">
        <f t="shared" si="14"/>
        <v>61.787086250726077</v>
      </c>
      <c r="R102" s="113">
        <f t="shared" si="9"/>
        <v>311.95699999999999</v>
      </c>
      <c r="S102" s="16">
        <f>IF(S101=15800,15800,ROUND((((Q102*60)/'Gearing Calculator'!$C$14)*'Track Data'!P102),-2))</f>
        <v>13700</v>
      </c>
      <c r="T102" s="16">
        <f t="shared" si="12"/>
        <v>3.1767563146369739</v>
      </c>
      <c r="U102" s="16">
        <f>IF(AC102=100,Braking!$AG$2354,IF(AC102=50,Braking!$AG$1179,IF(AC102=75,Braking!$AG$1767,0)))</f>
        <v>0</v>
      </c>
      <c r="V102" s="16">
        <f>0.5*'Gearing Calculator'!$C$15*'Gearing Calculator'!$C$20*'Gearing Calculator'!$W$20*('Track Data'!Q102^2)</f>
        <v>404.05944385521752</v>
      </c>
      <c r="W102" s="16">
        <f>('Gearing Calculator'!$U$9*'Track Data'!T102)+'Track Data'!V102</f>
        <v>1249.7119748115799</v>
      </c>
      <c r="X102" s="16">
        <f>('Gearing Calculator'!$U$9*9.81)*('Gearing Calculator'!$U$16/'Gearing Calculator'!$C$7)-(('Track Data'!W102)*('Gearing Calculator'!$U$17/'Gearing Calculator'!$C$7))</f>
        <v>719.98392623158009</v>
      </c>
      <c r="Y102" s="16">
        <f>('Gearing Calculator'!$U$9*9.81)*(('Gearing Calculator'!$C$7-'Gearing Calculator'!$U$16)/'Gearing Calculator'!$C$7)+(('Track Data'!W102)*('Gearing Calculator'!$U$17/'Gearing Calculator'!$C$7))</f>
        <v>1891.4380737684201</v>
      </c>
      <c r="Z102" s="16">
        <f>((X102*COS('Gearing Calculator'!$C$21))/'Gearing Calculator'!$C$22)/2</f>
        <v>22.259625883928955</v>
      </c>
      <c r="AA102" s="16">
        <f>Y102/'Gearing Calculator'!$C$24</f>
        <v>26.410819480469765</v>
      </c>
      <c r="AB102" s="16">
        <f t="shared" si="10"/>
        <v>423.11998174303938</v>
      </c>
      <c r="AC102" s="16">
        <v>0</v>
      </c>
      <c r="AD102" s="16">
        <v>0</v>
      </c>
      <c r="AE102" s="16">
        <v>99</v>
      </c>
      <c r="AF102" s="16">
        <f>IF(AC102=0,IF(O102=6,INDEX(Acceleration!$V$4:$V$110,MATCH('Track Data'!S102,Acceleration!$K$4:$K$110,0)),IF('Track Data'!O102=5,INDEX(Acceleration!$U$4:$U$110,MATCH('Track Data'!S102,Acceleration!$K$4:$K$110,0)),1)),U102)</f>
        <v>3.1767563146369739</v>
      </c>
      <c r="AG102" s="16">
        <f>IF(AC102=0,IF(O102=4,INDEX(Acceleration!$T$4:$T$110,MATCH('Track Data'!S102,Acceleration!$K$4:$K$110,0)),IF('Track Data'!O102=3,INDEX(Acceleration!$S$4:$S$110,MATCH('Track Data'!S102,Acceleration!$K$4:$K$110,0)),'Track Data'!AF102)),'Track Data'!U102)</f>
        <v>3.1767563146369739</v>
      </c>
      <c r="AH102" s="16">
        <f>IF(AC102=0,IF(O102=2,INDEX(Acceleration!$R$4:$R$110,MATCH('Track Data'!S102,Acceleration!$K$4:$K$110,0)),IF('Track Data'!O102=1,INDEX(Acceleration!$Q$4:$Q$110,MATCH('Track Data'!S102,Acceleration!$K$4:$K$110,0)),'Track Data'!AG102)),'Track Data'!U102)</f>
        <v>3.1767563146369739</v>
      </c>
    </row>
    <row r="103" spans="2:34" x14ac:dyDescent="0.25">
      <c r="B103" s="16">
        <v>197.44200000000001</v>
      </c>
      <c r="C103" s="16">
        <v>7373</v>
      </c>
      <c r="D103" s="16">
        <v>100</v>
      </c>
      <c r="E103" s="113">
        <v>219</v>
      </c>
      <c r="F103" s="113">
        <v>217.9</v>
      </c>
      <c r="G103" s="113">
        <v>215.3</v>
      </c>
      <c r="H103" s="113">
        <f t="shared" si="11"/>
        <v>59.805555555555557</v>
      </c>
      <c r="I103" s="113">
        <v>6.8</v>
      </c>
      <c r="J103" s="113">
        <v>28.6</v>
      </c>
      <c r="K103" s="113">
        <v>-8.9</v>
      </c>
      <c r="L103" s="189"/>
      <c r="M103" s="16">
        <v>100</v>
      </c>
      <c r="N103" s="16">
        <f t="shared" si="13"/>
        <v>1.6171160885361451E-2</v>
      </c>
      <c r="O103" s="16">
        <v>6</v>
      </c>
      <c r="P103" s="16">
        <f t="shared" si="8"/>
        <v>7.3113821138211375</v>
      </c>
      <c r="Q103" s="16">
        <f t="shared" si="14"/>
        <v>61.838479444306657</v>
      </c>
      <c r="R103" s="113">
        <f t="shared" si="9"/>
        <v>311.95699999999999</v>
      </c>
      <c r="S103" s="16">
        <f>IF(S102=15800,15800,ROUND((((Q103*60)/'Gearing Calculator'!$C$14)*'Track Data'!P103),-2))</f>
        <v>13700</v>
      </c>
      <c r="T103" s="16">
        <f t="shared" si="12"/>
        <v>3.1767563146369739</v>
      </c>
      <c r="U103" s="16">
        <f>IF(AC103=100,Braking!$AG$2354,IF(AC103=50,Braking!$AG$1179,IF(AC103=75,Braking!$AG$1767,0)))</f>
        <v>0</v>
      </c>
      <c r="V103" s="16">
        <f>0.5*'Gearing Calculator'!$C$15*'Gearing Calculator'!$C$20*'Gearing Calculator'!$W$20*('Track Data'!Q103^2)</f>
        <v>404.73189963189981</v>
      </c>
      <c r="W103" s="16">
        <f>('Gearing Calculator'!$U$9*'Track Data'!T103)+'Track Data'!V103</f>
        <v>1250.3844305882621</v>
      </c>
      <c r="X103" s="16">
        <f>('Gearing Calculator'!$U$9*9.81)*('Gearing Calculator'!$U$16/'Gearing Calculator'!$C$7)-(('Track Data'!W103)*('Gearing Calculator'!$U$17/'Gearing Calculator'!$C$7))</f>
        <v>719.61739190877302</v>
      </c>
      <c r="Y103" s="16">
        <f>('Gearing Calculator'!$U$9*9.81)*(('Gearing Calculator'!$C$7-'Gearing Calculator'!$U$16)/'Gearing Calculator'!$C$7)+(('Track Data'!W103)*('Gearing Calculator'!$U$17/'Gearing Calculator'!$C$7))</f>
        <v>1891.804608091227</v>
      </c>
      <c r="Z103" s="16">
        <f>((X103*COS('Gearing Calculator'!$C$21))/'Gearing Calculator'!$C$22)/2</f>
        <v>22.248293801917058</v>
      </c>
      <c r="AA103" s="16">
        <f>Y103/'Gearing Calculator'!$C$24</f>
        <v>26.4159375289892</v>
      </c>
      <c r="AB103" s="16">
        <f t="shared" si="10"/>
        <v>423.79243751972166</v>
      </c>
      <c r="AC103" s="16">
        <v>0</v>
      </c>
      <c r="AD103" s="16">
        <v>0</v>
      </c>
      <c r="AE103" s="16">
        <v>100</v>
      </c>
      <c r="AF103" s="16">
        <f>IF(AC103=0,IF(O103=6,INDEX(Acceleration!$V$4:$V$110,MATCH('Track Data'!S103,Acceleration!$K$4:$K$110,0)),IF('Track Data'!O103=5,INDEX(Acceleration!$U$4:$U$110,MATCH('Track Data'!S103,Acceleration!$K$4:$K$110,0)),1)),U103)</f>
        <v>3.1767563146369739</v>
      </c>
      <c r="AG103" s="16">
        <f>IF(AC103=0,IF(O103=4,INDEX(Acceleration!$T$4:$T$110,MATCH('Track Data'!S103,Acceleration!$K$4:$K$110,0)),IF('Track Data'!O103=3,INDEX(Acceleration!$S$4:$S$110,MATCH('Track Data'!S103,Acceleration!$K$4:$K$110,0)),'Track Data'!AF103)),'Track Data'!U103)</f>
        <v>3.1767563146369739</v>
      </c>
      <c r="AH103" s="16">
        <f>IF(AC103=0,IF(O103=2,INDEX(Acceleration!$R$4:$R$110,MATCH('Track Data'!S103,Acceleration!$K$4:$K$110,0)),IF('Track Data'!O103=1,INDEX(Acceleration!$Q$4:$Q$110,MATCH('Track Data'!S103,Acceleration!$K$4:$K$110,0)),'Track Data'!AG103)),'Track Data'!U103)</f>
        <v>3.1767563146369739</v>
      </c>
    </row>
    <row r="104" spans="2:34" x14ac:dyDescent="0.25">
      <c r="B104" s="16">
        <v>197.459</v>
      </c>
      <c r="C104" s="16">
        <v>7374</v>
      </c>
      <c r="D104" s="16">
        <v>101</v>
      </c>
      <c r="E104" s="113">
        <v>219</v>
      </c>
      <c r="F104" s="113">
        <v>218</v>
      </c>
      <c r="G104" s="113">
        <v>215.3</v>
      </c>
      <c r="H104" s="113">
        <f t="shared" si="11"/>
        <v>59.805555555555557</v>
      </c>
      <c r="I104" s="113">
        <v>6.1</v>
      </c>
      <c r="J104" s="113">
        <v>26.02</v>
      </c>
      <c r="K104" s="113">
        <v>-7.9</v>
      </c>
      <c r="L104" s="189"/>
      <c r="M104" s="16">
        <v>101</v>
      </c>
      <c r="N104" s="16">
        <f t="shared" si="13"/>
        <v>1.6157743536032051E-2</v>
      </c>
      <c r="O104" s="16">
        <v>6</v>
      </c>
      <c r="P104" s="16">
        <f t="shared" si="8"/>
        <v>7.3113821138211375</v>
      </c>
      <c r="Q104" s="16">
        <f t="shared" si="14"/>
        <v>61.889829961094662</v>
      </c>
      <c r="R104" s="113">
        <f t="shared" si="9"/>
        <v>311.95699999999999</v>
      </c>
      <c r="S104" s="16">
        <f>IF(S103=15800,15800,ROUND((((Q104*60)/'Gearing Calculator'!$C$14)*'Track Data'!P104),-2))</f>
        <v>13700</v>
      </c>
      <c r="T104" s="16">
        <f t="shared" si="12"/>
        <v>3.1767563146369739</v>
      </c>
      <c r="U104" s="16">
        <f>IF(AC104=100,Braking!$AG$2354,IF(AC104=50,Braking!$AG$1179,IF(AC104=75,Braking!$AG$1767,0)))</f>
        <v>0</v>
      </c>
      <c r="V104" s="16">
        <f>0.5*'Gearing Calculator'!$C$15*'Gearing Calculator'!$C$20*'Gearing Calculator'!$W$20*('Track Data'!Q104^2)</f>
        <v>405.40435540858215</v>
      </c>
      <c r="W104" s="16">
        <f>('Gearing Calculator'!$U$9*'Track Data'!T104)+'Track Data'!V104</f>
        <v>1251.0568863649446</v>
      </c>
      <c r="X104" s="16">
        <f>('Gearing Calculator'!$U$9*9.81)*('Gearing Calculator'!$U$16/'Gearing Calculator'!$C$7)-(('Track Data'!W104)*('Gearing Calculator'!$U$17/'Gearing Calculator'!$C$7))</f>
        <v>719.25085758596572</v>
      </c>
      <c r="Y104" s="16">
        <f>('Gearing Calculator'!$U$9*9.81)*(('Gearing Calculator'!$C$7-'Gearing Calculator'!$U$16)/'Gearing Calculator'!$C$7)+(('Track Data'!W104)*('Gearing Calculator'!$U$17/'Gearing Calculator'!$C$7))</f>
        <v>1892.1711424140344</v>
      </c>
      <c r="Z104" s="16">
        <f>((X104*COS('Gearing Calculator'!$C$21))/'Gearing Calculator'!$C$22)/2</f>
        <v>22.236961719905153</v>
      </c>
      <c r="AA104" s="16">
        <f>Y104/'Gearing Calculator'!$C$24</f>
        <v>26.421055577508639</v>
      </c>
      <c r="AB104" s="16">
        <f t="shared" si="10"/>
        <v>424.464893296404</v>
      </c>
      <c r="AC104" s="16">
        <v>0</v>
      </c>
      <c r="AD104" s="16">
        <v>0</v>
      </c>
      <c r="AE104" s="16">
        <v>101</v>
      </c>
      <c r="AF104" s="16">
        <f>IF(AC104=0,IF(O104=6,INDEX(Acceleration!$V$4:$V$110,MATCH('Track Data'!S104,Acceleration!$K$4:$K$110,0)),IF('Track Data'!O104=5,INDEX(Acceleration!$U$4:$U$110,MATCH('Track Data'!S104,Acceleration!$K$4:$K$110,0)),1)),U104)</f>
        <v>3.1767563146369739</v>
      </c>
      <c r="AG104" s="16">
        <f>IF(AC104=0,IF(O104=4,INDEX(Acceleration!$T$4:$T$110,MATCH('Track Data'!S104,Acceleration!$K$4:$K$110,0)),IF('Track Data'!O104=3,INDEX(Acceleration!$S$4:$S$110,MATCH('Track Data'!S104,Acceleration!$K$4:$K$110,0)),'Track Data'!AF104)),'Track Data'!U104)</f>
        <v>3.1767563146369739</v>
      </c>
      <c r="AH104" s="16">
        <f>IF(AC104=0,IF(O104=2,INDEX(Acceleration!$R$4:$R$110,MATCH('Track Data'!S104,Acceleration!$K$4:$K$110,0)),IF('Track Data'!O104=1,INDEX(Acceleration!$Q$4:$Q$110,MATCH('Track Data'!S104,Acceleration!$K$4:$K$110,0)),'Track Data'!AG104)),'Track Data'!U104)</f>
        <v>3.1767563146369739</v>
      </c>
    </row>
    <row r="105" spans="2:34" x14ac:dyDescent="0.25">
      <c r="B105" s="16">
        <v>197.47499999999999</v>
      </c>
      <c r="C105" s="16">
        <v>7375</v>
      </c>
      <c r="D105" s="16">
        <v>102</v>
      </c>
      <c r="E105" s="113">
        <v>219</v>
      </c>
      <c r="F105" s="113">
        <v>218.2</v>
      </c>
      <c r="G105" s="113">
        <v>215.3</v>
      </c>
      <c r="H105" s="113">
        <f t="shared" si="11"/>
        <v>59.805555555555557</v>
      </c>
      <c r="I105" s="113">
        <v>4.0999999999999996</v>
      </c>
      <c r="J105" s="113">
        <v>22.03</v>
      </c>
      <c r="K105" s="113">
        <v>-5.9</v>
      </c>
      <c r="L105" s="189"/>
      <c r="M105" s="16">
        <v>102</v>
      </c>
      <c r="N105" s="16">
        <f t="shared" si="13"/>
        <v>1.6144359528843535E-2</v>
      </c>
      <c r="O105" s="16">
        <v>6</v>
      </c>
      <c r="P105" s="16">
        <f t="shared" si="8"/>
        <v>7.3113821138211375</v>
      </c>
      <c r="Q105" s="16">
        <f t="shared" si="14"/>
        <v>61.941137907229994</v>
      </c>
      <c r="R105" s="113">
        <f t="shared" si="9"/>
        <v>311.95699999999999</v>
      </c>
      <c r="S105" s="16">
        <f>IF(S104=15800,15800,ROUND((((Q105*60)/'Gearing Calculator'!$C$14)*'Track Data'!P105),-2))</f>
        <v>13700</v>
      </c>
      <c r="T105" s="16">
        <f t="shared" si="12"/>
        <v>3.1767563146369739</v>
      </c>
      <c r="U105" s="16">
        <f>IF(AC105=100,Braking!$AG$2354,IF(AC105=50,Braking!$AG$1179,IF(AC105=75,Braking!$AG$1767,0)))</f>
        <v>0</v>
      </c>
      <c r="V105" s="16">
        <f>0.5*'Gearing Calculator'!$C$15*'Gearing Calculator'!$C$20*'Gearing Calculator'!$W$20*('Track Data'!Q105^2)</f>
        <v>406.07681118526449</v>
      </c>
      <c r="W105" s="16">
        <f>('Gearing Calculator'!$U$9*'Track Data'!T105)+'Track Data'!V105</f>
        <v>1251.7293421416268</v>
      </c>
      <c r="X105" s="16">
        <f>('Gearing Calculator'!$U$9*9.81)*('Gearing Calculator'!$U$16/'Gearing Calculator'!$C$7)-(('Track Data'!W105)*('Gearing Calculator'!$U$17/'Gearing Calculator'!$C$7))</f>
        <v>718.88432326315854</v>
      </c>
      <c r="Y105" s="16">
        <f>('Gearing Calculator'!$U$9*9.81)*(('Gearing Calculator'!$C$7-'Gearing Calculator'!$U$16)/'Gearing Calculator'!$C$7)+(('Track Data'!W105)*('Gearing Calculator'!$U$17/'Gearing Calculator'!$C$7))</f>
        <v>1892.5376767368416</v>
      </c>
      <c r="Z105" s="16">
        <f>((X105*COS('Gearing Calculator'!$C$21))/'Gearing Calculator'!$C$22)/2</f>
        <v>22.225629637893253</v>
      </c>
      <c r="AA105" s="16">
        <f>Y105/'Gearing Calculator'!$C$24</f>
        <v>26.426173626028078</v>
      </c>
      <c r="AB105" s="16">
        <f t="shared" si="10"/>
        <v>425.13734907308634</v>
      </c>
      <c r="AC105" s="16">
        <v>0</v>
      </c>
      <c r="AD105" s="16">
        <v>0</v>
      </c>
      <c r="AE105" s="16">
        <v>102</v>
      </c>
      <c r="AF105" s="16">
        <f>IF(AC105=0,IF(O105=6,INDEX(Acceleration!$V$4:$V$110,MATCH('Track Data'!S105,Acceleration!$K$4:$K$110,0)),IF('Track Data'!O105=5,INDEX(Acceleration!$U$4:$U$110,MATCH('Track Data'!S105,Acceleration!$K$4:$K$110,0)),1)),U105)</f>
        <v>3.1767563146369739</v>
      </c>
      <c r="AG105" s="16">
        <f>IF(AC105=0,IF(O105=4,INDEX(Acceleration!$T$4:$T$110,MATCH('Track Data'!S105,Acceleration!$K$4:$K$110,0)),IF('Track Data'!O105=3,INDEX(Acceleration!$S$4:$S$110,MATCH('Track Data'!S105,Acceleration!$K$4:$K$110,0)),'Track Data'!AF105)),'Track Data'!U105)</f>
        <v>3.1767563146369739</v>
      </c>
      <c r="AH105" s="16">
        <f>IF(AC105=0,IF(O105=2,INDEX(Acceleration!$R$4:$R$110,MATCH('Track Data'!S105,Acceleration!$K$4:$K$110,0)),IF('Track Data'!O105=1,INDEX(Acceleration!$Q$4:$Q$110,MATCH('Track Data'!S105,Acceleration!$K$4:$K$110,0)),'Track Data'!AG105)),'Track Data'!U105)</f>
        <v>3.1767563146369739</v>
      </c>
    </row>
    <row r="106" spans="2:34" x14ac:dyDescent="0.25">
      <c r="B106" s="16">
        <v>197.49199999999999</v>
      </c>
      <c r="C106" s="16">
        <v>7376</v>
      </c>
      <c r="D106" s="16">
        <v>103</v>
      </c>
      <c r="E106" s="113">
        <v>219</v>
      </c>
      <c r="F106" s="113">
        <v>218.4</v>
      </c>
      <c r="G106" s="113">
        <v>215.4</v>
      </c>
      <c r="H106" s="113">
        <f t="shared" si="11"/>
        <v>59.833333333333336</v>
      </c>
      <c r="I106" s="113">
        <v>2.2000000000000002</v>
      </c>
      <c r="J106" s="113">
        <v>19.34</v>
      </c>
      <c r="K106" s="113">
        <v>-3.9</v>
      </c>
      <c r="L106" s="189"/>
      <c r="M106" s="16">
        <v>103</v>
      </c>
      <c r="N106" s="16">
        <f t="shared" si="13"/>
        <v>1.6131008725932133E-2</v>
      </c>
      <c r="O106" s="16">
        <v>6</v>
      </c>
      <c r="P106" s="16">
        <f t="shared" si="8"/>
        <v>7.3113821138211375</v>
      </c>
      <c r="Q106" s="16">
        <f t="shared" si="14"/>
        <v>61.992403388413315</v>
      </c>
      <c r="R106" s="113">
        <f t="shared" si="9"/>
        <v>311.95699999999999</v>
      </c>
      <c r="S106" s="16">
        <f>IF(S105=15800,15800,ROUND((((Q106*60)/'Gearing Calculator'!$C$14)*'Track Data'!P106),-2))</f>
        <v>13700</v>
      </c>
      <c r="T106" s="16">
        <f t="shared" si="12"/>
        <v>3.1767563146369739</v>
      </c>
      <c r="U106" s="16">
        <f>IF(AC106=100,Braking!$AG$2354,IF(AC106=50,Braking!$AG$1179,IF(AC106=75,Braking!$AG$1767,0)))</f>
        <v>0</v>
      </c>
      <c r="V106" s="16">
        <f>0.5*'Gearing Calculator'!$C$15*'Gearing Calculator'!$C$20*'Gearing Calculator'!$W$20*('Track Data'!Q106^2)</f>
        <v>406.74926696194689</v>
      </c>
      <c r="W106" s="16">
        <f>('Gearing Calculator'!$U$9*'Track Data'!T106)+'Track Data'!V106</f>
        <v>1252.4017979183093</v>
      </c>
      <c r="X106" s="16">
        <f>('Gearing Calculator'!$U$9*9.81)*('Gearing Calculator'!$U$16/'Gearing Calculator'!$C$7)-(('Track Data'!W106)*('Gearing Calculator'!$U$17/'Gearing Calculator'!$C$7))</f>
        <v>718.51778894035124</v>
      </c>
      <c r="Y106" s="16">
        <f>('Gearing Calculator'!$U$9*9.81)*(('Gearing Calculator'!$C$7-'Gearing Calculator'!$U$16)/'Gearing Calculator'!$C$7)+(('Track Data'!W106)*('Gearing Calculator'!$U$17/'Gearing Calculator'!$C$7))</f>
        <v>1892.9042110596488</v>
      </c>
      <c r="Z106" s="16">
        <f>((X106*COS('Gearing Calculator'!$C$21))/'Gearing Calculator'!$C$22)/2</f>
        <v>22.214297555881348</v>
      </c>
      <c r="AA106" s="16">
        <f>Y106/'Gearing Calculator'!$C$24</f>
        <v>26.431291674547513</v>
      </c>
      <c r="AB106" s="16">
        <f t="shared" si="10"/>
        <v>425.80980484976874</v>
      </c>
      <c r="AC106" s="16">
        <v>0</v>
      </c>
      <c r="AD106" s="16">
        <v>0</v>
      </c>
      <c r="AE106" s="16">
        <v>103</v>
      </c>
      <c r="AF106" s="16">
        <f>IF(AC106=0,IF(O106=6,INDEX(Acceleration!$V$4:$V$110,MATCH('Track Data'!S106,Acceleration!$K$4:$K$110,0)),IF('Track Data'!O106=5,INDEX(Acceleration!$U$4:$U$110,MATCH('Track Data'!S106,Acceleration!$K$4:$K$110,0)),1)),U106)</f>
        <v>3.1767563146369739</v>
      </c>
      <c r="AG106" s="16">
        <f>IF(AC106=0,IF(O106=4,INDEX(Acceleration!$T$4:$T$110,MATCH('Track Data'!S106,Acceleration!$K$4:$K$110,0)),IF('Track Data'!O106=3,INDEX(Acceleration!$S$4:$S$110,MATCH('Track Data'!S106,Acceleration!$K$4:$K$110,0)),'Track Data'!AF106)),'Track Data'!U106)</f>
        <v>3.1767563146369739</v>
      </c>
      <c r="AH106" s="16">
        <f>IF(AC106=0,IF(O106=2,INDEX(Acceleration!$R$4:$R$110,MATCH('Track Data'!S106,Acceleration!$K$4:$K$110,0)),IF('Track Data'!O106=1,INDEX(Acceleration!$Q$4:$Q$110,MATCH('Track Data'!S106,Acceleration!$K$4:$K$110,0)),'Track Data'!AG106)),'Track Data'!U106)</f>
        <v>3.1767563146369739</v>
      </c>
    </row>
    <row r="107" spans="2:34" x14ac:dyDescent="0.25">
      <c r="B107" s="16">
        <v>197.50800000000001</v>
      </c>
      <c r="C107" s="16">
        <v>7377</v>
      </c>
      <c r="D107" s="16">
        <v>104</v>
      </c>
      <c r="E107" s="113">
        <v>218</v>
      </c>
      <c r="F107" s="113">
        <v>218.4</v>
      </c>
      <c r="G107" s="113">
        <v>215.4</v>
      </c>
      <c r="H107" s="113">
        <f t="shared" si="11"/>
        <v>59.833333333333336</v>
      </c>
      <c r="I107" s="113">
        <v>1.5</v>
      </c>
      <c r="J107" s="113">
        <v>19.97</v>
      </c>
      <c r="K107" s="113">
        <v>-2.9</v>
      </c>
      <c r="L107" s="189"/>
      <c r="M107" s="16">
        <v>104</v>
      </c>
      <c r="N107" s="16">
        <f t="shared" si="13"/>
        <v>1.6117690990230821E-2</v>
      </c>
      <c r="O107" s="16">
        <v>6</v>
      </c>
      <c r="P107" s="16">
        <f t="shared" si="8"/>
        <v>7.3113821138211375</v>
      </c>
      <c r="Q107" s="16">
        <f t="shared" si="14"/>
        <v>62.043626509908599</v>
      </c>
      <c r="R107" s="113">
        <f t="shared" si="9"/>
        <v>311.95699999999999</v>
      </c>
      <c r="S107" s="16">
        <f>IF(S106=15800,15800,ROUND((((Q107*60)/'Gearing Calculator'!$C$14)*'Track Data'!P107),-2))</f>
        <v>13800</v>
      </c>
      <c r="T107" s="16">
        <f t="shared" si="12"/>
        <v>3.1502815181544812</v>
      </c>
      <c r="U107" s="16">
        <f>IF(AC107=100,Braking!$AG$2354,IF(AC107=50,Braking!$AG$1179,IF(AC107=75,Braking!$AG$1767,0)))</f>
        <v>0</v>
      </c>
      <c r="V107" s="16">
        <f>0.5*'Gearing Calculator'!$C$15*'Gearing Calculator'!$C$20*'Gearing Calculator'!$W$20*('Track Data'!Q107^2)</f>
        <v>407.42172273862928</v>
      </c>
      <c r="W107" s="16">
        <f>('Gearing Calculator'!$U$9*'Track Data'!T107)+'Track Data'!V107</f>
        <v>1246.0266628713521</v>
      </c>
      <c r="X107" s="16">
        <f>('Gearing Calculator'!$U$9*9.81)*('Gearing Calculator'!$U$16/'Gearing Calculator'!$C$7)-(('Track Data'!W107)*('Gearing Calculator'!$U$17/'Gearing Calculator'!$C$7))</f>
        <v>721.99267292271452</v>
      </c>
      <c r="Y107" s="16">
        <f>('Gearing Calculator'!$U$9*9.81)*(('Gearing Calculator'!$C$7-'Gearing Calculator'!$U$16)/'Gearing Calculator'!$C$7)+(('Track Data'!W107)*('Gearing Calculator'!$U$17/'Gearing Calculator'!$C$7))</f>
        <v>1889.4293270772855</v>
      </c>
      <c r="Z107" s="16">
        <f>((X107*COS('Gearing Calculator'!$C$21))/'Gearing Calculator'!$C$22)/2</f>
        <v>22.321729978494325</v>
      </c>
      <c r="AA107" s="16">
        <f>Y107/'Gearing Calculator'!$C$24</f>
        <v>26.382770639232344</v>
      </c>
      <c r="AB107" s="16">
        <f t="shared" si="10"/>
        <v>426.32341184755614</v>
      </c>
      <c r="AC107" s="16">
        <v>0</v>
      </c>
      <c r="AD107" s="16">
        <v>0</v>
      </c>
      <c r="AE107" s="16">
        <v>104</v>
      </c>
      <c r="AF107" s="16">
        <f>IF(AC107=0,IF(O107=6,INDEX(Acceleration!$V$4:$V$110,MATCH('Track Data'!S107,Acceleration!$K$4:$K$110,0)),IF('Track Data'!O107=5,INDEX(Acceleration!$U$4:$U$110,MATCH('Track Data'!S107,Acceleration!$K$4:$K$110,0)),1)),U107)</f>
        <v>3.1502815181544812</v>
      </c>
      <c r="AG107" s="16">
        <f>IF(AC107=0,IF(O107=4,INDEX(Acceleration!$T$4:$T$110,MATCH('Track Data'!S107,Acceleration!$K$4:$K$110,0)),IF('Track Data'!O107=3,INDEX(Acceleration!$S$4:$S$110,MATCH('Track Data'!S107,Acceleration!$K$4:$K$110,0)),'Track Data'!AF107)),'Track Data'!U107)</f>
        <v>3.1502815181544812</v>
      </c>
      <c r="AH107" s="16">
        <f>IF(AC107=0,IF(O107=2,INDEX(Acceleration!$R$4:$R$110,MATCH('Track Data'!S107,Acceleration!$K$4:$K$110,0)),IF('Track Data'!O107=1,INDEX(Acceleration!$Q$4:$Q$110,MATCH('Track Data'!S107,Acceleration!$K$4:$K$110,0)),'Track Data'!AG107)),'Track Data'!U107)</f>
        <v>3.1502815181544812</v>
      </c>
    </row>
    <row r="108" spans="2:34" x14ac:dyDescent="0.25">
      <c r="B108" s="16">
        <v>197.524</v>
      </c>
      <c r="C108" s="16">
        <v>7378</v>
      </c>
      <c r="D108" s="16">
        <v>105</v>
      </c>
      <c r="E108" s="113">
        <v>218</v>
      </c>
      <c r="F108" s="113">
        <v>218.4</v>
      </c>
      <c r="G108" s="113">
        <v>215.4</v>
      </c>
      <c r="H108" s="113">
        <f t="shared" si="11"/>
        <v>59.833333333333336</v>
      </c>
      <c r="I108" s="113">
        <v>0.9</v>
      </c>
      <c r="J108" s="113">
        <v>20.29</v>
      </c>
      <c r="K108" s="113">
        <v>-1.1000000000000001</v>
      </c>
      <c r="L108" s="189"/>
      <c r="M108" s="16">
        <v>105</v>
      </c>
      <c r="N108" s="16">
        <f t="shared" si="13"/>
        <v>1.6104516764105032E-2</v>
      </c>
      <c r="O108" s="16">
        <v>6</v>
      </c>
      <c r="P108" s="16">
        <f t="shared" si="8"/>
        <v>7.3113821138211375</v>
      </c>
      <c r="Q108" s="16">
        <f t="shared" si="14"/>
        <v>62.094381014205645</v>
      </c>
      <c r="R108" s="113">
        <f t="shared" si="9"/>
        <v>311.95699999999999</v>
      </c>
      <c r="S108" s="16">
        <f>IF(S107=15800,15800,ROUND((((Q108*60)/'Gearing Calculator'!$C$14)*'Track Data'!P108),-2))</f>
        <v>13800</v>
      </c>
      <c r="T108" s="16">
        <f t="shared" si="12"/>
        <v>3.1502815181544812</v>
      </c>
      <c r="U108" s="16">
        <f>IF(AC108=100,Braking!$AG$2354,IF(AC108=50,Braking!$AG$1179,IF(AC108=75,Braking!$AG$1767,0)))</f>
        <v>0</v>
      </c>
      <c r="V108" s="16">
        <f>0.5*'Gearing Calculator'!$C$15*'Gearing Calculator'!$C$20*'Gearing Calculator'!$W$20*('Track Data'!Q108^2)</f>
        <v>408.08857433039231</v>
      </c>
      <c r="W108" s="16">
        <f>('Gearing Calculator'!$U$9*'Track Data'!T108)+'Track Data'!V108</f>
        <v>1246.6935144631152</v>
      </c>
      <c r="X108" s="16">
        <f>('Gearing Calculator'!$U$9*9.81)*('Gearing Calculator'!$U$16/'Gearing Calculator'!$C$7)-(('Track Data'!W108)*('Gearing Calculator'!$U$17/'Gearing Calculator'!$C$7))</f>
        <v>721.62919326341898</v>
      </c>
      <c r="Y108" s="16">
        <f>('Gearing Calculator'!$U$9*9.81)*(('Gearing Calculator'!$C$7-'Gearing Calculator'!$U$16)/'Gearing Calculator'!$C$7)+(('Track Data'!W108)*('Gearing Calculator'!$U$17/'Gearing Calculator'!$C$7))</f>
        <v>1889.792806736581</v>
      </c>
      <c r="Z108" s="16">
        <f>((X108*COS('Gearing Calculator'!$C$21))/'Gearing Calculator'!$C$22)/2</f>
        <v>22.310492337017131</v>
      </c>
      <c r="AA108" s="16">
        <f>Y108/'Gearing Calculator'!$C$24</f>
        <v>26.387846034403676</v>
      </c>
      <c r="AB108" s="16">
        <f t="shared" si="10"/>
        <v>426.99026343931916</v>
      </c>
      <c r="AC108" s="16">
        <v>0</v>
      </c>
      <c r="AD108" s="16">
        <v>0</v>
      </c>
      <c r="AE108" s="16">
        <v>105</v>
      </c>
      <c r="AF108" s="16">
        <f>IF(AC108=0,IF(O108=6,INDEX(Acceleration!$V$4:$V$110,MATCH('Track Data'!S108,Acceleration!$K$4:$K$110,0)),IF('Track Data'!O108=5,INDEX(Acceleration!$U$4:$U$110,MATCH('Track Data'!S108,Acceleration!$K$4:$K$110,0)),1)),U108)</f>
        <v>3.1502815181544812</v>
      </c>
      <c r="AG108" s="16">
        <f>IF(AC108=0,IF(O108=4,INDEX(Acceleration!$T$4:$T$110,MATCH('Track Data'!S108,Acceleration!$K$4:$K$110,0)),IF('Track Data'!O108=3,INDEX(Acceleration!$S$4:$S$110,MATCH('Track Data'!S108,Acceleration!$K$4:$K$110,0)),'Track Data'!AF108)),'Track Data'!U108)</f>
        <v>3.1502815181544812</v>
      </c>
      <c r="AH108" s="16">
        <f>IF(AC108=0,IF(O108=2,INDEX(Acceleration!$R$4:$R$110,MATCH('Track Data'!S108,Acceleration!$K$4:$K$110,0)),IF('Track Data'!O108=1,INDEX(Acceleration!$Q$4:$Q$110,MATCH('Track Data'!S108,Acceleration!$K$4:$K$110,0)),'Track Data'!AG108)),'Track Data'!U108)</f>
        <v>3.1502815181544812</v>
      </c>
    </row>
    <row r="109" spans="2:34" x14ac:dyDescent="0.25">
      <c r="B109" s="16">
        <v>197.541</v>
      </c>
      <c r="C109" s="16">
        <v>7379</v>
      </c>
      <c r="D109" s="16">
        <v>106</v>
      </c>
      <c r="E109" s="113">
        <v>216</v>
      </c>
      <c r="F109" s="113">
        <v>218.5</v>
      </c>
      <c r="G109" s="113">
        <v>215.4</v>
      </c>
      <c r="H109" s="113">
        <f t="shared" si="11"/>
        <v>59.833333333333336</v>
      </c>
      <c r="I109" s="113">
        <v>1.2</v>
      </c>
      <c r="J109" s="113">
        <v>20.13</v>
      </c>
      <c r="K109" s="113">
        <v>-0.5</v>
      </c>
      <c r="L109" s="189"/>
      <c r="M109" s="16">
        <v>106</v>
      </c>
      <c r="N109" s="16">
        <f t="shared" si="13"/>
        <v>1.6091374790177439E-2</v>
      </c>
      <c r="O109" s="16">
        <v>6</v>
      </c>
      <c r="P109" s="16">
        <f t="shared" si="8"/>
        <v>7.3113821138211375</v>
      </c>
      <c r="Q109" s="16">
        <f t="shared" si="14"/>
        <v>62.145094066817954</v>
      </c>
      <c r="R109" s="113">
        <f t="shared" si="9"/>
        <v>311.95699999999999</v>
      </c>
      <c r="S109" s="16">
        <f>IF(S108=15800,15800,ROUND((((Q109*60)/'Gearing Calculator'!$C$14)*'Track Data'!P109),-2))</f>
        <v>13800</v>
      </c>
      <c r="T109" s="16">
        <f t="shared" si="12"/>
        <v>3.1502815181544812</v>
      </c>
      <c r="U109" s="16">
        <f>IF(AC109=100,Braking!$AG$2354,IF(AC109=50,Braking!$AG$1179,IF(AC109=75,Braking!$AG$1767,0)))</f>
        <v>0</v>
      </c>
      <c r="V109" s="16">
        <f>0.5*'Gearing Calculator'!$C$15*'Gearing Calculator'!$C$20*'Gearing Calculator'!$W$20*('Track Data'!Q109^2)</f>
        <v>408.75542592215533</v>
      </c>
      <c r="W109" s="16">
        <f>('Gearing Calculator'!$U$9*'Track Data'!T109)+'Track Data'!V109</f>
        <v>1247.3603660548781</v>
      </c>
      <c r="X109" s="16">
        <f>('Gearing Calculator'!$U$9*9.81)*('Gearing Calculator'!$U$16/'Gearing Calculator'!$C$7)-(('Track Data'!W109)*('Gearing Calculator'!$U$17/'Gearing Calculator'!$C$7))</f>
        <v>721.26571360412356</v>
      </c>
      <c r="Y109" s="16">
        <f>('Gearing Calculator'!$U$9*9.81)*(('Gearing Calculator'!$C$7-'Gearing Calculator'!$U$16)/'Gearing Calculator'!$C$7)+(('Track Data'!W109)*('Gearing Calculator'!$U$17/'Gearing Calculator'!$C$7))</f>
        <v>1890.1562863958766</v>
      </c>
      <c r="Z109" s="16">
        <f>((X109*COS('Gearing Calculator'!$C$21))/'Gearing Calculator'!$C$22)/2</f>
        <v>22.299254695539936</v>
      </c>
      <c r="AA109" s="16">
        <f>Y109/'Gearing Calculator'!$C$24</f>
        <v>26.392921429575008</v>
      </c>
      <c r="AB109" s="16">
        <f t="shared" si="10"/>
        <v>427.65711503108218</v>
      </c>
      <c r="AC109" s="16">
        <v>0</v>
      </c>
      <c r="AD109" s="16">
        <v>0</v>
      </c>
      <c r="AE109" s="16">
        <v>106</v>
      </c>
      <c r="AF109" s="16">
        <f>IF(AC109=0,IF(O109=6,INDEX(Acceleration!$V$4:$V$110,MATCH('Track Data'!S109,Acceleration!$K$4:$K$110,0)),IF('Track Data'!O109=5,INDEX(Acceleration!$U$4:$U$110,MATCH('Track Data'!S109,Acceleration!$K$4:$K$110,0)),1)),U109)</f>
        <v>3.1502815181544812</v>
      </c>
      <c r="AG109" s="16">
        <f>IF(AC109=0,IF(O109=4,INDEX(Acceleration!$T$4:$T$110,MATCH('Track Data'!S109,Acceleration!$K$4:$K$110,0)),IF('Track Data'!O109=3,INDEX(Acceleration!$S$4:$S$110,MATCH('Track Data'!S109,Acceleration!$K$4:$K$110,0)),'Track Data'!AF109)),'Track Data'!U109)</f>
        <v>3.1502815181544812</v>
      </c>
      <c r="AH109" s="16">
        <f>IF(AC109=0,IF(O109=2,INDEX(Acceleration!$R$4:$R$110,MATCH('Track Data'!S109,Acceleration!$K$4:$K$110,0)),IF('Track Data'!O109=1,INDEX(Acceleration!$Q$4:$Q$110,MATCH('Track Data'!S109,Acceleration!$K$4:$K$110,0)),'Track Data'!AG109)),'Track Data'!U109)</f>
        <v>3.1502815181544812</v>
      </c>
    </row>
    <row r="110" spans="2:34" x14ac:dyDescent="0.25">
      <c r="B110" s="16">
        <v>197.55799999999999</v>
      </c>
      <c r="C110" s="16">
        <v>7380</v>
      </c>
      <c r="D110" s="16">
        <v>107</v>
      </c>
      <c r="E110" s="113">
        <v>216</v>
      </c>
      <c r="F110" s="113">
        <v>218.5</v>
      </c>
      <c r="G110" s="113">
        <v>215.4</v>
      </c>
      <c r="H110" s="113">
        <f t="shared" si="11"/>
        <v>59.833333333333336</v>
      </c>
      <c r="I110" s="113">
        <v>1.8</v>
      </c>
      <c r="J110" s="113">
        <v>20.22</v>
      </c>
      <c r="K110" s="113">
        <v>-0.2</v>
      </c>
      <c r="L110" s="189"/>
      <c r="M110" s="16">
        <v>107</v>
      </c>
      <c r="N110" s="16">
        <f t="shared" si="13"/>
        <v>1.6078264937066582E-2</v>
      </c>
      <c r="O110" s="16">
        <v>6</v>
      </c>
      <c r="P110" s="16">
        <f t="shared" si="8"/>
        <v>7.3113821138211375</v>
      </c>
      <c r="Q110" s="16">
        <f t="shared" si="14"/>
        <v>62.195765769141886</v>
      </c>
      <c r="R110" s="113">
        <f t="shared" si="9"/>
        <v>311.95699999999999</v>
      </c>
      <c r="S110" s="16">
        <f>IF(S109=15800,15800,ROUND((((Q110*60)/'Gearing Calculator'!$C$14)*'Track Data'!P110),-2))</f>
        <v>13800</v>
      </c>
      <c r="T110" s="16">
        <f t="shared" si="12"/>
        <v>3.1502815181544812</v>
      </c>
      <c r="U110" s="16">
        <f>IF(AC110=100,Braking!$AG$2354,IF(AC110=50,Braking!$AG$1179,IF(AC110=75,Braking!$AG$1767,0)))</f>
        <v>0</v>
      </c>
      <c r="V110" s="16">
        <f>0.5*'Gearing Calculator'!$C$15*'Gearing Calculator'!$C$20*'Gearing Calculator'!$W$20*('Track Data'!Q110^2)</f>
        <v>409.42227751391829</v>
      </c>
      <c r="W110" s="16">
        <f>('Gearing Calculator'!$U$9*'Track Data'!T110)+'Track Data'!V110</f>
        <v>1248.027217646641</v>
      </c>
      <c r="X110" s="16">
        <f>('Gearing Calculator'!$U$9*9.81)*('Gearing Calculator'!$U$16/'Gearing Calculator'!$C$7)-(('Track Data'!W110)*('Gearing Calculator'!$U$17/'Gearing Calculator'!$C$7))</f>
        <v>720.90223394482803</v>
      </c>
      <c r="Y110" s="16">
        <f>('Gearing Calculator'!$U$9*9.81)*(('Gearing Calculator'!$C$7-'Gearing Calculator'!$U$16)/'Gearing Calculator'!$C$7)+(('Track Data'!W110)*('Gearing Calculator'!$U$17/'Gearing Calculator'!$C$7))</f>
        <v>1890.5197660551721</v>
      </c>
      <c r="Z110" s="16">
        <f>((X110*COS('Gearing Calculator'!$C$21))/'Gearing Calculator'!$C$22)/2</f>
        <v>22.288017054062735</v>
      </c>
      <c r="AA110" s="16">
        <f>Y110/'Gearing Calculator'!$C$24</f>
        <v>26.39799682474634</v>
      </c>
      <c r="AB110" s="16">
        <f t="shared" si="10"/>
        <v>428.32396662284521</v>
      </c>
      <c r="AC110" s="16">
        <v>0</v>
      </c>
      <c r="AD110" s="16">
        <v>0</v>
      </c>
      <c r="AE110" s="16">
        <v>107</v>
      </c>
      <c r="AF110" s="16">
        <f>IF(AC110=0,IF(O110=6,INDEX(Acceleration!$V$4:$V$110,MATCH('Track Data'!S110,Acceleration!$K$4:$K$110,0)),IF('Track Data'!O110=5,INDEX(Acceleration!$U$4:$U$110,MATCH('Track Data'!S110,Acceleration!$K$4:$K$110,0)),1)),U110)</f>
        <v>3.1502815181544812</v>
      </c>
      <c r="AG110" s="16">
        <f>IF(AC110=0,IF(O110=4,INDEX(Acceleration!$T$4:$T$110,MATCH('Track Data'!S110,Acceleration!$K$4:$K$110,0)),IF('Track Data'!O110=3,INDEX(Acceleration!$S$4:$S$110,MATCH('Track Data'!S110,Acceleration!$K$4:$K$110,0)),'Track Data'!AF110)),'Track Data'!U110)</f>
        <v>3.1502815181544812</v>
      </c>
      <c r="AH110" s="16">
        <f>IF(AC110=0,IF(O110=2,INDEX(Acceleration!$R$4:$R$110,MATCH('Track Data'!S110,Acceleration!$K$4:$K$110,0)),IF('Track Data'!O110=1,INDEX(Acceleration!$Q$4:$Q$110,MATCH('Track Data'!S110,Acceleration!$K$4:$K$110,0)),'Track Data'!AG110)),'Track Data'!U110)</f>
        <v>3.1502815181544812</v>
      </c>
    </row>
    <row r="111" spans="2:34" x14ac:dyDescent="0.25">
      <c r="B111" s="16">
        <v>197.57400000000001</v>
      </c>
      <c r="C111" s="16">
        <v>7381</v>
      </c>
      <c r="D111" s="16">
        <v>108</v>
      </c>
      <c r="E111" s="113">
        <v>214</v>
      </c>
      <c r="F111" s="113">
        <v>218.3</v>
      </c>
      <c r="G111" s="113">
        <v>215.3</v>
      </c>
      <c r="H111" s="113">
        <f t="shared" si="11"/>
        <v>59.805555555555557</v>
      </c>
      <c r="I111" s="113">
        <v>2.5</v>
      </c>
      <c r="J111" s="113">
        <v>26.44</v>
      </c>
      <c r="K111" s="113">
        <v>0.4</v>
      </c>
      <c r="L111" s="189"/>
      <c r="M111" s="16">
        <v>108</v>
      </c>
      <c r="N111" s="16">
        <f t="shared" si="13"/>
        <v>1.6065187074139047E-2</v>
      </c>
      <c r="O111" s="16">
        <v>6</v>
      </c>
      <c r="P111" s="16">
        <f t="shared" si="8"/>
        <v>7.3113821138211375</v>
      </c>
      <c r="Q111" s="16">
        <f t="shared" si="14"/>
        <v>62.246396222161096</v>
      </c>
      <c r="R111" s="113">
        <f t="shared" si="9"/>
        <v>311.95699999999999</v>
      </c>
      <c r="S111" s="16">
        <f>IF(S110=15800,15800,ROUND((((Q111*60)/'Gearing Calculator'!$C$14)*'Track Data'!P111),-2))</f>
        <v>13800</v>
      </c>
      <c r="T111" s="16">
        <f t="shared" si="12"/>
        <v>3.1502815181544812</v>
      </c>
      <c r="U111" s="16">
        <f>IF(AC111=100,Braking!$AG$2354,IF(AC111=50,Braking!$AG$1179,IF(AC111=75,Braking!$AG$1767,0)))</f>
        <v>0</v>
      </c>
      <c r="V111" s="16">
        <f>0.5*'Gearing Calculator'!$C$15*'Gearing Calculator'!$C$20*'Gearing Calculator'!$W$20*('Track Data'!Q111^2)</f>
        <v>410.08912910568131</v>
      </c>
      <c r="W111" s="16">
        <f>('Gearing Calculator'!$U$9*'Track Data'!T111)+'Track Data'!V111</f>
        <v>1248.6940692384042</v>
      </c>
      <c r="X111" s="16">
        <f>('Gearing Calculator'!$U$9*9.81)*('Gearing Calculator'!$U$16/'Gearing Calculator'!$C$7)-(('Track Data'!W111)*('Gearing Calculator'!$U$17/'Gearing Calculator'!$C$7))</f>
        <v>720.53875428553249</v>
      </c>
      <c r="Y111" s="16">
        <f>('Gearing Calculator'!$U$9*9.81)*(('Gearing Calculator'!$C$7-'Gearing Calculator'!$U$16)/'Gearing Calculator'!$C$7)+(('Track Data'!W111)*('Gearing Calculator'!$U$17/'Gearing Calculator'!$C$7))</f>
        <v>1890.8832457144676</v>
      </c>
      <c r="Z111" s="16">
        <f>((X111*COS('Gearing Calculator'!$C$21))/'Gearing Calculator'!$C$22)/2</f>
        <v>22.276779412585533</v>
      </c>
      <c r="AA111" s="16">
        <f>Y111/'Gearing Calculator'!$C$24</f>
        <v>26.403072219917672</v>
      </c>
      <c r="AB111" s="16">
        <f t="shared" si="10"/>
        <v>428.99081821460823</v>
      </c>
      <c r="AC111" s="16">
        <v>0</v>
      </c>
      <c r="AD111" s="16">
        <v>0</v>
      </c>
      <c r="AE111" s="16">
        <v>108</v>
      </c>
      <c r="AF111" s="16">
        <f>IF(AC111=0,IF(O111=6,INDEX(Acceleration!$V$4:$V$110,MATCH('Track Data'!S111,Acceleration!$K$4:$K$110,0)),IF('Track Data'!O111=5,INDEX(Acceleration!$U$4:$U$110,MATCH('Track Data'!S111,Acceleration!$K$4:$K$110,0)),1)),U111)</f>
        <v>3.1502815181544812</v>
      </c>
      <c r="AG111" s="16">
        <f>IF(AC111=0,IF(O111=4,INDEX(Acceleration!$T$4:$T$110,MATCH('Track Data'!S111,Acceleration!$K$4:$K$110,0)),IF('Track Data'!O111=3,INDEX(Acceleration!$S$4:$S$110,MATCH('Track Data'!S111,Acceleration!$K$4:$K$110,0)),'Track Data'!AF111)),'Track Data'!U111)</f>
        <v>3.1502815181544812</v>
      </c>
      <c r="AH111" s="16">
        <f>IF(AC111=0,IF(O111=2,INDEX(Acceleration!$R$4:$R$110,MATCH('Track Data'!S111,Acceleration!$K$4:$K$110,0)),IF('Track Data'!O111=1,INDEX(Acceleration!$Q$4:$Q$110,MATCH('Track Data'!S111,Acceleration!$K$4:$K$110,0)),'Track Data'!AG111)),'Track Data'!U111)</f>
        <v>3.1502815181544812</v>
      </c>
    </row>
    <row r="112" spans="2:34" x14ac:dyDescent="0.25">
      <c r="B112" s="16">
        <v>197.59</v>
      </c>
      <c r="C112" s="16">
        <v>7382</v>
      </c>
      <c r="D112" s="16">
        <v>109</v>
      </c>
      <c r="E112" s="113">
        <v>212</v>
      </c>
      <c r="F112" s="113">
        <v>217.9</v>
      </c>
      <c r="G112" s="113">
        <v>215.3</v>
      </c>
      <c r="H112" s="113">
        <f t="shared" si="11"/>
        <v>59.805555555555557</v>
      </c>
      <c r="I112" s="113">
        <v>4.2</v>
      </c>
      <c r="J112" s="113">
        <v>33.049999999999997</v>
      </c>
      <c r="K112" s="113">
        <v>1</v>
      </c>
      <c r="L112" s="189"/>
      <c r="M112" s="16">
        <v>109</v>
      </c>
      <c r="N112" s="16">
        <f t="shared" si="13"/>
        <v>1.6052141071503996E-2</v>
      </c>
      <c r="O112" s="16">
        <v>6</v>
      </c>
      <c r="P112" s="16">
        <f t="shared" si="8"/>
        <v>7.3113821138211375</v>
      </c>
      <c r="Q112" s="16">
        <f t="shared" si="14"/>
        <v>62.296985526448871</v>
      </c>
      <c r="R112" s="113">
        <f t="shared" si="9"/>
        <v>311.95699999999999</v>
      </c>
      <c r="S112" s="16">
        <f>IF(S111=15800,15800,ROUND((((Q112*60)/'Gearing Calculator'!$C$14)*'Track Data'!P112),-2))</f>
        <v>13800</v>
      </c>
      <c r="T112" s="16">
        <f t="shared" si="12"/>
        <v>3.1502815181544812</v>
      </c>
      <c r="U112" s="16">
        <f>IF(AC112=100,Braking!$AG$2354,IF(AC112=50,Braking!$AG$1179,IF(AC112=75,Braking!$AG$1767,0)))</f>
        <v>0</v>
      </c>
      <c r="V112" s="16">
        <f>0.5*'Gearing Calculator'!$C$15*'Gearing Calculator'!$C$20*'Gearing Calculator'!$W$20*('Track Data'!Q112^2)</f>
        <v>410.75598069744427</v>
      </c>
      <c r="W112" s="16">
        <f>('Gearing Calculator'!$U$9*'Track Data'!T112)+'Track Data'!V112</f>
        <v>1249.3609208301671</v>
      </c>
      <c r="X112" s="16">
        <f>('Gearing Calculator'!$U$9*9.81)*('Gearing Calculator'!$U$16/'Gearing Calculator'!$C$7)-(('Track Data'!W112)*('Gearing Calculator'!$U$17/'Gearing Calculator'!$C$7))</f>
        <v>720.17527462623707</v>
      </c>
      <c r="Y112" s="16">
        <f>('Gearing Calculator'!$U$9*9.81)*(('Gearing Calculator'!$C$7-'Gearing Calculator'!$U$16)/'Gearing Calculator'!$C$7)+(('Track Data'!W112)*('Gearing Calculator'!$U$17/'Gearing Calculator'!$C$7))</f>
        <v>1891.246725373763</v>
      </c>
      <c r="Z112" s="16">
        <f>((X112*COS('Gearing Calculator'!$C$21))/'Gearing Calculator'!$C$22)/2</f>
        <v>22.265541771108339</v>
      </c>
      <c r="AA112" s="16">
        <f>Y112/'Gearing Calculator'!$C$24</f>
        <v>26.408147615089</v>
      </c>
      <c r="AB112" s="16">
        <f t="shared" si="10"/>
        <v>429.65766980637113</v>
      </c>
      <c r="AC112" s="16">
        <v>0</v>
      </c>
      <c r="AD112" s="16">
        <v>0</v>
      </c>
      <c r="AE112" s="16">
        <v>109</v>
      </c>
      <c r="AF112" s="16">
        <f>IF(AC112=0,IF(O112=6,INDEX(Acceleration!$V$4:$V$110,MATCH('Track Data'!S112,Acceleration!$K$4:$K$110,0)),IF('Track Data'!O112=5,INDEX(Acceleration!$U$4:$U$110,MATCH('Track Data'!S112,Acceleration!$K$4:$K$110,0)),1)),U112)</f>
        <v>3.1502815181544812</v>
      </c>
      <c r="AG112" s="16">
        <f>IF(AC112=0,IF(O112=4,INDEX(Acceleration!$T$4:$T$110,MATCH('Track Data'!S112,Acceleration!$K$4:$K$110,0)),IF('Track Data'!O112=3,INDEX(Acceleration!$S$4:$S$110,MATCH('Track Data'!S112,Acceleration!$K$4:$K$110,0)),'Track Data'!AF112)),'Track Data'!U112)</f>
        <v>3.1502815181544812</v>
      </c>
      <c r="AH112" s="16">
        <f>IF(AC112=0,IF(O112=2,INDEX(Acceleration!$R$4:$R$110,MATCH('Track Data'!S112,Acceleration!$K$4:$K$110,0)),IF('Track Data'!O112=1,INDEX(Acceleration!$Q$4:$Q$110,MATCH('Track Data'!S112,Acceleration!$K$4:$K$110,0)),'Track Data'!AG112)),'Track Data'!U112)</f>
        <v>3.1502815181544812</v>
      </c>
    </row>
    <row r="113" spans="2:34" x14ac:dyDescent="0.25">
      <c r="B113" s="16">
        <v>197.607</v>
      </c>
      <c r="C113" s="16">
        <v>7383</v>
      </c>
      <c r="D113" s="16">
        <v>110</v>
      </c>
      <c r="E113" s="113">
        <v>212</v>
      </c>
      <c r="F113" s="113">
        <v>217.6</v>
      </c>
      <c r="G113" s="113">
        <v>215.2</v>
      </c>
      <c r="H113" s="113">
        <f t="shared" si="11"/>
        <v>59.777777777777771</v>
      </c>
      <c r="I113" s="113">
        <v>5</v>
      </c>
      <c r="J113" s="113">
        <v>35.79</v>
      </c>
      <c r="K113" s="113">
        <v>1.1000000000000001</v>
      </c>
      <c r="L113" s="189"/>
      <c r="M113" s="16">
        <v>110</v>
      </c>
      <c r="N113" s="16">
        <f t="shared" si="13"/>
        <v>1.6039126800007766E-2</v>
      </c>
      <c r="O113" s="16">
        <v>6</v>
      </c>
      <c r="P113" s="16">
        <f t="shared" si="8"/>
        <v>7.3113821138211375</v>
      </c>
      <c r="Q113" s="16">
        <f t="shared" si="14"/>
        <v>62.34753378217048</v>
      </c>
      <c r="R113" s="113">
        <f t="shared" si="9"/>
        <v>311.95699999999999</v>
      </c>
      <c r="S113" s="16">
        <f>IF(S112=15800,15800,ROUND((((Q113*60)/'Gearing Calculator'!$C$14)*'Track Data'!P113),-2))</f>
        <v>13800</v>
      </c>
      <c r="T113" s="16">
        <f t="shared" si="12"/>
        <v>3.1502815181544812</v>
      </c>
      <c r="U113" s="16">
        <f>IF(AC113=100,Braking!$AG$2354,IF(AC113=50,Braking!$AG$1179,IF(AC113=75,Braking!$AG$1767,0)))</f>
        <v>0</v>
      </c>
      <c r="V113" s="16">
        <f>0.5*'Gearing Calculator'!$C$15*'Gearing Calculator'!$C$20*'Gearing Calculator'!$W$20*('Track Data'!Q113^2)</f>
        <v>411.42283228920724</v>
      </c>
      <c r="W113" s="16">
        <f>('Gearing Calculator'!$U$9*'Track Data'!T113)+'Track Data'!V113</f>
        <v>1250.02777242193</v>
      </c>
      <c r="X113" s="16">
        <f>('Gearing Calculator'!$U$9*9.81)*('Gearing Calculator'!$U$16/'Gearing Calculator'!$C$7)-(('Track Data'!W113)*('Gearing Calculator'!$U$17/'Gearing Calculator'!$C$7))</f>
        <v>719.81179496694165</v>
      </c>
      <c r="Y113" s="16">
        <f>('Gearing Calculator'!$U$9*9.81)*(('Gearing Calculator'!$C$7-'Gearing Calculator'!$U$16)/'Gearing Calculator'!$C$7)+(('Track Data'!W113)*('Gearing Calculator'!$U$17/'Gearing Calculator'!$C$7))</f>
        <v>1891.6102050330583</v>
      </c>
      <c r="Z113" s="16">
        <f>((X113*COS('Gearing Calculator'!$C$21))/'Gearing Calculator'!$C$22)/2</f>
        <v>22.254304129631144</v>
      </c>
      <c r="AA113" s="16">
        <f>Y113/'Gearing Calculator'!$C$24</f>
        <v>26.413223010260328</v>
      </c>
      <c r="AB113" s="16">
        <f t="shared" si="10"/>
        <v>430.32452139813415</v>
      </c>
      <c r="AC113" s="16">
        <v>0</v>
      </c>
      <c r="AD113" s="16">
        <v>0</v>
      </c>
      <c r="AE113" s="16">
        <v>110</v>
      </c>
      <c r="AF113" s="16">
        <f>IF(AC113=0,IF(O113=6,INDEX(Acceleration!$V$4:$V$110,MATCH('Track Data'!S113,Acceleration!$K$4:$K$110,0)),IF('Track Data'!O113=5,INDEX(Acceleration!$U$4:$U$110,MATCH('Track Data'!S113,Acceleration!$K$4:$K$110,0)),1)),U113)</f>
        <v>3.1502815181544812</v>
      </c>
      <c r="AG113" s="16">
        <f>IF(AC113=0,IF(O113=4,INDEX(Acceleration!$T$4:$T$110,MATCH('Track Data'!S113,Acceleration!$K$4:$K$110,0)),IF('Track Data'!O113=3,INDEX(Acceleration!$S$4:$S$110,MATCH('Track Data'!S113,Acceleration!$K$4:$K$110,0)),'Track Data'!AF113)),'Track Data'!U113)</f>
        <v>3.1502815181544812</v>
      </c>
      <c r="AH113" s="16">
        <f>IF(AC113=0,IF(O113=2,INDEX(Acceleration!$R$4:$R$110,MATCH('Track Data'!S113,Acceleration!$K$4:$K$110,0)),IF('Track Data'!O113=1,INDEX(Acceleration!$Q$4:$Q$110,MATCH('Track Data'!S113,Acceleration!$K$4:$K$110,0)),'Track Data'!AG113)),'Track Data'!U113)</f>
        <v>3.1502815181544812</v>
      </c>
    </row>
    <row r="114" spans="2:34" x14ac:dyDescent="0.25">
      <c r="B114" s="16">
        <v>197.62299999999999</v>
      </c>
      <c r="C114" s="16">
        <v>7384</v>
      </c>
      <c r="D114" s="16">
        <v>111</v>
      </c>
      <c r="E114" s="113">
        <v>211</v>
      </c>
      <c r="F114" s="113">
        <v>216.9</v>
      </c>
      <c r="G114" s="113">
        <v>215.2</v>
      </c>
      <c r="H114" s="113">
        <f t="shared" si="11"/>
        <v>59.777777777777771</v>
      </c>
      <c r="I114" s="113">
        <v>5.8</v>
      </c>
      <c r="J114" s="113">
        <v>37.659999999999997</v>
      </c>
      <c r="K114" s="113">
        <v>0.5</v>
      </c>
      <c r="L114" s="189"/>
      <c r="M114" s="16">
        <v>111</v>
      </c>
      <c r="N114" s="16">
        <f t="shared" si="13"/>
        <v>1.6026144131228472E-2</v>
      </c>
      <c r="O114" s="16">
        <v>6</v>
      </c>
      <c r="P114" s="16">
        <f t="shared" si="8"/>
        <v>7.3113821138211375</v>
      </c>
      <c r="Q114" s="16">
        <f t="shared" si="14"/>
        <v>62.398041089085467</v>
      </c>
      <c r="R114" s="113">
        <f t="shared" si="9"/>
        <v>311.95699999999999</v>
      </c>
      <c r="S114" s="16">
        <f>IF(S113=15800,15800,ROUND((((Q114*60)/'Gearing Calculator'!$C$14)*'Track Data'!P114),-2))</f>
        <v>13800</v>
      </c>
      <c r="T114" s="16">
        <f t="shared" si="12"/>
        <v>3.1502815181544812</v>
      </c>
      <c r="U114" s="16">
        <f>IF(AC114=100,Braking!$AG$2354,IF(AC114=50,Braking!$AG$1179,IF(AC114=75,Braking!$AG$1767,0)))</f>
        <v>0</v>
      </c>
      <c r="V114" s="16">
        <f>0.5*'Gearing Calculator'!$C$15*'Gearing Calculator'!$C$20*'Gearing Calculator'!$W$20*('Track Data'!Q114^2)</f>
        <v>412.08968388097014</v>
      </c>
      <c r="W114" s="16">
        <f>('Gearing Calculator'!$U$9*'Track Data'!T114)+'Track Data'!V114</f>
        <v>1250.6946240136931</v>
      </c>
      <c r="X114" s="16">
        <f>('Gearing Calculator'!$U$9*9.81)*('Gearing Calculator'!$U$16/'Gearing Calculator'!$C$7)-(('Track Data'!W114)*('Gearing Calculator'!$U$17/'Gearing Calculator'!$C$7))</f>
        <v>719.44831530764611</v>
      </c>
      <c r="Y114" s="16">
        <f>('Gearing Calculator'!$U$9*9.81)*(('Gearing Calculator'!$C$7-'Gearing Calculator'!$U$16)/'Gearing Calculator'!$C$7)+(('Track Data'!W114)*('Gearing Calculator'!$U$17/'Gearing Calculator'!$C$7))</f>
        <v>1891.9736846923538</v>
      </c>
      <c r="Z114" s="16">
        <f>((X114*COS('Gearing Calculator'!$C$21))/'Gearing Calculator'!$C$22)/2</f>
        <v>22.243066488153943</v>
      </c>
      <c r="AA114" s="16">
        <f>Y114/'Gearing Calculator'!$C$24</f>
        <v>26.41829840543166</v>
      </c>
      <c r="AB114" s="16">
        <f t="shared" si="10"/>
        <v>430.99137298989706</v>
      </c>
      <c r="AC114" s="16">
        <v>0</v>
      </c>
      <c r="AD114" s="16">
        <v>0</v>
      </c>
      <c r="AE114" s="16">
        <v>111</v>
      </c>
      <c r="AF114" s="16">
        <f>IF(AC114=0,IF(O114=6,INDEX(Acceleration!$V$4:$V$110,MATCH('Track Data'!S114,Acceleration!$K$4:$K$110,0)),IF('Track Data'!O114=5,INDEX(Acceleration!$U$4:$U$110,MATCH('Track Data'!S114,Acceleration!$K$4:$K$110,0)),1)),U114)</f>
        <v>3.1502815181544812</v>
      </c>
      <c r="AG114" s="16">
        <f>IF(AC114=0,IF(O114=4,INDEX(Acceleration!$T$4:$T$110,MATCH('Track Data'!S114,Acceleration!$K$4:$K$110,0)),IF('Track Data'!O114=3,INDEX(Acceleration!$S$4:$S$110,MATCH('Track Data'!S114,Acceleration!$K$4:$K$110,0)),'Track Data'!AF114)),'Track Data'!U114)</f>
        <v>3.1502815181544812</v>
      </c>
      <c r="AH114" s="16">
        <f>IF(AC114=0,IF(O114=2,INDEX(Acceleration!$R$4:$R$110,MATCH('Track Data'!S114,Acceleration!$K$4:$K$110,0)),IF('Track Data'!O114=1,INDEX(Acceleration!$Q$4:$Q$110,MATCH('Track Data'!S114,Acceleration!$K$4:$K$110,0)),'Track Data'!AG114)),'Track Data'!U114)</f>
        <v>3.1502815181544812</v>
      </c>
    </row>
    <row r="115" spans="2:34" x14ac:dyDescent="0.25">
      <c r="B115" s="16">
        <v>197.63900000000001</v>
      </c>
      <c r="C115" s="16">
        <v>7385</v>
      </c>
      <c r="D115" s="16">
        <v>112</v>
      </c>
      <c r="E115" s="113">
        <v>210</v>
      </c>
      <c r="F115" s="113">
        <v>216.6</v>
      </c>
      <c r="G115" s="113">
        <v>215.1</v>
      </c>
      <c r="H115" s="113">
        <f t="shared" si="11"/>
        <v>59.75</v>
      </c>
      <c r="I115" s="113">
        <v>5.7</v>
      </c>
      <c r="J115" s="113">
        <v>39.950000000000003</v>
      </c>
      <c r="K115" s="113">
        <v>0.2</v>
      </c>
      <c r="L115" s="189"/>
      <c r="M115" s="16">
        <v>112</v>
      </c>
      <c r="N115" s="16">
        <f t="shared" si="13"/>
        <v>1.6013192937470708E-2</v>
      </c>
      <c r="O115" s="16">
        <v>6</v>
      </c>
      <c r="P115" s="16">
        <f t="shared" si="8"/>
        <v>7.3113821138211375</v>
      </c>
      <c r="Q115" s="16">
        <f t="shared" si="14"/>
        <v>62.448507546549962</v>
      </c>
      <c r="R115" s="113">
        <f t="shared" si="9"/>
        <v>311.95699999999999</v>
      </c>
      <c r="S115" s="16">
        <f>IF(S114=15800,15800,ROUND((((Q115*60)/'Gearing Calculator'!$C$14)*'Track Data'!P115),-2))</f>
        <v>13800</v>
      </c>
      <c r="T115" s="16">
        <f t="shared" si="12"/>
        <v>3.1502815181544812</v>
      </c>
      <c r="U115" s="16">
        <f>IF(AC115=100,Braking!$AG$2354,IF(AC115=50,Braking!$AG$1179,IF(AC115=75,Braking!$AG$1767,0)))</f>
        <v>0</v>
      </c>
      <c r="V115" s="16">
        <f>0.5*'Gearing Calculator'!$C$15*'Gearing Calculator'!$C$20*'Gearing Calculator'!$W$20*('Track Data'!Q115^2)</f>
        <v>412.75653547273311</v>
      </c>
      <c r="W115" s="16">
        <f>('Gearing Calculator'!$U$9*'Track Data'!T115)+'Track Data'!V115</f>
        <v>1251.361475605456</v>
      </c>
      <c r="X115" s="16">
        <f>('Gearing Calculator'!$U$9*9.81)*('Gearing Calculator'!$U$16/'Gearing Calculator'!$C$7)-(('Track Data'!W115)*('Gearing Calculator'!$U$17/'Gearing Calculator'!$C$7))</f>
        <v>719.08483564835069</v>
      </c>
      <c r="Y115" s="16">
        <f>('Gearing Calculator'!$U$9*9.81)*(('Gearing Calculator'!$C$7-'Gearing Calculator'!$U$16)/'Gearing Calculator'!$C$7)+(('Track Data'!W115)*('Gearing Calculator'!$U$17/'Gearing Calculator'!$C$7))</f>
        <v>1892.3371643516493</v>
      </c>
      <c r="Z115" s="16">
        <f>((X115*COS('Gearing Calculator'!$C$21))/'Gearing Calculator'!$C$22)/2</f>
        <v>22.231828846676752</v>
      </c>
      <c r="AA115" s="16">
        <f>Y115/'Gearing Calculator'!$C$24</f>
        <v>26.423373800602992</v>
      </c>
      <c r="AB115" s="16">
        <f t="shared" si="10"/>
        <v>431.65822458165997</v>
      </c>
      <c r="AC115" s="16">
        <v>0</v>
      </c>
      <c r="AD115" s="16">
        <v>0</v>
      </c>
      <c r="AE115" s="16">
        <v>112</v>
      </c>
      <c r="AF115" s="16">
        <f>IF(AC115=0,IF(O115=6,INDEX(Acceleration!$V$4:$V$110,MATCH('Track Data'!S115,Acceleration!$K$4:$K$110,0)),IF('Track Data'!O115=5,INDEX(Acceleration!$U$4:$U$110,MATCH('Track Data'!S115,Acceleration!$K$4:$K$110,0)),1)),U115)</f>
        <v>3.1502815181544812</v>
      </c>
      <c r="AG115" s="16">
        <f>IF(AC115=0,IF(O115=4,INDEX(Acceleration!$T$4:$T$110,MATCH('Track Data'!S115,Acceleration!$K$4:$K$110,0)),IF('Track Data'!O115=3,INDEX(Acceleration!$S$4:$S$110,MATCH('Track Data'!S115,Acceleration!$K$4:$K$110,0)),'Track Data'!AF115)),'Track Data'!U115)</f>
        <v>3.1502815181544812</v>
      </c>
      <c r="AH115" s="16">
        <f>IF(AC115=0,IF(O115=2,INDEX(Acceleration!$R$4:$R$110,MATCH('Track Data'!S115,Acceleration!$K$4:$K$110,0)),IF('Track Data'!O115=1,INDEX(Acceleration!$Q$4:$Q$110,MATCH('Track Data'!S115,Acceleration!$K$4:$K$110,0)),'Track Data'!AG115)),'Track Data'!U115)</f>
        <v>3.1502815181544812</v>
      </c>
    </row>
    <row r="116" spans="2:34" x14ac:dyDescent="0.25">
      <c r="B116" s="16">
        <v>197.65600000000001</v>
      </c>
      <c r="C116" s="16">
        <v>7387</v>
      </c>
      <c r="D116" s="16">
        <v>113</v>
      </c>
      <c r="E116" s="113">
        <v>210</v>
      </c>
      <c r="F116" s="113">
        <v>215.8</v>
      </c>
      <c r="G116" s="113">
        <v>214.9</v>
      </c>
      <c r="H116" s="113">
        <f t="shared" si="11"/>
        <v>59.694444444444443</v>
      </c>
      <c r="I116" s="113">
        <v>5.0999999999999996</v>
      </c>
      <c r="J116" s="113">
        <v>45.77</v>
      </c>
      <c r="K116" s="113">
        <v>-0.4</v>
      </c>
      <c r="L116" s="189"/>
      <c r="M116" s="16">
        <v>113</v>
      </c>
      <c r="N116" s="16">
        <f t="shared" si="13"/>
        <v>1.6000273091760265E-2</v>
      </c>
      <c r="O116" s="16">
        <v>6</v>
      </c>
      <c r="P116" s="16">
        <f t="shared" si="8"/>
        <v>7.3113821138211375</v>
      </c>
      <c r="Q116" s="16">
        <f t="shared" si="14"/>
        <v>62.498933253518949</v>
      </c>
      <c r="R116" s="113">
        <f t="shared" si="9"/>
        <v>311.95699999999999</v>
      </c>
      <c r="S116" s="16">
        <f>IF(S115=15800,15800,ROUND((((Q116*60)/'Gearing Calculator'!$C$14)*'Track Data'!P116),-2))</f>
        <v>13900</v>
      </c>
      <c r="T116" s="16">
        <f t="shared" si="12"/>
        <v>3.1238597153818666</v>
      </c>
      <c r="U116" s="16">
        <f>IF(AC116=100,Braking!$AG$2354,IF(AC116=50,Braking!$AG$1179,IF(AC116=75,Braking!$AG$1767,0)))</f>
        <v>0</v>
      </c>
      <c r="V116" s="16">
        <f>0.5*'Gearing Calculator'!$C$15*'Gearing Calculator'!$C$20*'Gearing Calculator'!$W$20*('Track Data'!Q116^2)</f>
        <v>413.42338706449607</v>
      </c>
      <c r="W116" s="16">
        <f>('Gearing Calculator'!$U$9*'Track Data'!T116)+'Track Data'!V116</f>
        <v>1244.9948432991489</v>
      </c>
      <c r="X116" s="16">
        <f>('Gearing Calculator'!$U$9*9.81)*('Gearing Calculator'!$U$16/'Gearing Calculator'!$C$7)-(('Track Data'!W116)*('Gearing Calculator'!$U$17/'Gearing Calculator'!$C$7))</f>
        <v>722.55508505637579</v>
      </c>
      <c r="Y116" s="16">
        <f>('Gearing Calculator'!$U$9*9.81)*(('Gearing Calculator'!$C$7-'Gearing Calculator'!$U$16)/'Gearing Calculator'!$C$7)+(('Track Data'!W116)*('Gearing Calculator'!$U$17/'Gearing Calculator'!$C$7))</f>
        <v>1888.8669149436241</v>
      </c>
      <c r="Z116" s="16">
        <f>((X116*COS('Gearing Calculator'!$C$21))/'Gearing Calculator'!$C$22)/2</f>
        <v>22.339117982909105</v>
      </c>
      <c r="AA116" s="16">
        <f>Y116/'Gearing Calculator'!$C$24</f>
        <v>26.374917479490158</v>
      </c>
      <c r="AB116" s="16">
        <f t="shared" si="10"/>
        <v>432.16654535678725</v>
      </c>
      <c r="AC116" s="16">
        <v>0</v>
      </c>
      <c r="AD116" s="16">
        <v>0</v>
      </c>
      <c r="AE116" s="16">
        <v>113</v>
      </c>
      <c r="AF116" s="16">
        <f>IF(AC116=0,IF(O116=6,INDEX(Acceleration!$V$4:$V$110,MATCH('Track Data'!S116,Acceleration!$K$4:$K$110,0)),IF('Track Data'!O116=5,INDEX(Acceleration!$U$4:$U$110,MATCH('Track Data'!S116,Acceleration!$K$4:$K$110,0)),1)),U116)</f>
        <v>3.1238597153818666</v>
      </c>
      <c r="AG116" s="16">
        <f>IF(AC116=0,IF(O116=4,INDEX(Acceleration!$T$4:$T$110,MATCH('Track Data'!S116,Acceleration!$K$4:$K$110,0)),IF('Track Data'!O116=3,INDEX(Acceleration!$S$4:$S$110,MATCH('Track Data'!S116,Acceleration!$K$4:$K$110,0)),'Track Data'!AF116)),'Track Data'!U116)</f>
        <v>3.1238597153818666</v>
      </c>
      <c r="AH116" s="16">
        <f>IF(AC116=0,IF(O116=2,INDEX(Acceleration!$R$4:$R$110,MATCH('Track Data'!S116,Acceleration!$K$4:$K$110,0)),IF('Track Data'!O116=1,INDEX(Acceleration!$Q$4:$Q$110,MATCH('Track Data'!S116,Acceleration!$K$4:$K$110,0)),'Track Data'!AG116)),'Track Data'!U116)</f>
        <v>3.1238597153818666</v>
      </c>
    </row>
    <row r="117" spans="2:34" x14ac:dyDescent="0.25">
      <c r="B117" s="16">
        <v>197.673</v>
      </c>
      <c r="C117" s="16">
        <v>7387</v>
      </c>
      <c r="D117" s="16">
        <v>114</v>
      </c>
      <c r="E117" s="113">
        <v>210</v>
      </c>
      <c r="F117" s="113">
        <v>214.9</v>
      </c>
      <c r="G117" s="113">
        <v>214.7</v>
      </c>
      <c r="H117" s="113">
        <f t="shared" si="11"/>
        <v>59.638888888888886</v>
      </c>
      <c r="I117" s="113">
        <v>5.0999999999999996</v>
      </c>
      <c r="J117" s="113">
        <v>51.34</v>
      </c>
      <c r="K117" s="113">
        <v>-1</v>
      </c>
      <c r="L117" s="189"/>
      <c r="M117" s="16">
        <v>114</v>
      </c>
      <c r="N117" s="16">
        <f t="shared" si="13"/>
        <v>1.5987492436844889E-2</v>
      </c>
      <c r="O117" s="16">
        <v>6</v>
      </c>
      <c r="P117" s="16">
        <f t="shared" si="8"/>
        <v>7.3113821138211375</v>
      </c>
      <c r="Q117" s="16">
        <f t="shared" si="14"/>
        <v>62.548895891602918</v>
      </c>
      <c r="R117" s="113">
        <f t="shared" si="9"/>
        <v>311.95699999999999</v>
      </c>
      <c r="S117" s="16">
        <f>IF(S116=15800,15800,ROUND((((Q117*60)/'Gearing Calculator'!$C$14)*'Track Data'!P117),-2))</f>
        <v>13900</v>
      </c>
      <c r="T117" s="16">
        <f t="shared" si="12"/>
        <v>3.1238597153818666</v>
      </c>
      <c r="U117" s="16">
        <f>IF(AC117=100,Braking!$AG$2354,IF(AC117=50,Braking!$AG$1179,IF(AC117=75,Braking!$AG$1767,0)))</f>
        <v>0</v>
      </c>
      <c r="V117" s="16">
        <f>0.5*'Gearing Calculator'!$C$15*'Gearing Calculator'!$C$20*'Gearing Calculator'!$W$20*('Track Data'!Q117^2)</f>
        <v>414.0846456890481</v>
      </c>
      <c r="W117" s="16">
        <f>('Gearing Calculator'!$U$9*'Track Data'!T117)+'Track Data'!V117</f>
        <v>1245.656101923701</v>
      </c>
      <c r="X117" s="16">
        <f>('Gearing Calculator'!$U$9*9.81)*('Gearing Calculator'!$U$16/'Gearing Calculator'!$C$7)-(('Track Data'!W117)*('Gearing Calculator'!$U$17/'Gearing Calculator'!$C$7))</f>
        <v>722.19465394617475</v>
      </c>
      <c r="Y117" s="16">
        <f>('Gearing Calculator'!$U$9*9.81)*(('Gearing Calculator'!$C$7-'Gearing Calculator'!$U$16)/'Gearing Calculator'!$C$7)+(('Track Data'!W117)*('Gearing Calculator'!$U$17/'Gearing Calculator'!$C$7))</f>
        <v>1889.2273460538254</v>
      </c>
      <c r="Z117" s="16">
        <f>((X117*COS('Gearing Calculator'!$C$21))/'Gearing Calculator'!$C$22)/2</f>
        <v>22.327974592928168</v>
      </c>
      <c r="AA117" s="16">
        <f>Y117/'Gearing Calculator'!$C$24</f>
        <v>26.37995030669116</v>
      </c>
      <c r="AB117" s="16">
        <f t="shared" si="10"/>
        <v>432.82780398133929</v>
      </c>
      <c r="AC117" s="16">
        <v>0</v>
      </c>
      <c r="AD117" s="16">
        <v>0</v>
      </c>
      <c r="AE117" s="16">
        <v>114</v>
      </c>
      <c r="AF117" s="16">
        <f>IF(AC117=0,IF(O117=6,INDEX(Acceleration!$V$4:$V$110,MATCH('Track Data'!S117,Acceleration!$K$4:$K$110,0)),IF('Track Data'!O117=5,INDEX(Acceleration!$U$4:$U$110,MATCH('Track Data'!S117,Acceleration!$K$4:$K$110,0)),1)),U117)</f>
        <v>3.1238597153818666</v>
      </c>
      <c r="AG117" s="16">
        <f>IF(AC117=0,IF(O117=4,INDEX(Acceleration!$T$4:$T$110,MATCH('Track Data'!S117,Acceleration!$K$4:$K$110,0)),IF('Track Data'!O117=3,INDEX(Acceleration!$S$4:$S$110,MATCH('Track Data'!S117,Acceleration!$K$4:$K$110,0)),'Track Data'!AF117)),'Track Data'!U117)</f>
        <v>3.1238597153818666</v>
      </c>
      <c r="AH117" s="16">
        <f>IF(AC117=0,IF(O117=2,INDEX(Acceleration!$R$4:$R$110,MATCH('Track Data'!S117,Acceleration!$K$4:$K$110,0)),IF('Track Data'!O117=1,INDEX(Acceleration!$Q$4:$Q$110,MATCH('Track Data'!S117,Acceleration!$K$4:$K$110,0)),'Track Data'!AG117)),'Track Data'!U117)</f>
        <v>3.1238597153818666</v>
      </c>
    </row>
    <row r="118" spans="2:34" x14ac:dyDescent="0.25">
      <c r="B118" s="16">
        <v>197.68899999999999</v>
      </c>
      <c r="C118" s="16">
        <v>7388</v>
      </c>
      <c r="D118" s="16">
        <v>115</v>
      </c>
      <c r="E118" s="113">
        <v>210</v>
      </c>
      <c r="F118" s="113">
        <v>214.6</v>
      </c>
      <c r="G118" s="113">
        <v>214.6</v>
      </c>
      <c r="H118" s="113">
        <f t="shared" si="11"/>
        <v>59.611111111111107</v>
      </c>
      <c r="I118" s="113">
        <v>5.4</v>
      </c>
      <c r="J118" s="113">
        <v>51.52</v>
      </c>
      <c r="K118" s="113">
        <v>-1.2</v>
      </c>
      <c r="L118" s="189"/>
      <c r="M118" s="16">
        <v>115</v>
      </c>
      <c r="N118" s="16">
        <f t="shared" si="13"/>
        <v>1.5974742359774002E-2</v>
      </c>
      <c r="O118" s="16">
        <v>6</v>
      </c>
      <c r="P118" s="16">
        <f t="shared" si="8"/>
        <v>7.3113821138211375</v>
      </c>
      <c r="Q118" s="16">
        <f t="shared" si="14"/>
        <v>62.59881865250609</v>
      </c>
      <c r="R118" s="113">
        <f t="shared" si="9"/>
        <v>311.95699999999999</v>
      </c>
      <c r="S118" s="16">
        <f>IF(S117=15800,15800,ROUND((((Q118*60)/'Gearing Calculator'!$C$14)*'Track Data'!P118),-2))</f>
        <v>13900</v>
      </c>
      <c r="T118" s="16">
        <f t="shared" si="12"/>
        <v>3.1238597153818666</v>
      </c>
      <c r="U118" s="16">
        <f>IF(AC118=100,Braking!$AG$2354,IF(AC118=50,Braking!$AG$1179,IF(AC118=75,Braking!$AG$1767,0)))</f>
        <v>0</v>
      </c>
      <c r="V118" s="16">
        <f>0.5*'Gearing Calculator'!$C$15*'Gearing Calculator'!$C$20*'Gearing Calculator'!$W$20*('Track Data'!Q118^2)</f>
        <v>414.74590431360019</v>
      </c>
      <c r="W118" s="16">
        <f>('Gearing Calculator'!$U$9*'Track Data'!T118)+'Track Data'!V118</f>
        <v>1246.317360548253</v>
      </c>
      <c r="X118" s="16">
        <f>('Gearing Calculator'!$U$9*9.81)*('Gearing Calculator'!$U$16/'Gearing Calculator'!$C$7)-(('Track Data'!W118)*('Gearing Calculator'!$U$17/'Gearing Calculator'!$C$7))</f>
        <v>721.83422283597395</v>
      </c>
      <c r="Y118" s="16">
        <f>('Gearing Calculator'!$U$9*9.81)*(('Gearing Calculator'!$C$7-'Gearing Calculator'!$U$16)/'Gearing Calculator'!$C$7)+(('Track Data'!W118)*('Gearing Calculator'!$U$17/'Gearing Calculator'!$C$7))</f>
        <v>1889.5877771640262</v>
      </c>
      <c r="Z118" s="16">
        <f>((X118*COS('Gearing Calculator'!$C$21))/'Gearing Calculator'!$C$22)/2</f>
        <v>22.316831202947238</v>
      </c>
      <c r="AA118" s="16">
        <f>Y118/'Gearing Calculator'!$C$24</f>
        <v>26.384983133892153</v>
      </c>
      <c r="AB118" s="16">
        <f t="shared" si="10"/>
        <v>433.48906260589138</v>
      </c>
      <c r="AC118" s="16">
        <v>0</v>
      </c>
      <c r="AD118" s="16">
        <v>0</v>
      </c>
      <c r="AE118" s="16">
        <v>115</v>
      </c>
      <c r="AF118" s="16">
        <f>IF(AC118=0,IF(O118=6,INDEX(Acceleration!$V$4:$V$110,MATCH('Track Data'!S118,Acceleration!$K$4:$K$110,0)),IF('Track Data'!O118=5,INDEX(Acceleration!$U$4:$U$110,MATCH('Track Data'!S118,Acceleration!$K$4:$K$110,0)),1)),U118)</f>
        <v>3.1238597153818666</v>
      </c>
      <c r="AG118" s="16">
        <f>IF(AC118=0,IF(O118=4,INDEX(Acceleration!$T$4:$T$110,MATCH('Track Data'!S118,Acceleration!$K$4:$K$110,0)),IF('Track Data'!O118=3,INDEX(Acceleration!$S$4:$S$110,MATCH('Track Data'!S118,Acceleration!$K$4:$K$110,0)),'Track Data'!AF118)),'Track Data'!U118)</f>
        <v>3.1238597153818666</v>
      </c>
      <c r="AH118" s="16">
        <f>IF(AC118=0,IF(O118=2,INDEX(Acceleration!$R$4:$R$110,MATCH('Track Data'!S118,Acceleration!$K$4:$K$110,0)),IF('Track Data'!O118=1,INDEX(Acceleration!$Q$4:$Q$110,MATCH('Track Data'!S118,Acceleration!$K$4:$K$110,0)),'Track Data'!AG118)),'Track Data'!U118)</f>
        <v>3.1238597153818666</v>
      </c>
    </row>
    <row r="119" spans="2:34" x14ac:dyDescent="0.25">
      <c r="B119" s="16">
        <v>197.70599999999999</v>
      </c>
      <c r="C119" s="16">
        <v>7389</v>
      </c>
      <c r="D119" s="16">
        <v>116</v>
      </c>
      <c r="E119" s="113">
        <v>210</v>
      </c>
      <c r="F119" s="113">
        <v>214.6</v>
      </c>
      <c r="G119" s="113">
        <v>214.4</v>
      </c>
      <c r="H119" s="113">
        <f t="shared" si="11"/>
        <v>59.555555555555557</v>
      </c>
      <c r="I119" s="113">
        <v>5.9</v>
      </c>
      <c r="J119" s="113">
        <v>54.51</v>
      </c>
      <c r="K119" s="113">
        <v>-1.2</v>
      </c>
      <c r="L119" s="189"/>
      <c r="M119" s="16">
        <v>116</v>
      </c>
      <c r="N119" s="16">
        <f t="shared" si="13"/>
        <v>1.5962022738812098E-2</v>
      </c>
      <c r="O119" s="16">
        <v>6</v>
      </c>
      <c r="P119" s="16">
        <f t="shared" si="8"/>
        <v>7.3113821138211375</v>
      </c>
      <c r="Q119" s="16">
        <f t="shared" si="14"/>
        <v>62.648701631559042</v>
      </c>
      <c r="R119" s="113">
        <f t="shared" si="9"/>
        <v>311.95699999999999</v>
      </c>
      <c r="S119" s="16">
        <f>IF(S118=15800,15800,ROUND((((Q119*60)/'Gearing Calculator'!$C$14)*'Track Data'!P119),-2))</f>
        <v>13900</v>
      </c>
      <c r="T119" s="16">
        <f t="shared" si="12"/>
        <v>3.1238597153818666</v>
      </c>
      <c r="U119" s="16">
        <f>IF(AC119=100,Braking!$AG$2354,IF(AC119=50,Braking!$AG$1179,IF(AC119=75,Braking!$AG$1767,0)))</f>
        <v>0</v>
      </c>
      <c r="V119" s="16">
        <f>0.5*'Gearing Calculator'!$C$15*'Gearing Calculator'!$C$20*'Gearing Calculator'!$W$20*('Track Data'!Q119^2)</f>
        <v>415.40716293815223</v>
      </c>
      <c r="W119" s="16">
        <f>('Gearing Calculator'!$U$9*'Track Data'!T119)+'Track Data'!V119</f>
        <v>1246.9786191728051</v>
      </c>
      <c r="X119" s="16">
        <f>('Gearing Calculator'!$U$9*9.81)*('Gearing Calculator'!$U$16/'Gearing Calculator'!$C$7)-(('Track Data'!W119)*('Gearing Calculator'!$U$17/'Gearing Calculator'!$C$7))</f>
        <v>721.47379172577303</v>
      </c>
      <c r="Y119" s="16">
        <f>('Gearing Calculator'!$U$9*9.81)*(('Gearing Calculator'!$C$7-'Gearing Calculator'!$U$16)/'Gearing Calculator'!$C$7)+(('Track Data'!W119)*('Gearing Calculator'!$U$17/'Gearing Calculator'!$C$7))</f>
        <v>1889.948208274227</v>
      </c>
      <c r="Z119" s="16">
        <f>((X119*COS('Gearing Calculator'!$C$21))/'Gearing Calculator'!$C$22)/2</f>
        <v>22.305687812966305</v>
      </c>
      <c r="AA119" s="16">
        <f>Y119/'Gearing Calculator'!$C$24</f>
        <v>26.390015961093148</v>
      </c>
      <c r="AB119" s="16">
        <f t="shared" si="10"/>
        <v>434.15032123044341</v>
      </c>
      <c r="AC119" s="16">
        <v>0</v>
      </c>
      <c r="AD119" s="16">
        <v>0</v>
      </c>
      <c r="AE119" s="16">
        <v>116</v>
      </c>
      <c r="AF119" s="16">
        <f>IF(AC119=0,IF(O119=6,INDEX(Acceleration!$V$4:$V$110,MATCH('Track Data'!S119,Acceleration!$K$4:$K$110,0)),IF('Track Data'!O119=5,INDEX(Acceleration!$U$4:$U$110,MATCH('Track Data'!S119,Acceleration!$K$4:$K$110,0)),1)),U119)</f>
        <v>3.1238597153818666</v>
      </c>
      <c r="AG119" s="16">
        <f>IF(AC119=0,IF(O119=4,INDEX(Acceleration!$T$4:$T$110,MATCH('Track Data'!S119,Acceleration!$K$4:$K$110,0)),IF('Track Data'!O119=3,INDEX(Acceleration!$S$4:$S$110,MATCH('Track Data'!S119,Acceleration!$K$4:$K$110,0)),'Track Data'!AF119)),'Track Data'!U119)</f>
        <v>3.1238597153818666</v>
      </c>
      <c r="AH119" s="16">
        <f>IF(AC119=0,IF(O119=2,INDEX(Acceleration!$R$4:$R$110,MATCH('Track Data'!S119,Acceleration!$K$4:$K$110,0)),IF('Track Data'!O119=1,INDEX(Acceleration!$Q$4:$Q$110,MATCH('Track Data'!S119,Acceleration!$K$4:$K$110,0)),'Track Data'!AG119)),'Track Data'!U119)</f>
        <v>3.1238597153818666</v>
      </c>
    </row>
    <row r="120" spans="2:34" x14ac:dyDescent="0.25">
      <c r="B120" s="16">
        <v>197.72300000000001</v>
      </c>
      <c r="C120" s="16">
        <v>7390</v>
      </c>
      <c r="D120" s="16">
        <v>117</v>
      </c>
      <c r="E120" s="113">
        <v>210</v>
      </c>
      <c r="F120" s="113">
        <v>214.5</v>
      </c>
      <c r="G120" s="113">
        <v>214.2</v>
      </c>
      <c r="H120" s="113">
        <f t="shared" si="11"/>
        <v>59.499999999999993</v>
      </c>
      <c r="I120" s="113">
        <v>5.2</v>
      </c>
      <c r="J120" s="113">
        <v>59.76</v>
      </c>
      <c r="K120" s="113">
        <v>-1.2</v>
      </c>
      <c r="L120" s="189"/>
      <c r="M120" s="16">
        <v>117</v>
      </c>
      <c r="N120" s="16">
        <f t="shared" si="13"/>
        <v>1.5949333452901098E-2</v>
      </c>
      <c r="O120" s="16">
        <v>6</v>
      </c>
      <c r="P120" s="16">
        <f t="shared" si="8"/>
        <v>7.3113821138211375</v>
      </c>
      <c r="Q120" s="16">
        <f t="shared" si="14"/>
        <v>62.698544923713122</v>
      </c>
      <c r="R120" s="113">
        <f t="shared" si="9"/>
        <v>311.95699999999999</v>
      </c>
      <c r="S120" s="16">
        <f>IF(S119=15800,15800,ROUND((((Q120*60)/'Gearing Calculator'!$C$14)*'Track Data'!P120),-2))</f>
        <v>13900</v>
      </c>
      <c r="T120" s="16">
        <f t="shared" si="12"/>
        <v>3.1238597153818666</v>
      </c>
      <c r="U120" s="16">
        <f>IF(AC120=100,Braking!$AG$2354,IF(AC120=50,Braking!$AG$1179,IF(AC120=75,Braking!$AG$1767,0)))</f>
        <v>0</v>
      </c>
      <c r="V120" s="16">
        <f>0.5*'Gearing Calculator'!$C$15*'Gearing Calculator'!$C$20*'Gearing Calculator'!$W$20*('Track Data'!Q120^2)</f>
        <v>416.06842156270432</v>
      </c>
      <c r="W120" s="16">
        <f>('Gearing Calculator'!$U$9*'Track Data'!T120)+'Track Data'!V120</f>
        <v>1247.6398777973573</v>
      </c>
      <c r="X120" s="16">
        <f>('Gearing Calculator'!$U$9*9.81)*('Gearing Calculator'!$U$16/'Gearing Calculator'!$C$7)-(('Track Data'!W120)*('Gearing Calculator'!$U$17/'Gearing Calculator'!$C$7))</f>
        <v>721.11336061557199</v>
      </c>
      <c r="Y120" s="16">
        <f>('Gearing Calculator'!$U$9*9.81)*(('Gearing Calculator'!$C$7-'Gearing Calculator'!$U$16)/'Gearing Calculator'!$C$7)+(('Track Data'!W120)*('Gearing Calculator'!$U$17/'Gearing Calculator'!$C$7))</f>
        <v>1890.308639384428</v>
      </c>
      <c r="Z120" s="16">
        <f>((X120*COS('Gearing Calculator'!$C$21))/'Gearing Calculator'!$C$22)/2</f>
        <v>22.294544422985368</v>
      </c>
      <c r="AA120" s="16">
        <f>Y120/'Gearing Calculator'!$C$24</f>
        <v>26.395048788294147</v>
      </c>
      <c r="AB120" s="16">
        <f t="shared" si="10"/>
        <v>434.8115798549955</v>
      </c>
      <c r="AC120" s="16">
        <v>0</v>
      </c>
      <c r="AD120" s="16">
        <v>0</v>
      </c>
      <c r="AE120" s="16">
        <v>117</v>
      </c>
      <c r="AF120" s="16">
        <f>IF(AC120=0,IF(O120=6,INDEX(Acceleration!$V$4:$V$110,MATCH('Track Data'!S120,Acceleration!$K$4:$K$110,0)),IF('Track Data'!O120=5,INDEX(Acceleration!$U$4:$U$110,MATCH('Track Data'!S120,Acceleration!$K$4:$K$110,0)),1)),U120)</f>
        <v>3.1238597153818666</v>
      </c>
      <c r="AG120" s="16">
        <f>IF(AC120=0,IF(O120=4,INDEX(Acceleration!$T$4:$T$110,MATCH('Track Data'!S120,Acceleration!$K$4:$K$110,0)),IF('Track Data'!O120=3,INDEX(Acceleration!$S$4:$S$110,MATCH('Track Data'!S120,Acceleration!$K$4:$K$110,0)),'Track Data'!AF120)),'Track Data'!U120)</f>
        <v>3.1238597153818666</v>
      </c>
      <c r="AH120" s="16">
        <f>IF(AC120=0,IF(O120=2,INDEX(Acceleration!$R$4:$R$110,MATCH('Track Data'!S120,Acceleration!$K$4:$K$110,0)),IF('Track Data'!O120=1,INDEX(Acceleration!$Q$4:$Q$110,MATCH('Track Data'!S120,Acceleration!$K$4:$K$110,0)),'Track Data'!AG120)),'Track Data'!U120)</f>
        <v>3.1238597153818666</v>
      </c>
    </row>
    <row r="121" spans="2:34" x14ac:dyDescent="0.25">
      <c r="B121" s="16">
        <v>197.739</v>
      </c>
      <c r="C121" s="16">
        <v>7391</v>
      </c>
      <c r="D121" s="16">
        <v>118</v>
      </c>
      <c r="E121" s="113">
        <v>210</v>
      </c>
      <c r="F121" s="113">
        <v>214.3</v>
      </c>
      <c r="G121" s="113">
        <v>214.1</v>
      </c>
      <c r="H121" s="113">
        <f t="shared" si="11"/>
        <v>59.472222222222221</v>
      </c>
      <c r="I121" s="113">
        <v>4.8</v>
      </c>
      <c r="J121" s="113">
        <v>63.1</v>
      </c>
      <c r="K121" s="113">
        <v>-1.2</v>
      </c>
      <c r="L121" s="189"/>
      <c r="M121" s="16">
        <v>118</v>
      </c>
      <c r="N121" s="16">
        <f t="shared" si="13"/>
        <v>1.5936674381655514E-2</v>
      </c>
      <c r="O121" s="16">
        <v>6</v>
      </c>
      <c r="P121" s="16">
        <f t="shared" si="8"/>
        <v>7.3113821138211375</v>
      </c>
      <c r="Q121" s="16">
        <f t="shared" si="14"/>
        <v>62.748348623542569</v>
      </c>
      <c r="R121" s="113">
        <f t="shared" si="9"/>
        <v>311.95699999999999</v>
      </c>
      <c r="S121" s="16">
        <f>IF(S120=15800,15800,ROUND((((Q121*60)/'Gearing Calculator'!$C$14)*'Track Data'!P121),-2))</f>
        <v>13900</v>
      </c>
      <c r="T121" s="16">
        <f t="shared" si="12"/>
        <v>3.1238597153818666</v>
      </c>
      <c r="U121" s="16">
        <f>IF(AC121=100,Braking!$AG$2354,IF(AC121=50,Braking!$AG$1179,IF(AC121=75,Braking!$AG$1767,0)))</f>
        <v>0</v>
      </c>
      <c r="V121" s="16">
        <f>0.5*'Gearing Calculator'!$C$15*'Gearing Calculator'!$C$20*'Gearing Calculator'!$W$20*('Track Data'!Q121^2)</f>
        <v>416.72968018725641</v>
      </c>
      <c r="W121" s="16">
        <f>('Gearing Calculator'!$U$9*'Track Data'!T121)+'Track Data'!V121</f>
        <v>1248.3011364219092</v>
      </c>
      <c r="X121" s="16">
        <f>('Gearing Calculator'!$U$9*9.81)*('Gearing Calculator'!$U$16/'Gearing Calculator'!$C$7)-(('Track Data'!W121)*('Gearing Calculator'!$U$17/'Gearing Calculator'!$C$7))</f>
        <v>720.75292950537118</v>
      </c>
      <c r="Y121" s="16">
        <f>('Gearing Calculator'!$U$9*9.81)*(('Gearing Calculator'!$C$7-'Gearing Calculator'!$U$16)/'Gearing Calculator'!$C$7)+(('Track Data'!W121)*('Gearing Calculator'!$U$17/'Gearing Calculator'!$C$7))</f>
        <v>1890.6690704946288</v>
      </c>
      <c r="Z121" s="16">
        <f>((X121*COS('Gearing Calculator'!$C$21))/'Gearing Calculator'!$C$22)/2</f>
        <v>22.283401033004438</v>
      </c>
      <c r="AA121" s="16">
        <f>Y121/'Gearing Calculator'!$C$24</f>
        <v>26.400081615495143</v>
      </c>
      <c r="AB121" s="16">
        <f t="shared" si="10"/>
        <v>435.47283847954759</v>
      </c>
      <c r="AC121" s="16">
        <v>0</v>
      </c>
      <c r="AD121" s="16">
        <v>0</v>
      </c>
      <c r="AE121" s="16">
        <v>118</v>
      </c>
      <c r="AF121" s="16">
        <f>IF(AC121=0,IF(O121=6,INDEX(Acceleration!$V$4:$V$110,MATCH('Track Data'!S121,Acceleration!$K$4:$K$110,0)),IF('Track Data'!O121=5,INDEX(Acceleration!$U$4:$U$110,MATCH('Track Data'!S121,Acceleration!$K$4:$K$110,0)),1)),U121)</f>
        <v>3.1238597153818666</v>
      </c>
      <c r="AG121" s="16">
        <f>IF(AC121=0,IF(O121=4,INDEX(Acceleration!$T$4:$T$110,MATCH('Track Data'!S121,Acceleration!$K$4:$K$110,0)),IF('Track Data'!O121=3,INDEX(Acceleration!$S$4:$S$110,MATCH('Track Data'!S121,Acceleration!$K$4:$K$110,0)),'Track Data'!AF121)),'Track Data'!U121)</f>
        <v>3.1238597153818666</v>
      </c>
      <c r="AH121" s="16">
        <f>IF(AC121=0,IF(O121=2,INDEX(Acceleration!$R$4:$R$110,MATCH('Track Data'!S121,Acceleration!$K$4:$K$110,0)),IF('Track Data'!O121=1,INDEX(Acceleration!$Q$4:$Q$110,MATCH('Track Data'!S121,Acceleration!$K$4:$K$110,0)),'Track Data'!AG121)),'Track Data'!U121)</f>
        <v>3.1238597153818666</v>
      </c>
    </row>
    <row r="122" spans="2:34" x14ac:dyDescent="0.25">
      <c r="B122" s="16">
        <v>197.756</v>
      </c>
      <c r="C122" s="16">
        <v>7392</v>
      </c>
      <c r="D122" s="16">
        <v>119</v>
      </c>
      <c r="E122" s="113">
        <v>209</v>
      </c>
      <c r="F122" s="113">
        <v>214</v>
      </c>
      <c r="G122" s="113">
        <v>213.8</v>
      </c>
      <c r="H122" s="113">
        <f t="shared" si="11"/>
        <v>59.388888888888893</v>
      </c>
      <c r="I122" s="113">
        <v>4.4000000000000004</v>
      </c>
      <c r="J122" s="113">
        <v>66.400000000000006</v>
      </c>
      <c r="K122" s="113">
        <v>-1.2</v>
      </c>
      <c r="L122" s="189"/>
      <c r="M122" s="16">
        <v>119</v>
      </c>
      <c r="N122" s="16">
        <f t="shared" si="13"/>
        <v>1.5924045405357662E-2</v>
      </c>
      <c r="O122" s="16">
        <v>6</v>
      </c>
      <c r="P122" s="16">
        <f t="shared" si="8"/>
        <v>7.3113821138211375</v>
      </c>
      <c r="Q122" s="16">
        <f t="shared" si="14"/>
        <v>62.798112825246591</v>
      </c>
      <c r="R122" s="113">
        <f t="shared" si="9"/>
        <v>311.95699999999999</v>
      </c>
      <c r="S122" s="16">
        <f>IF(S121=15800,15800,ROUND((((Q122*60)/'Gearing Calculator'!$C$14)*'Track Data'!P122),-2))</f>
        <v>13900</v>
      </c>
      <c r="T122" s="16">
        <f t="shared" si="12"/>
        <v>3.1238597153818666</v>
      </c>
      <c r="U122" s="16">
        <f>IF(AC122=100,Braking!$AG$2354,IF(AC122=50,Braking!$AG$1179,IF(AC122=75,Braking!$AG$1767,0)))</f>
        <v>0</v>
      </c>
      <c r="V122" s="16">
        <f>0.5*'Gearing Calculator'!$C$15*'Gearing Calculator'!$C$20*'Gearing Calculator'!$W$20*('Track Data'!Q122^2)</f>
        <v>417.39093881180838</v>
      </c>
      <c r="W122" s="16">
        <f>('Gearing Calculator'!$U$9*'Track Data'!T122)+'Track Data'!V122</f>
        <v>1248.9623950464611</v>
      </c>
      <c r="X122" s="16">
        <f>('Gearing Calculator'!$U$9*9.81)*('Gearing Calculator'!$U$16/'Gearing Calculator'!$C$7)-(('Track Data'!W122)*('Gearing Calculator'!$U$17/'Gearing Calculator'!$C$7))</f>
        <v>720.39249839517038</v>
      </c>
      <c r="Y122" s="16">
        <f>('Gearing Calculator'!$U$9*9.81)*(('Gearing Calculator'!$C$7-'Gearing Calculator'!$U$16)/'Gearing Calculator'!$C$7)+(('Track Data'!W122)*('Gearing Calculator'!$U$17/'Gearing Calculator'!$C$7))</f>
        <v>1891.0295016048296</v>
      </c>
      <c r="Z122" s="16">
        <f>((X122*COS('Gearing Calculator'!$C$21))/'Gearing Calculator'!$C$22)/2</f>
        <v>22.272257643023508</v>
      </c>
      <c r="AA122" s="16">
        <f>Y122/'Gearing Calculator'!$C$24</f>
        <v>26.405114442696135</v>
      </c>
      <c r="AB122" s="16">
        <f t="shared" si="10"/>
        <v>436.13409710409957</v>
      </c>
      <c r="AC122" s="16">
        <v>0</v>
      </c>
      <c r="AD122" s="16">
        <v>0</v>
      </c>
      <c r="AE122" s="16">
        <v>119</v>
      </c>
      <c r="AF122" s="16">
        <f>IF(AC122=0,IF(O122=6,INDEX(Acceleration!$V$4:$V$110,MATCH('Track Data'!S122,Acceleration!$K$4:$K$110,0)),IF('Track Data'!O122=5,INDEX(Acceleration!$U$4:$U$110,MATCH('Track Data'!S122,Acceleration!$K$4:$K$110,0)),1)),U122)</f>
        <v>3.1238597153818666</v>
      </c>
      <c r="AG122" s="16">
        <f>IF(AC122=0,IF(O122=4,INDEX(Acceleration!$T$4:$T$110,MATCH('Track Data'!S122,Acceleration!$K$4:$K$110,0)),IF('Track Data'!O122=3,INDEX(Acceleration!$S$4:$S$110,MATCH('Track Data'!S122,Acceleration!$K$4:$K$110,0)),'Track Data'!AF122)),'Track Data'!U122)</f>
        <v>3.1238597153818666</v>
      </c>
      <c r="AH122" s="16">
        <f>IF(AC122=0,IF(O122=2,INDEX(Acceleration!$R$4:$R$110,MATCH('Track Data'!S122,Acceleration!$K$4:$K$110,0)),IF('Track Data'!O122=1,INDEX(Acceleration!$Q$4:$Q$110,MATCH('Track Data'!S122,Acceleration!$K$4:$K$110,0)),'Track Data'!AG122)),'Track Data'!U122)</f>
        <v>3.1238597153818666</v>
      </c>
    </row>
    <row r="123" spans="2:34" x14ac:dyDescent="0.25">
      <c r="B123" s="16">
        <v>197.773</v>
      </c>
      <c r="C123" s="16">
        <v>7393</v>
      </c>
      <c r="D123" s="16">
        <v>120</v>
      </c>
      <c r="E123" s="113">
        <v>209</v>
      </c>
      <c r="F123" s="113">
        <v>213.3</v>
      </c>
      <c r="G123" s="113">
        <v>213.4</v>
      </c>
      <c r="H123" s="113">
        <f t="shared" si="11"/>
        <v>59.277777777777779</v>
      </c>
      <c r="I123" s="113">
        <v>4.3</v>
      </c>
      <c r="J123" s="113">
        <v>69.05</v>
      </c>
      <c r="K123" s="113">
        <v>-1.2</v>
      </c>
      <c r="L123" s="189"/>
      <c r="M123" s="16">
        <v>120</v>
      </c>
      <c r="N123" s="16">
        <f t="shared" si="13"/>
        <v>1.5911446404952879E-2</v>
      </c>
      <c r="O123" s="16">
        <v>6</v>
      </c>
      <c r="P123" s="16">
        <f t="shared" si="8"/>
        <v>7.3113821138211375</v>
      </c>
      <c r="Q123" s="16">
        <f t="shared" si="14"/>
        <v>62.847837622651461</v>
      </c>
      <c r="R123" s="113">
        <f t="shared" si="9"/>
        <v>311.95699999999999</v>
      </c>
      <c r="S123" s="16">
        <f>IF(S122=15800,15800,ROUND((((Q123*60)/'Gearing Calculator'!$C$14)*'Track Data'!P123),-2))</f>
        <v>13900</v>
      </c>
      <c r="T123" s="16">
        <f t="shared" si="12"/>
        <v>3.1238597153818666</v>
      </c>
      <c r="U123" s="16">
        <f>IF(AC123=100,Braking!$AG$2354,IF(AC123=50,Braking!$AG$1179,IF(AC123=75,Braking!$AG$1767,0)))</f>
        <v>0</v>
      </c>
      <c r="V123" s="16">
        <f>0.5*'Gearing Calculator'!$C$15*'Gearing Calculator'!$C$20*'Gearing Calculator'!$W$20*('Track Data'!Q123^2)</f>
        <v>418.05219743636053</v>
      </c>
      <c r="W123" s="16">
        <f>('Gearing Calculator'!$U$9*'Track Data'!T123)+'Track Data'!V123</f>
        <v>1249.6236536710135</v>
      </c>
      <c r="X123" s="16">
        <f>('Gearing Calculator'!$U$9*9.81)*('Gearing Calculator'!$U$16/'Gearing Calculator'!$C$7)-(('Track Data'!W123)*('Gearing Calculator'!$U$17/'Gearing Calculator'!$C$7))</f>
        <v>720.03206728496923</v>
      </c>
      <c r="Y123" s="16">
        <f>('Gearing Calculator'!$U$9*9.81)*(('Gearing Calculator'!$C$7-'Gearing Calculator'!$U$16)/'Gearing Calculator'!$C$7)+(('Track Data'!W123)*('Gearing Calculator'!$U$17/'Gearing Calculator'!$C$7))</f>
        <v>1891.3899327150307</v>
      </c>
      <c r="Z123" s="16">
        <f>((X123*COS('Gearing Calculator'!$C$21))/'Gearing Calculator'!$C$22)/2</f>
        <v>22.261114253042567</v>
      </c>
      <c r="AA123" s="16">
        <f>Y123/'Gearing Calculator'!$C$24</f>
        <v>26.410147269897134</v>
      </c>
      <c r="AB123" s="16">
        <f t="shared" si="10"/>
        <v>436.79535572865171</v>
      </c>
      <c r="AC123" s="16">
        <v>0</v>
      </c>
      <c r="AD123" s="16">
        <v>0</v>
      </c>
      <c r="AE123" s="16">
        <v>120</v>
      </c>
      <c r="AF123" s="16">
        <f>IF(AC123=0,IF(O123=6,INDEX(Acceleration!$V$4:$V$110,MATCH('Track Data'!S123,Acceleration!$K$4:$K$110,0)),IF('Track Data'!O123=5,INDEX(Acceleration!$U$4:$U$110,MATCH('Track Data'!S123,Acceleration!$K$4:$K$110,0)),1)),U123)</f>
        <v>3.1238597153818666</v>
      </c>
      <c r="AG123" s="16">
        <f>IF(AC123=0,IF(O123=4,INDEX(Acceleration!$T$4:$T$110,MATCH('Track Data'!S123,Acceleration!$K$4:$K$110,0)),IF('Track Data'!O123=3,INDEX(Acceleration!$S$4:$S$110,MATCH('Track Data'!S123,Acceleration!$K$4:$K$110,0)),'Track Data'!AF123)),'Track Data'!U123)</f>
        <v>3.1238597153818666</v>
      </c>
      <c r="AH123" s="16">
        <f>IF(AC123=0,IF(O123=2,INDEX(Acceleration!$R$4:$R$110,MATCH('Track Data'!S123,Acceleration!$K$4:$K$110,0)),IF('Track Data'!O123=1,INDEX(Acceleration!$Q$4:$Q$110,MATCH('Track Data'!S123,Acceleration!$K$4:$K$110,0)),'Track Data'!AG123)),'Track Data'!U123)</f>
        <v>3.1238597153818666</v>
      </c>
    </row>
    <row r="124" spans="2:34" x14ac:dyDescent="0.25">
      <c r="B124" s="16">
        <v>197.79</v>
      </c>
      <c r="C124" s="16">
        <v>7394</v>
      </c>
      <c r="D124" s="16">
        <v>121</v>
      </c>
      <c r="E124" s="113">
        <v>209</v>
      </c>
      <c r="F124" s="113">
        <v>212.4</v>
      </c>
      <c r="G124" s="113">
        <v>213.1</v>
      </c>
      <c r="H124" s="113">
        <f t="shared" si="11"/>
        <v>59.194444444444443</v>
      </c>
      <c r="I124" s="113">
        <v>4.5999999999999996</v>
      </c>
      <c r="J124" s="113">
        <v>71.13</v>
      </c>
      <c r="K124" s="113">
        <v>-1.2</v>
      </c>
      <c r="L124" s="189"/>
      <c r="M124" s="16">
        <v>121</v>
      </c>
      <c r="N124" s="16">
        <f t="shared" si="13"/>
        <v>1.5898877262044846E-2</v>
      </c>
      <c r="O124" s="16">
        <v>6</v>
      </c>
      <c r="P124" s="16">
        <f t="shared" si="8"/>
        <v>7.3113821138211375</v>
      </c>
      <c r="Q124" s="16">
        <f t="shared" si="14"/>
        <v>62.897523109212564</v>
      </c>
      <c r="R124" s="113">
        <f t="shared" si="9"/>
        <v>311.95699999999999</v>
      </c>
      <c r="S124" s="16">
        <f>IF(S123=15800,15800,ROUND((((Q124*60)/'Gearing Calculator'!$C$14)*'Track Data'!P124),-2))</f>
        <v>13900</v>
      </c>
      <c r="T124" s="16">
        <f t="shared" si="12"/>
        <v>3.1238597153818666</v>
      </c>
      <c r="U124" s="16">
        <f>IF(AC124=100,Braking!$AG$2354,IF(AC124=50,Braking!$AG$1179,IF(AC124=75,Braking!$AG$1767,0)))</f>
        <v>0</v>
      </c>
      <c r="V124" s="16">
        <f>0.5*'Gearing Calculator'!$C$15*'Gearing Calculator'!$C$20*'Gearing Calculator'!$W$20*('Track Data'!Q124^2)</f>
        <v>418.71345606091256</v>
      </c>
      <c r="W124" s="16">
        <f>('Gearing Calculator'!$U$9*'Track Data'!T124)+'Track Data'!V124</f>
        <v>1250.2849122955654</v>
      </c>
      <c r="X124" s="16">
        <f>('Gearing Calculator'!$U$9*9.81)*('Gearing Calculator'!$U$16/'Gearing Calculator'!$C$7)-(('Track Data'!W124)*('Gearing Calculator'!$U$17/'Gearing Calculator'!$C$7))</f>
        <v>719.67163617476842</v>
      </c>
      <c r="Y124" s="16">
        <f>('Gearing Calculator'!$U$9*9.81)*(('Gearing Calculator'!$C$7-'Gearing Calculator'!$U$16)/'Gearing Calculator'!$C$7)+(('Track Data'!W124)*('Gearing Calculator'!$U$17/'Gearing Calculator'!$C$7))</f>
        <v>1891.7503638252315</v>
      </c>
      <c r="Z124" s="16">
        <f>((X124*COS('Gearing Calculator'!$C$21))/'Gearing Calculator'!$C$22)/2</f>
        <v>22.249970863061638</v>
      </c>
      <c r="AA124" s="16">
        <f>Y124/'Gearing Calculator'!$C$24</f>
        <v>26.41518009709813</v>
      </c>
      <c r="AB124" s="16">
        <f t="shared" si="10"/>
        <v>437.45661435320375</v>
      </c>
      <c r="AC124" s="16">
        <v>0</v>
      </c>
      <c r="AD124" s="16">
        <v>0</v>
      </c>
      <c r="AE124" s="16">
        <v>121</v>
      </c>
      <c r="AF124" s="16">
        <f>IF(AC124=0,IF(O124=6,INDEX(Acceleration!$V$4:$V$110,MATCH('Track Data'!S124,Acceleration!$K$4:$K$110,0)),IF('Track Data'!O124=5,INDEX(Acceleration!$U$4:$U$110,MATCH('Track Data'!S124,Acceleration!$K$4:$K$110,0)),1)),U124)</f>
        <v>3.1238597153818666</v>
      </c>
      <c r="AG124" s="16">
        <f>IF(AC124=0,IF(O124=4,INDEX(Acceleration!$T$4:$T$110,MATCH('Track Data'!S124,Acceleration!$K$4:$K$110,0)),IF('Track Data'!O124=3,INDEX(Acceleration!$S$4:$S$110,MATCH('Track Data'!S124,Acceleration!$K$4:$K$110,0)),'Track Data'!AF124)),'Track Data'!U124)</f>
        <v>3.1238597153818666</v>
      </c>
      <c r="AH124" s="16">
        <f>IF(AC124=0,IF(O124=2,INDEX(Acceleration!$R$4:$R$110,MATCH('Track Data'!S124,Acceleration!$K$4:$K$110,0)),IF('Track Data'!O124=1,INDEX(Acceleration!$Q$4:$Q$110,MATCH('Track Data'!S124,Acceleration!$K$4:$K$110,0)),'Track Data'!AG124)),'Track Data'!U124)</f>
        <v>3.1238597153818666</v>
      </c>
    </row>
    <row r="125" spans="2:34" x14ac:dyDescent="0.25">
      <c r="B125" s="16">
        <v>197.80699999999999</v>
      </c>
      <c r="C125" s="16">
        <v>7395</v>
      </c>
      <c r="D125" s="16">
        <v>122</v>
      </c>
      <c r="E125" s="113">
        <v>209</v>
      </c>
      <c r="F125" s="113">
        <v>212</v>
      </c>
      <c r="G125" s="113">
        <v>212.9</v>
      </c>
      <c r="H125" s="113">
        <f t="shared" si="11"/>
        <v>59.138888888888886</v>
      </c>
      <c r="I125" s="113">
        <v>4.8</v>
      </c>
      <c r="J125" s="113">
        <v>72.489999999999995</v>
      </c>
      <c r="K125" s="113">
        <v>-1.2</v>
      </c>
      <c r="L125" s="189"/>
      <c r="M125" s="16">
        <v>122</v>
      </c>
      <c r="N125" s="16">
        <f t="shared" si="13"/>
        <v>1.5886337858890889E-2</v>
      </c>
      <c r="O125" s="16">
        <v>6</v>
      </c>
      <c r="P125" s="16">
        <f t="shared" si="8"/>
        <v>7.3113821138211375</v>
      </c>
      <c r="Q125" s="16">
        <f t="shared" si="14"/>
        <v>62.947169378016454</v>
      </c>
      <c r="R125" s="113">
        <f t="shared" si="9"/>
        <v>311.95699999999999</v>
      </c>
      <c r="S125" s="16">
        <f>IF(S124=15800,15800,ROUND((((Q125*60)/'Gearing Calculator'!$C$14)*'Track Data'!P125),-2))</f>
        <v>14000</v>
      </c>
      <c r="T125" s="16">
        <f t="shared" si="12"/>
        <v>3.1163856753616024</v>
      </c>
      <c r="U125" s="16">
        <f>IF(AC125=100,Braking!$AG$2354,IF(AC125=50,Braking!$AG$1179,IF(AC125=75,Braking!$AG$1767,0)))</f>
        <v>0</v>
      </c>
      <c r="V125" s="16">
        <f>0.5*'Gearing Calculator'!$C$15*'Gearing Calculator'!$C$20*'Gearing Calculator'!$W$20*('Track Data'!Q125^2)</f>
        <v>419.3747146854646</v>
      </c>
      <c r="W125" s="16">
        <f>('Gearing Calculator'!$U$9*'Track Data'!T125)+'Track Data'!V125</f>
        <v>1248.956581466723</v>
      </c>
      <c r="X125" s="16">
        <f>('Gearing Calculator'!$U$9*9.81)*('Gearing Calculator'!$U$16/'Gearing Calculator'!$C$7)-(('Track Data'!W125)*('Gearing Calculator'!$U$17/'Gearing Calculator'!$C$7))</f>
        <v>720.3956671931586</v>
      </c>
      <c r="Y125" s="16">
        <f>('Gearing Calculator'!$U$9*9.81)*(('Gearing Calculator'!$C$7-'Gearing Calculator'!$U$16)/'Gearing Calculator'!$C$7)+(('Track Data'!W125)*('Gearing Calculator'!$U$17/'Gearing Calculator'!$C$7))</f>
        <v>1891.0263328068413</v>
      </c>
      <c r="Z125" s="16">
        <f>((X125*COS('Gearing Calculator'!$C$21))/'Gearing Calculator'!$C$22)/2</f>
        <v>22.272355612235248</v>
      </c>
      <c r="AA125" s="16">
        <f>Y125/'Gearing Calculator'!$C$24</f>
        <v>26.405070195647923</v>
      </c>
      <c r="AB125" s="16">
        <f t="shared" si="10"/>
        <v>438.07302873763422</v>
      </c>
      <c r="AC125" s="16">
        <v>0</v>
      </c>
      <c r="AD125" s="16">
        <v>0</v>
      </c>
      <c r="AE125" s="16">
        <v>122</v>
      </c>
      <c r="AF125" s="16">
        <f>IF(AC125=0,IF(O125=6,INDEX(Acceleration!$V$4:$V$110,MATCH('Track Data'!S125,Acceleration!$K$4:$K$110,0)),IF('Track Data'!O125=5,INDEX(Acceleration!$U$4:$U$110,MATCH('Track Data'!S125,Acceleration!$K$4:$K$110,0)),1)),U125)</f>
        <v>3.1163856753616024</v>
      </c>
      <c r="AG125" s="16">
        <f>IF(AC125=0,IF(O125=4,INDEX(Acceleration!$T$4:$T$110,MATCH('Track Data'!S125,Acceleration!$K$4:$K$110,0)),IF('Track Data'!O125=3,INDEX(Acceleration!$S$4:$S$110,MATCH('Track Data'!S125,Acceleration!$K$4:$K$110,0)),'Track Data'!AF125)),'Track Data'!U125)</f>
        <v>3.1163856753616024</v>
      </c>
      <c r="AH125" s="16">
        <f>IF(AC125=0,IF(O125=2,INDEX(Acceleration!$R$4:$R$110,MATCH('Track Data'!S125,Acceleration!$K$4:$K$110,0)),IF('Track Data'!O125=1,INDEX(Acceleration!$Q$4:$Q$110,MATCH('Track Data'!S125,Acceleration!$K$4:$K$110,0)),'Track Data'!AG125)),'Track Data'!U125)</f>
        <v>3.1163856753616024</v>
      </c>
    </row>
    <row r="126" spans="2:34" x14ac:dyDescent="0.25">
      <c r="B126" s="16">
        <v>197.82400000000001</v>
      </c>
      <c r="C126" s="16">
        <v>7396</v>
      </c>
      <c r="D126" s="16">
        <v>123</v>
      </c>
      <c r="E126" s="113">
        <v>208</v>
      </c>
      <c r="F126" s="113">
        <v>211.3</v>
      </c>
      <c r="G126" s="113">
        <v>212.5</v>
      </c>
      <c r="H126" s="113">
        <f t="shared" si="11"/>
        <v>59.027777777777779</v>
      </c>
      <c r="I126" s="113">
        <v>4.8</v>
      </c>
      <c r="J126" s="113">
        <v>73.31</v>
      </c>
      <c r="K126" s="113">
        <v>-1.2</v>
      </c>
      <c r="L126" s="189"/>
      <c r="M126" s="16">
        <v>123</v>
      </c>
      <c r="N126" s="16">
        <f t="shared" si="13"/>
        <v>1.5873857973611093E-2</v>
      </c>
      <c r="O126" s="16">
        <v>6</v>
      </c>
      <c r="P126" s="16">
        <f t="shared" si="8"/>
        <v>7.3113821138211375</v>
      </c>
      <c r="Q126" s="16">
        <f t="shared" si="14"/>
        <v>62.996657880044843</v>
      </c>
      <c r="R126" s="113">
        <f t="shared" si="9"/>
        <v>311.95699999999999</v>
      </c>
      <c r="S126" s="16">
        <f>IF(S125=15800,15800,ROUND((((Q126*60)/'Gearing Calculator'!$C$14)*'Track Data'!P126),-2))</f>
        <v>14000</v>
      </c>
      <c r="T126" s="16">
        <f t="shared" si="12"/>
        <v>3.1163856753616024</v>
      </c>
      <c r="U126" s="16">
        <f>IF(AC126=100,Braking!$AG$2354,IF(AC126=50,Braking!$AG$1179,IF(AC126=75,Braking!$AG$1767,0)))</f>
        <v>0</v>
      </c>
      <c r="V126" s="16">
        <f>0.5*'Gearing Calculator'!$C$15*'Gearing Calculator'!$C$20*'Gearing Calculator'!$W$20*('Track Data'!Q126^2)</f>
        <v>420.03439120522518</v>
      </c>
      <c r="W126" s="16">
        <f>('Gearing Calculator'!$U$9*'Track Data'!T126)+'Track Data'!V126</f>
        <v>1249.6162579864838</v>
      </c>
      <c r="X126" s="16">
        <f>('Gearing Calculator'!$U$9*9.81)*('Gearing Calculator'!$U$16/'Gearing Calculator'!$C$7)-(('Track Data'!W126)*('Gearing Calculator'!$U$17/'Gearing Calculator'!$C$7))</f>
        <v>720.03609843811682</v>
      </c>
      <c r="Y126" s="16">
        <f>('Gearing Calculator'!$U$9*9.81)*(('Gearing Calculator'!$C$7-'Gearing Calculator'!$U$16)/'Gearing Calculator'!$C$7)+(('Track Data'!W126)*('Gearing Calculator'!$U$17/'Gearing Calculator'!$C$7))</f>
        <v>1891.3859015618832</v>
      </c>
      <c r="Z126" s="16">
        <f>((X126*COS('Gearing Calculator'!$C$21))/'Gearing Calculator'!$C$22)/2</f>
        <v>22.26123888354844</v>
      </c>
      <c r="AA126" s="16">
        <f>Y126/'Gearing Calculator'!$C$24</f>
        <v>26.410090981478522</v>
      </c>
      <c r="AB126" s="16">
        <f t="shared" si="10"/>
        <v>438.7327052573948</v>
      </c>
      <c r="AC126" s="16">
        <v>0</v>
      </c>
      <c r="AD126" s="16">
        <v>0</v>
      </c>
      <c r="AE126" s="16">
        <v>123</v>
      </c>
      <c r="AF126" s="16">
        <f>IF(AC126=0,IF(O126=6,INDEX(Acceleration!$V$4:$V$110,MATCH('Track Data'!S126,Acceleration!$K$4:$K$110,0)),IF('Track Data'!O126=5,INDEX(Acceleration!$U$4:$U$110,MATCH('Track Data'!S126,Acceleration!$K$4:$K$110,0)),1)),U126)</f>
        <v>3.1163856753616024</v>
      </c>
      <c r="AG126" s="16">
        <f>IF(AC126=0,IF(O126=4,INDEX(Acceleration!$T$4:$T$110,MATCH('Track Data'!S126,Acceleration!$K$4:$K$110,0)),IF('Track Data'!O126=3,INDEX(Acceleration!$S$4:$S$110,MATCH('Track Data'!S126,Acceleration!$K$4:$K$110,0)),'Track Data'!AF126)),'Track Data'!U126)</f>
        <v>3.1163856753616024</v>
      </c>
      <c r="AH126" s="16">
        <f>IF(AC126=0,IF(O126=2,INDEX(Acceleration!$R$4:$R$110,MATCH('Track Data'!S126,Acceleration!$K$4:$K$110,0)),IF('Track Data'!O126=1,INDEX(Acceleration!$Q$4:$Q$110,MATCH('Track Data'!S126,Acceleration!$K$4:$K$110,0)),'Track Data'!AG126)),'Track Data'!U126)</f>
        <v>3.1163856753616024</v>
      </c>
    </row>
    <row r="127" spans="2:34" x14ac:dyDescent="0.25">
      <c r="B127" s="16">
        <v>197.84100000000001</v>
      </c>
      <c r="C127" s="16">
        <v>7397</v>
      </c>
      <c r="D127" s="16">
        <v>124</v>
      </c>
      <c r="E127" s="113">
        <v>208</v>
      </c>
      <c r="F127" s="113">
        <v>210.6</v>
      </c>
      <c r="G127" s="113">
        <v>212.2</v>
      </c>
      <c r="H127" s="113">
        <f t="shared" si="11"/>
        <v>58.944444444444443</v>
      </c>
      <c r="I127" s="113">
        <v>4.8</v>
      </c>
      <c r="J127" s="113">
        <v>72.42</v>
      </c>
      <c r="K127" s="113">
        <v>-1.3</v>
      </c>
      <c r="L127" s="189"/>
      <c r="M127" s="16">
        <v>124</v>
      </c>
      <c r="N127" s="16">
        <f t="shared" si="13"/>
        <v>1.5861407453796553E-2</v>
      </c>
      <c r="O127" s="16">
        <v>6</v>
      </c>
      <c r="P127" s="16">
        <f t="shared" si="8"/>
        <v>7.3113821138211375</v>
      </c>
      <c r="Q127" s="16">
        <f t="shared" si="14"/>
        <v>63.046107535724516</v>
      </c>
      <c r="R127" s="113">
        <f t="shared" si="9"/>
        <v>311.95699999999999</v>
      </c>
      <c r="S127" s="16">
        <f>IF(S126=15800,15800,ROUND((((Q127*60)/'Gearing Calculator'!$C$14)*'Track Data'!P127),-2))</f>
        <v>14000</v>
      </c>
      <c r="T127" s="16">
        <f t="shared" si="12"/>
        <v>3.1163856753616024</v>
      </c>
      <c r="U127" s="16">
        <f>IF(AC127=100,Braking!$AG$2354,IF(AC127=50,Braking!$AG$1179,IF(AC127=75,Braking!$AG$1767,0)))</f>
        <v>0</v>
      </c>
      <c r="V127" s="16">
        <f>0.5*'Gearing Calculator'!$C$15*'Gearing Calculator'!$C$20*'Gearing Calculator'!$W$20*('Track Data'!Q127^2)</f>
        <v>420.69406772498581</v>
      </c>
      <c r="W127" s="16">
        <f>('Gearing Calculator'!$U$9*'Track Data'!T127)+'Track Data'!V127</f>
        <v>1250.2759345062443</v>
      </c>
      <c r="X127" s="16">
        <f>('Gearing Calculator'!$U$9*9.81)*('Gearing Calculator'!$U$16/'Gearing Calculator'!$C$7)-(('Track Data'!W127)*('Gearing Calculator'!$U$17/'Gearing Calculator'!$C$7))</f>
        <v>719.67652968307516</v>
      </c>
      <c r="Y127" s="16">
        <f>('Gearing Calculator'!$U$9*9.81)*(('Gearing Calculator'!$C$7-'Gearing Calculator'!$U$16)/'Gearing Calculator'!$C$7)+(('Track Data'!W127)*('Gearing Calculator'!$U$17/'Gearing Calculator'!$C$7))</f>
        <v>1891.7454703169249</v>
      </c>
      <c r="Z127" s="16">
        <f>((X127*COS('Gearing Calculator'!$C$21))/'Gearing Calculator'!$C$22)/2</f>
        <v>22.250122154861636</v>
      </c>
      <c r="AA127" s="16">
        <f>Y127/'Gearing Calculator'!$C$24</f>
        <v>26.415111767309117</v>
      </c>
      <c r="AB127" s="16">
        <f t="shared" si="10"/>
        <v>439.39238177715544</v>
      </c>
      <c r="AC127" s="16">
        <v>0</v>
      </c>
      <c r="AD127" s="16">
        <v>0</v>
      </c>
      <c r="AE127" s="16">
        <v>124</v>
      </c>
      <c r="AF127" s="16">
        <f>IF(AC127=0,IF(O127=6,INDEX(Acceleration!$V$4:$V$110,MATCH('Track Data'!S127,Acceleration!$K$4:$K$110,0)),IF('Track Data'!O127=5,INDEX(Acceleration!$U$4:$U$110,MATCH('Track Data'!S127,Acceleration!$K$4:$K$110,0)),1)),U127)</f>
        <v>3.1163856753616024</v>
      </c>
      <c r="AG127" s="16">
        <f>IF(AC127=0,IF(O127=4,INDEX(Acceleration!$T$4:$T$110,MATCH('Track Data'!S127,Acceleration!$K$4:$K$110,0)),IF('Track Data'!O127=3,INDEX(Acceleration!$S$4:$S$110,MATCH('Track Data'!S127,Acceleration!$K$4:$K$110,0)),'Track Data'!AF127)),'Track Data'!U127)</f>
        <v>3.1163856753616024</v>
      </c>
      <c r="AH127" s="16">
        <f>IF(AC127=0,IF(O127=2,INDEX(Acceleration!$R$4:$R$110,MATCH('Track Data'!S127,Acceleration!$K$4:$K$110,0)),IF('Track Data'!O127=1,INDEX(Acceleration!$Q$4:$Q$110,MATCH('Track Data'!S127,Acceleration!$K$4:$K$110,0)),'Track Data'!AG127)),'Track Data'!U127)</f>
        <v>3.1163856753616024</v>
      </c>
    </row>
    <row r="128" spans="2:34" x14ac:dyDescent="0.25">
      <c r="B128" s="16">
        <v>197.857</v>
      </c>
      <c r="C128" s="16">
        <v>7398</v>
      </c>
      <c r="D128" s="16">
        <v>125</v>
      </c>
      <c r="E128" s="113">
        <v>207</v>
      </c>
      <c r="F128" s="113">
        <v>210.2</v>
      </c>
      <c r="G128" s="113">
        <v>211.9</v>
      </c>
      <c r="H128" s="113">
        <f t="shared" si="11"/>
        <v>58.861111111111114</v>
      </c>
      <c r="I128" s="113">
        <v>4.3</v>
      </c>
      <c r="J128" s="113">
        <v>72.42</v>
      </c>
      <c r="K128" s="113">
        <v>-1.5</v>
      </c>
      <c r="L128" s="189"/>
      <c r="M128" s="16">
        <v>125</v>
      </c>
      <c r="N128" s="16">
        <f t="shared" si="13"/>
        <v>1.5848986184464908E-2</v>
      </c>
      <c r="O128" s="16">
        <v>6</v>
      </c>
      <c r="P128" s="16">
        <f t="shared" si="8"/>
        <v>7.3113821138211375</v>
      </c>
      <c r="Q128" s="16">
        <f t="shared" si="14"/>
        <v>63.095518436390257</v>
      </c>
      <c r="R128" s="113">
        <f t="shared" si="9"/>
        <v>311.95699999999999</v>
      </c>
      <c r="S128" s="16">
        <f>IF(S127=15800,15800,ROUND((((Q128*60)/'Gearing Calculator'!$C$14)*'Track Data'!P128),-2))</f>
        <v>14000</v>
      </c>
      <c r="T128" s="16">
        <f t="shared" si="12"/>
        <v>3.1163856753616024</v>
      </c>
      <c r="U128" s="16">
        <f>IF(AC128=100,Braking!$AG$2354,IF(AC128=50,Braking!$AG$1179,IF(AC128=75,Braking!$AG$1767,0)))</f>
        <v>0</v>
      </c>
      <c r="V128" s="16">
        <f>0.5*'Gearing Calculator'!$C$15*'Gearing Calculator'!$C$20*'Gearing Calculator'!$W$20*('Track Data'!Q128^2)</f>
        <v>421.35374424474634</v>
      </c>
      <c r="W128" s="16">
        <f>('Gearing Calculator'!$U$9*'Track Data'!T128)+'Track Data'!V128</f>
        <v>1250.9356110260048</v>
      </c>
      <c r="X128" s="16">
        <f>('Gearing Calculator'!$U$9*9.81)*('Gearing Calculator'!$U$16/'Gearing Calculator'!$C$7)-(('Track Data'!W128)*('Gearing Calculator'!$U$17/'Gearing Calculator'!$C$7))</f>
        <v>719.3169609280335</v>
      </c>
      <c r="Y128" s="16">
        <f>('Gearing Calculator'!$U$9*9.81)*(('Gearing Calculator'!$C$7-'Gearing Calculator'!$U$16)/'Gearing Calculator'!$C$7)+(('Track Data'!W128)*('Gearing Calculator'!$U$17/'Gearing Calculator'!$C$7))</f>
        <v>1892.1050390719665</v>
      </c>
      <c r="Z128" s="16">
        <f>((X128*COS('Gearing Calculator'!$C$21))/'Gearing Calculator'!$C$22)/2</f>
        <v>22.239005426174831</v>
      </c>
      <c r="AA128" s="16">
        <f>Y128/'Gearing Calculator'!$C$24</f>
        <v>26.420132553139709</v>
      </c>
      <c r="AB128" s="16">
        <f t="shared" si="10"/>
        <v>440.05205829691596</v>
      </c>
      <c r="AC128" s="16">
        <v>0</v>
      </c>
      <c r="AD128" s="16">
        <v>0</v>
      </c>
      <c r="AE128" s="16">
        <v>125</v>
      </c>
      <c r="AF128" s="16">
        <f>IF(AC128=0,IF(O128=6,INDEX(Acceleration!$V$4:$V$110,MATCH('Track Data'!S128,Acceleration!$K$4:$K$110,0)),IF('Track Data'!O128=5,INDEX(Acceleration!$U$4:$U$110,MATCH('Track Data'!S128,Acceleration!$K$4:$K$110,0)),1)),U128)</f>
        <v>3.1163856753616024</v>
      </c>
      <c r="AG128" s="16">
        <f>IF(AC128=0,IF(O128=4,INDEX(Acceleration!$T$4:$T$110,MATCH('Track Data'!S128,Acceleration!$K$4:$K$110,0)),IF('Track Data'!O128=3,INDEX(Acceleration!$S$4:$S$110,MATCH('Track Data'!S128,Acceleration!$K$4:$K$110,0)),'Track Data'!AF128)),'Track Data'!U128)</f>
        <v>3.1163856753616024</v>
      </c>
      <c r="AH128" s="16">
        <f>IF(AC128=0,IF(O128=2,INDEX(Acceleration!$R$4:$R$110,MATCH('Track Data'!S128,Acceleration!$K$4:$K$110,0)),IF('Track Data'!O128=1,INDEX(Acceleration!$Q$4:$Q$110,MATCH('Track Data'!S128,Acceleration!$K$4:$K$110,0)),'Track Data'!AG128)),'Track Data'!U128)</f>
        <v>3.1163856753616024</v>
      </c>
    </row>
    <row r="129" spans="2:34" x14ac:dyDescent="0.25">
      <c r="B129" s="16">
        <v>197.874</v>
      </c>
      <c r="C129" s="16">
        <v>7399</v>
      </c>
      <c r="D129" s="16">
        <v>126</v>
      </c>
      <c r="E129" s="113">
        <v>206</v>
      </c>
      <c r="F129" s="113">
        <v>209.4</v>
      </c>
      <c r="G129" s="113">
        <v>211.5</v>
      </c>
      <c r="H129" s="113">
        <f t="shared" si="11"/>
        <v>58.75</v>
      </c>
      <c r="I129" s="113">
        <v>3.2</v>
      </c>
      <c r="J129" s="113">
        <v>71.39</v>
      </c>
      <c r="K129" s="113">
        <v>-2</v>
      </c>
      <c r="L129" s="189"/>
      <c r="M129" s="16">
        <v>126</v>
      </c>
      <c r="N129" s="16">
        <f t="shared" si="13"/>
        <v>1.5836594051263107E-2</v>
      </c>
      <c r="O129" s="16">
        <v>6</v>
      </c>
      <c r="P129" s="16">
        <f t="shared" si="8"/>
        <v>7.3113821138211375</v>
      </c>
      <c r="Q129" s="16">
        <f t="shared" si="14"/>
        <v>63.144890673019511</v>
      </c>
      <c r="R129" s="113">
        <f t="shared" si="9"/>
        <v>311.95699999999999</v>
      </c>
      <c r="S129" s="16">
        <f>IF(S128=15800,15800,ROUND((((Q129*60)/'Gearing Calculator'!$C$14)*'Track Data'!P129),-2))</f>
        <v>14000</v>
      </c>
      <c r="T129" s="16">
        <f t="shared" si="12"/>
        <v>3.1163856753616024</v>
      </c>
      <c r="U129" s="16">
        <f>IF(AC129=100,Braking!$AG$2354,IF(AC129=50,Braking!$AG$1179,IF(AC129=75,Braking!$AG$1767,0)))</f>
        <v>0</v>
      </c>
      <c r="V129" s="16">
        <f>0.5*'Gearing Calculator'!$C$15*'Gearing Calculator'!$C$20*'Gearing Calculator'!$W$20*('Track Data'!Q129^2)</f>
        <v>422.01342076450692</v>
      </c>
      <c r="W129" s="16">
        <f>('Gearing Calculator'!$U$9*'Track Data'!T129)+'Track Data'!V129</f>
        <v>1251.5952875457656</v>
      </c>
      <c r="X129" s="16">
        <f>('Gearing Calculator'!$U$9*9.81)*('Gearing Calculator'!$U$16/'Gearing Calculator'!$C$7)-(('Track Data'!W129)*('Gearing Calculator'!$U$17/'Gearing Calculator'!$C$7))</f>
        <v>718.95739217299172</v>
      </c>
      <c r="Y129" s="16">
        <f>('Gearing Calculator'!$U$9*9.81)*(('Gearing Calculator'!$C$7-'Gearing Calculator'!$U$16)/'Gearing Calculator'!$C$7)+(('Track Data'!W129)*('Gearing Calculator'!$U$17/'Gearing Calculator'!$C$7))</f>
        <v>1892.4646078270084</v>
      </c>
      <c r="Z129" s="16">
        <f>((X129*COS('Gearing Calculator'!$C$21))/'Gearing Calculator'!$C$22)/2</f>
        <v>22.227888697488019</v>
      </c>
      <c r="AA129" s="16">
        <f>Y129/'Gearing Calculator'!$C$24</f>
        <v>26.425153338970308</v>
      </c>
      <c r="AB129" s="16">
        <f t="shared" si="10"/>
        <v>440.71173481667654</v>
      </c>
      <c r="AC129" s="16">
        <v>0</v>
      </c>
      <c r="AD129" s="16">
        <v>0</v>
      </c>
      <c r="AE129" s="16">
        <v>126</v>
      </c>
      <c r="AF129" s="16">
        <f>IF(AC129=0,IF(O129=6,INDEX(Acceleration!$V$4:$V$110,MATCH('Track Data'!S129,Acceleration!$K$4:$K$110,0)),IF('Track Data'!O129=5,INDEX(Acceleration!$U$4:$U$110,MATCH('Track Data'!S129,Acceleration!$K$4:$K$110,0)),1)),U129)</f>
        <v>3.1163856753616024</v>
      </c>
      <c r="AG129" s="16">
        <f>IF(AC129=0,IF(O129=4,INDEX(Acceleration!$T$4:$T$110,MATCH('Track Data'!S129,Acceleration!$K$4:$K$110,0)),IF('Track Data'!O129=3,INDEX(Acceleration!$S$4:$S$110,MATCH('Track Data'!S129,Acceleration!$K$4:$K$110,0)),'Track Data'!AF129)),'Track Data'!U129)</f>
        <v>3.1163856753616024</v>
      </c>
      <c r="AH129" s="16">
        <f>IF(AC129=0,IF(O129=2,INDEX(Acceleration!$R$4:$R$110,MATCH('Track Data'!S129,Acceleration!$K$4:$K$110,0)),IF('Track Data'!O129=1,INDEX(Acceleration!$Q$4:$Q$110,MATCH('Track Data'!S129,Acceleration!$K$4:$K$110,0)),'Track Data'!AG129)),'Track Data'!U129)</f>
        <v>3.1163856753616024</v>
      </c>
    </row>
    <row r="130" spans="2:34" x14ac:dyDescent="0.25">
      <c r="B130" s="16">
        <v>197.892</v>
      </c>
      <c r="C130" s="16">
        <v>7400</v>
      </c>
      <c r="D130" s="16">
        <v>127</v>
      </c>
      <c r="E130" s="113">
        <v>206</v>
      </c>
      <c r="F130" s="113">
        <v>208.8</v>
      </c>
      <c r="G130" s="113">
        <v>211.1</v>
      </c>
      <c r="H130" s="113">
        <f t="shared" si="11"/>
        <v>58.638888888888886</v>
      </c>
      <c r="I130" s="113">
        <v>2.1</v>
      </c>
      <c r="J130" s="113">
        <v>71</v>
      </c>
      <c r="K130" s="113">
        <v>-2.5</v>
      </c>
      <c r="L130" s="189"/>
      <c r="M130" s="16">
        <v>127</v>
      </c>
      <c r="N130" s="16">
        <f t="shared" si="13"/>
        <v>1.5824230940463015E-2</v>
      </c>
      <c r="O130" s="16">
        <v>6</v>
      </c>
      <c r="P130" s="16">
        <f t="shared" si="8"/>
        <v>7.3113821138211375</v>
      </c>
      <c r="Q130" s="16">
        <f t="shared" si="14"/>
        <v>63.194224336234321</v>
      </c>
      <c r="R130" s="113">
        <f t="shared" si="9"/>
        <v>311.95699999999999</v>
      </c>
      <c r="S130" s="16">
        <f>IF(S129=15800,15800,ROUND((((Q130*60)/'Gearing Calculator'!$C$14)*'Track Data'!P130),-2))</f>
        <v>14000</v>
      </c>
      <c r="T130" s="16">
        <f t="shared" si="12"/>
        <v>3.1163856753616024</v>
      </c>
      <c r="U130" s="16">
        <f>IF(AC130=100,Braking!$AG$2354,IF(AC130=50,Braking!$AG$1179,IF(AC130=75,Braking!$AG$1767,0)))</f>
        <v>0</v>
      </c>
      <c r="V130" s="16">
        <f>0.5*'Gearing Calculator'!$C$15*'Gearing Calculator'!$C$20*'Gearing Calculator'!$W$20*('Track Data'!Q130^2)</f>
        <v>422.6730972842675</v>
      </c>
      <c r="W130" s="16">
        <f>('Gearing Calculator'!$U$9*'Track Data'!T130)+'Track Data'!V130</f>
        <v>1252.2549640655261</v>
      </c>
      <c r="X130" s="16">
        <f>('Gearing Calculator'!$U$9*9.81)*('Gearing Calculator'!$U$16/'Gearing Calculator'!$C$7)-(('Track Data'!W130)*('Gearing Calculator'!$U$17/'Gearing Calculator'!$C$7))</f>
        <v>718.59782341794994</v>
      </c>
      <c r="Y130" s="16">
        <f>('Gearing Calculator'!$U$9*9.81)*(('Gearing Calculator'!$C$7-'Gearing Calculator'!$U$16)/'Gearing Calculator'!$C$7)+(('Track Data'!W130)*('Gearing Calculator'!$U$17/'Gearing Calculator'!$C$7))</f>
        <v>1892.8241765820501</v>
      </c>
      <c r="Z130" s="16">
        <f>((X130*COS('Gearing Calculator'!$C$21))/'Gearing Calculator'!$C$22)/2</f>
        <v>22.216771968801211</v>
      </c>
      <c r="AA130" s="16">
        <f>Y130/'Gearing Calculator'!$C$24</f>
        <v>26.430174124800899</v>
      </c>
      <c r="AB130" s="16">
        <f t="shared" si="10"/>
        <v>441.37141133643712</v>
      </c>
      <c r="AC130" s="16">
        <v>0</v>
      </c>
      <c r="AD130" s="16">
        <v>0</v>
      </c>
      <c r="AE130" s="16">
        <v>127</v>
      </c>
      <c r="AF130" s="16">
        <f>IF(AC130=0,IF(O130=6,INDEX(Acceleration!$V$4:$V$110,MATCH('Track Data'!S130,Acceleration!$K$4:$K$110,0)),IF('Track Data'!O130=5,INDEX(Acceleration!$U$4:$U$110,MATCH('Track Data'!S130,Acceleration!$K$4:$K$110,0)),1)),U130)</f>
        <v>3.1163856753616024</v>
      </c>
      <c r="AG130" s="16">
        <f>IF(AC130=0,IF(O130=4,INDEX(Acceleration!$T$4:$T$110,MATCH('Track Data'!S130,Acceleration!$K$4:$K$110,0)),IF('Track Data'!O130=3,INDEX(Acceleration!$S$4:$S$110,MATCH('Track Data'!S130,Acceleration!$K$4:$K$110,0)),'Track Data'!AF130)),'Track Data'!U130)</f>
        <v>3.1163856753616024</v>
      </c>
      <c r="AH130" s="16">
        <f>IF(AC130=0,IF(O130=2,INDEX(Acceleration!$R$4:$R$110,MATCH('Track Data'!S130,Acceleration!$K$4:$K$110,0)),IF('Track Data'!O130=1,INDEX(Acceleration!$Q$4:$Q$110,MATCH('Track Data'!S130,Acceleration!$K$4:$K$110,0)),'Track Data'!AG130)),'Track Data'!U130)</f>
        <v>3.1163856753616024</v>
      </c>
    </row>
    <row r="131" spans="2:34" x14ac:dyDescent="0.25">
      <c r="B131" s="16">
        <v>197.90899999999999</v>
      </c>
      <c r="C131" s="16">
        <v>7401</v>
      </c>
      <c r="D131" s="16">
        <v>128</v>
      </c>
      <c r="E131" s="113">
        <v>205</v>
      </c>
      <c r="F131" s="113">
        <v>208.5</v>
      </c>
      <c r="G131" s="113">
        <v>210.8</v>
      </c>
      <c r="H131" s="113">
        <f t="shared" si="11"/>
        <v>58.555555555555557</v>
      </c>
      <c r="I131" s="113">
        <v>2</v>
      </c>
      <c r="J131" s="113">
        <v>69.930000000000007</v>
      </c>
      <c r="K131" s="113">
        <v>-2.7</v>
      </c>
      <c r="L131" s="189"/>
      <c r="M131" s="16">
        <v>128</v>
      </c>
      <c r="N131" s="16">
        <f t="shared" si="13"/>
        <v>1.5811896738957013E-2</v>
      </c>
      <c r="O131" s="16">
        <v>6</v>
      </c>
      <c r="P131" s="16">
        <f t="shared" si="8"/>
        <v>7.3113821138211375</v>
      </c>
      <c r="Q131" s="16">
        <f t="shared" si="14"/>
        <v>63.243519516303273</v>
      </c>
      <c r="R131" s="113">
        <f t="shared" si="9"/>
        <v>311.95699999999999</v>
      </c>
      <c r="S131" s="16">
        <f>IF(S130=15800,15800,ROUND((((Q131*60)/'Gearing Calculator'!$C$14)*'Track Data'!P131),-2))</f>
        <v>14000</v>
      </c>
      <c r="T131" s="16">
        <f t="shared" si="12"/>
        <v>3.1163856753616024</v>
      </c>
      <c r="U131" s="16">
        <f>IF(AC131=100,Braking!$AG$2354,IF(AC131=50,Braking!$AG$1179,IF(AC131=75,Braking!$AG$1767,0)))</f>
        <v>0</v>
      </c>
      <c r="V131" s="16">
        <f>0.5*'Gearing Calculator'!$C$15*'Gearing Calculator'!$C$20*'Gearing Calculator'!$W$20*('Track Data'!Q131^2)</f>
        <v>423.33277380402802</v>
      </c>
      <c r="W131" s="16">
        <f>('Gearing Calculator'!$U$9*'Track Data'!T131)+'Track Data'!V131</f>
        <v>1252.9146405852866</v>
      </c>
      <c r="X131" s="16">
        <f>('Gearing Calculator'!$U$9*9.81)*('Gearing Calculator'!$U$16/'Gearing Calculator'!$C$7)-(('Track Data'!W131)*('Gearing Calculator'!$U$17/'Gearing Calculator'!$C$7))</f>
        <v>718.23825466290828</v>
      </c>
      <c r="Y131" s="16">
        <f>('Gearing Calculator'!$U$9*9.81)*(('Gearing Calculator'!$C$7-'Gearing Calculator'!$U$16)/'Gearing Calculator'!$C$7)+(('Track Data'!W131)*('Gearing Calculator'!$U$17/'Gearing Calculator'!$C$7))</f>
        <v>1893.1837453370918</v>
      </c>
      <c r="Z131" s="16">
        <f>((X131*COS('Gearing Calculator'!$C$21))/'Gearing Calculator'!$C$22)/2</f>
        <v>22.205655240114407</v>
      </c>
      <c r="AA131" s="16">
        <f>Y131/'Gearing Calculator'!$C$24</f>
        <v>26.435194910631495</v>
      </c>
      <c r="AB131" s="16">
        <f t="shared" si="10"/>
        <v>442.03108785619764</v>
      </c>
      <c r="AC131" s="16">
        <v>0</v>
      </c>
      <c r="AD131" s="16">
        <v>0</v>
      </c>
      <c r="AE131" s="16">
        <v>128</v>
      </c>
      <c r="AF131" s="16">
        <f>IF(AC131=0,IF(O131=6,INDEX(Acceleration!$V$4:$V$110,MATCH('Track Data'!S131,Acceleration!$K$4:$K$110,0)),IF('Track Data'!O131=5,INDEX(Acceleration!$U$4:$U$110,MATCH('Track Data'!S131,Acceleration!$K$4:$K$110,0)),1)),U131)</f>
        <v>3.1163856753616024</v>
      </c>
      <c r="AG131" s="16">
        <f>IF(AC131=0,IF(O131=4,INDEX(Acceleration!$T$4:$T$110,MATCH('Track Data'!S131,Acceleration!$K$4:$K$110,0)),IF('Track Data'!O131=3,INDEX(Acceleration!$S$4:$S$110,MATCH('Track Data'!S131,Acceleration!$K$4:$K$110,0)),'Track Data'!AF131)),'Track Data'!U131)</f>
        <v>3.1163856753616024</v>
      </c>
      <c r="AH131" s="16">
        <f>IF(AC131=0,IF(O131=2,INDEX(Acceleration!$R$4:$R$110,MATCH('Track Data'!S131,Acceleration!$K$4:$K$110,0)),IF('Track Data'!O131=1,INDEX(Acceleration!$Q$4:$Q$110,MATCH('Track Data'!S131,Acceleration!$K$4:$K$110,0)),'Track Data'!AG131)),'Track Data'!U131)</f>
        <v>3.1163856753616024</v>
      </c>
    </row>
    <row r="132" spans="2:34" x14ac:dyDescent="0.25">
      <c r="B132" s="16">
        <v>197.92599999999999</v>
      </c>
      <c r="C132" s="16">
        <v>7402</v>
      </c>
      <c r="D132" s="16">
        <v>129</v>
      </c>
      <c r="E132" s="113">
        <v>205</v>
      </c>
      <c r="F132" s="113">
        <v>207.8</v>
      </c>
      <c r="G132" s="113">
        <v>210.4</v>
      </c>
      <c r="H132" s="113">
        <f t="shared" si="11"/>
        <v>58.444444444444443</v>
      </c>
      <c r="I132" s="113">
        <v>1.5</v>
      </c>
      <c r="J132" s="113">
        <v>69.239999999999995</v>
      </c>
      <c r="K132" s="113">
        <v>-3.6</v>
      </c>
      <c r="L132" s="189"/>
      <c r="M132" s="16">
        <v>129</v>
      </c>
      <c r="N132" s="16">
        <f t="shared" si="13"/>
        <v>1.5799591334253651E-2</v>
      </c>
      <c r="O132" s="16">
        <v>6</v>
      </c>
      <c r="P132" s="16">
        <f t="shared" ref="P132:P195" si="15">VLOOKUP(O132,$AJ$5:$AK$10,2,FALSE)</f>
        <v>7.3113821138211375</v>
      </c>
      <c r="Q132" s="16">
        <f t="shared" si="14"/>
        <v>63.292776303143441</v>
      </c>
      <c r="R132" s="113">
        <f t="shared" ref="R132:R195" si="16">VLOOKUP(O132,$AJ$5:$AL$10,3,FALSE)</f>
        <v>311.95699999999999</v>
      </c>
      <c r="S132" s="16">
        <f>IF(S131=15800,15800,ROUND((((Q132*60)/'Gearing Calculator'!$C$14)*'Track Data'!P132),-2))</f>
        <v>14000</v>
      </c>
      <c r="T132" s="16">
        <f t="shared" si="12"/>
        <v>3.1163856753616024</v>
      </c>
      <c r="U132" s="16">
        <f>IF(AC132=100,Braking!$AG$2354,IF(AC132=50,Braking!$AG$1179,IF(AC132=75,Braking!$AG$1767,0)))</f>
        <v>0</v>
      </c>
      <c r="V132" s="16">
        <f>0.5*'Gearing Calculator'!$C$15*'Gearing Calculator'!$C$20*'Gearing Calculator'!$W$20*('Track Data'!Q132^2)</f>
        <v>423.99245032378855</v>
      </c>
      <c r="W132" s="16">
        <f>('Gearing Calculator'!$U$9*'Track Data'!T132)+'Track Data'!V132</f>
        <v>1253.5743171050472</v>
      </c>
      <c r="X132" s="16">
        <f>('Gearing Calculator'!$U$9*9.81)*('Gearing Calculator'!$U$16/'Gearing Calculator'!$C$7)-(('Track Data'!W132)*('Gearing Calculator'!$U$17/'Gearing Calculator'!$C$7))</f>
        <v>717.87868590786661</v>
      </c>
      <c r="Y132" s="16">
        <f>('Gearing Calculator'!$U$9*9.81)*(('Gearing Calculator'!$C$7-'Gearing Calculator'!$U$16)/'Gearing Calculator'!$C$7)+(('Track Data'!W132)*('Gearing Calculator'!$U$17/'Gearing Calculator'!$C$7))</f>
        <v>1893.5433140921334</v>
      </c>
      <c r="Z132" s="16">
        <f>((X132*COS('Gearing Calculator'!$C$21))/'Gearing Calculator'!$C$22)/2</f>
        <v>22.194538511427602</v>
      </c>
      <c r="AA132" s="16">
        <f>Y132/'Gearing Calculator'!$C$24</f>
        <v>26.44021569646209</v>
      </c>
      <c r="AB132" s="16">
        <f t="shared" ref="AB132:AB195" si="17">(T132*O132)+V132</f>
        <v>442.69076437595817</v>
      </c>
      <c r="AC132" s="16">
        <v>0</v>
      </c>
      <c r="AD132" s="16">
        <v>0</v>
      </c>
      <c r="AE132" s="16">
        <v>129</v>
      </c>
      <c r="AF132" s="16">
        <f>IF(AC132=0,IF(O132=6,INDEX(Acceleration!$V$4:$V$110,MATCH('Track Data'!S132,Acceleration!$K$4:$K$110,0)),IF('Track Data'!O132=5,INDEX(Acceleration!$U$4:$U$110,MATCH('Track Data'!S132,Acceleration!$K$4:$K$110,0)),1)),U132)</f>
        <v>3.1163856753616024</v>
      </c>
      <c r="AG132" s="16">
        <f>IF(AC132=0,IF(O132=4,INDEX(Acceleration!$T$4:$T$110,MATCH('Track Data'!S132,Acceleration!$K$4:$K$110,0)),IF('Track Data'!O132=3,INDEX(Acceleration!$S$4:$S$110,MATCH('Track Data'!S132,Acceleration!$K$4:$K$110,0)),'Track Data'!AF132)),'Track Data'!U132)</f>
        <v>3.1163856753616024</v>
      </c>
      <c r="AH132" s="16">
        <f>IF(AC132=0,IF(O132=2,INDEX(Acceleration!$R$4:$R$110,MATCH('Track Data'!S132,Acceleration!$K$4:$K$110,0)),IF('Track Data'!O132=1,INDEX(Acceleration!$Q$4:$Q$110,MATCH('Track Data'!S132,Acceleration!$K$4:$K$110,0)),'Track Data'!AG132)),'Track Data'!U132)</f>
        <v>3.1163856753616024</v>
      </c>
    </row>
    <row r="133" spans="2:34" x14ac:dyDescent="0.25">
      <c r="B133" s="16">
        <v>197.94300000000001</v>
      </c>
      <c r="C133" s="16">
        <v>7403</v>
      </c>
      <c r="D133" s="16">
        <v>130</v>
      </c>
      <c r="E133" s="113">
        <v>204</v>
      </c>
      <c r="F133" s="113">
        <v>206.6</v>
      </c>
      <c r="G133" s="113">
        <v>209.9</v>
      </c>
      <c r="H133" s="113">
        <f t="shared" ref="H133:H196" si="18">G133/3.6</f>
        <v>58.305555555555557</v>
      </c>
      <c r="I133" s="113">
        <v>1.3</v>
      </c>
      <c r="J133" s="113">
        <v>67.78</v>
      </c>
      <c r="K133" s="113">
        <v>-6.2</v>
      </c>
      <c r="L133" s="189"/>
      <c r="M133" s="16">
        <v>130</v>
      </c>
      <c r="N133" s="16">
        <f t="shared" si="13"/>
        <v>1.578731461447334E-2</v>
      </c>
      <c r="O133" s="16">
        <v>6</v>
      </c>
      <c r="P133" s="16">
        <f t="shared" si="15"/>
        <v>7.3113821138211375</v>
      </c>
      <c r="Q133" s="16">
        <f t="shared" si="14"/>
        <v>63.341994786322282</v>
      </c>
      <c r="R133" s="113">
        <f t="shared" si="16"/>
        <v>311.95699999999999</v>
      </c>
      <c r="S133" s="16">
        <f>IF(S132=15800,15800,ROUND((((Q133*60)/'Gearing Calculator'!$C$14)*'Track Data'!P133),-2))</f>
        <v>14000</v>
      </c>
      <c r="T133" s="16">
        <f t="shared" ref="T133:T196" si="19">AH133</f>
        <v>3.1163856753616024</v>
      </c>
      <c r="U133" s="16">
        <f>IF(AC133=100,Braking!$AG$2354,IF(AC133=50,Braking!$AG$1179,IF(AC133=75,Braking!$AG$1767,0)))</f>
        <v>0</v>
      </c>
      <c r="V133" s="16">
        <f>0.5*'Gearing Calculator'!$C$15*'Gearing Calculator'!$C$20*'Gearing Calculator'!$W$20*('Track Data'!Q133^2)</f>
        <v>424.65212684354907</v>
      </c>
      <c r="W133" s="16">
        <f>('Gearing Calculator'!$U$9*'Track Data'!T133)+'Track Data'!V133</f>
        <v>1254.2339936248077</v>
      </c>
      <c r="X133" s="16">
        <f>('Gearing Calculator'!$U$9*9.81)*('Gearing Calculator'!$U$16/'Gearing Calculator'!$C$7)-(('Track Data'!W133)*('Gearing Calculator'!$U$17/'Gearing Calculator'!$C$7))</f>
        <v>717.51911715282495</v>
      </c>
      <c r="Y133" s="16">
        <f>('Gearing Calculator'!$U$9*9.81)*(('Gearing Calculator'!$C$7-'Gearing Calculator'!$U$16)/'Gearing Calculator'!$C$7)+(('Track Data'!W133)*('Gearing Calculator'!$U$17/'Gearing Calculator'!$C$7))</f>
        <v>1893.9028828471751</v>
      </c>
      <c r="Z133" s="16">
        <f>((X133*COS('Gearing Calculator'!$C$21))/'Gearing Calculator'!$C$22)/2</f>
        <v>22.183421782740794</v>
      </c>
      <c r="AA133" s="16">
        <f>Y133/'Gearing Calculator'!$C$24</f>
        <v>26.445236482292682</v>
      </c>
      <c r="AB133" s="16">
        <f t="shared" si="17"/>
        <v>443.35044089571869</v>
      </c>
      <c r="AC133" s="16">
        <v>0</v>
      </c>
      <c r="AD133" s="16">
        <v>0</v>
      </c>
      <c r="AE133" s="16">
        <v>130</v>
      </c>
      <c r="AF133" s="16">
        <f>IF(AC133=0,IF(O133=6,INDEX(Acceleration!$V$4:$V$110,MATCH('Track Data'!S133,Acceleration!$K$4:$K$110,0)),IF('Track Data'!O133=5,INDEX(Acceleration!$U$4:$U$110,MATCH('Track Data'!S133,Acceleration!$K$4:$K$110,0)),1)),U133)</f>
        <v>3.1163856753616024</v>
      </c>
      <c r="AG133" s="16">
        <f>IF(AC133=0,IF(O133=4,INDEX(Acceleration!$T$4:$T$110,MATCH('Track Data'!S133,Acceleration!$K$4:$K$110,0)),IF('Track Data'!O133=3,INDEX(Acceleration!$S$4:$S$110,MATCH('Track Data'!S133,Acceleration!$K$4:$K$110,0)),'Track Data'!AF133)),'Track Data'!U133)</f>
        <v>3.1163856753616024</v>
      </c>
      <c r="AH133" s="16">
        <f>IF(AC133=0,IF(O133=2,INDEX(Acceleration!$R$4:$R$110,MATCH('Track Data'!S133,Acceleration!$K$4:$K$110,0)),IF('Track Data'!O133=1,INDEX(Acceleration!$Q$4:$Q$110,MATCH('Track Data'!S133,Acceleration!$K$4:$K$110,0)),'Track Data'!AG133)),'Track Data'!U133)</f>
        <v>3.1163856753616024</v>
      </c>
    </row>
    <row r="134" spans="2:34" x14ac:dyDescent="0.25">
      <c r="B134" s="16">
        <v>197.96100000000001</v>
      </c>
      <c r="C134" s="16">
        <v>7404</v>
      </c>
      <c r="D134" s="16">
        <v>131</v>
      </c>
      <c r="E134" s="113">
        <v>203</v>
      </c>
      <c r="F134" s="113">
        <v>205.6</v>
      </c>
      <c r="G134" s="113">
        <v>209.4</v>
      </c>
      <c r="H134" s="113">
        <f t="shared" si="18"/>
        <v>58.166666666666664</v>
      </c>
      <c r="I134" s="113">
        <v>0.4</v>
      </c>
      <c r="J134" s="113">
        <v>67.069999999999993</v>
      </c>
      <c r="K134" s="113">
        <v>-8.8000000000000007</v>
      </c>
      <c r="L134" s="189"/>
      <c r="M134" s="16">
        <v>131</v>
      </c>
      <c r="N134" s="16">
        <f t="shared" ref="N134:N197" si="20">1/Q134</f>
        <v>1.577506646834409E-2</v>
      </c>
      <c r="O134" s="16">
        <v>6</v>
      </c>
      <c r="P134" s="16">
        <f t="shared" si="15"/>
        <v>7.3113821138211375</v>
      </c>
      <c r="Q134" s="16">
        <f t="shared" ref="Q134:Q197" si="21">IF(AD133=0,SQRT(Q133^2+(2*T133)),Q133)</f>
        <v>63.391175055059541</v>
      </c>
      <c r="R134" s="113">
        <f t="shared" si="16"/>
        <v>311.95699999999999</v>
      </c>
      <c r="S134" s="16">
        <f>IF(S133=15800,15800,ROUND((((Q134*60)/'Gearing Calculator'!$C$14)*'Track Data'!P134),-2))</f>
        <v>14100</v>
      </c>
      <c r="T134" s="16">
        <f t="shared" si="19"/>
        <v>3.0899254439990078</v>
      </c>
      <c r="U134" s="16">
        <f>IF(AC134=100,Braking!$AG$2354,IF(AC134=50,Braking!$AG$1179,IF(AC134=75,Braking!$AG$1767,0)))</f>
        <v>0</v>
      </c>
      <c r="V134" s="16">
        <f>0.5*'Gearing Calculator'!$C$15*'Gearing Calculator'!$C$20*'Gearing Calculator'!$W$20*('Track Data'!Q134^2)</f>
        <v>425.31180336330971</v>
      </c>
      <c r="W134" s="16">
        <f>('Gearing Calculator'!$U$9*'Track Data'!T134)+'Track Data'!V134</f>
        <v>1247.8499565558457</v>
      </c>
      <c r="X134" s="16">
        <f>('Gearing Calculator'!$U$9*9.81)*('Gearing Calculator'!$U$16/'Gearing Calculator'!$C$7)-(('Track Data'!W134)*('Gearing Calculator'!$U$17/'Gearing Calculator'!$C$7))</f>
        <v>720.99885334513317</v>
      </c>
      <c r="Y134" s="16">
        <f>('Gearing Calculator'!$U$9*9.81)*(('Gearing Calculator'!$C$7-'Gearing Calculator'!$U$16)/'Gearing Calculator'!$C$7)+(('Track Data'!W134)*('Gearing Calculator'!$U$17/'Gearing Calculator'!$C$7))</f>
        <v>1890.4231466548667</v>
      </c>
      <c r="Z134" s="16">
        <f>((X134*COS('Gearing Calculator'!$C$21))/'Gearing Calculator'!$C$22)/2</f>
        <v>22.29100422033904</v>
      </c>
      <c r="AA134" s="16">
        <f>Y134/'Gearing Calculator'!$C$24</f>
        <v>26.396647693852145</v>
      </c>
      <c r="AB134" s="16">
        <f t="shared" si="17"/>
        <v>443.85135602730378</v>
      </c>
      <c r="AC134" s="16">
        <v>0</v>
      </c>
      <c r="AD134" s="16">
        <v>0</v>
      </c>
      <c r="AE134" s="16">
        <v>131</v>
      </c>
      <c r="AF134" s="16">
        <f>IF(AC134=0,IF(O134=6,INDEX(Acceleration!$V$4:$V$110,MATCH('Track Data'!S134,Acceleration!$K$4:$K$110,0)),IF('Track Data'!O134=5,INDEX(Acceleration!$U$4:$U$110,MATCH('Track Data'!S134,Acceleration!$K$4:$K$110,0)),1)),U134)</f>
        <v>3.0899254439990078</v>
      </c>
      <c r="AG134" s="16">
        <f>IF(AC134=0,IF(O134=4,INDEX(Acceleration!$T$4:$T$110,MATCH('Track Data'!S134,Acceleration!$K$4:$K$110,0)),IF('Track Data'!O134=3,INDEX(Acceleration!$S$4:$S$110,MATCH('Track Data'!S134,Acceleration!$K$4:$K$110,0)),'Track Data'!AF134)),'Track Data'!U134)</f>
        <v>3.0899254439990078</v>
      </c>
      <c r="AH134" s="16">
        <f>IF(AC134=0,IF(O134=2,INDEX(Acceleration!$R$4:$R$110,MATCH('Track Data'!S134,Acceleration!$K$4:$K$110,0)),IF('Track Data'!O134=1,INDEX(Acceleration!$Q$4:$Q$110,MATCH('Track Data'!S134,Acceleration!$K$4:$K$110,0)),'Track Data'!AG134)),'Track Data'!U134)</f>
        <v>3.0899254439990078</v>
      </c>
    </row>
    <row r="135" spans="2:34" x14ac:dyDescent="0.25">
      <c r="B135" s="16">
        <v>197.97800000000001</v>
      </c>
      <c r="C135" s="16">
        <v>7405</v>
      </c>
      <c r="D135" s="16">
        <v>132</v>
      </c>
      <c r="E135" s="113">
        <v>202</v>
      </c>
      <c r="F135" s="113">
        <v>205.1</v>
      </c>
      <c r="G135" s="113">
        <v>209.1</v>
      </c>
      <c r="H135" s="113">
        <f t="shared" si="18"/>
        <v>58.083333333333329</v>
      </c>
      <c r="I135" s="113">
        <v>0.2</v>
      </c>
      <c r="J135" s="113">
        <v>66.040000000000006</v>
      </c>
      <c r="K135" s="113">
        <v>-10.1</v>
      </c>
      <c r="L135" s="189"/>
      <c r="M135" s="16">
        <v>132</v>
      </c>
      <c r="N135" s="16">
        <f t="shared" si="20"/>
        <v>1.5762950419107E-2</v>
      </c>
      <c r="O135" s="16">
        <v>6</v>
      </c>
      <c r="P135" s="16">
        <f t="shared" si="15"/>
        <v>7.3113821138211375</v>
      </c>
      <c r="Q135" s="16">
        <f t="shared" si="21"/>
        <v>63.439900108285173</v>
      </c>
      <c r="R135" s="113">
        <f t="shared" si="16"/>
        <v>311.95699999999999</v>
      </c>
      <c r="S135" s="16">
        <f>IF(S134=15800,15800,ROUND((((Q135*60)/'Gearing Calculator'!$C$14)*'Track Data'!P135),-2))</f>
        <v>14100</v>
      </c>
      <c r="T135" s="16">
        <f t="shared" si="19"/>
        <v>3.0899254439990078</v>
      </c>
      <c r="U135" s="16">
        <f>IF(AC135=100,Braking!$AG$2354,IF(AC135=50,Braking!$AG$1179,IF(AC135=75,Braking!$AG$1767,0)))</f>
        <v>0</v>
      </c>
      <c r="V135" s="16">
        <f>0.5*'Gearing Calculator'!$C$15*'Gearing Calculator'!$C$20*'Gearing Calculator'!$W$20*('Track Data'!Q135^2)</f>
        <v>425.96587878129537</v>
      </c>
      <c r="W135" s="16">
        <f>('Gearing Calculator'!$U$9*'Track Data'!T135)+'Track Data'!V135</f>
        <v>1248.5040319738314</v>
      </c>
      <c r="X135" s="16">
        <f>('Gearing Calculator'!$U$9*9.81)*('Gearing Calculator'!$U$16/'Gearing Calculator'!$C$7)-(('Track Data'!W135)*('Gearing Calculator'!$U$17/'Gearing Calculator'!$C$7))</f>
        <v>720.64233757307886</v>
      </c>
      <c r="Y135" s="16">
        <f>('Gearing Calculator'!$U$9*9.81)*(('Gearing Calculator'!$C$7-'Gearing Calculator'!$U$16)/'Gearing Calculator'!$C$7)+(('Track Data'!W135)*('Gearing Calculator'!$U$17/'Gearing Calculator'!$C$7))</f>
        <v>1890.7796624269213</v>
      </c>
      <c r="Z135" s="16">
        <f>((X135*COS('Gearing Calculator'!$C$21))/'Gearing Calculator'!$C$22)/2</f>
        <v>22.279981880230441</v>
      </c>
      <c r="AA135" s="16">
        <f>Y135/'Gearing Calculator'!$C$24</f>
        <v>26.401625849800393</v>
      </c>
      <c r="AB135" s="16">
        <f t="shared" si="17"/>
        <v>444.50543144528945</v>
      </c>
      <c r="AC135" s="16">
        <v>0</v>
      </c>
      <c r="AD135" s="16">
        <v>0</v>
      </c>
      <c r="AE135" s="16">
        <v>132</v>
      </c>
      <c r="AF135" s="16">
        <f>IF(AC135=0,IF(O135=6,INDEX(Acceleration!$V$4:$V$110,MATCH('Track Data'!S135,Acceleration!$K$4:$K$110,0)),IF('Track Data'!O135=5,INDEX(Acceleration!$U$4:$U$110,MATCH('Track Data'!S135,Acceleration!$K$4:$K$110,0)),1)),U135)</f>
        <v>3.0899254439990078</v>
      </c>
      <c r="AG135" s="16">
        <f>IF(AC135=0,IF(O135=4,INDEX(Acceleration!$T$4:$T$110,MATCH('Track Data'!S135,Acceleration!$K$4:$K$110,0)),IF('Track Data'!O135=3,INDEX(Acceleration!$S$4:$S$110,MATCH('Track Data'!S135,Acceleration!$K$4:$K$110,0)),'Track Data'!AF135)),'Track Data'!U135)</f>
        <v>3.0899254439990078</v>
      </c>
      <c r="AH135" s="16">
        <f>IF(AC135=0,IF(O135=2,INDEX(Acceleration!$R$4:$R$110,MATCH('Track Data'!S135,Acceleration!$K$4:$K$110,0)),IF('Track Data'!O135=1,INDEX(Acceleration!$Q$4:$Q$110,MATCH('Track Data'!S135,Acceleration!$K$4:$K$110,0)),'Track Data'!AG135)),'Track Data'!U135)</f>
        <v>3.0899254439990078</v>
      </c>
    </row>
    <row r="136" spans="2:34" x14ac:dyDescent="0.25">
      <c r="B136" s="16">
        <v>197.99600000000001</v>
      </c>
      <c r="C136" s="16">
        <v>7406</v>
      </c>
      <c r="D136" s="16">
        <v>133</v>
      </c>
      <c r="E136" s="113">
        <v>201</v>
      </c>
      <c r="F136" s="113">
        <v>204.3</v>
      </c>
      <c r="G136" s="113">
        <v>208.6</v>
      </c>
      <c r="H136" s="113">
        <f t="shared" si="18"/>
        <v>57.944444444444443</v>
      </c>
      <c r="I136" s="113">
        <v>-1.2</v>
      </c>
      <c r="J136" s="113">
        <v>67.73</v>
      </c>
      <c r="K136" s="113">
        <v>-12.8</v>
      </c>
      <c r="L136" s="189"/>
      <c r="M136" s="16">
        <v>133</v>
      </c>
      <c r="N136" s="16">
        <f t="shared" si="20"/>
        <v>1.575086224427134E-2</v>
      </c>
      <c r="O136" s="16">
        <v>6</v>
      </c>
      <c r="P136" s="16">
        <f t="shared" si="15"/>
        <v>7.3113821138211375</v>
      </c>
      <c r="Q136" s="16">
        <f t="shared" si="21"/>
        <v>63.488587766914449</v>
      </c>
      <c r="R136" s="113">
        <f t="shared" si="16"/>
        <v>311.95699999999999</v>
      </c>
      <c r="S136" s="16">
        <f>IF(S135=15800,15800,ROUND((((Q136*60)/'Gearing Calculator'!$C$14)*'Track Data'!P136),-2))</f>
        <v>14100</v>
      </c>
      <c r="T136" s="16">
        <f t="shared" si="19"/>
        <v>3.0899254439990078</v>
      </c>
      <c r="U136" s="16">
        <f>IF(AC136=100,Braking!$AG$2354,IF(AC136=50,Braking!$AG$1179,IF(AC136=75,Braking!$AG$1767,0)))</f>
        <v>0</v>
      </c>
      <c r="V136" s="16">
        <f>0.5*'Gearing Calculator'!$C$15*'Gearing Calculator'!$C$20*'Gearing Calculator'!$W$20*('Track Data'!Q136^2)</f>
        <v>426.6199541992811</v>
      </c>
      <c r="W136" s="16">
        <f>('Gearing Calculator'!$U$9*'Track Data'!T136)+'Track Data'!V136</f>
        <v>1249.1581073918169</v>
      </c>
      <c r="X136" s="16">
        <f>('Gearing Calculator'!$U$9*9.81)*('Gearing Calculator'!$U$16/'Gearing Calculator'!$C$7)-(('Track Data'!W136)*('Gearing Calculator'!$U$17/'Gearing Calculator'!$C$7))</f>
        <v>720.28582180102478</v>
      </c>
      <c r="Y136" s="16">
        <f>('Gearing Calculator'!$U$9*9.81)*(('Gearing Calculator'!$C$7-'Gearing Calculator'!$U$16)/'Gearing Calculator'!$C$7)+(('Track Data'!W136)*('Gearing Calculator'!$U$17/'Gearing Calculator'!$C$7))</f>
        <v>1891.1361781989754</v>
      </c>
      <c r="Z136" s="16">
        <f>((X136*COS('Gearing Calculator'!$C$21))/'Gearing Calculator'!$C$22)/2</f>
        <v>22.268959540121848</v>
      </c>
      <c r="AA136" s="16">
        <f>Y136/'Gearing Calculator'!$C$24</f>
        <v>26.406604005748633</v>
      </c>
      <c r="AB136" s="16">
        <f t="shared" si="17"/>
        <v>445.15950686327517</v>
      </c>
      <c r="AC136" s="16">
        <v>0</v>
      </c>
      <c r="AD136" s="16">
        <v>0</v>
      </c>
      <c r="AE136" s="16">
        <v>133</v>
      </c>
      <c r="AF136" s="16">
        <f>IF(AC136=0,IF(O136=6,INDEX(Acceleration!$V$4:$V$110,MATCH('Track Data'!S136,Acceleration!$K$4:$K$110,0)),IF('Track Data'!O136=5,INDEX(Acceleration!$U$4:$U$110,MATCH('Track Data'!S136,Acceleration!$K$4:$K$110,0)),1)),U136)</f>
        <v>3.0899254439990078</v>
      </c>
      <c r="AG136" s="16">
        <f>IF(AC136=0,IF(O136=4,INDEX(Acceleration!$T$4:$T$110,MATCH('Track Data'!S136,Acceleration!$K$4:$K$110,0)),IF('Track Data'!O136=3,INDEX(Acceleration!$S$4:$S$110,MATCH('Track Data'!S136,Acceleration!$K$4:$K$110,0)),'Track Data'!AF136)),'Track Data'!U136)</f>
        <v>3.0899254439990078</v>
      </c>
      <c r="AH136" s="16">
        <f>IF(AC136=0,IF(O136=2,INDEX(Acceleration!$R$4:$R$110,MATCH('Track Data'!S136,Acceleration!$K$4:$K$110,0)),IF('Track Data'!O136=1,INDEX(Acceleration!$Q$4:$Q$110,MATCH('Track Data'!S136,Acceleration!$K$4:$K$110,0)),'Track Data'!AG136)),'Track Data'!U136)</f>
        <v>3.0899254439990078</v>
      </c>
    </row>
    <row r="137" spans="2:34" x14ac:dyDescent="0.25">
      <c r="B137" s="16">
        <v>198.01300000000001</v>
      </c>
      <c r="C137" s="16">
        <v>7408</v>
      </c>
      <c r="D137" s="16">
        <v>134</v>
      </c>
      <c r="E137" s="113">
        <v>200</v>
      </c>
      <c r="F137" s="113">
        <v>203.4</v>
      </c>
      <c r="G137" s="113">
        <v>208.1</v>
      </c>
      <c r="H137" s="113">
        <f t="shared" si="18"/>
        <v>57.80555555555555</v>
      </c>
      <c r="I137" s="113">
        <v>-1.9</v>
      </c>
      <c r="J137" s="113">
        <v>71.64</v>
      </c>
      <c r="K137" s="113">
        <v>-9.6999999999999993</v>
      </c>
      <c r="L137" s="189"/>
      <c r="M137" s="16">
        <v>134</v>
      </c>
      <c r="N137" s="16">
        <f t="shared" si="20"/>
        <v>1.5738801837120186E-2</v>
      </c>
      <c r="O137" s="16">
        <v>6</v>
      </c>
      <c r="P137" s="16">
        <f t="shared" si="15"/>
        <v>7.3113821138211375</v>
      </c>
      <c r="Q137" s="16">
        <f t="shared" si="21"/>
        <v>63.537238116912171</v>
      </c>
      <c r="R137" s="113">
        <f t="shared" si="16"/>
        <v>311.95699999999999</v>
      </c>
      <c r="S137" s="16">
        <f>IF(S136=15800,15800,ROUND((((Q137*60)/'Gearing Calculator'!$C$14)*'Track Data'!P137),-2))</f>
        <v>14100</v>
      </c>
      <c r="T137" s="16">
        <f t="shared" si="19"/>
        <v>3.0899254439990078</v>
      </c>
      <c r="U137" s="16">
        <f>IF(AC137=100,Braking!$AG$2354,IF(AC137=50,Braking!$AG$1179,IF(AC137=75,Braking!$AG$1767,0)))</f>
        <v>0</v>
      </c>
      <c r="V137" s="16">
        <f>0.5*'Gearing Calculator'!$C$15*'Gearing Calculator'!$C$20*'Gearing Calculator'!$W$20*('Track Data'!Q137^2)</f>
        <v>427.27402961726676</v>
      </c>
      <c r="W137" s="16">
        <f>('Gearing Calculator'!$U$9*'Track Data'!T137)+'Track Data'!V137</f>
        <v>1249.8121828098026</v>
      </c>
      <c r="X137" s="16">
        <f>('Gearing Calculator'!$U$9*9.81)*('Gearing Calculator'!$U$16/'Gearing Calculator'!$C$7)-(('Track Data'!W137)*('Gearing Calculator'!$U$17/'Gearing Calculator'!$C$7))</f>
        <v>719.92930602897047</v>
      </c>
      <c r="Y137" s="16">
        <f>('Gearing Calculator'!$U$9*9.81)*(('Gearing Calculator'!$C$7-'Gearing Calculator'!$U$16)/'Gearing Calculator'!$C$7)+(('Track Data'!W137)*('Gearing Calculator'!$U$17/'Gearing Calculator'!$C$7))</f>
        <v>1891.4926939710294</v>
      </c>
      <c r="Z137" s="16">
        <f>((X137*COS('Gearing Calculator'!$C$21))/'Gearing Calculator'!$C$22)/2</f>
        <v>22.257937200013249</v>
      </c>
      <c r="AA137" s="16">
        <f>Y137/'Gearing Calculator'!$C$24</f>
        <v>26.411582161696877</v>
      </c>
      <c r="AB137" s="16">
        <f t="shared" si="17"/>
        <v>445.81358228126084</v>
      </c>
      <c r="AC137" s="16">
        <v>0</v>
      </c>
      <c r="AD137" s="16">
        <v>0</v>
      </c>
      <c r="AE137" s="16">
        <v>134</v>
      </c>
      <c r="AF137" s="16">
        <f>IF(AC137=0,IF(O137=6,INDEX(Acceleration!$V$4:$V$110,MATCH('Track Data'!S137,Acceleration!$K$4:$K$110,0)),IF('Track Data'!O137=5,INDEX(Acceleration!$U$4:$U$110,MATCH('Track Data'!S137,Acceleration!$K$4:$K$110,0)),1)),U137)</f>
        <v>3.0899254439990078</v>
      </c>
      <c r="AG137" s="16">
        <f>IF(AC137=0,IF(O137=4,INDEX(Acceleration!$T$4:$T$110,MATCH('Track Data'!S137,Acceleration!$K$4:$K$110,0)),IF('Track Data'!O137=3,INDEX(Acceleration!$S$4:$S$110,MATCH('Track Data'!S137,Acceleration!$K$4:$K$110,0)),'Track Data'!AF137)),'Track Data'!U137)</f>
        <v>3.0899254439990078</v>
      </c>
      <c r="AH137" s="16">
        <f>IF(AC137=0,IF(O137=2,INDEX(Acceleration!$R$4:$R$110,MATCH('Track Data'!S137,Acceleration!$K$4:$K$110,0)),IF('Track Data'!O137=1,INDEX(Acceleration!$Q$4:$Q$110,MATCH('Track Data'!S137,Acceleration!$K$4:$K$110,0)),'Track Data'!AG137)),'Track Data'!U137)</f>
        <v>3.0899254439990078</v>
      </c>
    </row>
    <row r="138" spans="2:34" x14ac:dyDescent="0.25">
      <c r="B138" s="16">
        <v>198.03100000000001</v>
      </c>
      <c r="C138" s="16">
        <v>7408</v>
      </c>
      <c r="D138" s="16">
        <v>135</v>
      </c>
      <c r="E138" s="113">
        <v>199</v>
      </c>
      <c r="F138" s="113">
        <v>202.6</v>
      </c>
      <c r="G138" s="113">
        <v>207.6</v>
      </c>
      <c r="H138" s="113">
        <f t="shared" si="18"/>
        <v>57.666666666666664</v>
      </c>
      <c r="I138" s="113">
        <v>-2</v>
      </c>
      <c r="J138" s="113">
        <v>73.33</v>
      </c>
      <c r="K138" s="113">
        <v>-4.0999999999999996</v>
      </c>
      <c r="L138" s="189"/>
      <c r="M138" s="16">
        <v>135</v>
      </c>
      <c r="N138" s="16">
        <f t="shared" si="20"/>
        <v>1.572676909150774E-2</v>
      </c>
      <c r="O138" s="16">
        <v>6</v>
      </c>
      <c r="P138" s="16">
        <f t="shared" si="15"/>
        <v>7.3113821138211375</v>
      </c>
      <c r="Q138" s="16">
        <f t="shared" si="21"/>
        <v>63.585851243914277</v>
      </c>
      <c r="R138" s="113">
        <f t="shared" si="16"/>
        <v>311.95699999999999</v>
      </c>
      <c r="S138" s="16">
        <f>IF(S137=15800,15800,ROUND((((Q138*60)/'Gearing Calculator'!$C$14)*'Track Data'!P138),-2))</f>
        <v>14100</v>
      </c>
      <c r="T138" s="16">
        <f t="shared" si="19"/>
        <v>3.0899254439990078</v>
      </c>
      <c r="U138" s="16">
        <f>IF(AC138=100,Braking!$AG$2354,IF(AC138=50,Braking!$AG$1179,IF(AC138=75,Braking!$AG$1767,0)))</f>
        <v>0</v>
      </c>
      <c r="V138" s="16">
        <f>0.5*'Gearing Calculator'!$C$15*'Gearing Calculator'!$C$20*'Gearing Calculator'!$W$20*('Track Data'!Q138^2)</f>
        <v>427.92810503525249</v>
      </c>
      <c r="W138" s="16">
        <f>('Gearing Calculator'!$U$9*'Track Data'!T138)+'Track Data'!V138</f>
        <v>1250.4662582277883</v>
      </c>
      <c r="X138" s="16">
        <f>('Gearing Calculator'!$U$9*9.81)*('Gearing Calculator'!$U$16/'Gearing Calculator'!$C$7)-(('Track Data'!W138)*('Gearing Calculator'!$U$17/'Gearing Calculator'!$C$7))</f>
        <v>719.57279025691616</v>
      </c>
      <c r="Y138" s="16">
        <f>('Gearing Calculator'!$U$9*9.81)*(('Gearing Calculator'!$C$7-'Gearing Calculator'!$U$16)/'Gearing Calculator'!$C$7)+(('Track Data'!W138)*('Gearing Calculator'!$U$17/'Gearing Calculator'!$C$7))</f>
        <v>1891.849209743084</v>
      </c>
      <c r="Z138" s="16">
        <f>((X138*COS('Gearing Calculator'!$C$21))/'Gearing Calculator'!$C$22)/2</f>
        <v>22.246914859904653</v>
      </c>
      <c r="AA138" s="16">
        <f>Y138/'Gearing Calculator'!$C$24</f>
        <v>26.416560317645125</v>
      </c>
      <c r="AB138" s="16">
        <f t="shared" si="17"/>
        <v>446.46765769924656</v>
      </c>
      <c r="AC138" s="16">
        <v>0</v>
      </c>
      <c r="AD138" s="16">
        <v>0</v>
      </c>
      <c r="AE138" s="16">
        <v>135</v>
      </c>
      <c r="AF138" s="16">
        <f>IF(AC138=0,IF(O138=6,INDEX(Acceleration!$V$4:$V$110,MATCH('Track Data'!S138,Acceleration!$K$4:$K$110,0)),IF('Track Data'!O138=5,INDEX(Acceleration!$U$4:$U$110,MATCH('Track Data'!S138,Acceleration!$K$4:$K$110,0)),1)),U138)</f>
        <v>3.0899254439990078</v>
      </c>
      <c r="AG138" s="16">
        <f>IF(AC138=0,IF(O138=4,INDEX(Acceleration!$T$4:$T$110,MATCH('Track Data'!S138,Acceleration!$K$4:$K$110,0)),IF('Track Data'!O138=3,INDEX(Acceleration!$S$4:$S$110,MATCH('Track Data'!S138,Acceleration!$K$4:$K$110,0)),'Track Data'!AF138)),'Track Data'!U138)</f>
        <v>3.0899254439990078</v>
      </c>
      <c r="AH138" s="16">
        <f>IF(AC138=0,IF(O138=2,INDEX(Acceleration!$R$4:$R$110,MATCH('Track Data'!S138,Acceleration!$K$4:$K$110,0)),IF('Track Data'!O138=1,INDEX(Acceleration!$Q$4:$Q$110,MATCH('Track Data'!S138,Acceleration!$K$4:$K$110,0)),'Track Data'!AG138)),'Track Data'!U138)</f>
        <v>3.0899254439990078</v>
      </c>
    </row>
    <row r="139" spans="2:34" x14ac:dyDescent="0.25">
      <c r="B139" s="16">
        <v>198.048</v>
      </c>
      <c r="C139" s="16">
        <v>7409</v>
      </c>
      <c r="D139" s="16">
        <v>136</v>
      </c>
      <c r="E139" s="113">
        <v>199</v>
      </c>
      <c r="F139" s="113">
        <v>202.4</v>
      </c>
      <c r="G139" s="113">
        <v>207.3</v>
      </c>
      <c r="H139" s="113">
        <f t="shared" si="18"/>
        <v>57.583333333333336</v>
      </c>
      <c r="I139" s="113">
        <v>-1.5</v>
      </c>
      <c r="J139" s="113">
        <v>72.900000000000006</v>
      </c>
      <c r="K139" s="113">
        <v>-1.3</v>
      </c>
      <c r="L139" s="189"/>
      <c r="M139" s="16">
        <v>136</v>
      </c>
      <c r="N139" s="16">
        <f t="shared" si="20"/>
        <v>1.5714763901855389E-2</v>
      </c>
      <c r="O139" s="16">
        <v>6</v>
      </c>
      <c r="P139" s="16">
        <f t="shared" si="15"/>
        <v>7.3113821138211375</v>
      </c>
      <c r="Q139" s="16">
        <f t="shared" si="21"/>
        <v>63.634427233229594</v>
      </c>
      <c r="R139" s="113">
        <f t="shared" si="16"/>
        <v>311.95699999999999</v>
      </c>
      <c r="S139" s="16">
        <f>IF(S138=15800,15800,ROUND((((Q139*60)/'Gearing Calculator'!$C$14)*'Track Data'!P139),-2))</f>
        <v>14100</v>
      </c>
      <c r="T139" s="16">
        <f t="shared" si="19"/>
        <v>3.0899254439990078</v>
      </c>
      <c r="U139" s="16">
        <f>IF(AC139=100,Braking!$AG$2354,IF(AC139=50,Braking!$AG$1179,IF(AC139=75,Braking!$AG$1767,0)))</f>
        <v>0</v>
      </c>
      <c r="V139" s="16">
        <f>0.5*'Gearing Calculator'!$C$15*'Gearing Calculator'!$C$20*'Gearing Calculator'!$W$20*('Track Data'!Q139^2)</f>
        <v>428.58218045323815</v>
      </c>
      <c r="W139" s="16">
        <f>('Gearing Calculator'!$U$9*'Track Data'!T139)+'Track Data'!V139</f>
        <v>1251.1203336457741</v>
      </c>
      <c r="X139" s="16">
        <f>('Gearing Calculator'!$U$9*9.81)*('Gearing Calculator'!$U$16/'Gearing Calculator'!$C$7)-(('Track Data'!W139)*('Gearing Calculator'!$U$17/'Gearing Calculator'!$C$7))</f>
        <v>719.21627448486197</v>
      </c>
      <c r="Y139" s="16">
        <f>('Gearing Calculator'!$U$9*9.81)*(('Gearing Calculator'!$C$7-'Gearing Calculator'!$U$16)/'Gearing Calculator'!$C$7)+(('Track Data'!W139)*('Gearing Calculator'!$U$17/'Gearing Calculator'!$C$7))</f>
        <v>1892.2057255151381</v>
      </c>
      <c r="Z139" s="16">
        <f>((X139*COS('Gearing Calculator'!$C$21))/'Gearing Calculator'!$C$22)/2</f>
        <v>22.235892519796057</v>
      </c>
      <c r="AA139" s="16">
        <f>Y139/'Gearing Calculator'!$C$24</f>
        <v>26.421538473593365</v>
      </c>
      <c r="AB139" s="16">
        <f t="shared" si="17"/>
        <v>447.12173311723222</v>
      </c>
      <c r="AC139" s="16">
        <v>0</v>
      </c>
      <c r="AD139" s="16">
        <v>0</v>
      </c>
      <c r="AE139" s="16">
        <v>136</v>
      </c>
      <c r="AF139" s="16">
        <f>IF(AC139=0,IF(O139=6,INDEX(Acceleration!$V$4:$V$110,MATCH('Track Data'!S139,Acceleration!$K$4:$K$110,0)),IF('Track Data'!O139=5,INDEX(Acceleration!$U$4:$U$110,MATCH('Track Data'!S139,Acceleration!$K$4:$K$110,0)),1)),U139)</f>
        <v>3.0899254439990078</v>
      </c>
      <c r="AG139" s="16">
        <f>IF(AC139=0,IF(O139=4,INDEX(Acceleration!$T$4:$T$110,MATCH('Track Data'!S139,Acceleration!$K$4:$K$110,0)),IF('Track Data'!O139=3,INDEX(Acceleration!$S$4:$S$110,MATCH('Track Data'!S139,Acceleration!$K$4:$K$110,0)),'Track Data'!AF139)),'Track Data'!U139)</f>
        <v>3.0899254439990078</v>
      </c>
      <c r="AH139" s="16">
        <f>IF(AC139=0,IF(O139=2,INDEX(Acceleration!$R$4:$R$110,MATCH('Track Data'!S139,Acceleration!$K$4:$K$110,0)),IF('Track Data'!O139=1,INDEX(Acceleration!$Q$4:$Q$110,MATCH('Track Data'!S139,Acceleration!$K$4:$K$110,0)),'Track Data'!AG139)),'Track Data'!U139)</f>
        <v>3.0899254439990078</v>
      </c>
    </row>
    <row r="140" spans="2:34" x14ac:dyDescent="0.25">
      <c r="B140" s="16">
        <v>198.066</v>
      </c>
      <c r="C140" s="16">
        <v>7410</v>
      </c>
      <c r="D140" s="16">
        <v>137</v>
      </c>
      <c r="E140" s="113">
        <v>198</v>
      </c>
      <c r="F140" s="113">
        <v>203.1</v>
      </c>
      <c r="G140" s="113">
        <v>206.8</v>
      </c>
      <c r="H140" s="113">
        <f t="shared" si="18"/>
        <v>57.444444444444443</v>
      </c>
      <c r="I140" s="113">
        <v>-1.7</v>
      </c>
      <c r="J140" s="113">
        <v>74.05</v>
      </c>
      <c r="K140" s="113">
        <v>4.3</v>
      </c>
      <c r="L140" s="189"/>
      <c r="M140" s="16">
        <v>137</v>
      </c>
      <c r="N140" s="16">
        <f t="shared" si="20"/>
        <v>1.5702786163147828E-2</v>
      </c>
      <c r="O140" s="16">
        <v>6</v>
      </c>
      <c r="P140" s="16">
        <f t="shared" si="15"/>
        <v>7.3113821138211375</v>
      </c>
      <c r="Q140" s="16">
        <f t="shared" si="21"/>
        <v>63.682966169841606</v>
      </c>
      <c r="R140" s="113">
        <f t="shared" si="16"/>
        <v>311.95699999999999</v>
      </c>
      <c r="S140" s="16">
        <f>IF(S139=15800,15800,ROUND((((Q140*60)/'Gearing Calculator'!$C$14)*'Track Data'!P140),-2))</f>
        <v>14100</v>
      </c>
      <c r="T140" s="16">
        <f t="shared" si="19"/>
        <v>3.0899254439990078</v>
      </c>
      <c r="U140" s="16">
        <f>IF(AC140=100,Braking!$AG$2354,IF(AC140=50,Braking!$AG$1179,IF(AC140=75,Braking!$AG$1767,0)))</f>
        <v>0</v>
      </c>
      <c r="V140" s="16">
        <f>0.5*'Gearing Calculator'!$C$15*'Gearing Calculator'!$C$20*'Gearing Calculator'!$W$20*('Track Data'!Q140^2)</f>
        <v>429.23625587122388</v>
      </c>
      <c r="W140" s="16">
        <f>('Gearing Calculator'!$U$9*'Track Data'!T140)+'Track Data'!V140</f>
        <v>1251.7744090637598</v>
      </c>
      <c r="X140" s="16">
        <f>('Gearing Calculator'!$U$9*9.81)*('Gearing Calculator'!$U$16/'Gearing Calculator'!$C$7)-(('Track Data'!W140)*('Gearing Calculator'!$U$17/'Gearing Calculator'!$C$7))</f>
        <v>718.85975871280766</v>
      </c>
      <c r="Y140" s="16">
        <f>('Gearing Calculator'!$U$9*9.81)*(('Gearing Calculator'!$C$7-'Gearing Calculator'!$U$16)/'Gearing Calculator'!$C$7)+(('Track Data'!W140)*('Gearing Calculator'!$U$17/'Gearing Calculator'!$C$7))</f>
        <v>1892.5622412871924</v>
      </c>
      <c r="Z140" s="16">
        <f>((X140*COS('Gearing Calculator'!$C$21))/'Gearing Calculator'!$C$22)/2</f>
        <v>22.224870179687457</v>
      </c>
      <c r="AA140" s="16">
        <f>Y140/'Gearing Calculator'!$C$24</f>
        <v>26.426516629541609</v>
      </c>
      <c r="AB140" s="16">
        <f t="shared" si="17"/>
        <v>447.77580853521795</v>
      </c>
      <c r="AC140" s="16">
        <v>0</v>
      </c>
      <c r="AD140" s="16">
        <v>0</v>
      </c>
      <c r="AE140" s="16">
        <v>137</v>
      </c>
      <c r="AF140" s="16">
        <f>IF(AC140=0,IF(O140=6,INDEX(Acceleration!$V$4:$V$110,MATCH('Track Data'!S140,Acceleration!$K$4:$K$110,0)),IF('Track Data'!O140=5,INDEX(Acceleration!$U$4:$U$110,MATCH('Track Data'!S140,Acceleration!$K$4:$K$110,0)),1)),U140)</f>
        <v>3.0899254439990078</v>
      </c>
      <c r="AG140" s="16">
        <f>IF(AC140=0,IF(O140=4,INDEX(Acceleration!$T$4:$T$110,MATCH('Track Data'!S140,Acceleration!$K$4:$K$110,0)),IF('Track Data'!O140=3,INDEX(Acceleration!$S$4:$S$110,MATCH('Track Data'!S140,Acceleration!$K$4:$K$110,0)),'Track Data'!AF140)),'Track Data'!U140)</f>
        <v>3.0899254439990078</v>
      </c>
      <c r="AH140" s="16">
        <f>IF(AC140=0,IF(O140=2,INDEX(Acceleration!$R$4:$R$110,MATCH('Track Data'!S140,Acceleration!$K$4:$K$110,0)),IF('Track Data'!O140=1,INDEX(Acceleration!$Q$4:$Q$110,MATCH('Track Data'!S140,Acceleration!$K$4:$K$110,0)),'Track Data'!AG140)),'Track Data'!U140)</f>
        <v>3.0899254439990078</v>
      </c>
    </row>
    <row r="141" spans="2:34" x14ac:dyDescent="0.25">
      <c r="B141" s="16">
        <v>198.084</v>
      </c>
      <c r="C141" s="16">
        <v>7411</v>
      </c>
      <c r="D141" s="16">
        <v>138</v>
      </c>
      <c r="E141" s="113">
        <v>197</v>
      </c>
      <c r="F141" s="113">
        <v>203</v>
      </c>
      <c r="G141" s="113">
        <v>206.3</v>
      </c>
      <c r="H141" s="113">
        <f t="shared" si="18"/>
        <v>57.305555555555557</v>
      </c>
      <c r="I141" s="113">
        <v>-2.9</v>
      </c>
      <c r="J141" s="113">
        <v>79.81</v>
      </c>
      <c r="K141" s="113">
        <v>8.1</v>
      </c>
      <c r="L141" s="189"/>
      <c r="M141" s="16">
        <v>138</v>
      </c>
      <c r="N141" s="16">
        <f t="shared" si="20"/>
        <v>1.5690835770929192E-2</v>
      </c>
      <c r="O141" s="16">
        <v>6</v>
      </c>
      <c r="P141" s="16">
        <f t="shared" si="15"/>
        <v>7.3113821138211375</v>
      </c>
      <c r="Q141" s="16">
        <f t="shared" si="21"/>
        <v>63.73146813841015</v>
      </c>
      <c r="R141" s="113">
        <f t="shared" si="16"/>
        <v>311.95699999999999</v>
      </c>
      <c r="S141" s="16">
        <f>IF(S140=15800,15800,ROUND((((Q141*60)/'Gearing Calculator'!$C$14)*'Track Data'!P141),-2))</f>
        <v>14100</v>
      </c>
      <c r="T141" s="16">
        <f t="shared" si="19"/>
        <v>3.0899254439990078</v>
      </c>
      <c r="U141" s="16">
        <f>IF(AC141=100,Braking!$AG$2354,IF(AC141=50,Braking!$AG$1179,IF(AC141=75,Braking!$AG$1767,0)))</f>
        <v>0</v>
      </c>
      <c r="V141" s="16">
        <f>0.5*'Gearing Calculator'!$C$15*'Gearing Calculator'!$C$20*'Gearing Calculator'!$W$20*('Track Data'!Q141^2)</f>
        <v>429.89033128920954</v>
      </c>
      <c r="W141" s="16">
        <f>('Gearing Calculator'!$U$9*'Track Data'!T141)+'Track Data'!V141</f>
        <v>1252.4284844817455</v>
      </c>
      <c r="X141" s="16">
        <f>('Gearing Calculator'!$U$9*9.81)*('Gearing Calculator'!$U$16/'Gearing Calculator'!$C$7)-(('Track Data'!W141)*('Gearing Calculator'!$U$17/'Gearing Calculator'!$C$7))</f>
        <v>718.50324294075347</v>
      </c>
      <c r="Y141" s="16">
        <f>('Gearing Calculator'!$U$9*9.81)*(('Gearing Calculator'!$C$7-'Gearing Calculator'!$U$16)/'Gearing Calculator'!$C$7)+(('Track Data'!W141)*('Gearing Calculator'!$U$17/'Gearing Calculator'!$C$7))</f>
        <v>1892.9187570592467</v>
      </c>
      <c r="Z141" s="16">
        <f>((X141*COS('Gearing Calculator'!$C$21))/'Gearing Calculator'!$C$22)/2</f>
        <v>22.213847839578861</v>
      </c>
      <c r="AA141" s="16">
        <f>Y141/'Gearing Calculator'!$C$24</f>
        <v>26.431494785489853</v>
      </c>
      <c r="AB141" s="16">
        <f t="shared" si="17"/>
        <v>448.42988395320361</v>
      </c>
      <c r="AC141" s="16">
        <v>0</v>
      </c>
      <c r="AD141" s="16">
        <v>0</v>
      </c>
      <c r="AE141" s="16">
        <v>138</v>
      </c>
      <c r="AF141" s="16">
        <f>IF(AC141=0,IF(O141=6,INDEX(Acceleration!$V$4:$V$110,MATCH('Track Data'!S141,Acceleration!$K$4:$K$110,0)),IF('Track Data'!O141=5,INDEX(Acceleration!$U$4:$U$110,MATCH('Track Data'!S141,Acceleration!$K$4:$K$110,0)),1)),U141)</f>
        <v>3.0899254439990078</v>
      </c>
      <c r="AG141" s="16">
        <f>IF(AC141=0,IF(O141=4,INDEX(Acceleration!$T$4:$T$110,MATCH('Track Data'!S141,Acceleration!$K$4:$K$110,0)),IF('Track Data'!O141=3,INDEX(Acceleration!$S$4:$S$110,MATCH('Track Data'!S141,Acceleration!$K$4:$K$110,0)),'Track Data'!AF141)),'Track Data'!U141)</f>
        <v>3.0899254439990078</v>
      </c>
      <c r="AH141" s="16">
        <f>IF(AC141=0,IF(O141=2,INDEX(Acceleration!$R$4:$R$110,MATCH('Track Data'!S141,Acceleration!$K$4:$K$110,0)),IF('Track Data'!O141=1,INDEX(Acceleration!$Q$4:$Q$110,MATCH('Track Data'!S141,Acceleration!$K$4:$K$110,0)),'Track Data'!AG141)),'Track Data'!U141)</f>
        <v>3.0899254439990078</v>
      </c>
    </row>
    <row r="142" spans="2:34" x14ac:dyDescent="0.25">
      <c r="B142" s="16">
        <v>198.101</v>
      </c>
      <c r="C142" s="16">
        <v>7412</v>
      </c>
      <c r="D142" s="16">
        <v>139</v>
      </c>
      <c r="E142" s="113">
        <v>196</v>
      </c>
      <c r="F142" s="113">
        <v>199.7</v>
      </c>
      <c r="G142" s="113">
        <v>205.8</v>
      </c>
      <c r="H142" s="113">
        <f t="shared" si="18"/>
        <v>57.166666666666671</v>
      </c>
      <c r="I142" s="113">
        <v>-3.5</v>
      </c>
      <c r="J142" s="113">
        <v>85.81</v>
      </c>
      <c r="K142" s="113">
        <v>4.0999999999999996</v>
      </c>
      <c r="L142" s="189"/>
      <c r="M142" s="16">
        <v>139</v>
      </c>
      <c r="N142" s="16">
        <f t="shared" si="20"/>
        <v>1.5678912621299231E-2</v>
      </c>
      <c r="O142" s="16">
        <v>6</v>
      </c>
      <c r="P142" s="16">
        <f t="shared" si="15"/>
        <v>7.3113821138211375</v>
      </c>
      <c r="Q142" s="16">
        <f t="shared" si="21"/>
        <v>63.779933223273183</v>
      </c>
      <c r="R142" s="113">
        <f t="shared" si="16"/>
        <v>311.95699999999999</v>
      </c>
      <c r="S142" s="16">
        <f>IF(S141=15800,15800,ROUND((((Q142*60)/'Gearing Calculator'!$C$14)*'Track Data'!P142),-2))</f>
        <v>14100</v>
      </c>
      <c r="T142" s="16">
        <f t="shared" si="19"/>
        <v>3.0899254439990078</v>
      </c>
      <c r="U142" s="16">
        <f>IF(AC142=100,Braking!$AG$2354,IF(AC142=50,Braking!$AG$1179,IF(AC142=75,Braking!$AG$1767,0)))</f>
        <v>0</v>
      </c>
      <c r="V142" s="16">
        <f>0.5*'Gearing Calculator'!$C$15*'Gearing Calculator'!$C$20*'Gearing Calculator'!$W$20*('Track Data'!Q142^2)</f>
        <v>430.54440670719532</v>
      </c>
      <c r="W142" s="16">
        <f>('Gearing Calculator'!$U$9*'Track Data'!T142)+'Track Data'!V142</f>
        <v>1253.0825598997312</v>
      </c>
      <c r="X142" s="16">
        <f>('Gearing Calculator'!$U$9*9.81)*('Gearing Calculator'!$U$16/'Gearing Calculator'!$C$7)-(('Track Data'!W142)*('Gearing Calculator'!$U$17/'Gearing Calculator'!$C$7))</f>
        <v>718.14672716869916</v>
      </c>
      <c r="Y142" s="16">
        <f>('Gearing Calculator'!$U$9*9.81)*(('Gearing Calculator'!$C$7-'Gearing Calculator'!$U$16)/'Gearing Calculator'!$C$7)+(('Track Data'!W142)*('Gearing Calculator'!$U$17/'Gearing Calculator'!$C$7))</f>
        <v>1893.2752728313008</v>
      </c>
      <c r="Z142" s="16">
        <f>((X142*COS('Gearing Calculator'!$C$21))/'Gearing Calculator'!$C$22)/2</f>
        <v>22.202825499470261</v>
      </c>
      <c r="AA142" s="16">
        <f>Y142/'Gearing Calculator'!$C$24</f>
        <v>26.436472941438097</v>
      </c>
      <c r="AB142" s="16">
        <f t="shared" si="17"/>
        <v>449.08395937118939</v>
      </c>
      <c r="AC142" s="16">
        <v>0</v>
      </c>
      <c r="AD142" s="16">
        <v>0</v>
      </c>
      <c r="AE142" s="16">
        <v>139</v>
      </c>
      <c r="AF142" s="16">
        <f>IF(AC142=0,IF(O142=6,INDEX(Acceleration!$V$4:$V$110,MATCH('Track Data'!S142,Acceleration!$K$4:$K$110,0)),IF('Track Data'!O142=5,INDEX(Acceleration!$U$4:$U$110,MATCH('Track Data'!S142,Acceleration!$K$4:$K$110,0)),1)),U142)</f>
        <v>3.0899254439990078</v>
      </c>
      <c r="AG142" s="16">
        <f>IF(AC142=0,IF(O142=4,INDEX(Acceleration!$T$4:$T$110,MATCH('Track Data'!S142,Acceleration!$K$4:$K$110,0)),IF('Track Data'!O142=3,INDEX(Acceleration!$S$4:$S$110,MATCH('Track Data'!S142,Acceleration!$K$4:$K$110,0)),'Track Data'!AF142)),'Track Data'!U142)</f>
        <v>3.0899254439990078</v>
      </c>
      <c r="AH142" s="16">
        <f>IF(AC142=0,IF(O142=2,INDEX(Acceleration!$R$4:$R$110,MATCH('Track Data'!S142,Acceleration!$K$4:$K$110,0)),IF('Track Data'!O142=1,INDEX(Acceleration!$Q$4:$Q$110,MATCH('Track Data'!S142,Acceleration!$K$4:$K$110,0)),'Track Data'!AG142)),'Track Data'!U142)</f>
        <v>3.0899254439990078</v>
      </c>
    </row>
    <row r="143" spans="2:34" x14ac:dyDescent="0.25">
      <c r="B143" s="16">
        <v>198.119</v>
      </c>
      <c r="C143" s="16">
        <v>7413</v>
      </c>
      <c r="D143" s="16">
        <v>140</v>
      </c>
      <c r="E143" s="113">
        <v>195</v>
      </c>
      <c r="F143" s="113">
        <v>198.1</v>
      </c>
      <c r="G143" s="113">
        <v>205.5</v>
      </c>
      <c r="H143" s="113">
        <f t="shared" si="18"/>
        <v>57.083333333333329</v>
      </c>
      <c r="I143" s="113">
        <v>-3.2</v>
      </c>
      <c r="J143" s="113">
        <v>85.99</v>
      </c>
      <c r="K143" s="113">
        <v>2.1</v>
      </c>
      <c r="L143" s="189"/>
      <c r="M143" s="16">
        <v>140</v>
      </c>
      <c r="N143" s="16">
        <f t="shared" si="20"/>
        <v>1.5667016610909523E-2</v>
      </c>
      <c r="O143" s="16">
        <v>6</v>
      </c>
      <c r="P143" s="16">
        <f t="shared" si="15"/>
        <v>7.3113821138211375</v>
      </c>
      <c r="Q143" s="16">
        <f t="shared" si="21"/>
        <v>63.828361508448452</v>
      </c>
      <c r="R143" s="113">
        <f t="shared" si="16"/>
        <v>311.95699999999999</v>
      </c>
      <c r="S143" s="16">
        <f>IF(S142=15800,15800,ROUND((((Q143*60)/'Gearing Calculator'!$C$14)*'Track Data'!P143),-2))</f>
        <v>14100</v>
      </c>
      <c r="T143" s="16">
        <f t="shared" si="19"/>
        <v>3.0899254439990078</v>
      </c>
      <c r="U143" s="16">
        <f>IF(AC143=100,Braking!$AG$2354,IF(AC143=50,Braking!$AG$1179,IF(AC143=75,Braking!$AG$1767,0)))</f>
        <v>0</v>
      </c>
      <c r="V143" s="16">
        <f>0.5*'Gearing Calculator'!$C$15*'Gearing Calculator'!$C$20*'Gearing Calculator'!$W$20*('Track Data'!Q143^2)</f>
        <v>431.19848212518093</v>
      </c>
      <c r="W143" s="16">
        <f>('Gearing Calculator'!$U$9*'Track Data'!T143)+'Track Data'!V143</f>
        <v>1253.7366353177167</v>
      </c>
      <c r="X143" s="16">
        <f>('Gearing Calculator'!$U$9*9.81)*('Gearing Calculator'!$U$16/'Gearing Calculator'!$C$7)-(('Track Data'!W143)*('Gearing Calculator'!$U$17/'Gearing Calculator'!$C$7))</f>
        <v>717.79021139664496</v>
      </c>
      <c r="Y143" s="16">
        <f>('Gearing Calculator'!$U$9*9.81)*(('Gearing Calculator'!$C$7-'Gearing Calculator'!$U$16)/'Gearing Calculator'!$C$7)+(('Track Data'!W143)*('Gearing Calculator'!$U$17/'Gearing Calculator'!$C$7))</f>
        <v>1893.6317886033551</v>
      </c>
      <c r="Z143" s="16">
        <f>((X143*COS('Gearing Calculator'!$C$21))/'Gearing Calculator'!$C$22)/2</f>
        <v>22.191803159361665</v>
      </c>
      <c r="AA143" s="16">
        <f>Y143/'Gearing Calculator'!$C$24</f>
        <v>26.441451097386341</v>
      </c>
      <c r="AB143" s="16">
        <f t="shared" si="17"/>
        <v>449.738034789175</v>
      </c>
      <c r="AC143" s="16">
        <v>0</v>
      </c>
      <c r="AD143" s="16">
        <v>0</v>
      </c>
      <c r="AE143" s="16">
        <v>140</v>
      </c>
      <c r="AF143" s="16">
        <f>IF(AC143=0,IF(O143=6,INDEX(Acceleration!$V$4:$V$110,MATCH('Track Data'!S143,Acceleration!$K$4:$K$110,0)),IF('Track Data'!O143=5,INDEX(Acceleration!$U$4:$U$110,MATCH('Track Data'!S143,Acceleration!$K$4:$K$110,0)),1)),U143)</f>
        <v>3.0899254439990078</v>
      </c>
      <c r="AG143" s="16">
        <f>IF(AC143=0,IF(O143=4,INDEX(Acceleration!$T$4:$T$110,MATCH('Track Data'!S143,Acceleration!$K$4:$K$110,0)),IF('Track Data'!O143=3,INDEX(Acceleration!$S$4:$S$110,MATCH('Track Data'!S143,Acceleration!$K$4:$K$110,0)),'Track Data'!AF143)),'Track Data'!U143)</f>
        <v>3.0899254439990078</v>
      </c>
      <c r="AH143" s="16">
        <f>IF(AC143=0,IF(O143=2,INDEX(Acceleration!$R$4:$R$110,MATCH('Track Data'!S143,Acceleration!$K$4:$K$110,0)),IF('Track Data'!O143=1,INDEX(Acceleration!$Q$4:$Q$110,MATCH('Track Data'!S143,Acceleration!$K$4:$K$110,0)),'Track Data'!AG143)),'Track Data'!U143)</f>
        <v>3.0899254439990078</v>
      </c>
    </row>
    <row r="144" spans="2:34" x14ac:dyDescent="0.25">
      <c r="B144" s="16">
        <v>198.137</v>
      </c>
      <c r="C144" s="16">
        <v>7414</v>
      </c>
      <c r="D144" s="16">
        <v>141</v>
      </c>
      <c r="E144" s="113">
        <v>195</v>
      </c>
      <c r="F144" s="113">
        <v>198.4</v>
      </c>
      <c r="G144" s="113">
        <v>205</v>
      </c>
      <c r="H144" s="113">
        <f t="shared" si="18"/>
        <v>56.944444444444443</v>
      </c>
      <c r="I144" s="113">
        <v>-1.5</v>
      </c>
      <c r="J144" s="113">
        <v>83.8</v>
      </c>
      <c r="K144" s="113">
        <v>-1.7</v>
      </c>
      <c r="L144" s="189"/>
      <c r="M144" s="16">
        <v>141</v>
      </c>
      <c r="N144" s="16">
        <f t="shared" si="20"/>
        <v>1.5655147636959708E-2</v>
      </c>
      <c r="O144" s="16">
        <v>6</v>
      </c>
      <c r="P144" s="16">
        <f t="shared" si="15"/>
        <v>7.3113821138211375</v>
      </c>
      <c r="Q144" s="16">
        <f t="shared" si="21"/>
        <v>63.876753077635229</v>
      </c>
      <c r="R144" s="113">
        <f t="shared" si="16"/>
        <v>311.95699999999999</v>
      </c>
      <c r="S144" s="16">
        <f>IF(S143=15800,15800,ROUND((((Q144*60)/'Gearing Calculator'!$C$14)*'Track Data'!P144),-2))</f>
        <v>14200</v>
      </c>
      <c r="T144" s="16">
        <f t="shared" si="19"/>
        <v>3.0635099031328381</v>
      </c>
      <c r="U144" s="16">
        <f>IF(AC144=100,Braking!$AG$2354,IF(AC144=50,Braking!$AG$1179,IF(AC144=75,Braking!$AG$1767,0)))</f>
        <v>0</v>
      </c>
      <c r="V144" s="16">
        <f>0.5*'Gearing Calculator'!$C$15*'Gearing Calculator'!$C$20*'Gearing Calculator'!$W$20*('Track Data'!Q144^2)</f>
        <v>431.85255754316665</v>
      </c>
      <c r="W144" s="16">
        <f>('Gearing Calculator'!$U$9*'Track Data'!T144)+'Track Data'!V144</f>
        <v>1247.358893757128</v>
      </c>
      <c r="X144" s="16">
        <f>('Gearing Calculator'!$U$9*9.81)*('Gearing Calculator'!$U$16/'Gearing Calculator'!$C$7)-(('Track Data'!W144)*('Gearing Calculator'!$U$17/'Gearing Calculator'!$C$7))</f>
        <v>721.26651610694603</v>
      </c>
      <c r="Y144" s="16">
        <f>('Gearing Calculator'!$U$9*9.81)*(('Gearing Calculator'!$C$7-'Gearing Calculator'!$U$16)/'Gearing Calculator'!$C$7)+(('Track Data'!W144)*('Gearing Calculator'!$U$17/'Gearing Calculator'!$C$7))</f>
        <v>1890.155483893054</v>
      </c>
      <c r="Z144" s="16">
        <f>((X144*COS('Gearing Calculator'!$C$21))/'Gearing Calculator'!$C$22)/2</f>
        <v>22.299279506389102</v>
      </c>
      <c r="AA144" s="16">
        <f>Y144/'Gearing Calculator'!$C$24</f>
        <v>26.392910223943971</v>
      </c>
      <c r="AB144" s="16">
        <f t="shared" si="17"/>
        <v>450.23361696196366</v>
      </c>
      <c r="AC144" s="16">
        <v>0</v>
      </c>
      <c r="AD144" s="16">
        <v>0</v>
      </c>
      <c r="AE144" s="16">
        <v>141</v>
      </c>
      <c r="AF144" s="16">
        <f>IF(AC144=0,IF(O144=6,INDEX(Acceleration!$V$4:$V$110,MATCH('Track Data'!S144,Acceleration!$K$4:$K$110,0)),IF('Track Data'!O144=5,INDEX(Acceleration!$U$4:$U$110,MATCH('Track Data'!S144,Acceleration!$K$4:$K$110,0)),1)),U144)</f>
        <v>3.0635099031328381</v>
      </c>
      <c r="AG144" s="16">
        <f>IF(AC144=0,IF(O144=4,INDEX(Acceleration!$T$4:$T$110,MATCH('Track Data'!S144,Acceleration!$K$4:$K$110,0)),IF('Track Data'!O144=3,INDEX(Acceleration!$S$4:$S$110,MATCH('Track Data'!S144,Acceleration!$K$4:$K$110,0)),'Track Data'!AF144)),'Track Data'!U144)</f>
        <v>3.0635099031328381</v>
      </c>
      <c r="AH144" s="16">
        <f>IF(AC144=0,IF(O144=2,INDEX(Acceleration!$R$4:$R$110,MATCH('Track Data'!S144,Acceleration!$K$4:$K$110,0)),IF('Track Data'!O144=1,INDEX(Acceleration!$Q$4:$Q$110,MATCH('Track Data'!S144,Acceleration!$K$4:$K$110,0)),'Track Data'!AG144)),'Track Data'!U144)</f>
        <v>3.0635099031328381</v>
      </c>
    </row>
    <row r="145" spans="2:34" x14ac:dyDescent="0.25">
      <c r="B145" s="16">
        <v>198.15600000000001</v>
      </c>
      <c r="C145" s="16">
        <v>7415</v>
      </c>
      <c r="D145" s="16">
        <v>142</v>
      </c>
      <c r="E145" s="113">
        <v>195</v>
      </c>
      <c r="F145" s="113">
        <v>200.3</v>
      </c>
      <c r="G145" s="113">
        <v>204.4</v>
      </c>
      <c r="H145" s="113">
        <f t="shared" si="18"/>
        <v>56.777777777777779</v>
      </c>
      <c r="I145" s="113">
        <v>-1.3</v>
      </c>
      <c r="J145" s="113">
        <v>81.67</v>
      </c>
      <c r="K145" s="113">
        <v>-5.7</v>
      </c>
      <c r="L145" s="189"/>
      <c r="M145" s="16">
        <v>142</v>
      </c>
      <c r="N145" s="16">
        <f t="shared" si="20"/>
        <v>1.5643406720045119E-2</v>
      </c>
      <c r="O145" s="16">
        <v>6</v>
      </c>
      <c r="P145" s="16">
        <f t="shared" si="15"/>
        <v>7.3113821138211375</v>
      </c>
      <c r="Q145" s="16">
        <f t="shared" si="21"/>
        <v>63.924694786502087</v>
      </c>
      <c r="R145" s="113">
        <f t="shared" si="16"/>
        <v>311.95699999999999</v>
      </c>
      <c r="S145" s="16">
        <f>IF(S144=15800,15800,ROUND((((Q145*60)/'Gearing Calculator'!$C$14)*'Track Data'!P145),-2))</f>
        <v>14200</v>
      </c>
      <c r="T145" s="16">
        <f t="shared" si="19"/>
        <v>3.0635099031328381</v>
      </c>
      <c r="U145" s="16">
        <f>IF(AC145=100,Braking!$AG$2354,IF(AC145=50,Braking!$AG$1179,IF(AC145=75,Braking!$AG$1767,0)))</f>
        <v>0</v>
      </c>
      <c r="V145" s="16">
        <f>0.5*'Gearing Calculator'!$C$15*'Gearing Calculator'!$C$20*'Gearing Calculator'!$W$20*('Track Data'!Q145^2)</f>
        <v>432.50104131946176</v>
      </c>
      <c r="W145" s="16">
        <f>('Gearing Calculator'!$U$9*'Track Data'!T145)+'Track Data'!V145</f>
        <v>1248.0073775334233</v>
      </c>
      <c r="X145" s="16">
        <f>('Gearing Calculator'!$U$9*9.81)*('Gearing Calculator'!$U$16/'Gearing Calculator'!$C$7)-(('Track Data'!W145)*('Gearing Calculator'!$U$17/'Gearing Calculator'!$C$7))</f>
        <v>720.91304816148715</v>
      </c>
      <c r="Y145" s="16">
        <f>('Gearing Calculator'!$U$9*9.81)*(('Gearing Calculator'!$C$7-'Gearing Calculator'!$U$16)/'Gearing Calculator'!$C$7)+(('Track Data'!W145)*('Gearing Calculator'!$U$17/'Gearing Calculator'!$C$7))</f>
        <v>1890.508951838513</v>
      </c>
      <c r="Z145" s="16">
        <f>((X145*COS('Gearing Calculator'!$C$21))/'Gearing Calculator'!$C$22)/2</f>
        <v>22.288351395439381</v>
      </c>
      <c r="AA145" s="16">
        <f>Y145/'Gearing Calculator'!$C$24</f>
        <v>26.397845822010396</v>
      </c>
      <c r="AB145" s="16">
        <f t="shared" si="17"/>
        <v>450.88210073825877</v>
      </c>
      <c r="AC145" s="16">
        <v>0</v>
      </c>
      <c r="AD145" s="16">
        <v>0</v>
      </c>
      <c r="AE145" s="16">
        <v>142</v>
      </c>
      <c r="AF145" s="16">
        <f>IF(AC145=0,IF(O145=6,INDEX(Acceleration!$V$4:$V$110,MATCH('Track Data'!S145,Acceleration!$K$4:$K$110,0)),IF('Track Data'!O145=5,INDEX(Acceleration!$U$4:$U$110,MATCH('Track Data'!S145,Acceleration!$K$4:$K$110,0)),1)),U145)</f>
        <v>3.0635099031328381</v>
      </c>
      <c r="AG145" s="16">
        <f>IF(AC145=0,IF(O145=4,INDEX(Acceleration!$T$4:$T$110,MATCH('Track Data'!S145,Acceleration!$K$4:$K$110,0)),IF('Track Data'!O145=3,INDEX(Acceleration!$S$4:$S$110,MATCH('Track Data'!S145,Acceleration!$K$4:$K$110,0)),'Track Data'!AF145)),'Track Data'!U145)</f>
        <v>3.0635099031328381</v>
      </c>
      <c r="AH145" s="16">
        <f>IF(AC145=0,IF(O145=2,INDEX(Acceleration!$R$4:$R$110,MATCH('Track Data'!S145,Acceleration!$K$4:$K$110,0)),IF('Track Data'!O145=1,INDEX(Acceleration!$Q$4:$Q$110,MATCH('Track Data'!S145,Acceleration!$K$4:$K$110,0)),'Track Data'!AG145)),'Track Data'!U145)</f>
        <v>3.0635099031328381</v>
      </c>
    </row>
    <row r="146" spans="2:34" x14ac:dyDescent="0.25">
      <c r="B146" s="16">
        <v>198.17400000000001</v>
      </c>
      <c r="C146" s="16">
        <v>7417</v>
      </c>
      <c r="D146" s="16">
        <v>143</v>
      </c>
      <c r="E146" s="113">
        <v>194</v>
      </c>
      <c r="F146" s="113">
        <v>200.7</v>
      </c>
      <c r="G146" s="113">
        <v>203.8</v>
      </c>
      <c r="H146" s="113">
        <f t="shared" si="18"/>
        <v>56.611111111111114</v>
      </c>
      <c r="I146" s="113">
        <v>-3.3</v>
      </c>
      <c r="J146" s="113">
        <v>81.849999999999994</v>
      </c>
      <c r="K146" s="113">
        <v>-6.9</v>
      </c>
      <c r="L146" s="189"/>
      <c r="M146" s="16">
        <v>143</v>
      </c>
      <c r="N146" s="16">
        <f t="shared" si="20"/>
        <v>1.5631692179634255E-2</v>
      </c>
      <c r="O146" s="16">
        <v>6</v>
      </c>
      <c r="P146" s="16">
        <f t="shared" si="15"/>
        <v>7.3113821138211375</v>
      </c>
      <c r="Q146" s="16">
        <f t="shared" si="21"/>
        <v>63.972600567381292</v>
      </c>
      <c r="R146" s="113">
        <f t="shared" si="16"/>
        <v>311.95699999999999</v>
      </c>
      <c r="S146" s="16">
        <f>IF(S145=15800,15800,ROUND((((Q146*60)/'Gearing Calculator'!$C$14)*'Track Data'!P146),-2))</f>
        <v>14200</v>
      </c>
      <c r="T146" s="16">
        <f t="shared" si="19"/>
        <v>3.0635099031328381</v>
      </c>
      <c r="U146" s="16">
        <f>IF(AC146=100,Braking!$AG$2354,IF(AC146=50,Braking!$AG$1179,IF(AC146=75,Braking!$AG$1767,0)))</f>
        <v>0</v>
      </c>
      <c r="V146" s="16">
        <f>0.5*'Gearing Calculator'!$C$15*'Gearing Calculator'!$C$20*'Gearing Calculator'!$W$20*('Track Data'!Q146^2)</f>
        <v>433.14952509575699</v>
      </c>
      <c r="W146" s="16">
        <f>('Gearing Calculator'!$U$9*'Track Data'!T146)+'Track Data'!V146</f>
        <v>1248.6558613097186</v>
      </c>
      <c r="X146" s="16">
        <f>('Gearing Calculator'!$U$9*9.81)*('Gearing Calculator'!$U$16/'Gearing Calculator'!$C$7)-(('Track Data'!W146)*('Gearing Calculator'!$U$17/'Gearing Calculator'!$C$7))</f>
        <v>720.55958021602817</v>
      </c>
      <c r="Y146" s="16">
        <f>('Gearing Calculator'!$U$9*9.81)*(('Gearing Calculator'!$C$7-'Gearing Calculator'!$U$16)/'Gearing Calculator'!$C$7)+(('Track Data'!W146)*('Gearing Calculator'!$U$17/'Gearing Calculator'!$C$7))</f>
        <v>1890.8624197839717</v>
      </c>
      <c r="Z146" s="16">
        <f>((X146*COS('Gearing Calculator'!$C$21))/'Gearing Calculator'!$C$22)/2</f>
        <v>22.277423284489654</v>
      </c>
      <c r="AA146" s="16">
        <f>Y146/'Gearing Calculator'!$C$24</f>
        <v>26.402781420076817</v>
      </c>
      <c r="AB146" s="16">
        <f t="shared" si="17"/>
        <v>451.53058451455399</v>
      </c>
      <c r="AC146" s="16">
        <v>0</v>
      </c>
      <c r="AD146" s="16">
        <v>0</v>
      </c>
      <c r="AE146" s="16">
        <v>143</v>
      </c>
      <c r="AF146" s="16">
        <f>IF(AC146=0,IF(O146=6,INDEX(Acceleration!$V$4:$V$110,MATCH('Track Data'!S146,Acceleration!$K$4:$K$110,0)),IF('Track Data'!O146=5,INDEX(Acceleration!$U$4:$U$110,MATCH('Track Data'!S146,Acceleration!$K$4:$K$110,0)),1)),U146)</f>
        <v>3.0635099031328381</v>
      </c>
      <c r="AG146" s="16">
        <f>IF(AC146=0,IF(O146=4,INDEX(Acceleration!$T$4:$T$110,MATCH('Track Data'!S146,Acceleration!$K$4:$K$110,0)),IF('Track Data'!O146=3,INDEX(Acceleration!$S$4:$S$110,MATCH('Track Data'!S146,Acceleration!$K$4:$K$110,0)),'Track Data'!AF146)),'Track Data'!U146)</f>
        <v>3.0635099031328381</v>
      </c>
      <c r="AH146" s="16">
        <f>IF(AC146=0,IF(O146=2,INDEX(Acceleration!$R$4:$R$110,MATCH('Track Data'!S146,Acceleration!$K$4:$K$110,0)),IF('Track Data'!O146=1,INDEX(Acceleration!$Q$4:$Q$110,MATCH('Track Data'!S146,Acceleration!$K$4:$K$110,0)),'Track Data'!AG146)),'Track Data'!U146)</f>
        <v>3.0635099031328381</v>
      </c>
    </row>
    <row r="147" spans="2:34" x14ac:dyDescent="0.25">
      <c r="B147" s="16">
        <v>198.191</v>
      </c>
      <c r="C147" s="16">
        <v>7417</v>
      </c>
      <c r="D147" s="16">
        <v>144</v>
      </c>
      <c r="E147" s="113">
        <v>192</v>
      </c>
      <c r="F147" s="113">
        <v>200.6</v>
      </c>
      <c r="G147" s="113">
        <v>203.2</v>
      </c>
      <c r="H147" s="113">
        <f t="shared" si="18"/>
        <v>56.444444444444443</v>
      </c>
      <c r="I147" s="113">
        <v>-3.7</v>
      </c>
      <c r="J147" s="113">
        <v>86.51</v>
      </c>
      <c r="K147" s="113">
        <v>-6.9</v>
      </c>
      <c r="L147" s="189"/>
      <c r="M147" s="16">
        <v>144</v>
      </c>
      <c r="N147" s="16">
        <f t="shared" si="20"/>
        <v>1.562000391711477E-2</v>
      </c>
      <c r="O147" s="16">
        <v>6</v>
      </c>
      <c r="P147" s="16">
        <f t="shared" si="15"/>
        <v>7.3113821138211375</v>
      </c>
      <c r="Q147" s="16">
        <f t="shared" si="21"/>
        <v>64.020470500926336</v>
      </c>
      <c r="R147" s="113">
        <f t="shared" si="16"/>
        <v>311.95699999999999</v>
      </c>
      <c r="S147" s="16">
        <f>IF(S146=15800,15800,ROUND((((Q147*60)/'Gearing Calculator'!$C$14)*'Track Data'!P147),-2))</f>
        <v>14200</v>
      </c>
      <c r="T147" s="16">
        <f t="shared" si="19"/>
        <v>3.0635099031328381</v>
      </c>
      <c r="U147" s="16">
        <f>IF(AC147=100,Braking!$AG$2354,IF(AC147=50,Braking!$AG$1179,IF(AC147=75,Braking!$AG$1767,0)))</f>
        <v>0</v>
      </c>
      <c r="V147" s="16">
        <f>0.5*'Gearing Calculator'!$C$15*'Gearing Calculator'!$C$20*'Gearing Calculator'!$W$20*('Track Data'!Q147^2)</f>
        <v>433.79800887205215</v>
      </c>
      <c r="W147" s="16">
        <f>('Gearing Calculator'!$U$9*'Track Data'!T147)+'Track Data'!V147</f>
        <v>1249.3043450860137</v>
      </c>
      <c r="X147" s="16">
        <f>('Gearing Calculator'!$U$9*9.81)*('Gearing Calculator'!$U$16/'Gearing Calculator'!$C$7)-(('Track Data'!W147)*('Gearing Calculator'!$U$17/'Gearing Calculator'!$C$7))</f>
        <v>720.20611227056941</v>
      </c>
      <c r="Y147" s="16">
        <f>('Gearing Calculator'!$U$9*9.81)*(('Gearing Calculator'!$C$7-'Gearing Calculator'!$U$16)/'Gearing Calculator'!$C$7)+(('Track Data'!W147)*('Gearing Calculator'!$U$17/'Gearing Calculator'!$C$7))</f>
        <v>1891.2158877294305</v>
      </c>
      <c r="Z147" s="16">
        <f>((X147*COS('Gearing Calculator'!$C$21))/'Gearing Calculator'!$C$22)/2</f>
        <v>22.266495173539933</v>
      </c>
      <c r="AA147" s="16">
        <f>Y147/'Gearing Calculator'!$C$24</f>
        <v>26.407717018143234</v>
      </c>
      <c r="AB147" s="16">
        <f t="shared" si="17"/>
        <v>452.17906829084916</v>
      </c>
      <c r="AC147" s="16">
        <v>0</v>
      </c>
      <c r="AD147" s="16">
        <v>0</v>
      </c>
      <c r="AE147" s="16">
        <v>144</v>
      </c>
      <c r="AF147" s="16">
        <f>IF(AC147=0,IF(O147=6,INDEX(Acceleration!$V$4:$V$110,MATCH('Track Data'!S147,Acceleration!$K$4:$K$110,0)),IF('Track Data'!O147=5,INDEX(Acceleration!$U$4:$U$110,MATCH('Track Data'!S147,Acceleration!$K$4:$K$110,0)),1)),U147)</f>
        <v>3.0635099031328381</v>
      </c>
      <c r="AG147" s="16">
        <f>IF(AC147=0,IF(O147=4,INDEX(Acceleration!$T$4:$T$110,MATCH('Track Data'!S147,Acceleration!$K$4:$K$110,0)),IF('Track Data'!O147=3,INDEX(Acceleration!$S$4:$S$110,MATCH('Track Data'!S147,Acceleration!$K$4:$K$110,0)),'Track Data'!AF147)),'Track Data'!U147)</f>
        <v>3.0635099031328381</v>
      </c>
      <c r="AH147" s="16">
        <f>IF(AC147=0,IF(O147=2,INDEX(Acceleration!$R$4:$R$110,MATCH('Track Data'!S147,Acceleration!$K$4:$K$110,0)),IF('Track Data'!O147=1,INDEX(Acceleration!$Q$4:$Q$110,MATCH('Track Data'!S147,Acceleration!$K$4:$K$110,0)),'Track Data'!AG147)),'Track Data'!U147)</f>
        <v>3.0635099031328381</v>
      </c>
    </row>
    <row r="148" spans="2:34" x14ac:dyDescent="0.25">
      <c r="B148" s="16">
        <v>198.209</v>
      </c>
      <c r="C148" s="16">
        <v>7418</v>
      </c>
      <c r="D148" s="16">
        <v>145</v>
      </c>
      <c r="E148" s="113">
        <v>191</v>
      </c>
      <c r="F148" s="113">
        <v>200.3</v>
      </c>
      <c r="G148" s="113">
        <v>202.9</v>
      </c>
      <c r="H148" s="113">
        <f t="shared" si="18"/>
        <v>56.361111111111114</v>
      </c>
      <c r="I148" s="113">
        <v>-3.7</v>
      </c>
      <c r="J148" s="113">
        <v>87.99</v>
      </c>
      <c r="K148" s="113">
        <v>-6.9</v>
      </c>
      <c r="L148" s="189"/>
      <c r="M148" s="16">
        <v>145</v>
      </c>
      <c r="N148" s="16">
        <f t="shared" si="20"/>
        <v>1.5608341834389701E-2</v>
      </c>
      <c r="O148" s="16">
        <v>6</v>
      </c>
      <c r="P148" s="16">
        <f t="shared" si="15"/>
        <v>7.3113821138211375</v>
      </c>
      <c r="Q148" s="16">
        <f t="shared" si="21"/>
        <v>64.068304667489414</v>
      </c>
      <c r="R148" s="113">
        <f t="shared" si="16"/>
        <v>311.95699999999999</v>
      </c>
      <c r="S148" s="16">
        <f>IF(S147=15800,15800,ROUND((((Q148*60)/'Gearing Calculator'!$C$14)*'Track Data'!P148),-2))</f>
        <v>14200</v>
      </c>
      <c r="T148" s="16">
        <f t="shared" si="19"/>
        <v>3.0635099031328381</v>
      </c>
      <c r="U148" s="16">
        <f>IF(AC148=100,Braking!$AG$2354,IF(AC148=50,Braking!$AG$1179,IF(AC148=75,Braking!$AG$1767,0)))</f>
        <v>0</v>
      </c>
      <c r="V148" s="16">
        <f>0.5*'Gearing Calculator'!$C$15*'Gearing Calculator'!$C$20*'Gearing Calculator'!$W$20*('Track Data'!Q148^2)</f>
        <v>434.44649264834743</v>
      </c>
      <c r="W148" s="16">
        <f>('Gearing Calculator'!$U$9*'Track Data'!T148)+'Track Data'!V148</f>
        <v>1249.9528288623089</v>
      </c>
      <c r="X148" s="16">
        <f>('Gearing Calculator'!$U$9*9.81)*('Gearing Calculator'!$U$16/'Gearing Calculator'!$C$7)-(('Track Data'!W148)*('Gearing Calculator'!$U$17/'Gearing Calculator'!$C$7))</f>
        <v>719.85264432511053</v>
      </c>
      <c r="Y148" s="16">
        <f>('Gearing Calculator'!$U$9*9.81)*(('Gearing Calculator'!$C$7-'Gearing Calculator'!$U$16)/'Gearing Calculator'!$C$7)+(('Track Data'!W148)*('Gearing Calculator'!$U$17/'Gearing Calculator'!$C$7))</f>
        <v>1891.5693556748895</v>
      </c>
      <c r="Z148" s="16">
        <f>((X148*COS('Gearing Calculator'!$C$21))/'Gearing Calculator'!$C$22)/2</f>
        <v>22.255567062590217</v>
      </c>
      <c r="AA148" s="16">
        <f>Y148/'Gearing Calculator'!$C$24</f>
        <v>26.412652616209659</v>
      </c>
      <c r="AB148" s="16">
        <f t="shared" si="17"/>
        <v>452.82755206714444</v>
      </c>
      <c r="AC148" s="16">
        <v>0</v>
      </c>
      <c r="AD148" s="16">
        <v>0</v>
      </c>
      <c r="AE148" s="16">
        <v>145</v>
      </c>
      <c r="AF148" s="16">
        <f>IF(AC148=0,IF(O148=6,INDEX(Acceleration!$V$4:$V$110,MATCH('Track Data'!S148,Acceleration!$K$4:$K$110,0)),IF('Track Data'!O148=5,INDEX(Acceleration!$U$4:$U$110,MATCH('Track Data'!S148,Acceleration!$K$4:$K$110,0)),1)),U148)</f>
        <v>3.0635099031328381</v>
      </c>
      <c r="AG148" s="16">
        <f>IF(AC148=0,IF(O148=4,INDEX(Acceleration!$T$4:$T$110,MATCH('Track Data'!S148,Acceleration!$K$4:$K$110,0)),IF('Track Data'!O148=3,INDEX(Acceleration!$S$4:$S$110,MATCH('Track Data'!S148,Acceleration!$K$4:$K$110,0)),'Track Data'!AF148)),'Track Data'!U148)</f>
        <v>3.0635099031328381</v>
      </c>
      <c r="AH148" s="16">
        <f>IF(AC148=0,IF(O148=2,INDEX(Acceleration!$R$4:$R$110,MATCH('Track Data'!S148,Acceleration!$K$4:$K$110,0)),IF('Track Data'!O148=1,INDEX(Acceleration!$Q$4:$Q$110,MATCH('Track Data'!S148,Acceleration!$K$4:$K$110,0)),'Track Data'!AG148)),'Track Data'!U148)</f>
        <v>3.0635099031328381</v>
      </c>
    </row>
    <row r="149" spans="2:34" x14ac:dyDescent="0.25">
      <c r="B149" s="16">
        <v>198.227</v>
      </c>
      <c r="C149" s="16">
        <v>7419</v>
      </c>
      <c r="D149" s="16">
        <v>146</v>
      </c>
      <c r="E149" s="113">
        <v>189</v>
      </c>
      <c r="F149" s="113">
        <v>199.3</v>
      </c>
      <c r="G149" s="113">
        <v>202.3</v>
      </c>
      <c r="H149" s="113">
        <f t="shared" si="18"/>
        <v>56.194444444444443</v>
      </c>
      <c r="I149" s="113">
        <v>-3.4</v>
      </c>
      <c r="J149" s="113">
        <v>88.87</v>
      </c>
      <c r="K149" s="113">
        <v>-6.9</v>
      </c>
      <c r="L149" s="189"/>
      <c r="M149" s="16">
        <v>146</v>
      </c>
      <c r="N149" s="16">
        <f t="shared" si="20"/>
        <v>1.5596705833874E-2</v>
      </c>
      <c r="O149" s="16">
        <v>6</v>
      </c>
      <c r="P149" s="16">
        <f t="shared" si="15"/>
        <v>7.3113821138211375</v>
      </c>
      <c r="Q149" s="16">
        <f t="shared" si="21"/>
        <v>64.116103147122971</v>
      </c>
      <c r="R149" s="113">
        <f t="shared" si="16"/>
        <v>311.95699999999999</v>
      </c>
      <c r="S149" s="16">
        <f>IF(S148=15800,15800,ROUND((((Q149*60)/'Gearing Calculator'!$C$14)*'Track Data'!P149),-2))</f>
        <v>14200</v>
      </c>
      <c r="T149" s="16">
        <f t="shared" si="19"/>
        <v>3.0635099031328381</v>
      </c>
      <c r="U149" s="16">
        <f>IF(AC149=100,Braking!$AG$2354,IF(AC149=50,Braking!$AG$1179,IF(AC149=75,Braking!$AG$1767,0)))</f>
        <v>0</v>
      </c>
      <c r="V149" s="16">
        <f>0.5*'Gearing Calculator'!$C$15*'Gearing Calculator'!$C$20*'Gearing Calculator'!$W$20*('Track Data'!Q149^2)</f>
        <v>435.0949764246426</v>
      </c>
      <c r="W149" s="16">
        <f>('Gearing Calculator'!$U$9*'Track Data'!T149)+'Track Data'!V149</f>
        <v>1250.6013126386042</v>
      </c>
      <c r="X149" s="16">
        <f>('Gearing Calculator'!$U$9*9.81)*('Gearing Calculator'!$U$16/'Gearing Calculator'!$C$7)-(('Track Data'!W149)*('Gearing Calculator'!$U$17/'Gearing Calculator'!$C$7))</f>
        <v>719.49917637965166</v>
      </c>
      <c r="Y149" s="16">
        <f>('Gearing Calculator'!$U$9*9.81)*(('Gearing Calculator'!$C$7-'Gearing Calculator'!$U$16)/'Gearing Calculator'!$C$7)+(('Track Data'!W149)*('Gearing Calculator'!$U$17/'Gearing Calculator'!$C$7))</f>
        <v>1891.9228236203485</v>
      </c>
      <c r="Z149" s="16">
        <f>((X149*COS('Gearing Calculator'!$C$21))/'Gearing Calculator'!$C$22)/2</f>
        <v>22.244638951640493</v>
      </c>
      <c r="AA149" s="16">
        <f>Y149/'Gearing Calculator'!$C$24</f>
        <v>26.41758821427608</v>
      </c>
      <c r="AB149" s="16">
        <f t="shared" si="17"/>
        <v>453.4760358434396</v>
      </c>
      <c r="AC149" s="16">
        <v>0</v>
      </c>
      <c r="AD149" s="16">
        <v>0</v>
      </c>
      <c r="AE149" s="16">
        <v>146</v>
      </c>
      <c r="AF149" s="16">
        <f>IF(AC149=0,IF(O149=6,INDEX(Acceleration!$V$4:$V$110,MATCH('Track Data'!S149,Acceleration!$K$4:$K$110,0)),IF('Track Data'!O149=5,INDEX(Acceleration!$U$4:$U$110,MATCH('Track Data'!S149,Acceleration!$K$4:$K$110,0)),1)),U149)</f>
        <v>3.0635099031328381</v>
      </c>
      <c r="AG149" s="16">
        <f>IF(AC149=0,IF(O149=4,INDEX(Acceleration!$T$4:$T$110,MATCH('Track Data'!S149,Acceleration!$K$4:$K$110,0)),IF('Track Data'!O149=3,INDEX(Acceleration!$S$4:$S$110,MATCH('Track Data'!S149,Acceleration!$K$4:$K$110,0)),'Track Data'!AF149)),'Track Data'!U149)</f>
        <v>3.0635099031328381</v>
      </c>
      <c r="AH149" s="16">
        <f>IF(AC149=0,IF(O149=2,INDEX(Acceleration!$R$4:$R$110,MATCH('Track Data'!S149,Acceleration!$K$4:$K$110,0)),IF('Track Data'!O149=1,INDEX(Acceleration!$Q$4:$Q$110,MATCH('Track Data'!S149,Acceleration!$K$4:$K$110,0)),'Track Data'!AG149)),'Track Data'!U149)</f>
        <v>3.0635099031328381</v>
      </c>
    </row>
    <row r="150" spans="2:34" x14ac:dyDescent="0.25">
      <c r="B150" s="16">
        <v>198.245</v>
      </c>
      <c r="C150" s="16">
        <v>7420</v>
      </c>
      <c r="D150" s="16">
        <v>147</v>
      </c>
      <c r="E150" s="113">
        <v>188</v>
      </c>
      <c r="F150" s="113">
        <v>198.3</v>
      </c>
      <c r="G150" s="113">
        <v>201.6</v>
      </c>
      <c r="H150" s="113">
        <f t="shared" si="18"/>
        <v>56</v>
      </c>
      <c r="I150" s="113">
        <v>-3.5</v>
      </c>
      <c r="J150" s="113">
        <v>89.15</v>
      </c>
      <c r="K150" s="113">
        <v>-7.2</v>
      </c>
      <c r="L150" s="189"/>
      <c r="M150" s="16">
        <v>147</v>
      </c>
      <c r="N150" s="16">
        <f t="shared" si="20"/>
        <v>1.558509581849111E-2</v>
      </c>
      <c r="O150" s="16">
        <v>6</v>
      </c>
      <c r="P150" s="16">
        <f t="shared" si="15"/>
        <v>7.3113821138211375</v>
      </c>
      <c r="Q150" s="16">
        <f t="shared" si="21"/>
        <v>64.163866019581278</v>
      </c>
      <c r="R150" s="113">
        <f t="shared" si="16"/>
        <v>311.95699999999999</v>
      </c>
      <c r="S150" s="16">
        <f>IF(S149=15800,15800,ROUND((((Q150*60)/'Gearing Calculator'!$C$14)*'Track Data'!P150),-2))</f>
        <v>14200</v>
      </c>
      <c r="T150" s="16">
        <f t="shared" si="19"/>
        <v>3.0635099031328381</v>
      </c>
      <c r="U150" s="16">
        <f>IF(AC150=100,Braking!$AG$2354,IF(AC150=50,Braking!$AG$1179,IF(AC150=75,Braking!$AG$1767,0)))</f>
        <v>0</v>
      </c>
      <c r="V150" s="16">
        <f>0.5*'Gearing Calculator'!$C$15*'Gearing Calculator'!$C$20*'Gearing Calculator'!$W$20*('Track Data'!Q150^2)</f>
        <v>435.74346020093765</v>
      </c>
      <c r="W150" s="16">
        <f>('Gearing Calculator'!$U$9*'Track Data'!T150)+'Track Data'!V150</f>
        <v>1251.2497964148993</v>
      </c>
      <c r="X150" s="16">
        <f>('Gearing Calculator'!$U$9*9.81)*('Gearing Calculator'!$U$16/'Gearing Calculator'!$C$7)-(('Track Data'!W150)*('Gearing Calculator'!$U$17/'Gearing Calculator'!$C$7))</f>
        <v>719.1457084341929</v>
      </c>
      <c r="Y150" s="16">
        <f>('Gearing Calculator'!$U$9*9.81)*(('Gearing Calculator'!$C$7-'Gearing Calculator'!$U$16)/'Gearing Calculator'!$C$7)+(('Track Data'!W150)*('Gearing Calculator'!$U$17/'Gearing Calculator'!$C$7))</f>
        <v>1892.2762915658072</v>
      </c>
      <c r="Z150" s="16">
        <f>((X150*COS('Gearing Calculator'!$C$21))/'Gearing Calculator'!$C$22)/2</f>
        <v>22.233710840690772</v>
      </c>
      <c r="AA150" s="16">
        <f>Y150/'Gearing Calculator'!$C$24</f>
        <v>26.422523812342501</v>
      </c>
      <c r="AB150" s="16">
        <f t="shared" si="17"/>
        <v>454.12451961973466</v>
      </c>
      <c r="AC150" s="16">
        <v>0</v>
      </c>
      <c r="AD150" s="16">
        <v>0</v>
      </c>
      <c r="AE150" s="16">
        <v>147</v>
      </c>
      <c r="AF150" s="16">
        <f>IF(AC150=0,IF(O150=6,INDEX(Acceleration!$V$4:$V$110,MATCH('Track Data'!S150,Acceleration!$K$4:$K$110,0)),IF('Track Data'!O150=5,INDEX(Acceleration!$U$4:$U$110,MATCH('Track Data'!S150,Acceleration!$K$4:$K$110,0)),1)),U150)</f>
        <v>3.0635099031328381</v>
      </c>
      <c r="AG150" s="16">
        <f>IF(AC150=0,IF(O150=4,INDEX(Acceleration!$T$4:$T$110,MATCH('Track Data'!S150,Acceleration!$K$4:$K$110,0)),IF('Track Data'!O150=3,INDEX(Acceleration!$S$4:$S$110,MATCH('Track Data'!S150,Acceleration!$K$4:$K$110,0)),'Track Data'!AF150)),'Track Data'!U150)</f>
        <v>3.0635099031328381</v>
      </c>
      <c r="AH150" s="16">
        <f>IF(AC150=0,IF(O150=2,INDEX(Acceleration!$R$4:$R$110,MATCH('Track Data'!S150,Acceleration!$K$4:$K$110,0)),IF('Track Data'!O150=1,INDEX(Acceleration!$Q$4:$Q$110,MATCH('Track Data'!S150,Acceleration!$K$4:$K$110,0)),'Track Data'!AG150)),'Track Data'!U150)</f>
        <v>3.0635099031328381</v>
      </c>
    </row>
    <row r="151" spans="2:34" x14ac:dyDescent="0.25">
      <c r="B151" s="16">
        <v>198.26300000000001</v>
      </c>
      <c r="C151" s="16">
        <v>7421</v>
      </c>
      <c r="D151" s="16">
        <v>148</v>
      </c>
      <c r="E151" s="113">
        <v>190</v>
      </c>
      <c r="F151" s="113">
        <v>197.6</v>
      </c>
      <c r="G151" s="113">
        <v>201</v>
      </c>
      <c r="H151" s="113">
        <f t="shared" si="18"/>
        <v>55.833333333333329</v>
      </c>
      <c r="I151" s="113">
        <v>0.2</v>
      </c>
      <c r="J151" s="113">
        <v>91.64</v>
      </c>
      <c r="K151" s="113">
        <v>-8.6999999999999993</v>
      </c>
      <c r="L151" s="189"/>
      <c r="M151" s="16">
        <v>148</v>
      </c>
      <c r="N151" s="16">
        <f t="shared" si="20"/>
        <v>1.5573511691669553E-2</v>
      </c>
      <c r="O151" s="16">
        <v>6</v>
      </c>
      <c r="P151" s="16">
        <f t="shared" si="15"/>
        <v>7.3113821138211375</v>
      </c>
      <c r="Q151" s="16">
        <f t="shared" si="21"/>
        <v>64.211593364322013</v>
      </c>
      <c r="R151" s="113">
        <f t="shared" si="16"/>
        <v>311.95699999999999</v>
      </c>
      <c r="S151" s="16">
        <f>IF(S150=15800,15800,ROUND((((Q151*60)/'Gearing Calculator'!$C$14)*'Track Data'!P151),-2))</f>
        <v>14200</v>
      </c>
      <c r="T151" s="16">
        <f t="shared" si="19"/>
        <v>3.0635099031328381</v>
      </c>
      <c r="U151" s="16">
        <f>IF(AC151=100,Braking!$AG$2354,IF(AC151=50,Braking!$AG$1179,IF(AC151=75,Braking!$AG$1767,0)))</f>
        <v>0</v>
      </c>
      <c r="V151" s="16">
        <f>0.5*'Gearing Calculator'!$C$15*'Gearing Calculator'!$C$20*'Gearing Calculator'!$W$20*('Track Data'!Q151^2)</f>
        <v>436.39194397723293</v>
      </c>
      <c r="W151" s="16">
        <f>('Gearing Calculator'!$U$9*'Track Data'!T151)+'Track Data'!V151</f>
        <v>1251.8982801911943</v>
      </c>
      <c r="X151" s="16">
        <f>('Gearing Calculator'!$U$9*9.81)*('Gearing Calculator'!$U$16/'Gearing Calculator'!$C$7)-(('Track Data'!W151)*('Gearing Calculator'!$U$17/'Gearing Calculator'!$C$7))</f>
        <v>718.79224048873414</v>
      </c>
      <c r="Y151" s="16">
        <f>('Gearing Calculator'!$U$9*9.81)*(('Gearing Calculator'!$C$7-'Gearing Calculator'!$U$16)/'Gearing Calculator'!$C$7)+(('Track Data'!W151)*('Gearing Calculator'!$U$17/'Gearing Calculator'!$C$7))</f>
        <v>1892.629759511266</v>
      </c>
      <c r="Z151" s="16">
        <f>((X151*COS('Gearing Calculator'!$C$21))/'Gearing Calculator'!$C$22)/2</f>
        <v>22.222782729741052</v>
      </c>
      <c r="AA151" s="16">
        <f>Y151/'Gearing Calculator'!$C$24</f>
        <v>26.427459410408918</v>
      </c>
      <c r="AB151" s="16">
        <f t="shared" si="17"/>
        <v>454.77300339602994</v>
      </c>
      <c r="AC151" s="16">
        <v>0</v>
      </c>
      <c r="AD151" s="16">
        <v>0</v>
      </c>
      <c r="AE151" s="16">
        <v>148</v>
      </c>
      <c r="AF151" s="16">
        <f>IF(AC151=0,IF(O151=6,INDEX(Acceleration!$V$4:$V$110,MATCH('Track Data'!S151,Acceleration!$K$4:$K$110,0)),IF('Track Data'!O151=5,INDEX(Acceleration!$U$4:$U$110,MATCH('Track Data'!S151,Acceleration!$K$4:$K$110,0)),1)),U151)</f>
        <v>3.0635099031328381</v>
      </c>
      <c r="AG151" s="16">
        <f>IF(AC151=0,IF(O151=4,INDEX(Acceleration!$T$4:$T$110,MATCH('Track Data'!S151,Acceleration!$K$4:$K$110,0)),IF('Track Data'!O151=3,INDEX(Acceleration!$S$4:$S$110,MATCH('Track Data'!S151,Acceleration!$K$4:$K$110,0)),'Track Data'!AF151)),'Track Data'!U151)</f>
        <v>3.0635099031328381</v>
      </c>
      <c r="AH151" s="16">
        <f>IF(AC151=0,IF(O151=2,INDEX(Acceleration!$R$4:$R$110,MATCH('Track Data'!S151,Acceleration!$K$4:$K$110,0)),IF('Track Data'!O151=1,INDEX(Acceleration!$Q$4:$Q$110,MATCH('Track Data'!S151,Acceleration!$K$4:$K$110,0)),'Track Data'!AG151)),'Track Data'!U151)</f>
        <v>3.0635099031328381</v>
      </c>
    </row>
    <row r="152" spans="2:34" x14ac:dyDescent="0.25">
      <c r="B152" s="16">
        <v>198.28100000000001</v>
      </c>
      <c r="C152" s="16">
        <v>7422</v>
      </c>
      <c r="D152" s="16">
        <v>149</v>
      </c>
      <c r="E152" s="113">
        <v>192</v>
      </c>
      <c r="F152" s="113">
        <v>196.9</v>
      </c>
      <c r="G152" s="113">
        <v>200.3</v>
      </c>
      <c r="H152" s="113">
        <f t="shared" si="18"/>
        <v>55.638888888888893</v>
      </c>
      <c r="I152" s="113">
        <v>4.4000000000000004</v>
      </c>
      <c r="J152" s="113">
        <v>92.74</v>
      </c>
      <c r="K152" s="113">
        <v>-10.199999999999999</v>
      </c>
      <c r="L152" s="189"/>
      <c r="M152" s="16">
        <v>149</v>
      </c>
      <c r="N152" s="16">
        <f t="shared" si="20"/>
        <v>1.5561953357339574E-2</v>
      </c>
      <c r="O152" s="16">
        <v>6</v>
      </c>
      <c r="P152" s="16">
        <f t="shared" si="15"/>
        <v>7.3113821138211375</v>
      </c>
      <c r="Q152" s="16">
        <f t="shared" si="21"/>
        <v>64.259285260507752</v>
      </c>
      <c r="R152" s="113">
        <f t="shared" si="16"/>
        <v>311.95699999999999</v>
      </c>
      <c r="S152" s="16">
        <f>IF(S151=15800,15800,ROUND((((Q152*60)/'Gearing Calculator'!$C$14)*'Track Data'!P152),-2))</f>
        <v>14200</v>
      </c>
      <c r="T152" s="16">
        <f t="shared" si="19"/>
        <v>3.0635099031328381</v>
      </c>
      <c r="U152" s="16">
        <f>IF(AC152=100,Braking!$AG$2354,IF(AC152=50,Braking!$AG$1179,IF(AC152=75,Braking!$AG$1767,0)))</f>
        <v>0</v>
      </c>
      <c r="V152" s="16">
        <f>0.5*'Gearing Calculator'!$C$15*'Gearing Calculator'!$C$20*'Gearing Calculator'!$W$20*('Track Data'!Q152^2)</f>
        <v>437.04042775352809</v>
      </c>
      <c r="W152" s="16">
        <f>('Gearing Calculator'!$U$9*'Track Data'!T152)+'Track Data'!V152</f>
        <v>1252.5467639674896</v>
      </c>
      <c r="X152" s="16">
        <f>('Gearing Calculator'!$U$9*9.81)*('Gearing Calculator'!$U$16/'Gearing Calculator'!$C$7)-(('Track Data'!W152)*('Gearing Calculator'!$U$17/'Gearing Calculator'!$C$7))</f>
        <v>718.43877254327526</v>
      </c>
      <c r="Y152" s="16">
        <f>('Gearing Calculator'!$U$9*9.81)*(('Gearing Calculator'!$C$7-'Gearing Calculator'!$U$16)/'Gearing Calculator'!$C$7)+(('Track Data'!W152)*('Gearing Calculator'!$U$17/'Gearing Calculator'!$C$7))</f>
        <v>1892.9832274567248</v>
      </c>
      <c r="Z152" s="16">
        <f>((X152*COS('Gearing Calculator'!$C$21))/'Gearing Calculator'!$C$22)/2</f>
        <v>22.211854618791332</v>
      </c>
      <c r="AA152" s="16">
        <f>Y152/'Gearing Calculator'!$C$24</f>
        <v>26.432395008475339</v>
      </c>
      <c r="AB152" s="16">
        <f t="shared" si="17"/>
        <v>455.4214871723251</v>
      </c>
      <c r="AC152" s="16">
        <v>0</v>
      </c>
      <c r="AD152" s="16">
        <v>0</v>
      </c>
      <c r="AE152" s="16">
        <v>149</v>
      </c>
      <c r="AF152" s="16">
        <f>IF(AC152=0,IF(O152=6,INDEX(Acceleration!$V$4:$V$110,MATCH('Track Data'!S152,Acceleration!$K$4:$K$110,0)),IF('Track Data'!O152=5,INDEX(Acceleration!$U$4:$U$110,MATCH('Track Data'!S152,Acceleration!$K$4:$K$110,0)),1)),U152)</f>
        <v>3.0635099031328381</v>
      </c>
      <c r="AG152" s="16">
        <f>IF(AC152=0,IF(O152=4,INDEX(Acceleration!$T$4:$T$110,MATCH('Track Data'!S152,Acceleration!$K$4:$K$110,0)),IF('Track Data'!O152=3,INDEX(Acceleration!$S$4:$S$110,MATCH('Track Data'!S152,Acceleration!$K$4:$K$110,0)),'Track Data'!AF152)),'Track Data'!U152)</f>
        <v>3.0635099031328381</v>
      </c>
      <c r="AH152" s="16">
        <f>IF(AC152=0,IF(O152=2,INDEX(Acceleration!$R$4:$R$110,MATCH('Track Data'!S152,Acceleration!$K$4:$K$110,0)),IF('Track Data'!O152=1,INDEX(Acceleration!$Q$4:$Q$110,MATCH('Track Data'!S152,Acceleration!$K$4:$K$110,0)),'Track Data'!AG152)),'Track Data'!U152)</f>
        <v>3.0635099031328381</v>
      </c>
    </row>
    <row r="153" spans="2:34" x14ac:dyDescent="0.25">
      <c r="B153" s="16">
        <v>198.29900000000001</v>
      </c>
      <c r="C153" s="16">
        <v>7423</v>
      </c>
      <c r="D153" s="16">
        <v>150</v>
      </c>
      <c r="E153" s="113">
        <v>192</v>
      </c>
      <c r="F153" s="113">
        <v>196.7</v>
      </c>
      <c r="G153" s="113">
        <v>200</v>
      </c>
      <c r="H153" s="113">
        <f t="shared" si="18"/>
        <v>55.555555555555557</v>
      </c>
      <c r="I153" s="113">
        <v>4.5</v>
      </c>
      <c r="J153" s="113">
        <v>95.2</v>
      </c>
      <c r="K153" s="113">
        <v>-11</v>
      </c>
      <c r="L153" s="189"/>
      <c r="M153" s="16">
        <v>150</v>
      </c>
      <c r="N153" s="16">
        <f t="shared" si="20"/>
        <v>1.5550420719929778E-2</v>
      </c>
      <c r="O153" s="16">
        <v>6</v>
      </c>
      <c r="P153" s="16">
        <f t="shared" si="15"/>
        <v>7.3113821138211375</v>
      </c>
      <c r="Q153" s="16">
        <f t="shared" si="21"/>
        <v>64.306941787007531</v>
      </c>
      <c r="R153" s="113">
        <f t="shared" si="16"/>
        <v>311.95699999999999</v>
      </c>
      <c r="S153" s="16">
        <f>IF(S152=15800,15800,ROUND((((Q153*60)/'Gearing Calculator'!$C$14)*'Track Data'!P153),-2))</f>
        <v>14300</v>
      </c>
      <c r="T153" s="16">
        <f t="shared" si="19"/>
        <v>3.0186340083678007</v>
      </c>
      <c r="U153" s="16">
        <f>IF(AC153=100,Braking!$AG$2354,IF(AC153=50,Braking!$AG$1179,IF(AC153=75,Braking!$AG$1767,0)))</f>
        <v>0</v>
      </c>
      <c r="V153" s="16">
        <f>0.5*'Gearing Calculator'!$C$15*'Gearing Calculator'!$C$20*'Gearing Calculator'!$W$20*('Track Data'!Q153^2)</f>
        <v>437.68891152982337</v>
      </c>
      <c r="W153" s="16">
        <f>('Gearing Calculator'!$U$9*'Track Data'!T153)+'Track Data'!V153</f>
        <v>1241.249284557332</v>
      </c>
      <c r="X153" s="16">
        <f>('Gearing Calculator'!$U$9*9.81)*('Gearing Calculator'!$U$16/'Gearing Calculator'!$C$7)-(('Track Data'!W153)*('Gearing Calculator'!$U$17/'Gearing Calculator'!$C$7))</f>
        <v>724.59667036885514</v>
      </c>
      <c r="Y153" s="16">
        <f>('Gearing Calculator'!$U$9*9.81)*(('Gearing Calculator'!$C$7-'Gearing Calculator'!$U$16)/'Gearing Calculator'!$C$7)+(('Track Data'!W153)*('Gearing Calculator'!$U$17/'Gearing Calculator'!$C$7))</f>
        <v>1886.825329631145</v>
      </c>
      <c r="Z153" s="16">
        <f>((X153*COS('Gearing Calculator'!$C$21))/'Gearing Calculator'!$C$22)/2</f>
        <v>22.402237343786748</v>
      </c>
      <c r="AA153" s="16">
        <f>Y153/'Gearing Calculator'!$C$24</f>
        <v>26.346410100956511</v>
      </c>
      <c r="AB153" s="16">
        <f t="shared" si="17"/>
        <v>455.80071558003016</v>
      </c>
      <c r="AC153" s="16">
        <v>0</v>
      </c>
      <c r="AD153" s="16">
        <v>0</v>
      </c>
      <c r="AE153" s="16">
        <v>150</v>
      </c>
      <c r="AF153" s="16">
        <f>IF(AC153=0,IF(O153=6,INDEX(Acceleration!$V$4:$V$110,MATCH('Track Data'!S153,Acceleration!$K$4:$K$110,0)),IF('Track Data'!O153=5,INDEX(Acceleration!$U$4:$U$110,MATCH('Track Data'!S153,Acceleration!$K$4:$K$110,0)),1)),U153)</f>
        <v>3.0186340083678007</v>
      </c>
      <c r="AG153" s="16">
        <f>IF(AC153=0,IF(O153=4,INDEX(Acceleration!$T$4:$T$110,MATCH('Track Data'!S153,Acceleration!$K$4:$K$110,0)),IF('Track Data'!O153=3,INDEX(Acceleration!$S$4:$S$110,MATCH('Track Data'!S153,Acceleration!$K$4:$K$110,0)),'Track Data'!AF153)),'Track Data'!U153)</f>
        <v>3.0186340083678007</v>
      </c>
      <c r="AH153" s="16">
        <f>IF(AC153=0,IF(O153=2,INDEX(Acceleration!$R$4:$R$110,MATCH('Track Data'!S153,Acceleration!$K$4:$K$110,0)),IF('Track Data'!O153=1,INDEX(Acceleration!$Q$4:$Q$110,MATCH('Track Data'!S153,Acceleration!$K$4:$K$110,0)),'Track Data'!AG153)),'Track Data'!U153)</f>
        <v>3.0186340083678007</v>
      </c>
    </row>
    <row r="154" spans="2:34" x14ac:dyDescent="0.25">
      <c r="B154" s="16">
        <v>198.31700000000001</v>
      </c>
      <c r="C154" s="16">
        <v>7424</v>
      </c>
      <c r="D154" s="16">
        <v>151</v>
      </c>
      <c r="E154" s="113">
        <v>192</v>
      </c>
      <c r="F154" s="113">
        <v>196.2</v>
      </c>
      <c r="G154" s="113">
        <v>199.3</v>
      </c>
      <c r="H154" s="113">
        <f t="shared" si="18"/>
        <v>55.361111111111114</v>
      </c>
      <c r="I154" s="113">
        <v>2.9</v>
      </c>
      <c r="J154" s="113">
        <v>96.12</v>
      </c>
      <c r="K154" s="113">
        <v>-12.5</v>
      </c>
      <c r="L154" s="189"/>
      <c r="M154" s="16">
        <v>151</v>
      </c>
      <c r="N154" s="16">
        <f t="shared" si="20"/>
        <v>1.5539082061121604E-2</v>
      </c>
      <c r="O154" s="16">
        <v>6</v>
      </c>
      <c r="P154" s="16">
        <f t="shared" si="15"/>
        <v>7.3113821138211375</v>
      </c>
      <c r="Q154" s="16">
        <f t="shared" si="21"/>
        <v>64.353865695965084</v>
      </c>
      <c r="R154" s="113">
        <f t="shared" si="16"/>
        <v>311.95699999999999</v>
      </c>
      <c r="S154" s="16">
        <f>IF(S153=15800,15800,ROUND((((Q154*60)/'Gearing Calculator'!$C$14)*'Track Data'!P154),-2))</f>
        <v>14300</v>
      </c>
      <c r="T154" s="16">
        <f t="shared" si="19"/>
        <v>3.0186340083678007</v>
      </c>
      <c r="U154" s="16">
        <f>IF(AC154=100,Braking!$AG$2354,IF(AC154=50,Braking!$AG$1179,IF(AC154=75,Braking!$AG$1767,0)))</f>
        <v>0</v>
      </c>
      <c r="V154" s="16">
        <f>0.5*'Gearing Calculator'!$C$15*'Gearing Calculator'!$C$20*'Gearing Calculator'!$W$20*('Track Data'!Q154^2)</f>
        <v>438.32789597671467</v>
      </c>
      <c r="W154" s="16">
        <f>('Gearing Calculator'!$U$9*'Track Data'!T154)+'Track Data'!V154</f>
        <v>1241.8882690042233</v>
      </c>
      <c r="X154" s="16">
        <f>('Gearing Calculator'!$U$9*9.81)*('Gearing Calculator'!$U$16/'Gearing Calculator'!$C$7)-(('Track Data'!W154)*('Gearing Calculator'!$U$17/'Gearing Calculator'!$C$7))</f>
        <v>724.24838020666607</v>
      </c>
      <c r="Y154" s="16">
        <f>('Gearing Calculator'!$U$9*9.81)*(('Gearing Calculator'!$C$7-'Gearing Calculator'!$U$16)/'Gearing Calculator'!$C$7)+(('Track Data'!W154)*('Gearing Calculator'!$U$17/'Gearing Calculator'!$C$7))</f>
        <v>1887.173619793334</v>
      </c>
      <c r="Z154" s="16">
        <f>((X154*COS('Gearing Calculator'!$C$21))/'Gearing Calculator'!$C$22)/2</f>
        <v>22.391469313519796</v>
      </c>
      <c r="AA154" s="16">
        <f>Y154/'Gearing Calculator'!$C$24</f>
        <v>26.351273399801961</v>
      </c>
      <c r="AB154" s="16">
        <f t="shared" si="17"/>
        <v>456.43970002692146</v>
      </c>
      <c r="AC154" s="16">
        <v>0</v>
      </c>
      <c r="AD154" s="16">
        <v>0</v>
      </c>
      <c r="AE154" s="16">
        <v>151</v>
      </c>
      <c r="AF154" s="16">
        <f>IF(AC154=0,IF(O154=6,INDEX(Acceleration!$V$4:$V$110,MATCH('Track Data'!S154,Acceleration!$K$4:$K$110,0)),IF('Track Data'!O154=5,INDEX(Acceleration!$U$4:$U$110,MATCH('Track Data'!S154,Acceleration!$K$4:$K$110,0)),1)),U154)</f>
        <v>3.0186340083678007</v>
      </c>
      <c r="AG154" s="16">
        <f>IF(AC154=0,IF(O154=4,INDEX(Acceleration!$T$4:$T$110,MATCH('Track Data'!S154,Acceleration!$K$4:$K$110,0)),IF('Track Data'!O154=3,INDEX(Acceleration!$S$4:$S$110,MATCH('Track Data'!S154,Acceleration!$K$4:$K$110,0)),'Track Data'!AF154)),'Track Data'!U154)</f>
        <v>3.0186340083678007</v>
      </c>
      <c r="AH154" s="16">
        <f>IF(AC154=0,IF(O154=2,INDEX(Acceleration!$R$4:$R$110,MATCH('Track Data'!S154,Acceleration!$K$4:$K$110,0)),IF('Track Data'!O154=1,INDEX(Acceleration!$Q$4:$Q$110,MATCH('Track Data'!S154,Acceleration!$K$4:$K$110,0)),'Track Data'!AG154)),'Track Data'!U154)</f>
        <v>3.0186340083678007</v>
      </c>
    </row>
    <row r="155" spans="2:34" x14ac:dyDescent="0.25">
      <c r="B155" s="16">
        <v>198.33600000000001</v>
      </c>
      <c r="C155" s="16">
        <v>7425</v>
      </c>
      <c r="D155" s="16">
        <v>152</v>
      </c>
      <c r="E155" s="113">
        <v>191</v>
      </c>
      <c r="F155" s="113">
        <v>195.7</v>
      </c>
      <c r="G155" s="113">
        <v>198.6</v>
      </c>
      <c r="H155" s="113">
        <f t="shared" si="18"/>
        <v>55.166666666666664</v>
      </c>
      <c r="I155" s="113">
        <v>0.6</v>
      </c>
      <c r="J155" s="113">
        <v>96.05</v>
      </c>
      <c r="K155" s="113">
        <v>-15.3</v>
      </c>
      <c r="L155" s="189"/>
      <c r="M155" s="16">
        <v>152</v>
      </c>
      <c r="N155" s="16">
        <f t="shared" si="20"/>
        <v>1.5527768169099324E-2</v>
      </c>
      <c r="O155" s="16">
        <v>6</v>
      </c>
      <c r="P155" s="16">
        <f t="shared" si="15"/>
        <v>7.3113821138211375</v>
      </c>
      <c r="Q155" s="16">
        <f t="shared" si="21"/>
        <v>64.400755415065177</v>
      </c>
      <c r="R155" s="113">
        <f t="shared" si="16"/>
        <v>311.95699999999999</v>
      </c>
      <c r="S155" s="16">
        <f>IF(S154=15800,15800,ROUND((((Q155*60)/'Gearing Calculator'!$C$14)*'Track Data'!P155),-2))</f>
        <v>14300</v>
      </c>
      <c r="T155" s="16">
        <f t="shared" si="19"/>
        <v>3.0186340083678007</v>
      </c>
      <c r="U155" s="16">
        <f>IF(AC155=100,Braking!$AG$2354,IF(AC155=50,Braking!$AG$1179,IF(AC155=75,Braking!$AG$1767,0)))</f>
        <v>0</v>
      </c>
      <c r="V155" s="16">
        <f>0.5*'Gearing Calculator'!$C$15*'Gearing Calculator'!$C$20*'Gearing Calculator'!$W$20*('Track Data'!Q155^2)</f>
        <v>438.96688042360597</v>
      </c>
      <c r="W155" s="16">
        <f>('Gearing Calculator'!$U$9*'Track Data'!T155)+'Track Data'!V155</f>
        <v>1242.5272534511146</v>
      </c>
      <c r="X155" s="16">
        <f>('Gearing Calculator'!$U$9*9.81)*('Gearing Calculator'!$U$16/'Gearing Calculator'!$C$7)-(('Track Data'!W155)*('Gearing Calculator'!$U$17/'Gearing Calculator'!$C$7))</f>
        <v>723.900090044477</v>
      </c>
      <c r="Y155" s="16">
        <f>('Gearing Calculator'!$U$9*9.81)*(('Gearing Calculator'!$C$7-'Gearing Calculator'!$U$16)/'Gearing Calculator'!$C$7)+(('Track Data'!W155)*('Gearing Calculator'!$U$17/'Gearing Calculator'!$C$7))</f>
        <v>1887.5219099555229</v>
      </c>
      <c r="Z155" s="16">
        <f>((X155*COS('Gearing Calculator'!$C$21))/'Gearing Calculator'!$C$22)/2</f>
        <v>22.38070128325284</v>
      </c>
      <c r="AA155" s="16">
        <f>Y155/'Gearing Calculator'!$C$24</f>
        <v>26.356136698647411</v>
      </c>
      <c r="AB155" s="16">
        <f t="shared" si="17"/>
        <v>457.07868447381276</v>
      </c>
      <c r="AC155" s="16">
        <v>0</v>
      </c>
      <c r="AD155" s="16">
        <v>0</v>
      </c>
      <c r="AE155" s="16">
        <v>152</v>
      </c>
      <c r="AF155" s="16">
        <f>IF(AC155=0,IF(O155=6,INDEX(Acceleration!$V$4:$V$110,MATCH('Track Data'!S155,Acceleration!$K$4:$K$110,0)),IF('Track Data'!O155=5,INDEX(Acceleration!$U$4:$U$110,MATCH('Track Data'!S155,Acceleration!$K$4:$K$110,0)),1)),U155)</f>
        <v>3.0186340083678007</v>
      </c>
      <c r="AG155" s="16">
        <f>IF(AC155=0,IF(O155=4,INDEX(Acceleration!$T$4:$T$110,MATCH('Track Data'!S155,Acceleration!$K$4:$K$110,0)),IF('Track Data'!O155=3,INDEX(Acceleration!$S$4:$S$110,MATCH('Track Data'!S155,Acceleration!$K$4:$K$110,0)),'Track Data'!AF155)),'Track Data'!U155)</f>
        <v>3.0186340083678007</v>
      </c>
      <c r="AH155" s="16">
        <f>IF(AC155=0,IF(O155=2,INDEX(Acceleration!$R$4:$R$110,MATCH('Track Data'!S155,Acceleration!$K$4:$K$110,0)),IF('Track Data'!O155=1,INDEX(Acceleration!$Q$4:$Q$110,MATCH('Track Data'!S155,Acceleration!$K$4:$K$110,0)),'Track Data'!AG155)),'Track Data'!U155)</f>
        <v>3.0186340083678007</v>
      </c>
    </row>
    <row r="156" spans="2:34" x14ac:dyDescent="0.25">
      <c r="B156" s="16">
        <v>198.35400000000001</v>
      </c>
      <c r="C156" s="16">
        <v>7426</v>
      </c>
      <c r="D156" s="16">
        <v>153</v>
      </c>
      <c r="E156" s="113">
        <v>190</v>
      </c>
      <c r="F156" s="113">
        <v>195</v>
      </c>
      <c r="G156" s="113">
        <v>198</v>
      </c>
      <c r="H156" s="113">
        <f t="shared" si="18"/>
        <v>55</v>
      </c>
      <c r="I156" s="113">
        <v>-0.5</v>
      </c>
      <c r="J156" s="113">
        <v>94.6</v>
      </c>
      <c r="K156" s="113">
        <v>-18.7</v>
      </c>
      <c r="L156" s="189"/>
      <c r="M156" s="16">
        <v>153</v>
      </c>
      <c r="N156" s="16">
        <f t="shared" si="20"/>
        <v>1.5516478953831445E-2</v>
      </c>
      <c r="O156" s="16">
        <v>6</v>
      </c>
      <c r="P156" s="16">
        <f t="shared" si="15"/>
        <v>7.3113821138211375</v>
      </c>
      <c r="Q156" s="16">
        <f t="shared" si="21"/>
        <v>64.447611018933685</v>
      </c>
      <c r="R156" s="113">
        <f t="shared" si="16"/>
        <v>311.95699999999999</v>
      </c>
      <c r="S156" s="16">
        <f>IF(S155=15800,15800,ROUND((((Q156*60)/'Gearing Calculator'!$C$14)*'Track Data'!P156),-2))</f>
        <v>14300</v>
      </c>
      <c r="T156" s="16">
        <f t="shared" si="19"/>
        <v>3.0186340083678007</v>
      </c>
      <c r="U156" s="16">
        <f>IF(AC156=100,Braking!$AG$2354,IF(AC156=50,Braking!$AG$1179,IF(AC156=75,Braking!$AG$1767,0)))</f>
        <v>0</v>
      </c>
      <c r="V156" s="16">
        <f>0.5*'Gearing Calculator'!$C$15*'Gearing Calculator'!$C$20*'Gearing Calculator'!$W$20*('Track Data'!Q156^2)</f>
        <v>439.60586487049727</v>
      </c>
      <c r="W156" s="16">
        <f>('Gearing Calculator'!$U$9*'Track Data'!T156)+'Track Data'!V156</f>
        <v>1243.1662378980059</v>
      </c>
      <c r="X156" s="16">
        <f>('Gearing Calculator'!$U$9*9.81)*('Gearing Calculator'!$U$16/'Gearing Calculator'!$C$7)-(('Track Data'!W156)*('Gearing Calculator'!$U$17/'Gearing Calculator'!$C$7))</f>
        <v>723.55179988228792</v>
      </c>
      <c r="Y156" s="16">
        <f>('Gearing Calculator'!$U$9*9.81)*(('Gearing Calculator'!$C$7-'Gearing Calculator'!$U$16)/'Gearing Calculator'!$C$7)+(('Track Data'!W156)*('Gearing Calculator'!$U$17/'Gearing Calculator'!$C$7))</f>
        <v>1887.8702001177121</v>
      </c>
      <c r="Z156" s="16">
        <f>((X156*COS('Gearing Calculator'!$C$21))/'Gearing Calculator'!$C$22)/2</f>
        <v>22.369933252985888</v>
      </c>
      <c r="AA156" s="16">
        <f>Y156/'Gearing Calculator'!$C$24</f>
        <v>26.360999997492865</v>
      </c>
      <c r="AB156" s="16">
        <f t="shared" si="17"/>
        <v>457.71766892070406</v>
      </c>
      <c r="AC156" s="16">
        <v>0</v>
      </c>
      <c r="AD156" s="16">
        <v>0</v>
      </c>
      <c r="AE156" s="16">
        <v>153</v>
      </c>
      <c r="AF156" s="16">
        <f>IF(AC156=0,IF(O156=6,INDEX(Acceleration!$V$4:$V$110,MATCH('Track Data'!S156,Acceleration!$K$4:$K$110,0)),IF('Track Data'!O156=5,INDEX(Acceleration!$U$4:$U$110,MATCH('Track Data'!S156,Acceleration!$K$4:$K$110,0)),1)),U156)</f>
        <v>3.0186340083678007</v>
      </c>
      <c r="AG156" s="16">
        <f>IF(AC156=0,IF(O156=4,INDEX(Acceleration!$T$4:$T$110,MATCH('Track Data'!S156,Acceleration!$K$4:$K$110,0)),IF('Track Data'!O156=3,INDEX(Acceleration!$S$4:$S$110,MATCH('Track Data'!S156,Acceleration!$K$4:$K$110,0)),'Track Data'!AF156)),'Track Data'!U156)</f>
        <v>3.0186340083678007</v>
      </c>
      <c r="AH156" s="16">
        <f>IF(AC156=0,IF(O156=2,INDEX(Acceleration!$R$4:$R$110,MATCH('Track Data'!S156,Acceleration!$K$4:$K$110,0)),IF('Track Data'!O156=1,INDEX(Acceleration!$Q$4:$Q$110,MATCH('Track Data'!S156,Acceleration!$K$4:$K$110,0)),'Track Data'!AG156)),'Track Data'!U156)</f>
        <v>3.0186340083678007</v>
      </c>
    </row>
    <row r="157" spans="2:34" x14ac:dyDescent="0.25">
      <c r="B157" s="16">
        <v>198.37299999999999</v>
      </c>
      <c r="C157" s="16">
        <v>7428</v>
      </c>
      <c r="D157" s="16">
        <v>154</v>
      </c>
      <c r="E157" s="113">
        <v>190</v>
      </c>
      <c r="F157" s="113">
        <v>193.3</v>
      </c>
      <c r="G157" s="113">
        <v>197.4</v>
      </c>
      <c r="H157" s="113">
        <f t="shared" si="18"/>
        <v>54.833333333333336</v>
      </c>
      <c r="I157" s="113">
        <v>-1.4</v>
      </c>
      <c r="J157" s="113">
        <v>94.65</v>
      </c>
      <c r="K157" s="113">
        <v>-22.1</v>
      </c>
      <c r="L157" s="189"/>
      <c r="M157" s="16">
        <v>154</v>
      </c>
      <c r="N157" s="16">
        <f t="shared" si="20"/>
        <v>1.5505214325743999E-2</v>
      </c>
      <c r="O157" s="16">
        <v>6</v>
      </c>
      <c r="P157" s="16">
        <f t="shared" si="15"/>
        <v>7.3113821138211375</v>
      </c>
      <c r="Q157" s="16">
        <f t="shared" si="21"/>
        <v>64.494432581925381</v>
      </c>
      <c r="R157" s="113">
        <f t="shared" si="16"/>
        <v>311.95699999999999</v>
      </c>
      <c r="S157" s="16">
        <f>IF(S156=15800,15800,ROUND((((Q157*60)/'Gearing Calculator'!$C$14)*'Track Data'!P157),-2))</f>
        <v>14300</v>
      </c>
      <c r="T157" s="16">
        <f t="shared" si="19"/>
        <v>3.0186340083678007</v>
      </c>
      <c r="U157" s="16">
        <f>IF(AC157=100,Braking!$AG$2354,IF(AC157=50,Braking!$AG$1179,IF(AC157=75,Braking!$AG$1767,0)))</f>
        <v>0</v>
      </c>
      <c r="V157" s="16">
        <f>0.5*'Gearing Calculator'!$C$15*'Gearing Calculator'!$C$20*'Gearing Calculator'!$W$20*('Track Data'!Q157^2)</f>
        <v>440.24484931738857</v>
      </c>
      <c r="W157" s="16">
        <f>('Gearing Calculator'!$U$9*'Track Data'!T157)+'Track Data'!V157</f>
        <v>1243.8052223448972</v>
      </c>
      <c r="X157" s="16">
        <f>('Gearing Calculator'!$U$9*9.81)*('Gearing Calculator'!$U$16/'Gearing Calculator'!$C$7)-(('Track Data'!W157)*('Gearing Calculator'!$U$17/'Gearing Calculator'!$C$7))</f>
        <v>723.20350972009896</v>
      </c>
      <c r="Y157" s="16">
        <f>('Gearing Calculator'!$U$9*9.81)*(('Gearing Calculator'!$C$7-'Gearing Calculator'!$U$16)/'Gearing Calculator'!$C$7)+(('Track Data'!W157)*('Gearing Calculator'!$U$17/'Gearing Calculator'!$C$7))</f>
        <v>1888.2184902799011</v>
      </c>
      <c r="Z157" s="16">
        <f>((X157*COS('Gearing Calculator'!$C$21))/'Gearing Calculator'!$C$22)/2</f>
        <v>22.359165222718936</v>
      </c>
      <c r="AA157" s="16">
        <f>Y157/'Gearing Calculator'!$C$24</f>
        <v>26.365863296338311</v>
      </c>
      <c r="AB157" s="16">
        <f t="shared" si="17"/>
        <v>458.35665336759536</v>
      </c>
      <c r="AC157" s="16">
        <v>0</v>
      </c>
      <c r="AD157" s="16">
        <v>0</v>
      </c>
      <c r="AE157" s="16">
        <v>154</v>
      </c>
      <c r="AF157" s="16">
        <f>IF(AC157=0,IF(O157=6,INDEX(Acceleration!$V$4:$V$110,MATCH('Track Data'!S157,Acceleration!$K$4:$K$110,0)),IF('Track Data'!O157=5,INDEX(Acceleration!$U$4:$U$110,MATCH('Track Data'!S157,Acceleration!$K$4:$K$110,0)),1)),U157)</f>
        <v>3.0186340083678007</v>
      </c>
      <c r="AG157" s="16">
        <f>IF(AC157=0,IF(O157=4,INDEX(Acceleration!$T$4:$T$110,MATCH('Track Data'!S157,Acceleration!$K$4:$K$110,0)),IF('Track Data'!O157=3,INDEX(Acceleration!$S$4:$S$110,MATCH('Track Data'!S157,Acceleration!$K$4:$K$110,0)),'Track Data'!AF157)),'Track Data'!U157)</f>
        <v>3.0186340083678007</v>
      </c>
      <c r="AH157" s="16">
        <f>IF(AC157=0,IF(O157=2,INDEX(Acceleration!$R$4:$R$110,MATCH('Track Data'!S157,Acceleration!$K$4:$K$110,0)),IF('Track Data'!O157=1,INDEX(Acceleration!$Q$4:$Q$110,MATCH('Track Data'!S157,Acceleration!$K$4:$K$110,0)),'Track Data'!AG157)),'Track Data'!U157)</f>
        <v>3.0186340083678007</v>
      </c>
    </row>
    <row r="158" spans="2:34" x14ac:dyDescent="0.25">
      <c r="B158" s="16">
        <v>198.39099999999999</v>
      </c>
      <c r="C158" s="16">
        <v>7428</v>
      </c>
      <c r="D158" s="16">
        <v>155</v>
      </c>
      <c r="E158" s="113">
        <v>189</v>
      </c>
      <c r="F158" s="113">
        <v>191.1</v>
      </c>
      <c r="G158" s="113">
        <v>196.7</v>
      </c>
      <c r="H158" s="113">
        <f t="shared" si="18"/>
        <v>54.638888888888886</v>
      </c>
      <c r="I158" s="113">
        <v>-0.2</v>
      </c>
      <c r="J158" s="113">
        <v>94.65</v>
      </c>
      <c r="K158" s="113">
        <v>-25.5</v>
      </c>
      <c r="L158" s="189"/>
      <c r="M158" s="16">
        <v>155</v>
      </c>
      <c r="N158" s="16">
        <f t="shared" si="20"/>
        <v>1.5493974195717566E-2</v>
      </c>
      <c r="O158" s="16">
        <v>6</v>
      </c>
      <c r="P158" s="16">
        <f t="shared" si="15"/>
        <v>7.3113821138211375</v>
      </c>
      <c r="Q158" s="16">
        <f t="shared" si="21"/>
        <v>64.541220178125343</v>
      </c>
      <c r="R158" s="113">
        <f t="shared" si="16"/>
        <v>311.95699999999999</v>
      </c>
      <c r="S158" s="16">
        <f>IF(S157=15800,15800,ROUND((((Q158*60)/'Gearing Calculator'!$C$14)*'Track Data'!P158),-2))</f>
        <v>14300</v>
      </c>
      <c r="T158" s="16">
        <f t="shared" si="19"/>
        <v>3.0186340083678007</v>
      </c>
      <c r="U158" s="16">
        <f>IF(AC158=100,Braking!$AG$2354,IF(AC158=50,Braking!$AG$1179,IF(AC158=75,Braking!$AG$1767,0)))</f>
        <v>0</v>
      </c>
      <c r="V158" s="16">
        <f>0.5*'Gearing Calculator'!$C$15*'Gearing Calculator'!$C$20*'Gearing Calculator'!$W$20*('Track Data'!Q158^2)</f>
        <v>440.88383376427987</v>
      </c>
      <c r="W158" s="16">
        <f>('Gearing Calculator'!$U$9*'Track Data'!T158)+'Track Data'!V158</f>
        <v>1244.4442067917885</v>
      </c>
      <c r="X158" s="16">
        <f>('Gearing Calculator'!$U$9*9.81)*('Gearing Calculator'!$U$16/'Gearing Calculator'!$C$7)-(('Track Data'!W158)*('Gearing Calculator'!$U$17/'Gearing Calculator'!$C$7))</f>
        <v>722.85521955790989</v>
      </c>
      <c r="Y158" s="16">
        <f>('Gearing Calculator'!$U$9*9.81)*(('Gearing Calculator'!$C$7-'Gearing Calculator'!$U$16)/'Gearing Calculator'!$C$7)+(('Track Data'!W158)*('Gearing Calculator'!$U$17/'Gearing Calculator'!$C$7))</f>
        <v>1888.56678044209</v>
      </c>
      <c r="Z158" s="16">
        <f>((X158*COS('Gearing Calculator'!$C$21))/'Gearing Calculator'!$C$22)/2</f>
        <v>22.348397192451984</v>
      </c>
      <c r="AA158" s="16">
        <f>Y158/'Gearing Calculator'!$C$24</f>
        <v>26.370726595183761</v>
      </c>
      <c r="AB158" s="16">
        <f t="shared" si="17"/>
        <v>458.99563781448666</v>
      </c>
      <c r="AC158" s="16">
        <v>0</v>
      </c>
      <c r="AD158" s="16">
        <v>0</v>
      </c>
      <c r="AE158" s="16">
        <v>155</v>
      </c>
      <c r="AF158" s="16">
        <f>IF(AC158=0,IF(O158=6,INDEX(Acceleration!$V$4:$V$110,MATCH('Track Data'!S158,Acceleration!$K$4:$K$110,0)),IF('Track Data'!O158=5,INDEX(Acceleration!$U$4:$U$110,MATCH('Track Data'!S158,Acceleration!$K$4:$K$110,0)),1)),U158)</f>
        <v>3.0186340083678007</v>
      </c>
      <c r="AG158" s="16">
        <f>IF(AC158=0,IF(O158=4,INDEX(Acceleration!$T$4:$T$110,MATCH('Track Data'!S158,Acceleration!$K$4:$K$110,0)),IF('Track Data'!O158=3,INDEX(Acceleration!$S$4:$S$110,MATCH('Track Data'!S158,Acceleration!$K$4:$K$110,0)),'Track Data'!AF158)),'Track Data'!U158)</f>
        <v>3.0186340083678007</v>
      </c>
      <c r="AH158" s="16">
        <f>IF(AC158=0,IF(O158=2,INDEX(Acceleration!$R$4:$R$110,MATCH('Track Data'!S158,Acceleration!$K$4:$K$110,0)),IF('Track Data'!O158=1,INDEX(Acceleration!$Q$4:$Q$110,MATCH('Track Data'!S158,Acceleration!$K$4:$K$110,0)),'Track Data'!AG158)),'Track Data'!U158)</f>
        <v>3.0186340083678007</v>
      </c>
    </row>
    <row r="159" spans="2:34" x14ac:dyDescent="0.25">
      <c r="B159" s="16">
        <v>198.41</v>
      </c>
      <c r="C159" s="16">
        <v>7429</v>
      </c>
      <c r="D159" s="16">
        <v>156</v>
      </c>
      <c r="E159" s="113">
        <v>189</v>
      </c>
      <c r="F159" s="113">
        <v>190.4</v>
      </c>
      <c r="G159" s="113">
        <v>196.1</v>
      </c>
      <c r="H159" s="113">
        <f t="shared" si="18"/>
        <v>54.472222222222221</v>
      </c>
      <c r="I159" s="113">
        <v>1.2</v>
      </c>
      <c r="J159" s="113">
        <v>92.8</v>
      </c>
      <c r="K159" s="113">
        <v>-23.9</v>
      </c>
      <c r="L159" s="189"/>
      <c r="M159" s="16">
        <v>156</v>
      </c>
      <c r="N159" s="16">
        <f t="shared" si="20"/>
        <v>1.5482758475084301E-2</v>
      </c>
      <c r="O159" s="16">
        <v>6</v>
      </c>
      <c r="P159" s="16">
        <f t="shared" si="15"/>
        <v>7.3113821138211375</v>
      </c>
      <c r="Q159" s="16">
        <f t="shared" si="21"/>
        <v>64.587973881350308</v>
      </c>
      <c r="R159" s="113">
        <f t="shared" si="16"/>
        <v>311.95699999999999</v>
      </c>
      <c r="S159" s="16">
        <f>IF(S158=15800,15800,ROUND((((Q159*60)/'Gearing Calculator'!$C$14)*'Track Data'!P159),-2))</f>
        <v>14300</v>
      </c>
      <c r="T159" s="16">
        <f t="shared" si="19"/>
        <v>3.0186340083678007</v>
      </c>
      <c r="U159" s="16">
        <f>IF(AC159=100,Braking!$AG$2354,IF(AC159=50,Braking!$AG$1179,IF(AC159=75,Braking!$AG$1767,0)))</f>
        <v>0</v>
      </c>
      <c r="V159" s="16">
        <f>0.5*'Gearing Calculator'!$C$15*'Gearing Calculator'!$C$20*'Gearing Calculator'!$W$20*('Track Data'!Q159^2)</f>
        <v>441.52281821117117</v>
      </c>
      <c r="W159" s="16">
        <f>('Gearing Calculator'!$U$9*'Track Data'!T159)+'Track Data'!V159</f>
        <v>1245.0831912386798</v>
      </c>
      <c r="X159" s="16">
        <f>('Gearing Calculator'!$U$9*9.81)*('Gearing Calculator'!$U$16/'Gearing Calculator'!$C$7)-(('Track Data'!W159)*('Gearing Calculator'!$U$17/'Gearing Calculator'!$C$7))</f>
        <v>722.50692939572082</v>
      </c>
      <c r="Y159" s="16">
        <f>('Gearing Calculator'!$U$9*9.81)*(('Gearing Calculator'!$C$7-'Gearing Calculator'!$U$16)/'Gearing Calculator'!$C$7)+(('Track Data'!W159)*('Gearing Calculator'!$U$17/'Gearing Calculator'!$C$7))</f>
        <v>1888.9150706042792</v>
      </c>
      <c r="Z159" s="16">
        <f>((X159*COS('Gearing Calculator'!$C$21))/'Gearing Calculator'!$C$22)/2</f>
        <v>22.337629162185028</v>
      </c>
      <c r="AA159" s="16">
        <f>Y159/'Gearing Calculator'!$C$24</f>
        <v>26.375589894029215</v>
      </c>
      <c r="AB159" s="16">
        <f t="shared" si="17"/>
        <v>459.63462226137796</v>
      </c>
      <c r="AC159" s="16">
        <v>0</v>
      </c>
      <c r="AD159" s="16">
        <v>0</v>
      </c>
      <c r="AE159" s="16">
        <v>156</v>
      </c>
      <c r="AF159" s="16">
        <f>IF(AC159=0,IF(O159=6,INDEX(Acceleration!$V$4:$V$110,MATCH('Track Data'!S159,Acceleration!$K$4:$K$110,0)),IF('Track Data'!O159=5,INDEX(Acceleration!$U$4:$U$110,MATCH('Track Data'!S159,Acceleration!$K$4:$K$110,0)),1)),U159)</f>
        <v>3.0186340083678007</v>
      </c>
      <c r="AG159" s="16">
        <f>IF(AC159=0,IF(O159=4,INDEX(Acceleration!$T$4:$T$110,MATCH('Track Data'!S159,Acceleration!$K$4:$K$110,0)),IF('Track Data'!O159=3,INDEX(Acceleration!$S$4:$S$110,MATCH('Track Data'!S159,Acceleration!$K$4:$K$110,0)),'Track Data'!AF159)),'Track Data'!U159)</f>
        <v>3.0186340083678007</v>
      </c>
      <c r="AH159" s="16">
        <f>IF(AC159=0,IF(O159=2,INDEX(Acceleration!$R$4:$R$110,MATCH('Track Data'!S159,Acceleration!$K$4:$K$110,0)),IF('Track Data'!O159=1,INDEX(Acceleration!$Q$4:$Q$110,MATCH('Track Data'!S159,Acceleration!$K$4:$K$110,0)),'Track Data'!AG159)),'Track Data'!U159)</f>
        <v>3.0186340083678007</v>
      </c>
    </row>
    <row r="160" spans="2:34" x14ac:dyDescent="0.25">
      <c r="B160" s="16">
        <v>198.429</v>
      </c>
      <c r="C160" s="16">
        <v>7430</v>
      </c>
      <c r="D160" s="16">
        <v>157</v>
      </c>
      <c r="E160" s="113">
        <v>189</v>
      </c>
      <c r="F160" s="113">
        <v>190.4</v>
      </c>
      <c r="G160" s="113">
        <v>195.8</v>
      </c>
      <c r="H160" s="113">
        <f t="shared" si="18"/>
        <v>54.388888888888893</v>
      </c>
      <c r="I160" s="113">
        <v>1.4</v>
      </c>
      <c r="J160" s="113">
        <v>91.76</v>
      </c>
      <c r="K160" s="113">
        <v>-21.9</v>
      </c>
      <c r="L160" s="189"/>
      <c r="M160" s="16">
        <v>157</v>
      </c>
      <c r="N160" s="16">
        <f t="shared" si="20"/>
        <v>1.5471567075625005E-2</v>
      </c>
      <c r="O160" s="16">
        <v>6</v>
      </c>
      <c r="P160" s="16">
        <f t="shared" si="15"/>
        <v>7.3113821138211375</v>
      </c>
      <c r="Q160" s="16">
        <f t="shared" si="21"/>
        <v>64.634693765150033</v>
      </c>
      <c r="R160" s="113">
        <f t="shared" si="16"/>
        <v>311.95699999999999</v>
      </c>
      <c r="S160" s="16">
        <f>IF(S159=15800,15800,ROUND((((Q160*60)/'Gearing Calculator'!$C$14)*'Track Data'!P160),-2))</f>
        <v>14300</v>
      </c>
      <c r="T160" s="16">
        <f t="shared" si="19"/>
        <v>3.0186340083678007</v>
      </c>
      <c r="U160" s="16">
        <f>IF(AC160=100,Braking!$AG$2354,IF(AC160=50,Braking!$AG$1179,IF(AC160=75,Braking!$AG$1767,0)))</f>
        <v>0</v>
      </c>
      <c r="V160" s="16">
        <f>0.5*'Gearing Calculator'!$C$15*'Gearing Calculator'!$C$20*'Gearing Calculator'!$W$20*('Track Data'!Q160^2)</f>
        <v>442.16180265806236</v>
      </c>
      <c r="W160" s="16">
        <f>('Gearing Calculator'!$U$9*'Track Data'!T160)+'Track Data'!V160</f>
        <v>1245.7221756855708</v>
      </c>
      <c r="X160" s="16">
        <f>('Gearing Calculator'!$U$9*9.81)*('Gearing Calculator'!$U$16/'Gearing Calculator'!$C$7)-(('Track Data'!W160)*('Gearing Calculator'!$U$17/'Gearing Calculator'!$C$7))</f>
        <v>722.15863923353186</v>
      </c>
      <c r="Y160" s="16">
        <f>('Gearing Calculator'!$U$9*9.81)*(('Gearing Calculator'!$C$7-'Gearing Calculator'!$U$16)/'Gearing Calculator'!$C$7)+(('Track Data'!W160)*('Gearing Calculator'!$U$17/'Gearing Calculator'!$C$7))</f>
        <v>1889.2633607664682</v>
      </c>
      <c r="Z160" s="16">
        <f>((X160*COS('Gearing Calculator'!$C$21))/'Gearing Calculator'!$C$22)/2</f>
        <v>22.326861131918079</v>
      </c>
      <c r="AA160" s="16">
        <f>Y160/'Gearing Calculator'!$C$24</f>
        <v>26.380453192874661</v>
      </c>
      <c r="AB160" s="16">
        <f t="shared" si="17"/>
        <v>460.27360670826914</v>
      </c>
      <c r="AC160" s="16">
        <v>0</v>
      </c>
      <c r="AD160" s="16">
        <v>0</v>
      </c>
      <c r="AE160" s="16">
        <v>157</v>
      </c>
      <c r="AF160" s="16">
        <f>IF(AC160=0,IF(O160=6,INDEX(Acceleration!$V$4:$V$110,MATCH('Track Data'!S160,Acceleration!$K$4:$K$110,0)),IF('Track Data'!O160=5,INDEX(Acceleration!$U$4:$U$110,MATCH('Track Data'!S160,Acceleration!$K$4:$K$110,0)),1)),U160)</f>
        <v>3.0186340083678007</v>
      </c>
      <c r="AG160" s="16">
        <f>IF(AC160=0,IF(O160=4,INDEX(Acceleration!$T$4:$T$110,MATCH('Track Data'!S160,Acceleration!$K$4:$K$110,0)),IF('Track Data'!O160=3,INDEX(Acceleration!$S$4:$S$110,MATCH('Track Data'!S160,Acceleration!$K$4:$K$110,0)),'Track Data'!AF160)),'Track Data'!U160)</f>
        <v>3.0186340083678007</v>
      </c>
      <c r="AH160" s="16">
        <f>IF(AC160=0,IF(O160=2,INDEX(Acceleration!$R$4:$R$110,MATCH('Track Data'!S160,Acceleration!$K$4:$K$110,0)),IF('Track Data'!O160=1,INDEX(Acceleration!$Q$4:$Q$110,MATCH('Track Data'!S160,Acceleration!$K$4:$K$110,0)),'Track Data'!AG160)),'Track Data'!U160)</f>
        <v>3.0186340083678007</v>
      </c>
    </row>
    <row r="161" spans="2:34" x14ac:dyDescent="0.25">
      <c r="B161" s="16">
        <v>198.447</v>
      </c>
      <c r="C161" s="16">
        <v>7431</v>
      </c>
      <c r="D161" s="16">
        <v>158</v>
      </c>
      <c r="E161" s="113">
        <v>189</v>
      </c>
      <c r="F161" s="113">
        <v>190.1</v>
      </c>
      <c r="G161" s="113">
        <v>195.2</v>
      </c>
      <c r="H161" s="113">
        <f t="shared" si="18"/>
        <v>54.222222222222214</v>
      </c>
      <c r="I161" s="113">
        <v>-0.3</v>
      </c>
      <c r="J161" s="113">
        <v>91.38</v>
      </c>
      <c r="K161" s="113">
        <v>-17.899999999999999</v>
      </c>
      <c r="L161" s="189"/>
      <c r="M161" s="16">
        <v>158</v>
      </c>
      <c r="N161" s="16">
        <f t="shared" si="20"/>
        <v>1.54603999095662E-2</v>
      </c>
      <c r="O161" s="16">
        <v>6</v>
      </c>
      <c r="P161" s="16">
        <f t="shared" si="15"/>
        <v>7.3113821138211375</v>
      </c>
      <c r="Q161" s="16">
        <f t="shared" si="21"/>
        <v>64.681379902808658</v>
      </c>
      <c r="R161" s="113">
        <f t="shared" si="16"/>
        <v>311.95699999999999</v>
      </c>
      <c r="S161" s="16">
        <f>IF(S160=15800,15800,ROUND((((Q161*60)/'Gearing Calculator'!$C$14)*'Track Data'!P161),-2))</f>
        <v>14300</v>
      </c>
      <c r="T161" s="16">
        <f t="shared" si="19"/>
        <v>3.0186340083678007</v>
      </c>
      <c r="U161" s="16">
        <f>IF(AC161=100,Braking!$AG$2354,IF(AC161=50,Braking!$AG$1179,IF(AC161=75,Braking!$AG$1767,0)))</f>
        <v>0</v>
      </c>
      <c r="V161" s="16">
        <f>0.5*'Gearing Calculator'!$C$15*'Gearing Calculator'!$C$20*'Gearing Calculator'!$W$20*('Track Data'!Q161^2)</f>
        <v>442.80078710495366</v>
      </c>
      <c r="W161" s="16">
        <f>('Gearing Calculator'!$U$9*'Track Data'!T161)+'Track Data'!V161</f>
        <v>1246.3611601324621</v>
      </c>
      <c r="X161" s="16">
        <f>('Gearing Calculator'!$U$9*9.81)*('Gearing Calculator'!$U$16/'Gearing Calculator'!$C$7)-(('Track Data'!W161)*('Gearing Calculator'!$U$17/'Gearing Calculator'!$C$7))</f>
        <v>721.81034907134278</v>
      </c>
      <c r="Y161" s="16">
        <f>('Gearing Calculator'!$U$9*9.81)*(('Gearing Calculator'!$C$7-'Gearing Calculator'!$U$16)/'Gearing Calculator'!$C$7)+(('Track Data'!W161)*('Gearing Calculator'!$U$17/'Gearing Calculator'!$C$7))</f>
        <v>1889.6116509286571</v>
      </c>
      <c r="Z161" s="16">
        <f>((X161*COS('Gearing Calculator'!$C$21))/'Gearing Calculator'!$C$22)/2</f>
        <v>22.316093101651123</v>
      </c>
      <c r="AA161" s="16">
        <f>Y161/'Gearing Calculator'!$C$24</f>
        <v>26.385316491720111</v>
      </c>
      <c r="AB161" s="16">
        <f t="shared" si="17"/>
        <v>460.91259115516044</v>
      </c>
      <c r="AC161" s="16">
        <v>0</v>
      </c>
      <c r="AD161" s="16">
        <v>0</v>
      </c>
      <c r="AE161" s="16">
        <v>158</v>
      </c>
      <c r="AF161" s="16">
        <f>IF(AC161=0,IF(O161=6,INDEX(Acceleration!$V$4:$V$110,MATCH('Track Data'!S161,Acceleration!$K$4:$K$110,0)),IF('Track Data'!O161=5,INDEX(Acceleration!$U$4:$U$110,MATCH('Track Data'!S161,Acceleration!$K$4:$K$110,0)),1)),U161)</f>
        <v>3.0186340083678007</v>
      </c>
      <c r="AG161" s="16">
        <f>IF(AC161=0,IF(O161=4,INDEX(Acceleration!$T$4:$T$110,MATCH('Track Data'!S161,Acceleration!$K$4:$K$110,0)),IF('Track Data'!O161=3,INDEX(Acceleration!$S$4:$S$110,MATCH('Track Data'!S161,Acceleration!$K$4:$K$110,0)),'Track Data'!AF161)),'Track Data'!U161)</f>
        <v>3.0186340083678007</v>
      </c>
      <c r="AH161" s="16">
        <f>IF(AC161=0,IF(O161=2,INDEX(Acceleration!$R$4:$R$110,MATCH('Track Data'!S161,Acceleration!$K$4:$K$110,0)),IF('Track Data'!O161=1,INDEX(Acceleration!$Q$4:$Q$110,MATCH('Track Data'!S161,Acceleration!$K$4:$K$110,0)),'Track Data'!AG161)),'Track Data'!U161)</f>
        <v>3.0186340083678007</v>
      </c>
    </row>
    <row r="162" spans="2:34" x14ac:dyDescent="0.25">
      <c r="B162" s="16">
        <v>198.46600000000001</v>
      </c>
      <c r="C162" s="16">
        <v>7432</v>
      </c>
      <c r="D162" s="16">
        <v>159</v>
      </c>
      <c r="E162" s="113">
        <v>187</v>
      </c>
      <c r="F162" s="113">
        <v>188.8</v>
      </c>
      <c r="G162" s="113">
        <v>194.6</v>
      </c>
      <c r="H162" s="113">
        <f t="shared" si="18"/>
        <v>54.05555555555555</v>
      </c>
      <c r="I162" s="113">
        <v>-2.4</v>
      </c>
      <c r="J162" s="113">
        <v>91.38</v>
      </c>
      <c r="K162" s="113">
        <v>-13.9</v>
      </c>
      <c r="L162" s="189"/>
      <c r="M162" s="16">
        <v>159</v>
      </c>
      <c r="N162" s="16">
        <f t="shared" si="20"/>
        <v>1.5449256889577252E-2</v>
      </c>
      <c r="O162" s="16">
        <v>6</v>
      </c>
      <c r="P162" s="16">
        <f t="shared" si="15"/>
        <v>7.3113821138211375</v>
      </c>
      <c r="Q162" s="16">
        <f t="shared" si="21"/>
        <v>64.728032367346032</v>
      </c>
      <c r="R162" s="113">
        <f t="shared" si="16"/>
        <v>311.95699999999999</v>
      </c>
      <c r="S162" s="16">
        <f>IF(S161=15800,15800,ROUND((((Q162*60)/'Gearing Calculator'!$C$14)*'Track Data'!P162),-2))</f>
        <v>14300</v>
      </c>
      <c r="T162" s="16">
        <f t="shared" si="19"/>
        <v>3.0186340083678007</v>
      </c>
      <c r="U162" s="16">
        <f>IF(AC162=100,Braking!$AG$2354,IF(AC162=50,Braking!$AG$1179,IF(AC162=75,Braking!$AG$1767,0)))</f>
        <v>0</v>
      </c>
      <c r="V162" s="16">
        <f>0.5*'Gearing Calculator'!$C$15*'Gearing Calculator'!$C$20*'Gearing Calculator'!$W$20*('Track Data'!Q162^2)</f>
        <v>443.43977155184496</v>
      </c>
      <c r="W162" s="16">
        <f>('Gearing Calculator'!$U$9*'Track Data'!T162)+'Track Data'!V162</f>
        <v>1247.0001445793534</v>
      </c>
      <c r="X162" s="16">
        <f>('Gearing Calculator'!$U$9*9.81)*('Gearing Calculator'!$U$16/'Gearing Calculator'!$C$7)-(('Track Data'!W162)*('Gearing Calculator'!$U$17/'Gearing Calculator'!$C$7))</f>
        <v>721.46205890915382</v>
      </c>
      <c r="Y162" s="16">
        <f>('Gearing Calculator'!$U$9*9.81)*(('Gearing Calculator'!$C$7-'Gearing Calculator'!$U$16)/'Gearing Calculator'!$C$7)+(('Track Data'!W162)*('Gearing Calculator'!$U$17/'Gearing Calculator'!$C$7))</f>
        <v>1889.9599410908463</v>
      </c>
      <c r="Z162" s="16">
        <f>((X162*COS('Gearing Calculator'!$C$21))/'Gearing Calculator'!$C$22)/2</f>
        <v>22.305325071384178</v>
      </c>
      <c r="AA162" s="16">
        <f>Y162/'Gearing Calculator'!$C$24</f>
        <v>26.390179790565565</v>
      </c>
      <c r="AB162" s="16">
        <f t="shared" si="17"/>
        <v>461.55157560205174</v>
      </c>
      <c r="AC162" s="16">
        <v>0</v>
      </c>
      <c r="AD162" s="16">
        <v>0</v>
      </c>
      <c r="AE162" s="16">
        <v>159</v>
      </c>
      <c r="AF162" s="16">
        <f>IF(AC162=0,IF(O162=6,INDEX(Acceleration!$V$4:$V$110,MATCH('Track Data'!S162,Acceleration!$K$4:$K$110,0)),IF('Track Data'!O162=5,INDEX(Acceleration!$U$4:$U$110,MATCH('Track Data'!S162,Acceleration!$K$4:$K$110,0)),1)),U162)</f>
        <v>3.0186340083678007</v>
      </c>
      <c r="AG162" s="16">
        <f>IF(AC162=0,IF(O162=4,INDEX(Acceleration!$T$4:$T$110,MATCH('Track Data'!S162,Acceleration!$K$4:$K$110,0)),IF('Track Data'!O162=3,INDEX(Acceleration!$S$4:$S$110,MATCH('Track Data'!S162,Acceleration!$K$4:$K$110,0)),'Track Data'!AF162)),'Track Data'!U162)</f>
        <v>3.0186340083678007</v>
      </c>
      <c r="AH162" s="16">
        <f>IF(AC162=0,IF(O162=2,INDEX(Acceleration!$R$4:$R$110,MATCH('Track Data'!S162,Acceleration!$K$4:$K$110,0)),IF('Track Data'!O162=1,INDEX(Acceleration!$Q$4:$Q$110,MATCH('Track Data'!S162,Acceleration!$K$4:$K$110,0)),'Track Data'!AG162)),'Track Data'!U162)</f>
        <v>3.0186340083678007</v>
      </c>
    </row>
    <row r="163" spans="2:34" x14ac:dyDescent="0.25">
      <c r="B163" s="16">
        <v>198.48500000000001</v>
      </c>
      <c r="C163" s="16">
        <v>7433</v>
      </c>
      <c r="D163" s="16">
        <v>160</v>
      </c>
      <c r="E163" s="113">
        <v>186</v>
      </c>
      <c r="F163" s="113">
        <v>187.8</v>
      </c>
      <c r="G163" s="113">
        <v>194.1</v>
      </c>
      <c r="H163" s="113">
        <f t="shared" si="18"/>
        <v>53.916666666666664</v>
      </c>
      <c r="I163" s="113">
        <v>-3.7</v>
      </c>
      <c r="J163" s="113">
        <v>90.46</v>
      </c>
      <c r="K163" s="113">
        <v>-9.9</v>
      </c>
      <c r="L163" s="189"/>
      <c r="M163" s="16">
        <v>160</v>
      </c>
      <c r="N163" s="16">
        <f t="shared" si="20"/>
        <v>1.5438137928767491E-2</v>
      </c>
      <c r="O163" s="16">
        <v>6</v>
      </c>
      <c r="P163" s="16">
        <f t="shared" si="15"/>
        <v>7.3113821138211375</v>
      </c>
      <c r="Q163" s="16">
        <f t="shared" si="21"/>
        <v>64.774651231519044</v>
      </c>
      <c r="R163" s="113">
        <f t="shared" si="16"/>
        <v>311.95699999999999</v>
      </c>
      <c r="S163" s="16">
        <f>IF(S162=15800,15800,ROUND((((Q163*60)/'Gearing Calculator'!$C$14)*'Track Data'!P163),-2))</f>
        <v>14400</v>
      </c>
      <c r="T163" s="16">
        <f t="shared" si="19"/>
        <v>2.9740533687925996</v>
      </c>
      <c r="U163" s="16">
        <f>IF(AC163=100,Braking!$AG$2354,IF(AC163=50,Braking!$AG$1179,IF(AC163=75,Braking!$AG$1767,0)))</f>
        <v>0</v>
      </c>
      <c r="V163" s="16">
        <f>0.5*'Gearing Calculator'!$C$15*'Gearing Calculator'!$C$20*'Gearing Calculator'!$W$20*('Track Data'!Q163^2)</f>
        <v>444.07875599873637</v>
      </c>
      <c r="W163" s="16">
        <f>('Gearing Calculator'!$U$9*'Track Data'!T163)+'Track Data'!V163</f>
        <v>1235.7717627713264</v>
      </c>
      <c r="X163" s="16">
        <f>('Gearing Calculator'!$U$9*9.81)*('Gearing Calculator'!$U$16/'Gearing Calculator'!$C$7)-(('Track Data'!W163)*('Gearing Calculator'!$U$17/'Gearing Calculator'!$C$7))</f>
        <v>727.58229382263926</v>
      </c>
      <c r="Y163" s="16">
        <f>('Gearing Calculator'!$U$9*9.81)*(('Gearing Calculator'!$C$7-'Gearing Calculator'!$U$16)/'Gearing Calculator'!$C$7)+(('Track Data'!W163)*('Gearing Calculator'!$U$17/'Gearing Calculator'!$C$7))</f>
        <v>1883.8397061773608</v>
      </c>
      <c r="Z163" s="16">
        <f>((X163*COS('Gearing Calculator'!$C$21))/'Gearing Calculator'!$C$22)/2</f>
        <v>22.494543378255276</v>
      </c>
      <c r="AA163" s="16">
        <f>Y163/'Gearing Calculator'!$C$24</f>
        <v>26.30472078362272</v>
      </c>
      <c r="AB163" s="16">
        <f t="shared" si="17"/>
        <v>461.92307621149195</v>
      </c>
      <c r="AC163" s="16">
        <v>0</v>
      </c>
      <c r="AD163" s="16">
        <v>0</v>
      </c>
      <c r="AE163" s="16">
        <v>160</v>
      </c>
      <c r="AF163" s="16">
        <f>IF(AC163=0,IF(O163=6,INDEX(Acceleration!$V$4:$V$110,MATCH('Track Data'!S163,Acceleration!$K$4:$K$110,0)),IF('Track Data'!O163=5,INDEX(Acceleration!$U$4:$U$110,MATCH('Track Data'!S163,Acceleration!$K$4:$K$110,0)),1)),U163)</f>
        <v>2.9740533687925996</v>
      </c>
      <c r="AG163" s="16">
        <f>IF(AC163=0,IF(O163=4,INDEX(Acceleration!$T$4:$T$110,MATCH('Track Data'!S163,Acceleration!$K$4:$K$110,0)),IF('Track Data'!O163=3,INDEX(Acceleration!$S$4:$S$110,MATCH('Track Data'!S163,Acceleration!$K$4:$K$110,0)),'Track Data'!AF163)),'Track Data'!U163)</f>
        <v>2.9740533687925996</v>
      </c>
      <c r="AH163" s="16">
        <f>IF(AC163=0,IF(O163=2,INDEX(Acceleration!$R$4:$R$110,MATCH('Track Data'!S163,Acceleration!$K$4:$K$110,0)),IF('Track Data'!O163=1,INDEX(Acceleration!$Q$4:$Q$110,MATCH('Track Data'!S163,Acceleration!$K$4:$K$110,0)),'Track Data'!AG163)),'Track Data'!U163)</f>
        <v>2.9740533687925996</v>
      </c>
    </row>
    <row r="164" spans="2:34" x14ac:dyDescent="0.25">
      <c r="B164" s="16">
        <v>198.50399999999999</v>
      </c>
      <c r="C164" s="16">
        <v>7434</v>
      </c>
      <c r="D164" s="16">
        <v>161</v>
      </c>
      <c r="E164" s="113">
        <v>185</v>
      </c>
      <c r="F164" s="113">
        <v>188.1</v>
      </c>
      <c r="G164" s="113">
        <v>193.5</v>
      </c>
      <c r="H164" s="113">
        <f t="shared" si="18"/>
        <v>53.75</v>
      </c>
      <c r="I164" s="113">
        <v>-3.7</v>
      </c>
      <c r="J164" s="113">
        <v>87.86</v>
      </c>
      <c r="K164" s="113">
        <v>-6.1</v>
      </c>
      <c r="L164" s="189"/>
      <c r="M164" s="16">
        <v>161</v>
      </c>
      <c r="N164" s="16">
        <f t="shared" si="20"/>
        <v>1.5427206622814809E-2</v>
      </c>
      <c r="O164" s="16">
        <v>6</v>
      </c>
      <c r="P164" s="16">
        <f t="shared" si="15"/>
        <v>7.3113821138211375</v>
      </c>
      <c r="Q164" s="16">
        <f t="shared" si="21"/>
        <v>64.820548816733393</v>
      </c>
      <c r="R164" s="113">
        <f t="shared" si="16"/>
        <v>311.95699999999999</v>
      </c>
      <c r="S164" s="16">
        <f>IF(S163=15800,15800,ROUND((((Q164*60)/'Gearing Calculator'!$C$14)*'Track Data'!P164),-2))</f>
        <v>14400</v>
      </c>
      <c r="T164" s="16">
        <f t="shared" si="19"/>
        <v>2.9740533687925996</v>
      </c>
      <c r="U164" s="16">
        <f>IF(AC164=100,Braking!$AG$2354,IF(AC164=50,Braking!$AG$1179,IF(AC164=75,Braking!$AG$1767,0)))</f>
        <v>0</v>
      </c>
      <c r="V164" s="16">
        <f>0.5*'Gearing Calculator'!$C$15*'Gearing Calculator'!$C$20*'Gearing Calculator'!$W$20*('Track Data'!Q164^2)</f>
        <v>444.70830361584228</v>
      </c>
      <c r="W164" s="16">
        <f>('Gearing Calculator'!$U$9*'Track Data'!T164)+'Track Data'!V164</f>
        <v>1236.4013103884322</v>
      </c>
      <c r="X164" s="16">
        <f>('Gearing Calculator'!$U$9*9.81)*('Gearing Calculator'!$U$16/'Gearing Calculator'!$C$7)-(('Track Data'!W164)*('Gearing Calculator'!$U$17/'Gearing Calculator'!$C$7))</f>
        <v>727.23914737715972</v>
      </c>
      <c r="Y164" s="16">
        <f>('Gearing Calculator'!$U$9*9.81)*(('Gearing Calculator'!$C$7-'Gearing Calculator'!$U$16)/'Gearing Calculator'!$C$7)+(('Track Data'!W164)*('Gearing Calculator'!$U$17/'Gearing Calculator'!$C$7))</f>
        <v>1884.1828526228403</v>
      </c>
      <c r="Z164" s="16">
        <f>((X164*COS('Gearing Calculator'!$C$21))/'Gearing Calculator'!$C$22)/2</f>
        <v>22.483934375440793</v>
      </c>
      <c r="AA164" s="16">
        <f>Y164/'Gearing Calculator'!$C$24</f>
        <v>26.309512258930642</v>
      </c>
      <c r="AB164" s="16">
        <f t="shared" si="17"/>
        <v>462.55262382859786</v>
      </c>
      <c r="AC164" s="16">
        <v>0</v>
      </c>
      <c r="AD164" s="16">
        <v>0</v>
      </c>
      <c r="AE164" s="16">
        <v>161</v>
      </c>
      <c r="AF164" s="16">
        <f>IF(AC164=0,IF(O164=6,INDEX(Acceleration!$V$4:$V$110,MATCH('Track Data'!S164,Acceleration!$K$4:$K$110,0)),IF('Track Data'!O164=5,INDEX(Acceleration!$U$4:$U$110,MATCH('Track Data'!S164,Acceleration!$K$4:$K$110,0)),1)),U164)</f>
        <v>2.9740533687925996</v>
      </c>
      <c r="AG164" s="16">
        <f>IF(AC164=0,IF(O164=4,INDEX(Acceleration!$T$4:$T$110,MATCH('Track Data'!S164,Acceleration!$K$4:$K$110,0)),IF('Track Data'!O164=3,INDEX(Acceleration!$S$4:$S$110,MATCH('Track Data'!S164,Acceleration!$K$4:$K$110,0)),'Track Data'!AF164)),'Track Data'!U164)</f>
        <v>2.9740533687925996</v>
      </c>
      <c r="AH164" s="16">
        <f>IF(AC164=0,IF(O164=2,INDEX(Acceleration!$R$4:$R$110,MATCH('Track Data'!S164,Acceleration!$K$4:$K$110,0)),IF('Track Data'!O164=1,INDEX(Acceleration!$Q$4:$Q$110,MATCH('Track Data'!S164,Acceleration!$K$4:$K$110,0)),'Track Data'!AG164)),'Track Data'!U164)</f>
        <v>2.9740533687925996</v>
      </c>
    </row>
    <row r="165" spans="2:34" x14ac:dyDescent="0.25">
      <c r="B165" s="16">
        <v>198.524</v>
      </c>
      <c r="C165" s="16">
        <v>7435</v>
      </c>
      <c r="D165" s="16">
        <v>162</v>
      </c>
      <c r="E165" s="113">
        <v>184</v>
      </c>
      <c r="F165" s="113">
        <v>188.1</v>
      </c>
      <c r="G165" s="113">
        <v>192.9</v>
      </c>
      <c r="H165" s="113">
        <f t="shared" si="18"/>
        <v>53.583333333333336</v>
      </c>
      <c r="I165" s="113">
        <v>-3.7</v>
      </c>
      <c r="J165" s="113">
        <v>85.53</v>
      </c>
      <c r="K165" s="113">
        <v>-2.4</v>
      </c>
      <c r="L165" s="189"/>
      <c r="M165" s="16">
        <v>162</v>
      </c>
      <c r="N165" s="16">
        <f t="shared" si="20"/>
        <v>1.5416298504466708E-2</v>
      </c>
      <c r="O165" s="16">
        <v>6</v>
      </c>
      <c r="P165" s="16">
        <f t="shared" si="15"/>
        <v>7.3113821138211375</v>
      </c>
      <c r="Q165" s="16">
        <f t="shared" si="21"/>
        <v>64.866413926161371</v>
      </c>
      <c r="R165" s="113">
        <f t="shared" si="16"/>
        <v>311.95699999999999</v>
      </c>
      <c r="S165" s="16">
        <f>IF(S164=15800,15800,ROUND((((Q165*60)/'Gearing Calculator'!$C$14)*'Track Data'!P165),-2))</f>
        <v>14400</v>
      </c>
      <c r="T165" s="16">
        <f t="shared" si="19"/>
        <v>2.9740533687925996</v>
      </c>
      <c r="U165" s="16">
        <f>IF(AC165=100,Braking!$AG$2354,IF(AC165=50,Braking!$AG$1179,IF(AC165=75,Braking!$AG$1767,0)))</f>
        <v>0</v>
      </c>
      <c r="V165" s="16">
        <f>0.5*'Gearing Calculator'!$C$15*'Gearing Calculator'!$C$20*'Gearing Calculator'!$W$20*('Track Data'!Q165^2)</f>
        <v>445.33785123294837</v>
      </c>
      <c r="W165" s="16">
        <f>('Gearing Calculator'!$U$9*'Track Data'!T165)+'Track Data'!V165</f>
        <v>1237.0308580055384</v>
      </c>
      <c r="X165" s="16">
        <f>('Gearing Calculator'!$U$9*9.81)*('Gearing Calculator'!$U$16/'Gearing Calculator'!$C$7)-(('Track Data'!W165)*('Gearing Calculator'!$U$17/'Gearing Calculator'!$C$7))</f>
        <v>726.89600093167985</v>
      </c>
      <c r="Y165" s="16">
        <f>('Gearing Calculator'!$U$9*9.81)*(('Gearing Calculator'!$C$7-'Gearing Calculator'!$U$16)/'Gearing Calculator'!$C$7)+(('Track Data'!W165)*('Gearing Calculator'!$U$17/'Gearing Calculator'!$C$7))</f>
        <v>1884.5259990683203</v>
      </c>
      <c r="Z165" s="16">
        <f>((X165*COS('Gearing Calculator'!$C$21))/'Gearing Calculator'!$C$22)/2</f>
        <v>22.473325372626299</v>
      </c>
      <c r="AA165" s="16">
        <f>Y165/'Gearing Calculator'!$C$24</f>
        <v>26.314303734238568</v>
      </c>
      <c r="AB165" s="16">
        <f t="shared" si="17"/>
        <v>463.18217144570394</v>
      </c>
      <c r="AC165" s="16">
        <v>0</v>
      </c>
      <c r="AD165" s="16">
        <v>0</v>
      </c>
      <c r="AE165" s="16">
        <v>162</v>
      </c>
      <c r="AF165" s="16">
        <f>IF(AC165=0,IF(O165=6,INDEX(Acceleration!$V$4:$V$110,MATCH('Track Data'!S165,Acceleration!$K$4:$K$110,0)),IF('Track Data'!O165=5,INDEX(Acceleration!$U$4:$U$110,MATCH('Track Data'!S165,Acceleration!$K$4:$K$110,0)),1)),U165)</f>
        <v>2.9740533687925996</v>
      </c>
      <c r="AG165" s="16">
        <f>IF(AC165=0,IF(O165=4,INDEX(Acceleration!$T$4:$T$110,MATCH('Track Data'!S165,Acceleration!$K$4:$K$110,0)),IF('Track Data'!O165=3,INDEX(Acceleration!$S$4:$S$110,MATCH('Track Data'!S165,Acceleration!$K$4:$K$110,0)),'Track Data'!AF165)),'Track Data'!U165)</f>
        <v>2.9740533687925996</v>
      </c>
      <c r="AH165" s="16">
        <f>IF(AC165=0,IF(O165=2,INDEX(Acceleration!$R$4:$R$110,MATCH('Track Data'!S165,Acceleration!$K$4:$K$110,0)),IF('Track Data'!O165=1,INDEX(Acceleration!$Q$4:$Q$110,MATCH('Track Data'!S165,Acceleration!$K$4:$K$110,0)),'Track Data'!AG165)),'Track Data'!U165)</f>
        <v>2.9740533687925996</v>
      </c>
    </row>
    <row r="166" spans="2:34" x14ac:dyDescent="0.25">
      <c r="B166" s="16">
        <v>198.542</v>
      </c>
      <c r="C166" s="16">
        <v>7436</v>
      </c>
      <c r="D166" s="16">
        <v>163</v>
      </c>
      <c r="E166" s="113">
        <v>185</v>
      </c>
      <c r="F166" s="113">
        <v>186.9</v>
      </c>
      <c r="G166" s="113">
        <v>192.4</v>
      </c>
      <c r="H166" s="113">
        <f t="shared" si="18"/>
        <v>53.444444444444443</v>
      </c>
      <c r="I166" s="113">
        <v>-3.7</v>
      </c>
      <c r="J166" s="113">
        <v>85.81</v>
      </c>
      <c r="K166" s="113">
        <v>1.4</v>
      </c>
      <c r="L166" s="189"/>
      <c r="M166" s="16">
        <v>163</v>
      </c>
      <c r="N166" s="16">
        <f t="shared" si="20"/>
        <v>1.5405413491862613E-2</v>
      </c>
      <c r="O166" s="16">
        <v>6</v>
      </c>
      <c r="P166" s="16">
        <f t="shared" si="15"/>
        <v>7.3113821138211375</v>
      </c>
      <c r="Q166" s="16">
        <f t="shared" si="21"/>
        <v>64.912246628642336</v>
      </c>
      <c r="R166" s="113">
        <f t="shared" si="16"/>
        <v>311.95699999999999</v>
      </c>
      <c r="S166" s="16">
        <f>IF(S165=15800,15800,ROUND((((Q166*60)/'Gearing Calculator'!$C$14)*'Track Data'!P166),-2))</f>
        <v>14400</v>
      </c>
      <c r="T166" s="16">
        <f t="shared" si="19"/>
        <v>2.9740533687925996</v>
      </c>
      <c r="U166" s="16">
        <f>IF(AC166=100,Braking!$AG$2354,IF(AC166=50,Braking!$AG$1179,IF(AC166=75,Braking!$AG$1767,0)))</f>
        <v>0</v>
      </c>
      <c r="V166" s="16">
        <f>0.5*'Gearing Calculator'!$C$15*'Gearing Calculator'!$C$20*'Gearing Calculator'!$W$20*('Track Data'!Q166^2)</f>
        <v>445.96739885005451</v>
      </c>
      <c r="W166" s="16">
        <f>('Gearing Calculator'!$U$9*'Track Data'!T166)+'Track Data'!V166</f>
        <v>1237.6604056226445</v>
      </c>
      <c r="X166" s="16">
        <f>('Gearing Calculator'!$U$9*9.81)*('Gearing Calculator'!$U$16/'Gearing Calculator'!$C$7)-(('Track Data'!W166)*('Gearing Calculator'!$U$17/'Gearing Calculator'!$C$7))</f>
        <v>726.55285448620009</v>
      </c>
      <c r="Y166" s="16">
        <f>('Gearing Calculator'!$U$9*9.81)*(('Gearing Calculator'!$C$7-'Gearing Calculator'!$U$16)/'Gearing Calculator'!$C$7)+(('Track Data'!W166)*('Gearing Calculator'!$U$17/'Gearing Calculator'!$C$7))</f>
        <v>1884.8691455138</v>
      </c>
      <c r="Z166" s="16">
        <f>((X166*COS('Gearing Calculator'!$C$21))/'Gearing Calculator'!$C$22)/2</f>
        <v>22.462716369811805</v>
      </c>
      <c r="AA166" s="16">
        <f>Y166/'Gearing Calculator'!$C$24</f>
        <v>26.319095209546493</v>
      </c>
      <c r="AB166" s="16">
        <f t="shared" si="17"/>
        <v>463.81171906281008</v>
      </c>
      <c r="AC166" s="16">
        <v>0</v>
      </c>
      <c r="AD166" s="16">
        <v>0</v>
      </c>
      <c r="AE166" s="16">
        <v>163</v>
      </c>
      <c r="AF166" s="16">
        <f>IF(AC166=0,IF(O166=6,INDEX(Acceleration!$V$4:$V$110,MATCH('Track Data'!S166,Acceleration!$K$4:$K$110,0)),IF('Track Data'!O166=5,INDEX(Acceleration!$U$4:$U$110,MATCH('Track Data'!S166,Acceleration!$K$4:$K$110,0)),1)),U166)</f>
        <v>2.9740533687925996</v>
      </c>
      <c r="AG166" s="16">
        <f>IF(AC166=0,IF(O166=4,INDEX(Acceleration!$T$4:$T$110,MATCH('Track Data'!S166,Acceleration!$K$4:$K$110,0)),IF('Track Data'!O166=3,INDEX(Acceleration!$S$4:$S$110,MATCH('Track Data'!S166,Acceleration!$K$4:$K$110,0)),'Track Data'!AF166)),'Track Data'!U166)</f>
        <v>2.9740533687925996</v>
      </c>
      <c r="AH166" s="16">
        <f>IF(AC166=0,IF(O166=2,INDEX(Acceleration!$R$4:$R$110,MATCH('Track Data'!S166,Acceleration!$K$4:$K$110,0)),IF('Track Data'!O166=1,INDEX(Acceleration!$Q$4:$Q$110,MATCH('Track Data'!S166,Acceleration!$K$4:$K$110,0)),'Track Data'!AG166)),'Track Data'!U166)</f>
        <v>2.9740533687925996</v>
      </c>
    </row>
    <row r="167" spans="2:34" x14ac:dyDescent="0.25">
      <c r="B167" s="16">
        <v>198.56200000000001</v>
      </c>
      <c r="C167" s="16">
        <v>7437</v>
      </c>
      <c r="D167" s="16">
        <v>164</v>
      </c>
      <c r="E167" s="113">
        <v>186</v>
      </c>
      <c r="F167" s="113">
        <v>185.9</v>
      </c>
      <c r="G167" s="113">
        <v>191.9</v>
      </c>
      <c r="H167" s="113">
        <f t="shared" si="18"/>
        <v>53.305555555555557</v>
      </c>
      <c r="I167" s="113">
        <v>-3</v>
      </c>
      <c r="J167" s="113">
        <v>86.04</v>
      </c>
      <c r="K167" s="113">
        <v>4.4000000000000004</v>
      </c>
      <c r="L167" s="189"/>
      <c r="M167" s="16">
        <v>164</v>
      </c>
      <c r="N167" s="16">
        <f t="shared" si="20"/>
        <v>1.5394551503545977E-2</v>
      </c>
      <c r="O167" s="16">
        <v>6</v>
      </c>
      <c r="P167" s="16">
        <f t="shared" si="15"/>
        <v>7.3113821138211375</v>
      </c>
      <c r="Q167" s="16">
        <f t="shared" si="21"/>
        <v>64.958046992772751</v>
      </c>
      <c r="R167" s="113">
        <f t="shared" si="16"/>
        <v>311.95699999999999</v>
      </c>
      <c r="S167" s="16">
        <f>IF(S166=15800,15800,ROUND((((Q167*60)/'Gearing Calculator'!$C$14)*'Track Data'!P167),-2))</f>
        <v>14400</v>
      </c>
      <c r="T167" s="16">
        <f t="shared" si="19"/>
        <v>2.9740533687925996</v>
      </c>
      <c r="U167" s="16">
        <f>IF(AC167=100,Braking!$AG$2354,IF(AC167=50,Braking!$AG$1179,IF(AC167=75,Braking!$AG$1767,0)))</f>
        <v>0</v>
      </c>
      <c r="V167" s="16">
        <f>0.5*'Gearing Calculator'!$C$15*'Gearing Calculator'!$C$20*'Gearing Calculator'!$W$20*('Track Data'!Q167^2)</f>
        <v>446.59694646716042</v>
      </c>
      <c r="W167" s="16">
        <f>('Gearing Calculator'!$U$9*'Track Data'!T167)+'Track Data'!V167</f>
        <v>1238.2899532397505</v>
      </c>
      <c r="X167" s="16">
        <f>('Gearing Calculator'!$U$9*9.81)*('Gearing Calculator'!$U$16/'Gearing Calculator'!$C$7)-(('Track Data'!W167)*('Gearing Calculator'!$U$17/'Gearing Calculator'!$C$7))</f>
        <v>726.20970804072033</v>
      </c>
      <c r="Y167" s="16">
        <f>('Gearing Calculator'!$U$9*9.81)*(('Gearing Calculator'!$C$7-'Gearing Calculator'!$U$16)/'Gearing Calculator'!$C$7)+(('Track Data'!W167)*('Gearing Calculator'!$U$17/'Gearing Calculator'!$C$7))</f>
        <v>1885.2122919592798</v>
      </c>
      <c r="Z167" s="16">
        <f>((X167*COS('Gearing Calculator'!$C$21))/'Gearing Calculator'!$C$22)/2</f>
        <v>22.452107366997314</v>
      </c>
      <c r="AA167" s="16">
        <f>Y167/'Gearing Calculator'!$C$24</f>
        <v>26.323886684854418</v>
      </c>
      <c r="AB167" s="16">
        <f t="shared" si="17"/>
        <v>464.441266679916</v>
      </c>
      <c r="AC167" s="16">
        <v>0</v>
      </c>
      <c r="AD167" s="16">
        <v>0</v>
      </c>
      <c r="AE167" s="16">
        <v>164</v>
      </c>
      <c r="AF167" s="16">
        <f>IF(AC167=0,IF(O167=6,INDEX(Acceleration!$V$4:$V$110,MATCH('Track Data'!S167,Acceleration!$K$4:$K$110,0)),IF('Track Data'!O167=5,INDEX(Acceleration!$U$4:$U$110,MATCH('Track Data'!S167,Acceleration!$K$4:$K$110,0)),1)),U167)</f>
        <v>2.9740533687925996</v>
      </c>
      <c r="AG167" s="16">
        <f>IF(AC167=0,IF(O167=4,INDEX(Acceleration!$T$4:$T$110,MATCH('Track Data'!S167,Acceleration!$K$4:$K$110,0)),IF('Track Data'!O167=3,INDEX(Acceleration!$S$4:$S$110,MATCH('Track Data'!S167,Acceleration!$K$4:$K$110,0)),'Track Data'!AF167)),'Track Data'!U167)</f>
        <v>2.9740533687925996</v>
      </c>
      <c r="AH167" s="16">
        <f>IF(AC167=0,IF(O167=2,INDEX(Acceleration!$R$4:$R$110,MATCH('Track Data'!S167,Acceleration!$K$4:$K$110,0)),IF('Track Data'!O167=1,INDEX(Acceleration!$Q$4:$Q$110,MATCH('Track Data'!S167,Acceleration!$K$4:$K$110,0)),'Track Data'!AG167)),'Track Data'!U167)</f>
        <v>2.9740533687925996</v>
      </c>
    </row>
    <row r="168" spans="2:34" x14ac:dyDescent="0.25">
      <c r="B168" s="16">
        <v>198.58099999999999</v>
      </c>
      <c r="C168" s="16">
        <v>7438</v>
      </c>
      <c r="D168" s="16">
        <v>165</v>
      </c>
      <c r="E168" s="113">
        <v>186</v>
      </c>
      <c r="F168" s="113">
        <v>185.6</v>
      </c>
      <c r="G168" s="113">
        <v>191.4</v>
      </c>
      <c r="H168" s="113">
        <f t="shared" si="18"/>
        <v>53.166666666666664</v>
      </c>
      <c r="I168" s="113">
        <v>-2.6</v>
      </c>
      <c r="J168" s="113">
        <v>85.96</v>
      </c>
      <c r="K168" s="113">
        <v>4.4000000000000004</v>
      </c>
      <c r="L168" s="189"/>
      <c r="M168" s="16">
        <v>165</v>
      </c>
      <c r="N168" s="16">
        <f t="shared" si="20"/>
        <v>1.5383712458461716E-2</v>
      </c>
      <c r="O168" s="16">
        <v>6</v>
      </c>
      <c r="P168" s="16">
        <f t="shared" si="15"/>
        <v>7.3113821138211375</v>
      </c>
      <c r="Q168" s="16">
        <f t="shared" si="21"/>
        <v>65.003815086907466</v>
      </c>
      <c r="R168" s="113">
        <f t="shared" si="16"/>
        <v>311.95699999999999</v>
      </c>
      <c r="S168" s="16">
        <f>IF(S167=15800,15800,ROUND((((Q168*60)/'Gearing Calculator'!$C$14)*'Track Data'!P168),-2))</f>
        <v>14400</v>
      </c>
      <c r="T168" s="16">
        <f t="shared" si="19"/>
        <v>2.9740533687925996</v>
      </c>
      <c r="U168" s="16">
        <f>IF(AC168=100,Braking!$AG$2354,IF(AC168=50,Braking!$AG$1179,IF(AC168=75,Braking!$AG$1767,0)))</f>
        <v>0</v>
      </c>
      <c r="V168" s="16">
        <f>0.5*'Gearing Calculator'!$C$15*'Gearing Calculator'!$C$20*'Gearing Calculator'!$W$20*('Track Data'!Q168^2)</f>
        <v>447.22649408426651</v>
      </c>
      <c r="W168" s="16">
        <f>('Gearing Calculator'!$U$9*'Track Data'!T168)+'Track Data'!V168</f>
        <v>1238.9195008568565</v>
      </c>
      <c r="X168" s="16">
        <f>('Gearing Calculator'!$U$9*9.81)*('Gearing Calculator'!$U$16/'Gearing Calculator'!$C$7)-(('Track Data'!W168)*('Gearing Calculator'!$U$17/'Gearing Calculator'!$C$7))</f>
        <v>725.86656159524057</v>
      </c>
      <c r="Y168" s="16">
        <f>('Gearing Calculator'!$U$9*9.81)*(('Gearing Calculator'!$C$7-'Gearing Calculator'!$U$16)/'Gearing Calculator'!$C$7)+(('Track Data'!W168)*('Gearing Calculator'!$U$17/'Gearing Calculator'!$C$7))</f>
        <v>1885.5554384047596</v>
      </c>
      <c r="Z168" s="16">
        <f>((X168*COS('Gearing Calculator'!$C$21))/'Gearing Calculator'!$C$22)/2</f>
        <v>22.44149836418282</v>
      </c>
      <c r="AA168" s="16">
        <f>Y168/'Gearing Calculator'!$C$24</f>
        <v>26.328678160162344</v>
      </c>
      <c r="AB168" s="16">
        <f t="shared" si="17"/>
        <v>465.07081429702208</v>
      </c>
      <c r="AC168" s="16">
        <v>0</v>
      </c>
      <c r="AD168" s="16">
        <v>0</v>
      </c>
      <c r="AE168" s="16">
        <v>165</v>
      </c>
      <c r="AF168" s="16">
        <f>IF(AC168=0,IF(O168=6,INDEX(Acceleration!$V$4:$V$110,MATCH('Track Data'!S168,Acceleration!$K$4:$K$110,0)),IF('Track Data'!O168=5,INDEX(Acceleration!$U$4:$U$110,MATCH('Track Data'!S168,Acceleration!$K$4:$K$110,0)),1)),U168)</f>
        <v>2.9740533687925996</v>
      </c>
      <c r="AG168" s="16">
        <f>IF(AC168=0,IF(O168=4,INDEX(Acceleration!$T$4:$T$110,MATCH('Track Data'!S168,Acceleration!$K$4:$K$110,0)),IF('Track Data'!O168=3,INDEX(Acceleration!$S$4:$S$110,MATCH('Track Data'!S168,Acceleration!$K$4:$K$110,0)),'Track Data'!AF168)),'Track Data'!U168)</f>
        <v>2.9740533687925996</v>
      </c>
      <c r="AH168" s="16">
        <f>IF(AC168=0,IF(O168=2,INDEX(Acceleration!$R$4:$R$110,MATCH('Track Data'!S168,Acceleration!$K$4:$K$110,0)),IF('Track Data'!O168=1,INDEX(Acceleration!$Q$4:$Q$110,MATCH('Track Data'!S168,Acceleration!$K$4:$K$110,0)),'Track Data'!AG168)),'Track Data'!U168)</f>
        <v>2.9740533687925996</v>
      </c>
    </row>
    <row r="169" spans="2:34" x14ac:dyDescent="0.25">
      <c r="B169" s="16">
        <v>198.6</v>
      </c>
      <c r="C169" s="16">
        <v>7439</v>
      </c>
      <c r="D169" s="16">
        <v>166</v>
      </c>
      <c r="E169" s="113">
        <v>186</v>
      </c>
      <c r="F169" s="113">
        <v>185.2</v>
      </c>
      <c r="G169" s="113">
        <v>191</v>
      </c>
      <c r="H169" s="113">
        <f t="shared" si="18"/>
        <v>53.055555555555557</v>
      </c>
      <c r="I169" s="113">
        <v>-2.6</v>
      </c>
      <c r="J169" s="113">
        <v>86.03</v>
      </c>
      <c r="K169" s="113">
        <v>4.4000000000000004</v>
      </c>
      <c r="L169" s="189"/>
      <c r="M169" s="16">
        <v>166</v>
      </c>
      <c r="N169" s="16">
        <f t="shared" si="20"/>
        <v>1.5372896275953672E-2</v>
      </c>
      <c r="O169" s="16">
        <v>6</v>
      </c>
      <c r="P169" s="16">
        <f t="shared" si="15"/>
        <v>7.3113821138211375</v>
      </c>
      <c r="Q169" s="16">
        <f t="shared" si="21"/>
        <v>65.049550979160827</v>
      </c>
      <c r="R169" s="113">
        <f t="shared" si="16"/>
        <v>311.95699999999999</v>
      </c>
      <c r="S169" s="16">
        <f>IF(S168=15800,15800,ROUND((((Q169*60)/'Gearing Calculator'!$C$14)*'Track Data'!P169),-2))</f>
        <v>14400</v>
      </c>
      <c r="T169" s="16">
        <f t="shared" si="19"/>
        <v>-11.216477997530474</v>
      </c>
      <c r="U169" s="16">
        <f>IF(AC169=100,Braking!$AG$2354,IF(AC169=50,Braking!$AG$1179,IF(AC169=75,Braking!$AG$1767,0)))</f>
        <v>-11.216477997530474</v>
      </c>
      <c r="V169" s="16">
        <f>0.5*'Gearing Calculator'!$C$15*'Gearing Calculator'!$C$20*'Gearing Calculator'!$W$20*('Track Data'!Q169^2)</f>
        <v>447.85604170137242</v>
      </c>
      <c r="W169" s="16">
        <f>('Gearing Calculator'!$U$9*'Track Data'!T169)+'Track Data'!V169</f>
        <v>-2537.9704012412394</v>
      </c>
      <c r="X169" s="16">
        <f>('Gearing Calculator'!$U$9*9.81)*('Gearing Calculator'!$U$16/'Gearing Calculator'!$C$7)-(('Track Data'!W169)*('Gearing Calculator'!$U$17/'Gearing Calculator'!$C$7))</f>
        <v>2784.5294961497739</v>
      </c>
      <c r="Y169" s="16">
        <f>('Gearing Calculator'!$U$9*9.81)*(('Gearing Calculator'!$C$7-'Gearing Calculator'!$U$16)/'Gearing Calculator'!$C$7)+(('Track Data'!W169)*('Gearing Calculator'!$U$17/'Gearing Calculator'!$C$7))</f>
        <v>-173.10749614977385</v>
      </c>
      <c r="Z169" s="16">
        <f>((X169*COS('Gearing Calculator'!$C$21))/'Gearing Calculator'!$C$22)/2</f>
        <v>86.088845304475171</v>
      </c>
      <c r="AA169" s="16">
        <f>Y169/'Gearing Calculator'!$C$24</f>
        <v>-2.4171612567885519</v>
      </c>
      <c r="AB169" s="16">
        <f t="shared" si="17"/>
        <v>380.5571737161896</v>
      </c>
      <c r="AC169" s="16">
        <v>50</v>
      </c>
      <c r="AD169" s="16">
        <v>0</v>
      </c>
      <c r="AE169" s="16">
        <v>166</v>
      </c>
      <c r="AF169" s="16">
        <f>IF(AC169=0,IF(O169=6,INDEX(Acceleration!$V$4:$V$110,MATCH('Track Data'!S169,Acceleration!$K$4:$K$110,0)),IF('Track Data'!O169=5,INDEX(Acceleration!$U$4:$U$110,MATCH('Track Data'!S169,Acceleration!$K$4:$K$110,0)),1)),U169)</f>
        <v>-11.216477997530474</v>
      </c>
      <c r="AG169" s="16">
        <f>IF(AC169=0,IF(O169=4,INDEX(Acceleration!$T$4:$T$110,MATCH('Track Data'!S169,Acceleration!$K$4:$K$110,0)),IF('Track Data'!O169=3,INDEX(Acceleration!$S$4:$S$110,MATCH('Track Data'!S169,Acceleration!$K$4:$K$110,0)),'Track Data'!AF169)),'Track Data'!U169)</f>
        <v>-11.216477997530474</v>
      </c>
      <c r="AH169" s="16">
        <f>IF(AC169=0,IF(O169=2,INDEX(Acceleration!$R$4:$R$110,MATCH('Track Data'!S169,Acceleration!$K$4:$K$110,0)),IF('Track Data'!O169=1,INDEX(Acceleration!$Q$4:$Q$110,MATCH('Track Data'!S169,Acceleration!$K$4:$K$110,0)),'Track Data'!AG169)),'Track Data'!U169)</f>
        <v>-11.216477997530474</v>
      </c>
    </row>
    <row r="170" spans="2:34" x14ac:dyDescent="0.25">
      <c r="B170" s="16">
        <v>198.619</v>
      </c>
      <c r="C170" s="16">
        <v>7440</v>
      </c>
      <c r="D170" s="16">
        <v>167</v>
      </c>
      <c r="E170" s="113">
        <v>185</v>
      </c>
      <c r="F170" s="113">
        <v>184.8</v>
      </c>
      <c r="G170" s="113">
        <v>190.7</v>
      </c>
      <c r="H170" s="113">
        <f t="shared" si="18"/>
        <v>52.972222222222214</v>
      </c>
      <c r="I170" s="113">
        <v>-2.9</v>
      </c>
      <c r="J170" s="113">
        <v>87.13</v>
      </c>
      <c r="K170" s="113">
        <v>4.4000000000000004</v>
      </c>
      <c r="L170" s="189"/>
      <c r="M170" s="16">
        <v>167</v>
      </c>
      <c r="N170" s="16">
        <f t="shared" si="20"/>
        <v>1.5413808643783562E-2</v>
      </c>
      <c r="O170" s="16">
        <v>6</v>
      </c>
      <c r="P170" s="16">
        <f t="shared" si="15"/>
        <v>7.3113821138211375</v>
      </c>
      <c r="Q170" s="16">
        <f t="shared" si="21"/>
        <v>64.876892084897079</v>
      </c>
      <c r="R170" s="113">
        <f t="shared" si="16"/>
        <v>311.95699999999999</v>
      </c>
      <c r="S170" s="16">
        <f>IF(S169=15800,15800,ROUND((((Q170*60)/'Gearing Calculator'!$C$14)*'Track Data'!P170),-2))</f>
        <v>14400</v>
      </c>
      <c r="T170" s="16">
        <f t="shared" si="19"/>
        <v>-11.216477997530474</v>
      </c>
      <c r="U170" s="16">
        <f>IF(AC170=100,Braking!$AG$2354,IF(AC170=50,Braking!$AG$1179,IF(AC170=75,Braking!$AG$1767,0)))</f>
        <v>-11.216477997530474</v>
      </c>
      <c r="V170" s="16">
        <f>0.5*'Gearing Calculator'!$C$15*'Gearing Calculator'!$C$20*'Gearing Calculator'!$W$20*('Track Data'!Q170^2)</f>
        <v>445.48173763885507</v>
      </c>
      <c r="W170" s="16">
        <f>('Gearing Calculator'!$U$9*'Track Data'!T170)+'Track Data'!V170</f>
        <v>-2540.3447053037567</v>
      </c>
      <c r="X170" s="16">
        <f>('Gearing Calculator'!$U$9*9.81)*('Gearing Calculator'!$U$16/'Gearing Calculator'!$C$7)-(('Track Data'!W170)*('Gearing Calculator'!$U$17/'Gearing Calculator'!$C$7))</f>
        <v>2785.8236540139342</v>
      </c>
      <c r="Y170" s="16">
        <f>('Gearing Calculator'!$U$9*9.81)*(('Gearing Calculator'!$C$7-'Gearing Calculator'!$U$16)/'Gearing Calculator'!$C$7)+(('Track Data'!W170)*('Gearing Calculator'!$U$17/'Gearing Calculator'!$C$7))</f>
        <v>-174.40165401393392</v>
      </c>
      <c r="Z170" s="16">
        <f>((X170*COS('Gearing Calculator'!$C$21))/'Gearing Calculator'!$C$22)/2</f>
        <v>86.128856572562398</v>
      </c>
      <c r="AA170" s="16">
        <f>Y170/'Gearing Calculator'!$C$24</f>
        <v>-2.4352320412374788</v>
      </c>
      <c r="AB170" s="16">
        <f t="shared" si="17"/>
        <v>378.18286965367224</v>
      </c>
      <c r="AC170" s="16">
        <v>50</v>
      </c>
      <c r="AD170" s="16">
        <v>0</v>
      </c>
      <c r="AE170" s="16">
        <v>167</v>
      </c>
      <c r="AF170" s="16">
        <f>IF(AC170=0,IF(O170=6,INDEX(Acceleration!$V$4:$V$110,MATCH('Track Data'!S170,Acceleration!$K$4:$K$110,0)),IF('Track Data'!O170=5,INDEX(Acceleration!$U$4:$U$110,MATCH('Track Data'!S170,Acceleration!$K$4:$K$110,0)),1)),U170)</f>
        <v>-11.216477997530474</v>
      </c>
      <c r="AG170" s="16">
        <f>IF(AC170=0,IF(O170=4,INDEX(Acceleration!$T$4:$T$110,MATCH('Track Data'!S170,Acceleration!$K$4:$K$110,0)),IF('Track Data'!O170=3,INDEX(Acceleration!$S$4:$S$110,MATCH('Track Data'!S170,Acceleration!$K$4:$K$110,0)),'Track Data'!AF170)),'Track Data'!U170)</f>
        <v>-11.216477997530474</v>
      </c>
      <c r="AH170" s="16">
        <f>IF(AC170=0,IF(O170=2,INDEX(Acceleration!$R$4:$R$110,MATCH('Track Data'!S170,Acceleration!$K$4:$K$110,0)),IF('Track Data'!O170=1,INDEX(Acceleration!$Q$4:$Q$110,MATCH('Track Data'!S170,Acceleration!$K$4:$K$110,0)),'Track Data'!AG170)),'Track Data'!U170)</f>
        <v>-11.216477997530474</v>
      </c>
    </row>
    <row r="171" spans="2:34" x14ac:dyDescent="0.25">
      <c r="B171" s="16">
        <v>198.63900000000001</v>
      </c>
      <c r="C171" s="16">
        <v>7441</v>
      </c>
      <c r="D171" s="16">
        <v>168</v>
      </c>
      <c r="E171" s="113">
        <v>184</v>
      </c>
      <c r="F171" s="113">
        <v>184</v>
      </c>
      <c r="G171" s="113">
        <v>190.3</v>
      </c>
      <c r="H171" s="113">
        <f t="shared" si="18"/>
        <v>52.861111111111114</v>
      </c>
      <c r="I171" s="113">
        <v>-3.3</v>
      </c>
      <c r="J171" s="113">
        <v>88.64</v>
      </c>
      <c r="K171" s="113">
        <v>4.4000000000000004</v>
      </c>
      <c r="L171" s="189"/>
      <c r="M171" s="16">
        <v>168</v>
      </c>
      <c r="N171" s="16">
        <f t="shared" si="20"/>
        <v>1.5455049404002583E-2</v>
      </c>
      <c r="O171" s="16">
        <v>6</v>
      </c>
      <c r="P171" s="16">
        <f t="shared" si="15"/>
        <v>7.3113821138211375</v>
      </c>
      <c r="Q171" s="16">
        <f t="shared" si="21"/>
        <v>64.703772460346698</v>
      </c>
      <c r="R171" s="113">
        <f t="shared" si="16"/>
        <v>311.95699999999999</v>
      </c>
      <c r="S171" s="16">
        <f>IF(S170=15800,15800,ROUND((((Q171*60)/'Gearing Calculator'!$C$14)*'Track Data'!P171),-2))</f>
        <v>14300</v>
      </c>
      <c r="T171" s="16">
        <f t="shared" si="19"/>
        <v>-11.216477997530474</v>
      </c>
      <c r="U171" s="16">
        <f>IF(AC171=100,Braking!$AG$2354,IF(AC171=50,Braking!$AG$1179,IF(AC171=75,Braking!$AG$1767,0)))</f>
        <v>-11.216477997530474</v>
      </c>
      <c r="V171" s="16">
        <f>0.5*'Gearing Calculator'!$C$15*'Gearing Calculator'!$C$20*'Gearing Calculator'!$W$20*('Track Data'!Q171^2)</f>
        <v>443.10743357633783</v>
      </c>
      <c r="W171" s="16">
        <f>('Gearing Calculator'!$U$9*'Track Data'!T171)+'Track Data'!V171</f>
        <v>-2542.7190093662739</v>
      </c>
      <c r="X171" s="16">
        <f>('Gearing Calculator'!$U$9*9.81)*('Gearing Calculator'!$U$16/'Gearing Calculator'!$C$7)-(('Track Data'!W171)*('Gearing Calculator'!$U$17/'Gearing Calculator'!$C$7))</f>
        <v>2787.1178118780936</v>
      </c>
      <c r="Y171" s="16">
        <f>('Gearing Calculator'!$U$9*9.81)*(('Gearing Calculator'!$C$7-'Gearing Calculator'!$U$16)/'Gearing Calculator'!$C$7)+(('Track Data'!W171)*('Gearing Calculator'!$U$17/'Gearing Calculator'!$C$7))</f>
        <v>-175.69581187809376</v>
      </c>
      <c r="Z171" s="16">
        <f>((X171*COS('Gearing Calculator'!$C$21))/'Gearing Calculator'!$C$22)/2</f>
        <v>86.168867840649611</v>
      </c>
      <c r="AA171" s="16">
        <f>Y171/'Gearing Calculator'!$C$24</f>
        <v>-2.4533028256864018</v>
      </c>
      <c r="AB171" s="16">
        <f t="shared" si="17"/>
        <v>375.808565591155</v>
      </c>
      <c r="AC171" s="16">
        <v>50</v>
      </c>
      <c r="AD171" s="16">
        <v>0</v>
      </c>
      <c r="AE171" s="16">
        <v>168</v>
      </c>
      <c r="AF171" s="16">
        <f>IF(AC171=0,IF(O171=6,INDEX(Acceleration!$V$4:$V$110,MATCH('Track Data'!S171,Acceleration!$K$4:$K$110,0)),IF('Track Data'!O171=5,INDEX(Acceleration!$U$4:$U$110,MATCH('Track Data'!S171,Acceleration!$K$4:$K$110,0)),1)),U171)</f>
        <v>-11.216477997530474</v>
      </c>
      <c r="AG171" s="16">
        <f>IF(AC171=0,IF(O171=4,INDEX(Acceleration!$T$4:$T$110,MATCH('Track Data'!S171,Acceleration!$K$4:$K$110,0)),IF('Track Data'!O171=3,INDEX(Acceleration!$S$4:$S$110,MATCH('Track Data'!S171,Acceleration!$K$4:$K$110,0)),'Track Data'!AF171)),'Track Data'!U171)</f>
        <v>-11.216477997530474</v>
      </c>
      <c r="AH171" s="16">
        <f>IF(AC171=0,IF(O171=2,INDEX(Acceleration!$R$4:$R$110,MATCH('Track Data'!S171,Acceleration!$K$4:$K$110,0)),IF('Track Data'!O171=1,INDEX(Acceleration!$Q$4:$Q$110,MATCH('Track Data'!S171,Acceleration!$K$4:$K$110,0)),'Track Data'!AG171)),'Track Data'!U171)</f>
        <v>-11.216477997530474</v>
      </c>
    </row>
    <row r="172" spans="2:34" x14ac:dyDescent="0.25">
      <c r="B172" s="16">
        <v>198.65899999999999</v>
      </c>
      <c r="C172" s="16">
        <v>7442</v>
      </c>
      <c r="D172" s="16">
        <v>169</v>
      </c>
      <c r="E172" s="113">
        <v>182</v>
      </c>
      <c r="F172" s="113">
        <v>183.6</v>
      </c>
      <c r="G172" s="113">
        <v>189.8</v>
      </c>
      <c r="H172" s="113">
        <f t="shared" si="18"/>
        <v>52.722222222222221</v>
      </c>
      <c r="I172" s="113">
        <v>-3.7</v>
      </c>
      <c r="J172" s="113">
        <v>89.07</v>
      </c>
      <c r="K172" s="113">
        <v>2.1</v>
      </c>
      <c r="L172" s="189"/>
      <c r="M172" s="16">
        <v>169</v>
      </c>
      <c r="N172" s="16">
        <f t="shared" si="20"/>
        <v>1.5496622973444356E-2</v>
      </c>
      <c r="O172" s="16">
        <v>6</v>
      </c>
      <c r="P172" s="16">
        <f t="shared" si="15"/>
        <v>7.3113821138211375</v>
      </c>
      <c r="Q172" s="16">
        <f t="shared" si="21"/>
        <v>64.530188397410242</v>
      </c>
      <c r="R172" s="113">
        <f t="shared" si="16"/>
        <v>311.95699999999999</v>
      </c>
      <c r="S172" s="16">
        <f>IF(S171=15800,15800,ROUND((((Q172*60)/'Gearing Calculator'!$C$14)*'Track Data'!P172),-2))</f>
        <v>14300</v>
      </c>
      <c r="T172" s="16">
        <f t="shared" si="19"/>
        <v>-11.216477997530474</v>
      </c>
      <c r="U172" s="16">
        <f>IF(AC172=100,Braking!$AG$2354,IF(AC172=50,Braking!$AG$1179,IF(AC172=75,Braking!$AG$1767,0)))</f>
        <v>-11.216477997530474</v>
      </c>
      <c r="V172" s="16">
        <f>0.5*'Gearing Calculator'!$C$15*'Gearing Calculator'!$C$20*'Gearing Calculator'!$W$20*('Track Data'!Q172^2)</f>
        <v>440.73312951382064</v>
      </c>
      <c r="W172" s="16">
        <f>('Gearing Calculator'!$U$9*'Track Data'!T172)+'Track Data'!V172</f>
        <v>-2545.0933134287911</v>
      </c>
      <c r="X172" s="16">
        <f>('Gearing Calculator'!$U$9*9.81)*('Gearing Calculator'!$U$16/'Gearing Calculator'!$C$7)-(('Track Data'!W172)*('Gearing Calculator'!$U$17/'Gearing Calculator'!$C$7))</f>
        <v>2788.4119697422539</v>
      </c>
      <c r="Y172" s="16">
        <f>('Gearing Calculator'!$U$9*9.81)*(('Gearing Calculator'!$C$7-'Gearing Calculator'!$U$16)/'Gearing Calculator'!$C$7)+(('Track Data'!W172)*('Gearing Calculator'!$U$17/'Gearing Calculator'!$C$7))</f>
        <v>-176.98996974225361</v>
      </c>
      <c r="Z172" s="16">
        <f>((X172*COS('Gearing Calculator'!$C$21))/'Gearing Calculator'!$C$22)/2</f>
        <v>86.208879108736866</v>
      </c>
      <c r="AA172" s="16">
        <f>Y172/'Gearing Calculator'!$C$24</f>
        <v>-2.4713736101353252</v>
      </c>
      <c r="AB172" s="16">
        <f t="shared" si="17"/>
        <v>373.43426152863782</v>
      </c>
      <c r="AC172" s="16">
        <v>50</v>
      </c>
      <c r="AD172" s="16">
        <v>0</v>
      </c>
      <c r="AE172" s="16">
        <v>169</v>
      </c>
      <c r="AF172" s="16">
        <f>IF(AC172=0,IF(O172=6,INDEX(Acceleration!$V$4:$V$110,MATCH('Track Data'!S172,Acceleration!$K$4:$K$110,0)),IF('Track Data'!O172=5,INDEX(Acceleration!$U$4:$U$110,MATCH('Track Data'!S172,Acceleration!$K$4:$K$110,0)),1)),U172)</f>
        <v>-11.216477997530474</v>
      </c>
      <c r="AG172" s="16">
        <f>IF(AC172=0,IF(O172=4,INDEX(Acceleration!$T$4:$T$110,MATCH('Track Data'!S172,Acceleration!$K$4:$K$110,0)),IF('Track Data'!O172=3,INDEX(Acceleration!$S$4:$S$110,MATCH('Track Data'!S172,Acceleration!$K$4:$K$110,0)),'Track Data'!AF172)),'Track Data'!U172)</f>
        <v>-11.216477997530474</v>
      </c>
      <c r="AH172" s="16">
        <f>IF(AC172=0,IF(O172=2,INDEX(Acceleration!$R$4:$R$110,MATCH('Track Data'!S172,Acceleration!$K$4:$K$110,0)),IF('Track Data'!O172=1,INDEX(Acceleration!$Q$4:$Q$110,MATCH('Track Data'!S172,Acceleration!$K$4:$K$110,0)),'Track Data'!AG172)),'Track Data'!U172)</f>
        <v>-11.216477997530474</v>
      </c>
    </row>
    <row r="173" spans="2:34" x14ac:dyDescent="0.25">
      <c r="B173" s="16">
        <v>198.678</v>
      </c>
      <c r="C173" s="16">
        <v>7443</v>
      </c>
      <c r="D173" s="16">
        <v>170</v>
      </c>
      <c r="E173" s="113">
        <v>181</v>
      </c>
      <c r="F173" s="113">
        <v>183.4</v>
      </c>
      <c r="G173" s="113">
        <v>189.3</v>
      </c>
      <c r="H173" s="113">
        <f t="shared" si="18"/>
        <v>52.583333333333336</v>
      </c>
      <c r="I173" s="113">
        <v>-3</v>
      </c>
      <c r="J173" s="113">
        <v>88.19</v>
      </c>
      <c r="K173" s="113">
        <v>-1.2</v>
      </c>
      <c r="L173" s="189"/>
      <c r="M173" s="16">
        <v>170</v>
      </c>
      <c r="N173" s="16">
        <f t="shared" si="20"/>
        <v>1.5538533852560618E-2</v>
      </c>
      <c r="O173" s="16">
        <v>6</v>
      </c>
      <c r="P173" s="16">
        <f t="shared" si="15"/>
        <v>7.3113821138211375</v>
      </c>
      <c r="Q173" s="16">
        <f t="shared" si="21"/>
        <v>64.356136137979874</v>
      </c>
      <c r="R173" s="113">
        <f t="shared" si="16"/>
        <v>311.95699999999999</v>
      </c>
      <c r="S173" s="16">
        <f>IF(S172=15800,15800,ROUND((((Q173*60)/'Gearing Calculator'!$C$14)*'Track Data'!P173),-2))</f>
        <v>14300</v>
      </c>
      <c r="T173" s="16">
        <f t="shared" si="19"/>
        <v>-11.216477997530474</v>
      </c>
      <c r="U173" s="16">
        <f>IF(AC173=100,Braking!$AG$2354,IF(AC173=50,Braking!$AG$1179,IF(AC173=75,Braking!$AG$1767,0)))</f>
        <v>-11.216477997530474</v>
      </c>
      <c r="V173" s="16">
        <f>0.5*'Gearing Calculator'!$C$15*'Gearing Calculator'!$C$20*'Gearing Calculator'!$W$20*('Track Data'!Q173^2)</f>
        <v>438.3588254513034</v>
      </c>
      <c r="W173" s="16">
        <f>('Gearing Calculator'!$U$9*'Track Data'!T173)+'Track Data'!V173</f>
        <v>-2547.4676174913084</v>
      </c>
      <c r="X173" s="16">
        <f>('Gearing Calculator'!$U$9*9.81)*('Gearing Calculator'!$U$16/'Gearing Calculator'!$C$7)-(('Track Data'!W173)*('Gearing Calculator'!$U$17/'Gearing Calculator'!$C$7))</f>
        <v>2789.7061276064137</v>
      </c>
      <c r="Y173" s="16">
        <f>('Gearing Calculator'!$U$9*9.81)*(('Gearing Calculator'!$C$7-'Gearing Calculator'!$U$16)/'Gearing Calculator'!$C$7)+(('Track Data'!W173)*('Gearing Calculator'!$U$17/'Gearing Calculator'!$C$7))</f>
        <v>-178.28412760641368</v>
      </c>
      <c r="Z173" s="16">
        <f>((X173*COS('Gearing Calculator'!$C$21))/'Gearing Calculator'!$C$22)/2</f>
        <v>86.248890376824079</v>
      </c>
      <c r="AA173" s="16">
        <f>Y173/'Gearing Calculator'!$C$24</f>
        <v>-2.4894443945842517</v>
      </c>
      <c r="AB173" s="16">
        <f t="shared" si="17"/>
        <v>371.05995746612058</v>
      </c>
      <c r="AC173" s="16">
        <v>50</v>
      </c>
      <c r="AD173" s="16">
        <v>0</v>
      </c>
      <c r="AE173" s="16">
        <v>170</v>
      </c>
      <c r="AF173" s="16">
        <f>IF(AC173=0,IF(O173=6,INDEX(Acceleration!$V$4:$V$110,MATCH('Track Data'!S173,Acceleration!$K$4:$K$110,0)),IF('Track Data'!O173=5,INDEX(Acceleration!$U$4:$U$110,MATCH('Track Data'!S173,Acceleration!$K$4:$K$110,0)),1)),U173)</f>
        <v>-11.216477997530474</v>
      </c>
      <c r="AG173" s="16">
        <f>IF(AC173=0,IF(O173=4,INDEX(Acceleration!$T$4:$T$110,MATCH('Track Data'!S173,Acceleration!$K$4:$K$110,0)),IF('Track Data'!O173=3,INDEX(Acceleration!$S$4:$S$110,MATCH('Track Data'!S173,Acceleration!$K$4:$K$110,0)),'Track Data'!AF173)),'Track Data'!U173)</f>
        <v>-11.216477997530474</v>
      </c>
      <c r="AH173" s="16">
        <f>IF(AC173=0,IF(O173=2,INDEX(Acceleration!$R$4:$R$110,MATCH('Track Data'!S173,Acceleration!$K$4:$K$110,0)),IF('Track Data'!O173=1,INDEX(Acceleration!$Q$4:$Q$110,MATCH('Track Data'!S173,Acceleration!$K$4:$K$110,0)),'Track Data'!AG173)),'Track Data'!U173)</f>
        <v>-11.216477997530474</v>
      </c>
    </row>
    <row r="174" spans="2:34" x14ac:dyDescent="0.25">
      <c r="B174" s="16">
        <v>198.697</v>
      </c>
      <c r="C174" s="16">
        <v>7444</v>
      </c>
      <c r="D174" s="16">
        <v>171</v>
      </c>
      <c r="E174" s="113">
        <v>179</v>
      </c>
      <c r="F174" s="113">
        <v>183.1</v>
      </c>
      <c r="G174" s="113">
        <v>188.8</v>
      </c>
      <c r="H174" s="113">
        <f t="shared" si="18"/>
        <v>52.444444444444443</v>
      </c>
      <c r="I174" s="113">
        <v>-2.2999999999999998</v>
      </c>
      <c r="J174" s="113">
        <v>90.69</v>
      </c>
      <c r="K174" s="113">
        <v>-4.5</v>
      </c>
      <c r="L174" s="189"/>
      <c r="M174" s="16">
        <v>171</v>
      </c>
      <c r="N174" s="16">
        <f t="shared" si="20"/>
        <v>1.5580786627467615E-2</v>
      </c>
      <c r="O174" s="16">
        <v>6</v>
      </c>
      <c r="P174" s="16">
        <f t="shared" si="15"/>
        <v>7.3113821138211375</v>
      </c>
      <c r="Q174" s="16">
        <f t="shared" si="21"/>
        <v>64.181611872990047</v>
      </c>
      <c r="R174" s="113">
        <f t="shared" si="16"/>
        <v>311.95699999999999</v>
      </c>
      <c r="S174" s="16">
        <f>IF(S173=15800,15800,ROUND((((Q174*60)/'Gearing Calculator'!$C$14)*'Track Data'!P174),-2))</f>
        <v>14200</v>
      </c>
      <c r="T174" s="16">
        <f t="shared" si="19"/>
        <v>-11.216477997530474</v>
      </c>
      <c r="U174" s="16">
        <f>IF(AC174=100,Braking!$AG$2354,IF(AC174=50,Braking!$AG$1179,IF(AC174=75,Braking!$AG$1767,0)))</f>
        <v>-11.216477997530474</v>
      </c>
      <c r="V174" s="16">
        <f>0.5*'Gearing Calculator'!$C$15*'Gearing Calculator'!$C$20*'Gearing Calculator'!$W$20*('Track Data'!Q174^2)</f>
        <v>435.98452138878605</v>
      </c>
      <c r="W174" s="16">
        <f>('Gearing Calculator'!$U$9*'Track Data'!T174)+'Track Data'!V174</f>
        <v>-2549.8419215538256</v>
      </c>
      <c r="X174" s="16">
        <f>('Gearing Calculator'!$U$9*9.81)*('Gearing Calculator'!$U$16/'Gearing Calculator'!$C$7)-(('Track Data'!W174)*('Gearing Calculator'!$U$17/'Gearing Calculator'!$C$7))</f>
        <v>2791.0002854705735</v>
      </c>
      <c r="Y174" s="16">
        <f>('Gearing Calculator'!$U$9*9.81)*(('Gearing Calculator'!$C$7-'Gearing Calculator'!$U$16)/'Gearing Calculator'!$C$7)+(('Track Data'!W174)*('Gearing Calculator'!$U$17/'Gearing Calculator'!$C$7))</f>
        <v>-179.57828547057352</v>
      </c>
      <c r="Z174" s="16">
        <f>((X174*COS('Gearing Calculator'!$C$21))/'Gearing Calculator'!$C$22)/2</f>
        <v>86.288901644911306</v>
      </c>
      <c r="AA174" s="16">
        <f>Y174/'Gearing Calculator'!$C$24</f>
        <v>-2.5075151790331751</v>
      </c>
      <c r="AB174" s="16">
        <f t="shared" si="17"/>
        <v>368.68565340360323</v>
      </c>
      <c r="AC174" s="16">
        <v>50</v>
      </c>
      <c r="AD174" s="16">
        <v>0</v>
      </c>
      <c r="AE174" s="16">
        <v>171</v>
      </c>
      <c r="AF174" s="16">
        <f>IF(AC174=0,IF(O174=6,INDEX(Acceleration!$V$4:$V$110,MATCH('Track Data'!S174,Acceleration!$K$4:$K$110,0)),IF('Track Data'!O174=5,INDEX(Acceleration!$U$4:$U$110,MATCH('Track Data'!S174,Acceleration!$K$4:$K$110,0)),1)),U174)</f>
        <v>-11.216477997530474</v>
      </c>
      <c r="AG174" s="16">
        <f>IF(AC174=0,IF(O174=4,INDEX(Acceleration!$T$4:$T$110,MATCH('Track Data'!S174,Acceleration!$K$4:$K$110,0)),IF('Track Data'!O174=3,INDEX(Acceleration!$S$4:$S$110,MATCH('Track Data'!S174,Acceleration!$K$4:$K$110,0)),'Track Data'!AF174)),'Track Data'!U174)</f>
        <v>-11.216477997530474</v>
      </c>
      <c r="AH174" s="16">
        <f>IF(AC174=0,IF(O174=2,INDEX(Acceleration!$R$4:$R$110,MATCH('Track Data'!S174,Acceleration!$K$4:$K$110,0)),IF('Track Data'!O174=1,INDEX(Acceleration!$Q$4:$Q$110,MATCH('Track Data'!S174,Acceleration!$K$4:$K$110,0)),'Track Data'!AG174)),'Track Data'!U174)</f>
        <v>-11.216477997530474</v>
      </c>
    </row>
    <row r="175" spans="2:34" x14ac:dyDescent="0.25">
      <c r="B175" s="16">
        <v>198.71700000000001</v>
      </c>
      <c r="C175" s="16">
        <v>7445</v>
      </c>
      <c r="D175" s="16">
        <v>172</v>
      </c>
      <c r="E175" s="113">
        <v>176</v>
      </c>
      <c r="F175" s="113">
        <v>182.9</v>
      </c>
      <c r="G175" s="113">
        <v>188.3</v>
      </c>
      <c r="H175" s="113">
        <f t="shared" si="18"/>
        <v>52.305555555555557</v>
      </c>
      <c r="I175" s="113">
        <v>-1.4</v>
      </c>
      <c r="J175" s="113">
        <v>92.26</v>
      </c>
      <c r="K175" s="113">
        <v>-7.8</v>
      </c>
      <c r="L175" s="189"/>
      <c r="M175" s="16">
        <v>172</v>
      </c>
      <c r="N175" s="16">
        <f t="shared" si="20"/>
        <v>1.5623385972054038E-2</v>
      </c>
      <c r="O175" s="16">
        <v>6</v>
      </c>
      <c r="P175" s="16">
        <f t="shared" si="15"/>
        <v>7.3113821138211375</v>
      </c>
      <c r="Q175" s="16">
        <f t="shared" si="21"/>
        <v>64.006611741444928</v>
      </c>
      <c r="R175" s="113">
        <f t="shared" si="16"/>
        <v>311.95699999999999</v>
      </c>
      <c r="S175" s="16">
        <f>IF(S174=15800,15800,ROUND((((Q175*60)/'Gearing Calculator'!$C$14)*'Track Data'!P175),-2))</f>
        <v>14200</v>
      </c>
      <c r="T175" s="16">
        <f t="shared" si="19"/>
        <v>-11.216477997530474</v>
      </c>
      <c r="U175" s="16">
        <f>IF(AC175=100,Braking!$AG$2354,IF(AC175=50,Braking!$AG$1179,IF(AC175=75,Braking!$AG$1767,0)))</f>
        <v>-11.216477997530474</v>
      </c>
      <c r="V175" s="16">
        <f>0.5*'Gearing Calculator'!$C$15*'Gearing Calculator'!$C$20*'Gearing Calculator'!$W$20*('Track Data'!Q175^2)</f>
        <v>433.61021732626875</v>
      </c>
      <c r="W175" s="16">
        <f>('Gearing Calculator'!$U$9*'Track Data'!T175)+'Track Data'!V175</f>
        <v>-2552.2162256163429</v>
      </c>
      <c r="X175" s="16">
        <f>('Gearing Calculator'!$U$9*9.81)*('Gearing Calculator'!$U$16/'Gearing Calculator'!$C$7)-(('Track Data'!W175)*('Gearing Calculator'!$U$17/'Gearing Calculator'!$C$7))</f>
        <v>2792.2944433347338</v>
      </c>
      <c r="Y175" s="16">
        <f>('Gearing Calculator'!$U$9*9.81)*(('Gearing Calculator'!$C$7-'Gearing Calculator'!$U$16)/'Gearing Calculator'!$C$7)+(('Track Data'!W175)*('Gearing Calculator'!$U$17/'Gearing Calculator'!$C$7))</f>
        <v>-180.87244333473359</v>
      </c>
      <c r="Z175" s="16">
        <f>((X175*COS('Gearing Calculator'!$C$21))/'Gearing Calculator'!$C$22)/2</f>
        <v>86.328912912998533</v>
      </c>
      <c r="AA175" s="16">
        <f>Y175/'Gearing Calculator'!$C$24</f>
        <v>-2.5255859634821016</v>
      </c>
      <c r="AB175" s="16">
        <f t="shared" si="17"/>
        <v>366.31134934108593</v>
      </c>
      <c r="AC175" s="16">
        <v>50</v>
      </c>
      <c r="AD175" s="16">
        <v>0</v>
      </c>
      <c r="AE175" s="16">
        <v>172</v>
      </c>
      <c r="AF175" s="16">
        <f>IF(AC175=0,IF(O175=6,INDEX(Acceleration!$V$4:$V$110,MATCH('Track Data'!S175,Acceleration!$K$4:$K$110,0)),IF('Track Data'!O175=5,INDEX(Acceleration!$U$4:$U$110,MATCH('Track Data'!S175,Acceleration!$K$4:$K$110,0)),1)),U175)</f>
        <v>-11.216477997530474</v>
      </c>
      <c r="AG175" s="16">
        <f>IF(AC175=0,IF(O175=4,INDEX(Acceleration!$T$4:$T$110,MATCH('Track Data'!S175,Acceleration!$K$4:$K$110,0)),IF('Track Data'!O175=3,INDEX(Acceleration!$S$4:$S$110,MATCH('Track Data'!S175,Acceleration!$K$4:$K$110,0)),'Track Data'!AF175)),'Track Data'!U175)</f>
        <v>-11.216477997530474</v>
      </c>
      <c r="AH175" s="16">
        <f>IF(AC175=0,IF(O175=2,INDEX(Acceleration!$R$4:$R$110,MATCH('Track Data'!S175,Acceleration!$K$4:$K$110,0)),IF('Track Data'!O175=1,INDEX(Acceleration!$Q$4:$Q$110,MATCH('Track Data'!S175,Acceleration!$K$4:$K$110,0)),'Track Data'!AG175)),'Track Data'!U175)</f>
        <v>-11.216477997530474</v>
      </c>
    </row>
    <row r="176" spans="2:34" x14ac:dyDescent="0.25">
      <c r="B176" s="16">
        <v>198.73699999999999</v>
      </c>
      <c r="C176" s="16">
        <v>7446</v>
      </c>
      <c r="D176" s="16">
        <v>173</v>
      </c>
      <c r="E176" s="113">
        <v>175</v>
      </c>
      <c r="F176" s="113">
        <v>181.9</v>
      </c>
      <c r="G176" s="113">
        <v>187.8</v>
      </c>
      <c r="H176" s="113">
        <f t="shared" si="18"/>
        <v>52.166666666666671</v>
      </c>
      <c r="I176" s="113">
        <v>-1.4</v>
      </c>
      <c r="J176" s="113">
        <v>96.68</v>
      </c>
      <c r="K176" s="113">
        <v>-10.7</v>
      </c>
      <c r="L176" s="189"/>
      <c r="M176" s="16">
        <v>173</v>
      </c>
      <c r="N176" s="16">
        <f t="shared" si="20"/>
        <v>1.566633665015273E-2</v>
      </c>
      <c r="O176" s="16">
        <v>6</v>
      </c>
      <c r="P176" s="16">
        <f t="shared" si="15"/>
        <v>7.3113821138211375</v>
      </c>
      <c r="Q176" s="16">
        <f t="shared" si="21"/>
        <v>63.831131829421722</v>
      </c>
      <c r="R176" s="113">
        <f t="shared" si="16"/>
        <v>311.95699999999999</v>
      </c>
      <c r="S176" s="16">
        <f>IF(S175=15800,15800,ROUND((((Q176*60)/'Gearing Calculator'!$C$14)*'Track Data'!P176),-2))</f>
        <v>14100</v>
      </c>
      <c r="T176" s="16">
        <f t="shared" si="19"/>
        <v>-11.216477997530474</v>
      </c>
      <c r="U176" s="16">
        <f>IF(AC176=100,Braking!$AG$2354,IF(AC176=50,Braking!$AG$1179,IF(AC176=75,Braking!$AG$1767,0)))</f>
        <v>-11.216477997530474</v>
      </c>
      <c r="V176" s="16">
        <f>0.5*'Gearing Calculator'!$C$15*'Gearing Calculator'!$C$20*'Gearing Calculator'!$W$20*('Track Data'!Q176^2)</f>
        <v>431.23591326375151</v>
      </c>
      <c r="W176" s="16">
        <f>('Gearing Calculator'!$U$9*'Track Data'!T176)+'Track Data'!V176</f>
        <v>-2554.5905296788601</v>
      </c>
      <c r="X176" s="16">
        <f>('Gearing Calculator'!$U$9*9.81)*('Gearing Calculator'!$U$16/'Gearing Calculator'!$C$7)-(('Track Data'!W176)*('Gearing Calculator'!$U$17/'Gearing Calculator'!$C$7))</f>
        <v>2793.5886011988932</v>
      </c>
      <c r="Y176" s="16">
        <f>('Gearing Calculator'!$U$9*9.81)*(('Gearing Calculator'!$C$7-'Gearing Calculator'!$U$16)/'Gearing Calculator'!$C$7)+(('Track Data'!W176)*('Gearing Calculator'!$U$17/'Gearing Calculator'!$C$7))</f>
        <v>-182.16660119889343</v>
      </c>
      <c r="Z176" s="16">
        <f>((X176*COS('Gearing Calculator'!$C$21))/'Gearing Calculator'!$C$22)/2</f>
        <v>86.368924181085745</v>
      </c>
      <c r="AA176" s="16">
        <f>Y176/'Gearing Calculator'!$C$24</f>
        <v>-2.543656747931025</v>
      </c>
      <c r="AB176" s="16">
        <f t="shared" si="17"/>
        <v>363.93704527856869</v>
      </c>
      <c r="AC176" s="16">
        <v>50</v>
      </c>
      <c r="AD176" s="16">
        <v>0</v>
      </c>
      <c r="AE176" s="16">
        <v>173</v>
      </c>
      <c r="AF176" s="16">
        <f>IF(AC176=0,IF(O176=6,INDEX(Acceleration!$V$4:$V$110,MATCH('Track Data'!S176,Acceleration!$K$4:$K$110,0)),IF('Track Data'!O176=5,INDEX(Acceleration!$U$4:$U$110,MATCH('Track Data'!S176,Acceleration!$K$4:$K$110,0)),1)),U176)</f>
        <v>-11.216477997530474</v>
      </c>
      <c r="AG176" s="16">
        <f>IF(AC176=0,IF(O176=4,INDEX(Acceleration!$T$4:$T$110,MATCH('Track Data'!S176,Acceleration!$K$4:$K$110,0)),IF('Track Data'!O176=3,INDEX(Acceleration!$S$4:$S$110,MATCH('Track Data'!S176,Acceleration!$K$4:$K$110,0)),'Track Data'!AF176)),'Track Data'!U176)</f>
        <v>-11.216477997530474</v>
      </c>
      <c r="AH176" s="16">
        <f>IF(AC176=0,IF(O176=2,INDEX(Acceleration!$R$4:$R$110,MATCH('Track Data'!S176,Acceleration!$K$4:$K$110,0)),IF('Track Data'!O176=1,INDEX(Acceleration!$Q$4:$Q$110,MATCH('Track Data'!S176,Acceleration!$K$4:$K$110,0)),'Track Data'!AG176)),'Track Data'!U176)</f>
        <v>-11.216477997530474</v>
      </c>
    </row>
    <row r="177" spans="2:34" x14ac:dyDescent="0.25">
      <c r="B177" s="16">
        <v>198.756</v>
      </c>
      <c r="C177" s="16">
        <v>7447</v>
      </c>
      <c r="D177" s="16">
        <v>174</v>
      </c>
      <c r="E177" s="113">
        <v>174</v>
      </c>
      <c r="F177" s="113">
        <v>180.6</v>
      </c>
      <c r="G177" s="113">
        <v>187.3</v>
      </c>
      <c r="H177" s="113">
        <f t="shared" si="18"/>
        <v>52.027777777777779</v>
      </c>
      <c r="I177" s="113">
        <v>-1.4</v>
      </c>
      <c r="J177" s="113">
        <v>98.13</v>
      </c>
      <c r="K177" s="113">
        <v>-13.5</v>
      </c>
      <c r="L177" s="189"/>
      <c r="M177" s="16">
        <v>174</v>
      </c>
      <c r="N177" s="16">
        <f t="shared" si="20"/>
        <v>1.5709643517778399E-2</v>
      </c>
      <c r="O177" s="16">
        <v>6</v>
      </c>
      <c r="P177" s="16">
        <f t="shared" si="15"/>
        <v>7.3113821138211375</v>
      </c>
      <c r="Q177" s="16">
        <f t="shared" si="21"/>
        <v>63.655168169049354</v>
      </c>
      <c r="R177" s="113">
        <f t="shared" si="16"/>
        <v>311.95699999999999</v>
      </c>
      <c r="S177" s="16">
        <f>IF(S176=15800,15800,ROUND((((Q177*60)/'Gearing Calculator'!$C$14)*'Track Data'!P177),-2))</f>
        <v>14100</v>
      </c>
      <c r="T177" s="16">
        <f t="shared" si="19"/>
        <v>-11.216477997530474</v>
      </c>
      <c r="U177" s="16">
        <f>IF(AC177=100,Braking!$AG$2354,IF(AC177=50,Braking!$AG$1179,IF(AC177=75,Braking!$AG$1767,0)))</f>
        <v>-11.216477997530474</v>
      </c>
      <c r="V177" s="16">
        <f>0.5*'Gearing Calculator'!$C$15*'Gearing Calculator'!$C$20*'Gearing Calculator'!$W$20*('Track Data'!Q177^2)</f>
        <v>428.86160920123433</v>
      </c>
      <c r="W177" s="16">
        <f>('Gearing Calculator'!$U$9*'Track Data'!T177)+'Track Data'!V177</f>
        <v>-2556.9648337413773</v>
      </c>
      <c r="X177" s="16">
        <f>('Gearing Calculator'!$U$9*9.81)*('Gearing Calculator'!$U$16/'Gearing Calculator'!$C$7)-(('Track Data'!W177)*('Gearing Calculator'!$U$17/'Gearing Calculator'!$C$7))</f>
        <v>2794.8827590630535</v>
      </c>
      <c r="Y177" s="16">
        <f>('Gearing Calculator'!$U$9*9.81)*(('Gearing Calculator'!$C$7-'Gearing Calculator'!$U$16)/'Gearing Calculator'!$C$7)+(('Track Data'!W177)*('Gearing Calculator'!$U$17/'Gearing Calculator'!$C$7))</f>
        <v>-183.46075906305327</v>
      </c>
      <c r="Z177" s="16">
        <f>((X177*COS('Gearing Calculator'!$C$21))/'Gearing Calculator'!$C$22)/2</f>
        <v>86.408935449172986</v>
      </c>
      <c r="AA177" s="16">
        <f>Y177/'Gearing Calculator'!$C$24</f>
        <v>-2.5617275323799484</v>
      </c>
      <c r="AB177" s="16">
        <f t="shared" si="17"/>
        <v>361.56274121605151</v>
      </c>
      <c r="AC177" s="16">
        <v>50</v>
      </c>
      <c r="AD177" s="16">
        <v>0</v>
      </c>
      <c r="AE177" s="16">
        <v>174</v>
      </c>
      <c r="AF177" s="16">
        <f>IF(AC177=0,IF(O177=6,INDEX(Acceleration!$V$4:$V$110,MATCH('Track Data'!S177,Acceleration!$K$4:$K$110,0)),IF('Track Data'!O177=5,INDEX(Acceleration!$U$4:$U$110,MATCH('Track Data'!S177,Acceleration!$K$4:$K$110,0)),1)),U177)</f>
        <v>-11.216477997530474</v>
      </c>
      <c r="AG177" s="16">
        <f>IF(AC177=0,IF(O177=4,INDEX(Acceleration!$T$4:$T$110,MATCH('Track Data'!S177,Acceleration!$K$4:$K$110,0)),IF('Track Data'!O177=3,INDEX(Acceleration!$S$4:$S$110,MATCH('Track Data'!S177,Acceleration!$K$4:$K$110,0)),'Track Data'!AF177)),'Track Data'!U177)</f>
        <v>-11.216477997530474</v>
      </c>
      <c r="AH177" s="16">
        <f>IF(AC177=0,IF(O177=2,INDEX(Acceleration!$R$4:$R$110,MATCH('Track Data'!S177,Acceleration!$K$4:$K$110,0)),IF('Track Data'!O177=1,INDEX(Acceleration!$Q$4:$Q$110,MATCH('Track Data'!S177,Acceleration!$K$4:$K$110,0)),'Track Data'!AG177)),'Track Data'!U177)</f>
        <v>-11.216477997530474</v>
      </c>
    </row>
    <row r="178" spans="2:34" x14ac:dyDescent="0.25">
      <c r="B178" s="16">
        <v>198.77600000000001</v>
      </c>
      <c r="C178" s="16">
        <v>7448</v>
      </c>
      <c r="D178" s="16">
        <v>175</v>
      </c>
      <c r="E178" s="113">
        <v>174</v>
      </c>
      <c r="F178" s="113">
        <v>179.7</v>
      </c>
      <c r="G178" s="113">
        <v>186.7</v>
      </c>
      <c r="H178" s="113">
        <f t="shared" si="18"/>
        <v>51.861111111111107</v>
      </c>
      <c r="I178" s="113">
        <v>-1.4</v>
      </c>
      <c r="J178" s="113">
        <v>98.1</v>
      </c>
      <c r="K178" s="113">
        <v>-16.399999999999999</v>
      </c>
      <c r="L178" s="189"/>
      <c r="M178" s="16">
        <v>175</v>
      </c>
      <c r="N178" s="16">
        <f t="shared" si="20"/>
        <v>1.5753311525433768E-2</v>
      </c>
      <c r="O178" s="16">
        <v>6</v>
      </c>
      <c r="P178" s="16">
        <f t="shared" si="15"/>
        <v>7.3113821138211375</v>
      </c>
      <c r="Q178" s="16">
        <f t="shared" si="21"/>
        <v>63.478716737461646</v>
      </c>
      <c r="R178" s="113">
        <f t="shared" si="16"/>
        <v>311.95699999999999</v>
      </c>
      <c r="S178" s="16">
        <f>IF(S177=15800,15800,ROUND((((Q178*60)/'Gearing Calculator'!$C$14)*'Track Data'!P178),-2))</f>
        <v>14100</v>
      </c>
      <c r="T178" s="16">
        <f t="shared" si="19"/>
        <v>-11.216477997530474</v>
      </c>
      <c r="U178" s="16">
        <f>IF(AC178=100,Braking!$AG$2354,IF(AC178=50,Braking!$AG$1179,IF(AC178=75,Braking!$AG$1767,0)))</f>
        <v>-11.216477997530474</v>
      </c>
      <c r="V178" s="16">
        <f>0.5*'Gearing Calculator'!$C$15*'Gearing Calculator'!$C$20*'Gearing Calculator'!$W$20*('Track Data'!Q178^2)</f>
        <v>426.48730513871703</v>
      </c>
      <c r="W178" s="16">
        <f>('Gearing Calculator'!$U$9*'Track Data'!T178)+'Track Data'!V178</f>
        <v>-2559.3391378038946</v>
      </c>
      <c r="X178" s="16">
        <f>('Gearing Calculator'!$U$9*9.81)*('Gearing Calculator'!$U$16/'Gearing Calculator'!$C$7)-(('Track Data'!W178)*('Gearing Calculator'!$U$17/'Gearing Calculator'!$C$7))</f>
        <v>2796.1769169272134</v>
      </c>
      <c r="Y178" s="16">
        <f>('Gearing Calculator'!$U$9*9.81)*(('Gearing Calculator'!$C$7-'Gearing Calculator'!$U$16)/'Gearing Calculator'!$C$7)+(('Track Data'!W178)*('Gearing Calculator'!$U$17/'Gearing Calculator'!$C$7))</f>
        <v>-184.75491692721334</v>
      </c>
      <c r="Z178" s="16">
        <f>((X178*COS('Gearing Calculator'!$C$21))/'Gearing Calculator'!$C$22)/2</f>
        <v>86.448946717260213</v>
      </c>
      <c r="AA178" s="16">
        <f>Y178/'Gearing Calculator'!$C$24</f>
        <v>-2.5797983168288749</v>
      </c>
      <c r="AB178" s="16">
        <f t="shared" si="17"/>
        <v>359.18843715353421</v>
      </c>
      <c r="AC178" s="16">
        <v>50</v>
      </c>
      <c r="AD178" s="16">
        <v>0</v>
      </c>
      <c r="AE178" s="16">
        <v>175</v>
      </c>
      <c r="AF178" s="16">
        <f>IF(AC178=0,IF(O178=6,INDEX(Acceleration!$V$4:$V$110,MATCH('Track Data'!S178,Acceleration!$K$4:$K$110,0)),IF('Track Data'!O178=5,INDEX(Acceleration!$U$4:$U$110,MATCH('Track Data'!S178,Acceleration!$K$4:$K$110,0)),1)),U178)</f>
        <v>-11.216477997530474</v>
      </c>
      <c r="AG178" s="16">
        <f>IF(AC178=0,IF(O178=4,INDEX(Acceleration!$T$4:$T$110,MATCH('Track Data'!S178,Acceleration!$K$4:$K$110,0)),IF('Track Data'!O178=3,INDEX(Acceleration!$S$4:$S$110,MATCH('Track Data'!S178,Acceleration!$K$4:$K$110,0)),'Track Data'!AF178)),'Track Data'!U178)</f>
        <v>-11.216477997530474</v>
      </c>
      <c r="AH178" s="16">
        <f>IF(AC178=0,IF(O178=2,INDEX(Acceleration!$R$4:$R$110,MATCH('Track Data'!S178,Acceleration!$K$4:$K$110,0)),IF('Track Data'!O178=1,INDEX(Acceleration!$Q$4:$Q$110,MATCH('Track Data'!S178,Acceleration!$K$4:$K$110,0)),'Track Data'!AG178)),'Track Data'!U178)</f>
        <v>-11.216477997530474</v>
      </c>
    </row>
    <row r="179" spans="2:34" x14ac:dyDescent="0.25">
      <c r="B179" s="16">
        <v>198.79599999999999</v>
      </c>
      <c r="C179" s="16">
        <v>7449</v>
      </c>
      <c r="D179" s="16">
        <v>176</v>
      </c>
      <c r="E179" s="113">
        <v>173</v>
      </c>
      <c r="F179" s="113">
        <v>178.9</v>
      </c>
      <c r="G179" s="113">
        <v>186.2</v>
      </c>
      <c r="H179" s="113">
        <f t="shared" si="18"/>
        <v>51.722222222222214</v>
      </c>
      <c r="I179" s="113">
        <v>-1.3</v>
      </c>
      <c r="J179" s="113">
        <v>98.07</v>
      </c>
      <c r="K179" s="113">
        <v>-19.2</v>
      </c>
      <c r="L179" s="189"/>
      <c r="M179" s="16">
        <v>176</v>
      </c>
      <c r="N179" s="16">
        <f t="shared" si="20"/>
        <v>1.5797345720486643E-2</v>
      </c>
      <c r="O179" s="16">
        <v>6</v>
      </c>
      <c r="P179" s="16">
        <f t="shared" si="15"/>
        <v>7.3113821138211375</v>
      </c>
      <c r="Q179" s="16">
        <f t="shared" si="21"/>
        <v>63.301773455724224</v>
      </c>
      <c r="R179" s="113">
        <f t="shared" si="16"/>
        <v>311.95699999999999</v>
      </c>
      <c r="S179" s="16">
        <f>IF(S178=15800,15800,ROUND((((Q179*60)/'Gearing Calculator'!$C$14)*'Track Data'!P179),-2))</f>
        <v>14000</v>
      </c>
      <c r="T179" s="16">
        <f t="shared" si="19"/>
        <v>-11.216477997530474</v>
      </c>
      <c r="U179" s="16">
        <f>IF(AC179=100,Braking!$AG$2354,IF(AC179=50,Braking!$AG$1179,IF(AC179=75,Braking!$AG$1767,0)))</f>
        <v>-11.216477997530474</v>
      </c>
      <c r="V179" s="16">
        <f>0.5*'Gearing Calculator'!$C$15*'Gearing Calculator'!$C$20*'Gearing Calculator'!$W$20*('Track Data'!Q179^2)</f>
        <v>424.11300107619979</v>
      </c>
      <c r="W179" s="16">
        <f>('Gearing Calculator'!$U$9*'Track Data'!T179)+'Track Data'!V179</f>
        <v>-2561.7134418664118</v>
      </c>
      <c r="X179" s="16">
        <f>('Gearing Calculator'!$U$9*9.81)*('Gearing Calculator'!$U$16/'Gearing Calculator'!$C$7)-(('Track Data'!W179)*('Gearing Calculator'!$U$17/'Gearing Calculator'!$C$7))</f>
        <v>2797.4710747913732</v>
      </c>
      <c r="Y179" s="16">
        <f>('Gearing Calculator'!$U$9*9.81)*(('Gearing Calculator'!$C$7-'Gearing Calculator'!$U$16)/'Gearing Calculator'!$C$7)+(('Track Data'!W179)*('Gearing Calculator'!$U$17/'Gearing Calculator'!$C$7))</f>
        <v>-186.04907479137319</v>
      </c>
      <c r="Z179" s="16">
        <f>((X179*COS('Gearing Calculator'!$C$21))/'Gearing Calculator'!$C$22)/2</f>
        <v>86.488957985347426</v>
      </c>
      <c r="AA179" s="16">
        <f>Y179/'Gearing Calculator'!$C$24</f>
        <v>-2.5978691012777984</v>
      </c>
      <c r="AB179" s="16">
        <f t="shared" si="17"/>
        <v>356.81413309101697</v>
      </c>
      <c r="AC179" s="16">
        <v>50</v>
      </c>
      <c r="AD179" s="16">
        <v>0</v>
      </c>
      <c r="AE179" s="16">
        <v>176</v>
      </c>
      <c r="AF179" s="16">
        <f>IF(AC179=0,IF(O179=6,INDEX(Acceleration!$V$4:$V$110,MATCH('Track Data'!S179,Acceleration!$K$4:$K$110,0)),IF('Track Data'!O179=5,INDEX(Acceleration!$U$4:$U$110,MATCH('Track Data'!S179,Acceleration!$K$4:$K$110,0)),1)),U179)</f>
        <v>-11.216477997530474</v>
      </c>
      <c r="AG179" s="16">
        <f>IF(AC179=0,IF(O179=4,INDEX(Acceleration!$T$4:$T$110,MATCH('Track Data'!S179,Acceleration!$K$4:$K$110,0)),IF('Track Data'!O179=3,INDEX(Acceleration!$S$4:$S$110,MATCH('Track Data'!S179,Acceleration!$K$4:$K$110,0)),'Track Data'!AF179)),'Track Data'!U179)</f>
        <v>-11.216477997530474</v>
      </c>
      <c r="AH179" s="16">
        <f>IF(AC179=0,IF(O179=2,INDEX(Acceleration!$R$4:$R$110,MATCH('Track Data'!S179,Acceleration!$K$4:$K$110,0)),IF('Track Data'!O179=1,INDEX(Acceleration!$Q$4:$Q$110,MATCH('Track Data'!S179,Acceleration!$K$4:$K$110,0)),'Track Data'!AG179)),'Track Data'!U179)</f>
        <v>-11.216477997530474</v>
      </c>
    </row>
    <row r="180" spans="2:34" x14ac:dyDescent="0.25">
      <c r="B180" s="16">
        <v>198.816</v>
      </c>
      <c r="C180" s="16">
        <v>7450</v>
      </c>
      <c r="D180" s="16">
        <v>177</v>
      </c>
      <c r="E180" s="113">
        <v>172</v>
      </c>
      <c r="F180" s="113">
        <v>177.6</v>
      </c>
      <c r="G180" s="113">
        <v>185.7</v>
      </c>
      <c r="H180" s="113">
        <f t="shared" si="18"/>
        <v>51.583333333333329</v>
      </c>
      <c r="I180" s="113">
        <v>-2.4</v>
      </c>
      <c r="J180" s="113">
        <v>97.84</v>
      </c>
      <c r="K180" s="113">
        <v>-19.7</v>
      </c>
      <c r="L180" s="189"/>
      <c r="M180" s="16">
        <v>177</v>
      </c>
      <c r="N180" s="16">
        <f t="shared" si="20"/>
        <v>1.584175124962045E-2</v>
      </c>
      <c r="O180" s="16">
        <v>6</v>
      </c>
      <c r="P180" s="16">
        <f t="shared" si="15"/>
        <v>7.3113821138211375</v>
      </c>
      <c r="Q180" s="16">
        <f t="shared" si="21"/>
        <v>63.124334187734377</v>
      </c>
      <c r="R180" s="113">
        <f t="shared" si="16"/>
        <v>311.95699999999999</v>
      </c>
      <c r="S180" s="16">
        <f>IF(S179=15800,15800,ROUND((((Q180*60)/'Gearing Calculator'!$C$14)*'Track Data'!P180),-2))</f>
        <v>14000</v>
      </c>
      <c r="T180" s="16">
        <f t="shared" si="19"/>
        <v>-11.216477997530474</v>
      </c>
      <c r="U180" s="16">
        <f>IF(AC180=100,Braking!$AG$2354,IF(AC180=50,Braking!$AG$1179,IF(AC180=75,Braking!$AG$1767,0)))</f>
        <v>-11.216477997530474</v>
      </c>
      <c r="V180" s="16">
        <f>0.5*'Gearing Calculator'!$C$15*'Gearing Calculator'!$C$20*'Gearing Calculator'!$W$20*('Track Data'!Q180^2)</f>
        <v>421.7386970136825</v>
      </c>
      <c r="W180" s="16">
        <f>('Gearing Calculator'!$U$9*'Track Data'!T180)+'Track Data'!V180</f>
        <v>-2564.0877459289291</v>
      </c>
      <c r="X180" s="16">
        <f>('Gearing Calculator'!$U$9*9.81)*('Gearing Calculator'!$U$16/'Gearing Calculator'!$C$7)-(('Track Data'!W180)*('Gearing Calculator'!$U$17/'Gearing Calculator'!$C$7))</f>
        <v>2798.7652326555335</v>
      </c>
      <c r="Y180" s="16">
        <f>('Gearing Calculator'!$U$9*9.81)*(('Gearing Calculator'!$C$7-'Gearing Calculator'!$U$16)/'Gearing Calculator'!$C$7)+(('Track Data'!W180)*('Gearing Calculator'!$U$17/'Gearing Calculator'!$C$7))</f>
        <v>-187.34323265553326</v>
      </c>
      <c r="Z180" s="16">
        <f>((X180*COS('Gearing Calculator'!$C$21))/'Gearing Calculator'!$C$22)/2</f>
        <v>86.528969253434653</v>
      </c>
      <c r="AA180" s="16">
        <f>Y180/'Gearing Calculator'!$C$24</f>
        <v>-2.6159398857267249</v>
      </c>
      <c r="AB180" s="16">
        <f t="shared" si="17"/>
        <v>354.43982902849967</v>
      </c>
      <c r="AC180" s="16">
        <v>50</v>
      </c>
      <c r="AD180" s="16">
        <v>0</v>
      </c>
      <c r="AE180" s="16">
        <v>177</v>
      </c>
      <c r="AF180" s="16">
        <f>IF(AC180=0,IF(O180=6,INDEX(Acceleration!$V$4:$V$110,MATCH('Track Data'!S180,Acceleration!$K$4:$K$110,0)),IF('Track Data'!O180=5,INDEX(Acceleration!$U$4:$U$110,MATCH('Track Data'!S180,Acceleration!$K$4:$K$110,0)),1)),U180)</f>
        <v>-11.216477997530474</v>
      </c>
      <c r="AG180" s="16">
        <f>IF(AC180=0,IF(O180=4,INDEX(Acceleration!$T$4:$T$110,MATCH('Track Data'!S180,Acceleration!$K$4:$K$110,0)),IF('Track Data'!O180=3,INDEX(Acceleration!$S$4:$S$110,MATCH('Track Data'!S180,Acceleration!$K$4:$K$110,0)),'Track Data'!AF180)),'Track Data'!U180)</f>
        <v>-11.216477997530474</v>
      </c>
      <c r="AH180" s="16">
        <f>IF(AC180=0,IF(O180=2,INDEX(Acceleration!$R$4:$R$110,MATCH('Track Data'!S180,Acceleration!$K$4:$K$110,0)),IF('Track Data'!O180=1,INDEX(Acceleration!$Q$4:$Q$110,MATCH('Track Data'!S180,Acceleration!$K$4:$K$110,0)),'Track Data'!AG180)),'Track Data'!U180)</f>
        <v>-11.216477997530474</v>
      </c>
    </row>
    <row r="181" spans="2:34" x14ac:dyDescent="0.25">
      <c r="B181" s="16">
        <v>198.83600000000001</v>
      </c>
      <c r="C181" s="16">
        <v>7451</v>
      </c>
      <c r="D181" s="16">
        <v>178</v>
      </c>
      <c r="E181" s="113">
        <v>171</v>
      </c>
      <c r="F181" s="113">
        <v>175.9</v>
      </c>
      <c r="G181" s="113">
        <v>185.2</v>
      </c>
      <c r="H181" s="113">
        <f t="shared" si="18"/>
        <v>51.444444444444443</v>
      </c>
      <c r="I181" s="113">
        <v>-3.1</v>
      </c>
      <c r="J181" s="113">
        <v>97.79</v>
      </c>
      <c r="K181" s="113">
        <v>-19.100000000000001</v>
      </c>
      <c r="L181" s="189"/>
      <c r="M181" s="16">
        <v>178</v>
      </c>
      <c r="N181" s="16">
        <f t="shared" si="20"/>
        <v>1.5886533361361019E-2</v>
      </c>
      <c r="O181" s="16">
        <v>6</v>
      </c>
      <c r="P181" s="16">
        <f t="shared" si="15"/>
        <v>7.3113821138211375</v>
      </c>
      <c r="Q181" s="16">
        <f t="shared" si="21"/>
        <v>62.946394739092959</v>
      </c>
      <c r="R181" s="113">
        <f t="shared" si="16"/>
        <v>311.95699999999999</v>
      </c>
      <c r="S181" s="16">
        <f>IF(S180=15800,15800,ROUND((((Q181*60)/'Gearing Calculator'!$C$14)*'Track Data'!P181),-2))</f>
        <v>14000</v>
      </c>
      <c r="T181" s="16">
        <f t="shared" si="19"/>
        <v>-11.216477997530474</v>
      </c>
      <c r="U181" s="16">
        <f>IF(AC181=100,Braking!$AG$2354,IF(AC181=50,Braking!$AG$1179,IF(AC181=75,Braking!$AG$1767,0)))</f>
        <v>-11.216477997530474</v>
      </c>
      <c r="V181" s="16">
        <f>0.5*'Gearing Calculator'!$C$15*'Gearing Calculator'!$C$20*'Gearing Calculator'!$W$20*('Track Data'!Q181^2)</f>
        <v>419.36439295116526</v>
      </c>
      <c r="W181" s="16">
        <f>('Gearing Calculator'!$U$9*'Track Data'!T181)+'Track Data'!V181</f>
        <v>-2566.4620499914463</v>
      </c>
      <c r="X181" s="16">
        <f>('Gearing Calculator'!$U$9*9.81)*('Gearing Calculator'!$U$16/'Gearing Calculator'!$C$7)-(('Track Data'!W181)*('Gearing Calculator'!$U$17/'Gearing Calculator'!$C$7))</f>
        <v>2800.0593905196929</v>
      </c>
      <c r="Y181" s="16">
        <f>('Gearing Calculator'!$U$9*9.81)*(('Gearing Calculator'!$C$7-'Gearing Calculator'!$U$16)/'Gearing Calculator'!$C$7)+(('Track Data'!W181)*('Gearing Calculator'!$U$17/'Gearing Calculator'!$C$7))</f>
        <v>-188.6373905196931</v>
      </c>
      <c r="Z181" s="16">
        <f>((X181*COS('Gearing Calculator'!$C$21))/'Gearing Calculator'!$C$22)/2</f>
        <v>86.568980521521866</v>
      </c>
      <c r="AA181" s="16">
        <f>Y181/'Gearing Calculator'!$C$24</f>
        <v>-2.6340106701756483</v>
      </c>
      <c r="AB181" s="16">
        <f t="shared" si="17"/>
        <v>352.06552496598243</v>
      </c>
      <c r="AC181" s="16">
        <v>50</v>
      </c>
      <c r="AD181" s="16">
        <v>0</v>
      </c>
      <c r="AE181" s="16">
        <v>178</v>
      </c>
      <c r="AF181" s="16">
        <f>IF(AC181=0,IF(O181=6,INDEX(Acceleration!$V$4:$V$110,MATCH('Track Data'!S181,Acceleration!$K$4:$K$110,0)),IF('Track Data'!O181=5,INDEX(Acceleration!$U$4:$U$110,MATCH('Track Data'!S181,Acceleration!$K$4:$K$110,0)),1)),U181)</f>
        <v>-11.216477997530474</v>
      </c>
      <c r="AG181" s="16">
        <f>IF(AC181=0,IF(O181=4,INDEX(Acceleration!$T$4:$T$110,MATCH('Track Data'!S181,Acceleration!$K$4:$K$110,0)),IF('Track Data'!O181=3,INDEX(Acceleration!$S$4:$S$110,MATCH('Track Data'!S181,Acceleration!$K$4:$K$110,0)),'Track Data'!AF181)),'Track Data'!U181)</f>
        <v>-11.216477997530474</v>
      </c>
      <c r="AH181" s="16">
        <f>IF(AC181=0,IF(O181=2,INDEX(Acceleration!$R$4:$R$110,MATCH('Track Data'!S181,Acceleration!$K$4:$K$110,0)),IF('Track Data'!O181=1,INDEX(Acceleration!$Q$4:$Q$110,MATCH('Track Data'!S181,Acceleration!$K$4:$K$110,0)),'Track Data'!AG181)),'Track Data'!U181)</f>
        <v>-11.216477997530474</v>
      </c>
    </row>
    <row r="182" spans="2:34" x14ac:dyDescent="0.25">
      <c r="B182" s="16">
        <v>198.857</v>
      </c>
      <c r="C182" s="16">
        <v>7452</v>
      </c>
      <c r="D182" s="16">
        <v>179</v>
      </c>
      <c r="E182" s="113">
        <v>170</v>
      </c>
      <c r="F182" s="113">
        <v>174.1</v>
      </c>
      <c r="G182" s="113">
        <v>184.5</v>
      </c>
      <c r="H182" s="113">
        <f t="shared" si="18"/>
        <v>51.25</v>
      </c>
      <c r="I182" s="113">
        <v>-3.7</v>
      </c>
      <c r="J182" s="113">
        <v>96.51</v>
      </c>
      <c r="K182" s="113">
        <v>-18.5</v>
      </c>
      <c r="L182" s="189"/>
      <c r="M182" s="16">
        <v>179</v>
      </c>
      <c r="N182" s="16">
        <f t="shared" si="20"/>
        <v>1.5931697408682336E-2</v>
      </c>
      <c r="O182" s="16">
        <v>6</v>
      </c>
      <c r="P182" s="16">
        <f t="shared" si="15"/>
        <v>7.3113821138211375</v>
      </c>
      <c r="Q182" s="16">
        <f t="shared" si="21"/>
        <v>62.767950855947568</v>
      </c>
      <c r="R182" s="113">
        <f t="shared" si="16"/>
        <v>311.95699999999999</v>
      </c>
      <c r="S182" s="16">
        <f>IF(S181=15800,15800,ROUND((((Q182*60)/'Gearing Calculator'!$C$14)*'Track Data'!P182),-2))</f>
        <v>13900</v>
      </c>
      <c r="T182" s="16">
        <f t="shared" si="19"/>
        <v>-11.216477997530474</v>
      </c>
      <c r="U182" s="16">
        <f>IF(AC182=100,Braking!$AG$2354,IF(AC182=50,Braking!$AG$1179,IF(AC182=75,Braking!$AG$1767,0)))</f>
        <v>-11.216477997530474</v>
      </c>
      <c r="V182" s="16">
        <f>0.5*'Gearing Calculator'!$C$15*'Gearing Calculator'!$C$20*'Gearing Calculator'!$W$20*('Track Data'!Q182^2)</f>
        <v>416.99008888864802</v>
      </c>
      <c r="W182" s="16">
        <f>('Gearing Calculator'!$U$9*'Track Data'!T182)+'Track Data'!V182</f>
        <v>-2568.8363540539635</v>
      </c>
      <c r="X182" s="16">
        <f>('Gearing Calculator'!$U$9*9.81)*('Gearing Calculator'!$U$16/'Gearing Calculator'!$C$7)-(('Track Data'!W182)*('Gearing Calculator'!$U$17/'Gearing Calculator'!$C$7))</f>
        <v>2801.3535483838532</v>
      </c>
      <c r="Y182" s="16">
        <f>('Gearing Calculator'!$U$9*9.81)*(('Gearing Calculator'!$C$7-'Gearing Calculator'!$U$16)/'Gearing Calculator'!$C$7)+(('Track Data'!W182)*('Gearing Calculator'!$U$17/'Gearing Calculator'!$C$7))</f>
        <v>-189.93154838385294</v>
      </c>
      <c r="Z182" s="16">
        <f>((X182*COS('Gearing Calculator'!$C$21))/'Gearing Calculator'!$C$22)/2</f>
        <v>86.608991789609121</v>
      </c>
      <c r="AA182" s="16">
        <f>Y182/'Gearing Calculator'!$C$24</f>
        <v>-2.6520814546245717</v>
      </c>
      <c r="AB182" s="16">
        <f t="shared" si="17"/>
        <v>349.69122090346519</v>
      </c>
      <c r="AC182" s="16">
        <v>50</v>
      </c>
      <c r="AD182" s="16">
        <v>0</v>
      </c>
      <c r="AE182" s="16">
        <v>179</v>
      </c>
      <c r="AF182" s="16">
        <f>IF(AC182=0,IF(O182=6,INDEX(Acceleration!$V$4:$V$110,MATCH('Track Data'!S182,Acceleration!$K$4:$K$110,0)),IF('Track Data'!O182=5,INDEX(Acceleration!$U$4:$U$110,MATCH('Track Data'!S182,Acceleration!$K$4:$K$110,0)),1)),U182)</f>
        <v>-11.216477997530474</v>
      </c>
      <c r="AG182" s="16">
        <f>IF(AC182=0,IF(O182=4,INDEX(Acceleration!$T$4:$T$110,MATCH('Track Data'!S182,Acceleration!$K$4:$K$110,0)),IF('Track Data'!O182=3,INDEX(Acceleration!$S$4:$S$110,MATCH('Track Data'!S182,Acceleration!$K$4:$K$110,0)),'Track Data'!AF182)),'Track Data'!U182)</f>
        <v>-11.216477997530474</v>
      </c>
      <c r="AH182" s="16">
        <f>IF(AC182=0,IF(O182=2,INDEX(Acceleration!$R$4:$R$110,MATCH('Track Data'!S182,Acceleration!$K$4:$K$110,0)),IF('Track Data'!O182=1,INDEX(Acceleration!$Q$4:$Q$110,MATCH('Track Data'!S182,Acceleration!$K$4:$K$110,0)),'Track Data'!AG182)),'Track Data'!U182)</f>
        <v>-11.216477997530474</v>
      </c>
    </row>
    <row r="183" spans="2:34" x14ac:dyDescent="0.25">
      <c r="B183" s="16">
        <v>198.87700000000001</v>
      </c>
      <c r="C183" s="16">
        <v>7453</v>
      </c>
      <c r="D183" s="16">
        <v>180</v>
      </c>
      <c r="E183" s="113">
        <v>169</v>
      </c>
      <c r="F183" s="113">
        <v>172.1</v>
      </c>
      <c r="G183" s="113">
        <v>183.9</v>
      </c>
      <c r="H183" s="113">
        <f t="shared" si="18"/>
        <v>51.083333333333336</v>
      </c>
      <c r="I183" s="113">
        <v>-3.8</v>
      </c>
      <c r="J183" s="113">
        <v>94.78</v>
      </c>
      <c r="K183" s="113">
        <v>-18</v>
      </c>
      <c r="L183" s="189"/>
      <c r="M183" s="16">
        <v>180</v>
      </c>
      <c r="N183" s="16">
        <f t="shared" si="20"/>
        <v>1.5977248851694287E-2</v>
      </c>
      <c r="O183" s="16">
        <v>6</v>
      </c>
      <c r="P183" s="16">
        <f t="shared" si="15"/>
        <v>7.3113821138211375</v>
      </c>
      <c r="Q183" s="16">
        <f t="shared" si="21"/>
        <v>62.58899822380598</v>
      </c>
      <c r="R183" s="113">
        <f t="shared" si="16"/>
        <v>311.95699999999999</v>
      </c>
      <c r="S183" s="16">
        <f>IF(S182=15800,15800,ROUND((((Q183*60)/'Gearing Calculator'!$C$14)*'Track Data'!P183),-2))</f>
        <v>13900</v>
      </c>
      <c r="T183" s="16">
        <f t="shared" si="19"/>
        <v>-11.216477997530474</v>
      </c>
      <c r="U183" s="16">
        <f>IF(AC183=100,Braking!$AG$2354,IF(AC183=50,Braking!$AG$1179,IF(AC183=75,Braking!$AG$1767,0)))</f>
        <v>-11.216477997530474</v>
      </c>
      <c r="V183" s="16">
        <f>0.5*'Gearing Calculator'!$C$15*'Gearing Calculator'!$C$20*'Gearing Calculator'!$W$20*('Track Data'!Q183^2)</f>
        <v>414.61578482613078</v>
      </c>
      <c r="W183" s="16">
        <f>('Gearing Calculator'!$U$9*'Track Data'!T183)+'Track Data'!V183</f>
        <v>-2571.2106581164808</v>
      </c>
      <c r="X183" s="16">
        <f>('Gearing Calculator'!$U$9*9.81)*('Gearing Calculator'!$U$16/'Gearing Calculator'!$C$7)-(('Track Data'!W183)*('Gearing Calculator'!$U$17/'Gearing Calculator'!$C$7))</f>
        <v>2802.647706248013</v>
      </c>
      <c r="Y183" s="16">
        <f>('Gearing Calculator'!$U$9*9.81)*(('Gearing Calculator'!$C$7-'Gearing Calculator'!$U$16)/'Gearing Calculator'!$C$7)+(('Track Data'!W183)*('Gearing Calculator'!$U$17/'Gearing Calculator'!$C$7))</f>
        <v>-191.22570624801301</v>
      </c>
      <c r="Z183" s="16">
        <f>((X183*COS('Gearing Calculator'!$C$21))/'Gearing Calculator'!$C$22)/2</f>
        <v>86.649003057696333</v>
      </c>
      <c r="AA183" s="16">
        <f>Y183/'Gearing Calculator'!$C$24</f>
        <v>-2.6701522390734982</v>
      </c>
      <c r="AB183" s="16">
        <f t="shared" si="17"/>
        <v>347.31691684094795</v>
      </c>
      <c r="AC183" s="16">
        <v>50</v>
      </c>
      <c r="AD183" s="16">
        <v>0</v>
      </c>
      <c r="AE183" s="16">
        <v>180</v>
      </c>
      <c r="AF183" s="16">
        <f>IF(AC183=0,IF(O183=6,INDEX(Acceleration!$V$4:$V$110,MATCH('Track Data'!S183,Acceleration!$K$4:$K$110,0)),IF('Track Data'!O183=5,INDEX(Acceleration!$U$4:$U$110,MATCH('Track Data'!S183,Acceleration!$K$4:$K$110,0)),1)),U183)</f>
        <v>-11.216477997530474</v>
      </c>
      <c r="AG183" s="16">
        <f>IF(AC183=0,IF(O183=4,INDEX(Acceleration!$T$4:$T$110,MATCH('Track Data'!S183,Acceleration!$K$4:$K$110,0)),IF('Track Data'!O183=3,INDEX(Acceleration!$S$4:$S$110,MATCH('Track Data'!S183,Acceleration!$K$4:$K$110,0)),'Track Data'!AF183)),'Track Data'!U183)</f>
        <v>-11.216477997530474</v>
      </c>
      <c r="AH183" s="16">
        <f>IF(AC183=0,IF(O183=2,INDEX(Acceleration!$R$4:$R$110,MATCH('Track Data'!S183,Acceleration!$K$4:$K$110,0)),IF('Track Data'!O183=1,INDEX(Acceleration!$Q$4:$Q$110,MATCH('Track Data'!S183,Acceleration!$K$4:$K$110,0)),'Track Data'!AG183)),'Track Data'!U183)</f>
        <v>-11.216477997530474</v>
      </c>
    </row>
    <row r="184" spans="2:34" x14ac:dyDescent="0.25">
      <c r="B184" s="16">
        <v>198.898</v>
      </c>
      <c r="C184" s="16">
        <v>7454</v>
      </c>
      <c r="D184" s="16">
        <v>181</v>
      </c>
      <c r="E184" s="113">
        <v>167</v>
      </c>
      <c r="F184" s="113">
        <v>172.2</v>
      </c>
      <c r="G184" s="113">
        <v>183.2</v>
      </c>
      <c r="H184" s="113">
        <f t="shared" si="18"/>
        <v>50.888888888888886</v>
      </c>
      <c r="I184" s="113">
        <v>-3.8</v>
      </c>
      <c r="J184" s="113">
        <v>93.49</v>
      </c>
      <c r="K184" s="113">
        <v>-17.2</v>
      </c>
      <c r="L184" s="189"/>
      <c r="M184" s="16">
        <v>181</v>
      </c>
      <c r="N184" s="16">
        <f t="shared" si="20"/>
        <v>1.6023193260415416E-2</v>
      </c>
      <c r="O184" s="16">
        <v>6</v>
      </c>
      <c r="P184" s="16">
        <f t="shared" si="15"/>
        <v>7.3113821138211375</v>
      </c>
      <c r="Q184" s="16">
        <f t="shared" si="21"/>
        <v>62.409532466319014</v>
      </c>
      <c r="R184" s="113">
        <f t="shared" si="16"/>
        <v>311.95699999999999</v>
      </c>
      <c r="S184" s="16">
        <f>IF(S183=15800,15800,ROUND((((Q184*60)/'Gearing Calculator'!$C$14)*'Track Data'!P184),-2))</f>
        <v>13800</v>
      </c>
      <c r="T184" s="16">
        <f t="shared" si="19"/>
        <v>-11.216477997530474</v>
      </c>
      <c r="U184" s="16">
        <f>IF(AC184=100,Braking!$AG$2354,IF(AC184=50,Braking!$AG$1179,IF(AC184=75,Braking!$AG$1767,0)))</f>
        <v>-11.216477997530474</v>
      </c>
      <c r="V184" s="16">
        <f>0.5*'Gearing Calculator'!$C$15*'Gearing Calculator'!$C$20*'Gearing Calculator'!$W$20*('Track Data'!Q184^2)</f>
        <v>412.24148076361348</v>
      </c>
      <c r="W184" s="16">
        <f>('Gearing Calculator'!$U$9*'Track Data'!T184)+'Track Data'!V184</f>
        <v>-2573.5849621789985</v>
      </c>
      <c r="X184" s="16">
        <f>('Gearing Calculator'!$U$9*9.81)*('Gearing Calculator'!$U$16/'Gearing Calculator'!$C$7)-(('Track Data'!W184)*('Gearing Calculator'!$U$17/'Gearing Calculator'!$C$7))</f>
        <v>2803.9418641121729</v>
      </c>
      <c r="Y184" s="16">
        <f>('Gearing Calculator'!$U$9*9.81)*(('Gearing Calculator'!$C$7-'Gearing Calculator'!$U$16)/'Gearing Calculator'!$C$7)+(('Track Data'!W184)*('Gearing Calculator'!$U$17/'Gearing Calculator'!$C$7))</f>
        <v>-192.51986411217308</v>
      </c>
      <c r="Z184" s="16">
        <f>((X184*COS('Gearing Calculator'!$C$21))/'Gearing Calculator'!$C$22)/2</f>
        <v>86.68901432578356</v>
      </c>
      <c r="AA184" s="16">
        <f>Y184/'Gearing Calculator'!$C$24</f>
        <v>-2.6882230235224247</v>
      </c>
      <c r="AB184" s="16">
        <f t="shared" si="17"/>
        <v>344.94261277843066</v>
      </c>
      <c r="AC184" s="16">
        <v>50</v>
      </c>
      <c r="AD184" s="16">
        <v>0</v>
      </c>
      <c r="AE184" s="16">
        <v>181</v>
      </c>
      <c r="AF184" s="16">
        <f>IF(AC184=0,IF(O184=6,INDEX(Acceleration!$V$4:$V$110,MATCH('Track Data'!S184,Acceleration!$K$4:$K$110,0)),IF('Track Data'!O184=5,INDEX(Acceleration!$U$4:$U$110,MATCH('Track Data'!S184,Acceleration!$K$4:$K$110,0)),1)),U184)</f>
        <v>-11.216477997530474</v>
      </c>
      <c r="AG184" s="16">
        <f>IF(AC184=0,IF(O184=4,INDEX(Acceleration!$T$4:$T$110,MATCH('Track Data'!S184,Acceleration!$K$4:$K$110,0)),IF('Track Data'!O184=3,INDEX(Acceleration!$S$4:$S$110,MATCH('Track Data'!S184,Acceleration!$K$4:$K$110,0)),'Track Data'!AF184)),'Track Data'!U184)</f>
        <v>-11.216477997530474</v>
      </c>
      <c r="AH184" s="16">
        <f>IF(AC184=0,IF(O184=2,INDEX(Acceleration!$R$4:$R$110,MATCH('Track Data'!S184,Acceleration!$K$4:$K$110,0)),IF('Track Data'!O184=1,INDEX(Acceleration!$Q$4:$Q$110,MATCH('Track Data'!S184,Acceleration!$K$4:$K$110,0)),'Track Data'!AG184)),'Track Data'!U184)</f>
        <v>-11.216477997530474</v>
      </c>
    </row>
    <row r="185" spans="2:34" x14ac:dyDescent="0.25">
      <c r="B185" s="16">
        <v>198.91900000000001</v>
      </c>
      <c r="C185" s="16">
        <v>7455</v>
      </c>
      <c r="D185" s="16">
        <v>182</v>
      </c>
      <c r="E185" s="113">
        <v>165</v>
      </c>
      <c r="F185" s="113">
        <v>173.2</v>
      </c>
      <c r="G185" s="113">
        <v>182.6</v>
      </c>
      <c r="H185" s="113">
        <f t="shared" si="18"/>
        <v>50.722222222222221</v>
      </c>
      <c r="I185" s="113">
        <v>-3.8</v>
      </c>
      <c r="J185" s="113">
        <v>90.31</v>
      </c>
      <c r="K185" s="113">
        <v>-16.3</v>
      </c>
      <c r="L185" s="189"/>
      <c r="M185" s="16">
        <v>182</v>
      </c>
      <c r="N185" s="16">
        <f t="shared" si="20"/>
        <v>1.6069536317633863E-2</v>
      </c>
      <c r="O185" s="16">
        <v>6</v>
      </c>
      <c r="P185" s="16">
        <f t="shared" si="15"/>
        <v>7.3113821138211375</v>
      </c>
      <c r="Q185" s="16">
        <f t="shared" si="21"/>
        <v>62.229549144031779</v>
      </c>
      <c r="R185" s="113">
        <f t="shared" si="16"/>
        <v>311.95699999999999</v>
      </c>
      <c r="S185" s="16">
        <f>IF(S184=15800,15800,ROUND((((Q185*60)/'Gearing Calculator'!$C$14)*'Track Data'!P185),-2))</f>
        <v>13800</v>
      </c>
      <c r="T185" s="16">
        <f t="shared" si="19"/>
        <v>-11.216477997530474</v>
      </c>
      <c r="U185" s="16">
        <f>IF(AC185=100,Braking!$AG$2354,IF(AC185=50,Braking!$AG$1179,IF(AC185=75,Braking!$AG$1767,0)))</f>
        <v>-11.216477997530474</v>
      </c>
      <c r="V185" s="16">
        <f>0.5*'Gearing Calculator'!$C$15*'Gearing Calculator'!$C$20*'Gearing Calculator'!$W$20*('Track Data'!Q185^2)</f>
        <v>409.8671767010963</v>
      </c>
      <c r="W185" s="16">
        <f>('Gearing Calculator'!$U$9*'Track Data'!T185)+'Track Data'!V185</f>
        <v>-2575.9592662415153</v>
      </c>
      <c r="X185" s="16">
        <f>('Gearing Calculator'!$U$9*9.81)*('Gearing Calculator'!$U$16/'Gearing Calculator'!$C$7)-(('Track Data'!W185)*('Gearing Calculator'!$U$17/'Gearing Calculator'!$C$7))</f>
        <v>2805.2360219763332</v>
      </c>
      <c r="Y185" s="16">
        <f>('Gearing Calculator'!$U$9*9.81)*(('Gearing Calculator'!$C$7-'Gearing Calculator'!$U$16)/'Gearing Calculator'!$C$7)+(('Track Data'!W185)*('Gearing Calculator'!$U$17/'Gearing Calculator'!$C$7))</f>
        <v>-193.81402197633292</v>
      </c>
      <c r="Z185" s="16">
        <f>((X185*COS('Gearing Calculator'!$C$21))/'Gearing Calculator'!$C$22)/2</f>
        <v>86.729025593870787</v>
      </c>
      <c r="AA185" s="16">
        <f>Y185/'Gearing Calculator'!$C$24</f>
        <v>-2.7062938079713481</v>
      </c>
      <c r="AB185" s="16">
        <f t="shared" si="17"/>
        <v>342.56830871591347</v>
      </c>
      <c r="AC185" s="16">
        <v>50</v>
      </c>
      <c r="AD185" s="16">
        <v>0</v>
      </c>
      <c r="AE185" s="16">
        <v>182</v>
      </c>
      <c r="AF185" s="16">
        <f>IF(AC185=0,IF(O185=6,INDEX(Acceleration!$V$4:$V$110,MATCH('Track Data'!S185,Acceleration!$K$4:$K$110,0)),IF('Track Data'!O185=5,INDEX(Acceleration!$U$4:$U$110,MATCH('Track Data'!S185,Acceleration!$K$4:$K$110,0)),1)),U185)</f>
        <v>-11.216477997530474</v>
      </c>
      <c r="AG185" s="16">
        <f>IF(AC185=0,IF(O185=4,INDEX(Acceleration!$T$4:$T$110,MATCH('Track Data'!S185,Acceleration!$K$4:$K$110,0)),IF('Track Data'!O185=3,INDEX(Acceleration!$S$4:$S$110,MATCH('Track Data'!S185,Acceleration!$K$4:$K$110,0)),'Track Data'!AF185)),'Track Data'!U185)</f>
        <v>-11.216477997530474</v>
      </c>
      <c r="AH185" s="16">
        <f>IF(AC185=0,IF(O185=2,INDEX(Acceleration!$R$4:$R$110,MATCH('Track Data'!S185,Acceleration!$K$4:$K$110,0)),IF('Track Data'!O185=1,INDEX(Acceleration!$Q$4:$Q$110,MATCH('Track Data'!S185,Acceleration!$K$4:$K$110,0)),'Track Data'!AG185)),'Track Data'!U185)</f>
        <v>-11.216477997530474</v>
      </c>
    </row>
    <row r="186" spans="2:34" x14ac:dyDescent="0.25">
      <c r="B186" s="16">
        <v>198.94</v>
      </c>
      <c r="C186" s="16">
        <v>7456</v>
      </c>
      <c r="D186" s="16">
        <v>183</v>
      </c>
      <c r="E186" s="113">
        <v>162</v>
      </c>
      <c r="F186" s="113">
        <v>173.3</v>
      </c>
      <c r="G186" s="113">
        <v>181.6</v>
      </c>
      <c r="H186" s="113">
        <f t="shared" si="18"/>
        <v>50.444444444444443</v>
      </c>
      <c r="I186" s="113">
        <v>-3.8</v>
      </c>
      <c r="J186" s="113">
        <v>90.49</v>
      </c>
      <c r="K186" s="113">
        <v>-15</v>
      </c>
      <c r="L186" s="189"/>
      <c r="M186" s="16">
        <v>183</v>
      </c>
      <c r="N186" s="16">
        <f t="shared" si="20"/>
        <v>1.6116283821859902E-2</v>
      </c>
      <c r="O186" s="16">
        <v>6</v>
      </c>
      <c r="P186" s="16">
        <f t="shared" si="15"/>
        <v>7.3113821138211375</v>
      </c>
      <c r="Q186" s="16">
        <f t="shared" si="21"/>
        <v>62.049043753102318</v>
      </c>
      <c r="R186" s="113">
        <f t="shared" si="16"/>
        <v>311.95699999999999</v>
      </c>
      <c r="S186" s="16">
        <f>IF(S185=15800,15800,ROUND((((Q186*60)/'Gearing Calculator'!$C$14)*'Track Data'!P186),-2))</f>
        <v>13800</v>
      </c>
      <c r="T186" s="16">
        <f t="shared" si="19"/>
        <v>-11.216477997530474</v>
      </c>
      <c r="U186" s="16">
        <f>IF(AC186=100,Braking!$AG$2354,IF(AC186=50,Braking!$AG$1179,IF(AC186=75,Braking!$AG$1767,0)))</f>
        <v>-11.216477997530474</v>
      </c>
      <c r="V186" s="16">
        <f>0.5*'Gearing Calculator'!$C$15*'Gearing Calculator'!$C$20*'Gearing Calculator'!$W$20*('Track Data'!Q186^2)</f>
        <v>407.49287263857906</v>
      </c>
      <c r="W186" s="16">
        <f>('Gearing Calculator'!$U$9*'Track Data'!T186)+'Track Data'!V186</f>
        <v>-2578.3335703040325</v>
      </c>
      <c r="X186" s="16">
        <f>('Gearing Calculator'!$U$9*9.81)*('Gearing Calculator'!$U$16/'Gearing Calculator'!$C$7)-(('Track Data'!W186)*('Gearing Calculator'!$U$17/'Gearing Calculator'!$C$7))</f>
        <v>2806.5301798404926</v>
      </c>
      <c r="Y186" s="16">
        <f>('Gearing Calculator'!$U$9*9.81)*(('Gearing Calculator'!$C$7-'Gearing Calculator'!$U$16)/'Gearing Calculator'!$C$7)+(('Track Data'!W186)*('Gearing Calculator'!$U$17/'Gearing Calculator'!$C$7))</f>
        <v>-195.10817984049277</v>
      </c>
      <c r="Z186" s="16">
        <f>((X186*COS('Gearing Calculator'!$C$21))/'Gearing Calculator'!$C$22)/2</f>
        <v>86.769036861958</v>
      </c>
      <c r="AA186" s="16">
        <f>Y186/'Gearing Calculator'!$C$24</f>
        <v>-2.7243645924202715</v>
      </c>
      <c r="AB186" s="16">
        <f t="shared" si="17"/>
        <v>340.19400465339623</v>
      </c>
      <c r="AC186" s="16">
        <v>50</v>
      </c>
      <c r="AD186" s="16">
        <v>0</v>
      </c>
      <c r="AE186" s="16">
        <v>183</v>
      </c>
      <c r="AF186" s="16">
        <f>IF(AC186=0,IF(O186=6,INDEX(Acceleration!$V$4:$V$110,MATCH('Track Data'!S186,Acceleration!$K$4:$K$110,0)),IF('Track Data'!O186=5,INDEX(Acceleration!$U$4:$U$110,MATCH('Track Data'!S186,Acceleration!$K$4:$K$110,0)),1)),U186)</f>
        <v>-11.216477997530474</v>
      </c>
      <c r="AG186" s="16">
        <f>IF(AC186=0,IF(O186=4,INDEX(Acceleration!$T$4:$T$110,MATCH('Track Data'!S186,Acceleration!$K$4:$K$110,0)),IF('Track Data'!O186=3,INDEX(Acceleration!$S$4:$S$110,MATCH('Track Data'!S186,Acceleration!$K$4:$K$110,0)),'Track Data'!AF186)),'Track Data'!U186)</f>
        <v>-11.216477997530474</v>
      </c>
      <c r="AH186" s="16">
        <f>IF(AC186=0,IF(O186=2,INDEX(Acceleration!$R$4:$R$110,MATCH('Track Data'!S186,Acceleration!$K$4:$K$110,0)),IF('Track Data'!O186=1,INDEX(Acceleration!$Q$4:$Q$110,MATCH('Track Data'!S186,Acceleration!$K$4:$K$110,0)),'Track Data'!AG186)),'Track Data'!U186)</f>
        <v>-11.216477997530474</v>
      </c>
    </row>
    <row r="187" spans="2:34" x14ac:dyDescent="0.25">
      <c r="B187" s="16">
        <v>198.96100000000001</v>
      </c>
      <c r="C187" s="16">
        <v>7457</v>
      </c>
      <c r="D187" s="16">
        <v>184</v>
      </c>
      <c r="E187" s="113">
        <v>160</v>
      </c>
      <c r="F187" s="113">
        <v>173.1</v>
      </c>
      <c r="G187" s="113">
        <v>181</v>
      </c>
      <c r="H187" s="113">
        <f t="shared" si="18"/>
        <v>50.277777777777779</v>
      </c>
      <c r="I187" s="113">
        <v>-3.8</v>
      </c>
      <c r="J187" s="113">
        <v>94.08</v>
      </c>
      <c r="K187" s="113">
        <v>-14.3</v>
      </c>
      <c r="L187" s="189"/>
      <c r="M187" s="16">
        <v>184</v>
      </c>
      <c r="N187" s="16">
        <f t="shared" si="20"/>
        <v>1.6163441690373474E-2</v>
      </c>
      <c r="O187" s="16">
        <v>6</v>
      </c>
      <c r="P187" s="16">
        <f t="shared" si="15"/>
        <v>7.3113821138211375</v>
      </c>
      <c r="Q187" s="16">
        <f t="shared" si="21"/>
        <v>61.868011723986612</v>
      </c>
      <c r="R187" s="113">
        <f t="shared" si="16"/>
        <v>311.95699999999999</v>
      </c>
      <c r="S187" s="16">
        <f>IF(S186=15800,15800,ROUND((((Q187*60)/'Gearing Calculator'!$C$14)*'Track Data'!P187),-2))</f>
        <v>13700</v>
      </c>
      <c r="T187" s="16">
        <f t="shared" si="19"/>
        <v>-12.968079387143963</v>
      </c>
      <c r="U187" s="16">
        <f>IF(AC187=100,Braking!$AG$2354,IF(AC187=50,Braking!$AG$1179,IF(AC187=75,Braking!$AG$1767,0)))</f>
        <v>-12.968079387143963</v>
      </c>
      <c r="V187" s="16">
        <f>0.5*'Gearing Calculator'!$C$15*'Gearing Calculator'!$C$20*'Gearing Calculator'!$W$20*('Track Data'!Q187^2)</f>
        <v>405.11856857606182</v>
      </c>
      <c r="W187" s="16">
        <f>('Gearing Calculator'!$U$9*'Track Data'!T187)+'Track Data'!V187</f>
        <v>-3046.9841642816609</v>
      </c>
      <c r="X187" s="16">
        <f>('Gearing Calculator'!$U$9*9.81)*('Gearing Calculator'!$U$16/'Gearing Calculator'!$C$7)-(('Track Data'!W187)*('Gearing Calculator'!$U$17/'Gearing Calculator'!$C$7))</f>
        <v>3061.9767594569012</v>
      </c>
      <c r="Y187" s="16">
        <f>('Gearing Calculator'!$U$9*9.81)*(('Gearing Calculator'!$C$7-'Gearing Calculator'!$U$16)/'Gearing Calculator'!$C$7)+(('Track Data'!W187)*('Gearing Calculator'!$U$17/'Gearing Calculator'!$C$7))</f>
        <v>-450.55475945690091</v>
      </c>
      <c r="Z187" s="16">
        <f>((X187*COS('Gearing Calculator'!$C$21))/'Gearing Calculator'!$C$22)/2</f>
        <v>94.666637194998756</v>
      </c>
      <c r="AA187" s="16">
        <f>Y187/'Gearing Calculator'!$C$24</f>
        <v>-6.2912556234921269</v>
      </c>
      <c r="AB187" s="16">
        <f t="shared" si="17"/>
        <v>327.31009225319804</v>
      </c>
      <c r="AC187" s="16">
        <v>75</v>
      </c>
      <c r="AD187" s="16">
        <v>0</v>
      </c>
      <c r="AE187" s="16">
        <v>184</v>
      </c>
      <c r="AF187" s="16">
        <f>IF(AC187=0,IF(O187=6,INDEX(Acceleration!$V$4:$V$110,MATCH('Track Data'!S187,Acceleration!$K$4:$K$110,0)),IF('Track Data'!O187=5,INDEX(Acceleration!$U$4:$U$110,MATCH('Track Data'!S187,Acceleration!$K$4:$K$110,0)),1)),U187)</f>
        <v>-12.968079387143963</v>
      </c>
      <c r="AG187" s="16">
        <f>IF(AC187=0,IF(O187=4,INDEX(Acceleration!$T$4:$T$110,MATCH('Track Data'!S187,Acceleration!$K$4:$K$110,0)),IF('Track Data'!O187=3,INDEX(Acceleration!$S$4:$S$110,MATCH('Track Data'!S187,Acceleration!$K$4:$K$110,0)),'Track Data'!AF187)),'Track Data'!U187)</f>
        <v>-12.968079387143963</v>
      </c>
      <c r="AH187" s="16">
        <f>IF(AC187=0,IF(O187=2,INDEX(Acceleration!$R$4:$R$110,MATCH('Track Data'!S187,Acceleration!$K$4:$K$110,0)),IF('Track Data'!O187=1,INDEX(Acceleration!$Q$4:$Q$110,MATCH('Track Data'!S187,Acceleration!$K$4:$K$110,0)),'Track Data'!AG187)),'Track Data'!U187)</f>
        <v>-12.968079387143963</v>
      </c>
    </row>
    <row r="188" spans="2:34" x14ac:dyDescent="0.25">
      <c r="B188" s="16">
        <v>198.98099999999999</v>
      </c>
      <c r="C188" s="16">
        <v>7458</v>
      </c>
      <c r="D188" s="16">
        <v>185</v>
      </c>
      <c r="E188" s="113">
        <v>158</v>
      </c>
      <c r="F188" s="113">
        <v>172.4</v>
      </c>
      <c r="G188" s="113">
        <v>180.4</v>
      </c>
      <c r="H188" s="113">
        <f t="shared" si="18"/>
        <v>50.111111111111114</v>
      </c>
      <c r="I188" s="113">
        <v>-3.8</v>
      </c>
      <c r="J188" s="113">
        <v>95.2</v>
      </c>
      <c r="K188" s="113">
        <v>-14.3</v>
      </c>
      <c r="L188" s="189"/>
      <c r="M188" s="16">
        <v>185</v>
      </c>
      <c r="N188" s="16">
        <f t="shared" si="20"/>
        <v>1.6218483303244668E-2</v>
      </c>
      <c r="O188" s="16">
        <v>6</v>
      </c>
      <c r="P188" s="16">
        <f t="shared" si="15"/>
        <v>7.3113821138211375</v>
      </c>
      <c r="Q188" s="16">
        <f t="shared" si="21"/>
        <v>61.658046643605708</v>
      </c>
      <c r="R188" s="113">
        <f t="shared" si="16"/>
        <v>311.95699999999999</v>
      </c>
      <c r="S188" s="16">
        <f>IF(S187=15800,15800,ROUND((((Q188*60)/'Gearing Calculator'!$C$14)*'Track Data'!P188),-2))</f>
        <v>13700</v>
      </c>
      <c r="T188" s="16">
        <f t="shared" si="19"/>
        <v>-12.968079387143963</v>
      </c>
      <c r="U188" s="16">
        <f>IF(AC188=100,Braking!$AG$2354,IF(AC188=50,Braking!$AG$1179,IF(AC188=75,Braking!$AG$1767,0)))</f>
        <v>-12.968079387143963</v>
      </c>
      <c r="V188" s="16">
        <f>0.5*'Gearing Calculator'!$C$15*'Gearing Calculator'!$C$20*'Gearing Calculator'!$W$20*('Track Data'!Q188^2)</f>
        <v>402.37348553139117</v>
      </c>
      <c r="W188" s="16">
        <f>('Gearing Calculator'!$U$9*'Track Data'!T188)+'Track Data'!V188</f>
        <v>-3049.7292473263319</v>
      </c>
      <c r="X188" s="16">
        <f>('Gearing Calculator'!$U$9*9.81)*('Gearing Calculator'!$U$16/'Gearing Calculator'!$C$7)-(('Track Data'!W188)*('Gearing Calculator'!$U$17/'Gearing Calculator'!$C$7))</f>
        <v>3063.4730171882156</v>
      </c>
      <c r="Y188" s="16">
        <f>('Gearing Calculator'!$U$9*9.81)*(('Gearing Calculator'!$C$7-'Gearing Calculator'!$U$16)/'Gearing Calculator'!$C$7)+(('Track Data'!W188)*('Gearing Calculator'!$U$17/'Gearing Calculator'!$C$7))</f>
        <v>-452.05101718821561</v>
      </c>
      <c r="Z188" s="16">
        <f>((X188*COS('Gearing Calculator'!$C$21))/'Gearing Calculator'!$C$22)/2</f>
        <v>94.712896751790979</v>
      </c>
      <c r="AA188" s="16">
        <f>Y188/'Gearing Calculator'!$C$24</f>
        <v>-6.3121483999388204</v>
      </c>
      <c r="AB188" s="16">
        <f t="shared" si="17"/>
        <v>324.56500920852739</v>
      </c>
      <c r="AC188" s="16">
        <v>75</v>
      </c>
      <c r="AD188" s="16">
        <v>0</v>
      </c>
      <c r="AE188" s="16">
        <v>185</v>
      </c>
      <c r="AF188" s="16">
        <f>IF(AC188=0,IF(O188=6,INDEX(Acceleration!$V$4:$V$110,MATCH('Track Data'!S188,Acceleration!$K$4:$K$110,0)),IF('Track Data'!O188=5,INDEX(Acceleration!$U$4:$U$110,MATCH('Track Data'!S188,Acceleration!$K$4:$K$110,0)),1)),U188)</f>
        <v>-12.968079387143963</v>
      </c>
      <c r="AG188" s="16">
        <f>IF(AC188=0,IF(O188=4,INDEX(Acceleration!$T$4:$T$110,MATCH('Track Data'!S188,Acceleration!$K$4:$K$110,0)),IF('Track Data'!O188=3,INDEX(Acceleration!$S$4:$S$110,MATCH('Track Data'!S188,Acceleration!$K$4:$K$110,0)),'Track Data'!AF188)),'Track Data'!U188)</f>
        <v>-12.968079387143963</v>
      </c>
      <c r="AH188" s="16">
        <f>IF(AC188=0,IF(O188=2,INDEX(Acceleration!$R$4:$R$110,MATCH('Track Data'!S188,Acceleration!$K$4:$K$110,0)),IF('Track Data'!O188=1,INDEX(Acceleration!$Q$4:$Q$110,MATCH('Track Data'!S188,Acceleration!$K$4:$K$110,0)),'Track Data'!AG188)),'Track Data'!U188)</f>
        <v>-12.968079387143963</v>
      </c>
    </row>
    <row r="189" spans="2:34" x14ac:dyDescent="0.25">
      <c r="B189" s="16">
        <v>199.00200000000001</v>
      </c>
      <c r="C189" s="16">
        <v>7459</v>
      </c>
      <c r="D189" s="16">
        <v>186</v>
      </c>
      <c r="E189" s="113">
        <v>156</v>
      </c>
      <c r="F189" s="113">
        <v>171.9</v>
      </c>
      <c r="G189" s="113">
        <v>179.8</v>
      </c>
      <c r="H189" s="113">
        <f t="shared" si="18"/>
        <v>49.944444444444443</v>
      </c>
      <c r="I189" s="113">
        <v>-3.8</v>
      </c>
      <c r="J189" s="113">
        <v>95.22</v>
      </c>
      <c r="K189" s="113">
        <v>-14.3</v>
      </c>
      <c r="L189" s="189"/>
      <c r="M189" s="16">
        <v>186</v>
      </c>
      <c r="N189" s="16">
        <f t="shared" si="20"/>
        <v>1.6274091075232637E-2</v>
      </c>
      <c r="O189" s="16">
        <v>6</v>
      </c>
      <c r="P189" s="16">
        <f t="shared" si="15"/>
        <v>7.3113821138211375</v>
      </c>
      <c r="Q189" s="16">
        <f t="shared" si="21"/>
        <v>61.447364118656623</v>
      </c>
      <c r="R189" s="113">
        <f t="shared" si="16"/>
        <v>311.95699999999999</v>
      </c>
      <c r="S189" s="16">
        <f>IF(S188=15800,15800,ROUND((((Q189*60)/'Gearing Calculator'!$C$14)*'Track Data'!P189),-2))</f>
        <v>13600</v>
      </c>
      <c r="T189" s="16">
        <f t="shared" si="19"/>
        <v>-12.968079387143963</v>
      </c>
      <c r="U189" s="16">
        <f>IF(AC189=100,Braking!$AG$2354,IF(AC189=50,Braking!$AG$1179,IF(AC189=75,Braking!$AG$1767,0)))</f>
        <v>-12.968079387143963</v>
      </c>
      <c r="V189" s="16">
        <f>0.5*'Gearing Calculator'!$C$15*'Gearing Calculator'!$C$20*'Gearing Calculator'!$W$20*('Track Data'!Q189^2)</f>
        <v>399.62840248672063</v>
      </c>
      <c r="W189" s="16">
        <f>('Gearing Calculator'!$U$9*'Track Data'!T189)+'Track Data'!V189</f>
        <v>-3052.4743303710025</v>
      </c>
      <c r="X189" s="16">
        <f>('Gearing Calculator'!$U$9*9.81)*('Gearing Calculator'!$U$16/'Gearing Calculator'!$C$7)-(('Track Data'!W189)*('Gearing Calculator'!$U$17/'Gearing Calculator'!$C$7))</f>
        <v>3064.9692749195301</v>
      </c>
      <c r="Y189" s="16">
        <f>('Gearing Calculator'!$U$9*9.81)*(('Gearing Calculator'!$C$7-'Gearing Calculator'!$U$16)/'Gearing Calculator'!$C$7)+(('Track Data'!W189)*('Gearing Calculator'!$U$17/'Gearing Calculator'!$C$7))</f>
        <v>-453.54727491952985</v>
      </c>
      <c r="Z189" s="16">
        <f>((X189*COS('Gearing Calculator'!$C$21))/'Gearing Calculator'!$C$22)/2</f>
        <v>94.759156308583201</v>
      </c>
      <c r="AA189" s="16">
        <f>Y189/'Gearing Calculator'!$C$24</f>
        <v>-6.3330411763855086</v>
      </c>
      <c r="AB189" s="16">
        <f t="shared" si="17"/>
        <v>321.81992616385685</v>
      </c>
      <c r="AC189" s="16">
        <v>75</v>
      </c>
      <c r="AD189" s="16">
        <v>0</v>
      </c>
      <c r="AE189" s="16">
        <v>186</v>
      </c>
      <c r="AF189" s="16">
        <f>IF(AC189=0,IF(O189=6,INDEX(Acceleration!$V$4:$V$110,MATCH('Track Data'!S189,Acceleration!$K$4:$K$110,0)),IF('Track Data'!O189=5,INDEX(Acceleration!$U$4:$U$110,MATCH('Track Data'!S189,Acceleration!$K$4:$K$110,0)),1)),U189)</f>
        <v>-12.968079387143963</v>
      </c>
      <c r="AG189" s="16">
        <f>IF(AC189=0,IF(O189=4,INDEX(Acceleration!$T$4:$T$110,MATCH('Track Data'!S189,Acceleration!$K$4:$K$110,0)),IF('Track Data'!O189=3,INDEX(Acceleration!$S$4:$S$110,MATCH('Track Data'!S189,Acceleration!$K$4:$K$110,0)),'Track Data'!AF189)),'Track Data'!U189)</f>
        <v>-12.968079387143963</v>
      </c>
      <c r="AH189" s="16">
        <f>IF(AC189=0,IF(O189=2,INDEX(Acceleration!$R$4:$R$110,MATCH('Track Data'!S189,Acceleration!$K$4:$K$110,0)),IF('Track Data'!O189=1,INDEX(Acceleration!$Q$4:$Q$110,MATCH('Track Data'!S189,Acceleration!$K$4:$K$110,0)),'Track Data'!AG189)),'Track Data'!U189)</f>
        <v>-12.968079387143963</v>
      </c>
    </row>
    <row r="190" spans="2:34" x14ac:dyDescent="0.25">
      <c r="B190" s="16">
        <v>199.023</v>
      </c>
      <c r="C190" s="16">
        <v>7460</v>
      </c>
      <c r="D190" s="16">
        <v>187</v>
      </c>
      <c r="E190" s="113">
        <v>154</v>
      </c>
      <c r="F190" s="113">
        <v>171.6</v>
      </c>
      <c r="G190" s="113">
        <v>179.3</v>
      </c>
      <c r="H190" s="113">
        <f t="shared" si="18"/>
        <v>49.805555555555557</v>
      </c>
      <c r="I190" s="113">
        <v>-3.8</v>
      </c>
      <c r="J190" s="113">
        <v>95.24</v>
      </c>
      <c r="K190" s="113">
        <v>-14.3</v>
      </c>
      <c r="L190" s="189"/>
      <c r="M190" s="16">
        <v>187</v>
      </c>
      <c r="N190" s="16">
        <f t="shared" si="20"/>
        <v>1.6330274779245979E-2</v>
      </c>
      <c r="O190" s="16">
        <v>6</v>
      </c>
      <c r="P190" s="16">
        <f t="shared" si="15"/>
        <v>7.3113821138211375</v>
      </c>
      <c r="Q190" s="16">
        <f t="shared" si="21"/>
        <v>61.235956744028108</v>
      </c>
      <c r="R190" s="113">
        <f t="shared" si="16"/>
        <v>311.95699999999999</v>
      </c>
      <c r="S190" s="16">
        <f>IF(S189=15800,15800,ROUND((((Q190*60)/'Gearing Calculator'!$C$14)*'Track Data'!P190),-2))</f>
        <v>13600</v>
      </c>
      <c r="T190" s="16">
        <f t="shared" si="19"/>
        <v>-12.968079387143963</v>
      </c>
      <c r="U190" s="16">
        <f>IF(AC190=100,Braking!$AG$2354,IF(AC190=50,Braking!$AG$1179,IF(AC190=75,Braking!$AG$1767,0)))</f>
        <v>-12.968079387143963</v>
      </c>
      <c r="V190" s="16">
        <f>0.5*'Gearing Calculator'!$C$15*'Gearing Calculator'!$C$20*'Gearing Calculator'!$W$20*('Track Data'!Q190^2)</f>
        <v>396.88331944204998</v>
      </c>
      <c r="W190" s="16">
        <f>('Gearing Calculator'!$U$9*'Track Data'!T190)+'Track Data'!V190</f>
        <v>-3055.219413415673</v>
      </c>
      <c r="X190" s="16">
        <f>('Gearing Calculator'!$U$9*9.81)*('Gearing Calculator'!$U$16/'Gearing Calculator'!$C$7)-(('Track Data'!W190)*('Gearing Calculator'!$U$17/'Gearing Calculator'!$C$7))</f>
        <v>3066.4655326508446</v>
      </c>
      <c r="Y190" s="16">
        <f>('Gearing Calculator'!$U$9*9.81)*(('Gearing Calculator'!$C$7-'Gearing Calculator'!$U$16)/'Gearing Calculator'!$C$7)+(('Track Data'!W190)*('Gearing Calculator'!$U$17/'Gearing Calculator'!$C$7))</f>
        <v>-455.04353265084433</v>
      </c>
      <c r="Z190" s="16">
        <f>((X190*COS('Gearing Calculator'!$C$21))/'Gearing Calculator'!$C$22)/2</f>
        <v>94.805415865375423</v>
      </c>
      <c r="AA190" s="16">
        <f>Y190/'Gearing Calculator'!$C$24</f>
        <v>-6.3539339528322003</v>
      </c>
      <c r="AB190" s="16">
        <f t="shared" si="17"/>
        <v>319.0748431191862</v>
      </c>
      <c r="AC190" s="16">
        <v>75</v>
      </c>
      <c r="AD190" s="16">
        <v>0</v>
      </c>
      <c r="AE190" s="16">
        <v>187</v>
      </c>
      <c r="AF190" s="16">
        <f>IF(AC190=0,IF(O190=6,INDEX(Acceleration!$V$4:$V$110,MATCH('Track Data'!S190,Acceleration!$K$4:$K$110,0)),IF('Track Data'!O190=5,INDEX(Acceleration!$U$4:$U$110,MATCH('Track Data'!S190,Acceleration!$K$4:$K$110,0)),1)),U190)</f>
        <v>-12.968079387143963</v>
      </c>
      <c r="AG190" s="16">
        <f>IF(AC190=0,IF(O190=4,INDEX(Acceleration!$T$4:$T$110,MATCH('Track Data'!S190,Acceleration!$K$4:$K$110,0)),IF('Track Data'!O190=3,INDEX(Acceleration!$S$4:$S$110,MATCH('Track Data'!S190,Acceleration!$K$4:$K$110,0)),'Track Data'!AF190)),'Track Data'!U190)</f>
        <v>-12.968079387143963</v>
      </c>
      <c r="AH190" s="16">
        <f>IF(AC190=0,IF(O190=2,INDEX(Acceleration!$R$4:$R$110,MATCH('Track Data'!S190,Acceleration!$K$4:$K$110,0)),IF('Track Data'!O190=1,INDEX(Acceleration!$Q$4:$Q$110,MATCH('Track Data'!S190,Acceleration!$K$4:$K$110,0)),'Track Data'!AG190)),'Track Data'!U190)</f>
        <v>-12.968079387143963</v>
      </c>
    </row>
    <row r="191" spans="2:34" x14ac:dyDescent="0.25">
      <c r="B191" s="16">
        <v>199.04400000000001</v>
      </c>
      <c r="C191" s="16">
        <v>7461</v>
      </c>
      <c r="D191" s="16">
        <v>188</v>
      </c>
      <c r="E191" s="113">
        <v>153</v>
      </c>
      <c r="F191" s="113">
        <v>171.1</v>
      </c>
      <c r="G191" s="113">
        <v>178.6</v>
      </c>
      <c r="H191" s="113">
        <f t="shared" si="18"/>
        <v>49.611111111111107</v>
      </c>
      <c r="I191" s="113">
        <v>-3.8</v>
      </c>
      <c r="J191" s="113">
        <v>95.69</v>
      </c>
      <c r="K191" s="113">
        <v>-14.3</v>
      </c>
      <c r="L191" s="189"/>
      <c r="M191" s="16">
        <v>188</v>
      </c>
      <c r="N191" s="16">
        <f t="shared" si="20"/>
        <v>1.6387044426012614E-2</v>
      </c>
      <c r="O191" s="16">
        <v>6</v>
      </c>
      <c r="P191" s="16">
        <f t="shared" si="15"/>
        <v>7.3113821138211375</v>
      </c>
      <c r="Q191" s="16">
        <f t="shared" si="21"/>
        <v>61.023816986338979</v>
      </c>
      <c r="R191" s="113">
        <f t="shared" si="16"/>
        <v>311.95699999999999</v>
      </c>
      <c r="S191" s="16">
        <f>IF(S190=15800,15800,ROUND((((Q191*60)/'Gearing Calculator'!$C$14)*'Track Data'!P191),-2))</f>
        <v>13500</v>
      </c>
      <c r="T191" s="16">
        <f t="shared" si="19"/>
        <v>-12.968079387143963</v>
      </c>
      <c r="U191" s="16">
        <f>IF(AC191=100,Braking!$AG$2354,IF(AC191=50,Braking!$AG$1179,IF(AC191=75,Braking!$AG$1767,0)))</f>
        <v>-12.968079387143963</v>
      </c>
      <c r="V191" s="16">
        <f>0.5*'Gearing Calculator'!$C$15*'Gearing Calculator'!$C$20*'Gearing Calculator'!$W$20*('Track Data'!Q191^2)</f>
        <v>394.13823639737933</v>
      </c>
      <c r="W191" s="16">
        <f>('Gearing Calculator'!$U$9*'Track Data'!T191)+'Track Data'!V191</f>
        <v>-3057.9644964603435</v>
      </c>
      <c r="X191" s="16">
        <f>('Gearing Calculator'!$U$9*9.81)*('Gearing Calculator'!$U$16/'Gearing Calculator'!$C$7)-(('Track Data'!W191)*('Gearing Calculator'!$U$17/'Gearing Calculator'!$C$7))</f>
        <v>3067.9617903821586</v>
      </c>
      <c r="Y191" s="16">
        <f>('Gearing Calculator'!$U$9*9.81)*(('Gearing Calculator'!$C$7-'Gearing Calculator'!$U$16)/'Gearing Calculator'!$C$7)+(('Track Data'!W191)*('Gearing Calculator'!$U$17/'Gearing Calculator'!$C$7))</f>
        <v>-456.53979038215857</v>
      </c>
      <c r="Z191" s="16">
        <f>((X191*COS('Gearing Calculator'!$C$21))/'Gearing Calculator'!$C$22)/2</f>
        <v>94.851675422167645</v>
      </c>
      <c r="AA191" s="16">
        <f>Y191/'Gearing Calculator'!$C$24</f>
        <v>-6.3748267292788876</v>
      </c>
      <c r="AB191" s="16">
        <f t="shared" si="17"/>
        <v>316.32976007451555</v>
      </c>
      <c r="AC191" s="16">
        <v>75</v>
      </c>
      <c r="AD191" s="16">
        <v>0</v>
      </c>
      <c r="AE191" s="16">
        <v>188</v>
      </c>
      <c r="AF191" s="16">
        <f>IF(AC191=0,IF(O191=6,INDEX(Acceleration!$V$4:$V$110,MATCH('Track Data'!S191,Acceleration!$K$4:$K$110,0)),IF('Track Data'!O191=5,INDEX(Acceleration!$U$4:$U$110,MATCH('Track Data'!S191,Acceleration!$K$4:$K$110,0)),1)),U191)</f>
        <v>-12.968079387143963</v>
      </c>
      <c r="AG191" s="16">
        <f>IF(AC191=0,IF(O191=4,INDEX(Acceleration!$T$4:$T$110,MATCH('Track Data'!S191,Acceleration!$K$4:$K$110,0)),IF('Track Data'!O191=3,INDEX(Acceleration!$S$4:$S$110,MATCH('Track Data'!S191,Acceleration!$K$4:$K$110,0)),'Track Data'!AF191)),'Track Data'!U191)</f>
        <v>-12.968079387143963</v>
      </c>
      <c r="AH191" s="16">
        <f>IF(AC191=0,IF(O191=2,INDEX(Acceleration!$R$4:$R$110,MATCH('Track Data'!S191,Acceleration!$K$4:$K$110,0)),IF('Track Data'!O191=1,INDEX(Acceleration!$Q$4:$Q$110,MATCH('Track Data'!S191,Acceleration!$K$4:$K$110,0)),'Track Data'!AG191)),'Track Data'!U191)</f>
        <v>-12.968079387143963</v>
      </c>
    </row>
    <row r="192" spans="2:34" x14ac:dyDescent="0.25">
      <c r="B192" s="16">
        <v>199.06399999999999</v>
      </c>
      <c r="C192" s="16">
        <v>7462</v>
      </c>
      <c r="D192" s="16">
        <v>189</v>
      </c>
      <c r="E192" s="113">
        <v>154</v>
      </c>
      <c r="F192" s="113">
        <v>170.5</v>
      </c>
      <c r="G192" s="113">
        <v>178</v>
      </c>
      <c r="H192" s="113">
        <f t="shared" si="18"/>
        <v>49.444444444444443</v>
      </c>
      <c r="I192" s="113">
        <v>-3.5</v>
      </c>
      <c r="J192" s="113">
        <v>96.04</v>
      </c>
      <c r="K192" s="113">
        <v>-14.1</v>
      </c>
      <c r="L192" s="189"/>
      <c r="M192" s="16">
        <v>189</v>
      </c>
      <c r="N192" s="16">
        <f t="shared" si="20"/>
        <v>1.6444410271572622E-2</v>
      </c>
      <c r="O192" s="16">
        <v>6</v>
      </c>
      <c r="P192" s="16">
        <f t="shared" si="15"/>
        <v>7.3113821138211375</v>
      </c>
      <c r="Q192" s="16">
        <f t="shared" si="21"/>
        <v>60.810937180805773</v>
      </c>
      <c r="R192" s="113">
        <f t="shared" si="16"/>
        <v>311.95699999999999</v>
      </c>
      <c r="S192" s="16">
        <f>IF(S191=15800,15800,ROUND((((Q192*60)/'Gearing Calculator'!$C$14)*'Track Data'!P192),-2))</f>
        <v>13500</v>
      </c>
      <c r="T192" s="16">
        <f t="shared" si="19"/>
        <v>-12.968079387143963</v>
      </c>
      <c r="U192" s="16">
        <f>IF(AC192=100,Braking!$AG$2354,IF(AC192=50,Braking!$AG$1179,IF(AC192=75,Braking!$AG$1767,0)))</f>
        <v>-12.968079387143963</v>
      </c>
      <c r="V192" s="16">
        <f>0.5*'Gearing Calculator'!$C$15*'Gearing Calculator'!$C$20*'Gearing Calculator'!$W$20*('Track Data'!Q192^2)</f>
        <v>391.39315335270874</v>
      </c>
      <c r="W192" s="16">
        <f>('Gearing Calculator'!$U$9*'Track Data'!T192)+'Track Data'!V192</f>
        <v>-3060.7095795050141</v>
      </c>
      <c r="X192" s="16">
        <f>('Gearing Calculator'!$U$9*9.81)*('Gearing Calculator'!$U$16/'Gearing Calculator'!$C$7)-(('Track Data'!W192)*('Gearing Calculator'!$U$17/'Gearing Calculator'!$C$7))</f>
        <v>3069.4580481134731</v>
      </c>
      <c r="Y192" s="16">
        <f>('Gearing Calculator'!$U$9*9.81)*(('Gearing Calculator'!$C$7-'Gearing Calculator'!$U$16)/'Gearing Calculator'!$C$7)+(('Track Data'!W192)*('Gearing Calculator'!$U$17/'Gearing Calculator'!$C$7))</f>
        <v>-458.03604811347304</v>
      </c>
      <c r="Z192" s="16">
        <f>((X192*COS('Gearing Calculator'!$C$21))/'Gearing Calculator'!$C$22)/2</f>
        <v>94.897934978959867</v>
      </c>
      <c r="AA192" s="16">
        <f>Y192/'Gearing Calculator'!$C$24</f>
        <v>-6.3957195057255793</v>
      </c>
      <c r="AB192" s="16">
        <f t="shared" si="17"/>
        <v>313.58467702984495</v>
      </c>
      <c r="AC192" s="16">
        <v>75</v>
      </c>
      <c r="AD192" s="16">
        <v>0</v>
      </c>
      <c r="AE192" s="16">
        <v>189</v>
      </c>
      <c r="AF192" s="16">
        <f>IF(AC192=0,IF(O192=6,INDEX(Acceleration!$V$4:$V$110,MATCH('Track Data'!S192,Acceleration!$K$4:$K$110,0)),IF('Track Data'!O192=5,INDEX(Acceleration!$U$4:$U$110,MATCH('Track Data'!S192,Acceleration!$K$4:$K$110,0)),1)),U192)</f>
        <v>-12.968079387143963</v>
      </c>
      <c r="AG192" s="16">
        <f>IF(AC192=0,IF(O192=4,INDEX(Acceleration!$T$4:$T$110,MATCH('Track Data'!S192,Acceleration!$K$4:$K$110,0)),IF('Track Data'!O192=3,INDEX(Acceleration!$S$4:$S$110,MATCH('Track Data'!S192,Acceleration!$K$4:$K$110,0)),'Track Data'!AF192)),'Track Data'!U192)</f>
        <v>-12.968079387143963</v>
      </c>
      <c r="AH192" s="16">
        <f>IF(AC192=0,IF(O192=2,INDEX(Acceleration!$R$4:$R$110,MATCH('Track Data'!S192,Acceleration!$K$4:$K$110,0)),IF('Track Data'!O192=1,INDEX(Acceleration!$Q$4:$Q$110,MATCH('Track Data'!S192,Acceleration!$K$4:$K$110,0)),'Track Data'!AG192)),'Track Data'!U192)</f>
        <v>-12.968079387143963</v>
      </c>
    </row>
    <row r="193" spans="2:34" x14ac:dyDescent="0.25">
      <c r="B193" s="16">
        <v>199.08600000000001</v>
      </c>
      <c r="C193" s="16">
        <v>7463</v>
      </c>
      <c r="D193" s="16">
        <v>190</v>
      </c>
      <c r="E193" s="113">
        <v>154</v>
      </c>
      <c r="F193" s="113">
        <v>169.6</v>
      </c>
      <c r="G193" s="113">
        <v>177.3</v>
      </c>
      <c r="H193" s="113">
        <f t="shared" si="18"/>
        <v>49.25</v>
      </c>
      <c r="I193" s="113">
        <v>-2.4</v>
      </c>
      <c r="J193" s="113">
        <v>98.27</v>
      </c>
      <c r="K193" s="113">
        <v>-13.9</v>
      </c>
      <c r="L193" s="189"/>
      <c r="M193" s="16">
        <v>190</v>
      </c>
      <c r="N193" s="16">
        <f t="shared" si="20"/>
        <v>1.6502382825061657E-2</v>
      </c>
      <c r="O193" s="16">
        <v>6</v>
      </c>
      <c r="P193" s="16">
        <f t="shared" si="15"/>
        <v>7.3113821138211375</v>
      </c>
      <c r="Q193" s="16">
        <f t="shared" si="21"/>
        <v>60.597309528011372</v>
      </c>
      <c r="R193" s="113">
        <f t="shared" si="16"/>
        <v>311.95699999999999</v>
      </c>
      <c r="S193" s="16">
        <f>IF(S192=15800,15800,ROUND((((Q193*60)/'Gearing Calculator'!$C$14)*'Track Data'!P193),-2))</f>
        <v>13400</v>
      </c>
      <c r="T193" s="16">
        <f t="shared" si="19"/>
        <v>-12.968079387143963</v>
      </c>
      <c r="U193" s="16">
        <f>IF(AC193=100,Braking!$AG$2354,IF(AC193=50,Braking!$AG$1179,IF(AC193=75,Braking!$AG$1767,0)))</f>
        <v>-12.968079387143963</v>
      </c>
      <c r="V193" s="16">
        <f>0.5*'Gearing Calculator'!$C$15*'Gearing Calculator'!$C$20*'Gearing Calculator'!$W$20*('Track Data'!Q193^2)</f>
        <v>388.64807030803809</v>
      </c>
      <c r="W193" s="16">
        <f>('Gearing Calculator'!$U$9*'Track Data'!T193)+'Track Data'!V193</f>
        <v>-3063.4546625496851</v>
      </c>
      <c r="X193" s="16">
        <f>('Gearing Calculator'!$U$9*9.81)*('Gearing Calculator'!$U$16/'Gearing Calculator'!$C$7)-(('Track Data'!W193)*('Gearing Calculator'!$U$17/'Gearing Calculator'!$C$7))</f>
        <v>3070.9543058447875</v>
      </c>
      <c r="Y193" s="16">
        <f>('Gearing Calculator'!$U$9*9.81)*(('Gearing Calculator'!$C$7-'Gearing Calculator'!$U$16)/'Gearing Calculator'!$C$7)+(('Track Data'!W193)*('Gearing Calculator'!$U$17/'Gearing Calculator'!$C$7))</f>
        <v>-459.53230584478752</v>
      </c>
      <c r="Z193" s="16">
        <f>((X193*COS('Gearing Calculator'!$C$21))/'Gearing Calculator'!$C$22)/2</f>
        <v>94.944194535752089</v>
      </c>
      <c r="AA193" s="16">
        <f>Y193/'Gearing Calculator'!$C$24</f>
        <v>-6.4166122821722702</v>
      </c>
      <c r="AB193" s="16">
        <f t="shared" si="17"/>
        <v>310.8395939851743</v>
      </c>
      <c r="AC193" s="16">
        <v>75</v>
      </c>
      <c r="AD193" s="16">
        <v>0</v>
      </c>
      <c r="AE193" s="16">
        <v>190</v>
      </c>
      <c r="AF193" s="16">
        <f>IF(AC193=0,IF(O193=6,INDEX(Acceleration!$V$4:$V$110,MATCH('Track Data'!S193,Acceleration!$K$4:$K$110,0)),IF('Track Data'!O193=5,INDEX(Acceleration!$U$4:$U$110,MATCH('Track Data'!S193,Acceleration!$K$4:$K$110,0)),1)),U193)</f>
        <v>-12.968079387143963</v>
      </c>
      <c r="AG193" s="16">
        <f>IF(AC193=0,IF(O193=4,INDEX(Acceleration!$T$4:$T$110,MATCH('Track Data'!S193,Acceleration!$K$4:$K$110,0)),IF('Track Data'!O193=3,INDEX(Acceleration!$S$4:$S$110,MATCH('Track Data'!S193,Acceleration!$K$4:$K$110,0)),'Track Data'!AF193)),'Track Data'!U193)</f>
        <v>-12.968079387143963</v>
      </c>
      <c r="AH193" s="16">
        <f>IF(AC193=0,IF(O193=2,INDEX(Acceleration!$R$4:$R$110,MATCH('Track Data'!S193,Acceleration!$K$4:$K$110,0)),IF('Track Data'!O193=1,INDEX(Acceleration!$Q$4:$Q$110,MATCH('Track Data'!S193,Acceleration!$K$4:$K$110,0)),'Track Data'!AG193)),'Track Data'!U193)</f>
        <v>-12.968079387143963</v>
      </c>
    </row>
    <row r="194" spans="2:34" x14ac:dyDescent="0.25">
      <c r="B194" s="16">
        <v>199.107</v>
      </c>
      <c r="C194" s="16">
        <v>7464</v>
      </c>
      <c r="D194" s="16">
        <v>191</v>
      </c>
      <c r="E194" s="113">
        <v>155</v>
      </c>
      <c r="F194" s="113">
        <v>168.2</v>
      </c>
      <c r="G194" s="113">
        <v>176.7</v>
      </c>
      <c r="H194" s="113">
        <f t="shared" si="18"/>
        <v>49.083333333333329</v>
      </c>
      <c r="I194" s="113">
        <v>-1.7</v>
      </c>
      <c r="J194" s="113">
        <v>100.76</v>
      </c>
      <c r="K194" s="113">
        <v>-13.7</v>
      </c>
      <c r="L194" s="189"/>
      <c r="M194" s="16">
        <v>191</v>
      </c>
      <c r="N194" s="16">
        <f t="shared" si="20"/>
        <v>1.6560972856798299E-2</v>
      </c>
      <c r="O194" s="16">
        <v>6</v>
      </c>
      <c r="P194" s="16">
        <f t="shared" si="15"/>
        <v>7.3113821138211375</v>
      </c>
      <c r="Q194" s="16">
        <f t="shared" si="21"/>
        <v>60.382926090570749</v>
      </c>
      <c r="R194" s="113">
        <f t="shared" si="16"/>
        <v>311.95699999999999</v>
      </c>
      <c r="S194" s="16">
        <f>IF(S193=15800,15800,ROUND((((Q194*60)/'Gearing Calculator'!$C$14)*'Track Data'!P194),-2))</f>
        <v>13400</v>
      </c>
      <c r="T194" s="16">
        <f t="shared" si="19"/>
        <v>-12.968079387143963</v>
      </c>
      <c r="U194" s="16">
        <f>IF(AC194=100,Braking!$AG$2354,IF(AC194=50,Braking!$AG$1179,IF(AC194=75,Braking!$AG$1767,0)))</f>
        <v>-12.968079387143963</v>
      </c>
      <c r="V194" s="16">
        <f>0.5*'Gearing Calculator'!$C$15*'Gearing Calculator'!$C$20*'Gearing Calculator'!$W$20*('Track Data'!Q194^2)</f>
        <v>385.90298726336738</v>
      </c>
      <c r="W194" s="16">
        <f>('Gearing Calculator'!$U$9*'Track Data'!T194)+'Track Data'!V194</f>
        <v>-3066.1997455943556</v>
      </c>
      <c r="X194" s="16">
        <f>('Gearing Calculator'!$U$9*9.81)*('Gearing Calculator'!$U$16/'Gearing Calculator'!$C$7)-(('Track Data'!W194)*('Gearing Calculator'!$U$17/'Gearing Calculator'!$C$7))</f>
        <v>3072.450563576102</v>
      </c>
      <c r="Y194" s="16">
        <f>('Gearing Calculator'!$U$9*9.81)*(('Gearing Calculator'!$C$7-'Gearing Calculator'!$U$16)/'Gearing Calculator'!$C$7)+(('Track Data'!W194)*('Gearing Calculator'!$U$17/'Gearing Calculator'!$C$7))</f>
        <v>-461.02856357610199</v>
      </c>
      <c r="Z194" s="16">
        <f>((X194*COS('Gearing Calculator'!$C$21))/'Gearing Calculator'!$C$22)/2</f>
        <v>94.990454092544311</v>
      </c>
      <c r="AA194" s="16">
        <f>Y194/'Gearing Calculator'!$C$24</f>
        <v>-6.4375050586189611</v>
      </c>
      <c r="AB194" s="16">
        <f t="shared" si="17"/>
        <v>308.0945109405036</v>
      </c>
      <c r="AC194" s="16">
        <v>75</v>
      </c>
      <c r="AD194" s="16">
        <v>0</v>
      </c>
      <c r="AE194" s="16">
        <v>191</v>
      </c>
      <c r="AF194" s="16">
        <f>IF(AC194=0,IF(O194=6,INDEX(Acceleration!$V$4:$V$110,MATCH('Track Data'!S194,Acceleration!$K$4:$K$110,0)),IF('Track Data'!O194=5,INDEX(Acceleration!$U$4:$U$110,MATCH('Track Data'!S194,Acceleration!$K$4:$K$110,0)),1)),U194)</f>
        <v>-12.968079387143963</v>
      </c>
      <c r="AG194" s="16">
        <f>IF(AC194=0,IF(O194=4,INDEX(Acceleration!$T$4:$T$110,MATCH('Track Data'!S194,Acceleration!$K$4:$K$110,0)),IF('Track Data'!O194=3,INDEX(Acceleration!$S$4:$S$110,MATCH('Track Data'!S194,Acceleration!$K$4:$K$110,0)),'Track Data'!AF194)),'Track Data'!U194)</f>
        <v>-12.968079387143963</v>
      </c>
      <c r="AH194" s="16">
        <f>IF(AC194=0,IF(O194=2,INDEX(Acceleration!$R$4:$R$110,MATCH('Track Data'!S194,Acceleration!$K$4:$K$110,0)),IF('Track Data'!O194=1,INDEX(Acceleration!$Q$4:$Q$110,MATCH('Track Data'!S194,Acceleration!$K$4:$K$110,0)),'Track Data'!AG194)),'Track Data'!U194)</f>
        <v>-12.968079387143963</v>
      </c>
    </row>
    <row r="195" spans="2:34" x14ac:dyDescent="0.25">
      <c r="B195" s="16">
        <v>199.12799999999999</v>
      </c>
      <c r="C195" s="16">
        <v>7465</v>
      </c>
      <c r="D195" s="16">
        <v>192</v>
      </c>
      <c r="E195" s="113">
        <v>156</v>
      </c>
      <c r="F195" s="113">
        <v>166.9</v>
      </c>
      <c r="G195" s="113">
        <v>176</v>
      </c>
      <c r="H195" s="113">
        <f t="shared" si="18"/>
        <v>48.888888888888886</v>
      </c>
      <c r="I195" s="113">
        <v>-2.1</v>
      </c>
      <c r="J195" s="113">
        <v>103.3</v>
      </c>
      <c r="K195" s="113">
        <v>-13.1</v>
      </c>
      <c r="L195" s="189"/>
      <c r="M195" s="16">
        <v>192</v>
      </c>
      <c r="N195" s="16">
        <f t="shared" si="20"/>
        <v>1.6620191406689556E-2</v>
      </c>
      <c r="O195" s="16">
        <v>6</v>
      </c>
      <c r="P195" s="16">
        <f t="shared" si="15"/>
        <v>7.3113821138211375</v>
      </c>
      <c r="Q195" s="16">
        <f t="shared" si="21"/>
        <v>60.167778789689763</v>
      </c>
      <c r="R195" s="113">
        <f t="shared" si="16"/>
        <v>311.95699999999999</v>
      </c>
      <c r="S195" s="16">
        <f>IF(S194=15800,15800,ROUND((((Q195*60)/'Gearing Calculator'!$C$14)*'Track Data'!P195),-2))</f>
        <v>13300</v>
      </c>
      <c r="T195" s="16">
        <f t="shared" si="19"/>
        <v>-12.968079387143963</v>
      </c>
      <c r="U195" s="16">
        <f>IF(AC195=100,Braking!$AG$2354,IF(AC195=50,Braking!$AG$1179,IF(AC195=75,Braking!$AG$1767,0)))</f>
        <v>-12.968079387143963</v>
      </c>
      <c r="V195" s="16">
        <f>0.5*'Gearing Calculator'!$C$15*'Gearing Calculator'!$C$20*'Gearing Calculator'!$W$20*('Track Data'!Q195^2)</f>
        <v>383.15790421869673</v>
      </c>
      <c r="W195" s="16">
        <f>('Gearing Calculator'!$U$9*'Track Data'!T195)+'Track Data'!V195</f>
        <v>-3068.9448286390261</v>
      </c>
      <c r="X195" s="16">
        <f>('Gearing Calculator'!$U$9*9.81)*('Gearing Calculator'!$U$16/'Gearing Calculator'!$C$7)-(('Track Data'!W195)*('Gearing Calculator'!$U$17/'Gearing Calculator'!$C$7))</f>
        <v>3073.946821307416</v>
      </c>
      <c r="Y195" s="16">
        <f>('Gearing Calculator'!$U$9*9.81)*(('Gearing Calculator'!$C$7-'Gearing Calculator'!$U$16)/'Gearing Calculator'!$C$7)+(('Track Data'!W195)*('Gearing Calculator'!$U$17/'Gearing Calculator'!$C$7))</f>
        <v>-462.52482130741623</v>
      </c>
      <c r="Z195" s="16">
        <f>((X195*COS('Gearing Calculator'!$C$21))/'Gearing Calculator'!$C$22)/2</f>
        <v>95.036713649336519</v>
      </c>
      <c r="AA195" s="16">
        <f>Y195/'Gearing Calculator'!$C$24</f>
        <v>-6.4583978350656492</v>
      </c>
      <c r="AB195" s="16">
        <f t="shared" si="17"/>
        <v>305.34942789583295</v>
      </c>
      <c r="AC195" s="16">
        <v>75</v>
      </c>
      <c r="AD195" s="16">
        <v>0</v>
      </c>
      <c r="AE195" s="16">
        <v>192</v>
      </c>
      <c r="AF195" s="16">
        <f>IF(AC195=0,IF(O195=6,INDEX(Acceleration!$V$4:$V$110,MATCH('Track Data'!S195,Acceleration!$K$4:$K$110,0)),IF('Track Data'!O195=5,INDEX(Acceleration!$U$4:$U$110,MATCH('Track Data'!S195,Acceleration!$K$4:$K$110,0)),1)),U195)</f>
        <v>-12.968079387143963</v>
      </c>
      <c r="AG195" s="16">
        <f>IF(AC195=0,IF(O195=4,INDEX(Acceleration!$T$4:$T$110,MATCH('Track Data'!S195,Acceleration!$K$4:$K$110,0)),IF('Track Data'!O195=3,INDEX(Acceleration!$S$4:$S$110,MATCH('Track Data'!S195,Acceleration!$K$4:$K$110,0)),'Track Data'!AF195)),'Track Data'!U195)</f>
        <v>-12.968079387143963</v>
      </c>
      <c r="AH195" s="16">
        <f>IF(AC195=0,IF(O195=2,INDEX(Acceleration!$R$4:$R$110,MATCH('Track Data'!S195,Acceleration!$K$4:$K$110,0)),IF('Track Data'!O195=1,INDEX(Acceleration!$Q$4:$Q$110,MATCH('Track Data'!S195,Acceleration!$K$4:$K$110,0)),'Track Data'!AG195)),'Track Data'!U195)</f>
        <v>-12.968079387143963</v>
      </c>
    </row>
    <row r="196" spans="2:34" x14ac:dyDescent="0.25">
      <c r="B196" s="16">
        <v>199.149</v>
      </c>
      <c r="C196" s="16">
        <v>7466</v>
      </c>
      <c r="D196" s="16">
        <v>193</v>
      </c>
      <c r="E196" s="113">
        <v>156</v>
      </c>
      <c r="F196" s="113">
        <v>166.3</v>
      </c>
      <c r="G196" s="113">
        <v>175.3</v>
      </c>
      <c r="H196" s="113">
        <f t="shared" si="18"/>
        <v>48.694444444444443</v>
      </c>
      <c r="I196" s="113">
        <v>-2.4</v>
      </c>
      <c r="J196" s="113">
        <v>102.85</v>
      </c>
      <c r="K196" s="113">
        <v>-10.9</v>
      </c>
      <c r="L196" s="189"/>
      <c r="M196" s="16">
        <v>193</v>
      </c>
      <c r="N196" s="16">
        <f t="shared" si="20"/>
        <v>1.6680049792969352E-2</v>
      </c>
      <c r="O196" s="16">
        <v>6</v>
      </c>
      <c r="P196" s="16">
        <f t="shared" ref="P196:P259" si="22">VLOOKUP(O196,$AJ$5:$AK$10,2,FALSE)</f>
        <v>7.3113821138211375</v>
      </c>
      <c r="Q196" s="16">
        <f t="shared" si="21"/>
        <v>59.951859401612836</v>
      </c>
      <c r="R196" s="113">
        <f t="shared" ref="R196:R259" si="23">VLOOKUP(O196,$AJ$5:$AL$10,3,FALSE)</f>
        <v>311.95699999999999</v>
      </c>
      <c r="S196" s="16">
        <f>IF(S195=15800,15800,ROUND((((Q196*60)/'Gearing Calculator'!$C$14)*'Track Data'!P196),-2))</f>
        <v>13300</v>
      </c>
      <c r="T196" s="16">
        <f t="shared" si="19"/>
        <v>-12.968079387143963</v>
      </c>
      <c r="U196" s="16">
        <f>IF(AC196=100,Braking!$AG$2354,IF(AC196=50,Braking!$AG$1179,IF(AC196=75,Braking!$AG$1767,0)))</f>
        <v>-12.968079387143963</v>
      </c>
      <c r="V196" s="16">
        <f>0.5*'Gearing Calculator'!$C$15*'Gearing Calculator'!$C$20*'Gearing Calculator'!$W$20*('Track Data'!Q196^2)</f>
        <v>380.41282117402608</v>
      </c>
      <c r="W196" s="16">
        <f>('Gearing Calculator'!$U$9*'Track Data'!T196)+'Track Data'!V196</f>
        <v>-3071.6899116836967</v>
      </c>
      <c r="X196" s="16">
        <f>('Gearing Calculator'!$U$9*9.81)*('Gearing Calculator'!$U$16/'Gearing Calculator'!$C$7)-(('Track Data'!W196)*('Gearing Calculator'!$U$17/'Gearing Calculator'!$C$7))</f>
        <v>3075.4430790387305</v>
      </c>
      <c r="Y196" s="16">
        <f>('Gearing Calculator'!$U$9*9.81)*(('Gearing Calculator'!$C$7-'Gearing Calculator'!$U$16)/'Gearing Calculator'!$C$7)+(('Track Data'!W196)*('Gearing Calculator'!$U$17/'Gearing Calculator'!$C$7))</f>
        <v>-464.02107903873048</v>
      </c>
      <c r="Z196" s="16">
        <f>((X196*COS('Gearing Calculator'!$C$21))/'Gearing Calculator'!$C$22)/2</f>
        <v>95.082973206128742</v>
      </c>
      <c r="AA196" s="16">
        <f>Y196/'Gearing Calculator'!$C$24</f>
        <v>-6.4792906115123374</v>
      </c>
      <c r="AB196" s="16">
        <f t="shared" ref="AB196:AB259" si="24">(T196*O196)+V196</f>
        <v>302.6043448511623</v>
      </c>
      <c r="AC196" s="16">
        <v>75</v>
      </c>
      <c r="AD196" s="16">
        <v>0</v>
      </c>
      <c r="AE196" s="16">
        <v>193</v>
      </c>
      <c r="AF196" s="16">
        <f>IF(AC196=0,IF(O196=6,INDEX(Acceleration!$V$4:$V$110,MATCH('Track Data'!S196,Acceleration!$K$4:$K$110,0)),IF('Track Data'!O196=5,INDEX(Acceleration!$U$4:$U$110,MATCH('Track Data'!S196,Acceleration!$K$4:$K$110,0)),1)),U196)</f>
        <v>-12.968079387143963</v>
      </c>
      <c r="AG196" s="16">
        <f>IF(AC196=0,IF(O196=4,INDEX(Acceleration!$T$4:$T$110,MATCH('Track Data'!S196,Acceleration!$K$4:$K$110,0)),IF('Track Data'!O196=3,INDEX(Acceleration!$S$4:$S$110,MATCH('Track Data'!S196,Acceleration!$K$4:$K$110,0)),'Track Data'!AF196)),'Track Data'!U196)</f>
        <v>-12.968079387143963</v>
      </c>
      <c r="AH196" s="16">
        <f>IF(AC196=0,IF(O196=2,INDEX(Acceleration!$R$4:$R$110,MATCH('Track Data'!S196,Acceleration!$K$4:$K$110,0)),IF('Track Data'!O196=1,INDEX(Acceleration!$Q$4:$Q$110,MATCH('Track Data'!S196,Acceleration!$K$4:$K$110,0)),'Track Data'!AG196)),'Track Data'!U196)</f>
        <v>-12.968079387143963</v>
      </c>
    </row>
    <row r="197" spans="2:34" x14ac:dyDescent="0.25">
      <c r="B197" s="16">
        <v>199.17099999999999</v>
      </c>
      <c r="C197" s="16">
        <v>7467</v>
      </c>
      <c r="D197" s="16">
        <v>194</v>
      </c>
      <c r="E197" s="113">
        <v>155</v>
      </c>
      <c r="F197" s="113">
        <v>165.7</v>
      </c>
      <c r="G197" s="113">
        <v>174.2</v>
      </c>
      <c r="H197" s="113">
        <f t="shared" ref="H197:H260" si="25">G197/3.6</f>
        <v>48.388888888888886</v>
      </c>
      <c r="I197" s="113">
        <v>-2.9</v>
      </c>
      <c r="J197" s="113">
        <v>98.77</v>
      </c>
      <c r="K197" s="113">
        <v>-7.5</v>
      </c>
      <c r="L197" s="189"/>
      <c r="M197" s="16">
        <v>194</v>
      </c>
      <c r="N197" s="16">
        <f t="shared" si="20"/>
        <v>1.6740559621285726E-2</v>
      </c>
      <c r="O197" s="16">
        <v>6</v>
      </c>
      <c r="P197" s="16">
        <f t="shared" si="22"/>
        <v>7.3113821138211375</v>
      </c>
      <c r="Q197" s="16">
        <f t="shared" si="21"/>
        <v>59.735159553955036</v>
      </c>
      <c r="R197" s="113">
        <f t="shared" si="23"/>
        <v>311.95699999999999</v>
      </c>
      <c r="S197" s="16">
        <f>IF(S196=15800,15800,ROUND((((Q197*60)/'Gearing Calculator'!$C$14)*'Track Data'!P197),-2))</f>
        <v>13200</v>
      </c>
      <c r="T197" s="16">
        <f t="shared" ref="T197:T260" si="26">AH197</f>
        <v>-12.968079387143963</v>
      </c>
      <c r="U197" s="16">
        <f>IF(AC197=100,Braking!$AG$2354,IF(AC197=50,Braking!$AG$1179,IF(AC197=75,Braking!$AG$1767,0)))</f>
        <v>-12.968079387143963</v>
      </c>
      <c r="V197" s="16">
        <f>0.5*'Gearing Calculator'!$C$15*'Gearing Calculator'!$C$20*'Gearing Calculator'!$W$20*('Track Data'!Q197^2)</f>
        <v>377.66773812935548</v>
      </c>
      <c r="W197" s="16">
        <f>('Gearing Calculator'!$U$9*'Track Data'!T197)+'Track Data'!V197</f>
        <v>-3074.4349947283672</v>
      </c>
      <c r="X197" s="16">
        <f>('Gearing Calculator'!$U$9*9.81)*('Gearing Calculator'!$U$16/'Gearing Calculator'!$C$7)-(('Track Data'!W197)*('Gearing Calculator'!$U$17/'Gearing Calculator'!$C$7))</f>
        <v>3076.939336770045</v>
      </c>
      <c r="Y197" s="16">
        <f>('Gearing Calculator'!$U$9*9.81)*(('Gearing Calculator'!$C$7-'Gearing Calculator'!$U$16)/'Gearing Calculator'!$C$7)+(('Track Data'!W197)*('Gearing Calculator'!$U$17/'Gearing Calculator'!$C$7))</f>
        <v>-465.51733677004495</v>
      </c>
      <c r="Z197" s="16">
        <f>((X197*COS('Gearing Calculator'!$C$21))/'Gearing Calculator'!$C$22)/2</f>
        <v>95.129232762920964</v>
      </c>
      <c r="AA197" s="16">
        <f>Y197/'Gearing Calculator'!$C$24</f>
        <v>-6.5001833879590283</v>
      </c>
      <c r="AB197" s="16">
        <f t="shared" si="24"/>
        <v>299.8592618064917</v>
      </c>
      <c r="AC197" s="16">
        <v>75</v>
      </c>
      <c r="AD197" s="16">
        <v>0</v>
      </c>
      <c r="AE197" s="16">
        <v>194</v>
      </c>
      <c r="AF197" s="16">
        <f>IF(AC197=0,IF(O197=6,INDEX(Acceleration!$V$4:$V$110,MATCH('Track Data'!S197,Acceleration!$K$4:$K$110,0)),IF('Track Data'!O197=5,INDEX(Acceleration!$U$4:$U$110,MATCH('Track Data'!S197,Acceleration!$K$4:$K$110,0)),1)),U197)</f>
        <v>-12.968079387143963</v>
      </c>
      <c r="AG197" s="16">
        <f>IF(AC197=0,IF(O197=4,INDEX(Acceleration!$T$4:$T$110,MATCH('Track Data'!S197,Acceleration!$K$4:$K$110,0)),IF('Track Data'!O197=3,INDEX(Acceleration!$S$4:$S$110,MATCH('Track Data'!S197,Acceleration!$K$4:$K$110,0)),'Track Data'!AF197)),'Track Data'!U197)</f>
        <v>-12.968079387143963</v>
      </c>
      <c r="AH197" s="16">
        <f>IF(AC197=0,IF(O197=2,INDEX(Acceleration!$R$4:$R$110,MATCH('Track Data'!S197,Acceleration!$K$4:$K$110,0)),IF('Track Data'!O197=1,INDEX(Acceleration!$Q$4:$Q$110,MATCH('Track Data'!S197,Acceleration!$K$4:$K$110,0)),'Track Data'!AG197)),'Track Data'!U197)</f>
        <v>-12.968079387143963</v>
      </c>
    </row>
    <row r="198" spans="2:34" x14ac:dyDescent="0.25">
      <c r="B198" s="16">
        <v>199.19200000000001</v>
      </c>
      <c r="C198" s="16">
        <v>7468</v>
      </c>
      <c r="D198" s="16">
        <v>195</v>
      </c>
      <c r="E198" s="113">
        <v>154</v>
      </c>
      <c r="F198" s="113">
        <v>165.5</v>
      </c>
      <c r="G198" s="113">
        <v>173.4</v>
      </c>
      <c r="H198" s="113">
        <f t="shared" si="25"/>
        <v>48.166666666666664</v>
      </c>
      <c r="I198" s="113">
        <v>-3.7</v>
      </c>
      <c r="J198" s="113">
        <v>98.77</v>
      </c>
      <c r="K198" s="113">
        <v>-5.0999999999999996</v>
      </c>
      <c r="L198" s="189"/>
      <c r="M198" s="16">
        <v>195</v>
      </c>
      <c r="N198" s="16">
        <f t="shared" ref="N198:N261" si="27">1/Q198</f>
        <v>1.6801732794153302E-2</v>
      </c>
      <c r="O198" s="16">
        <v>6</v>
      </c>
      <c r="P198" s="16">
        <f t="shared" si="22"/>
        <v>7.3113821138211375</v>
      </c>
      <c r="Q198" s="16">
        <f t="shared" ref="Q198:Q261" si="28">IF(AD197=0,SQRT(Q197^2+(2*T197)),Q197)</f>
        <v>59.517670721913987</v>
      </c>
      <c r="R198" s="113">
        <f t="shared" si="23"/>
        <v>311.95699999999999</v>
      </c>
      <c r="S198" s="16">
        <f>IF(S197=15800,15800,ROUND((((Q198*60)/'Gearing Calculator'!$C$14)*'Track Data'!P198),-2))</f>
        <v>13200</v>
      </c>
      <c r="T198" s="16">
        <f t="shared" si="26"/>
        <v>-12.968079387143963</v>
      </c>
      <c r="U198" s="16">
        <f>IF(AC198=100,Braking!$AG$2354,IF(AC198=50,Braking!$AG$1179,IF(AC198=75,Braking!$AG$1767,0)))</f>
        <v>-12.968079387143963</v>
      </c>
      <c r="V198" s="16">
        <f>0.5*'Gearing Calculator'!$C$15*'Gearing Calculator'!$C$20*'Gearing Calculator'!$W$20*('Track Data'!Q198^2)</f>
        <v>374.92265508468483</v>
      </c>
      <c r="W198" s="16">
        <f>('Gearing Calculator'!$U$9*'Track Data'!T198)+'Track Data'!V198</f>
        <v>-3077.1800777730382</v>
      </c>
      <c r="X198" s="16">
        <f>('Gearing Calculator'!$U$9*9.81)*('Gearing Calculator'!$U$16/'Gearing Calculator'!$C$7)-(('Track Data'!W198)*('Gearing Calculator'!$U$17/'Gearing Calculator'!$C$7))</f>
        <v>3078.4355945013594</v>
      </c>
      <c r="Y198" s="16">
        <f>('Gearing Calculator'!$U$9*9.81)*(('Gearing Calculator'!$C$7-'Gearing Calculator'!$U$16)/'Gearing Calculator'!$C$7)+(('Track Data'!W198)*('Gearing Calculator'!$U$17/'Gearing Calculator'!$C$7))</f>
        <v>-467.01359450135942</v>
      </c>
      <c r="Z198" s="16">
        <f>((X198*COS('Gearing Calculator'!$C$21))/'Gearing Calculator'!$C$22)/2</f>
        <v>95.175492319713186</v>
      </c>
      <c r="AA198" s="16">
        <f>Y198/'Gearing Calculator'!$C$24</f>
        <v>-6.52107616440572</v>
      </c>
      <c r="AB198" s="16">
        <f t="shared" si="24"/>
        <v>297.11417876182105</v>
      </c>
      <c r="AC198" s="16">
        <v>75</v>
      </c>
      <c r="AD198" s="16">
        <v>0</v>
      </c>
      <c r="AE198" s="16">
        <v>195</v>
      </c>
      <c r="AF198" s="16">
        <f>IF(AC198=0,IF(O198=6,INDEX(Acceleration!$V$4:$V$110,MATCH('Track Data'!S198,Acceleration!$K$4:$K$110,0)),IF('Track Data'!O198=5,INDEX(Acceleration!$U$4:$U$110,MATCH('Track Data'!S198,Acceleration!$K$4:$K$110,0)),1)),U198)</f>
        <v>-12.968079387143963</v>
      </c>
      <c r="AG198" s="16">
        <f>IF(AC198=0,IF(O198=4,INDEX(Acceleration!$T$4:$T$110,MATCH('Track Data'!S198,Acceleration!$K$4:$K$110,0)),IF('Track Data'!O198=3,INDEX(Acceleration!$S$4:$S$110,MATCH('Track Data'!S198,Acceleration!$K$4:$K$110,0)),'Track Data'!AF198)),'Track Data'!U198)</f>
        <v>-12.968079387143963</v>
      </c>
      <c r="AH198" s="16">
        <f>IF(AC198=0,IF(O198=2,INDEX(Acceleration!$R$4:$R$110,MATCH('Track Data'!S198,Acceleration!$K$4:$K$110,0)),IF('Track Data'!O198=1,INDEX(Acceleration!$Q$4:$Q$110,MATCH('Track Data'!S198,Acceleration!$K$4:$K$110,0)),'Track Data'!AG198)),'Track Data'!U198)</f>
        <v>-12.968079387143963</v>
      </c>
    </row>
    <row r="199" spans="2:34" x14ac:dyDescent="0.25">
      <c r="B199" s="16">
        <v>199.214</v>
      </c>
      <c r="C199" s="16">
        <v>7469</v>
      </c>
      <c r="D199" s="16">
        <v>196</v>
      </c>
      <c r="E199" s="113">
        <v>153</v>
      </c>
      <c r="F199" s="113">
        <v>164.5</v>
      </c>
      <c r="G199" s="113">
        <v>172.7</v>
      </c>
      <c r="H199" s="113">
        <f t="shared" si="25"/>
        <v>47.972222222222221</v>
      </c>
      <c r="I199" s="113">
        <v>-3.7</v>
      </c>
      <c r="J199" s="113">
        <v>98.65</v>
      </c>
      <c r="K199" s="113">
        <v>-5.9</v>
      </c>
      <c r="L199" s="189"/>
      <c r="M199" s="16">
        <v>196</v>
      </c>
      <c r="N199" s="16">
        <f t="shared" si="27"/>
        <v>1.6863581520788509E-2</v>
      </c>
      <c r="O199" s="16">
        <v>6</v>
      </c>
      <c r="P199" s="16">
        <f t="shared" si="22"/>
        <v>7.3113821138211375</v>
      </c>
      <c r="Q199" s="16">
        <f t="shared" si="28"/>
        <v>59.29938422435675</v>
      </c>
      <c r="R199" s="113">
        <f t="shared" si="23"/>
        <v>311.95699999999999</v>
      </c>
      <c r="S199" s="16">
        <f>IF(S198=15800,15800,ROUND((((Q199*60)/'Gearing Calculator'!$C$14)*'Track Data'!P199),-2))</f>
        <v>13100</v>
      </c>
      <c r="T199" s="16">
        <f t="shared" si="26"/>
        <v>-12.968079387143963</v>
      </c>
      <c r="U199" s="16">
        <f>IF(AC199=100,Braking!$AG$2354,IF(AC199=50,Braking!$AG$1179,IF(AC199=75,Braking!$AG$1767,0)))</f>
        <v>-12.968079387143963</v>
      </c>
      <c r="V199" s="16">
        <f>0.5*'Gearing Calculator'!$C$15*'Gearing Calculator'!$C$20*'Gearing Calculator'!$W$20*('Track Data'!Q199^2)</f>
        <v>372.1775720400143</v>
      </c>
      <c r="W199" s="16">
        <f>('Gearing Calculator'!$U$9*'Track Data'!T199)+'Track Data'!V199</f>
        <v>-3079.9251608177087</v>
      </c>
      <c r="X199" s="16">
        <f>('Gearing Calculator'!$U$9*9.81)*('Gearing Calculator'!$U$16/'Gearing Calculator'!$C$7)-(('Track Data'!W199)*('Gearing Calculator'!$U$17/'Gearing Calculator'!$C$7))</f>
        <v>3079.9318522326739</v>
      </c>
      <c r="Y199" s="16">
        <f>('Gearing Calculator'!$U$9*9.81)*(('Gearing Calculator'!$C$7-'Gearing Calculator'!$U$16)/'Gearing Calculator'!$C$7)+(('Track Data'!W199)*('Gearing Calculator'!$U$17/'Gearing Calculator'!$C$7))</f>
        <v>-468.50985223267389</v>
      </c>
      <c r="Z199" s="16">
        <f>((X199*COS('Gearing Calculator'!$C$21))/'Gearing Calculator'!$C$22)/2</f>
        <v>95.221751876505408</v>
      </c>
      <c r="AA199" s="16">
        <f>Y199/'Gearing Calculator'!$C$24</f>
        <v>-6.5419689408524109</v>
      </c>
      <c r="AB199" s="16">
        <f t="shared" si="24"/>
        <v>294.36909571715051</v>
      </c>
      <c r="AC199" s="16">
        <v>75</v>
      </c>
      <c r="AD199" s="16">
        <v>0</v>
      </c>
      <c r="AE199" s="16">
        <v>196</v>
      </c>
      <c r="AF199" s="16">
        <f>IF(AC199=0,IF(O199=6,INDEX(Acceleration!$V$4:$V$110,MATCH('Track Data'!S199,Acceleration!$K$4:$K$110,0)),IF('Track Data'!O199=5,INDEX(Acceleration!$U$4:$U$110,MATCH('Track Data'!S199,Acceleration!$K$4:$K$110,0)),1)),U199)</f>
        <v>-12.968079387143963</v>
      </c>
      <c r="AG199" s="16">
        <f>IF(AC199=0,IF(O199=4,INDEX(Acceleration!$T$4:$T$110,MATCH('Track Data'!S199,Acceleration!$K$4:$K$110,0)),IF('Track Data'!O199=3,INDEX(Acceleration!$S$4:$S$110,MATCH('Track Data'!S199,Acceleration!$K$4:$K$110,0)),'Track Data'!AF199)),'Track Data'!U199)</f>
        <v>-12.968079387143963</v>
      </c>
      <c r="AH199" s="16">
        <f>IF(AC199=0,IF(O199=2,INDEX(Acceleration!$R$4:$R$110,MATCH('Track Data'!S199,Acceleration!$K$4:$K$110,0)),IF('Track Data'!O199=1,INDEX(Acceleration!$Q$4:$Q$110,MATCH('Track Data'!S199,Acceleration!$K$4:$K$110,0)),'Track Data'!AG199)),'Track Data'!U199)</f>
        <v>-12.968079387143963</v>
      </c>
    </row>
    <row r="200" spans="2:34" x14ac:dyDescent="0.25">
      <c r="B200" s="16">
        <v>199.23599999999999</v>
      </c>
      <c r="C200" s="16">
        <v>7470</v>
      </c>
      <c r="D200" s="16">
        <v>197</v>
      </c>
      <c r="E200" s="113">
        <v>152</v>
      </c>
      <c r="F200" s="113">
        <v>163.19999999999999</v>
      </c>
      <c r="G200" s="113">
        <v>171.9</v>
      </c>
      <c r="H200" s="113">
        <f t="shared" si="25"/>
        <v>47.75</v>
      </c>
      <c r="I200" s="113">
        <v>-3.7</v>
      </c>
      <c r="J200" s="113">
        <v>97.08</v>
      </c>
      <c r="K200" s="113">
        <v>-8.3000000000000007</v>
      </c>
      <c r="L200" s="189"/>
      <c r="M200" s="16">
        <v>197</v>
      </c>
      <c r="N200" s="16">
        <f t="shared" si="27"/>
        <v>1.6926118327346029E-2</v>
      </c>
      <c r="O200" s="16">
        <v>6</v>
      </c>
      <c r="P200" s="16">
        <f t="shared" si="22"/>
        <v>7.3113821138211375</v>
      </c>
      <c r="Q200" s="16">
        <f t="shared" si="28"/>
        <v>59.08029121977652</v>
      </c>
      <c r="R200" s="113">
        <f t="shared" si="23"/>
        <v>311.95699999999999</v>
      </c>
      <c r="S200" s="16">
        <f>IF(S199=15800,15800,ROUND((((Q200*60)/'Gearing Calculator'!$C$14)*'Track Data'!P200),-2))</f>
        <v>13100</v>
      </c>
      <c r="T200" s="16">
        <f t="shared" si="26"/>
        <v>-12.968079387143963</v>
      </c>
      <c r="U200" s="16">
        <f>IF(AC200=100,Braking!$AG$2354,IF(AC200=50,Braking!$AG$1179,IF(AC200=75,Braking!$AG$1767,0)))</f>
        <v>-12.968079387143963</v>
      </c>
      <c r="V200" s="16">
        <f>0.5*'Gearing Calculator'!$C$15*'Gearing Calculator'!$C$20*'Gearing Calculator'!$W$20*('Track Data'!Q200^2)</f>
        <v>369.43248899534365</v>
      </c>
      <c r="W200" s="16">
        <f>('Gearing Calculator'!$U$9*'Track Data'!T200)+'Track Data'!V200</f>
        <v>-3082.6702438623793</v>
      </c>
      <c r="X200" s="16">
        <f>('Gearing Calculator'!$U$9*9.81)*('Gearing Calculator'!$U$16/'Gearing Calculator'!$C$7)-(('Track Data'!W200)*('Gearing Calculator'!$U$17/'Gearing Calculator'!$C$7))</f>
        <v>3081.4281099639884</v>
      </c>
      <c r="Y200" s="16">
        <f>('Gearing Calculator'!$U$9*9.81)*(('Gearing Calculator'!$C$7-'Gearing Calculator'!$U$16)/'Gearing Calculator'!$C$7)+(('Track Data'!W200)*('Gearing Calculator'!$U$17/'Gearing Calculator'!$C$7))</f>
        <v>-470.00610996398814</v>
      </c>
      <c r="Z200" s="16">
        <f>((X200*COS('Gearing Calculator'!$C$21))/'Gearing Calculator'!$C$22)/2</f>
        <v>95.268011433297616</v>
      </c>
      <c r="AA200" s="16">
        <f>Y200/'Gearing Calculator'!$C$24</f>
        <v>-6.5628617172990991</v>
      </c>
      <c r="AB200" s="16">
        <f t="shared" si="24"/>
        <v>291.62401267247986</v>
      </c>
      <c r="AC200" s="16">
        <v>75</v>
      </c>
      <c r="AD200" s="16">
        <v>0</v>
      </c>
      <c r="AE200" s="16">
        <v>197</v>
      </c>
      <c r="AF200" s="16">
        <f>IF(AC200=0,IF(O200=6,INDEX(Acceleration!$V$4:$V$110,MATCH('Track Data'!S200,Acceleration!$K$4:$K$110,0)),IF('Track Data'!O200=5,INDEX(Acceleration!$U$4:$U$110,MATCH('Track Data'!S200,Acceleration!$K$4:$K$110,0)),1)),U200)</f>
        <v>-12.968079387143963</v>
      </c>
      <c r="AG200" s="16">
        <f>IF(AC200=0,IF(O200=4,INDEX(Acceleration!$T$4:$T$110,MATCH('Track Data'!S200,Acceleration!$K$4:$K$110,0)),IF('Track Data'!O200=3,INDEX(Acceleration!$S$4:$S$110,MATCH('Track Data'!S200,Acceleration!$K$4:$K$110,0)),'Track Data'!AF200)),'Track Data'!U200)</f>
        <v>-12.968079387143963</v>
      </c>
      <c r="AH200" s="16">
        <f>IF(AC200=0,IF(O200=2,INDEX(Acceleration!$R$4:$R$110,MATCH('Track Data'!S200,Acceleration!$K$4:$K$110,0)),IF('Track Data'!O200=1,INDEX(Acceleration!$Q$4:$Q$110,MATCH('Track Data'!S200,Acceleration!$K$4:$K$110,0)),'Track Data'!AG200)),'Track Data'!U200)</f>
        <v>-12.968079387143963</v>
      </c>
    </row>
    <row r="201" spans="2:34" x14ac:dyDescent="0.25">
      <c r="B201" s="16">
        <v>199.25800000000001</v>
      </c>
      <c r="C201" s="16">
        <v>7471</v>
      </c>
      <c r="D201" s="16">
        <v>198</v>
      </c>
      <c r="E201" s="113">
        <v>152</v>
      </c>
      <c r="F201" s="113">
        <v>162.9</v>
      </c>
      <c r="G201" s="113">
        <v>171.2</v>
      </c>
      <c r="H201" s="113">
        <f t="shared" si="25"/>
        <v>47.55555555555555</v>
      </c>
      <c r="I201" s="113">
        <v>-3.2</v>
      </c>
      <c r="J201" s="113">
        <v>95.17</v>
      </c>
      <c r="K201" s="113">
        <v>-10.5</v>
      </c>
      <c r="L201" s="189"/>
      <c r="M201" s="16">
        <v>198</v>
      </c>
      <c r="N201" s="16">
        <f t="shared" si="27"/>
        <v>1.6989356067575914E-2</v>
      </c>
      <c r="O201" s="16">
        <v>6</v>
      </c>
      <c r="P201" s="16">
        <f t="shared" si="22"/>
        <v>7.3113821138211375</v>
      </c>
      <c r="Q201" s="16">
        <f t="shared" si="28"/>
        <v>58.860382702113945</v>
      </c>
      <c r="R201" s="113">
        <f t="shared" si="23"/>
        <v>311.95699999999999</v>
      </c>
      <c r="S201" s="16">
        <f>IF(S200=15800,15800,ROUND((((Q201*60)/'Gearing Calculator'!$C$14)*'Track Data'!P201),-2))</f>
        <v>13000</v>
      </c>
      <c r="T201" s="16">
        <f t="shared" si="26"/>
        <v>-12.968079387143963</v>
      </c>
      <c r="U201" s="16">
        <f>IF(AC201=100,Braking!$AG$2354,IF(AC201=50,Braking!$AG$1179,IF(AC201=75,Braking!$AG$1767,0)))</f>
        <v>-12.968079387143963</v>
      </c>
      <c r="V201" s="16">
        <f>0.5*'Gearing Calculator'!$C$15*'Gearing Calculator'!$C$20*'Gearing Calculator'!$W$20*('Track Data'!Q201^2)</f>
        <v>366.687405950673</v>
      </c>
      <c r="W201" s="16">
        <f>('Gearing Calculator'!$U$9*'Track Data'!T201)+'Track Data'!V201</f>
        <v>-3085.4153269070498</v>
      </c>
      <c r="X201" s="16">
        <f>('Gearing Calculator'!$U$9*9.81)*('Gearing Calculator'!$U$16/'Gearing Calculator'!$C$7)-(('Track Data'!W201)*('Gearing Calculator'!$U$17/'Gearing Calculator'!$C$7))</f>
        <v>3082.9243676953029</v>
      </c>
      <c r="Y201" s="16">
        <f>('Gearing Calculator'!$U$9*9.81)*(('Gearing Calculator'!$C$7-'Gearing Calculator'!$U$16)/'Gearing Calculator'!$C$7)+(('Track Data'!W201)*('Gearing Calculator'!$U$17/'Gearing Calculator'!$C$7))</f>
        <v>-471.50236769530261</v>
      </c>
      <c r="Z201" s="16">
        <f>((X201*COS('Gearing Calculator'!$C$21))/'Gearing Calculator'!$C$22)/2</f>
        <v>95.314270990089838</v>
      </c>
      <c r="AA201" s="16">
        <f>Y201/'Gearing Calculator'!$C$24</f>
        <v>-6.5837544937457899</v>
      </c>
      <c r="AB201" s="16">
        <f t="shared" si="24"/>
        <v>288.87892962780921</v>
      </c>
      <c r="AC201" s="16">
        <v>75</v>
      </c>
      <c r="AD201" s="16">
        <v>0</v>
      </c>
      <c r="AE201" s="16">
        <v>198</v>
      </c>
      <c r="AF201" s="16">
        <f>IF(AC201=0,IF(O201=6,INDEX(Acceleration!$V$4:$V$110,MATCH('Track Data'!S201,Acceleration!$K$4:$K$110,0)),IF('Track Data'!O201=5,INDEX(Acceleration!$U$4:$U$110,MATCH('Track Data'!S201,Acceleration!$K$4:$K$110,0)),1)),U201)</f>
        <v>-12.968079387143963</v>
      </c>
      <c r="AG201" s="16">
        <f>IF(AC201=0,IF(O201=4,INDEX(Acceleration!$T$4:$T$110,MATCH('Track Data'!S201,Acceleration!$K$4:$K$110,0)),IF('Track Data'!O201=3,INDEX(Acceleration!$S$4:$S$110,MATCH('Track Data'!S201,Acceleration!$K$4:$K$110,0)),'Track Data'!AF201)),'Track Data'!U201)</f>
        <v>-12.968079387143963</v>
      </c>
      <c r="AH201" s="16">
        <f>IF(AC201=0,IF(O201=2,INDEX(Acceleration!$R$4:$R$110,MATCH('Track Data'!S201,Acceleration!$K$4:$K$110,0)),IF('Track Data'!O201=1,INDEX(Acceleration!$Q$4:$Q$110,MATCH('Track Data'!S201,Acceleration!$K$4:$K$110,0)),'Track Data'!AG201)),'Track Data'!U201)</f>
        <v>-12.968079387143963</v>
      </c>
    </row>
    <row r="202" spans="2:34" x14ac:dyDescent="0.25">
      <c r="B202" s="16">
        <v>199.28</v>
      </c>
      <c r="C202" s="16">
        <v>7472</v>
      </c>
      <c r="D202" s="16">
        <v>199</v>
      </c>
      <c r="E202" s="113">
        <v>153</v>
      </c>
      <c r="F202" s="113">
        <v>162.9</v>
      </c>
      <c r="G202" s="113">
        <v>170</v>
      </c>
      <c r="H202" s="113">
        <f t="shared" si="25"/>
        <v>47.222222222222221</v>
      </c>
      <c r="I202" s="113">
        <v>-2.8</v>
      </c>
      <c r="J202" s="113">
        <v>94.6</v>
      </c>
      <c r="K202" s="113">
        <v>-13.9</v>
      </c>
      <c r="L202" s="189"/>
      <c r="M202" s="16">
        <v>199</v>
      </c>
      <c r="N202" s="16">
        <f t="shared" si="27"/>
        <v>1.7053307933921992E-2</v>
      </c>
      <c r="O202" s="16">
        <v>6</v>
      </c>
      <c r="P202" s="16">
        <f t="shared" si="22"/>
        <v>7.3113821138211375</v>
      </c>
      <c r="Q202" s="16">
        <f t="shared" si="28"/>
        <v>58.639649496437364</v>
      </c>
      <c r="R202" s="113">
        <f t="shared" si="23"/>
        <v>311.95699999999999</v>
      </c>
      <c r="S202" s="16">
        <f>IF(S201=15800,15800,ROUND((((Q202*60)/'Gearing Calculator'!$C$14)*'Track Data'!P202),-2))</f>
        <v>13000</v>
      </c>
      <c r="T202" s="16">
        <f t="shared" si="26"/>
        <v>-12.968079387143963</v>
      </c>
      <c r="U202" s="16">
        <f>IF(AC202=100,Braking!$AG$2354,IF(AC202=50,Braking!$AG$1179,IF(AC202=75,Braking!$AG$1767,0)))</f>
        <v>-12.968079387143963</v>
      </c>
      <c r="V202" s="16">
        <f>0.5*'Gearing Calculator'!$C$15*'Gearing Calculator'!$C$20*'Gearing Calculator'!$W$20*('Track Data'!Q202^2)</f>
        <v>363.9423229060024</v>
      </c>
      <c r="W202" s="16">
        <f>('Gearing Calculator'!$U$9*'Track Data'!T202)+'Track Data'!V202</f>
        <v>-3088.1604099517203</v>
      </c>
      <c r="X202" s="16">
        <f>('Gearing Calculator'!$U$9*9.81)*('Gearing Calculator'!$U$16/'Gearing Calculator'!$C$7)-(('Track Data'!W202)*('Gearing Calculator'!$U$17/'Gearing Calculator'!$C$7))</f>
        <v>3084.4206254266169</v>
      </c>
      <c r="Y202" s="16">
        <f>('Gearing Calculator'!$U$9*9.81)*(('Gearing Calculator'!$C$7-'Gearing Calculator'!$U$16)/'Gearing Calculator'!$C$7)+(('Track Data'!W202)*('Gearing Calculator'!$U$17/'Gearing Calculator'!$C$7))</f>
        <v>-472.99862542661685</v>
      </c>
      <c r="Z202" s="16">
        <f>((X202*COS('Gearing Calculator'!$C$21))/'Gearing Calculator'!$C$22)/2</f>
        <v>95.360530546882046</v>
      </c>
      <c r="AA202" s="16">
        <f>Y202/'Gearing Calculator'!$C$24</f>
        <v>-6.6046472701924781</v>
      </c>
      <c r="AB202" s="16">
        <f t="shared" si="24"/>
        <v>286.13384658313862</v>
      </c>
      <c r="AC202" s="16">
        <v>75</v>
      </c>
      <c r="AD202" s="16">
        <v>0</v>
      </c>
      <c r="AE202" s="16">
        <v>199</v>
      </c>
      <c r="AF202" s="16">
        <f>IF(AC202=0,IF(O202=6,INDEX(Acceleration!$V$4:$V$110,MATCH('Track Data'!S202,Acceleration!$K$4:$K$110,0)),IF('Track Data'!O202=5,INDEX(Acceleration!$U$4:$U$110,MATCH('Track Data'!S202,Acceleration!$K$4:$K$110,0)),1)),U202)</f>
        <v>-12.968079387143963</v>
      </c>
      <c r="AG202" s="16">
        <f>IF(AC202=0,IF(O202=4,INDEX(Acceleration!$T$4:$T$110,MATCH('Track Data'!S202,Acceleration!$K$4:$K$110,0)),IF('Track Data'!O202=3,INDEX(Acceleration!$S$4:$S$110,MATCH('Track Data'!S202,Acceleration!$K$4:$K$110,0)),'Track Data'!AF202)),'Track Data'!U202)</f>
        <v>-12.968079387143963</v>
      </c>
      <c r="AH202" s="16">
        <f>IF(AC202=0,IF(O202=2,INDEX(Acceleration!$R$4:$R$110,MATCH('Track Data'!S202,Acceleration!$K$4:$K$110,0)),IF('Track Data'!O202=1,INDEX(Acceleration!$Q$4:$Q$110,MATCH('Track Data'!S202,Acceleration!$K$4:$K$110,0)),'Track Data'!AG202)),'Track Data'!U202)</f>
        <v>-12.968079387143963</v>
      </c>
    </row>
    <row r="203" spans="2:34" x14ac:dyDescent="0.25">
      <c r="B203" s="16">
        <v>199.30199999999999</v>
      </c>
      <c r="C203" s="16">
        <v>7473</v>
      </c>
      <c r="D203" s="16">
        <v>200</v>
      </c>
      <c r="E203" s="113">
        <v>155</v>
      </c>
      <c r="F203" s="113">
        <v>160.69999999999999</v>
      </c>
      <c r="G203" s="113">
        <v>169.2</v>
      </c>
      <c r="H203" s="113">
        <f t="shared" si="25"/>
        <v>46.999999999999993</v>
      </c>
      <c r="I203" s="113">
        <v>-2.8</v>
      </c>
      <c r="J203" s="113">
        <v>94.69</v>
      </c>
      <c r="K203" s="113">
        <v>-15.2</v>
      </c>
      <c r="L203" s="189"/>
      <c r="M203" s="16">
        <v>200</v>
      </c>
      <c r="N203" s="16">
        <f t="shared" si="27"/>
        <v>1.7117987469083301E-2</v>
      </c>
      <c r="O203" s="16">
        <v>6</v>
      </c>
      <c r="P203" s="16">
        <f t="shared" si="22"/>
        <v>7.3113821138211375</v>
      </c>
      <c r="Q203" s="16">
        <f t="shared" si="28"/>
        <v>58.418082254476133</v>
      </c>
      <c r="R203" s="113">
        <f t="shared" si="23"/>
        <v>311.95699999999999</v>
      </c>
      <c r="S203" s="16">
        <f>IF(S202=15800,15800,ROUND((((Q203*60)/'Gearing Calculator'!$C$14)*'Track Data'!P203),-2))</f>
        <v>12900</v>
      </c>
      <c r="T203" s="16">
        <f t="shared" si="26"/>
        <v>-12.968079387143963</v>
      </c>
      <c r="U203" s="16">
        <f>IF(AC203=100,Braking!$AG$2354,IF(AC203=50,Braking!$AG$1179,IF(AC203=75,Braking!$AG$1767,0)))</f>
        <v>-12.968079387143963</v>
      </c>
      <c r="V203" s="16">
        <f>0.5*'Gearing Calculator'!$C$15*'Gearing Calculator'!$C$20*'Gearing Calculator'!$W$20*('Track Data'!Q203^2)</f>
        <v>361.19723986133181</v>
      </c>
      <c r="W203" s="16">
        <f>('Gearing Calculator'!$U$9*'Track Data'!T203)+'Track Data'!V203</f>
        <v>-3090.9054929963913</v>
      </c>
      <c r="X203" s="16">
        <f>('Gearing Calculator'!$U$9*9.81)*('Gearing Calculator'!$U$16/'Gearing Calculator'!$C$7)-(('Track Data'!W203)*('Gearing Calculator'!$U$17/'Gearing Calculator'!$C$7))</f>
        <v>3085.9168831579318</v>
      </c>
      <c r="Y203" s="16">
        <f>('Gearing Calculator'!$U$9*9.81)*(('Gearing Calculator'!$C$7-'Gearing Calculator'!$U$16)/'Gearing Calculator'!$C$7)+(('Track Data'!W203)*('Gearing Calculator'!$U$17/'Gearing Calculator'!$C$7))</f>
        <v>-474.49488315793155</v>
      </c>
      <c r="Z203" s="16">
        <f>((X203*COS('Gearing Calculator'!$C$21))/'Gearing Calculator'!$C$22)/2</f>
        <v>95.406790103674282</v>
      </c>
      <c r="AA203" s="16">
        <f>Y203/'Gearing Calculator'!$C$24</f>
        <v>-6.6255400466391725</v>
      </c>
      <c r="AB203" s="16">
        <f t="shared" si="24"/>
        <v>283.38876353846803</v>
      </c>
      <c r="AC203" s="16">
        <v>75</v>
      </c>
      <c r="AD203" s="16">
        <v>0</v>
      </c>
      <c r="AE203" s="16">
        <v>200</v>
      </c>
      <c r="AF203" s="16">
        <f>IF(AC203=0,IF(O203=6,INDEX(Acceleration!$V$4:$V$110,MATCH('Track Data'!S203,Acceleration!$K$4:$K$110,0)),IF('Track Data'!O203=5,INDEX(Acceleration!$U$4:$U$110,MATCH('Track Data'!S203,Acceleration!$K$4:$K$110,0)),1)),U203)</f>
        <v>-12.968079387143963</v>
      </c>
      <c r="AG203" s="16">
        <f>IF(AC203=0,IF(O203=4,INDEX(Acceleration!$T$4:$T$110,MATCH('Track Data'!S203,Acceleration!$K$4:$K$110,0)),IF('Track Data'!O203=3,INDEX(Acceleration!$S$4:$S$110,MATCH('Track Data'!S203,Acceleration!$K$4:$K$110,0)),'Track Data'!AF203)),'Track Data'!U203)</f>
        <v>-12.968079387143963</v>
      </c>
      <c r="AH203" s="16">
        <f>IF(AC203=0,IF(O203=2,INDEX(Acceleration!$R$4:$R$110,MATCH('Track Data'!S203,Acceleration!$K$4:$K$110,0)),IF('Track Data'!O203=1,INDEX(Acceleration!$Q$4:$Q$110,MATCH('Track Data'!S203,Acceleration!$K$4:$K$110,0)),'Track Data'!AG203)),'Track Data'!U203)</f>
        <v>-12.968079387143963</v>
      </c>
    </row>
    <row r="204" spans="2:34" x14ac:dyDescent="0.25">
      <c r="B204" s="16">
        <v>199.32400000000001</v>
      </c>
      <c r="C204" s="16">
        <v>7474</v>
      </c>
      <c r="D204" s="16">
        <v>201</v>
      </c>
      <c r="E204" s="113">
        <v>156</v>
      </c>
      <c r="F204" s="113">
        <v>158.9</v>
      </c>
      <c r="G204" s="113">
        <v>168.5</v>
      </c>
      <c r="H204" s="113">
        <f t="shared" si="25"/>
        <v>46.805555555555557</v>
      </c>
      <c r="I204" s="113">
        <v>-2.9</v>
      </c>
      <c r="J204" s="113">
        <v>94.49</v>
      </c>
      <c r="K204" s="113">
        <v>-16.5</v>
      </c>
      <c r="L204" s="189"/>
      <c r="M204" s="16">
        <v>201</v>
      </c>
      <c r="N204" s="16">
        <f t="shared" si="27"/>
        <v>1.7183408578061596E-2</v>
      </c>
      <c r="O204" s="16">
        <v>6</v>
      </c>
      <c r="P204" s="16">
        <f t="shared" si="22"/>
        <v>7.3113821138211375</v>
      </c>
      <c r="Q204" s="16">
        <f t="shared" si="28"/>
        <v>58.195671450000916</v>
      </c>
      <c r="R204" s="113">
        <f t="shared" si="23"/>
        <v>311.95699999999999</v>
      </c>
      <c r="S204" s="16">
        <f>IF(S203=15800,15800,ROUND((((Q204*60)/'Gearing Calculator'!$C$14)*'Track Data'!P204),-2))</f>
        <v>12900</v>
      </c>
      <c r="T204" s="16">
        <f t="shared" si="26"/>
        <v>-12.968079387143963</v>
      </c>
      <c r="U204" s="16">
        <f>IF(AC204=100,Braking!$AG$2354,IF(AC204=50,Braking!$AG$1179,IF(AC204=75,Braking!$AG$1767,0)))</f>
        <v>-12.968079387143963</v>
      </c>
      <c r="V204" s="16">
        <f>0.5*'Gearing Calculator'!$C$15*'Gearing Calculator'!$C$20*'Gearing Calculator'!$W$20*('Track Data'!Q204^2)</f>
        <v>358.45215681666122</v>
      </c>
      <c r="W204" s="16">
        <f>('Gearing Calculator'!$U$9*'Track Data'!T204)+'Track Data'!V204</f>
        <v>-3093.6505760410619</v>
      </c>
      <c r="X204" s="16">
        <f>('Gearing Calculator'!$U$9*9.81)*('Gearing Calculator'!$U$16/'Gearing Calculator'!$C$7)-(('Track Data'!W204)*('Gearing Calculator'!$U$17/'Gearing Calculator'!$C$7))</f>
        <v>3087.4131408892458</v>
      </c>
      <c r="Y204" s="16">
        <f>('Gearing Calculator'!$U$9*9.81)*(('Gearing Calculator'!$C$7-'Gearing Calculator'!$U$16)/'Gearing Calculator'!$C$7)+(('Track Data'!W204)*('Gearing Calculator'!$U$17/'Gearing Calculator'!$C$7))</f>
        <v>-475.9911408892458</v>
      </c>
      <c r="Z204" s="16">
        <f>((X204*COS('Gearing Calculator'!$C$21))/'Gearing Calculator'!$C$22)/2</f>
        <v>95.45304966046649</v>
      </c>
      <c r="AA204" s="16">
        <f>Y204/'Gearing Calculator'!$C$24</f>
        <v>-6.6464328230858607</v>
      </c>
      <c r="AB204" s="16">
        <f t="shared" si="24"/>
        <v>280.64368049379743</v>
      </c>
      <c r="AC204" s="16">
        <v>75</v>
      </c>
      <c r="AD204" s="16">
        <v>0</v>
      </c>
      <c r="AE204" s="16">
        <v>201</v>
      </c>
      <c r="AF204" s="16">
        <f>IF(AC204=0,IF(O204=6,INDEX(Acceleration!$V$4:$V$110,MATCH('Track Data'!S204,Acceleration!$K$4:$K$110,0)),IF('Track Data'!O204=5,INDEX(Acceleration!$U$4:$U$110,MATCH('Track Data'!S204,Acceleration!$K$4:$K$110,0)),1)),U204)</f>
        <v>-12.968079387143963</v>
      </c>
      <c r="AG204" s="16">
        <f>IF(AC204=0,IF(O204=4,INDEX(Acceleration!$T$4:$T$110,MATCH('Track Data'!S204,Acceleration!$K$4:$K$110,0)),IF('Track Data'!O204=3,INDEX(Acceleration!$S$4:$S$110,MATCH('Track Data'!S204,Acceleration!$K$4:$K$110,0)),'Track Data'!AF204)),'Track Data'!U204)</f>
        <v>-12.968079387143963</v>
      </c>
      <c r="AH204" s="16">
        <f>IF(AC204=0,IF(O204=2,INDEX(Acceleration!$R$4:$R$110,MATCH('Track Data'!S204,Acceleration!$K$4:$K$110,0)),IF('Track Data'!O204=1,INDEX(Acceleration!$Q$4:$Q$110,MATCH('Track Data'!S204,Acceleration!$K$4:$K$110,0)),'Track Data'!AG204)),'Track Data'!U204)</f>
        <v>-12.968079387143963</v>
      </c>
    </row>
    <row r="205" spans="2:34" x14ac:dyDescent="0.25">
      <c r="B205" s="16">
        <v>199.34700000000001</v>
      </c>
      <c r="C205" s="16">
        <v>7475</v>
      </c>
      <c r="D205" s="16">
        <v>202</v>
      </c>
      <c r="E205" s="113">
        <v>157</v>
      </c>
      <c r="F205" s="113">
        <v>158.80000000000001</v>
      </c>
      <c r="G205" s="113">
        <v>167.6</v>
      </c>
      <c r="H205" s="113">
        <f t="shared" si="25"/>
        <v>46.55555555555555</v>
      </c>
      <c r="I205" s="113">
        <v>-2.9</v>
      </c>
      <c r="J205" s="113">
        <v>93.38</v>
      </c>
      <c r="K205" s="113">
        <v>-17.8</v>
      </c>
      <c r="L205" s="189"/>
      <c r="M205" s="16">
        <v>202</v>
      </c>
      <c r="N205" s="16">
        <f t="shared" si="27"/>
        <v>1.7249585540719196E-2</v>
      </c>
      <c r="O205" s="16">
        <v>6</v>
      </c>
      <c r="P205" s="16">
        <f t="shared" si="22"/>
        <v>7.3113821138211375</v>
      </c>
      <c r="Q205" s="16">
        <f t="shared" si="28"/>
        <v>57.972407374044451</v>
      </c>
      <c r="R205" s="113">
        <f t="shared" si="23"/>
        <v>311.95699999999999</v>
      </c>
      <c r="S205" s="16">
        <f>IF(S204=15800,15800,ROUND((((Q205*60)/'Gearing Calculator'!$C$14)*'Track Data'!P205),-2))</f>
        <v>12900</v>
      </c>
      <c r="T205" s="16">
        <f t="shared" si="26"/>
        <v>-12.968079387143963</v>
      </c>
      <c r="U205" s="16">
        <f>IF(AC205=100,Braking!$AG$2354,IF(AC205=50,Braking!$AG$1179,IF(AC205=75,Braking!$AG$1767,0)))</f>
        <v>-12.968079387143963</v>
      </c>
      <c r="V205" s="16">
        <f>0.5*'Gearing Calculator'!$C$15*'Gearing Calculator'!$C$20*'Gearing Calculator'!$W$20*('Track Data'!Q205^2)</f>
        <v>355.70707377199051</v>
      </c>
      <c r="W205" s="16">
        <f>('Gearing Calculator'!$U$9*'Track Data'!T205)+'Track Data'!V205</f>
        <v>-3096.3956590857324</v>
      </c>
      <c r="X205" s="16">
        <f>('Gearing Calculator'!$U$9*9.81)*('Gearing Calculator'!$U$16/'Gearing Calculator'!$C$7)-(('Track Data'!W205)*('Gearing Calculator'!$U$17/'Gearing Calculator'!$C$7))</f>
        <v>3088.9093986205598</v>
      </c>
      <c r="Y205" s="16">
        <f>('Gearing Calculator'!$U$9*9.81)*(('Gearing Calculator'!$C$7-'Gearing Calculator'!$U$16)/'Gearing Calculator'!$C$7)+(('Track Data'!W205)*('Gearing Calculator'!$U$17/'Gearing Calculator'!$C$7))</f>
        <v>-477.48739862056004</v>
      </c>
      <c r="Z205" s="16">
        <f>((X205*COS('Gearing Calculator'!$C$21))/'Gearing Calculator'!$C$22)/2</f>
        <v>95.499309217258698</v>
      </c>
      <c r="AA205" s="16">
        <f>Y205/'Gearing Calculator'!$C$24</f>
        <v>-6.667325599532548</v>
      </c>
      <c r="AB205" s="16">
        <f t="shared" si="24"/>
        <v>277.89859744912673</v>
      </c>
      <c r="AC205" s="16">
        <v>75</v>
      </c>
      <c r="AD205" s="16">
        <v>0</v>
      </c>
      <c r="AE205" s="16">
        <v>202</v>
      </c>
      <c r="AF205" s="16">
        <f>IF(AC205=0,IF(O205=6,INDEX(Acceleration!$V$4:$V$110,MATCH('Track Data'!S205,Acceleration!$K$4:$K$110,0)),IF('Track Data'!O205=5,INDEX(Acceleration!$U$4:$U$110,MATCH('Track Data'!S205,Acceleration!$K$4:$K$110,0)),1)),U205)</f>
        <v>-12.968079387143963</v>
      </c>
      <c r="AG205" s="16">
        <f>IF(AC205=0,IF(O205=4,INDEX(Acceleration!$T$4:$T$110,MATCH('Track Data'!S205,Acceleration!$K$4:$K$110,0)),IF('Track Data'!O205=3,INDEX(Acceleration!$S$4:$S$110,MATCH('Track Data'!S205,Acceleration!$K$4:$K$110,0)),'Track Data'!AF205)),'Track Data'!U205)</f>
        <v>-12.968079387143963</v>
      </c>
      <c r="AH205" s="16">
        <f>IF(AC205=0,IF(O205=2,INDEX(Acceleration!$R$4:$R$110,MATCH('Track Data'!S205,Acceleration!$K$4:$K$110,0)),IF('Track Data'!O205=1,INDEX(Acceleration!$Q$4:$Q$110,MATCH('Track Data'!S205,Acceleration!$K$4:$K$110,0)),'Track Data'!AG205)),'Track Data'!U205)</f>
        <v>-12.968079387143963</v>
      </c>
    </row>
    <row r="206" spans="2:34" x14ac:dyDescent="0.25">
      <c r="B206" s="16">
        <v>199.369</v>
      </c>
      <c r="C206" s="16">
        <v>7476</v>
      </c>
      <c r="D206" s="16">
        <v>203</v>
      </c>
      <c r="E206" s="113">
        <v>158</v>
      </c>
      <c r="F206" s="113">
        <v>158.69999999999999</v>
      </c>
      <c r="G206" s="113">
        <v>166.7</v>
      </c>
      <c r="H206" s="113">
        <f t="shared" si="25"/>
        <v>46.30555555555555</v>
      </c>
      <c r="I206" s="113">
        <v>-2.8</v>
      </c>
      <c r="J206" s="113">
        <v>91.41</v>
      </c>
      <c r="K206" s="113">
        <v>-18.899999999999999</v>
      </c>
      <c r="L206" s="189"/>
      <c r="M206" s="16">
        <v>203</v>
      </c>
      <c r="N206" s="16">
        <f t="shared" si="27"/>
        <v>1.7316533024872984E-2</v>
      </c>
      <c r="O206" s="16">
        <v>6</v>
      </c>
      <c r="P206" s="16">
        <f t="shared" si="22"/>
        <v>7.3113821138211375</v>
      </c>
      <c r="Q206" s="16">
        <f t="shared" si="28"/>
        <v>57.748280129956036</v>
      </c>
      <c r="R206" s="113">
        <f t="shared" si="23"/>
        <v>311.95699999999999</v>
      </c>
      <c r="S206" s="16">
        <f>IF(S205=15800,15800,ROUND((((Q206*60)/'Gearing Calculator'!$C$14)*'Track Data'!P206),-2))</f>
        <v>12800</v>
      </c>
      <c r="T206" s="16">
        <f t="shared" si="26"/>
        <v>-12.968079387143963</v>
      </c>
      <c r="U206" s="16">
        <f>IF(AC206=100,Braking!$AG$2354,IF(AC206=50,Braking!$AG$1179,IF(AC206=75,Braking!$AG$1767,0)))</f>
        <v>-12.968079387143963</v>
      </c>
      <c r="V206" s="16">
        <f>0.5*'Gearing Calculator'!$C$15*'Gearing Calculator'!$C$20*'Gearing Calculator'!$W$20*('Track Data'!Q206^2)</f>
        <v>352.96199072731986</v>
      </c>
      <c r="W206" s="16">
        <f>('Gearing Calculator'!$U$9*'Track Data'!T206)+'Track Data'!V206</f>
        <v>-3099.1407421304029</v>
      </c>
      <c r="X206" s="16">
        <f>('Gearing Calculator'!$U$9*9.81)*('Gearing Calculator'!$U$16/'Gearing Calculator'!$C$7)-(('Track Data'!W206)*('Gearing Calculator'!$U$17/'Gearing Calculator'!$C$7))</f>
        <v>3090.4056563518743</v>
      </c>
      <c r="Y206" s="16">
        <f>('Gearing Calculator'!$U$9*9.81)*(('Gearing Calculator'!$C$7-'Gearing Calculator'!$U$16)/'Gearing Calculator'!$C$7)+(('Track Data'!W206)*('Gearing Calculator'!$U$17/'Gearing Calculator'!$C$7))</f>
        <v>-478.98365635187452</v>
      </c>
      <c r="Z206" s="16">
        <f>((X206*COS('Gearing Calculator'!$C$21))/'Gearing Calculator'!$C$22)/2</f>
        <v>95.545568774050921</v>
      </c>
      <c r="AA206" s="16">
        <f>Y206/'Gearing Calculator'!$C$24</f>
        <v>-6.6882183759792397</v>
      </c>
      <c r="AB206" s="16">
        <f t="shared" si="24"/>
        <v>275.15351440445608</v>
      </c>
      <c r="AC206" s="16">
        <v>75</v>
      </c>
      <c r="AD206" s="16">
        <v>0</v>
      </c>
      <c r="AE206" s="16">
        <v>203</v>
      </c>
      <c r="AF206" s="16">
        <f>IF(AC206=0,IF(O206=6,INDEX(Acceleration!$V$4:$V$110,MATCH('Track Data'!S206,Acceleration!$K$4:$K$110,0)),IF('Track Data'!O206=5,INDEX(Acceleration!$U$4:$U$110,MATCH('Track Data'!S206,Acceleration!$K$4:$K$110,0)),1)),U206)</f>
        <v>-12.968079387143963</v>
      </c>
      <c r="AG206" s="16">
        <f>IF(AC206=0,IF(O206=4,INDEX(Acceleration!$T$4:$T$110,MATCH('Track Data'!S206,Acceleration!$K$4:$K$110,0)),IF('Track Data'!O206=3,INDEX(Acceleration!$S$4:$S$110,MATCH('Track Data'!S206,Acceleration!$K$4:$K$110,0)),'Track Data'!AF206)),'Track Data'!U206)</f>
        <v>-12.968079387143963</v>
      </c>
      <c r="AH206" s="16">
        <f>IF(AC206=0,IF(O206=2,INDEX(Acceleration!$R$4:$R$110,MATCH('Track Data'!S206,Acceleration!$K$4:$K$110,0)),IF('Track Data'!O206=1,INDEX(Acceleration!$Q$4:$Q$110,MATCH('Track Data'!S206,Acceleration!$K$4:$K$110,0)),'Track Data'!AG206)),'Track Data'!U206)</f>
        <v>-12.968079387143963</v>
      </c>
    </row>
    <row r="207" spans="2:34" x14ac:dyDescent="0.25">
      <c r="B207" s="16">
        <v>199.392</v>
      </c>
      <c r="C207" s="16">
        <v>7477</v>
      </c>
      <c r="D207" s="16">
        <v>204</v>
      </c>
      <c r="E207" s="113">
        <v>158</v>
      </c>
      <c r="F207" s="113">
        <v>158.6</v>
      </c>
      <c r="G207" s="113">
        <v>165.4</v>
      </c>
      <c r="H207" s="113">
        <f t="shared" si="25"/>
        <v>45.944444444444443</v>
      </c>
      <c r="I207" s="113">
        <v>-3.1</v>
      </c>
      <c r="J207" s="113">
        <v>91.45</v>
      </c>
      <c r="K207" s="113">
        <v>-18.899999999999999</v>
      </c>
      <c r="L207" s="189"/>
      <c r="M207" s="16">
        <v>204</v>
      </c>
      <c r="N207" s="16">
        <f t="shared" si="27"/>
        <v>1.7384266099951792E-2</v>
      </c>
      <c r="O207" s="16">
        <v>6</v>
      </c>
      <c r="P207" s="16">
        <f t="shared" si="22"/>
        <v>7.3113821138211375</v>
      </c>
      <c r="Q207" s="16">
        <f t="shared" si="28"/>
        <v>57.523279628282559</v>
      </c>
      <c r="R207" s="113">
        <f t="shared" si="23"/>
        <v>311.95699999999999</v>
      </c>
      <c r="S207" s="16">
        <f>IF(S206=15800,15800,ROUND((((Q207*60)/'Gearing Calculator'!$C$14)*'Track Data'!P207),-2))</f>
        <v>12800</v>
      </c>
      <c r="T207" s="16">
        <f t="shared" si="26"/>
        <v>-12.968079387143963</v>
      </c>
      <c r="U207" s="16">
        <f>IF(AC207=100,Braking!$AG$2354,IF(AC207=50,Braking!$AG$1179,IF(AC207=75,Braking!$AG$1767,0)))</f>
        <v>-12.968079387143963</v>
      </c>
      <c r="V207" s="16">
        <f>0.5*'Gearing Calculator'!$C$15*'Gearing Calculator'!$C$20*'Gearing Calculator'!$W$20*('Track Data'!Q207^2)</f>
        <v>350.21690768264921</v>
      </c>
      <c r="W207" s="16">
        <f>('Gearing Calculator'!$U$9*'Track Data'!T207)+'Track Data'!V207</f>
        <v>-3101.8858251750735</v>
      </c>
      <c r="X207" s="16">
        <f>('Gearing Calculator'!$U$9*9.81)*('Gearing Calculator'!$U$16/'Gearing Calculator'!$C$7)-(('Track Data'!W207)*('Gearing Calculator'!$U$17/'Gearing Calculator'!$C$7))</f>
        <v>3091.9019140831888</v>
      </c>
      <c r="Y207" s="16">
        <f>('Gearing Calculator'!$U$9*9.81)*(('Gearing Calculator'!$C$7-'Gearing Calculator'!$U$16)/'Gearing Calculator'!$C$7)+(('Track Data'!W207)*('Gearing Calculator'!$U$17/'Gearing Calculator'!$C$7))</f>
        <v>-480.47991408318876</v>
      </c>
      <c r="Z207" s="16">
        <f>((X207*COS('Gearing Calculator'!$C$21))/'Gearing Calculator'!$C$22)/2</f>
        <v>95.591828330843143</v>
      </c>
      <c r="AA207" s="16">
        <f>Y207/'Gearing Calculator'!$C$24</f>
        <v>-6.7091111524259279</v>
      </c>
      <c r="AB207" s="16">
        <f t="shared" si="24"/>
        <v>272.40843135978542</v>
      </c>
      <c r="AC207" s="16">
        <v>75</v>
      </c>
      <c r="AD207" s="16">
        <v>0</v>
      </c>
      <c r="AE207" s="16">
        <v>204</v>
      </c>
      <c r="AF207" s="16">
        <f>IF(AC207=0,IF(O207=6,INDEX(Acceleration!$V$4:$V$110,MATCH('Track Data'!S207,Acceleration!$K$4:$K$110,0)),IF('Track Data'!O207=5,INDEX(Acceleration!$U$4:$U$110,MATCH('Track Data'!S207,Acceleration!$K$4:$K$110,0)),1)),U207)</f>
        <v>-12.968079387143963</v>
      </c>
      <c r="AG207" s="16">
        <f>IF(AC207=0,IF(O207=4,INDEX(Acceleration!$T$4:$T$110,MATCH('Track Data'!S207,Acceleration!$K$4:$K$110,0)),IF('Track Data'!O207=3,INDEX(Acceleration!$S$4:$S$110,MATCH('Track Data'!S207,Acceleration!$K$4:$K$110,0)),'Track Data'!AF207)),'Track Data'!U207)</f>
        <v>-12.968079387143963</v>
      </c>
      <c r="AH207" s="16">
        <f>IF(AC207=0,IF(O207=2,INDEX(Acceleration!$R$4:$R$110,MATCH('Track Data'!S207,Acceleration!$K$4:$K$110,0)),IF('Track Data'!O207=1,INDEX(Acceleration!$Q$4:$Q$110,MATCH('Track Data'!S207,Acceleration!$K$4:$K$110,0)),'Track Data'!AG207)),'Track Data'!U207)</f>
        <v>-12.968079387143963</v>
      </c>
    </row>
    <row r="208" spans="2:34" x14ac:dyDescent="0.25">
      <c r="B208" s="16">
        <v>199.41399999999999</v>
      </c>
      <c r="C208" s="16">
        <v>7478</v>
      </c>
      <c r="D208" s="16">
        <v>205</v>
      </c>
      <c r="E208" s="113">
        <v>158</v>
      </c>
      <c r="F208" s="113">
        <v>157.80000000000001</v>
      </c>
      <c r="G208" s="113">
        <v>164.5</v>
      </c>
      <c r="H208" s="113">
        <f t="shared" si="25"/>
        <v>45.694444444444443</v>
      </c>
      <c r="I208" s="113">
        <v>-3.7</v>
      </c>
      <c r="J208" s="113">
        <v>92.51</v>
      </c>
      <c r="K208" s="113">
        <v>-18.899999999999999</v>
      </c>
      <c r="L208" s="189"/>
      <c r="M208" s="16">
        <v>205</v>
      </c>
      <c r="N208" s="16">
        <f t="shared" si="27"/>
        <v>1.7452800251246056E-2</v>
      </c>
      <c r="O208" s="16">
        <v>6</v>
      </c>
      <c r="P208" s="16">
        <f t="shared" si="22"/>
        <v>7.3113821138211375</v>
      </c>
      <c r="Q208" s="16">
        <f t="shared" si="28"/>
        <v>57.297395581468614</v>
      </c>
      <c r="R208" s="113">
        <f t="shared" si="23"/>
        <v>311.95699999999999</v>
      </c>
      <c r="S208" s="16">
        <f>IF(S207=15800,15800,ROUND((((Q208*60)/'Gearing Calculator'!$C$14)*'Track Data'!P208),-2))</f>
        <v>12700</v>
      </c>
      <c r="T208" s="16">
        <f t="shared" si="26"/>
        <v>-12.968079387143963</v>
      </c>
      <c r="U208" s="16">
        <f>IF(AC208=100,Braking!$AG$2354,IF(AC208=50,Braking!$AG$1179,IF(AC208=75,Braking!$AG$1767,0)))</f>
        <v>-12.968079387143963</v>
      </c>
      <c r="V208" s="16">
        <f>0.5*'Gearing Calculator'!$C$15*'Gearing Calculator'!$C$20*'Gearing Calculator'!$W$20*('Track Data'!Q208^2)</f>
        <v>347.47182463797856</v>
      </c>
      <c r="W208" s="16">
        <f>('Gearing Calculator'!$U$9*'Track Data'!T208)+'Track Data'!V208</f>
        <v>-3104.6309082197445</v>
      </c>
      <c r="X208" s="16">
        <f>('Gearing Calculator'!$U$9*9.81)*('Gearing Calculator'!$U$16/'Gearing Calculator'!$C$7)-(('Track Data'!W208)*('Gearing Calculator'!$U$17/'Gearing Calculator'!$C$7))</f>
        <v>3093.3981718145033</v>
      </c>
      <c r="Y208" s="16">
        <f>('Gearing Calculator'!$U$9*9.81)*(('Gearing Calculator'!$C$7-'Gearing Calculator'!$U$16)/'Gearing Calculator'!$C$7)+(('Track Data'!W208)*('Gearing Calculator'!$U$17/'Gearing Calculator'!$C$7))</f>
        <v>-481.97617181450346</v>
      </c>
      <c r="Z208" s="16">
        <f>((X208*COS('Gearing Calculator'!$C$21))/'Gearing Calculator'!$C$22)/2</f>
        <v>95.638087887635365</v>
      </c>
      <c r="AA208" s="16">
        <f>Y208/'Gearing Calculator'!$C$24</f>
        <v>-6.7300039288726223</v>
      </c>
      <c r="AB208" s="16">
        <f t="shared" si="24"/>
        <v>269.66334831511477</v>
      </c>
      <c r="AC208" s="16">
        <v>75</v>
      </c>
      <c r="AD208" s="16">
        <v>0</v>
      </c>
      <c r="AE208" s="16">
        <v>205</v>
      </c>
      <c r="AF208" s="16">
        <f>IF(AC208=0,IF(O208=6,INDEX(Acceleration!$V$4:$V$110,MATCH('Track Data'!S208,Acceleration!$K$4:$K$110,0)),IF('Track Data'!O208=5,INDEX(Acceleration!$U$4:$U$110,MATCH('Track Data'!S208,Acceleration!$K$4:$K$110,0)),1)),U208)</f>
        <v>-12.968079387143963</v>
      </c>
      <c r="AG208" s="16">
        <f>IF(AC208=0,IF(O208=4,INDEX(Acceleration!$T$4:$T$110,MATCH('Track Data'!S208,Acceleration!$K$4:$K$110,0)),IF('Track Data'!O208=3,INDEX(Acceleration!$S$4:$S$110,MATCH('Track Data'!S208,Acceleration!$K$4:$K$110,0)),'Track Data'!AF208)),'Track Data'!U208)</f>
        <v>-12.968079387143963</v>
      </c>
      <c r="AH208" s="16">
        <f>IF(AC208=0,IF(O208=2,INDEX(Acceleration!$R$4:$R$110,MATCH('Track Data'!S208,Acceleration!$K$4:$K$110,0)),IF('Track Data'!O208=1,INDEX(Acceleration!$Q$4:$Q$110,MATCH('Track Data'!S208,Acceleration!$K$4:$K$110,0)),'Track Data'!AG208)),'Track Data'!U208)</f>
        <v>-12.968079387143963</v>
      </c>
    </row>
    <row r="209" spans="2:34" x14ac:dyDescent="0.25">
      <c r="B209" s="16">
        <v>199.43799999999999</v>
      </c>
      <c r="C209" s="16">
        <v>7479</v>
      </c>
      <c r="D209" s="16">
        <v>206</v>
      </c>
      <c r="E209" s="113">
        <v>158</v>
      </c>
      <c r="F209" s="113">
        <v>156.5</v>
      </c>
      <c r="G209" s="113">
        <v>163.6</v>
      </c>
      <c r="H209" s="113">
        <f t="shared" si="25"/>
        <v>45.444444444444443</v>
      </c>
      <c r="I209" s="113">
        <v>-3.5</v>
      </c>
      <c r="J209" s="113">
        <v>92.99</v>
      </c>
      <c r="K209" s="113">
        <v>-18.899999999999999</v>
      </c>
      <c r="L209" s="189"/>
      <c r="M209" s="16">
        <v>206</v>
      </c>
      <c r="N209" s="16">
        <f t="shared" si="27"/>
        <v>1.7522151394780312E-2</v>
      </c>
      <c r="O209" s="16">
        <v>6</v>
      </c>
      <c r="P209" s="16">
        <f t="shared" si="22"/>
        <v>7.3113821138211375</v>
      </c>
      <c r="Q209" s="16">
        <f t="shared" si="28"/>
        <v>57.070617498367852</v>
      </c>
      <c r="R209" s="113">
        <f t="shared" si="23"/>
        <v>311.95699999999999</v>
      </c>
      <c r="S209" s="16">
        <f>IF(S208=15800,15800,ROUND((((Q209*60)/'Gearing Calculator'!$C$14)*'Track Data'!P209),-2))</f>
        <v>12700</v>
      </c>
      <c r="T209" s="16">
        <f t="shared" si="26"/>
        <v>-12.968079387143963</v>
      </c>
      <c r="U209" s="16">
        <f>IF(AC209=100,Braking!$AG$2354,IF(AC209=50,Braking!$AG$1179,IF(AC209=75,Braking!$AG$1767,0)))</f>
        <v>-12.968079387143963</v>
      </c>
      <c r="V209" s="16">
        <f>0.5*'Gearing Calculator'!$C$15*'Gearing Calculator'!$C$20*'Gearing Calculator'!$W$20*('Track Data'!Q209^2)</f>
        <v>344.72674159330791</v>
      </c>
      <c r="W209" s="16">
        <f>('Gearing Calculator'!$U$9*'Track Data'!T209)+'Track Data'!V209</f>
        <v>-3107.375991264415</v>
      </c>
      <c r="X209" s="16">
        <f>('Gearing Calculator'!$U$9*9.81)*('Gearing Calculator'!$U$16/'Gearing Calculator'!$C$7)-(('Track Data'!W209)*('Gearing Calculator'!$U$17/'Gearing Calculator'!$C$7))</f>
        <v>3094.8944295458177</v>
      </c>
      <c r="Y209" s="16">
        <f>('Gearing Calculator'!$U$9*9.81)*(('Gearing Calculator'!$C$7-'Gearing Calculator'!$U$16)/'Gearing Calculator'!$C$7)+(('Track Data'!W209)*('Gearing Calculator'!$U$17/'Gearing Calculator'!$C$7))</f>
        <v>-483.4724295458177</v>
      </c>
      <c r="Z209" s="16">
        <f>((X209*COS('Gearing Calculator'!$C$21))/'Gearing Calculator'!$C$22)/2</f>
        <v>95.684347444427587</v>
      </c>
      <c r="AA209" s="16">
        <f>Y209/'Gearing Calculator'!$C$24</f>
        <v>-6.7508967053193096</v>
      </c>
      <c r="AB209" s="16">
        <f t="shared" si="24"/>
        <v>266.91826527044412</v>
      </c>
      <c r="AC209" s="16">
        <v>75</v>
      </c>
      <c r="AD209" s="16">
        <v>0</v>
      </c>
      <c r="AE209" s="16">
        <v>206</v>
      </c>
      <c r="AF209" s="16">
        <f>IF(AC209=0,IF(O209=6,INDEX(Acceleration!$V$4:$V$110,MATCH('Track Data'!S209,Acceleration!$K$4:$K$110,0)),IF('Track Data'!O209=5,INDEX(Acceleration!$U$4:$U$110,MATCH('Track Data'!S209,Acceleration!$K$4:$K$110,0)),1)),U209)</f>
        <v>-12.968079387143963</v>
      </c>
      <c r="AG209" s="16">
        <f>IF(AC209=0,IF(O209=4,INDEX(Acceleration!$T$4:$T$110,MATCH('Track Data'!S209,Acceleration!$K$4:$K$110,0)),IF('Track Data'!O209=3,INDEX(Acceleration!$S$4:$S$110,MATCH('Track Data'!S209,Acceleration!$K$4:$K$110,0)),'Track Data'!AF209)),'Track Data'!U209)</f>
        <v>-12.968079387143963</v>
      </c>
      <c r="AH209" s="16">
        <f>IF(AC209=0,IF(O209=2,INDEX(Acceleration!$R$4:$R$110,MATCH('Track Data'!S209,Acceleration!$K$4:$K$110,0)),IF('Track Data'!O209=1,INDEX(Acceleration!$Q$4:$Q$110,MATCH('Track Data'!S209,Acceleration!$K$4:$K$110,0)),'Track Data'!AG209)),'Track Data'!U209)</f>
        <v>-12.968079387143963</v>
      </c>
    </row>
    <row r="210" spans="2:34" x14ac:dyDescent="0.25">
      <c r="B210" s="16">
        <v>199.46</v>
      </c>
      <c r="C210" s="16">
        <v>7480</v>
      </c>
      <c r="D210" s="16">
        <v>207</v>
      </c>
      <c r="E210" s="113">
        <v>154</v>
      </c>
      <c r="F210" s="113">
        <v>156</v>
      </c>
      <c r="G210" s="113">
        <v>162.4</v>
      </c>
      <c r="H210" s="113">
        <f t="shared" si="25"/>
        <v>45.111111111111114</v>
      </c>
      <c r="I210" s="113">
        <v>-1.8</v>
      </c>
      <c r="J210" s="113">
        <v>92.46</v>
      </c>
      <c r="K210" s="113">
        <v>-18.7</v>
      </c>
      <c r="L210" s="189"/>
      <c r="M210" s="16">
        <v>207</v>
      </c>
      <c r="N210" s="16">
        <f t="shared" si="27"/>
        <v>1.7592335892841024E-2</v>
      </c>
      <c r="O210" s="16">
        <v>6</v>
      </c>
      <c r="P210" s="16">
        <f t="shared" si="22"/>
        <v>7.3113821138211375</v>
      </c>
      <c r="Q210" s="16">
        <f t="shared" si="28"/>
        <v>56.842934678557221</v>
      </c>
      <c r="R210" s="113">
        <f t="shared" si="23"/>
        <v>311.95699999999999</v>
      </c>
      <c r="S210" s="16">
        <f>IF(S209=15800,15800,ROUND((((Q210*60)/'Gearing Calculator'!$C$14)*'Track Data'!P210),-2))</f>
        <v>12600</v>
      </c>
      <c r="T210" s="16">
        <f t="shared" si="26"/>
        <v>-12.968079387143963</v>
      </c>
      <c r="U210" s="16">
        <f>IF(AC210=100,Braking!$AG$2354,IF(AC210=50,Braking!$AG$1179,IF(AC210=75,Braking!$AG$1767,0)))</f>
        <v>-12.968079387143963</v>
      </c>
      <c r="V210" s="16">
        <f>0.5*'Gearing Calculator'!$C$15*'Gearing Calculator'!$C$20*'Gearing Calculator'!$W$20*('Track Data'!Q210^2)</f>
        <v>341.98165854863731</v>
      </c>
      <c r="W210" s="16">
        <f>('Gearing Calculator'!$U$9*'Track Data'!T210)+'Track Data'!V210</f>
        <v>-3110.1210743090855</v>
      </c>
      <c r="X210" s="16">
        <f>('Gearing Calculator'!$U$9*9.81)*('Gearing Calculator'!$U$16/'Gearing Calculator'!$C$7)-(('Track Data'!W210)*('Gearing Calculator'!$U$17/'Gearing Calculator'!$C$7))</f>
        <v>3096.3906872771322</v>
      </c>
      <c r="Y210" s="16">
        <f>('Gearing Calculator'!$U$9*9.81)*(('Gearing Calculator'!$C$7-'Gearing Calculator'!$U$16)/'Gearing Calculator'!$C$7)+(('Track Data'!W210)*('Gearing Calculator'!$U$17/'Gearing Calculator'!$C$7))</f>
        <v>-484.96868727713218</v>
      </c>
      <c r="Z210" s="16">
        <f>((X210*COS('Gearing Calculator'!$C$21))/'Gearing Calculator'!$C$22)/2</f>
        <v>95.730607001219809</v>
      </c>
      <c r="AA210" s="16">
        <f>Y210/'Gearing Calculator'!$C$24</f>
        <v>-6.7717894817660014</v>
      </c>
      <c r="AB210" s="16">
        <f t="shared" si="24"/>
        <v>264.17318222577353</v>
      </c>
      <c r="AC210" s="16">
        <v>75</v>
      </c>
      <c r="AD210" s="16">
        <v>0</v>
      </c>
      <c r="AE210" s="16">
        <v>207</v>
      </c>
      <c r="AF210" s="16">
        <f>IF(AC210=0,IF(O210=6,INDEX(Acceleration!$V$4:$V$110,MATCH('Track Data'!S210,Acceleration!$K$4:$K$110,0)),IF('Track Data'!O210=5,INDEX(Acceleration!$U$4:$U$110,MATCH('Track Data'!S210,Acceleration!$K$4:$K$110,0)),1)),U210)</f>
        <v>-12.968079387143963</v>
      </c>
      <c r="AG210" s="16">
        <f>IF(AC210=0,IF(O210=4,INDEX(Acceleration!$T$4:$T$110,MATCH('Track Data'!S210,Acceleration!$K$4:$K$110,0)),IF('Track Data'!O210=3,INDEX(Acceleration!$S$4:$S$110,MATCH('Track Data'!S210,Acceleration!$K$4:$K$110,0)),'Track Data'!AF210)),'Track Data'!U210)</f>
        <v>-12.968079387143963</v>
      </c>
      <c r="AH210" s="16">
        <f>IF(AC210=0,IF(O210=2,INDEX(Acceleration!$R$4:$R$110,MATCH('Track Data'!S210,Acceleration!$K$4:$K$110,0)),IF('Track Data'!O210=1,INDEX(Acceleration!$Q$4:$Q$110,MATCH('Track Data'!S210,Acceleration!$K$4:$K$110,0)),'Track Data'!AG210)),'Track Data'!U210)</f>
        <v>-12.968079387143963</v>
      </c>
    </row>
    <row r="211" spans="2:34" x14ac:dyDescent="0.25">
      <c r="B211" s="16">
        <v>199.483</v>
      </c>
      <c r="C211" s="16">
        <v>7481</v>
      </c>
      <c r="D211" s="16">
        <v>208</v>
      </c>
      <c r="E211" s="113">
        <v>150</v>
      </c>
      <c r="F211" s="113">
        <v>155.4</v>
      </c>
      <c r="G211" s="113">
        <v>161.5</v>
      </c>
      <c r="H211" s="113">
        <f t="shared" si="25"/>
        <v>44.861111111111107</v>
      </c>
      <c r="I211" s="113">
        <v>-1.5</v>
      </c>
      <c r="J211" s="113">
        <v>94.77</v>
      </c>
      <c r="K211" s="113">
        <v>-18.600000000000001</v>
      </c>
      <c r="L211" s="189"/>
      <c r="M211" s="16">
        <v>208</v>
      </c>
      <c r="N211" s="16">
        <f t="shared" si="27"/>
        <v>1.7663370570194063E-2</v>
      </c>
      <c r="O211" s="16">
        <v>6</v>
      </c>
      <c r="P211" s="16">
        <f t="shared" si="22"/>
        <v>7.3113821138211375</v>
      </c>
      <c r="Q211" s="16">
        <f t="shared" si="28"/>
        <v>56.614336206445408</v>
      </c>
      <c r="R211" s="113">
        <f t="shared" si="23"/>
        <v>311.95699999999999</v>
      </c>
      <c r="S211" s="16">
        <f>IF(S210=15800,15800,ROUND((((Q211*60)/'Gearing Calculator'!$C$14)*'Track Data'!P211),-2))</f>
        <v>12500</v>
      </c>
      <c r="T211" s="16">
        <f t="shared" si="26"/>
        <v>-12.968079387143963</v>
      </c>
      <c r="U211" s="16">
        <f>IF(AC211=100,Braking!$AG$2354,IF(AC211=50,Braking!$AG$1179,IF(AC211=75,Braking!$AG$1767,0)))</f>
        <v>-12.968079387143963</v>
      </c>
      <c r="V211" s="16">
        <f>0.5*'Gearing Calculator'!$C$15*'Gearing Calculator'!$C$20*'Gearing Calculator'!$W$20*('Track Data'!Q211^2)</f>
        <v>339.23657550396666</v>
      </c>
      <c r="W211" s="16">
        <f>('Gearing Calculator'!$U$9*'Track Data'!T211)+'Track Data'!V211</f>
        <v>-3112.8661573537561</v>
      </c>
      <c r="X211" s="16">
        <f>('Gearing Calculator'!$U$9*9.81)*('Gearing Calculator'!$U$16/'Gearing Calculator'!$C$7)-(('Track Data'!W211)*('Gearing Calculator'!$U$17/'Gearing Calculator'!$C$7))</f>
        <v>3097.8869450084467</v>
      </c>
      <c r="Y211" s="16">
        <f>('Gearing Calculator'!$U$9*9.81)*(('Gearing Calculator'!$C$7-'Gearing Calculator'!$U$16)/'Gearing Calculator'!$C$7)+(('Track Data'!W211)*('Gearing Calculator'!$U$17/'Gearing Calculator'!$C$7))</f>
        <v>-486.46494500844642</v>
      </c>
      <c r="Z211" s="16">
        <f>((X211*COS('Gearing Calculator'!$C$21))/'Gearing Calculator'!$C$22)/2</f>
        <v>95.776866558012031</v>
      </c>
      <c r="AA211" s="16">
        <f>Y211/'Gearing Calculator'!$C$24</f>
        <v>-6.7926822582126887</v>
      </c>
      <c r="AB211" s="16">
        <f t="shared" si="24"/>
        <v>261.42809918110288</v>
      </c>
      <c r="AC211" s="16">
        <v>75</v>
      </c>
      <c r="AD211" s="16">
        <v>0</v>
      </c>
      <c r="AE211" s="16">
        <v>208</v>
      </c>
      <c r="AF211" s="16">
        <f>IF(AC211=0,IF(O211=6,INDEX(Acceleration!$V$4:$V$110,MATCH('Track Data'!S211,Acceleration!$K$4:$K$110,0)),IF('Track Data'!O211=5,INDEX(Acceleration!$U$4:$U$110,MATCH('Track Data'!S211,Acceleration!$K$4:$K$110,0)),1)),U211)</f>
        <v>-12.968079387143963</v>
      </c>
      <c r="AG211" s="16">
        <f>IF(AC211=0,IF(O211=4,INDEX(Acceleration!$T$4:$T$110,MATCH('Track Data'!S211,Acceleration!$K$4:$K$110,0)),IF('Track Data'!O211=3,INDEX(Acceleration!$S$4:$S$110,MATCH('Track Data'!S211,Acceleration!$K$4:$K$110,0)),'Track Data'!AF211)),'Track Data'!U211)</f>
        <v>-12.968079387143963</v>
      </c>
      <c r="AH211" s="16">
        <f>IF(AC211=0,IF(O211=2,INDEX(Acceleration!$R$4:$R$110,MATCH('Track Data'!S211,Acceleration!$K$4:$K$110,0)),IF('Track Data'!O211=1,INDEX(Acceleration!$Q$4:$Q$110,MATCH('Track Data'!S211,Acceleration!$K$4:$K$110,0)),'Track Data'!AG211)),'Track Data'!U211)</f>
        <v>-12.968079387143963</v>
      </c>
    </row>
    <row r="212" spans="2:34" x14ac:dyDescent="0.25">
      <c r="B212" s="16">
        <v>199.506</v>
      </c>
      <c r="C212" s="16">
        <v>7482</v>
      </c>
      <c r="D212" s="16">
        <v>209</v>
      </c>
      <c r="E212" s="113">
        <v>148</v>
      </c>
      <c r="F212" s="113">
        <v>153.4</v>
      </c>
      <c r="G212" s="113">
        <v>160.69999999999999</v>
      </c>
      <c r="H212" s="113">
        <f t="shared" si="25"/>
        <v>44.638888888888886</v>
      </c>
      <c r="I212" s="113">
        <v>-2.2000000000000002</v>
      </c>
      <c r="J212" s="113">
        <v>95.88</v>
      </c>
      <c r="K212" s="113">
        <v>-18.399999999999999</v>
      </c>
      <c r="L212" s="189"/>
      <c r="M212" s="16">
        <v>209</v>
      </c>
      <c r="N212" s="16">
        <f t="shared" si="27"/>
        <v>1.7735272731028401E-2</v>
      </c>
      <c r="O212" s="16">
        <v>6</v>
      </c>
      <c r="P212" s="16">
        <f t="shared" si="22"/>
        <v>7.3113821138211375</v>
      </c>
      <c r="Q212" s="16">
        <f t="shared" si="28"/>
        <v>56.384810945166322</v>
      </c>
      <c r="R212" s="113">
        <f t="shared" si="23"/>
        <v>311.95699999999999</v>
      </c>
      <c r="S212" s="16">
        <f>IF(S211=15800,15800,ROUND((((Q212*60)/'Gearing Calculator'!$C$14)*'Track Data'!P212),-2))</f>
        <v>12500</v>
      </c>
      <c r="T212" s="16">
        <f t="shared" si="26"/>
        <v>-12.968079387143963</v>
      </c>
      <c r="U212" s="16">
        <f>IF(AC212=100,Braking!$AG$2354,IF(AC212=50,Braking!$AG$1179,IF(AC212=75,Braking!$AG$1767,0)))</f>
        <v>-12.968079387143963</v>
      </c>
      <c r="V212" s="16">
        <f>0.5*'Gearing Calculator'!$C$15*'Gearing Calculator'!$C$20*'Gearing Calculator'!$W$20*('Track Data'!Q212^2)</f>
        <v>336.49149245929613</v>
      </c>
      <c r="W212" s="16">
        <f>('Gearing Calculator'!$U$9*'Track Data'!T212)+'Track Data'!V212</f>
        <v>-3115.6112403984266</v>
      </c>
      <c r="X212" s="16">
        <f>('Gearing Calculator'!$U$9*9.81)*('Gearing Calculator'!$U$16/'Gearing Calculator'!$C$7)-(('Track Data'!W212)*('Gearing Calculator'!$U$17/'Gearing Calculator'!$C$7))</f>
        <v>3099.3832027397611</v>
      </c>
      <c r="Y212" s="16">
        <f>('Gearing Calculator'!$U$9*9.81)*(('Gearing Calculator'!$C$7-'Gearing Calculator'!$U$16)/'Gearing Calculator'!$C$7)+(('Track Data'!W212)*('Gearing Calculator'!$U$17/'Gearing Calculator'!$C$7))</f>
        <v>-487.96120273976089</v>
      </c>
      <c r="Z212" s="16">
        <f>((X212*COS('Gearing Calculator'!$C$21))/'Gearing Calculator'!$C$22)/2</f>
        <v>95.823126114804253</v>
      </c>
      <c r="AA212" s="16">
        <f>Y212/'Gearing Calculator'!$C$24</f>
        <v>-6.8135750346593804</v>
      </c>
      <c r="AB212" s="16">
        <f t="shared" si="24"/>
        <v>258.68301613643234</v>
      </c>
      <c r="AC212" s="16">
        <v>75</v>
      </c>
      <c r="AD212" s="16">
        <v>0</v>
      </c>
      <c r="AE212" s="16">
        <v>209</v>
      </c>
      <c r="AF212" s="16">
        <f>IF(AC212=0,IF(O212=6,INDEX(Acceleration!$V$4:$V$110,MATCH('Track Data'!S212,Acceleration!$K$4:$K$110,0)),IF('Track Data'!O212=5,INDEX(Acceleration!$U$4:$U$110,MATCH('Track Data'!S212,Acceleration!$K$4:$K$110,0)),1)),U212)</f>
        <v>-12.968079387143963</v>
      </c>
      <c r="AG212" s="16">
        <f>IF(AC212=0,IF(O212=4,INDEX(Acceleration!$T$4:$T$110,MATCH('Track Data'!S212,Acceleration!$K$4:$K$110,0)),IF('Track Data'!O212=3,INDEX(Acceleration!$S$4:$S$110,MATCH('Track Data'!S212,Acceleration!$K$4:$K$110,0)),'Track Data'!AF212)),'Track Data'!U212)</f>
        <v>-12.968079387143963</v>
      </c>
      <c r="AH212" s="16">
        <f>IF(AC212=0,IF(O212=2,INDEX(Acceleration!$R$4:$R$110,MATCH('Track Data'!S212,Acceleration!$K$4:$K$110,0)),IF('Track Data'!O212=1,INDEX(Acceleration!$Q$4:$Q$110,MATCH('Track Data'!S212,Acceleration!$K$4:$K$110,0)),'Track Data'!AG212)),'Track Data'!U212)</f>
        <v>-12.968079387143963</v>
      </c>
    </row>
    <row r="213" spans="2:34" x14ac:dyDescent="0.25">
      <c r="B213" s="16">
        <v>199.529</v>
      </c>
      <c r="C213" s="16">
        <v>7483</v>
      </c>
      <c r="D213" s="16">
        <v>210</v>
      </c>
      <c r="E213" s="113">
        <v>145</v>
      </c>
      <c r="F213" s="113">
        <v>151.80000000000001</v>
      </c>
      <c r="G213" s="113">
        <v>159.9</v>
      </c>
      <c r="H213" s="113">
        <f t="shared" si="25"/>
        <v>44.416666666666664</v>
      </c>
      <c r="I213" s="113">
        <v>-3.2</v>
      </c>
      <c r="J213" s="113">
        <v>95.55</v>
      </c>
      <c r="K213" s="113">
        <v>-18</v>
      </c>
      <c r="L213" s="189"/>
      <c r="M213" s="16">
        <v>210</v>
      </c>
      <c r="N213" s="16">
        <f t="shared" si="27"/>
        <v>1.7808060176664742E-2</v>
      </c>
      <c r="O213" s="16">
        <v>6</v>
      </c>
      <c r="P213" s="16">
        <f t="shared" si="22"/>
        <v>7.3113821138211375</v>
      </c>
      <c r="Q213" s="16">
        <f t="shared" si="28"/>
        <v>56.154347530247918</v>
      </c>
      <c r="R213" s="113">
        <f t="shared" si="23"/>
        <v>311.95699999999999</v>
      </c>
      <c r="S213" s="16">
        <f>IF(S212=15800,15800,ROUND((((Q213*60)/'Gearing Calculator'!$C$14)*'Track Data'!P213),-2))</f>
        <v>12400</v>
      </c>
      <c r="T213" s="16">
        <f t="shared" si="26"/>
        <v>-12.968079387143963</v>
      </c>
      <c r="U213" s="16">
        <f>IF(AC213=100,Braking!$AG$2354,IF(AC213=50,Braking!$AG$1179,IF(AC213=75,Braking!$AG$1767,0)))</f>
        <v>-12.968079387143963</v>
      </c>
      <c r="V213" s="16">
        <f>0.5*'Gearing Calculator'!$C$15*'Gearing Calculator'!$C$20*'Gearing Calculator'!$W$20*('Track Data'!Q213^2)</f>
        <v>333.74640941462553</v>
      </c>
      <c r="W213" s="16">
        <f>('Gearing Calculator'!$U$9*'Track Data'!T213)+'Track Data'!V213</f>
        <v>-3118.3563234430976</v>
      </c>
      <c r="X213" s="16">
        <f>('Gearing Calculator'!$U$9*9.81)*('Gearing Calculator'!$U$16/'Gearing Calculator'!$C$7)-(('Track Data'!W213)*('Gearing Calculator'!$U$17/'Gearing Calculator'!$C$7))</f>
        <v>3100.8794604710756</v>
      </c>
      <c r="Y213" s="16">
        <f>('Gearing Calculator'!$U$9*9.81)*(('Gearing Calculator'!$C$7-'Gearing Calculator'!$U$16)/'Gearing Calculator'!$C$7)+(('Track Data'!W213)*('Gearing Calculator'!$U$17/'Gearing Calculator'!$C$7))</f>
        <v>-489.45746047107536</v>
      </c>
      <c r="Z213" s="16">
        <f>((X213*COS('Gearing Calculator'!$C$21))/'Gearing Calculator'!$C$22)/2</f>
        <v>95.869385671596476</v>
      </c>
      <c r="AA213" s="16">
        <f>Y213/'Gearing Calculator'!$C$24</f>
        <v>-6.8344678111060713</v>
      </c>
      <c r="AB213" s="16">
        <f t="shared" si="24"/>
        <v>255.93793309176175</v>
      </c>
      <c r="AC213" s="16">
        <v>75</v>
      </c>
      <c r="AD213" s="16">
        <v>0</v>
      </c>
      <c r="AE213" s="16">
        <v>210</v>
      </c>
      <c r="AF213" s="16">
        <f>IF(AC213=0,IF(O213=6,INDEX(Acceleration!$V$4:$V$110,MATCH('Track Data'!S213,Acceleration!$K$4:$K$110,0)),IF('Track Data'!O213=5,INDEX(Acceleration!$U$4:$U$110,MATCH('Track Data'!S213,Acceleration!$K$4:$K$110,0)),1)),U213)</f>
        <v>-12.968079387143963</v>
      </c>
      <c r="AG213" s="16">
        <f>IF(AC213=0,IF(O213=4,INDEX(Acceleration!$T$4:$T$110,MATCH('Track Data'!S213,Acceleration!$K$4:$K$110,0)),IF('Track Data'!O213=3,INDEX(Acceleration!$S$4:$S$110,MATCH('Track Data'!S213,Acceleration!$K$4:$K$110,0)),'Track Data'!AF213)),'Track Data'!U213)</f>
        <v>-12.968079387143963</v>
      </c>
      <c r="AH213" s="16">
        <f>IF(AC213=0,IF(O213=2,INDEX(Acceleration!$R$4:$R$110,MATCH('Track Data'!S213,Acceleration!$K$4:$K$110,0)),IF('Track Data'!O213=1,INDEX(Acceleration!$Q$4:$Q$110,MATCH('Track Data'!S213,Acceleration!$K$4:$K$110,0)),'Track Data'!AG213)),'Track Data'!U213)</f>
        <v>-12.968079387143963</v>
      </c>
    </row>
    <row r="214" spans="2:34" x14ac:dyDescent="0.25">
      <c r="B214" s="16">
        <v>199.553</v>
      </c>
      <c r="C214" s="16">
        <v>7484</v>
      </c>
      <c r="D214" s="16">
        <v>211</v>
      </c>
      <c r="E214" s="113">
        <v>143</v>
      </c>
      <c r="F214" s="113">
        <v>152.5</v>
      </c>
      <c r="G214" s="113">
        <v>158.69999999999999</v>
      </c>
      <c r="H214" s="113">
        <f t="shared" si="25"/>
        <v>44.083333333333329</v>
      </c>
      <c r="I214" s="113">
        <v>-3.7</v>
      </c>
      <c r="J214" s="113">
        <v>93.75</v>
      </c>
      <c r="K214" s="113">
        <v>-15.6</v>
      </c>
      <c r="L214" s="189"/>
      <c r="M214" s="16">
        <v>211</v>
      </c>
      <c r="N214" s="16">
        <f t="shared" si="27"/>
        <v>1.7881751224070222E-2</v>
      </c>
      <c r="O214" s="16">
        <v>6</v>
      </c>
      <c r="P214" s="16">
        <f t="shared" si="22"/>
        <v>7.3113821138211375</v>
      </c>
      <c r="Q214" s="16">
        <f t="shared" si="28"/>
        <v>55.922934363046195</v>
      </c>
      <c r="R214" s="113">
        <f t="shared" si="23"/>
        <v>311.95699999999999</v>
      </c>
      <c r="S214" s="16">
        <f>IF(S213=15800,15800,ROUND((((Q214*60)/'Gearing Calculator'!$C$14)*'Track Data'!P214),-2))</f>
        <v>12400</v>
      </c>
      <c r="T214" s="16">
        <f t="shared" si="26"/>
        <v>-12.968079387143963</v>
      </c>
      <c r="U214" s="16">
        <f>IF(AC214=100,Braking!$AG$2354,IF(AC214=50,Braking!$AG$1179,IF(AC214=75,Braking!$AG$1767,0)))</f>
        <v>-12.968079387143963</v>
      </c>
      <c r="V214" s="16">
        <f>0.5*'Gearing Calculator'!$C$15*'Gearing Calculator'!$C$20*'Gearing Calculator'!$W$20*('Track Data'!Q214^2)</f>
        <v>331.00132636995494</v>
      </c>
      <c r="W214" s="16">
        <f>('Gearing Calculator'!$U$9*'Track Data'!T214)+'Track Data'!V214</f>
        <v>-3121.1014064877681</v>
      </c>
      <c r="X214" s="16">
        <f>('Gearing Calculator'!$U$9*9.81)*('Gearing Calculator'!$U$16/'Gearing Calculator'!$C$7)-(('Track Data'!W214)*('Gearing Calculator'!$U$17/'Gearing Calculator'!$C$7))</f>
        <v>3102.3757182023896</v>
      </c>
      <c r="Y214" s="16">
        <f>('Gearing Calculator'!$U$9*9.81)*(('Gearing Calculator'!$C$7-'Gearing Calculator'!$U$16)/'Gearing Calculator'!$C$7)+(('Track Data'!W214)*('Gearing Calculator'!$U$17/'Gearing Calculator'!$C$7))</f>
        <v>-490.95371820238961</v>
      </c>
      <c r="Z214" s="16">
        <f>((X214*COS('Gearing Calculator'!$C$21))/'Gearing Calculator'!$C$22)/2</f>
        <v>95.915645228388669</v>
      </c>
      <c r="AA214" s="16">
        <f>Y214/'Gearing Calculator'!$C$24</f>
        <v>-6.8553605875527595</v>
      </c>
      <c r="AB214" s="16">
        <f t="shared" si="24"/>
        <v>253.19285004709116</v>
      </c>
      <c r="AC214" s="16">
        <v>75</v>
      </c>
      <c r="AD214" s="16">
        <v>0</v>
      </c>
      <c r="AE214" s="16">
        <v>211</v>
      </c>
      <c r="AF214" s="16">
        <f>IF(AC214=0,IF(O214=6,INDEX(Acceleration!$V$4:$V$110,MATCH('Track Data'!S214,Acceleration!$K$4:$K$110,0)),IF('Track Data'!O214=5,INDEX(Acceleration!$U$4:$U$110,MATCH('Track Data'!S214,Acceleration!$K$4:$K$110,0)),1)),U214)</f>
        <v>-12.968079387143963</v>
      </c>
      <c r="AG214" s="16">
        <f>IF(AC214=0,IF(O214=4,INDEX(Acceleration!$T$4:$T$110,MATCH('Track Data'!S214,Acceleration!$K$4:$K$110,0)),IF('Track Data'!O214=3,INDEX(Acceleration!$S$4:$S$110,MATCH('Track Data'!S214,Acceleration!$K$4:$K$110,0)),'Track Data'!AF214)),'Track Data'!U214)</f>
        <v>-12.968079387143963</v>
      </c>
      <c r="AH214" s="16">
        <f>IF(AC214=0,IF(O214=2,INDEX(Acceleration!$R$4:$R$110,MATCH('Track Data'!S214,Acceleration!$K$4:$K$110,0)),IF('Track Data'!O214=1,INDEX(Acceleration!$Q$4:$Q$110,MATCH('Track Data'!S214,Acceleration!$K$4:$K$110,0)),'Track Data'!AG214)),'Track Data'!U214)</f>
        <v>-12.968079387143963</v>
      </c>
    </row>
    <row r="215" spans="2:34" x14ac:dyDescent="0.25">
      <c r="B215" s="16">
        <v>199.577</v>
      </c>
      <c r="C215" s="16">
        <v>7485</v>
      </c>
      <c r="D215" s="16">
        <v>212</v>
      </c>
      <c r="E215" s="113">
        <v>142</v>
      </c>
      <c r="F215" s="113">
        <v>151.80000000000001</v>
      </c>
      <c r="G215" s="113">
        <v>158</v>
      </c>
      <c r="H215" s="113">
        <f t="shared" si="25"/>
        <v>43.888888888888886</v>
      </c>
      <c r="I215" s="113">
        <v>-3.7</v>
      </c>
      <c r="J215" s="113">
        <v>93.32</v>
      </c>
      <c r="K215" s="113">
        <v>-13.9</v>
      </c>
      <c r="L215" s="189"/>
      <c r="M215" s="16">
        <v>212</v>
      </c>
      <c r="N215" s="16">
        <f t="shared" si="27"/>
        <v>1.7956364725222947E-2</v>
      </c>
      <c r="O215" s="16">
        <v>6</v>
      </c>
      <c r="P215" s="16">
        <f t="shared" si="22"/>
        <v>7.3113821138211375</v>
      </c>
      <c r="Q215" s="16">
        <f t="shared" si="28"/>
        <v>55.690559603933636</v>
      </c>
      <c r="R215" s="113">
        <f t="shared" si="23"/>
        <v>311.95699999999999</v>
      </c>
      <c r="S215" s="16">
        <f>IF(S214=15800,15800,ROUND((((Q215*60)/'Gearing Calculator'!$C$14)*'Track Data'!P215),-2))</f>
        <v>12300</v>
      </c>
      <c r="T215" s="16">
        <f t="shared" si="26"/>
        <v>-12.968079387143963</v>
      </c>
      <c r="U215" s="16">
        <f>IF(AC215=100,Braking!$AG$2354,IF(AC215=50,Braking!$AG$1179,IF(AC215=75,Braking!$AG$1767,0)))</f>
        <v>-12.968079387143963</v>
      </c>
      <c r="V215" s="16">
        <f>0.5*'Gearing Calculator'!$C$15*'Gearing Calculator'!$C$20*'Gearing Calculator'!$W$20*('Track Data'!Q215^2)</f>
        <v>328.25624332528429</v>
      </c>
      <c r="W215" s="16">
        <f>('Gearing Calculator'!$U$9*'Track Data'!T215)+'Track Data'!V215</f>
        <v>-3123.8464895324387</v>
      </c>
      <c r="X215" s="16">
        <f>('Gearing Calculator'!$U$9*9.81)*('Gearing Calculator'!$U$16/'Gearing Calculator'!$C$7)-(('Track Data'!W215)*('Gearing Calculator'!$U$17/'Gearing Calculator'!$C$7))</f>
        <v>3103.8719759337041</v>
      </c>
      <c r="Y215" s="16">
        <f>('Gearing Calculator'!$U$9*9.81)*(('Gearing Calculator'!$C$7-'Gearing Calculator'!$U$16)/'Gearing Calculator'!$C$7)+(('Track Data'!W215)*('Gearing Calculator'!$U$17/'Gearing Calculator'!$C$7))</f>
        <v>-492.44997593370408</v>
      </c>
      <c r="Z215" s="16">
        <f>((X215*COS('Gearing Calculator'!$C$21))/'Gearing Calculator'!$C$22)/2</f>
        <v>95.961904785180892</v>
      </c>
      <c r="AA215" s="16">
        <f>Y215/'Gearing Calculator'!$C$24</f>
        <v>-6.8762533639994503</v>
      </c>
      <c r="AB215" s="16">
        <f t="shared" si="24"/>
        <v>250.44776700242051</v>
      </c>
      <c r="AC215" s="16">
        <v>75</v>
      </c>
      <c r="AD215" s="16">
        <v>0</v>
      </c>
      <c r="AE215" s="16">
        <v>212</v>
      </c>
      <c r="AF215" s="16">
        <f>IF(AC215=0,IF(O215=6,INDEX(Acceleration!$V$4:$V$110,MATCH('Track Data'!S215,Acceleration!$K$4:$K$110,0)),IF('Track Data'!O215=5,INDEX(Acceleration!$U$4:$U$110,MATCH('Track Data'!S215,Acceleration!$K$4:$K$110,0)),1)),U215)</f>
        <v>-12.968079387143963</v>
      </c>
      <c r="AG215" s="16">
        <f>IF(AC215=0,IF(O215=4,INDEX(Acceleration!$T$4:$T$110,MATCH('Track Data'!S215,Acceleration!$K$4:$K$110,0)),IF('Track Data'!O215=3,INDEX(Acceleration!$S$4:$S$110,MATCH('Track Data'!S215,Acceleration!$K$4:$K$110,0)),'Track Data'!AF215)),'Track Data'!U215)</f>
        <v>-12.968079387143963</v>
      </c>
      <c r="AH215" s="16">
        <f>IF(AC215=0,IF(O215=2,INDEX(Acceleration!$R$4:$R$110,MATCH('Track Data'!S215,Acceleration!$K$4:$K$110,0)),IF('Track Data'!O215=1,INDEX(Acceleration!$Q$4:$Q$110,MATCH('Track Data'!S215,Acceleration!$K$4:$K$110,0)),'Track Data'!AG215)),'Track Data'!U215)</f>
        <v>-12.968079387143963</v>
      </c>
    </row>
    <row r="216" spans="2:34" x14ac:dyDescent="0.25">
      <c r="B216" s="16">
        <v>199.6</v>
      </c>
      <c r="C216" s="16">
        <v>7486</v>
      </c>
      <c r="D216" s="16">
        <v>213</v>
      </c>
      <c r="E216" s="113">
        <v>141</v>
      </c>
      <c r="F216" s="113">
        <v>150.19999999999999</v>
      </c>
      <c r="G216" s="113">
        <v>156.9</v>
      </c>
      <c r="H216" s="113">
        <f t="shared" si="25"/>
        <v>43.583333333333336</v>
      </c>
      <c r="I216" s="113">
        <v>-3.7</v>
      </c>
      <c r="J216" s="113">
        <v>93.69</v>
      </c>
      <c r="K216" s="113">
        <v>-11.5</v>
      </c>
      <c r="L216" s="189"/>
      <c r="M216" s="16">
        <v>213</v>
      </c>
      <c r="N216" s="16">
        <f t="shared" si="27"/>
        <v>1.80319200873728E-2</v>
      </c>
      <c r="O216" s="16">
        <v>6</v>
      </c>
      <c r="P216" s="16">
        <f t="shared" si="22"/>
        <v>7.3113821138211375</v>
      </c>
      <c r="Q216" s="16">
        <f t="shared" si="28"/>
        <v>55.457211165230774</v>
      </c>
      <c r="R216" s="113">
        <f t="shared" si="23"/>
        <v>311.95699999999999</v>
      </c>
      <c r="S216" s="16">
        <f>IF(S215=15800,15800,ROUND((((Q216*60)/'Gearing Calculator'!$C$14)*'Track Data'!P216),-2))</f>
        <v>12300</v>
      </c>
      <c r="T216" s="16">
        <f t="shared" si="26"/>
        <v>-12.968079387143963</v>
      </c>
      <c r="U216" s="16">
        <f>IF(AC216=100,Braking!$AG$2354,IF(AC216=50,Braking!$AG$1179,IF(AC216=75,Braking!$AG$1767,0)))</f>
        <v>-12.968079387143963</v>
      </c>
      <c r="V216" s="16">
        <f>0.5*'Gearing Calculator'!$C$15*'Gearing Calculator'!$C$20*'Gearing Calculator'!$W$20*('Track Data'!Q216^2)</f>
        <v>325.51116028061364</v>
      </c>
      <c r="W216" s="16">
        <f>('Gearing Calculator'!$U$9*'Track Data'!T216)+'Track Data'!V216</f>
        <v>-3126.5915725771092</v>
      </c>
      <c r="X216" s="16">
        <f>('Gearing Calculator'!$U$9*9.81)*('Gearing Calculator'!$U$16/'Gearing Calculator'!$C$7)-(('Track Data'!W216)*('Gearing Calculator'!$U$17/'Gearing Calculator'!$C$7))</f>
        <v>3105.3682336650181</v>
      </c>
      <c r="Y216" s="16">
        <f>('Gearing Calculator'!$U$9*9.81)*(('Gearing Calculator'!$C$7-'Gearing Calculator'!$U$16)/'Gearing Calculator'!$C$7)+(('Track Data'!W216)*('Gearing Calculator'!$U$17/'Gearing Calculator'!$C$7))</f>
        <v>-493.94623366501833</v>
      </c>
      <c r="Z216" s="16">
        <f>((X216*COS('Gearing Calculator'!$C$21))/'Gearing Calculator'!$C$22)/2</f>
        <v>96.008164341973099</v>
      </c>
      <c r="AA216" s="16">
        <f>Y216/'Gearing Calculator'!$C$24</f>
        <v>-6.8971461404461385</v>
      </c>
      <c r="AB216" s="16">
        <f t="shared" si="24"/>
        <v>247.70268395774985</v>
      </c>
      <c r="AC216" s="16">
        <v>75</v>
      </c>
      <c r="AD216" s="16">
        <v>0</v>
      </c>
      <c r="AE216" s="16">
        <v>213</v>
      </c>
      <c r="AF216" s="16">
        <f>IF(AC216=0,IF(O216=6,INDEX(Acceleration!$V$4:$V$110,MATCH('Track Data'!S216,Acceleration!$K$4:$K$110,0)),IF('Track Data'!O216=5,INDEX(Acceleration!$U$4:$U$110,MATCH('Track Data'!S216,Acceleration!$K$4:$K$110,0)),1)),U216)</f>
        <v>-12.968079387143963</v>
      </c>
      <c r="AG216" s="16">
        <f>IF(AC216=0,IF(O216=4,INDEX(Acceleration!$T$4:$T$110,MATCH('Track Data'!S216,Acceleration!$K$4:$K$110,0)),IF('Track Data'!O216=3,INDEX(Acceleration!$S$4:$S$110,MATCH('Track Data'!S216,Acceleration!$K$4:$K$110,0)),'Track Data'!AF216)),'Track Data'!U216)</f>
        <v>-12.968079387143963</v>
      </c>
      <c r="AH216" s="16">
        <f>IF(AC216=0,IF(O216=2,INDEX(Acceleration!$R$4:$R$110,MATCH('Track Data'!S216,Acceleration!$K$4:$K$110,0)),IF('Track Data'!O216=1,INDEX(Acceleration!$Q$4:$Q$110,MATCH('Track Data'!S216,Acceleration!$K$4:$K$110,0)),'Track Data'!AG216)),'Track Data'!U216)</f>
        <v>-12.968079387143963</v>
      </c>
    </row>
    <row r="217" spans="2:34" x14ac:dyDescent="0.25">
      <c r="B217" s="16">
        <v>199.624</v>
      </c>
      <c r="C217" s="16">
        <v>7487</v>
      </c>
      <c r="D217" s="16">
        <v>214</v>
      </c>
      <c r="E217" s="113">
        <v>140</v>
      </c>
      <c r="F217" s="113">
        <v>149.30000000000001</v>
      </c>
      <c r="G217" s="113">
        <v>156.1</v>
      </c>
      <c r="H217" s="113">
        <f t="shared" si="25"/>
        <v>43.361111111111107</v>
      </c>
      <c r="I217" s="113">
        <v>-3.7</v>
      </c>
      <c r="J217" s="113">
        <v>93.45</v>
      </c>
      <c r="K217" s="113">
        <v>-10</v>
      </c>
      <c r="L217" s="189"/>
      <c r="M217" s="16">
        <v>214</v>
      </c>
      <c r="N217" s="16">
        <f t="shared" si="27"/>
        <v>1.8108437294248016E-2</v>
      </c>
      <c r="O217" s="16">
        <v>6</v>
      </c>
      <c r="P217" s="16">
        <f t="shared" si="22"/>
        <v>7.3113821138211375</v>
      </c>
      <c r="Q217" s="16">
        <f t="shared" si="28"/>
        <v>55.22287670386892</v>
      </c>
      <c r="R217" s="113">
        <f t="shared" si="23"/>
        <v>311.95699999999999</v>
      </c>
      <c r="S217" s="16">
        <f>IF(S216=15800,15800,ROUND((((Q217*60)/'Gearing Calculator'!$C$14)*'Track Data'!P217),-2))</f>
        <v>12200</v>
      </c>
      <c r="T217" s="16">
        <f t="shared" si="26"/>
        <v>-12.968079387143963</v>
      </c>
      <c r="U217" s="16">
        <f>IF(AC217=100,Braking!$AG$2354,IF(AC217=50,Braking!$AG$1179,IF(AC217=75,Braking!$AG$1767,0)))</f>
        <v>-12.968079387143963</v>
      </c>
      <c r="V217" s="16">
        <f>0.5*'Gearing Calculator'!$C$15*'Gearing Calculator'!$C$20*'Gearing Calculator'!$W$20*('Track Data'!Q217^2)</f>
        <v>322.76607723594299</v>
      </c>
      <c r="W217" s="16">
        <f>('Gearing Calculator'!$U$9*'Track Data'!T217)+'Track Data'!V217</f>
        <v>-3129.3366556217798</v>
      </c>
      <c r="X217" s="16">
        <f>('Gearing Calculator'!$U$9*9.81)*('Gearing Calculator'!$U$16/'Gearing Calculator'!$C$7)-(('Track Data'!W217)*('Gearing Calculator'!$U$17/'Gearing Calculator'!$C$7))</f>
        <v>3106.8644913963326</v>
      </c>
      <c r="Y217" s="16">
        <f>('Gearing Calculator'!$U$9*9.81)*(('Gearing Calculator'!$C$7-'Gearing Calculator'!$U$16)/'Gearing Calculator'!$C$7)+(('Track Data'!W217)*('Gearing Calculator'!$U$17/'Gearing Calculator'!$C$7))</f>
        <v>-495.4424913963328</v>
      </c>
      <c r="Z217" s="16">
        <f>((X217*COS('Gearing Calculator'!$C$21))/'Gearing Calculator'!$C$22)/2</f>
        <v>96.054423898765322</v>
      </c>
      <c r="AA217" s="16">
        <f>Y217/'Gearing Calculator'!$C$24</f>
        <v>-6.9180389168928293</v>
      </c>
      <c r="AB217" s="16">
        <f t="shared" si="24"/>
        <v>244.9576009130792</v>
      </c>
      <c r="AC217" s="16">
        <v>75</v>
      </c>
      <c r="AD217" s="16">
        <v>0</v>
      </c>
      <c r="AE217" s="16">
        <v>214</v>
      </c>
      <c r="AF217" s="16">
        <f>IF(AC217=0,IF(O217=6,INDEX(Acceleration!$V$4:$V$110,MATCH('Track Data'!S217,Acceleration!$K$4:$K$110,0)),IF('Track Data'!O217=5,INDEX(Acceleration!$U$4:$U$110,MATCH('Track Data'!S217,Acceleration!$K$4:$K$110,0)),1)),U217)</f>
        <v>-12.968079387143963</v>
      </c>
      <c r="AG217" s="16">
        <f>IF(AC217=0,IF(O217=4,INDEX(Acceleration!$T$4:$T$110,MATCH('Track Data'!S217,Acceleration!$K$4:$K$110,0)),IF('Track Data'!O217=3,INDEX(Acceleration!$S$4:$S$110,MATCH('Track Data'!S217,Acceleration!$K$4:$K$110,0)),'Track Data'!AF217)),'Track Data'!U217)</f>
        <v>-12.968079387143963</v>
      </c>
      <c r="AH217" s="16">
        <f>IF(AC217=0,IF(O217=2,INDEX(Acceleration!$R$4:$R$110,MATCH('Track Data'!S217,Acceleration!$K$4:$K$110,0)),IF('Track Data'!O217=1,INDEX(Acceleration!$Q$4:$Q$110,MATCH('Track Data'!S217,Acceleration!$K$4:$K$110,0)),'Track Data'!AG217)),'Track Data'!U217)</f>
        <v>-12.968079387143963</v>
      </c>
    </row>
    <row r="218" spans="2:34" x14ac:dyDescent="0.25">
      <c r="B218" s="16">
        <v>199.648</v>
      </c>
      <c r="C218" s="16">
        <v>7488</v>
      </c>
      <c r="D218" s="16">
        <v>215</v>
      </c>
      <c r="E218" s="113">
        <v>139</v>
      </c>
      <c r="F218" s="113">
        <v>148.69999999999999</v>
      </c>
      <c r="G218" s="113">
        <v>155.4</v>
      </c>
      <c r="H218" s="113">
        <f t="shared" si="25"/>
        <v>43.166666666666664</v>
      </c>
      <c r="I218" s="113">
        <v>-3.8</v>
      </c>
      <c r="J218" s="113">
        <v>93.24</v>
      </c>
      <c r="K218" s="113">
        <v>-8.4</v>
      </c>
      <c r="L218" s="189"/>
      <c r="M218" s="16">
        <v>215</v>
      </c>
      <c r="N218" s="16">
        <f t="shared" si="27"/>
        <v>1.8185936928260104E-2</v>
      </c>
      <c r="O218" s="16">
        <v>6</v>
      </c>
      <c r="P218" s="16">
        <f t="shared" si="22"/>
        <v>7.3113821138211375</v>
      </c>
      <c r="Q218" s="16">
        <f t="shared" si="28"/>
        <v>54.987543613771486</v>
      </c>
      <c r="R218" s="113">
        <f t="shared" si="23"/>
        <v>311.95699999999999</v>
      </c>
      <c r="S218" s="16">
        <f>IF(S217=15800,15800,ROUND((((Q218*60)/'Gearing Calculator'!$C$14)*'Track Data'!P218),-2))</f>
        <v>12200</v>
      </c>
      <c r="T218" s="16">
        <f t="shared" si="26"/>
        <v>-12.968079387143963</v>
      </c>
      <c r="U218" s="16">
        <f>IF(AC218=100,Braking!$AG$2354,IF(AC218=50,Braking!$AG$1179,IF(AC218=75,Braking!$AG$1767,0)))</f>
        <v>-12.968079387143963</v>
      </c>
      <c r="V218" s="16">
        <f>0.5*'Gearing Calculator'!$C$15*'Gearing Calculator'!$C$20*'Gearing Calculator'!$W$20*('Track Data'!Q218^2)</f>
        <v>320.02099419127239</v>
      </c>
      <c r="W218" s="16">
        <f>('Gearing Calculator'!$U$9*'Track Data'!T218)+'Track Data'!V218</f>
        <v>-3132.0817386664503</v>
      </c>
      <c r="X218" s="16">
        <f>('Gearing Calculator'!$U$9*9.81)*('Gearing Calculator'!$U$16/'Gearing Calculator'!$C$7)-(('Track Data'!W218)*('Gearing Calculator'!$U$17/'Gearing Calculator'!$C$7))</f>
        <v>3108.3607491276471</v>
      </c>
      <c r="Y218" s="16">
        <f>('Gearing Calculator'!$U$9*9.81)*(('Gearing Calculator'!$C$7-'Gearing Calculator'!$U$16)/'Gearing Calculator'!$C$7)+(('Track Data'!W218)*('Gearing Calculator'!$U$17/'Gearing Calculator'!$C$7))</f>
        <v>-496.93874912764704</v>
      </c>
      <c r="Z218" s="16">
        <f>((X218*COS('Gearing Calculator'!$C$21))/'Gearing Calculator'!$C$22)/2</f>
        <v>96.100683455557544</v>
      </c>
      <c r="AA218" s="16">
        <f>Y218/'Gearing Calculator'!$C$24</f>
        <v>-6.9389316933395175</v>
      </c>
      <c r="AB218" s="16">
        <f t="shared" si="24"/>
        <v>242.21251786840861</v>
      </c>
      <c r="AC218" s="16">
        <v>75</v>
      </c>
      <c r="AD218" s="16">
        <v>0</v>
      </c>
      <c r="AE218" s="16">
        <v>215</v>
      </c>
      <c r="AF218" s="16">
        <f>IF(AC218=0,IF(O218=6,INDEX(Acceleration!$V$4:$V$110,MATCH('Track Data'!S218,Acceleration!$K$4:$K$110,0)),IF('Track Data'!O218=5,INDEX(Acceleration!$U$4:$U$110,MATCH('Track Data'!S218,Acceleration!$K$4:$K$110,0)),1)),U218)</f>
        <v>-12.968079387143963</v>
      </c>
      <c r="AG218" s="16">
        <f>IF(AC218=0,IF(O218=4,INDEX(Acceleration!$T$4:$T$110,MATCH('Track Data'!S218,Acceleration!$K$4:$K$110,0)),IF('Track Data'!O218=3,INDEX(Acceleration!$S$4:$S$110,MATCH('Track Data'!S218,Acceleration!$K$4:$K$110,0)),'Track Data'!AF218)),'Track Data'!U218)</f>
        <v>-12.968079387143963</v>
      </c>
      <c r="AH218" s="16">
        <f>IF(AC218=0,IF(O218=2,INDEX(Acceleration!$R$4:$R$110,MATCH('Track Data'!S218,Acceleration!$K$4:$K$110,0)),IF('Track Data'!O218=1,INDEX(Acceleration!$Q$4:$Q$110,MATCH('Track Data'!S218,Acceleration!$K$4:$K$110,0)),'Track Data'!AG218)),'Track Data'!U218)</f>
        <v>-12.968079387143963</v>
      </c>
    </row>
    <row r="219" spans="2:34" x14ac:dyDescent="0.25">
      <c r="B219" s="16">
        <v>199.673</v>
      </c>
      <c r="C219" s="16">
        <v>7489</v>
      </c>
      <c r="D219" s="16">
        <v>216</v>
      </c>
      <c r="E219" s="113">
        <v>136</v>
      </c>
      <c r="F219" s="113">
        <v>149.30000000000001</v>
      </c>
      <c r="G219" s="113">
        <v>154.30000000000001</v>
      </c>
      <c r="H219" s="113">
        <f t="shared" si="25"/>
        <v>42.861111111111114</v>
      </c>
      <c r="I219" s="113">
        <v>-3.8</v>
      </c>
      <c r="J219" s="113">
        <v>93.55</v>
      </c>
      <c r="K219" s="113">
        <v>-6.1</v>
      </c>
      <c r="L219" s="189"/>
      <c r="M219" s="16">
        <v>216</v>
      </c>
      <c r="N219" s="16">
        <f t="shared" si="27"/>
        <v>1.8264440193763172E-2</v>
      </c>
      <c r="O219" s="16">
        <v>6</v>
      </c>
      <c r="P219" s="16">
        <f t="shared" si="22"/>
        <v>7.3113821138211375</v>
      </c>
      <c r="Q219" s="16">
        <f t="shared" si="28"/>
        <v>54.751199017940543</v>
      </c>
      <c r="R219" s="113">
        <f t="shared" si="23"/>
        <v>311.95699999999999</v>
      </c>
      <c r="S219" s="16">
        <f>IF(S218=15800,15800,ROUND((((Q219*60)/'Gearing Calculator'!$C$14)*'Track Data'!P219),-2))</f>
        <v>12100</v>
      </c>
      <c r="T219" s="16">
        <f t="shared" si="26"/>
        <v>-14.71670186282954</v>
      </c>
      <c r="U219" s="16">
        <f>IF(AC219=100,Braking!$AG$2354,IF(AC219=50,Braking!$AG$1179,IF(AC219=75,Braking!$AG$1767,0)))</f>
        <v>-14.71670186282954</v>
      </c>
      <c r="V219" s="16">
        <f>0.5*'Gearing Calculator'!$C$15*'Gearing Calculator'!$C$20*'Gearing Calculator'!$W$20*('Track Data'!Q219^2)</f>
        <v>317.2759111466018</v>
      </c>
      <c r="W219" s="16">
        <f>('Gearing Calculator'!$U$9*'Track Data'!T219)+'Track Data'!V219</f>
        <v>-3600.3101247386217</v>
      </c>
      <c r="X219" s="16">
        <f>('Gearing Calculator'!$U$9*9.81)*('Gearing Calculator'!$U$16/'Gearing Calculator'!$C$7)-(('Track Data'!W219)*('Gearing Calculator'!$U$17/'Gearing Calculator'!$C$7))</f>
        <v>3363.5771966014272</v>
      </c>
      <c r="Y219" s="16">
        <f>('Gearing Calculator'!$U$9*9.81)*(('Gearing Calculator'!$C$7-'Gearing Calculator'!$U$16)/'Gearing Calculator'!$C$7)+(('Track Data'!W219)*('Gearing Calculator'!$U$17/'Gearing Calculator'!$C$7))</f>
        <v>-752.15519660142718</v>
      </c>
      <c r="Z219" s="16">
        <f>((X219*COS('Gearing Calculator'!$C$21))/'Gearing Calculator'!$C$22)/2</f>
        <v>103.99116883059421</v>
      </c>
      <c r="AA219" s="16">
        <f>Y219/'Gearing Calculator'!$C$24</f>
        <v>-10.50260930782645</v>
      </c>
      <c r="AB219" s="16">
        <f t="shared" si="24"/>
        <v>228.97569996962454</v>
      </c>
      <c r="AC219" s="16">
        <v>100</v>
      </c>
      <c r="AD219" s="16">
        <v>0</v>
      </c>
      <c r="AE219" s="16">
        <v>216</v>
      </c>
      <c r="AF219" s="16">
        <f>IF(AC219=0,IF(O219=6,INDEX(Acceleration!$V$4:$V$110,MATCH('Track Data'!S219,Acceleration!$K$4:$K$110,0)),IF('Track Data'!O219=5,INDEX(Acceleration!$U$4:$U$110,MATCH('Track Data'!S219,Acceleration!$K$4:$K$110,0)),1)),U219)</f>
        <v>-14.71670186282954</v>
      </c>
      <c r="AG219" s="16">
        <f>IF(AC219=0,IF(O219=4,INDEX(Acceleration!$T$4:$T$110,MATCH('Track Data'!S219,Acceleration!$K$4:$K$110,0)),IF('Track Data'!O219=3,INDEX(Acceleration!$S$4:$S$110,MATCH('Track Data'!S219,Acceleration!$K$4:$K$110,0)),'Track Data'!AF219)),'Track Data'!U219)</f>
        <v>-14.71670186282954</v>
      </c>
      <c r="AH219" s="16">
        <f>IF(AC219=0,IF(O219=2,INDEX(Acceleration!$R$4:$R$110,MATCH('Track Data'!S219,Acceleration!$K$4:$K$110,0)),IF('Track Data'!O219=1,INDEX(Acceleration!$Q$4:$Q$110,MATCH('Track Data'!S219,Acceleration!$K$4:$K$110,0)),'Track Data'!AG219)),'Track Data'!U219)</f>
        <v>-14.71670186282954</v>
      </c>
    </row>
    <row r="220" spans="2:34" x14ac:dyDescent="0.25">
      <c r="B220" s="16">
        <v>199.696</v>
      </c>
      <c r="C220" s="16">
        <v>7490</v>
      </c>
      <c r="D220" s="16">
        <v>217</v>
      </c>
      <c r="E220" s="113">
        <v>135</v>
      </c>
      <c r="F220" s="113">
        <v>148.1</v>
      </c>
      <c r="G220" s="113">
        <v>153.6</v>
      </c>
      <c r="H220" s="113">
        <f t="shared" si="25"/>
        <v>42.666666666666664</v>
      </c>
      <c r="I220" s="113">
        <v>-3.8</v>
      </c>
      <c r="J220" s="113">
        <v>94.62</v>
      </c>
      <c r="K220" s="113">
        <v>-6.1</v>
      </c>
      <c r="L220" s="189"/>
      <c r="M220" s="16">
        <v>217</v>
      </c>
      <c r="N220" s="16">
        <f t="shared" si="27"/>
        <v>1.8354772317626285E-2</v>
      </c>
      <c r="O220" s="16">
        <v>6</v>
      </c>
      <c r="P220" s="16">
        <f t="shared" si="22"/>
        <v>7.3113821138211375</v>
      </c>
      <c r="Q220" s="16">
        <f t="shared" si="28"/>
        <v>54.481743641117752</v>
      </c>
      <c r="R220" s="113">
        <f t="shared" si="23"/>
        <v>311.95699999999999</v>
      </c>
      <c r="S220" s="16">
        <f>IF(S219=15800,15800,ROUND((((Q220*60)/'Gearing Calculator'!$C$14)*'Track Data'!P220),-2))</f>
        <v>12100</v>
      </c>
      <c r="T220" s="16">
        <f t="shared" si="26"/>
        <v>-14.71670186282954</v>
      </c>
      <c r="U220" s="16">
        <f>IF(AC220=100,Braking!$AG$2354,IF(AC220=50,Braking!$AG$1179,IF(AC220=75,Braking!$AG$1767,0)))</f>
        <v>-14.71670186282954</v>
      </c>
      <c r="V220" s="16">
        <f>0.5*'Gearing Calculator'!$C$15*'Gearing Calculator'!$C$20*'Gearing Calculator'!$W$20*('Track Data'!Q220^2)</f>
        <v>314.16067969627807</v>
      </c>
      <c r="W220" s="16">
        <f>('Gearing Calculator'!$U$9*'Track Data'!T220)+'Track Data'!V220</f>
        <v>-3603.4253561889454</v>
      </c>
      <c r="X220" s="16">
        <f>('Gearing Calculator'!$U$9*9.81)*('Gearing Calculator'!$U$16/'Gearing Calculator'!$C$7)-(('Track Data'!W220)*('Gearing Calculator'!$U$17/'Gearing Calculator'!$C$7))</f>
        <v>3365.275210492639</v>
      </c>
      <c r="Y220" s="16">
        <f>('Gearing Calculator'!$U$9*9.81)*(('Gearing Calculator'!$C$7-'Gearing Calculator'!$U$16)/'Gearing Calculator'!$C$7)+(('Track Data'!W220)*('Gearing Calculator'!$U$17/'Gearing Calculator'!$C$7))</f>
        <v>-753.85321049263894</v>
      </c>
      <c r="Z220" s="16">
        <f>((X220*COS('Gearing Calculator'!$C$21))/'Gearing Calculator'!$C$22)/2</f>
        <v>104.04366604975007</v>
      </c>
      <c r="AA220" s="16">
        <f>Y220/'Gearing Calculator'!$C$24</f>
        <v>-10.526319276964786</v>
      </c>
      <c r="AB220" s="16">
        <f t="shared" si="24"/>
        <v>225.86046851930081</v>
      </c>
      <c r="AC220" s="16">
        <v>100</v>
      </c>
      <c r="AD220" s="16">
        <v>0</v>
      </c>
      <c r="AE220" s="16">
        <v>217</v>
      </c>
      <c r="AF220" s="16">
        <f>IF(AC220=0,IF(O220=6,INDEX(Acceleration!$V$4:$V$110,MATCH('Track Data'!S220,Acceleration!$K$4:$K$110,0)),IF('Track Data'!O220=5,INDEX(Acceleration!$U$4:$U$110,MATCH('Track Data'!S220,Acceleration!$K$4:$K$110,0)),1)),U220)</f>
        <v>-14.71670186282954</v>
      </c>
      <c r="AG220" s="16">
        <f>IF(AC220=0,IF(O220=4,INDEX(Acceleration!$T$4:$T$110,MATCH('Track Data'!S220,Acceleration!$K$4:$K$110,0)),IF('Track Data'!O220=3,INDEX(Acceleration!$S$4:$S$110,MATCH('Track Data'!S220,Acceleration!$K$4:$K$110,0)),'Track Data'!AF220)),'Track Data'!U220)</f>
        <v>-14.71670186282954</v>
      </c>
      <c r="AH220" s="16">
        <f>IF(AC220=0,IF(O220=2,INDEX(Acceleration!$R$4:$R$110,MATCH('Track Data'!S220,Acceleration!$K$4:$K$110,0)),IF('Track Data'!O220=1,INDEX(Acceleration!$Q$4:$Q$110,MATCH('Track Data'!S220,Acceleration!$K$4:$K$110,0)),'Track Data'!AG220)),'Track Data'!U220)</f>
        <v>-14.71670186282954</v>
      </c>
    </row>
    <row r="221" spans="2:34" x14ac:dyDescent="0.25">
      <c r="B221" s="16">
        <v>199.721</v>
      </c>
      <c r="C221" s="16">
        <v>7491</v>
      </c>
      <c r="D221" s="16">
        <v>218</v>
      </c>
      <c r="E221" s="113">
        <v>134</v>
      </c>
      <c r="F221" s="113">
        <v>145.5</v>
      </c>
      <c r="G221" s="113">
        <v>152.5</v>
      </c>
      <c r="H221" s="113">
        <f t="shared" si="25"/>
        <v>42.361111111111107</v>
      </c>
      <c r="I221" s="113">
        <v>-3.8</v>
      </c>
      <c r="J221" s="113">
        <v>94.97</v>
      </c>
      <c r="K221" s="113">
        <v>-7.3</v>
      </c>
      <c r="L221" s="189"/>
      <c r="M221" s="16">
        <v>218</v>
      </c>
      <c r="N221" s="16">
        <f t="shared" si="27"/>
        <v>1.8446458128887341E-2</v>
      </c>
      <c r="O221" s="16">
        <v>6</v>
      </c>
      <c r="P221" s="16">
        <f t="shared" si="22"/>
        <v>7.3113821138211375</v>
      </c>
      <c r="Q221" s="16">
        <f t="shared" si="28"/>
        <v>54.21094895360914</v>
      </c>
      <c r="R221" s="113">
        <f t="shared" si="23"/>
        <v>311.95699999999999</v>
      </c>
      <c r="S221" s="16">
        <f>IF(S220=15800,15800,ROUND((((Q221*60)/'Gearing Calculator'!$C$14)*'Track Data'!P221),-2))</f>
        <v>12000</v>
      </c>
      <c r="T221" s="16">
        <f t="shared" si="26"/>
        <v>-14.71670186282954</v>
      </c>
      <c r="U221" s="16">
        <f>IF(AC221=100,Braking!$AG$2354,IF(AC221=50,Braking!$AG$1179,IF(AC221=75,Braking!$AG$1767,0)))</f>
        <v>-14.71670186282954</v>
      </c>
      <c r="V221" s="16">
        <f>0.5*'Gearing Calculator'!$C$15*'Gearing Calculator'!$C$20*'Gearing Calculator'!$W$20*('Track Data'!Q221^2)</f>
        <v>311.04544824595433</v>
      </c>
      <c r="W221" s="16">
        <f>('Gearing Calculator'!$U$9*'Track Data'!T221)+'Track Data'!V221</f>
        <v>-3606.5405876392688</v>
      </c>
      <c r="X221" s="16">
        <f>('Gearing Calculator'!$U$9*9.81)*('Gearing Calculator'!$U$16/'Gearing Calculator'!$C$7)-(('Track Data'!W221)*('Gearing Calculator'!$U$17/'Gearing Calculator'!$C$7))</f>
        <v>3366.9732243838507</v>
      </c>
      <c r="Y221" s="16">
        <f>('Gearing Calculator'!$U$9*9.81)*(('Gearing Calculator'!$C$7-'Gearing Calculator'!$U$16)/'Gearing Calculator'!$C$7)+(('Track Data'!W221)*('Gearing Calculator'!$U$17/'Gearing Calculator'!$C$7))</f>
        <v>-755.55122438385047</v>
      </c>
      <c r="Z221" s="16">
        <f>((X221*COS('Gearing Calculator'!$C$21))/'Gearing Calculator'!$C$22)/2</f>
        <v>104.09616326890595</v>
      </c>
      <c r="AA221" s="16">
        <f>Y221/'Gearing Calculator'!$C$24</f>
        <v>-10.55002924610312</v>
      </c>
      <c r="AB221" s="16">
        <f t="shared" si="24"/>
        <v>222.74523706897708</v>
      </c>
      <c r="AC221" s="16">
        <v>100</v>
      </c>
      <c r="AD221" s="16">
        <v>0</v>
      </c>
      <c r="AE221" s="16">
        <v>218</v>
      </c>
      <c r="AF221" s="16">
        <f>IF(AC221=0,IF(O221=6,INDEX(Acceleration!$V$4:$V$110,MATCH('Track Data'!S221,Acceleration!$K$4:$K$110,0)),IF('Track Data'!O221=5,INDEX(Acceleration!$U$4:$U$110,MATCH('Track Data'!S221,Acceleration!$K$4:$K$110,0)),1)),U221)</f>
        <v>-14.71670186282954</v>
      </c>
      <c r="AG221" s="16">
        <f>IF(AC221=0,IF(O221=4,INDEX(Acceleration!$T$4:$T$110,MATCH('Track Data'!S221,Acceleration!$K$4:$K$110,0)),IF('Track Data'!O221=3,INDEX(Acceleration!$S$4:$S$110,MATCH('Track Data'!S221,Acceleration!$K$4:$K$110,0)),'Track Data'!AF221)),'Track Data'!U221)</f>
        <v>-14.71670186282954</v>
      </c>
      <c r="AH221" s="16">
        <f>IF(AC221=0,IF(O221=2,INDEX(Acceleration!$R$4:$R$110,MATCH('Track Data'!S221,Acceleration!$K$4:$K$110,0)),IF('Track Data'!O221=1,INDEX(Acceleration!$Q$4:$Q$110,MATCH('Track Data'!S221,Acceleration!$K$4:$K$110,0)),'Track Data'!AG221)),'Track Data'!U221)</f>
        <v>-14.71670186282954</v>
      </c>
    </row>
    <row r="222" spans="2:34" x14ac:dyDescent="0.25">
      <c r="B222" s="16">
        <v>199.745</v>
      </c>
      <c r="C222" s="16">
        <v>7492</v>
      </c>
      <c r="D222" s="16">
        <v>219</v>
      </c>
      <c r="E222" s="113">
        <v>132</v>
      </c>
      <c r="F222" s="113">
        <v>145.69999999999999</v>
      </c>
      <c r="G222" s="113">
        <v>151.80000000000001</v>
      </c>
      <c r="H222" s="113">
        <f t="shared" si="25"/>
        <v>42.166666666666671</v>
      </c>
      <c r="I222" s="113">
        <v>-3.8</v>
      </c>
      <c r="J222" s="113">
        <v>94.87</v>
      </c>
      <c r="K222" s="113">
        <v>-8.1</v>
      </c>
      <c r="L222" s="189"/>
      <c r="M222" s="16">
        <v>219</v>
      </c>
      <c r="N222" s="16">
        <f t="shared" si="27"/>
        <v>1.8539531778729731E-2</v>
      </c>
      <c r="O222" s="16">
        <v>6</v>
      </c>
      <c r="P222" s="16">
        <f t="shared" si="22"/>
        <v>7.3113821138211375</v>
      </c>
      <c r="Q222" s="16">
        <f t="shared" si="28"/>
        <v>53.938794783765395</v>
      </c>
      <c r="R222" s="113">
        <f t="shared" si="23"/>
        <v>311.95699999999999</v>
      </c>
      <c r="S222" s="16">
        <f>IF(S221=15800,15800,ROUND((((Q222*60)/'Gearing Calculator'!$C$14)*'Track Data'!P222),-2))</f>
        <v>12000</v>
      </c>
      <c r="T222" s="16">
        <f t="shared" si="26"/>
        <v>-14.71670186282954</v>
      </c>
      <c r="U222" s="16">
        <f>IF(AC222=100,Braking!$AG$2354,IF(AC222=50,Braking!$AG$1179,IF(AC222=75,Braking!$AG$1767,0)))</f>
        <v>-14.71670186282954</v>
      </c>
      <c r="V222" s="16">
        <f>0.5*'Gearing Calculator'!$C$15*'Gearing Calculator'!$C$20*'Gearing Calculator'!$W$20*('Track Data'!Q222^2)</f>
        <v>307.9302167956306</v>
      </c>
      <c r="W222" s="16">
        <f>('Gearing Calculator'!$U$9*'Track Data'!T222)+'Track Data'!V222</f>
        <v>-3609.6558190895926</v>
      </c>
      <c r="X222" s="16">
        <f>('Gearing Calculator'!$U$9*9.81)*('Gearing Calculator'!$U$16/'Gearing Calculator'!$C$7)-(('Track Data'!W222)*('Gearing Calculator'!$U$17/'Gearing Calculator'!$C$7))</f>
        <v>3368.6712382750625</v>
      </c>
      <c r="Y222" s="16">
        <f>('Gearing Calculator'!$U$9*9.81)*(('Gearing Calculator'!$C$7-'Gearing Calculator'!$U$16)/'Gearing Calculator'!$C$7)+(('Track Data'!W222)*('Gearing Calculator'!$U$17/'Gearing Calculator'!$C$7))</f>
        <v>-757.24923827506245</v>
      </c>
      <c r="Z222" s="16">
        <f>((X222*COS('Gearing Calculator'!$C$21))/'Gearing Calculator'!$C$22)/2</f>
        <v>104.14866048806182</v>
      </c>
      <c r="AA222" s="16">
        <f>Y222/'Gearing Calculator'!$C$24</f>
        <v>-10.57373921524146</v>
      </c>
      <c r="AB222" s="16">
        <f t="shared" si="24"/>
        <v>219.63000561865334</v>
      </c>
      <c r="AC222" s="16">
        <v>100</v>
      </c>
      <c r="AD222" s="16">
        <v>0</v>
      </c>
      <c r="AE222" s="16">
        <v>219</v>
      </c>
      <c r="AF222" s="16">
        <f>IF(AC222=0,IF(O222=6,INDEX(Acceleration!$V$4:$V$110,MATCH('Track Data'!S222,Acceleration!$K$4:$K$110,0)),IF('Track Data'!O222=5,INDEX(Acceleration!$U$4:$U$110,MATCH('Track Data'!S222,Acceleration!$K$4:$K$110,0)),1)),U222)</f>
        <v>-14.71670186282954</v>
      </c>
      <c r="AG222" s="16">
        <f>IF(AC222=0,IF(O222=4,INDEX(Acceleration!$T$4:$T$110,MATCH('Track Data'!S222,Acceleration!$K$4:$K$110,0)),IF('Track Data'!O222=3,INDEX(Acceleration!$S$4:$S$110,MATCH('Track Data'!S222,Acceleration!$K$4:$K$110,0)),'Track Data'!AF222)),'Track Data'!U222)</f>
        <v>-14.71670186282954</v>
      </c>
      <c r="AH222" s="16">
        <f>IF(AC222=0,IF(O222=2,INDEX(Acceleration!$R$4:$R$110,MATCH('Track Data'!S222,Acceleration!$K$4:$K$110,0)),IF('Track Data'!O222=1,INDEX(Acceleration!$Q$4:$Q$110,MATCH('Track Data'!S222,Acceleration!$K$4:$K$110,0)),'Track Data'!AG222)),'Track Data'!U222)</f>
        <v>-14.71670186282954</v>
      </c>
    </row>
    <row r="223" spans="2:34" x14ac:dyDescent="0.25">
      <c r="B223" s="16">
        <v>199.77</v>
      </c>
      <c r="C223" s="16">
        <v>7493</v>
      </c>
      <c r="D223" s="16">
        <v>220</v>
      </c>
      <c r="E223" s="113">
        <v>129</v>
      </c>
      <c r="F223" s="113">
        <v>145.6</v>
      </c>
      <c r="G223" s="113">
        <v>150.69999999999999</v>
      </c>
      <c r="H223" s="113">
        <f t="shared" si="25"/>
        <v>41.861111111111107</v>
      </c>
      <c r="I223" s="113">
        <v>-3.8</v>
      </c>
      <c r="J223" s="113">
        <v>95.08</v>
      </c>
      <c r="K223" s="113">
        <v>-8.8000000000000007</v>
      </c>
      <c r="L223" s="189"/>
      <c r="M223" s="16">
        <v>220</v>
      </c>
      <c r="N223" s="16">
        <f t="shared" si="27"/>
        <v>1.8634028636843502E-2</v>
      </c>
      <c r="O223" s="16">
        <v>6</v>
      </c>
      <c r="P223" s="16">
        <f t="shared" si="22"/>
        <v>7.3113821138211375</v>
      </c>
      <c r="Q223" s="16">
        <f t="shared" si="28"/>
        <v>53.665260448445586</v>
      </c>
      <c r="R223" s="113">
        <f t="shared" si="23"/>
        <v>311.95699999999999</v>
      </c>
      <c r="S223" s="16">
        <f>IF(S222=15800,15800,ROUND((((Q223*60)/'Gearing Calculator'!$C$14)*'Track Data'!P223),-2))</f>
        <v>11900</v>
      </c>
      <c r="T223" s="16">
        <f t="shared" si="26"/>
        <v>-14.71670186282954</v>
      </c>
      <c r="U223" s="16">
        <f>IF(AC223=100,Braking!$AG$2354,IF(AC223=50,Braking!$AG$1179,IF(AC223=75,Braking!$AG$1767,0)))</f>
        <v>-14.71670186282954</v>
      </c>
      <c r="V223" s="16">
        <f>0.5*'Gearing Calculator'!$C$15*'Gearing Calculator'!$C$20*'Gearing Calculator'!$W$20*('Track Data'!Q223^2)</f>
        <v>304.81498534530687</v>
      </c>
      <c r="W223" s="16">
        <f>('Gearing Calculator'!$U$9*'Track Data'!T223)+'Track Data'!V223</f>
        <v>-3612.7710505399164</v>
      </c>
      <c r="X223" s="16">
        <f>('Gearing Calculator'!$U$9*9.81)*('Gearing Calculator'!$U$16/'Gearing Calculator'!$C$7)-(('Track Data'!W223)*('Gearing Calculator'!$U$17/'Gearing Calculator'!$C$7))</f>
        <v>3370.3692521662742</v>
      </c>
      <c r="Y223" s="16">
        <f>('Gearing Calculator'!$U$9*9.81)*(('Gearing Calculator'!$C$7-'Gearing Calculator'!$U$16)/'Gearing Calculator'!$C$7)+(('Track Data'!W223)*('Gearing Calculator'!$U$17/'Gearing Calculator'!$C$7))</f>
        <v>-758.94725216627421</v>
      </c>
      <c r="Z223" s="16">
        <f>((X223*COS('Gearing Calculator'!$C$21))/'Gearing Calculator'!$C$22)/2</f>
        <v>104.2011577072177</v>
      </c>
      <c r="AA223" s="16">
        <f>Y223/'Gearing Calculator'!$C$24</f>
        <v>-10.597449184379796</v>
      </c>
      <c r="AB223" s="16">
        <f t="shared" si="24"/>
        <v>216.51477416832961</v>
      </c>
      <c r="AC223" s="16">
        <v>100</v>
      </c>
      <c r="AD223" s="16">
        <v>0</v>
      </c>
      <c r="AE223" s="16">
        <v>220</v>
      </c>
      <c r="AF223" s="16">
        <f>IF(AC223=0,IF(O223=6,INDEX(Acceleration!$V$4:$V$110,MATCH('Track Data'!S223,Acceleration!$K$4:$K$110,0)),IF('Track Data'!O223=5,INDEX(Acceleration!$U$4:$U$110,MATCH('Track Data'!S223,Acceleration!$K$4:$K$110,0)),1)),U223)</f>
        <v>-14.71670186282954</v>
      </c>
      <c r="AG223" s="16">
        <f>IF(AC223=0,IF(O223=4,INDEX(Acceleration!$T$4:$T$110,MATCH('Track Data'!S223,Acceleration!$K$4:$K$110,0)),IF('Track Data'!O223=3,INDEX(Acceleration!$S$4:$S$110,MATCH('Track Data'!S223,Acceleration!$K$4:$K$110,0)),'Track Data'!AF223)),'Track Data'!U223)</f>
        <v>-14.71670186282954</v>
      </c>
      <c r="AH223" s="16">
        <f>IF(AC223=0,IF(O223=2,INDEX(Acceleration!$R$4:$R$110,MATCH('Track Data'!S223,Acceleration!$K$4:$K$110,0)),IF('Track Data'!O223=1,INDEX(Acceleration!$Q$4:$Q$110,MATCH('Track Data'!S223,Acceleration!$K$4:$K$110,0)),'Track Data'!AG223)),'Track Data'!U223)</f>
        <v>-14.71670186282954</v>
      </c>
    </row>
    <row r="224" spans="2:34" x14ac:dyDescent="0.25">
      <c r="B224" s="16">
        <v>199.79400000000001</v>
      </c>
      <c r="C224" s="16">
        <v>7494</v>
      </c>
      <c r="D224" s="16">
        <v>221</v>
      </c>
      <c r="E224" s="113">
        <v>128</v>
      </c>
      <c r="F224" s="113">
        <v>145.5</v>
      </c>
      <c r="G224" s="113">
        <v>150</v>
      </c>
      <c r="H224" s="113">
        <f t="shared" si="25"/>
        <v>41.666666666666664</v>
      </c>
      <c r="I224" s="113">
        <v>-3.8</v>
      </c>
      <c r="J224" s="113">
        <v>95.73</v>
      </c>
      <c r="K224" s="113">
        <v>-8.8000000000000007</v>
      </c>
      <c r="L224" s="189"/>
      <c r="M224" s="16">
        <v>221</v>
      </c>
      <c r="N224" s="16">
        <f t="shared" si="27"/>
        <v>1.8729985347899082E-2</v>
      </c>
      <c r="O224" s="16">
        <v>6</v>
      </c>
      <c r="P224" s="16">
        <f t="shared" si="22"/>
        <v>7.3113821138211375</v>
      </c>
      <c r="Q224" s="16">
        <f t="shared" si="28"/>
        <v>53.390324734673037</v>
      </c>
      <c r="R224" s="113">
        <f t="shared" si="23"/>
        <v>311.95699999999999</v>
      </c>
      <c r="S224" s="16">
        <f>IF(S223=15800,15800,ROUND((((Q224*60)/'Gearing Calculator'!$C$14)*'Track Data'!P224),-2))</f>
        <v>11800</v>
      </c>
      <c r="T224" s="16">
        <f t="shared" si="26"/>
        <v>-14.71670186282954</v>
      </c>
      <c r="U224" s="16">
        <f>IF(AC224=100,Braking!$AG$2354,IF(AC224=50,Braking!$AG$1179,IF(AC224=75,Braking!$AG$1767,0)))</f>
        <v>-14.71670186282954</v>
      </c>
      <c r="V224" s="16">
        <f>0.5*'Gearing Calculator'!$C$15*'Gearing Calculator'!$C$20*'Gearing Calculator'!$W$20*('Track Data'!Q224^2)</f>
        <v>301.69975389498313</v>
      </c>
      <c r="W224" s="16">
        <f>('Gearing Calculator'!$U$9*'Track Data'!T224)+'Track Data'!V224</f>
        <v>-3615.8862819902401</v>
      </c>
      <c r="X224" s="16">
        <f>('Gearing Calculator'!$U$9*9.81)*('Gearing Calculator'!$U$16/'Gearing Calculator'!$C$7)-(('Track Data'!W224)*('Gearing Calculator'!$U$17/'Gearing Calculator'!$C$7))</f>
        <v>3372.067266057486</v>
      </c>
      <c r="Y224" s="16">
        <f>('Gearing Calculator'!$U$9*9.81)*(('Gearing Calculator'!$C$7-'Gearing Calculator'!$U$16)/'Gearing Calculator'!$C$7)+(('Track Data'!W224)*('Gearing Calculator'!$U$17/'Gearing Calculator'!$C$7))</f>
        <v>-760.64526605748597</v>
      </c>
      <c r="Z224" s="16">
        <f>((X224*COS('Gearing Calculator'!$C$21))/'Gearing Calculator'!$C$22)/2</f>
        <v>104.25365492637358</v>
      </c>
      <c r="AA224" s="16">
        <f>Y224/'Gearing Calculator'!$C$24</f>
        <v>-10.621159153518132</v>
      </c>
      <c r="AB224" s="16">
        <f t="shared" si="24"/>
        <v>213.39954271800588</v>
      </c>
      <c r="AC224" s="16">
        <v>100</v>
      </c>
      <c r="AD224" s="16">
        <v>0</v>
      </c>
      <c r="AE224" s="16">
        <v>221</v>
      </c>
      <c r="AF224" s="16">
        <f>IF(AC224=0,IF(O224=6,INDEX(Acceleration!$V$4:$V$110,MATCH('Track Data'!S224,Acceleration!$K$4:$K$110,0)),IF('Track Data'!O224=5,INDEX(Acceleration!$U$4:$U$110,MATCH('Track Data'!S224,Acceleration!$K$4:$K$110,0)),1)),U224)</f>
        <v>-14.71670186282954</v>
      </c>
      <c r="AG224" s="16">
        <f>IF(AC224=0,IF(O224=4,INDEX(Acceleration!$T$4:$T$110,MATCH('Track Data'!S224,Acceleration!$K$4:$K$110,0)),IF('Track Data'!O224=3,INDEX(Acceleration!$S$4:$S$110,MATCH('Track Data'!S224,Acceleration!$K$4:$K$110,0)),'Track Data'!AF224)),'Track Data'!U224)</f>
        <v>-14.71670186282954</v>
      </c>
      <c r="AH224" s="16">
        <f>IF(AC224=0,IF(O224=2,INDEX(Acceleration!$R$4:$R$110,MATCH('Track Data'!S224,Acceleration!$K$4:$K$110,0)),IF('Track Data'!O224=1,INDEX(Acceleration!$Q$4:$Q$110,MATCH('Track Data'!S224,Acceleration!$K$4:$K$110,0)),'Track Data'!AG224)),'Track Data'!U224)</f>
        <v>-14.71670186282954</v>
      </c>
    </row>
    <row r="225" spans="2:34" x14ac:dyDescent="0.25">
      <c r="B225" s="16">
        <v>199.81899999999999</v>
      </c>
      <c r="C225" s="16">
        <v>7495</v>
      </c>
      <c r="D225" s="16">
        <v>222</v>
      </c>
      <c r="E225" s="113">
        <v>126</v>
      </c>
      <c r="F225" s="113">
        <v>145</v>
      </c>
      <c r="G225" s="113">
        <v>149.30000000000001</v>
      </c>
      <c r="H225" s="113">
        <f t="shared" si="25"/>
        <v>41.472222222222221</v>
      </c>
      <c r="I225" s="113">
        <v>-3.8</v>
      </c>
      <c r="J225" s="113">
        <v>97.62</v>
      </c>
      <c r="K225" s="113">
        <v>-8.8000000000000007</v>
      </c>
      <c r="L225" s="189"/>
      <c r="M225" s="16">
        <v>222</v>
      </c>
      <c r="N225" s="16">
        <f t="shared" si="27"/>
        <v>1.8827439891253333E-2</v>
      </c>
      <c r="O225" s="16">
        <v>6</v>
      </c>
      <c r="P225" s="16">
        <f t="shared" si="22"/>
        <v>7.3113821138211375</v>
      </c>
      <c r="Q225" s="16">
        <f t="shared" si="28"/>
        <v>53.113965880436574</v>
      </c>
      <c r="R225" s="113">
        <f t="shared" si="23"/>
        <v>311.95699999999999</v>
      </c>
      <c r="S225" s="16">
        <f>IF(S224=15800,15800,ROUND((((Q225*60)/'Gearing Calculator'!$C$14)*'Track Data'!P225),-2))</f>
        <v>11800</v>
      </c>
      <c r="T225" s="16">
        <f t="shared" si="26"/>
        <v>-14.71670186282954</v>
      </c>
      <c r="U225" s="16">
        <f>IF(AC225=100,Braking!$AG$2354,IF(AC225=50,Braking!$AG$1179,IF(AC225=75,Braking!$AG$1767,0)))</f>
        <v>-14.71670186282954</v>
      </c>
      <c r="V225" s="16">
        <f>0.5*'Gearing Calculator'!$C$15*'Gearing Calculator'!$C$20*'Gearing Calculator'!$W$20*('Track Data'!Q225^2)</f>
        <v>298.5845224446594</v>
      </c>
      <c r="W225" s="16">
        <f>('Gearing Calculator'!$U$9*'Track Data'!T225)+'Track Data'!V225</f>
        <v>-3619.0015134405639</v>
      </c>
      <c r="X225" s="16">
        <f>('Gearing Calculator'!$U$9*9.81)*('Gearing Calculator'!$U$16/'Gearing Calculator'!$C$7)-(('Track Data'!W225)*('Gearing Calculator'!$U$17/'Gearing Calculator'!$C$7))</f>
        <v>3373.7652799486978</v>
      </c>
      <c r="Y225" s="16">
        <f>('Gearing Calculator'!$U$9*9.81)*(('Gearing Calculator'!$C$7-'Gearing Calculator'!$U$16)/'Gearing Calculator'!$C$7)+(('Track Data'!W225)*('Gearing Calculator'!$U$17/'Gearing Calculator'!$C$7))</f>
        <v>-762.34327994869773</v>
      </c>
      <c r="Z225" s="16">
        <f>((X225*COS('Gearing Calculator'!$C$21))/'Gearing Calculator'!$C$22)/2</f>
        <v>104.30615214552945</v>
      </c>
      <c r="AA225" s="16">
        <f>Y225/'Gearing Calculator'!$C$24</f>
        <v>-10.644869122656468</v>
      </c>
      <c r="AB225" s="16">
        <f t="shared" si="24"/>
        <v>210.28431126768214</v>
      </c>
      <c r="AC225" s="16">
        <v>100</v>
      </c>
      <c r="AD225" s="16">
        <v>0</v>
      </c>
      <c r="AE225" s="16">
        <v>222</v>
      </c>
      <c r="AF225" s="16">
        <f>IF(AC225=0,IF(O225=6,INDEX(Acceleration!$V$4:$V$110,MATCH('Track Data'!S225,Acceleration!$K$4:$K$110,0)),IF('Track Data'!O225=5,INDEX(Acceleration!$U$4:$U$110,MATCH('Track Data'!S225,Acceleration!$K$4:$K$110,0)),1)),U225)</f>
        <v>-14.71670186282954</v>
      </c>
      <c r="AG225" s="16">
        <f>IF(AC225=0,IF(O225=4,INDEX(Acceleration!$T$4:$T$110,MATCH('Track Data'!S225,Acceleration!$K$4:$K$110,0)),IF('Track Data'!O225=3,INDEX(Acceleration!$S$4:$S$110,MATCH('Track Data'!S225,Acceleration!$K$4:$K$110,0)),'Track Data'!AF225)),'Track Data'!U225)</f>
        <v>-14.71670186282954</v>
      </c>
      <c r="AH225" s="16">
        <f>IF(AC225=0,IF(O225=2,INDEX(Acceleration!$R$4:$R$110,MATCH('Track Data'!S225,Acceleration!$K$4:$K$110,0)),IF('Track Data'!O225=1,INDEX(Acceleration!$Q$4:$Q$110,MATCH('Track Data'!S225,Acceleration!$K$4:$K$110,0)),'Track Data'!AG225)),'Track Data'!U225)</f>
        <v>-14.71670186282954</v>
      </c>
    </row>
    <row r="226" spans="2:34" x14ac:dyDescent="0.25">
      <c r="B226" s="16">
        <v>199.84399999999999</v>
      </c>
      <c r="C226" s="16">
        <v>7496</v>
      </c>
      <c r="D226" s="16">
        <v>223</v>
      </c>
      <c r="E226" s="113">
        <v>125</v>
      </c>
      <c r="F226" s="113">
        <v>144.1</v>
      </c>
      <c r="G226" s="113">
        <v>148.19999999999999</v>
      </c>
      <c r="H226" s="113">
        <f t="shared" si="25"/>
        <v>41.166666666666664</v>
      </c>
      <c r="I226" s="113">
        <v>-3.8</v>
      </c>
      <c r="J226" s="113">
        <v>100.15</v>
      </c>
      <c r="K226" s="113">
        <v>-8.9</v>
      </c>
      <c r="L226" s="189"/>
      <c r="M226" s="16">
        <v>223</v>
      </c>
      <c r="N226" s="16">
        <f t="shared" si="27"/>
        <v>1.8926431644108819E-2</v>
      </c>
      <c r="O226" s="16">
        <v>6</v>
      </c>
      <c r="P226" s="16">
        <f t="shared" si="22"/>
        <v>7.3113821138211375</v>
      </c>
      <c r="Q226" s="16">
        <f t="shared" si="28"/>
        <v>52.836161554587989</v>
      </c>
      <c r="R226" s="113">
        <f t="shared" si="23"/>
        <v>311.95699999999999</v>
      </c>
      <c r="S226" s="16">
        <f>IF(S225=15800,15800,ROUND((((Q226*60)/'Gearing Calculator'!$C$14)*'Track Data'!P226),-2))</f>
        <v>11700</v>
      </c>
      <c r="T226" s="16">
        <f t="shared" si="26"/>
        <v>-14.71670186282954</v>
      </c>
      <c r="U226" s="16">
        <f>IF(AC226=100,Braking!$AG$2354,IF(AC226=50,Braking!$AG$1179,IF(AC226=75,Braking!$AG$1767,0)))</f>
        <v>-14.71670186282954</v>
      </c>
      <c r="V226" s="16">
        <f>0.5*'Gearing Calculator'!$C$15*'Gearing Calculator'!$C$20*'Gearing Calculator'!$W$20*('Track Data'!Q226^2)</f>
        <v>295.46929099433567</v>
      </c>
      <c r="W226" s="16">
        <f>('Gearing Calculator'!$U$9*'Track Data'!T226)+'Track Data'!V226</f>
        <v>-3622.1167448908877</v>
      </c>
      <c r="X226" s="16">
        <f>('Gearing Calculator'!$U$9*9.81)*('Gearing Calculator'!$U$16/'Gearing Calculator'!$C$7)-(('Track Data'!W226)*('Gearing Calculator'!$U$17/'Gearing Calculator'!$C$7))</f>
        <v>3375.4632938399095</v>
      </c>
      <c r="Y226" s="16">
        <f>('Gearing Calculator'!$U$9*9.81)*(('Gearing Calculator'!$C$7-'Gearing Calculator'!$U$16)/'Gearing Calculator'!$C$7)+(('Track Data'!W226)*('Gearing Calculator'!$U$17/'Gearing Calculator'!$C$7))</f>
        <v>-764.04129383990949</v>
      </c>
      <c r="Z226" s="16">
        <f>((X226*COS('Gearing Calculator'!$C$21))/'Gearing Calculator'!$C$22)/2</f>
        <v>104.35864936468533</v>
      </c>
      <c r="AA226" s="16">
        <f>Y226/'Gearing Calculator'!$C$24</f>
        <v>-10.668579091794806</v>
      </c>
      <c r="AB226" s="16">
        <f t="shared" si="24"/>
        <v>207.16907981735841</v>
      </c>
      <c r="AC226" s="16">
        <v>100</v>
      </c>
      <c r="AD226" s="16">
        <v>0</v>
      </c>
      <c r="AE226" s="16">
        <v>223</v>
      </c>
      <c r="AF226" s="16">
        <f>IF(AC226=0,IF(O226=6,INDEX(Acceleration!$V$4:$V$110,MATCH('Track Data'!S226,Acceleration!$K$4:$K$110,0)),IF('Track Data'!O226=5,INDEX(Acceleration!$U$4:$U$110,MATCH('Track Data'!S226,Acceleration!$K$4:$K$110,0)),1)),U226)</f>
        <v>-14.71670186282954</v>
      </c>
      <c r="AG226" s="16">
        <f>IF(AC226=0,IF(O226=4,INDEX(Acceleration!$T$4:$T$110,MATCH('Track Data'!S226,Acceleration!$K$4:$K$110,0)),IF('Track Data'!O226=3,INDEX(Acceleration!$S$4:$S$110,MATCH('Track Data'!S226,Acceleration!$K$4:$K$110,0)),'Track Data'!AF226)),'Track Data'!U226)</f>
        <v>-14.71670186282954</v>
      </c>
      <c r="AH226" s="16">
        <f>IF(AC226=0,IF(O226=2,INDEX(Acceleration!$R$4:$R$110,MATCH('Track Data'!S226,Acceleration!$K$4:$K$110,0)),IF('Track Data'!O226=1,INDEX(Acceleration!$Q$4:$Q$110,MATCH('Track Data'!S226,Acceleration!$K$4:$K$110,0)),'Track Data'!AG226)),'Track Data'!U226)</f>
        <v>-14.71670186282954</v>
      </c>
    </row>
    <row r="227" spans="2:34" x14ac:dyDescent="0.25">
      <c r="B227" s="16">
        <v>199.869</v>
      </c>
      <c r="C227" s="16">
        <v>7497</v>
      </c>
      <c r="D227" s="16">
        <v>224</v>
      </c>
      <c r="E227" s="113">
        <v>126</v>
      </c>
      <c r="F227" s="113">
        <v>143.4</v>
      </c>
      <c r="G227" s="113">
        <v>147.4</v>
      </c>
      <c r="H227" s="113">
        <f t="shared" si="25"/>
        <v>40.944444444444443</v>
      </c>
      <c r="I227" s="113">
        <v>-3.5</v>
      </c>
      <c r="J227" s="113">
        <v>100.54</v>
      </c>
      <c r="K227" s="113">
        <v>-9.5</v>
      </c>
      <c r="L227" s="189"/>
      <c r="M227" s="16">
        <v>224</v>
      </c>
      <c r="N227" s="16">
        <f t="shared" si="27"/>
        <v>1.9027001448364934E-2</v>
      </c>
      <c r="O227" s="16">
        <v>6</v>
      </c>
      <c r="P227" s="16">
        <f t="shared" si="22"/>
        <v>7.3113821138211375</v>
      </c>
      <c r="Q227" s="16">
        <f t="shared" si="28"/>
        <v>52.556888835783106</v>
      </c>
      <c r="R227" s="113">
        <f t="shared" si="23"/>
        <v>311.95699999999999</v>
      </c>
      <c r="S227" s="16">
        <f>IF(S226=15800,15800,ROUND((((Q227*60)/'Gearing Calculator'!$C$14)*'Track Data'!P227),-2))</f>
        <v>11700</v>
      </c>
      <c r="T227" s="16">
        <f t="shared" si="26"/>
        <v>-14.71670186282954</v>
      </c>
      <c r="U227" s="16">
        <f>IF(AC227=100,Braking!$AG$2354,IF(AC227=50,Braking!$AG$1179,IF(AC227=75,Braking!$AG$1767,0)))</f>
        <v>-14.71670186282954</v>
      </c>
      <c r="V227" s="16">
        <f>0.5*'Gearing Calculator'!$C$15*'Gearing Calculator'!$C$20*'Gearing Calculator'!$W$20*('Track Data'!Q227^2)</f>
        <v>292.35405954401193</v>
      </c>
      <c r="W227" s="16">
        <f>('Gearing Calculator'!$U$9*'Track Data'!T227)+'Track Data'!V227</f>
        <v>-3625.2319763412115</v>
      </c>
      <c r="X227" s="16">
        <f>('Gearing Calculator'!$U$9*9.81)*('Gearing Calculator'!$U$16/'Gearing Calculator'!$C$7)-(('Track Data'!W227)*('Gearing Calculator'!$U$17/'Gearing Calculator'!$C$7))</f>
        <v>3377.1613077311213</v>
      </c>
      <c r="Y227" s="16">
        <f>('Gearing Calculator'!$U$9*9.81)*(('Gearing Calculator'!$C$7-'Gearing Calculator'!$U$16)/'Gearing Calculator'!$C$7)+(('Track Data'!W227)*('Gearing Calculator'!$U$17/'Gearing Calculator'!$C$7))</f>
        <v>-765.73930773112147</v>
      </c>
      <c r="Z227" s="16">
        <f>((X227*COS('Gearing Calculator'!$C$21))/'Gearing Calculator'!$C$22)/2</f>
        <v>104.41114658384122</v>
      </c>
      <c r="AA227" s="16">
        <f>Y227/'Gearing Calculator'!$C$24</f>
        <v>-10.692289060933145</v>
      </c>
      <c r="AB227" s="16">
        <f t="shared" si="24"/>
        <v>204.05384836703467</v>
      </c>
      <c r="AC227" s="16">
        <v>100</v>
      </c>
      <c r="AD227" s="16">
        <v>0</v>
      </c>
      <c r="AE227" s="16">
        <v>224</v>
      </c>
      <c r="AF227" s="16">
        <f>IF(AC227=0,IF(O227=6,INDEX(Acceleration!$V$4:$V$110,MATCH('Track Data'!S227,Acceleration!$K$4:$K$110,0)),IF('Track Data'!O227=5,INDEX(Acceleration!$U$4:$U$110,MATCH('Track Data'!S227,Acceleration!$K$4:$K$110,0)),1)),U227)</f>
        <v>-14.71670186282954</v>
      </c>
      <c r="AG227" s="16">
        <f>IF(AC227=0,IF(O227=4,INDEX(Acceleration!$T$4:$T$110,MATCH('Track Data'!S227,Acceleration!$K$4:$K$110,0)),IF('Track Data'!O227=3,INDEX(Acceleration!$S$4:$S$110,MATCH('Track Data'!S227,Acceleration!$K$4:$K$110,0)),'Track Data'!AF227)),'Track Data'!U227)</f>
        <v>-14.71670186282954</v>
      </c>
      <c r="AH227" s="16">
        <f>IF(AC227=0,IF(O227=2,INDEX(Acceleration!$R$4:$R$110,MATCH('Track Data'!S227,Acceleration!$K$4:$K$110,0)),IF('Track Data'!O227=1,INDEX(Acceleration!$Q$4:$Q$110,MATCH('Track Data'!S227,Acceleration!$K$4:$K$110,0)),'Track Data'!AG227)),'Track Data'!U227)</f>
        <v>-14.71670186282954</v>
      </c>
    </row>
    <row r="228" spans="2:34" x14ac:dyDescent="0.25">
      <c r="B228" s="16">
        <v>199.89400000000001</v>
      </c>
      <c r="C228" s="16">
        <v>7498</v>
      </c>
      <c r="D228" s="16">
        <v>225</v>
      </c>
      <c r="E228" s="113">
        <v>126</v>
      </c>
      <c r="F228" s="113">
        <v>141.9</v>
      </c>
      <c r="G228" s="113">
        <v>146.30000000000001</v>
      </c>
      <c r="H228" s="113">
        <f t="shared" si="25"/>
        <v>40.638888888888893</v>
      </c>
      <c r="I228" s="113">
        <v>-3.4</v>
      </c>
      <c r="J228" s="113">
        <v>103.19</v>
      </c>
      <c r="K228" s="113">
        <v>-10.4</v>
      </c>
      <c r="L228" s="189"/>
      <c r="M228" s="16">
        <v>225</v>
      </c>
      <c r="N228" s="16">
        <f t="shared" si="27"/>
        <v>1.9129191681418543E-2</v>
      </c>
      <c r="O228" s="16">
        <v>6</v>
      </c>
      <c r="P228" s="16">
        <f t="shared" si="22"/>
        <v>7.3113821138211375</v>
      </c>
      <c r="Q228" s="16">
        <f t="shared" si="28"/>
        <v>52.276124190410329</v>
      </c>
      <c r="R228" s="113">
        <f t="shared" si="23"/>
        <v>311.95699999999999</v>
      </c>
      <c r="S228" s="16">
        <f>IF(S227=15800,15800,ROUND((((Q228*60)/'Gearing Calculator'!$C$14)*'Track Data'!P228),-2))</f>
        <v>11600</v>
      </c>
      <c r="T228" s="16">
        <f t="shared" si="26"/>
        <v>-14.71670186282954</v>
      </c>
      <c r="U228" s="16">
        <f>IF(AC228=100,Braking!$AG$2354,IF(AC228=50,Braking!$AG$1179,IF(AC228=75,Braking!$AG$1767,0)))</f>
        <v>-14.71670186282954</v>
      </c>
      <c r="V228" s="16">
        <f>0.5*'Gearing Calculator'!$C$15*'Gearing Calculator'!$C$20*'Gearing Calculator'!$W$20*('Track Data'!Q228^2)</f>
        <v>289.2388280936882</v>
      </c>
      <c r="W228" s="16">
        <f>('Gearing Calculator'!$U$9*'Track Data'!T228)+'Track Data'!V228</f>
        <v>-3628.3472077915349</v>
      </c>
      <c r="X228" s="16">
        <f>('Gearing Calculator'!$U$9*9.81)*('Gearing Calculator'!$U$16/'Gearing Calculator'!$C$7)-(('Track Data'!W228)*('Gearing Calculator'!$U$17/'Gearing Calculator'!$C$7))</f>
        <v>3378.859321622333</v>
      </c>
      <c r="Y228" s="16">
        <f>('Gearing Calculator'!$U$9*9.81)*(('Gearing Calculator'!$C$7-'Gearing Calculator'!$U$16)/'Gearing Calculator'!$C$7)+(('Track Data'!W228)*('Gearing Calculator'!$U$17/'Gearing Calculator'!$C$7))</f>
        <v>-767.437321622333</v>
      </c>
      <c r="Z228" s="16">
        <f>((X228*COS('Gearing Calculator'!$C$21))/'Gearing Calculator'!$C$22)/2</f>
        <v>104.46364380299708</v>
      </c>
      <c r="AA228" s="16">
        <f>Y228/'Gearing Calculator'!$C$24</f>
        <v>-10.715999030071478</v>
      </c>
      <c r="AB228" s="16">
        <f t="shared" si="24"/>
        <v>200.93861691671094</v>
      </c>
      <c r="AC228" s="16">
        <v>100</v>
      </c>
      <c r="AD228" s="16">
        <v>0</v>
      </c>
      <c r="AE228" s="16">
        <v>225</v>
      </c>
      <c r="AF228" s="16">
        <f>IF(AC228=0,IF(O228=6,INDEX(Acceleration!$V$4:$V$110,MATCH('Track Data'!S228,Acceleration!$K$4:$K$110,0)),IF('Track Data'!O228=5,INDEX(Acceleration!$U$4:$U$110,MATCH('Track Data'!S228,Acceleration!$K$4:$K$110,0)),1)),U228)</f>
        <v>-14.71670186282954</v>
      </c>
      <c r="AG228" s="16">
        <f>IF(AC228=0,IF(O228=4,INDEX(Acceleration!$T$4:$T$110,MATCH('Track Data'!S228,Acceleration!$K$4:$K$110,0)),IF('Track Data'!O228=3,INDEX(Acceleration!$S$4:$S$110,MATCH('Track Data'!S228,Acceleration!$K$4:$K$110,0)),'Track Data'!AF228)),'Track Data'!U228)</f>
        <v>-14.71670186282954</v>
      </c>
      <c r="AH228" s="16">
        <f>IF(AC228=0,IF(O228=2,INDEX(Acceleration!$R$4:$R$110,MATCH('Track Data'!S228,Acceleration!$K$4:$K$110,0)),IF('Track Data'!O228=1,INDEX(Acceleration!$Q$4:$Q$110,MATCH('Track Data'!S228,Acceleration!$K$4:$K$110,0)),'Track Data'!AG228)),'Track Data'!U228)</f>
        <v>-14.71670186282954</v>
      </c>
    </row>
    <row r="229" spans="2:34" x14ac:dyDescent="0.25">
      <c r="B229" s="16">
        <v>199.91900000000001</v>
      </c>
      <c r="C229" s="16">
        <v>7499</v>
      </c>
      <c r="D229" s="16">
        <v>226</v>
      </c>
      <c r="E229" s="113">
        <v>126</v>
      </c>
      <c r="F229" s="113">
        <v>140.6</v>
      </c>
      <c r="G229" s="113">
        <v>145.5</v>
      </c>
      <c r="H229" s="113">
        <f t="shared" si="25"/>
        <v>40.416666666666664</v>
      </c>
      <c r="I229" s="113">
        <v>-3.4</v>
      </c>
      <c r="J229" s="113">
        <v>103.28</v>
      </c>
      <c r="K229" s="113">
        <v>-11</v>
      </c>
      <c r="L229" s="189"/>
      <c r="M229" s="16">
        <v>226</v>
      </c>
      <c r="N229" s="16">
        <f t="shared" si="27"/>
        <v>1.9233046331193018E-2</v>
      </c>
      <c r="O229" s="16">
        <v>6</v>
      </c>
      <c r="P229" s="16">
        <f t="shared" si="22"/>
        <v>7.3113821138211375</v>
      </c>
      <c r="Q229" s="16">
        <f t="shared" si="28"/>
        <v>51.993843449446445</v>
      </c>
      <c r="R229" s="113">
        <f t="shared" si="23"/>
        <v>311.95699999999999</v>
      </c>
      <c r="S229" s="16">
        <f>IF(S228=15800,15800,ROUND((((Q229*60)/'Gearing Calculator'!$C$14)*'Track Data'!P229),-2))</f>
        <v>11500</v>
      </c>
      <c r="T229" s="16">
        <f t="shared" si="26"/>
        <v>-14.71670186282954</v>
      </c>
      <c r="U229" s="16">
        <f>IF(AC229=100,Braking!$AG$2354,IF(AC229=50,Braking!$AG$1179,IF(AC229=75,Braking!$AG$1767,0)))</f>
        <v>-14.71670186282954</v>
      </c>
      <c r="V229" s="16">
        <f>0.5*'Gearing Calculator'!$C$15*'Gearing Calculator'!$C$20*'Gearing Calculator'!$W$20*('Track Data'!Q229^2)</f>
        <v>286.12359664336446</v>
      </c>
      <c r="W229" s="16">
        <f>('Gearing Calculator'!$U$9*'Track Data'!T229)+'Track Data'!V229</f>
        <v>-3631.4624392418586</v>
      </c>
      <c r="X229" s="16">
        <f>('Gearing Calculator'!$U$9*9.81)*('Gearing Calculator'!$U$16/'Gearing Calculator'!$C$7)-(('Track Data'!W229)*('Gearing Calculator'!$U$17/'Gearing Calculator'!$C$7))</f>
        <v>3380.5573355135448</v>
      </c>
      <c r="Y229" s="16">
        <f>('Gearing Calculator'!$U$9*9.81)*(('Gearing Calculator'!$C$7-'Gearing Calculator'!$U$16)/'Gearing Calculator'!$C$7)+(('Track Data'!W229)*('Gearing Calculator'!$U$17/'Gearing Calculator'!$C$7))</f>
        <v>-769.13533551354476</v>
      </c>
      <c r="Z229" s="16">
        <f>((X229*COS('Gearing Calculator'!$C$21))/'Gearing Calculator'!$C$22)/2</f>
        <v>104.51614102215298</v>
      </c>
      <c r="AA229" s="16">
        <f>Y229/'Gearing Calculator'!$C$24</f>
        <v>-10.739708999209814</v>
      </c>
      <c r="AB229" s="16">
        <f t="shared" si="24"/>
        <v>197.82338546638721</v>
      </c>
      <c r="AC229" s="16">
        <v>100</v>
      </c>
      <c r="AD229" s="16">
        <v>0</v>
      </c>
      <c r="AE229" s="16">
        <v>226</v>
      </c>
      <c r="AF229" s="16">
        <f>IF(AC229=0,IF(O229=6,INDEX(Acceleration!$V$4:$V$110,MATCH('Track Data'!S229,Acceleration!$K$4:$K$110,0)),IF('Track Data'!O229=5,INDEX(Acceleration!$U$4:$U$110,MATCH('Track Data'!S229,Acceleration!$K$4:$K$110,0)),1)),U229)</f>
        <v>-14.71670186282954</v>
      </c>
      <c r="AG229" s="16">
        <f>IF(AC229=0,IF(O229=4,INDEX(Acceleration!$T$4:$T$110,MATCH('Track Data'!S229,Acceleration!$K$4:$K$110,0)),IF('Track Data'!O229=3,INDEX(Acceleration!$S$4:$S$110,MATCH('Track Data'!S229,Acceleration!$K$4:$K$110,0)),'Track Data'!AF229)),'Track Data'!U229)</f>
        <v>-14.71670186282954</v>
      </c>
      <c r="AH229" s="16">
        <f>IF(AC229=0,IF(O229=2,INDEX(Acceleration!$R$4:$R$110,MATCH('Track Data'!S229,Acceleration!$K$4:$K$110,0)),IF('Track Data'!O229=1,INDEX(Acceleration!$Q$4:$Q$110,MATCH('Track Data'!S229,Acceleration!$K$4:$K$110,0)),'Track Data'!AG229)),'Track Data'!U229)</f>
        <v>-14.71670186282954</v>
      </c>
    </row>
    <row r="230" spans="2:34" x14ac:dyDescent="0.25">
      <c r="B230" s="16">
        <v>199.94399999999999</v>
      </c>
      <c r="C230" s="16">
        <v>7500</v>
      </c>
      <c r="D230" s="16">
        <v>227</v>
      </c>
      <c r="E230" s="113">
        <v>126</v>
      </c>
      <c r="F230" s="113">
        <v>138.80000000000001</v>
      </c>
      <c r="G230" s="113">
        <v>144.5</v>
      </c>
      <c r="H230" s="113">
        <f t="shared" si="25"/>
        <v>40.138888888888886</v>
      </c>
      <c r="I230" s="113">
        <v>-3.4</v>
      </c>
      <c r="J230" s="113">
        <v>103.08</v>
      </c>
      <c r="K230" s="113">
        <v>-9.5</v>
      </c>
      <c r="L230" s="189"/>
      <c r="M230" s="16">
        <v>227</v>
      </c>
      <c r="N230" s="16">
        <f t="shared" si="27"/>
        <v>1.9338611075697273E-2</v>
      </c>
      <c r="O230" s="16">
        <v>6</v>
      </c>
      <c r="P230" s="16">
        <f t="shared" si="22"/>
        <v>7.3113821138211375</v>
      </c>
      <c r="Q230" s="16">
        <f t="shared" si="28"/>
        <v>51.710021784175318</v>
      </c>
      <c r="R230" s="113">
        <f t="shared" si="23"/>
        <v>311.95699999999999</v>
      </c>
      <c r="S230" s="16">
        <f>IF(S229=15800,15800,ROUND((((Q230*60)/'Gearing Calculator'!$C$14)*'Track Data'!P230),-2))</f>
        <v>11500</v>
      </c>
      <c r="T230" s="16">
        <f t="shared" si="26"/>
        <v>-14.71670186282954</v>
      </c>
      <c r="U230" s="16">
        <f>IF(AC230=100,Braking!$AG$2354,IF(AC230=50,Braking!$AG$1179,IF(AC230=75,Braking!$AG$1767,0)))</f>
        <v>-14.71670186282954</v>
      </c>
      <c r="V230" s="16">
        <f>0.5*'Gearing Calculator'!$C$15*'Gearing Calculator'!$C$20*'Gearing Calculator'!$W$20*('Track Data'!Q230^2)</f>
        <v>283.00836519304073</v>
      </c>
      <c r="W230" s="16">
        <f>('Gearing Calculator'!$U$9*'Track Data'!T230)+'Track Data'!V230</f>
        <v>-3634.5776706921824</v>
      </c>
      <c r="X230" s="16">
        <f>('Gearing Calculator'!$U$9*9.81)*('Gearing Calculator'!$U$16/'Gearing Calculator'!$C$7)-(('Track Data'!W230)*('Gearing Calculator'!$U$17/'Gearing Calculator'!$C$7))</f>
        <v>3382.2553494047565</v>
      </c>
      <c r="Y230" s="16">
        <f>('Gearing Calculator'!$U$9*9.81)*(('Gearing Calculator'!$C$7-'Gearing Calculator'!$U$16)/'Gearing Calculator'!$C$7)+(('Track Data'!W230)*('Gearing Calculator'!$U$17/'Gearing Calculator'!$C$7))</f>
        <v>-770.83334940475652</v>
      </c>
      <c r="Z230" s="16">
        <f>((X230*COS('Gearing Calculator'!$C$21))/'Gearing Calculator'!$C$22)/2</f>
        <v>104.56863824130886</v>
      </c>
      <c r="AA230" s="16">
        <f>Y230/'Gearing Calculator'!$C$24</f>
        <v>-10.763418968348152</v>
      </c>
      <c r="AB230" s="16">
        <f t="shared" si="24"/>
        <v>194.70815401606347</v>
      </c>
      <c r="AC230" s="16">
        <v>100</v>
      </c>
      <c r="AD230" s="16">
        <v>0</v>
      </c>
      <c r="AE230" s="16">
        <v>227</v>
      </c>
      <c r="AF230" s="16">
        <f>IF(AC230=0,IF(O230=6,INDEX(Acceleration!$V$4:$V$110,MATCH('Track Data'!S230,Acceleration!$K$4:$K$110,0)),IF('Track Data'!O230=5,INDEX(Acceleration!$U$4:$U$110,MATCH('Track Data'!S230,Acceleration!$K$4:$K$110,0)),1)),U230)</f>
        <v>-14.71670186282954</v>
      </c>
      <c r="AG230" s="16">
        <f>IF(AC230=0,IF(O230=4,INDEX(Acceleration!$T$4:$T$110,MATCH('Track Data'!S230,Acceleration!$K$4:$K$110,0)),IF('Track Data'!O230=3,INDEX(Acceleration!$S$4:$S$110,MATCH('Track Data'!S230,Acceleration!$K$4:$K$110,0)),'Track Data'!AF230)),'Track Data'!U230)</f>
        <v>-14.71670186282954</v>
      </c>
      <c r="AH230" s="16">
        <f>IF(AC230=0,IF(O230=2,INDEX(Acceleration!$R$4:$R$110,MATCH('Track Data'!S230,Acceleration!$K$4:$K$110,0)),IF('Track Data'!O230=1,INDEX(Acceleration!$Q$4:$Q$110,MATCH('Track Data'!S230,Acceleration!$K$4:$K$110,0)),'Track Data'!AG230)),'Track Data'!U230)</f>
        <v>-14.71670186282954</v>
      </c>
    </row>
    <row r="231" spans="2:34" x14ac:dyDescent="0.25">
      <c r="B231" s="16">
        <v>199.97</v>
      </c>
      <c r="C231" s="16">
        <v>7501</v>
      </c>
      <c r="D231" s="16">
        <v>228</v>
      </c>
      <c r="E231" s="113">
        <v>125</v>
      </c>
      <c r="F231" s="113">
        <v>138.19999999999999</v>
      </c>
      <c r="G231" s="113">
        <v>143.5</v>
      </c>
      <c r="H231" s="113">
        <f t="shared" si="25"/>
        <v>39.861111111111107</v>
      </c>
      <c r="I231" s="113">
        <v>-3.7</v>
      </c>
      <c r="J231" s="113">
        <v>102.56</v>
      </c>
      <c r="K231" s="113">
        <v>-7.4</v>
      </c>
      <c r="L231" s="189"/>
      <c r="M231" s="16">
        <v>228</v>
      </c>
      <c r="N231" s="16">
        <f t="shared" si="27"/>
        <v>1.9445933367441732E-2</v>
      </c>
      <c r="O231" s="16">
        <v>6</v>
      </c>
      <c r="P231" s="16">
        <f t="shared" si="22"/>
        <v>7.3113821138211375</v>
      </c>
      <c r="Q231" s="16">
        <f t="shared" si="28"/>
        <v>51.42463368070041</v>
      </c>
      <c r="R231" s="113">
        <f t="shared" si="23"/>
        <v>311.95699999999999</v>
      </c>
      <c r="S231" s="16">
        <f>IF(S230=15800,15800,ROUND((((Q231*60)/'Gearing Calculator'!$C$14)*'Track Data'!P231),-2))</f>
        <v>11400</v>
      </c>
      <c r="T231" s="16">
        <f t="shared" si="26"/>
        <v>-14.71670186282954</v>
      </c>
      <c r="U231" s="16">
        <f>IF(AC231=100,Braking!$AG$2354,IF(AC231=50,Braking!$AG$1179,IF(AC231=75,Braking!$AG$1767,0)))</f>
        <v>-14.71670186282954</v>
      </c>
      <c r="V231" s="16">
        <f>0.5*'Gearing Calculator'!$C$15*'Gearing Calculator'!$C$20*'Gearing Calculator'!$W$20*('Track Data'!Q231^2)</f>
        <v>279.89313374271694</v>
      </c>
      <c r="W231" s="16">
        <f>('Gearing Calculator'!$U$9*'Track Data'!T231)+'Track Data'!V231</f>
        <v>-3637.6929021425062</v>
      </c>
      <c r="X231" s="16">
        <f>('Gearing Calculator'!$U$9*9.81)*('Gearing Calculator'!$U$16/'Gearing Calculator'!$C$7)-(('Track Data'!W231)*('Gearing Calculator'!$U$17/'Gearing Calculator'!$C$7))</f>
        <v>3383.9533632959683</v>
      </c>
      <c r="Y231" s="16">
        <f>('Gearing Calculator'!$U$9*9.81)*(('Gearing Calculator'!$C$7-'Gearing Calculator'!$U$16)/'Gearing Calculator'!$C$7)+(('Track Data'!W231)*('Gearing Calculator'!$U$17/'Gearing Calculator'!$C$7))</f>
        <v>-772.53136329596828</v>
      </c>
      <c r="Z231" s="16">
        <f>((X231*COS('Gearing Calculator'!$C$21))/'Gearing Calculator'!$C$22)/2</f>
        <v>104.62113546046474</v>
      </c>
      <c r="AA231" s="16">
        <f>Y231/'Gearing Calculator'!$C$24</f>
        <v>-10.787128937486488</v>
      </c>
      <c r="AB231" s="16">
        <f t="shared" si="24"/>
        <v>191.59292256573968</v>
      </c>
      <c r="AC231" s="16">
        <v>100</v>
      </c>
      <c r="AD231" s="16">
        <v>0</v>
      </c>
      <c r="AE231" s="16">
        <v>228</v>
      </c>
      <c r="AF231" s="16">
        <f>IF(AC231=0,IF(O231=6,INDEX(Acceleration!$V$4:$V$110,MATCH('Track Data'!S231,Acceleration!$K$4:$K$110,0)),IF('Track Data'!O231=5,INDEX(Acceleration!$U$4:$U$110,MATCH('Track Data'!S231,Acceleration!$K$4:$K$110,0)),1)),U231)</f>
        <v>-14.71670186282954</v>
      </c>
      <c r="AG231" s="16">
        <f>IF(AC231=0,IF(O231=4,INDEX(Acceleration!$T$4:$T$110,MATCH('Track Data'!S231,Acceleration!$K$4:$K$110,0)),IF('Track Data'!O231=3,INDEX(Acceleration!$S$4:$S$110,MATCH('Track Data'!S231,Acceleration!$K$4:$K$110,0)),'Track Data'!AF231)),'Track Data'!U231)</f>
        <v>-14.71670186282954</v>
      </c>
      <c r="AH231" s="16">
        <f>IF(AC231=0,IF(O231=2,INDEX(Acceleration!$R$4:$R$110,MATCH('Track Data'!S231,Acceleration!$K$4:$K$110,0)),IF('Track Data'!O231=1,INDEX(Acceleration!$Q$4:$Q$110,MATCH('Track Data'!S231,Acceleration!$K$4:$K$110,0)),'Track Data'!AG231)),'Track Data'!U231)</f>
        <v>-14.71670186282954</v>
      </c>
    </row>
    <row r="232" spans="2:34" x14ac:dyDescent="0.25">
      <c r="B232" s="16">
        <v>199.99600000000001</v>
      </c>
      <c r="C232" s="16">
        <v>7502</v>
      </c>
      <c r="D232" s="16">
        <v>229</v>
      </c>
      <c r="E232" s="113">
        <v>124</v>
      </c>
      <c r="F232" s="113">
        <v>138.69999999999999</v>
      </c>
      <c r="G232" s="113">
        <v>142.9</v>
      </c>
      <c r="H232" s="113">
        <f t="shared" si="25"/>
        <v>39.694444444444443</v>
      </c>
      <c r="I232" s="113">
        <v>-3.7</v>
      </c>
      <c r="J232" s="113">
        <v>101.95</v>
      </c>
      <c r="K232" s="113">
        <v>-6</v>
      </c>
      <c r="L232" s="189"/>
      <c r="M232" s="16">
        <v>229</v>
      </c>
      <c r="N232" s="16">
        <f t="shared" si="27"/>
        <v>1.9555062523065492E-2</v>
      </c>
      <c r="O232" s="16">
        <v>6</v>
      </c>
      <c r="P232" s="16">
        <f t="shared" si="22"/>
        <v>7.3113821138211375</v>
      </c>
      <c r="Q232" s="16">
        <f t="shared" si="28"/>
        <v>51.137652913177078</v>
      </c>
      <c r="R232" s="113">
        <f t="shared" si="23"/>
        <v>311.95699999999999</v>
      </c>
      <c r="S232" s="16">
        <f>IF(S231=15800,15800,ROUND((((Q232*60)/'Gearing Calculator'!$C$14)*'Track Data'!P232),-2))</f>
        <v>11300</v>
      </c>
      <c r="T232" s="16">
        <f t="shared" si="26"/>
        <v>-14.71670186282954</v>
      </c>
      <c r="U232" s="16">
        <f>IF(AC232=100,Braking!$AG$2354,IF(AC232=50,Braking!$AG$1179,IF(AC232=75,Braking!$AG$1767,0)))</f>
        <v>-14.71670186282954</v>
      </c>
      <c r="V232" s="16">
        <f>0.5*'Gearing Calculator'!$C$15*'Gearing Calculator'!$C$20*'Gearing Calculator'!$W$20*('Track Data'!Q232^2)</f>
        <v>276.77790229239321</v>
      </c>
      <c r="W232" s="16">
        <f>('Gearing Calculator'!$U$9*'Track Data'!T232)+'Track Data'!V232</f>
        <v>-3640.80813359283</v>
      </c>
      <c r="X232" s="16">
        <f>('Gearing Calculator'!$U$9*9.81)*('Gearing Calculator'!$U$16/'Gearing Calculator'!$C$7)-(('Track Data'!W232)*('Gearing Calculator'!$U$17/'Gearing Calculator'!$C$7))</f>
        <v>3385.6513771871801</v>
      </c>
      <c r="Y232" s="16">
        <f>('Gearing Calculator'!$U$9*9.81)*(('Gearing Calculator'!$C$7-'Gearing Calculator'!$U$16)/'Gearing Calculator'!$C$7)+(('Track Data'!W232)*('Gearing Calculator'!$U$17/'Gearing Calculator'!$C$7))</f>
        <v>-774.22937718718003</v>
      </c>
      <c r="Z232" s="16">
        <f>((X232*COS('Gearing Calculator'!$C$21))/'Gearing Calculator'!$C$22)/2</f>
        <v>104.67363267962061</v>
      </c>
      <c r="AA232" s="16">
        <f>Y232/'Gearing Calculator'!$C$24</f>
        <v>-10.810838906624824</v>
      </c>
      <c r="AB232" s="16">
        <f t="shared" si="24"/>
        <v>188.47769111541595</v>
      </c>
      <c r="AC232" s="16">
        <v>100</v>
      </c>
      <c r="AD232" s="16">
        <v>0</v>
      </c>
      <c r="AE232" s="16">
        <v>229</v>
      </c>
      <c r="AF232" s="16">
        <f>IF(AC232=0,IF(O232=6,INDEX(Acceleration!$V$4:$V$110,MATCH('Track Data'!S232,Acceleration!$K$4:$K$110,0)),IF('Track Data'!O232=5,INDEX(Acceleration!$U$4:$U$110,MATCH('Track Data'!S232,Acceleration!$K$4:$K$110,0)),1)),U232)</f>
        <v>-14.71670186282954</v>
      </c>
      <c r="AG232" s="16">
        <f>IF(AC232=0,IF(O232=4,INDEX(Acceleration!$T$4:$T$110,MATCH('Track Data'!S232,Acceleration!$K$4:$K$110,0)),IF('Track Data'!O232=3,INDEX(Acceleration!$S$4:$S$110,MATCH('Track Data'!S232,Acceleration!$K$4:$K$110,0)),'Track Data'!AF232)),'Track Data'!U232)</f>
        <v>-14.71670186282954</v>
      </c>
      <c r="AH232" s="16">
        <f>IF(AC232=0,IF(O232=2,INDEX(Acceleration!$R$4:$R$110,MATCH('Track Data'!S232,Acceleration!$K$4:$K$110,0)),IF('Track Data'!O232=1,INDEX(Acceleration!$Q$4:$Q$110,MATCH('Track Data'!S232,Acceleration!$K$4:$K$110,0)),'Track Data'!AG232)),'Track Data'!U232)</f>
        <v>-14.71670186282954</v>
      </c>
    </row>
    <row r="233" spans="2:34" x14ac:dyDescent="0.25">
      <c r="B233" s="16">
        <v>200.02199999999999</v>
      </c>
      <c r="C233" s="16">
        <v>7503</v>
      </c>
      <c r="D233" s="16">
        <v>230</v>
      </c>
      <c r="E233" s="113">
        <v>122</v>
      </c>
      <c r="F233" s="113">
        <v>137.1</v>
      </c>
      <c r="G233" s="113">
        <v>141.9</v>
      </c>
      <c r="H233" s="113">
        <f t="shared" si="25"/>
        <v>39.416666666666664</v>
      </c>
      <c r="I233" s="113">
        <v>-3.7</v>
      </c>
      <c r="J233" s="113">
        <v>101.64</v>
      </c>
      <c r="K233" s="113">
        <v>-4.9000000000000004</v>
      </c>
      <c r="L233" s="189"/>
      <c r="M233" s="16">
        <v>230</v>
      </c>
      <c r="N233" s="16">
        <f t="shared" si="27"/>
        <v>1.9666049818559243E-2</v>
      </c>
      <c r="O233" s="16">
        <v>6</v>
      </c>
      <c r="P233" s="16">
        <f t="shared" si="22"/>
        <v>7.3113821138211375</v>
      </c>
      <c r="Q233" s="16">
        <f t="shared" si="28"/>
        <v>50.84905251568518</v>
      </c>
      <c r="R233" s="113">
        <f t="shared" si="23"/>
        <v>311.95699999999999</v>
      </c>
      <c r="S233" s="16">
        <f>IF(S232=15800,15800,ROUND((((Q233*60)/'Gearing Calculator'!$C$14)*'Track Data'!P233),-2))</f>
        <v>11300</v>
      </c>
      <c r="T233" s="16">
        <f t="shared" si="26"/>
        <v>-14.71670186282954</v>
      </c>
      <c r="U233" s="16">
        <f>IF(AC233=100,Braking!$AG$2354,IF(AC233=50,Braking!$AG$1179,IF(AC233=75,Braking!$AG$1767,0)))</f>
        <v>-14.71670186282954</v>
      </c>
      <c r="V233" s="16">
        <f>0.5*'Gearing Calculator'!$C$15*'Gearing Calculator'!$C$20*'Gearing Calculator'!$W$20*('Track Data'!Q233^2)</f>
        <v>273.66267084206953</v>
      </c>
      <c r="W233" s="16">
        <f>('Gearing Calculator'!$U$9*'Track Data'!T233)+'Track Data'!V233</f>
        <v>-3643.9233650431538</v>
      </c>
      <c r="X233" s="16">
        <f>('Gearing Calculator'!$U$9*9.81)*('Gearing Calculator'!$U$16/'Gearing Calculator'!$C$7)-(('Track Data'!W233)*('Gearing Calculator'!$U$17/'Gearing Calculator'!$C$7))</f>
        <v>3387.3493910783918</v>
      </c>
      <c r="Y233" s="16">
        <f>('Gearing Calculator'!$U$9*9.81)*(('Gearing Calculator'!$C$7-'Gearing Calculator'!$U$16)/'Gearing Calculator'!$C$7)+(('Track Data'!W233)*('Gearing Calculator'!$U$17/'Gearing Calculator'!$C$7))</f>
        <v>-775.92739107839202</v>
      </c>
      <c r="Z233" s="16">
        <f>((X233*COS('Gearing Calculator'!$C$21))/'Gearing Calculator'!$C$22)/2</f>
        <v>104.72612989877649</v>
      </c>
      <c r="AA233" s="16">
        <f>Y233/'Gearing Calculator'!$C$24</f>
        <v>-10.834548875763163</v>
      </c>
      <c r="AB233" s="16">
        <f t="shared" si="24"/>
        <v>185.36245966509227</v>
      </c>
      <c r="AC233" s="16">
        <v>100</v>
      </c>
      <c r="AD233" s="16">
        <v>0</v>
      </c>
      <c r="AE233" s="16">
        <v>230</v>
      </c>
      <c r="AF233" s="16">
        <f>IF(AC233=0,IF(O233=6,INDEX(Acceleration!$V$4:$V$110,MATCH('Track Data'!S233,Acceleration!$K$4:$K$110,0)),IF('Track Data'!O233=5,INDEX(Acceleration!$U$4:$U$110,MATCH('Track Data'!S233,Acceleration!$K$4:$K$110,0)),1)),U233)</f>
        <v>-14.71670186282954</v>
      </c>
      <c r="AG233" s="16">
        <f>IF(AC233=0,IF(O233=4,INDEX(Acceleration!$T$4:$T$110,MATCH('Track Data'!S233,Acceleration!$K$4:$K$110,0)),IF('Track Data'!O233=3,INDEX(Acceleration!$S$4:$S$110,MATCH('Track Data'!S233,Acceleration!$K$4:$K$110,0)),'Track Data'!AF233)),'Track Data'!U233)</f>
        <v>-14.71670186282954</v>
      </c>
      <c r="AH233" s="16">
        <f>IF(AC233=0,IF(O233=2,INDEX(Acceleration!$R$4:$R$110,MATCH('Track Data'!S233,Acceleration!$K$4:$K$110,0)),IF('Track Data'!O233=1,INDEX(Acceleration!$Q$4:$Q$110,MATCH('Track Data'!S233,Acceleration!$K$4:$K$110,0)),'Track Data'!AG233)),'Track Data'!U233)</f>
        <v>-14.71670186282954</v>
      </c>
    </row>
    <row r="234" spans="2:34" x14ac:dyDescent="0.25">
      <c r="B234" s="16">
        <v>200.048</v>
      </c>
      <c r="C234" s="16">
        <v>7504</v>
      </c>
      <c r="D234" s="16">
        <v>231</v>
      </c>
      <c r="E234" s="113">
        <v>121</v>
      </c>
      <c r="F234" s="113">
        <v>135.9</v>
      </c>
      <c r="G234" s="113">
        <v>141.30000000000001</v>
      </c>
      <c r="H234" s="113">
        <f t="shared" si="25"/>
        <v>39.25</v>
      </c>
      <c r="I234" s="113">
        <v>-3.7</v>
      </c>
      <c r="J234" s="113">
        <v>101.16</v>
      </c>
      <c r="K234" s="113">
        <v>-4.2</v>
      </c>
      <c r="L234" s="189"/>
      <c r="M234" s="16">
        <v>231</v>
      </c>
      <c r="N234" s="16">
        <f t="shared" si="27"/>
        <v>1.9778948590501548E-2</v>
      </c>
      <c r="O234" s="16">
        <v>6</v>
      </c>
      <c r="P234" s="16">
        <f t="shared" si="22"/>
        <v>7.3113821138211375</v>
      </c>
      <c r="Q234" s="16">
        <f t="shared" si="28"/>
        <v>50.558804752656592</v>
      </c>
      <c r="R234" s="113">
        <f t="shared" si="23"/>
        <v>311.95699999999999</v>
      </c>
      <c r="S234" s="16">
        <f>IF(S233=15800,15800,ROUND((((Q234*60)/'Gearing Calculator'!$C$14)*'Track Data'!P234),-2))</f>
        <v>11200</v>
      </c>
      <c r="T234" s="16">
        <f t="shared" si="26"/>
        <v>-14.71670186282954</v>
      </c>
      <c r="U234" s="16">
        <f>IF(AC234=100,Braking!$AG$2354,IF(AC234=50,Braking!$AG$1179,IF(AC234=75,Braking!$AG$1767,0)))</f>
        <v>-14.71670186282954</v>
      </c>
      <c r="V234" s="16">
        <f>0.5*'Gearing Calculator'!$C$15*'Gearing Calculator'!$C$20*'Gearing Calculator'!$W$20*('Track Data'!Q234^2)</f>
        <v>270.5474393917458</v>
      </c>
      <c r="W234" s="16">
        <f>('Gearing Calculator'!$U$9*'Track Data'!T234)+'Track Data'!V234</f>
        <v>-3647.0385964934776</v>
      </c>
      <c r="X234" s="16">
        <f>('Gearing Calculator'!$U$9*9.81)*('Gearing Calculator'!$U$16/'Gearing Calculator'!$C$7)-(('Track Data'!W234)*('Gearing Calculator'!$U$17/'Gearing Calculator'!$C$7))</f>
        <v>3389.047404969604</v>
      </c>
      <c r="Y234" s="16">
        <f>('Gearing Calculator'!$U$9*9.81)*(('Gearing Calculator'!$C$7-'Gearing Calculator'!$U$16)/'Gearing Calculator'!$C$7)+(('Track Data'!W234)*('Gearing Calculator'!$U$17/'Gearing Calculator'!$C$7))</f>
        <v>-777.62540496960378</v>
      </c>
      <c r="Z234" s="16">
        <f>((X234*COS('Gearing Calculator'!$C$21))/'Gearing Calculator'!$C$22)/2</f>
        <v>104.77862711793237</v>
      </c>
      <c r="AA234" s="16">
        <f>Y234/'Gearing Calculator'!$C$24</f>
        <v>-10.858258844901499</v>
      </c>
      <c r="AB234" s="16">
        <f t="shared" si="24"/>
        <v>182.24722821476854</v>
      </c>
      <c r="AC234" s="16">
        <v>100</v>
      </c>
      <c r="AD234" s="16">
        <v>0</v>
      </c>
      <c r="AE234" s="16">
        <v>231</v>
      </c>
      <c r="AF234" s="16">
        <f>IF(AC234=0,IF(O234=6,INDEX(Acceleration!$V$4:$V$110,MATCH('Track Data'!S234,Acceleration!$K$4:$K$110,0)),IF('Track Data'!O234=5,INDEX(Acceleration!$U$4:$U$110,MATCH('Track Data'!S234,Acceleration!$K$4:$K$110,0)),1)),U234)</f>
        <v>-14.71670186282954</v>
      </c>
      <c r="AG234" s="16">
        <f>IF(AC234=0,IF(O234=4,INDEX(Acceleration!$T$4:$T$110,MATCH('Track Data'!S234,Acceleration!$K$4:$K$110,0)),IF('Track Data'!O234=3,INDEX(Acceleration!$S$4:$S$110,MATCH('Track Data'!S234,Acceleration!$K$4:$K$110,0)),'Track Data'!AF234)),'Track Data'!U234)</f>
        <v>-14.71670186282954</v>
      </c>
      <c r="AH234" s="16">
        <f>IF(AC234=0,IF(O234=2,INDEX(Acceleration!$R$4:$R$110,MATCH('Track Data'!S234,Acceleration!$K$4:$K$110,0)),IF('Track Data'!O234=1,INDEX(Acceleration!$Q$4:$Q$110,MATCH('Track Data'!S234,Acceleration!$K$4:$K$110,0)),'Track Data'!AG234)),'Track Data'!U234)</f>
        <v>-14.71670186282954</v>
      </c>
    </row>
    <row r="235" spans="2:34" x14ac:dyDescent="0.25">
      <c r="B235" s="16">
        <v>200.07400000000001</v>
      </c>
      <c r="C235" s="16">
        <v>7505</v>
      </c>
      <c r="D235" s="16">
        <v>232</v>
      </c>
      <c r="E235" s="113">
        <v>120</v>
      </c>
      <c r="F235" s="113">
        <v>135.1</v>
      </c>
      <c r="G235" s="113">
        <v>140.30000000000001</v>
      </c>
      <c r="H235" s="113">
        <f t="shared" si="25"/>
        <v>38.972222222222221</v>
      </c>
      <c r="I235" s="113">
        <v>-3.7</v>
      </c>
      <c r="J235" s="113">
        <v>97.63</v>
      </c>
      <c r="K235" s="113">
        <v>-3.3</v>
      </c>
      <c r="L235" s="189"/>
      <c r="M235" s="16">
        <v>232</v>
      </c>
      <c r="N235" s="16">
        <f t="shared" si="27"/>
        <v>1.9893814343762497E-2</v>
      </c>
      <c r="O235" s="16">
        <v>6</v>
      </c>
      <c r="P235" s="16">
        <f t="shared" si="22"/>
        <v>7.3113821138211375</v>
      </c>
      <c r="Q235" s="16">
        <f t="shared" si="28"/>
        <v>50.266881087765846</v>
      </c>
      <c r="R235" s="113">
        <f t="shared" si="23"/>
        <v>311.95699999999999</v>
      </c>
      <c r="S235" s="16">
        <f>IF(S234=15800,15800,ROUND((((Q235*60)/'Gearing Calculator'!$C$14)*'Track Data'!P235),-2))</f>
        <v>11100</v>
      </c>
      <c r="T235" s="16">
        <f t="shared" si="26"/>
        <v>-14.71670186282954</v>
      </c>
      <c r="U235" s="16">
        <f>IF(AC235=100,Braking!$AG$2354,IF(AC235=50,Braking!$AG$1179,IF(AC235=75,Braking!$AG$1767,0)))</f>
        <v>-14.71670186282954</v>
      </c>
      <c r="V235" s="16">
        <f>0.5*'Gearing Calculator'!$C$15*'Gearing Calculator'!$C$20*'Gearing Calculator'!$W$20*('Track Data'!Q235^2)</f>
        <v>267.43220794142201</v>
      </c>
      <c r="W235" s="16">
        <f>('Gearing Calculator'!$U$9*'Track Data'!T235)+'Track Data'!V235</f>
        <v>-3650.1538279438014</v>
      </c>
      <c r="X235" s="16">
        <f>('Gearing Calculator'!$U$9*9.81)*('Gearing Calculator'!$U$16/'Gearing Calculator'!$C$7)-(('Track Data'!W235)*('Gearing Calculator'!$U$17/'Gearing Calculator'!$C$7))</f>
        <v>3390.7454188608153</v>
      </c>
      <c r="Y235" s="16">
        <f>('Gearing Calculator'!$U$9*9.81)*(('Gearing Calculator'!$C$7-'Gearing Calculator'!$U$16)/'Gearing Calculator'!$C$7)+(('Track Data'!W235)*('Gearing Calculator'!$U$17/'Gearing Calculator'!$C$7))</f>
        <v>-779.32341886081554</v>
      </c>
      <c r="Z235" s="16">
        <f>((X235*COS('Gearing Calculator'!$C$21))/'Gearing Calculator'!$C$22)/2</f>
        <v>104.83112433708824</v>
      </c>
      <c r="AA235" s="16">
        <f>Y235/'Gearing Calculator'!$C$24</f>
        <v>-10.881968814039837</v>
      </c>
      <c r="AB235" s="16">
        <f t="shared" si="24"/>
        <v>179.13199676444475</v>
      </c>
      <c r="AC235" s="16">
        <v>100</v>
      </c>
      <c r="AD235" s="16">
        <v>0</v>
      </c>
      <c r="AE235" s="16">
        <v>232</v>
      </c>
      <c r="AF235" s="16">
        <f>IF(AC235=0,IF(O235=6,INDEX(Acceleration!$V$4:$V$110,MATCH('Track Data'!S235,Acceleration!$K$4:$K$110,0)),IF('Track Data'!O235=5,INDEX(Acceleration!$U$4:$U$110,MATCH('Track Data'!S235,Acceleration!$K$4:$K$110,0)),1)),U235)</f>
        <v>-14.71670186282954</v>
      </c>
      <c r="AG235" s="16">
        <f>IF(AC235=0,IF(O235=4,INDEX(Acceleration!$T$4:$T$110,MATCH('Track Data'!S235,Acceleration!$K$4:$K$110,0)),IF('Track Data'!O235=3,INDEX(Acceleration!$S$4:$S$110,MATCH('Track Data'!S235,Acceleration!$K$4:$K$110,0)),'Track Data'!AF235)),'Track Data'!U235)</f>
        <v>-14.71670186282954</v>
      </c>
      <c r="AH235" s="16">
        <f>IF(AC235=0,IF(O235=2,INDEX(Acceleration!$R$4:$R$110,MATCH('Track Data'!S235,Acceleration!$K$4:$K$110,0)),IF('Track Data'!O235=1,INDEX(Acceleration!$Q$4:$Q$110,MATCH('Track Data'!S235,Acceleration!$K$4:$K$110,0)),'Track Data'!AG235)),'Track Data'!U235)</f>
        <v>-14.71670186282954</v>
      </c>
    </row>
    <row r="236" spans="2:34" x14ac:dyDescent="0.25">
      <c r="B236" s="16">
        <v>200.101</v>
      </c>
      <c r="C236" s="16">
        <v>7506</v>
      </c>
      <c r="D236" s="16">
        <v>233</v>
      </c>
      <c r="E236" s="113">
        <v>120</v>
      </c>
      <c r="F236" s="113">
        <v>135.5</v>
      </c>
      <c r="G236" s="113">
        <v>139.30000000000001</v>
      </c>
      <c r="H236" s="113">
        <f t="shared" si="25"/>
        <v>38.69444444444445</v>
      </c>
      <c r="I236" s="113">
        <v>-2.8</v>
      </c>
      <c r="J236" s="113">
        <v>95.13</v>
      </c>
      <c r="K236" s="113">
        <v>-1.4</v>
      </c>
      <c r="L236" s="189"/>
      <c r="M236" s="16">
        <v>233</v>
      </c>
      <c r="N236" s="16">
        <f t="shared" si="27"/>
        <v>2.0010704866168773E-2</v>
      </c>
      <c r="O236" s="16">
        <v>6</v>
      </c>
      <c r="P236" s="16">
        <f t="shared" si="22"/>
        <v>7.3113821138211375</v>
      </c>
      <c r="Q236" s="16">
        <f t="shared" si="28"/>
        <v>49.973252151185164</v>
      </c>
      <c r="R236" s="113">
        <f t="shared" si="23"/>
        <v>311.95699999999999</v>
      </c>
      <c r="S236" s="16">
        <f>IF(S235=15800,15800,ROUND((((Q236*60)/'Gearing Calculator'!$C$14)*'Track Data'!P236),-2))</f>
        <v>11100</v>
      </c>
      <c r="T236" s="16">
        <f t="shared" si="26"/>
        <v>-14.71670186282954</v>
      </c>
      <c r="U236" s="16">
        <f>IF(AC236=100,Braking!$AG$2354,IF(AC236=50,Braking!$AG$1179,IF(AC236=75,Braking!$AG$1767,0)))</f>
        <v>-14.71670186282954</v>
      </c>
      <c r="V236" s="16">
        <f>0.5*'Gearing Calculator'!$C$15*'Gearing Calculator'!$C$20*'Gearing Calculator'!$W$20*('Track Data'!Q236^2)</f>
        <v>264.31697649109827</v>
      </c>
      <c r="W236" s="16">
        <f>('Gearing Calculator'!$U$9*'Track Data'!T236)+'Track Data'!V236</f>
        <v>-3653.2690593941252</v>
      </c>
      <c r="X236" s="16">
        <f>('Gearing Calculator'!$U$9*9.81)*('Gearing Calculator'!$U$16/'Gearing Calculator'!$C$7)-(('Track Data'!W236)*('Gearing Calculator'!$U$17/'Gearing Calculator'!$C$7))</f>
        <v>3392.4434327520275</v>
      </c>
      <c r="Y236" s="16">
        <f>('Gearing Calculator'!$U$9*9.81)*(('Gearing Calculator'!$C$7-'Gearing Calculator'!$U$16)/'Gearing Calculator'!$C$7)+(('Track Data'!W236)*('Gearing Calculator'!$U$17/'Gearing Calculator'!$C$7))</f>
        <v>-781.02143275202729</v>
      </c>
      <c r="Z236" s="16">
        <f>((X236*COS('Gearing Calculator'!$C$21))/'Gearing Calculator'!$C$22)/2</f>
        <v>104.88362155624414</v>
      </c>
      <c r="AA236" s="16">
        <f>Y236/'Gearing Calculator'!$C$24</f>
        <v>-10.905678783178173</v>
      </c>
      <c r="AB236" s="16">
        <f t="shared" si="24"/>
        <v>176.01676531412102</v>
      </c>
      <c r="AC236" s="16">
        <v>100</v>
      </c>
      <c r="AD236" s="16">
        <v>0</v>
      </c>
      <c r="AE236" s="16">
        <v>233</v>
      </c>
      <c r="AF236" s="16">
        <f>IF(AC236=0,IF(O236=6,INDEX(Acceleration!$V$4:$V$110,MATCH('Track Data'!S236,Acceleration!$K$4:$K$110,0)),IF('Track Data'!O236=5,INDEX(Acceleration!$U$4:$U$110,MATCH('Track Data'!S236,Acceleration!$K$4:$K$110,0)),1)),U236)</f>
        <v>-14.71670186282954</v>
      </c>
      <c r="AG236" s="16">
        <f>IF(AC236=0,IF(O236=4,INDEX(Acceleration!$T$4:$T$110,MATCH('Track Data'!S236,Acceleration!$K$4:$K$110,0)),IF('Track Data'!O236=3,INDEX(Acceleration!$S$4:$S$110,MATCH('Track Data'!S236,Acceleration!$K$4:$K$110,0)),'Track Data'!AF236)),'Track Data'!U236)</f>
        <v>-14.71670186282954</v>
      </c>
      <c r="AH236" s="16">
        <f>IF(AC236=0,IF(O236=2,INDEX(Acceleration!$R$4:$R$110,MATCH('Track Data'!S236,Acceleration!$K$4:$K$110,0)),IF('Track Data'!O236=1,INDEX(Acceleration!$Q$4:$Q$110,MATCH('Track Data'!S236,Acceleration!$K$4:$K$110,0)),'Track Data'!AG236)),'Track Data'!U236)</f>
        <v>-14.71670186282954</v>
      </c>
    </row>
    <row r="237" spans="2:34" x14ac:dyDescent="0.25">
      <c r="B237" s="16">
        <v>200.12700000000001</v>
      </c>
      <c r="C237" s="16">
        <v>7507</v>
      </c>
      <c r="D237" s="16">
        <v>234</v>
      </c>
      <c r="E237" s="113">
        <v>120</v>
      </c>
      <c r="F237" s="113">
        <v>135.4</v>
      </c>
      <c r="G237" s="113">
        <v>138.69999999999999</v>
      </c>
      <c r="H237" s="113">
        <f t="shared" si="25"/>
        <v>38.527777777777771</v>
      </c>
      <c r="I237" s="113">
        <v>-3.5</v>
      </c>
      <c r="J237" s="113">
        <v>95.19</v>
      </c>
      <c r="K237" s="113">
        <v>0</v>
      </c>
      <c r="L237" s="189"/>
      <c r="M237" s="16">
        <v>234</v>
      </c>
      <c r="N237" s="16">
        <f t="shared" si="27"/>
        <v>2.0129680350668165E-2</v>
      </c>
      <c r="O237" s="16">
        <v>6</v>
      </c>
      <c r="P237" s="16">
        <f t="shared" si="22"/>
        <v>7.3113821138211375</v>
      </c>
      <c r="Q237" s="16">
        <f t="shared" si="28"/>
        <v>49.677887705097461</v>
      </c>
      <c r="R237" s="113">
        <f t="shared" si="23"/>
        <v>311.95699999999999</v>
      </c>
      <c r="S237" s="16">
        <f>IF(S236=15800,15800,ROUND((((Q237*60)/'Gearing Calculator'!$C$14)*'Track Data'!P237),-2))</f>
        <v>11000</v>
      </c>
      <c r="T237" s="16">
        <f t="shared" si="26"/>
        <v>-14.71670186282954</v>
      </c>
      <c r="U237" s="16">
        <f>IF(AC237=100,Braking!$AG$2354,IF(AC237=50,Braking!$AG$1179,IF(AC237=75,Braking!$AG$1767,0)))</f>
        <v>-14.71670186282954</v>
      </c>
      <c r="V237" s="16">
        <f>0.5*'Gearing Calculator'!$C$15*'Gearing Calculator'!$C$20*'Gearing Calculator'!$W$20*('Track Data'!Q237^2)</f>
        <v>261.20174504077454</v>
      </c>
      <c r="W237" s="16">
        <f>('Gearing Calculator'!$U$9*'Track Data'!T237)+'Track Data'!V237</f>
        <v>-3656.3842908444485</v>
      </c>
      <c r="X237" s="16">
        <f>('Gearing Calculator'!$U$9*9.81)*('Gearing Calculator'!$U$16/'Gearing Calculator'!$C$7)-(('Track Data'!W237)*('Gearing Calculator'!$U$17/'Gearing Calculator'!$C$7))</f>
        <v>3394.1414466432389</v>
      </c>
      <c r="Y237" s="16">
        <f>('Gearing Calculator'!$U$9*9.81)*(('Gearing Calculator'!$C$7-'Gearing Calculator'!$U$16)/'Gearing Calculator'!$C$7)+(('Track Data'!W237)*('Gearing Calculator'!$U$17/'Gearing Calculator'!$C$7))</f>
        <v>-782.71944664323883</v>
      </c>
      <c r="Z237" s="16">
        <f>((X237*COS('Gearing Calculator'!$C$21))/'Gearing Calculator'!$C$22)/2</f>
        <v>104.9361187754</v>
      </c>
      <c r="AA237" s="16">
        <f>Y237/'Gearing Calculator'!$C$24</f>
        <v>-10.929388752316505</v>
      </c>
      <c r="AB237" s="16">
        <f t="shared" si="24"/>
        <v>172.90153386379728</v>
      </c>
      <c r="AC237" s="16">
        <v>100</v>
      </c>
      <c r="AD237" s="16">
        <v>0</v>
      </c>
      <c r="AE237" s="16">
        <v>234</v>
      </c>
      <c r="AF237" s="16">
        <f>IF(AC237=0,IF(O237=6,INDEX(Acceleration!$V$4:$V$110,MATCH('Track Data'!S237,Acceleration!$K$4:$K$110,0)),IF('Track Data'!O237=5,INDEX(Acceleration!$U$4:$U$110,MATCH('Track Data'!S237,Acceleration!$K$4:$K$110,0)),1)),U237)</f>
        <v>-14.71670186282954</v>
      </c>
      <c r="AG237" s="16">
        <f>IF(AC237=0,IF(O237=4,INDEX(Acceleration!$T$4:$T$110,MATCH('Track Data'!S237,Acceleration!$K$4:$K$110,0)),IF('Track Data'!O237=3,INDEX(Acceleration!$S$4:$S$110,MATCH('Track Data'!S237,Acceleration!$K$4:$K$110,0)),'Track Data'!AF237)),'Track Data'!U237)</f>
        <v>-14.71670186282954</v>
      </c>
      <c r="AH237" s="16">
        <f>IF(AC237=0,IF(O237=2,INDEX(Acceleration!$R$4:$R$110,MATCH('Track Data'!S237,Acceleration!$K$4:$K$110,0)),IF('Track Data'!O237=1,INDEX(Acceleration!$Q$4:$Q$110,MATCH('Track Data'!S237,Acceleration!$K$4:$K$110,0)),'Track Data'!AG237)),'Track Data'!U237)</f>
        <v>-14.71670186282954</v>
      </c>
    </row>
    <row r="238" spans="2:34" x14ac:dyDescent="0.25">
      <c r="B238" s="16">
        <v>200.154</v>
      </c>
      <c r="C238" s="16">
        <v>7508</v>
      </c>
      <c r="D238" s="16">
        <v>235</v>
      </c>
      <c r="E238" s="113">
        <v>119</v>
      </c>
      <c r="F238" s="113">
        <v>132</v>
      </c>
      <c r="G238" s="113">
        <v>137.69999999999999</v>
      </c>
      <c r="H238" s="113">
        <f t="shared" si="25"/>
        <v>38.249999999999993</v>
      </c>
      <c r="I238" s="113">
        <v>-3.6</v>
      </c>
      <c r="J238" s="113">
        <v>94.25</v>
      </c>
      <c r="K238" s="113">
        <v>2.1</v>
      </c>
      <c r="L238" s="189"/>
      <c r="M238" s="16">
        <v>235</v>
      </c>
      <c r="N238" s="16">
        <f t="shared" si="27"/>
        <v>2.0250803525580254E-2</v>
      </c>
      <c r="O238" s="16">
        <v>6</v>
      </c>
      <c r="P238" s="16">
        <f t="shared" si="22"/>
        <v>7.3113821138211375</v>
      </c>
      <c r="Q238" s="16">
        <f t="shared" si="28"/>
        <v>49.380756607352772</v>
      </c>
      <c r="R238" s="113">
        <f t="shared" si="23"/>
        <v>311.95699999999999</v>
      </c>
      <c r="S238" s="16">
        <f>IF(S237=15800,15800,ROUND((((Q238*60)/'Gearing Calculator'!$C$14)*'Track Data'!P238),-2))</f>
        <v>10900</v>
      </c>
      <c r="T238" s="16">
        <f t="shared" si="26"/>
        <v>-14.71670186282954</v>
      </c>
      <c r="U238" s="16">
        <f>IF(AC238=100,Braking!$AG$2354,IF(AC238=50,Braking!$AG$1179,IF(AC238=75,Braking!$AG$1767,0)))</f>
        <v>-14.71670186282954</v>
      </c>
      <c r="V238" s="16">
        <f>0.5*'Gearing Calculator'!$C$15*'Gearing Calculator'!$C$20*'Gearing Calculator'!$W$20*('Track Data'!Q238^2)</f>
        <v>258.08651359045081</v>
      </c>
      <c r="W238" s="16">
        <f>('Gearing Calculator'!$U$9*'Track Data'!T238)+'Track Data'!V238</f>
        <v>-3659.4995222947723</v>
      </c>
      <c r="X238" s="16">
        <f>('Gearing Calculator'!$U$9*9.81)*('Gearing Calculator'!$U$16/'Gearing Calculator'!$C$7)-(('Track Data'!W238)*('Gearing Calculator'!$U$17/'Gearing Calculator'!$C$7))</f>
        <v>3395.8394605344511</v>
      </c>
      <c r="Y238" s="16">
        <f>('Gearing Calculator'!$U$9*9.81)*(('Gearing Calculator'!$C$7-'Gearing Calculator'!$U$16)/'Gearing Calculator'!$C$7)+(('Track Data'!W238)*('Gearing Calculator'!$U$17/'Gearing Calculator'!$C$7))</f>
        <v>-784.41746053445081</v>
      </c>
      <c r="Z238" s="16">
        <f>((X238*COS('Gearing Calculator'!$C$21))/'Gearing Calculator'!$C$22)/2</f>
        <v>104.98861599455589</v>
      </c>
      <c r="AA238" s="16">
        <f>Y238/'Gearing Calculator'!$C$24</f>
        <v>-10.953098721454845</v>
      </c>
      <c r="AB238" s="16">
        <f t="shared" si="24"/>
        <v>169.78630241347355</v>
      </c>
      <c r="AC238" s="16">
        <v>100</v>
      </c>
      <c r="AD238" s="16">
        <v>0</v>
      </c>
      <c r="AE238" s="16">
        <v>235</v>
      </c>
      <c r="AF238" s="16">
        <f>IF(AC238=0,IF(O238=6,INDEX(Acceleration!$V$4:$V$110,MATCH('Track Data'!S238,Acceleration!$K$4:$K$110,0)),IF('Track Data'!O238=5,INDEX(Acceleration!$U$4:$U$110,MATCH('Track Data'!S238,Acceleration!$K$4:$K$110,0)),1)),U238)</f>
        <v>-14.71670186282954</v>
      </c>
      <c r="AG238" s="16">
        <f>IF(AC238=0,IF(O238=4,INDEX(Acceleration!$T$4:$T$110,MATCH('Track Data'!S238,Acceleration!$K$4:$K$110,0)),IF('Track Data'!O238=3,INDEX(Acceleration!$S$4:$S$110,MATCH('Track Data'!S238,Acceleration!$K$4:$K$110,0)),'Track Data'!AF238)),'Track Data'!U238)</f>
        <v>-14.71670186282954</v>
      </c>
      <c r="AH238" s="16">
        <f>IF(AC238=0,IF(O238=2,INDEX(Acceleration!$R$4:$R$110,MATCH('Track Data'!S238,Acceleration!$K$4:$K$110,0)),IF('Track Data'!O238=1,INDEX(Acceleration!$Q$4:$Q$110,MATCH('Track Data'!S238,Acceleration!$K$4:$K$110,0)),'Track Data'!AG238)),'Track Data'!U238)</f>
        <v>-14.71670186282954</v>
      </c>
    </row>
    <row r="239" spans="2:34" x14ac:dyDescent="0.25">
      <c r="B239" s="16">
        <v>200.18100000000001</v>
      </c>
      <c r="C239" s="16">
        <v>7509</v>
      </c>
      <c r="D239" s="16">
        <v>236</v>
      </c>
      <c r="E239" s="113">
        <v>122</v>
      </c>
      <c r="F239" s="113">
        <v>132</v>
      </c>
      <c r="G239" s="113">
        <v>136.69999999999999</v>
      </c>
      <c r="H239" s="113">
        <f t="shared" si="25"/>
        <v>37.972222222222221</v>
      </c>
      <c r="I239" s="113">
        <v>-3.2</v>
      </c>
      <c r="J239" s="113">
        <v>87.81</v>
      </c>
      <c r="K239" s="113">
        <v>2.5</v>
      </c>
      <c r="L239" s="189"/>
      <c r="M239" s="16">
        <v>236</v>
      </c>
      <c r="N239" s="16">
        <f t="shared" si="27"/>
        <v>2.0374139793573443E-2</v>
      </c>
      <c r="O239" s="16">
        <v>6</v>
      </c>
      <c r="P239" s="16">
        <f t="shared" si="22"/>
        <v>7.3113821138211375</v>
      </c>
      <c r="Q239" s="16">
        <f t="shared" si="28"/>
        <v>49.081826773144414</v>
      </c>
      <c r="R239" s="113">
        <f t="shared" si="23"/>
        <v>311.95699999999999</v>
      </c>
      <c r="S239" s="16">
        <f>IF(S238=15800,15800,ROUND((((Q239*60)/'Gearing Calculator'!$C$14)*'Track Data'!P239),-2))</f>
        <v>10900</v>
      </c>
      <c r="T239" s="16">
        <f t="shared" si="26"/>
        <v>-14.71670186282954</v>
      </c>
      <c r="U239" s="16">
        <f>IF(AC239=100,Braking!$AG$2354,IF(AC239=50,Braking!$AG$1179,IF(AC239=75,Braking!$AG$1767,0)))</f>
        <v>-14.71670186282954</v>
      </c>
      <c r="V239" s="16">
        <f>0.5*'Gearing Calculator'!$C$15*'Gearing Calculator'!$C$20*'Gearing Calculator'!$W$20*('Track Data'!Q239^2)</f>
        <v>254.97128214012704</v>
      </c>
      <c r="W239" s="16">
        <f>('Gearing Calculator'!$U$9*'Track Data'!T239)+'Track Data'!V239</f>
        <v>-3662.6147537450961</v>
      </c>
      <c r="X239" s="16">
        <f>('Gearing Calculator'!$U$9*9.81)*('Gearing Calculator'!$U$16/'Gearing Calculator'!$C$7)-(('Track Data'!W239)*('Gearing Calculator'!$U$17/'Gearing Calculator'!$C$7))</f>
        <v>3397.5374744256624</v>
      </c>
      <c r="Y239" s="16">
        <f>('Gearing Calculator'!$U$9*9.81)*(('Gearing Calculator'!$C$7-'Gearing Calculator'!$U$16)/'Gearing Calculator'!$C$7)+(('Track Data'!W239)*('Gearing Calculator'!$U$17/'Gearing Calculator'!$C$7))</f>
        <v>-786.11547442566257</v>
      </c>
      <c r="Z239" s="16">
        <f>((X239*COS('Gearing Calculator'!$C$21))/'Gearing Calculator'!$C$22)/2</f>
        <v>105.04111321371175</v>
      </c>
      <c r="AA239" s="16">
        <f>Y239/'Gearing Calculator'!$C$24</f>
        <v>-10.976808690593183</v>
      </c>
      <c r="AB239" s="16">
        <f t="shared" si="24"/>
        <v>166.67107096314982</v>
      </c>
      <c r="AC239" s="16">
        <v>100</v>
      </c>
      <c r="AD239" s="16">
        <v>0</v>
      </c>
      <c r="AE239" s="16">
        <v>236</v>
      </c>
      <c r="AF239" s="16">
        <f>IF(AC239=0,IF(O239=6,INDEX(Acceleration!$V$4:$V$110,MATCH('Track Data'!S239,Acceleration!$K$4:$K$110,0)),IF('Track Data'!O239=5,INDEX(Acceleration!$U$4:$U$110,MATCH('Track Data'!S239,Acceleration!$K$4:$K$110,0)),1)),U239)</f>
        <v>-14.71670186282954</v>
      </c>
      <c r="AG239" s="16">
        <f>IF(AC239=0,IF(O239=4,INDEX(Acceleration!$T$4:$T$110,MATCH('Track Data'!S239,Acceleration!$K$4:$K$110,0)),IF('Track Data'!O239=3,INDEX(Acceleration!$S$4:$S$110,MATCH('Track Data'!S239,Acceleration!$K$4:$K$110,0)),'Track Data'!AF239)),'Track Data'!U239)</f>
        <v>-14.71670186282954</v>
      </c>
      <c r="AH239" s="16">
        <f>IF(AC239=0,IF(O239=2,INDEX(Acceleration!$R$4:$R$110,MATCH('Track Data'!S239,Acceleration!$K$4:$K$110,0)),IF('Track Data'!O239=1,INDEX(Acceleration!$Q$4:$Q$110,MATCH('Track Data'!S239,Acceleration!$K$4:$K$110,0)),'Track Data'!AG239)),'Track Data'!U239)</f>
        <v>-14.71670186282954</v>
      </c>
    </row>
    <row r="240" spans="2:34" x14ac:dyDescent="0.25">
      <c r="B240" s="16">
        <v>200.208</v>
      </c>
      <c r="C240" s="16">
        <v>7510</v>
      </c>
      <c r="D240" s="16">
        <v>237</v>
      </c>
      <c r="E240" s="113">
        <v>124</v>
      </c>
      <c r="F240" s="113">
        <v>132.5</v>
      </c>
      <c r="G240" s="113">
        <v>136.1</v>
      </c>
      <c r="H240" s="113">
        <f t="shared" si="25"/>
        <v>37.80555555555555</v>
      </c>
      <c r="I240" s="113">
        <v>-2.6</v>
      </c>
      <c r="J240" s="113">
        <v>88.21</v>
      </c>
      <c r="K240" s="113">
        <v>2.5</v>
      </c>
      <c r="L240" s="189"/>
      <c r="M240" s="16">
        <v>237</v>
      </c>
      <c r="N240" s="16">
        <f t="shared" si="27"/>
        <v>2.0499757380067842E-2</v>
      </c>
      <c r="O240" s="16">
        <v>6</v>
      </c>
      <c r="P240" s="16">
        <f t="shared" si="22"/>
        <v>7.3113821138211375</v>
      </c>
      <c r="Q240" s="16">
        <f t="shared" si="28"/>
        <v>48.781065134571392</v>
      </c>
      <c r="R240" s="113">
        <f t="shared" si="23"/>
        <v>311.95699999999999</v>
      </c>
      <c r="S240" s="16">
        <f>IF(S239=15800,15800,ROUND((((Q240*60)/'Gearing Calculator'!$C$14)*'Track Data'!P240),-2))</f>
        <v>10800</v>
      </c>
      <c r="T240" s="16">
        <f t="shared" si="26"/>
        <v>-14.71670186282954</v>
      </c>
      <c r="U240" s="16">
        <f>IF(AC240=100,Braking!$AG$2354,IF(AC240=50,Braking!$AG$1179,IF(AC240=75,Braking!$AG$1767,0)))</f>
        <v>-14.71670186282954</v>
      </c>
      <c r="V240" s="16">
        <f>0.5*'Gearing Calculator'!$C$15*'Gearing Calculator'!$C$20*'Gearing Calculator'!$W$20*('Track Data'!Q240^2)</f>
        <v>251.85605068980328</v>
      </c>
      <c r="W240" s="16">
        <f>('Gearing Calculator'!$U$9*'Track Data'!T240)+'Track Data'!V240</f>
        <v>-3665.7299851954199</v>
      </c>
      <c r="X240" s="16">
        <f>('Gearing Calculator'!$U$9*9.81)*('Gearing Calculator'!$U$16/'Gearing Calculator'!$C$7)-(('Track Data'!W240)*('Gearing Calculator'!$U$17/'Gearing Calculator'!$C$7))</f>
        <v>3399.2354883168746</v>
      </c>
      <c r="Y240" s="16">
        <f>('Gearing Calculator'!$U$9*9.81)*(('Gearing Calculator'!$C$7-'Gearing Calculator'!$U$16)/'Gearing Calculator'!$C$7)+(('Track Data'!W240)*('Gearing Calculator'!$U$17/'Gearing Calculator'!$C$7))</f>
        <v>-787.81348831687433</v>
      </c>
      <c r="Z240" s="16">
        <f>((X240*COS('Gearing Calculator'!$C$21))/'Gearing Calculator'!$C$22)/2</f>
        <v>105.09361043286765</v>
      </c>
      <c r="AA240" s="16">
        <f>Y240/'Gearing Calculator'!$C$24</f>
        <v>-11.000518659731519</v>
      </c>
      <c r="AB240" s="16">
        <f t="shared" si="24"/>
        <v>163.55583951282603</v>
      </c>
      <c r="AC240" s="16">
        <v>100</v>
      </c>
      <c r="AD240" s="16">
        <v>0</v>
      </c>
      <c r="AE240" s="16">
        <v>237</v>
      </c>
      <c r="AF240" s="16">
        <f>IF(AC240=0,IF(O240=6,INDEX(Acceleration!$V$4:$V$110,MATCH('Track Data'!S240,Acceleration!$K$4:$K$110,0)),IF('Track Data'!O240=5,INDEX(Acceleration!$U$4:$U$110,MATCH('Track Data'!S240,Acceleration!$K$4:$K$110,0)),1)),U240)</f>
        <v>-14.71670186282954</v>
      </c>
      <c r="AG240" s="16">
        <f>IF(AC240=0,IF(O240=4,INDEX(Acceleration!$T$4:$T$110,MATCH('Track Data'!S240,Acceleration!$K$4:$K$110,0)),IF('Track Data'!O240=3,INDEX(Acceleration!$S$4:$S$110,MATCH('Track Data'!S240,Acceleration!$K$4:$K$110,0)),'Track Data'!AF240)),'Track Data'!U240)</f>
        <v>-14.71670186282954</v>
      </c>
      <c r="AH240" s="16">
        <f>IF(AC240=0,IF(O240=2,INDEX(Acceleration!$R$4:$R$110,MATCH('Track Data'!S240,Acceleration!$K$4:$K$110,0)),IF('Track Data'!O240=1,INDEX(Acceleration!$Q$4:$Q$110,MATCH('Track Data'!S240,Acceleration!$K$4:$K$110,0)),'Track Data'!AG240)),'Track Data'!U240)</f>
        <v>-14.71670186282954</v>
      </c>
    </row>
    <row r="241" spans="2:34" x14ac:dyDescent="0.25">
      <c r="B241" s="16">
        <v>200.23599999999999</v>
      </c>
      <c r="C241" s="16">
        <v>7511</v>
      </c>
      <c r="D241" s="16">
        <v>238</v>
      </c>
      <c r="E241" s="113">
        <v>129</v>
      </c>
      <c r="F241" s="113">
        <v>131.5</v>
      </c>
      <c r="G241" s="113">
        <v>135.1</v>
      </c>
      <c r="H241" s="113">
        <f t="shared" si="25"/>
        <v>37.527777777777779</v>
      </c>
      <c r="I241" s="113">
        <v>-2.6</v>
      </c>
      <c r="J241" s="113">
        <v>89.96</v>
      </c>
      <c r="K241" s="113">
        <v>2.5</v>
      </c>
      <c r="L241" s="189"/>
      <c r="M241" s="16">
        <v>238</v>
      </c>
      <c r="N241" s="16">
        <f t="shared" si="27"/>
        <v>2.0627727491828958E-2</v>
      </c>
      <c r="O241" s="16">
        <v>6</v>
      </c>
      <c r="P241" s="16">
        <f t="shared" si="22"/>
        <v>7.3113821138211375</v>
      </c>
      <c r="Q241" s="16">
        <f t="shared" si="28"/>
        <v>48.478437597942836</v>
      </c>
      <c r="R241" s="113">
        <f t="shared" si="23"/>
        <v>311.95699999999999</v>
      </c>
      <c r="S241" s="16">
        <f>IF(S240=15800,15800,ROUND((((Q241*60)/'Gearing Calculator'!$C$14)*'Track Data'!P241),-2))</f>
        <v>10700</v>
      </c>
      <c r="T241" s="16">
        <f t="shared" si="26"/>
        <v>-14.71670186282954</v>
      </c>
      <c r="U241" s="16">
        <f>IF(AC241=100,Braking!$AG$2354,IF(AC241=50,Braking!$AG$1179,IF(AC241=75,Braking!$AG$1767,0)))</f>
        <v>-14.71670186282954</v>
      </c>
      <c r="V241" s="16">
        <f>0.5*'Gearing Calculator'!$C$15*'Gearing Calculator'!$C$20*'Gearing Calculator'!$W$20*('Track Data'!Q241^2)</f>
        <v>248.74081923947955</v>
      </c>
      <c r="W241" s="16">
        <f>('Gearing Calculator'!$U$9*'Track Data'!T241)+'Track Data'!V241</f>
        <v>-3668.8452166457437</v>
      </c>
      <c r="X241" s="16">
        <f>('Gearing Calculator'!$U$9*9.81)*('Gearing Calculator'!$U$16/'Gearing Calculator'!$C$7)-(('Track Data'!W241)*('Gearing Calculator'!$U$17/'Gearing Calculator'!$C$7))</f>
        <v>3400.9335022080859</v>
      </c>
      <c r="Y241" s="16">
        <f>('Gearing Calculator'!$U$9*9.81)*(('Gearing Calculator'!$C$7-'Gearing Calculator'!$U$16)/'Gearing Calculator'!$C$7)+(('Track Data'!W241)*('Gearing Calculator'!$U$17/'Gearing Calculator'!$C$7))</f>
        <v>-789.51150220808609</v>
      </c>
      <c r="Z241" s="16">
        <f>((X241*COS('Gearing Calculator'!$C$21))/'Gearing Calculator'!$C$22)/2</f>
        <v>105.1461076520235</v>
      </c>
      <c r="AA241" s="16">
        <f>Y241/'Gearing Calculator'!$C$24</f>
        <v>-11.024228628869855</v>
      </c>
      <c r="AB241" s="16">
        <f t="shared" si="24"/>
        <v>160.44060806250229</v>
      </c>
      <c r="AC241" s="16">
        <v>100</v>
      </c>
      <c r="AD241" s="16">
        <v>0</v>
      </c>
      <c r="AE241" s="16">
        <v>238</v>
      </c>
      <c r="AF241" s="16">
        <f>IF(AC241=0,IF(O241=6,INDEX(Acceleration!$V$4:$V$110,MATCH('Track Data'!S241,Acceleration!$K$4:$K$110,0)),IF('Track Data'!O241=5,INDEX(Acceleration!$U$4:$U$110,MATCH('Track Data'!S241,Acceleration!$K$4:$K$110,0)),1)),U241)</f>
        <v>-14.71670186282954</v>
      </c>
      <c r="AG241" s="16">
        <f>IF(AC241=0,IF(O241=4,INDEX(Acceleration!$T$4:$T$110,MATCH('Track Data'!S241,Acceleration!$K$4:$K$110,0)),IF('Track Data'!O241=3,INDEX(Acceleration!$S$4:$S$110,MATCH('Track Data'!S241,Acceleration!$K$4:$K$110,0)),'Track Data'!AF241)),'Track Data'!U241)</f>
        <v>-14.71670186282954</v>
      </c>
      <c r="AH241" s="16">
        <f>IF(AC241=0,IF(O241=2,INDEX(Acceleration!$R$4:$R$110,MATCH('Track Data'!S241,Acceleration!$K$4:$K$110,0)),IF('Track Data'!O241=1,INDEX(Acceleration!$Q$4:$Q$110,MATCH('Track Data'!S241,Acceleration!$K$4:$K$110,0)),'Track Data'!AG241)),'Track Data'!U241)</f>
        <v>-14.71670186282954</v>
      </c>
    </row>
    <row r="242" spans="2:34" x14ac:dyDescent="0.25">
      <c r="B242" s="16">
        <v>200.262</v>
      </c>
      <c r="C242" s="16">
        <v>7512</v>
      </c>
      <c r="D242" s="16">
        <v>239</v>
      </c>
      <c r="E242" s="113">
        <v>130</v>
      </c>
      <c r="F242" s="113">
        <v>129.19999999999999</v>
      </c>
      <c r="G242" s="113">
        <v>134.1</v>
      </c>
      <c r="H242" s="113">
        <f t="shared" si="25"/>
        <v>37.25</v>
      </c>
      <c r="I242" s="113">
        <v>-2</v>
      </c>
      <c r="J242" s="113">
        <v>91.95</v>
      </c>
      <c r="K242" s="113">
        <v>0.8</v>
      </c>
      <c r="L242" s="189"/>
      <c r="M242" s="16">
        <v>239</v>
      </c>
      <c r="N242" s="16">
        <f t="shared" si="27"/>
        <v>2.0758124486589674E-2</v>
      </c>
      <c r="O242" s="16">
        <v>6</v>
      </c>
      <c r="P242" s="16">
        <f t="shared" si="22"/>
        <v>7.3113821138211375</v>
      </c>
      <c r="Q242" s="16">
        <f t="shared" si="28"/>
        <v>48.173908998668345</v>
      </c>
      <c r="R242" s="113">
        <f t="shared" si="23"/>
        <v>311.95699999999999</v>
      </c>
      <c r="S242" s="16">
        <f>IF(S241=15800,15800,ROUND((((Q242*60)/'Gearing Calculator'!$C$14)*'Track Data'!P242),-2))</f>
        <v>10700</v>
      </c>
      <c r="T242" s="16">
        <f t="shared" si="26"/>
        <v>-14.71670186282954</v>
      </c>
      <c r="U242" s="16">
        <f>IF(AC242=100,Braking!$AG$2354,IF(AC242=50,Braking!$AG$1179,IF(AC242=75,Braking!$AG$1767,0)))</f>
        <v>-14.71670186282954</v>
      </c>
      <c r="V242" s="16">
        <f>0.5*'Gearing Calculator'!$C$15*'Gearing Calculator'!$C$20*'Gearing Calculator'!$W$20*('Track Data'!Q242^2)</f>
        <v>245.62558778915584</v>
      </c>
      <c r="W242" s="16">
        <f>('Gearing Calculator'!$U$9*'Track Data'!T242)+'Track Data'!V242</f>
        <v>-3671.9604480960675</v>
      </c>
      <c r="X242" s="16">
        <f>('Gearing Calculator'!$U$9*9.81)*('Gearing Calculator'!$U$16/'Gearing Calculator'!$C$7)-(('Track Data'!W242)*('Gearing Calculator'!$U$17/'Gearing Calculator'!$C$7))</f>
        <v>3402.6315160992981</v>
      </c>
      <c r="Y242" s="16">
        <f>('Gearing Calculator'!$U$9*9.81)*(('Gearing Calculator'!$C$7-'Gearing Calculator'!$U$16)/'Gearing Calculator'!$C$7)+(('Track Data'!W242)*('Gearing Calculator'!$U$17/'Gearing Calculator'!$C$7))</f>
        <v>-791.20951609929784</v>
      </c>
      <c r="Z242" s="16">
        <f>((X242*COS('Gearing Calculator'!$C$21))/'Gearing Calculator'!$C$22)/2</f>
        <v>105.1986048711794</v>
      </c>
      <c r="AA242" s="16">
        <f>Y242/'Gearing Calculator'!$C$24</f>
        <v>-11.047938598008191</v>
      </c>
      <c r="AB242" s="16">
        <f t="shared" si="24"/>
        <v>157.32537661217862</v>
      </c>
      <c r="AC242" s="16">
        <v>100</v>
      </c>
      <c r="AD242" s="16">
        <v>0</v>
      </c>
      <c r="AE242" s="16">
        <v>239</v>
      </c>
      <c r="AF242" s="16">
        <f>IF(AC242=0,IF(O242=6,INDEX(Acceleration!$V$4:$V$110,MATCH('Track Data'!S242,Acceleration!$K$4:$K$110,0)),IF('Track Data'!O242=5,INDEX(Acceleration!$U$4:$U$110,MATCH('Track Data'!S242,Acceleration!$K$4:$K$110,0)),1)),U242)</f>
        <v>-14.71670186282954</v>
      </c>
      <c r="AG242" s="16">
        <f>IF(AC242=0,IF(O242=4,INDEX(Acceleration!$T$4:$T$110,MATCH('Track Data'!S242,Acceleration!$K$4:$K$110,0)),IF('Track Data'!O242=3,INDEX(Acceleration!$S$4:$S$110,MATCH('Track Data'!S242,Acceleration!$K$4:$K$110,0)),'Track Data'!AF242)),'Track Data'!U242)</f>
        <v>-14.71670186282954</v>
      </c>
      <c r="AH242" s="16">
        <f>IF(AC242=0,IF(O242=2,INDEX(Acceleration!$R$4:$R$110,MATCH('Track Data'!S242,Acceleration!$K$4:$K$110,0)),IF('Track Data'!O242=1,INDEX(Acceleration!$Q$4:$Q$110,MATCH('Track Data'!S242,Acceleration!$K$4:$K$110,0)),'Track Data'!AG242)),'Track Data'!U242)</f>
        <v>-14.71670186282954</v>
      </c>
    </row>
    <row r="243" spans="2:34" x14ac:dyDescent="0.25">
      <c r="B243" s="16">
        <v>200.291</v>
      </c>
      <c r="C243" s="16">
        <v>7513</v>
      </c>
      <c r="D243" s="16">
        <v>240</v>
      </c>
      <c r="E243" s="113">
        <v>129</v>
      </c>
      <c r="F243" s="113">
        <v>127.9</v>
      </c>
      <c r="G243" s="113">
        <v>133.1</v>
      </c>
      <c r="H243" s="113">
        <f t="shared" si="25"/>
        <v>36.972222222222221</v>
      </c>
      <c r="I243" s="113">
        <v>-1</v>
      </c>
      <c r="J243" s="113">
        <v>91.58</v>
      </c>
      <c r="K243" s="113">
        <v>-1.3</v>
      </c>
      <c r="L243" s="189"/>
      <c r="M243" s="16">
        <v>240</v>
      </c>
      <c r="N243" s="16">
        <f t="shared" si="27"/>
        <v>2.0891026054618487E-2</v>
      </c>
      <c r="O243" s="16">
        <v>6</v>
      </c>
      <c r="P243" s="16">
        <f t="shared" si="22"/>
        <v>7.3113821138211375</v>
      </c>
      <c r="Q243" s="16">
        <f t="shared" si="28"/>
        <v>47.867443053565331</v>
      </c>
      <c r="R243" s="113">
        <f t="shared" si="23"/>
        <v>311.95699999999999</v>
      </c>
      <c r="S243" s="16">
        <f>IF(S242=15800,15800,ROUND((((Q243*60)/'Gearing Calculator'!$C$14)*'Track Data'!P243),-2))</f>
        <v>10600</v>
      </c>
      <c r="T243" s="16">
        <f t="shared" si="26"/>
        <v>-14.71670186282954</v>
      </c>
      <c r="U243" s="16">
        <f>IF(AC243=100,Braking!$AG$2354,IF(AC243=50,Braking!$AG$1179,IF(AC243=75,Braking!$AG$1767,0)))</f>
        <v>-14.71670186282954</v>
      </c>
      <c r="V243" s="16">
        <f>0.5*'Gearing Calculator'!$C$15*'Gearing Calculator'!$C$20*'Gearing Calculator'!$W$20*('Track Data'!Q243^2)</f>
        <v>242.51035633883211</v>
      </c>
      <c r="W243" s="16">
        <f>('Gearing Calculator'!$U$9*'Track Data'!T243)+'Track Data'!V243</f>
        <v>-3675.0756795463913</v>
      </c>
      <c r="X243" s="16">
        <f>('Gearing Calculator'!$U$9*9.81)*('Gearing Calculator'!$U$16/'Gearing Calculator'!$C$7)-(('Track Data'!W243)*('Gearing Calculator'!$U$17/'Gearing Calculator'!$C$7))</f>
        <v>3404.3295299905094</v>
      </c>
      <c r="Y243" s="16">
        <f>('Gearing Calculator'!$U$9*9.81)*(('Gearing Calculator'!$C$7-'Gearing Calculator'!$U$16)/'Gearing Calculator'!$C$7)+(('Track Data'!W243)*('Gearing Calculator'!$U$17/'Gearing Calculator'!$C$7))</f>
        <v>-792.9075299905096</v>
      </c>
      <c r="Z243" s="16">
        <f>((X243*COS('Gearing Calculator'!$C$21))/'Gearing Calculator'!$C$22)/2</f>
        <v>105.25110209033525</v>
      </c>
      <c r="AA243" s="16">
        <f>Y243/'Gearing Calculator'!$C$24</f>
        <v>-11.071648567146529</v>
      </c>
      <c r="AB243" s="16">
        <f t="shared" si="24"/>
        <v>154.21014516185488</v>
      </c>
      <c r="AC243" s="16">
        <v>100</v>
      </c>
      <c r="AD243" s="16">
        <v>0</v>
      </c>
      <c r="AE243" s="16">
        <v>240</v>
      </c>
      <c r="AF243" s="16">
        <f>IF(AC243=0,IF(O243=6,INDEX(Acceleration!$V$4:$V$110,MATCH('Track Data'!S243,Acceleration!$K$4:$K$110,0)),IF('Track Data'!O243=5,INDEX(Acceleration!$U$4:$U$110,MATCH('Track Data'!S243,Acceleration!$K$4:$K$110,0)),1)),U243)</f>
        <v>-14.71670186282954</v>
      </c>
      <c r="AG243" s="16">
        <f>IF(AC243=0,IF(O243=4,INDEX(Acceleration!$T$4:$T$110,MATCH('Track Data'!S243,Acceleration!$K$4:$K$110,0)),IF('Track Data'!O243=3,INDEX(Acceleration!$S$4:$S$110,MATCH('Track Data'!S243,Acceleration!$K$4:$K$110,0)),'Track Data'!AF243)),'Track Data'!U243)</f>
        <v>-14.71670186282954</v>
      </c>
      <c r="AH243" s="16">
        <f>IF(AC243=0,IF(O243=2,INDEX(Acceleration!$R$4:$R$110,MATCH('Track Data'!S243,Acceleration!$K$4:$K$110,0)),IF('Track Data'!O243=1,INDEX(Acceleration!$Q$4:$Q$110,MATCH('Track Data'!S243,Acceleration!$K$4:$K$110,0)),'Track Data'!AG243)),'Track Data'!U243)</f>
        <v>-14.71670186282954</v>
      </c>
    </row>
    <row r="244" spans="2:34" x14ac:dyDescent="0.25">
      <c r="B244" s="16">
        <v>200.31899999999999</v>
      </c>
      <c r="C244" s="16">
        <v>7514</v>
      </c>
      <c r="D244" s="16">
        <v>241</v>
      </c>
      <c r="E244" s="113">
        <v>128</v>
      </c>
      <c r="F244" s="113">
        <v>128.1</v>
      </c>
      <c r="G244" s="113">
        <v>132.5</v>
      </c>
      <c r="H244" s="113">
        <f t="shared" si="25"/>
        <v>36.805555555555557</v>
      </c>
      <c r="I244" s="113">
        <v>-0.6</v>
      </c>
      <c r="J244" s="113">
        <v>90.82</v>
      </c>
      <c r="K244" s="113">
        <v>-2.7</v>
      </c>
      <c r="L244" s="189"/>
      <c r="M244" s="16">
        <v>241</v>
      </c>
      <c r="N244" s="16">
        <f t="shared" si="27"/>
        <v>2.1026513413241174E-2</v>
      </c>
      <c r="O244" s="16">
        <v>6</v>
      </c>
      <c r="P244" s="16">
        <f t="shared" si="22"/>
        <v>7.3113821138211375</v>
      </c>
      <c r="Q244" s="16">
        <f t="shared" si="28"/>
        <v>47.559002310400302</v>
      </c>
      <c r="R244" s="113">
        <f t="shared" si="23"/>
        <v>311.95699999999999</v>
      </c>
      <c r="S244" s="16">
        <f>IF(S243=15800,15800,ROUND((((Q244*60)/'Gearing Calculator'!$C$14)*'Track Data'!P244),-2))</f>
        <v>10500</v>
      </c>
      <c r="T244" s="16">
        <f t="shared" si="26"/>
        <v>-14.71670186282954</v>
      </c>
      <c r="U244" s="16">
        <f>IF(AC244=100,Braking!$AG$2354,IF(AC244=50,Braking!$AG$1179,IF(AC244=75,Braking!$AG$1767,0)))</f>
        <v>-14.71670186282954</v>
      </c>
      <c r="V244" s="16">
        <f>0.5*'Gearing Calculator'!$C$15*'Gearing Calculator'!$C$20*'Gearing Calculator'!$W$20*('Track Data'!Q244^2)</f>
        <v>239.39512488850835</v>
      </c>
      <c r="W244" s="16">
        <f>('Gearing Calculator'!$U$9*'Track Data'!T244)+'Track Data'!V244</f>
        <v>-3678.190910996715</v>
      </c>
      <c r="X244" s="16">
        <f>('Gearing Calculator'!$U$9*9.81)*('Gearing Calculator'!$U$16/'Gearing Calculator'!$C$7)-(('Track Data'!W244)*('Gearing Calculator'!$U$17/'Gearing Calculator'!$C$7))</f>
        <v>3406.0275438817216</v>
      </c>
      <c r="Y244" s="16">
        <f>('Gearing Calculator'!$U$9*9.81)*(('Gearing Calculator'!$C$7-'Gearing Calculator'!$U$16)/'Gearing Calculator'!$C$7)+(('Track Data'!W244)*('Gearing Calculator'!$U$17/'Gearing Calculator'!$C$7))</f>
        <v>-794.60554388172159</v>
      </c>
      <c r="Z244" s="16">
        <f>((X244*COS('Gearing Calculator'!$C$21))/'Gearing Calculator'!$C$22)/2</f>
        <v>105.30359930949115</v>
      </c>
      <c r="AA244" s="16">
        <f>Y244/'Gearing Calculator'!$C$24</f>
        <v>-11.095358536284868</v>
      </c>
      <c r="AB244" s="16">
        <f t="shared" si="24"/>
        <v>151.09491371153109</v>
      </c>
      <c r="AC244" s="16">
        <v>100</v>
      </c>
      <c r="AD244" s="16">
        <v>0</v>
      </c>
      <c r="AE244" s="16">
        <v>241</v>
      </c>
      <c r="AF244" s="16">
        <f>IF(AC244=0,IF(O244=6,INDEX(Acceleration!$V$4:$V$110,MATCH('Track Data'!S244,Acceleration!$K$4:$K$110,0)),IF('Track Data'!O244=5,INDEX(Acceleration!$U$4:$U$110,MATCH('Track Data'!S244,Acceleration!$K$4:$K$110,0)),1)),U244)</f>
        <v>-14.71670186282954</v>
      </c>
      <c r="AG244" s="16">
        <f>IF(AC244=0,IF(O244=4,INDEX(Acceleration!$T$4:$T$110,MATCH('Track Data'!S244,Acceleration!$K$4:$K$110,0)),IF('Track Data'!O244=3,INDEX(Acceleration!$S$4:$S$110,MATCH('Track Data'!S244,Acceleration!$K$4:$K$110,0)),'Track Data'!AF244)),'Track Data'!U244)</f>
        <v>-14.71670186282954</v>
      </c>
      <c r="AH244" s="16">
        <f>IF(AC244=0,IF(O244=2,INDEX(Acceleration!$R$4:$R$110,MATCH('Track Data'!S244,Acceleration!$K$4:$K$110,0)),IF('Track Data'!O244=1,INDEX(Acceleration!$Q$4:$Q$110,MATCH('Track Data'!S244,Acceleration!$K$4:$K$110,0)),'Track Data'!AG244)),'Track Data'!U244)</f>
        <v>-14.71670186282954</v>
      </c>
    </row>
    <row r="245" spans="2:34" x14ac:dyDescent="0.25">
      <c r="B245" s="16">
        <v>200.346</v>
      </c>
      <c r="C245" s="16">
        <v>7515</v>
      </c>
      <c r="D245" s="16">
        <v>242</v>
      </c>
      <c r="E245" s="113">
        <v>121</v>
      </c>
      <c r="F245" s="113">
        <v>126.3</v>
      </c>
      <c r="G245" s="113">
        <v>131.5</v>
      </c>
      <c r="H245" s="113">
        <f t="shared" si="25"/>
        <v>36.527777777777779</v>
      </c>
      <c r="I245" s="113">
        <v>-1.1000000000000001</v>
      </c>
      <c r="J245" s="113">
        <v>93.92</v>
      </c>
      <c r="K245" s="113">
        <v>-4.4000000000000004</v>
      </c>
      <c r="L245" s="189"/>
      <c r="M245" s="16">
        <v>242</v>
      </c>
      <c r="N245" s="16">
        <f t="shared" si="27"/>
        <v>2.1164671515422496E-2</v>
      </c>
      <c r="O245" s="16">
        <v>6</v>
      </c>
      <c r="P245" s="16">
        <f t="shared" si="22"/>
        <v>7.3113821138211375</v>
      </c>
      <c r="Q245" s="16">
        <f t="shared" si="28"/>
        <v>47.24854809446532</v>
      </c>
      <c r="R245" s="113">
        <f t="shared" si="23"/>
        <v>311.95699999999999</v>
      </c>
      <c r="S245" s="16">
        <f>IF(S244=15800,15800,ROUND((((Q245*60)/'Gearing Calculator'!$C$14)*'Track Data'!P245),-2))</f>
        <v>10500</v>
      </c>
      <c r="T245" s="16">
        <f t="shared" si="26"/>
        <v>-14.71670186282954</v>
      </c>
      <c r="U245" s="16">
        <f>IF(AC245=100,Braking!$AG$2354,IF(AC245=50,Braking!$AG$1179,IF(AC245=75,Braking!$AG$1767,0)))</f>
        <v>-14.71670186282954</v>
      </c>
      <c r="V245" s="16">
        <f>0.5*'Gearing Calculator'!$C$15*'Gearing Calculator'!$C$20*'Gearing Calculator'!$W$20*('Track Data'!Q245^2)</f>
        <v>236.27989343818464</v>
      </c>
      <c r="W245" s="16">
        <f>('Gearing Calculator'!$U$9*'Track Data'!T245)+'Track Data'!V245</f>
        <v>-3681.3061424470388</v>
      </c>
      <c r="X245" s="16">
        <f>('Gearing Calculator'!$U$9*9.81)*('Gearing Calculator'!$U$16/'Gearing Calculator'!$C$7)-(('Track Data'!W245)*('Gearing Calculator'!$U$17/'Gearing Calculator'!$C$7))</f>
        <v>3407.7255577729334</v>
      </c>
      <c r="Y245" s="16">
        <f>('Gearing Calculator'!$U$9*9.81)*(('Gearing Calculator'!$C$7-'Gearing Calculator'!$U$16)/'Gearing Calculator'!$C$7)+(('Track Data'!W245)*('Gearing Calculator'!$U$17/'Gearing Calculator'!$C$7))</f>
        <v>-796.30355777293335</v>
      </c>
      <c r="Z245" s="16">
        <f>((X245*COS('Gearing Calculator'!$C$21))/'Gearing Calculator'!$C$22)/2</f>
        <v>105.35609652864703</v>
      </c>
      <c r="AA245" s="16">
        <f>Y245/'Gearing Calculator'!$C$24</f>
        <v>-11.119068505423204</v>
      </c>
      <c r="AB245" s="16">
        <f t="shared" si="24"/>
        <v>147.97968226120742</v>
      </c>
      <c r="AC245" s="16">
        <v>100</v>
      </c>
      <c r="AD245" s="16">
        <v>0</v>
      </c>
      <c r="AE245" s="16">
        <v>242</v>
      </c>
      <c r="AF245" s="16">
        <f>IF(AC245=0,IF(O245=6,INDEX(Acceleration!$V$4:$V$110,MATCH('Track Data'!S245,Acceleration!$K$4:$K$110,0)),IF('Track Data'!O245=5,INDEX(Acceleration!$U$4:$U$110,MATCH('Track Data'!S245,Acceleration!$K$4:$K$110,0)),1)),U245)</f>
        <v>-14.71670186282954</v>
      </c>
      <c r="AG245" s="16">
        <f>IF(AC245=0,IF(O245=4,INDEX(Acceleration!$T$4:$T$110,MATCH('Track Data'!S245,Acceleration!$K$4:$K$110,0)),IF('Track Data'!O245=3,INDEX(Acceleration!$S$4:$S$110,MATCH('Track Data'!S245,Acceleration!$K$4:$K$110,0)),'Track Data'!AF245)),'Track Data'!U245)</f>
        <v>-14.71670186282954</v>
      </c>
      <c r="AH245" s="16">
        <f>IF(AC245=0,IF(O245=2,INDEX(Acceleration!$R$4:$R$110,MATCH('Track Data'!S245,Acceleration!$K$4:$K$110,0)),IF('Track Data'!O245=1,INDEX(Acceleration!$Q$4:$Q$110,MATCH('Track Data'!S245,Acceleration!$K$4:$K$110,0)),'Track Data'!AG245)),'Track Data'!U245)</f>
        <v>-14.71670186282954</v>
      </c>
    </row>
    <row r="246" spans="2:34" x14ac:dyDescent="0.25">
      <c r="B246" s="16">
        <v>200.375</v>
      </c>
      <c r="C246" s="16">
        <v>7516</v>
      </c>
      <c r="D246" s="16">
        <v>243</v>
      </c>
      <c r="E246" s="113">
        <v>116</v>
      </c>
      <c r="F246" s="113">
        <v>124.8</v>
      </c>
      <c r="G246" s="113">
        <v>130.4</v>
      </c>
      <c r="H246" s="113">
        <f t="shared" si="25"/>
        <v>36.222222222222221</v>
      </c>
      <c r="I246" s="113">
        <v>-3.6</v>
      </c>
      <c r="J246" s="113">
        <v>91.54</v>
      </c>
      <c r="K246" s="113">
        <v>-6</v>
      </c>
      <c r="L246" s="189"/>
      <c r="M246" s="16">
        <v>243</v>
      </c>
      <c r="N246" s="16">
        <f t="shared" si="27"/>
        <v>2.1305589273624845E-2</v>
      </c>
      <c r="O246" s="16">
        <v>6</v>
      </c>
      <c r="P246" s="16">
        <f t="shared" si="22"/>
        <v>7.3113821138211375</v>
      </c>
      <c r="Q246" s="16">
        <f t="shared" si="28"/>
        <v>46.936040451974044</v>
      </c>
      <c r="R246" s="113">
        <f t="shared" si="23"/>
        <v>311.95699999999999</v>
      </c>
      <c r="S246" s="16">
        <f>IF(S245=15800,15800,ROUND((((Q246*60)/'Gearing Calculator'!$C$14)*'Track Data'!P246),-2))</f>
        <v>10400</v>
      </c>
      <c r="T246" s="16">
        <f t="shared" si="26"/>
        <v>-14.71670186282954</v>
      </c>
      <c r="U246" s="16">
        <f>IF(AC246=100,Braking!$AG$2354,IF(AC246=50,Braking!$AG$1179,IF(AC246=75,Braking!$AG$1767,0)))</f>
        <v>-14.71670186282954</v>
      </c>
      <c r="V246" s="16">
        <f>0.5*'Gearing Calculator'!$C$15*'Gearing Calculator'!$C$20*'Gearing Calculator'!$W$20*('Track Data'!Q246^2)</f>
        <v>233.16466198786094</v>
      </c>
      <c r="W246" s="16">
        <f>('Gearing Calculator'!$U$9*'Track Data'!T246)+'Track Data'!V246</f>
        <v>-3684.4213738973622</v>
      </c>
      <c r="X246" s="16">
        <f>('Gearing Calculator'!$U$9*9.81)*('Gearing Calculator'!$U$16/'Gearing Calculator'!$C$7)-(('Track Data'!W246)*('Gearing Calculator'!$U$17/'Gearing Calculator'!$C$7))</f>
        <v>3409.4235716641451</v>
      </c>
      <c r="Y246" s="16">
        <f>('Gearing Calculator'!$U$9*9.81)*(('Gearing Calculator'!$C$7-'Gearing Calculator'!$U$16)/'Gearing Calculator'!$C$7)+(('Track Data'!W246)*('Gearing Calculator'!$U$17/'Gearing Calculator'!$C$7))</f>
        <v>-798.00157166414488</v>
      </c>
      <c r="Z246" s="16">
        <f>((X246*COS('Gearing Calculator'!$C$21))/'Gearing Calculator'!$C$22)/2</f>
        <v>105.40859374780291</v>
      </c>
      <c r="AA246" s="16">
        <f>Y246/'Gearing Calculator'!$C$24</f>
        <v>-11.142778474561537</v>
      </c>
      <c r="AB246" s="16">
        <f t="shared" si="24"/>
        <v>144.86445081088368</v>
      </c>
      <c r="AC246" s="16">
        <v>100</v>
      </c>
      <c r="AD246" s="16">
        <v>0</v>
      </c>
      <c r="AE246" s="16">
        <v>243</v>
      </c>
      <c r="AF246" s="16">
        <f>IF(AC246=0,IF(O246=6,INDEX(Acceleration!$V$4:$V$110,MATCH('Track Data'!S246,Acceleration!$K$4:$K$110,0)),IF('Track Data'!O246=5,INDEX(Acceleration!$U$4:$U$110,MATCH('Track Data'!S246,Acceleration!$K$4:$K$110,0)),1)),U246)</f>
        <v>-14.71670186282954</v>
      </c>
      <c r="AG246" s="16">
        <f>IF(AC246=0,IF(O246=4,INDEX(Acceleration!$T$4:$T$110,MATCH('Track Data'!S246,Acceleration!$K$4:$K$110,0)),IF('Track Data'!O246=3,INDEX(Acceleration!$S$4:$S$110,MATCH('Track Data'!S246,Acceleration!$K$4:$K$110,0)),'Track Data'!AF246)),'Track Data'!U246)</f>
        <v>-14.71670186282954</v>
      </c>
      <c r="AH246" s="16">
        <f>IF(AC246=0,IF(O246=2,INDEX(Acceleration!$R$4:$R$110,MATCH('Track Data'!S246,Acceleration!$K$4:$K$110,0)),IF('Track Data'!O246=1,INDEX(Acceleration!$Q$4:$Q$110,MATCH('Track Data'!S246,Acceleration!$K$4:$K$110,0)),'Track Data'!AG246)),'Track Data'!U246)</f>
        <v>-14.71670186282954</v>
      </c>
    </row>
    <row r="247" spans="2:34" x14ac:dyDescent="0.25">
      <c r="B247" s="16">
        <v>200.404</v>
      </c>
      <c r="C247" s="16">
        <v>7517</v>
      </c>
      <c r="D247" s="16">
        <v>244</v>
      </c>
      <c r="E247" s="113">
        <v>114</v>
      </c>
      <c r="F247" s="113">
        <v>124.3</v>
      </c>
      <c r="G247" s="113">
        <v>129.4</v>
      </c>
      <c r="H247" s="113">
        <f t="shared" si="25"/>
        <v>35.944444444444443</v>
      </c>
      <c r="I247" s="113">
        <v>-3.7</v>
      </c>
      <c r="J247" s="113">
        <v>88.67</v>
      </c>
      <c r="K247" s="113">
        <v>-7.3</v>
      </c>
      <c r="L247" s="189"/>
      <c r="M247" s="16">
        <v>244</v>
      </c>
      <c r="N247" s="16">
        <f t="shared" si="27"/>
        <v>2.1449359800284187E-2</v>
      </c>
      <c r="O247" s="16">
        <v>6</v>
      </c>
      <c r="P247" s="16">
        <f t="shared" si="22"/>
        <v>7.3113821138211375</v>
      </c>
      <c r="Q247" s="16">
        <f t="shared" si="28"/>
        <v>46.621438090042709</v>
      </c>
      <c r="R247" s="113">
        <f t="shared" si="23"/>
        <v>311.95699999999999</v>
      </c>
      <c r="S247" s="16">
        <f>IF(S246=15800,15800,ROUND((((Q247*60)/'Gearing Calculator'!$C$14)*'Track Data'!P247),-2))</f>
        <v>10300</v>
      </c>
      <c r="T247" s="16">
        <f t="shared" si="26"/>
        <v>-14.71670186282954</v>
      </c>
      <c r="U247" s="16">
        <f>IF(AC247=100,Braking!$AG$2354,IF(AC247=50,Braking!$AG$1179,IF(AC247=75,Braking!$AG$1767,0)))</f>
        <v>-14.71670186282954</v>
      </c>
      <c r="V247" s="16">
        <f>0.5*'Gearing Calculator'!$C$15*'Gearing Calculator'!$C$20*'Gearing Calculator'!$W$20*('Track Data'!Q247^2)</f>
        <v>230.04943053753721</v>
      </c>
      <c r="W247" s="16">
        <f>('Gearing Calculator'!$U$9*'Track Data'!T247)+'Track Data'!V247</f>
        <v>-3687.536605347686</v>
      </c>
      <c r="X247" s="16">
        <f>('Gearing Calculator'!$U$9*9.81)*('Gearing Calculator'!$U$16/'Gearing Calculator'!$C$7)-(('Track Data'!W247)*('Gearing Calculator'!$U$17/'Gearing Calculator'!$C$7))</f>
        <v>3411.1215855553564</v>
      </c>
      <c r="Y247" s="16">
        <f>('Gearing Calculator'!$U$9*9.81)*(('Gearing Calculator'!$C$7-'Gearing Calculator'!$U$16)/'Gearing Calculator'!$C$7)+(('Track Data'!W247)*('Gearing Calculator'!$U$17/'Gearing Calculator'!$C$7))</f>
        <v>-799.69958555535663</v>
      </c>
      <c r="Z247" s="16">
        <f>((X247*COS('Gearing Calculator'!$C$21))/'Gearing Calculator'!$C$22)/2</f>
        <v>105.46109096695876</v>
      </c>
      <c r="AA247" s="16">
        <f>Y247/'Gearing Calculator'!$C$24</f>
        <v>-11.166488443699874</v>
      </c>
      <c r="AB247" s="16">
        <f t="shared" si="24"/>
        <v>141.74921936055995</v>
      </c>
      <c r="AC247" s="16">
        <v>100</v>
      </c>
      <c r="AD247" s="16">
        <v>0</v>
      </c>
      <c r="AE247" s="16">
        <v>244</v>
      </c>
      <c r="AF247" s="16">
        <f>IF(AC247=0,IF(O247=6,INDEX(Acceleration!$V$4:$V$110,MATCH('Track Data'!S247,Acceleration!$K$4:$K$110,0)),IF('Track Data'!O247=5,INDEX(Acceleration!$U$4:$U$110,MATCH('Track Data'!S247,Acceleration!$K$4:$K$110,0)),1)),U247)</f>
        <v>-14.71670186282954</v>
      </c>
      <c r="AG247" s="16">
        <f>IF(AC247=0,IF(O247=4,INDEX(Acceleration!$T$4:$T$110,MATCH('Track Data'!S247,Acceleration!$K$4:$K$110,0)),IF('Track Data'!O247=3,INDEX(Acceleration!$S$4:$S$110,MATCH('Track Data'!S247,Acceleration!$K$4:$K$110,0)),'Track Data'!AF247)),'Track Data'!U247)</f>
        <v>-14.71670186282954</v>
      </c>
      <c r="AH247" s="16">
        <f>IF(AC247=0,IF(O247=2,INDEX(Acceleration!$R$4:$R$110,MATCH('Track Data'!S247,Acceleration!$K$4:$K$110,0)),IF('Track Data'!O247=1,INDEX(Acceleration!$Q$4:$Q$110,MATCH('Track Data'!S247,Acceleration!$K$4:$K$110,0)),'Track Data'!AG247)),'Track Data'!U247)</f>
        <v>-14.71670186282954</v>
      </c>
    </row>
    <row r="248" spans="2:34" x14ac:dyDescent="0.25">
      <c r="B248" s="16">
        <v>200.43299999999999</v>
      </c>
      <c r="C248" s="16">
        <v>7518</v>
      </c>
      <c r="D248" s="16">
        <v>245</v>
      </c>
      <c r="E248" s="113">
        <v>112</v>
      </c>
      <c r="F248" s="113">
        <v>124.7</v>
      </c>
      <c r="G248" s="113">
        <v>128.30000000000001</v>
      </c>
      <c r="H248" s="113">
        <f t="shared" si="25"/>
        <v>35.638888888888893</v>
      </c>
      <c r="I248" s="113">
        <v>-3.8</v>
      </c>
      <c r="J248" s="113">
        <v>87.57</v>
      </c>
      <c r="K248" s="113">
        <v>-5.9</v>
      </c>
      <c r="L248" s="189"/>
      <c r="M248" s="16">
        <v>245</v>
      </c>
      <c r="N248" s="16">
        <f t="shared" si="27"/>
        <v>2.1596080666380933E-2</v>
      </c>
      <c r="O248" s="16">
        <v>6</v>
      </c>
      <c r="P248" s="16">
        <f t="shared" si="22"/>
        <v>7.3113821138211375</v>
      </c>
      <c r="Q248" s="16">
        <f t="shared" si="28"/>
        <v>46.304698313000877</v>
      </c>
      <c r="R248" s="113">
        <f t="shared" si="23"/>
        <v>311.95699999999999</v>
      </c>
      <c r="S248" s="16">
        <f>IF(S247=15800,15800,ROUND((((Q248*60)/'Gearing Calculator'!$C$14)*'Track Data'!P248),-2))</f>
        <v>10300</v>
      </c>
      <c r="T248" s="16">
        <f t="shared" si="26"/>
        <v>-14.71670186282954</v>
      </c>
      <c r="U248" s="16">
        <f>IF(AC248=100,Braking!$AG$2354,IF(AC248=50,Braking!$AG$1179,IF(AC248=75,Braking!$AG$1767,0)))</f>
        <v>-14.71670186282954</v>
      </c>
      <c r="V248" s="16">
        <f>0.5*'Gearing Calculator'!$C$15*'Gearing Calculator'!$C$20*'Gearing Calculator'!$W$20*('Track Data'!Q248^2)</f>
        <v>226.93419908721344</v>
      </c>
      <c r="W248" s="16">
        <f>('Gearing Calculator'!$U$9*'Track Data'!T248)+'Track Data'!V248</f>
        <v>-3690.6518367980098</v>
      </c>
      <c r="X248" s="16">
        <f>('Gearing Calculator'!$U$9*9.81)*('Gearing Calculator'!$U$16/'Gearing Calculator'!$C$7)-(('Track Data'!W248)*('Gearing Calculator'!$U$17/'Gearing Calculator'!$C$7))</f>
        <v>3412.8195994465686</v>
      </c>
      <c r="Y248" s="16">
        <f>('Gearing Calculator'!$U$9*9.81)*(('Gearing Calculator'!$C$7-'Gearing Calculator'!$U$16)/'Gearing Calculator'!$C$7)+(('Track Data'!W248)*('Gearing Calculator'!$U$17/'Gearing Calculator'!$C$7))</f>
        <v>-801.39759944656839</v>
      </c>
      <c r="Z248" s="16">
        <f>((X248*COS('Gearing Calculator'!$C$21))/'Gearing Calculator'!$C$22)/2</f>
        <v>105.51358818611466</v>
      </c>
      <c r="AA248" s="16">
        <f>Y248/'Gearing Calculator'!$C$24</f>
        <v>-11.19019841283821</v>
      </c>
      <c r="AB248" s="16">
        <f t="shared" si="24"/>
        <v>138.63398791023621</v>
      </c>
      <c r="AC248" s="16">
        <v>100</v>
      </c>
      <c r="AD248" s="16">
        <v>0</v>
      </c>
      <c r="AE248" s="16">
        <v>245</v>
      </c>
      <c r="AF248" s="16">
        <f>IF(AC248=0,IF(O248=6,INDEX(Acceleration!$V$4:$V$110,MATCH('Track Data'!S248,Acceleration!$K$4:$K$110,0)),IF('Track Data'!O248=5,INDEX(Acceleration!$U$4:$U$110,MATCH('Track Data'!S248,Acceleration!$K$4:$K$110,0)),1)),U248)</f>
        <v>-14.71670186282954</v>
      </c>
      <c r="AG248" s="16">
        <f>IF(AC248=0,IF(O248=4,INDEX(Acceleration!$T$4:$T$110,MATCH('Track Data'!S248,Acceleration!$K$4:$K$110,0)),IF('Track Data'!O248=3,INDEX(Acceleration!$S$4:$S$110,MATCH('Track Data'!S248,Acceleration!$K$4:$K$110,0)),'Track Data'!AF248)),'Track Data'!U248)</f>
        <v>-14.71670186282954</v>
      </c>
      <c r="AH248" s="16">
        <f>IF(AC248=0,IF(O248=2,INDEX(Acceleration!$R$4:$R$110,MATCH('Track Data'!S248,Acceleration!$K$4:$K$110,0)),IF('Track Data'!O248=1,INDEX(Acceleration!$Q$4:$Q$110,MATCH('Track Data'!S248,Acceleration!$K$4:$K$110,0)),'Track Data'!AG248)),'Track Data'!U248)</f>
        <v>-14.71670186282954</v>
      </c>
    </row>
    <row r="249" spans="2:34" x14ac:dyDescent="0.25">
      <c r="B249" s="16">
        <v>200.46100000000001</v>
      </c>
      <c r="C249" s="16">
        <v>7519</v>
      </c>
      <c r="D249" s="16">
        <v>246</v>
      </c>
      <c r="E249" s="113">
        <v>110</v>
      </c>
      <c r="F249" s="113">
        <v>123.9</v>
      </c>
      <c r="G249" s="113">
        <v>127.3</v>
      </c>
      <c r="H249" s="113">
        <f t="shared" si="25"/>
        <v>35.361111111111107</v>
      </c>
      <c r="I249" s="113">
        <v>-3.8</v>
      </c>
      <c r="J249" s="113">
        <v>87.4</v>
      </c>
      <c r="K249" s="113">
        <v>-4.5</v>
      </c>
      <c r="L249" s="189"/>
      <c r="M249" s="16">
        <v>246</v>
      </c>
      <c r="N249" s="16">
        <f t="shared" si="27"/>
        <v>2.174585417973729E-2</v>
      </c>
      <c r="O249" s="16">
        <v>6</v>
      </c>
      <c r="P249" s="16">
        <f t="shared" si="22"/>
        <v>7.3113821138211375</v>
      </c>
      <c r="Q249" s="16">
        <f t="shared" si="28"/>
        <v>45.985776954753817</v>
      </c>
      <c r="R249" s="113">
        <f t="shared" si="23"/>
        <v>311.95699999999999</v>
      </c>
      <c r="S249" s="16">
        <f>IF(S248=15800,15800,ROUND((((Q249*60)/'Gearing Calculator'!$C$14)*'Track Data'!P249),-2))</f>
        <v>10200</v>
      </c>
      <c r="T249" s="16">
        <f t="shared" si="26"/>
        <v>-14.71670186282954</v>
      </c>
      <c r="U249" s="16">
        <f>IF(AC249=100,Braking!$AG$2354,IF(AC249=50,Braking!$AG$1179,IF(AC249=75,Braking!$AG$1767,0)))</f>
        <v>-14.71670186282954</v>
      </c>
      <c r="V249" s="16">
        <f>0.5*'Gearing Calculator'!$C$15*'Gearing Calculator'!$C$20*'Gearing Calculator'!$W$20*('Track Data'!Q249^2)</f>
        <v>223.81896763688971</v>
      </c>
      <c r="W249" s="16">
        <f>('Gearing Calculator'!$U$9*'Track Data'!T249)+'Track Data'!V249</f>
        <v>-3693.7670682483335</v>
      </c>
      <c r="X249" s="16">
        <f>('Gearing Calculator'!$U$9*9.81)*('Gearing Calculator'!$U$16/'Gearing Calculator'!$C$7)-(('Track Data'!W249)*('Gearing Calculator'!$U$17/'Gearing Calculator'!$C$7))</f>
        <v>3414.5176133377804</v>
      </c>
      <c r="Y249" s="16">
        <f>('Gearing Calculator'!$U$9*9.81)*(('Gearing Calculator'!$C$7-'Gearing Calculator'!$U$16)/'Gearing Calculator'!$C$7)+(('Track Data'!W249)*('Gearing Calculator'!$U$17/'Gearing Calculator'!$C$7))</f>
        <v>-803.09561333778038</v>
      </c>
      <c r="Z249" s="16">
        <f>((X249*COS('Gearing Calculator'!$C$21))/'Gearing Calculator'!$C$22)/2</f>
        <v>105.56608540527054</v>
      </c>
      <c r="AA249" s="16">
        <f>Y249/'Gearing Calculator'!$C$24</f>
        <v>-11.21390838197655</v>
      </c>
      <c r="AB249" s="16">
        <f t="shared" si="24"/>
        <v>135.51875645991248</v>
      </c>
      <c r="AC249" s="16">
        <v>100</v>
      </c>
      <c r="AD249" s="16">
        <v>0</v>
      </c>
      <c r="AE249" s="16">
        <v>246</v>
      </c>
      <c r="AF249" s="16">
        <f>IF(AC249=0,IF(O249=6,INDEX(Acceleration!$V$4:$V$110,MATCH('Track Data'!S249,Acceleration!$K$4:$K$110,0)),IF('Track Data'!O249=5,INDEX(Acceleration!$U$4:$U$110,MATCH('Track Data'!S249,Acceleration!$K$4:$K$110,0)),1)),U249)</f>
        <v>-14.71670186282954</v>
      </c>
      <c r="AG249" s="16">
        <f>IF(AC249=0,IF(O249=4,INDEX(Acceleration!$T$4:$T$110,MATCH('Track Data'!S249,Acceleration!$K$4:$K$110,0)),IF('Track Data'!O249=3,INDEX(Acceleration!$S$4:$S$110,MATCH('Track Data'!S249,Acceleration!$K$4:$K$110,0)),'Track Data'!AF249)),'Track Data'!U249)</f>
        <v>-14.71670186282954</v>
      </c>
      <c r="AH249" s="16">
        <f>IF(AC249=0,IF(O249=2,INDEX(Acceleration!$R$4:$R$110,MATCH('Track Data'!S249,Acceleration!$K$4:$K$110,0)),IF('Track Data'!O249=1,INDEX(Acceleration!$Q$4:$Q$110,MATCH('Track Data'!S249,Acceleration!$K$4:$K$110,0)),'Track Data'!AG249)),'Track Data'!U249)</f>
        <v>-14.71670186282954</v>
      </c>
    </row>
    <row r="250" spans="2:34" x14ac:dyDescent="0.25">
      <c r="B250" s="16">
        <v>200.49</v>
      </c>
      <c r="C250" s="16">
        <v>7520</v>
      </c>
      <c r="D250" s="16">
        <v>247</v>
      </c>
      <c r="E250" s="113">
        <v>109</v>
      </c>
      <c r="F250" s="113">
        <v>122.8</v>
      </c>
      <c r="G250" s="113">
        <v>126.3</v>
      </c>
      <c r="H250" s="113">
        <f t="shared" si="25"/>
        <v>35.083333333333329</v>
      </c>
      <c r="I250" s="113">
        <v>-3.8</v>
      </c>
      <c r="J250" s="113">
        <v>87.38</v>
      </c>
      <c r="K250" s="113">
        <v>-3.5</v>
      </c>
      <c r="L250" s="189"/>
      <c r="M250" s="16">
        <v>247</v>
      </c>
      <c r="N250" s="16">
        <f t="shared" si="27"/>
        <v>2.1898787684844646E-2</v>
      </c>
      <c r="O250" s="16">
        <v>6</v>
      </c>
      <c r="P250" s="16">
        <f t="shared" si="22"/>
        <v>7.3113821138211375</v>
      </c>
      <c r="Q250" s="16">
        <f t="shared" si="28"/>
        <v>45.664628306893157</v>
      </c>
      <c r="R250" s="113">
        <f t="shared" si="23"/>
        <v>311.95699999999999</v>
      </c>
      <c r="S250" s="16">
        <f>IF(S249=15800,15800,ROUND((((Q250*60)/'Gearing Calculator'!$C$14)*'Track Data'!P250),-2))</f>
        <v>10100</v>
      </c>
      <c r="T250" s="16">
        <f t="shared" si="26"/>
        <v>-14.71670186282954</v>
      </c>
      <c r="U250" s="16">
        <f>IF(AC250=100,Braking!$AG$2354,IF(AC250=50,Braking!$AG$1179,IF(AC250=75,Braking!$AG$1767,0)))</f>
        <v>-14.71670186282954</v>
      </c>
      <c r="V250" s="16">
        <f>0.5*'Gearing Calculator'!$C$15*'Gearing Calculator'!$C$20*'Gearing Calculator'!$W$20*('Track Data'!Q250^2)</f>
        <v>220.70373618656592</v>
      </c>
      <c r="W250" s="16">
        <f>('Gearing Calculator'!$U$9*'Track Data'!T250)+'Track Data'!V250</f>
        <v>-3696.8822996986573</v>
      </c>
      <c r="X250" s="16">
        <f>('Gearing Calculator'!$U$9*9.81)*('Gearing Calculator'!$U$16/'Gearing Calculator'!$C$7)-(('Track Data'!W250)*('Gearing Calculator'!$U$17/'Gearing Calculator'!$C$7))</f>
        <v>3416.2156272289922</v>
      </c>
      <c r="Y250" s="16">
        <f>('Gearing Calculator'!$U$9*9.81)*(('Gearing Calculator'!$C$7-'Gearing Calculator'!$U$16)/'Gearing Calculator'!$C$7)+(('Track Data'!W250)*('Gearing Calculator'!$U$17/'Gearing Calculator'!$C$7))</f>
        <v>-804.79362722899214</v>
      </c>
      <c r="Z250" s="16">
        <f>((X250*COS('Gearing Calculator'!$C$21))/'Gearing Calculator'!$C$22)/2</f>
        <v>105.61858262442641</v>
      </c>
      <c r="AA250" s="16">
        <f>Y250/'Gearing Calculator'!$C$24</f>
        <v>-11.237618351114886</v>
      </c>
      <c r="AB250" s="16">
        <f t="shared" si="24"/>
        <v>132.40352500958869</v>
      </c>
      <c r="AC250" s="16">
        <v>100</v>
      </c>
      <c r="AD250" s="16">
        <v>0</v>
      </c>
      <c r="AE250" s="16">
        <v>247</v>
      </c>
      <c r="AF250" s="16">
        <f>IF(AC250=0,IF(O250=6,INDEX(Acceleration!$V$4:$V$110,MATCH('Track Data'!S250,Acceleration!$K$4:$K$110,0)),IF('Track Data'!O250=5,INDEX(Acceleration!$U$4:$U$110,MATCH('Track Data'!S250,Acceleration!$K$4:$K$110,0)),1)),U250)</f>
        <v>-14.71670186282954</v>
      </c>
      <c r="AG250" s="16">
        <f>IF(AC250=0,IF(O250=4,INDEX(Acceleration!$T$4:$T$110,MATCH('Track Data'!S250,Acceleration!$K$4:$K$110,0)),IF('Track Data'!O250=3,INDEX(Acceleration!$S$4:$S$110,MATCH('Track Data'!S250,Acceleration!$K$4:$K$110,0)),'Track Data'!AF250)),'Track Data'!U250)</f>
        <v>-14.71670186282954</v>
      </c>
      <c r="AH250" s="16">
        <f>IF(AC250=0,IF(O250=2,INDEX(Acceleration!$R$4:$R$110,MATCH('Track Data'!S250,Acceleration!$K$4:$K$110,0)),IF('Track Data'!O250=1,INDEX(Acceleration!$Q$4:$Q$110,MATCH('Track Data'!S250,Acceleration!$K$4:$K$110,0)),'Track Data'!AG250)),'Track Data'!U250)</f>
        <v>-14.71670186282954</v>
      </c>
    </row>
    <row r="251" spans="2:34" x14ac:dyDescent="0.25">
      <c r="B251" s="16">
        <v>200.51900000000001</v>
      </c>
      <c r="C251" s="16">
        <v>7521</v>
      </c>
      <c r="D251" s="16">
        <v>248</v>
      </c>
      <c r="E251" s="113">
        <v>108</v>
      </c>
      <c r="F251" s="113">
        <v>122.1</v>
      </c>
      <c r="G251" s="113">
        <v>125.6</v>
      </c>
      <c r="H251" s="113">
        <f t="shared" si="25"/>
        <v>34.888888888888886</v>
      </c>
      <c r="I251" s="113">
        <v>-3.8</v>
      </c>
      <c r="J251" s="113">
        <v>87.59</v>
      </c>
      <c r="K251" s="113">
        <v>-3.2</v>
      </c>
      <c r="L251" s="189"/>
      <c r="M251" s="16">
        <v>248</v>
      </c>
      <c r="N251" s="16">
        <f t="shared" si="27"/>
        <v>2.205499388621758E-2</v>
      </c>
      <c r="O251" s="16">
        <v>6</v>
      </c>
      <c r="P251" s="16">
        <f t="shared" si="22"/>
        <v>7.3113821138211375</v>
      </c>
      <c r="Q251" s="16">
        <f t="shared" si="28"/>
        <v>45.341205042224544</v>
      </c>
      <c r="R251" s="113">
        <f t="shared" si="23"/>
        <v>311.95699999999999</v>
      </c>
      <c r="S251" s="16">
        <f>IF(S250=15800,15800,ROUND((((Q251*60)/'Gearing Calculator'!$C$14)*'Track Data'!P251),-2))</f>
        <v>10100</v>
      </c>
      <c r="T251" s="16">
        <f t="shared" si="26"/>
        <v>-14.71670186282954</v>
      </c>
      <c r="U251" s="16">
        <f>IF(AC251=100,Braking!$AG$2354,IF(AC251=50,Braking!$AG$1179,IF(AC251=75,Braking!$AG$1767,0)))</f>
        <v>-14.71670186282954</v>
      </c>
      <c r="V251" s="16">
        <f>0.5*'Gearing Calculator'!$C$15*'Gearing Calculator'!$C$20*'Gearing Calculator'!$W$20*('Track Data'!Q251^2)</f>
        <v>217.58850473624216</v>
      </c>
      <c r="W251" s="16">
        <f>('Gearing Calculator'!$U$9*'Track Data'!T251)+'Track Data'!V251</f>
        <v>-3699.9975311489811</v>
      </c>
      <c r="X251" s="16">
        <f>('Gearing Calculator'!$U$9*9.81)*('Gearing Calculator'!$U$16/'Gearing Calculator'!$C$7)-(('Track Data'!W251)*('Gearing Calculator'!$U$17/'Gearing Calculator'!$C$7))</f>
        <v>3417.9136411202039</v>
      </c>
      <c r="Y251" s="16">
        <f>('Gearing Calculator'!$U$9*9.81)*(('Gearing Calculator'!$C$7-'Gearing Calculator'!$U$16)/'Gearing Calculator'!$C$7)+(('Track Data'!W251)*('Gearing Calculator'!$U$17/'Gearing Calculator'!$C$7))</f>
        <v>-806.49164112020389</v>
      </c>
      <c r="Z251" s="16">
        <f>((X251*COS('Gearing Calculator'!$C$21))/'Gearing Calculator'!$C$22)/2</f>
        <v>105.67107984358229</v>
      </c>
      <c r="AA251" s="16">
        <f>Y251/'Gearing Calculator'!$C$24</f>
        <v>-11.261328320253222</v>
      </c>
      <c r="AB251" s="16">
        <f t="shared" si="24"/>
        <v>129.2882935592649</v>
      </c>
      <c r="AC251" s="16">
        <v>100</v>
      </c>
      <c r="AD251" s="16">
        <v>0</v>
      </c>
      <c r="AE251" s="16">
        <v>248</v>
      </c>
      <c r="AF251" s="16">
        <f>IF(AC251=0,IF(O251=6,INDEX(Acceleration!$V$4:$V$110,MATCH('Track Data'!S251,Acceleration!$K$4:$K$110,0)),IF('Track Data'!O251=5,INDEX(Acceleration!$U$4:$U$110,MATCH('Track Data'!S251,Acceleration!$K$4:$K$110,0)),1)),U251)</f>
        <v>-14.71670186282954</v>
      </c>
      <c r="AG251" s="16">
        <f>IF(AC251=0,IF(O251=4,INDEX(Acceleration!$T$4:$T$110,MATCH('Track Data'!S251,Acceleration!$K$4:$K$110,0)),IF('Track Data'!O251=3,INDEX(Acceleration!$S$4:$S$110,MATCH('Track Data'!S251,Acceleration!$K$4:$K$110,0)),'Track Data'!AF251)),'Track Data'!U251)</f>
        <v>-14.71670186282954</v>
      </c>
      <c r="AH251" s="16">
        <f>IF(AC251=0,IF(O251=2,INDEX(Acceleration!$R$4:$R$110,MATCH('Track Data'!S251,Acceleration!$K$4:$K$110,0)),IF('Track Data'!O251=1,INDEX(Acceleration!$Q$4:$Q$110,MATCH('Track Data'!S251,Acceleration!$K$4:$K$110,0)),'Track Data'!AG251)),'Track Data'!U251)</f>
        <v>-14.71670186282954</v>
      </c>
    </row>
    <row r="252" spans="2:34" x14ac:dyDescent="0.25">
      <c r="B252" s="16">
        <v>200.54900000000001</v>
      </c>
      <c r="C252" s="16">
        <v>7522</v>
      </c>
      <c r="D252" s="16">
        <v>249</v>
      </c>
      <c r="E252" s="113">
        <v>106</v>
      </c>
      <c r="F252" s="113">
        <v>121.8</v>
      </c>
      <c r="G252" s="113">
        <v>124.6</v>
      </c>
      <c r="H252" s="113">
        <f t="shared" si="25"/>
        <v>34.611111111111107</v>
      </c>
      <c r="I252" s="113">
        <v>-3.8</v>
      </c>
      <c r="J252" s="113">
        <v>88.6</v>
      </c>
      <c r="K252" s="113">
        <v>-2.7</v>
      </c>
      <c r="L252" s="189"/>
      <c r="M252" s="16">
        <v>249</v>
      </c>
      <c r="N252" s="16">
        <f t="shared" si="27"/>
        <v>2.2214591197487841E-2</v>
      </c>
      <c r="O252" s="16">
        <v>6</v>
      </c>
      <c r="P252" s="16">
        <f t="shared" si="22"/>
        <v>7.3113821138211375</v>
      </c>
      <c r="Q252" s="16">
        <f t="shared" si="28"/>
        <v>45.01545813335003</v>
      </c>
      <c r="R252" s="113">
        <f t="shared" si="23"/>
        <v>311.95699999999999</v>
      </c>
      <c r="S252" s="16">
        <f>IF(S251=15800,15800,ROUND((((Q252*60)/'Gearing Calculator'!$C$14)*'Track Data'!P252),-2))</f>
        <v>10000</v>
      </c>
      <c r="T252" s="16">
        <f t="shared" si="26"/>
        <v>-14.71670186282954</v>
      </c>
      <c r="U252" s="16">
        <f>IF(AC252=100,Braking!$AG$2354,IF(AC252=50,Braking!$AG$1179,IF(AC252=75,Braking!$AG$1767,0)))</f>
        <v>-14.71670186282954</v>
      </c>
      <c r="V252" s="16">
        <f>0.5*'Gearing Calculator'!$C$15*'Gearing Calculator'!$C$20*'Gearing Calculator'!$W$20*('Track Data'!Q252^2)</f>
        <v>214.4732732859184</v>
      </c>
      <c r="W252" s="16">
        <f>('Gearing Calculator'!$U$9*'Track Data'!T252)+'Track Data'!V252</f>
        <v>-3703.1127625993049</v>
      </c>
      <c r="X252" s="16">
        <f>('Gearing Calculator'!$U$9*9.81)*('Gearing Calculator'!$U$16/'Gearing Calculator'!$C$7)-(('Track Data'!W252)*('Gearing Calculator'!$U$17/'Gearing Calculator'!$C$7))</f>
        <v>3419.6116550114157</v>
      </c>
      <c r="Y252" s="16">
        <f>('Gearing Calculator'!$U$9*9.81)*(('Gearing Calculator'!$C$7-'Gearing Calculator'!$U$16)/'Gearing Calculator'!$C$7)+(('Track Data'!W252)*('Gearing Calculator'!$U$17/'Gearing Calculator'!$C$7))</f>
        <v>-808.18965501141565</v>
      </c>
      <c r="Z252" s="16">
        <f>((X252*COS('Gearing Calculator'!$C$21))/'Gearing Calculator'!$C$22)/2</f>
        <v>105.72357706273817</v>
      </c>
      <c r="AA252" s="16">
        <f>Y252/'Gearing Calculator'!$C$24</f>
        <v>-11.28503828939156</v>
      </c>
      <c r="AB252" s="16">
        <f t="shared" si="24"/>
        <v>126.17306210894115</v>
      </c>
      <c r="AC252" s="16">
        <v>100</v>
      </c>
      <c r="AD252" s="16">
        <v>0</v>
      </c>
      <c r="AE252" s="16">
        <v>249</v>
      </c>
      <c r="AF252" s="16">
        <f>IF(AC252=0,IF(O252=6,INDEX(Acceleration!$V$4:$V$110,MATCH('Track Data'!S252,Acceleration!$K$4:$K$110,0)),IF('Track Data'!O252=5,INDEX(Acceleration!$U$4:$U$110,MATCH('Track Data'!S252,Acceleration!$K$4:$K$110,0)),1)),U252)</f>
        <v>-14.71670186282954</v>
      </c>
      <c r="AG252" s="16">
        <f>IF(AC252=0,IF(O252=4,INDEX(Acceleration!$T$4:$T$110,MATCH('Track Data'!S252,Acceleration!$K$4:$K$110,0)),IF('Track Data'!O252=3,INDEX(Acceleration!$S$4:$S$110,MATCH('Track Data'!S252,Acceleration!$K$4:$K$110,0)),'Track Data'!AF252)),'Track Data'!U252)</f>
        <v>-14.71670186282954</v>
      </c>
      <c r="AH252" s="16">
        <f>IF(AC252=0,IF(O252=2,INDEX(Acceleration!$R$4:$R$110,MATCH('Track Data'!S252,Acceleration!$K$4:$K$110,0)),IF('Track Data'!O252=1,INDEX(Acceleration!$Q$4:$Q$110,MATCH('Track Data'!S252,Acceleration!$K$4:$K$110,0)),'Track Data'!AG252)),'Track Data'!U252)</f>
        <v>-14.71670186282954</v>
      </c>
    </row>
    <row r="253" spans="2:34" x14ac:dyDescent="0.25">
      <c r="B253" s="16">
        <v>200.578</v>
      </c>
      <c r="C253" s="16">
        <v>7523</v>
      </c>
      <c r="D253" s="16">
        <v>250</v>
      </c>
      <c r="E253" s="113">
        <v>105</v>
      </c>
      <c r="F253" s="113">
        <v>121.3</v>
      </c>
      <c r="G253" s="113">
        <v>123.6</v>
      </c>
      <c r="H253" s="113">
        <f t="shared" si="25"/>
        <v>34.333333333333329</v>
      </c>
      <c r="I253" s="113">
        <v>-3.8</v>
      </c>
      <c r="J253" s="113">
        <v>94</v>
      </c>
      <c r="K253" s="113">
        <v>-2.5</v>
      </c>
      <c r="L253" s="189"/>
      <c r="M253" s="16">
        <v>250</v>
      </c>
      <c r="N253" s="16">
        <f t="shared" si="27"/>
        <v>2.2377704118695347E-2</v>
      </c>
      <c r="O253" s="16">
        <v>6</v>
      </c>
      <c r="P253" s="16">
        <f t="shared" si="22"/>
        <v>7.3113821138211375</v>
      </c>
      <c r="Q253" s="16">
        <f t="shared" si="28"/>
        <v>44.687336765908647</v>
      </c>
      <c r="R253" s="113">
        <f t="shared" si="23"/>
        <v>311.95699999999999</v>
      </c>
      <c r="S253" s="16">
        <f>IF(S252=15800,15800,ROUND((((Q253*60)/'Gearing Calculator'!$C$14)*'Track Data'!P253),-2))</f>
        <v>9900</v>
      </c>
      <c r="T253" s="16">
        <f t="shared" si="26"/>
        <v>-14.71670186282954</v>
      </c>
      <c r="U253" s="16">
        <f>IF(AC253=100,Braking!$AG$2354,IF(AC253=50,Braking!$AG$1179,IF(AC253=75,Braking!$AG$1767,0)))</f>
        <v>-14.71670186282954</v>
      </c>
      <c r="V253" s="16">
        <f>0.5*'Gearing Calculator'!$C$15*'Gearing Calculator'!$C$20*'Gearing Calculator'!$W$20*('Track Data'!Q253^2)</f>
        <v>211.35804183559466</v>
      </c>
      <c r="W253" s="16">
        <f>('Gearing Calculator'!$U$9*'Track Data'!T253)+'Track Data'!V253</f>
        <v>-3706.2279940496287</v>
      </c>
      <c r="X253" s="16">
        <f>('Gearing Calculator'!$U$9*9.81)*('Gearing Calculator'!$U$16/'Gearing Calculator'!$C$7)-(('Track Data'!W253)*('Gearing Calculator'!$U$17/'Gearing Calculator'!$C$7))</f>
        <v>3421.3096689026274</v>
      </c>
      <c r="Y253" s="16">
        <f>('Gearing Calculator'!$U$9*9.81)*(('Gearing Calculator'!$C$7-'Gearing Calculator'!$U$16)/'Gearing Calculator'!$C$7)+(('Track Data'!W253)*('Gearing Calculator'!$U$17/'Gearing Calculator'!$C$7))</f>
        <v>-809.88766890262741</v>
      </c>
      <c r="Z253" s="16">
        <f>((X253*COS('Gearing Calculator'!$C$21))/'Gearing Calculator'!$C$22)/2</f>
        <v>105.77607428189404</v>
      </c>
      <c r="AA253" s="16">
        <f>Y253/'Gearing Calculator'!$C$24</f>
        <v>-11.308748258529896</v>
      </c>
      <c r="AB253" s="16">
        <f t="shared" si="24"/>
        <v>123.05783065861742</v>
      </c>
      <c r="AC253" s="16">
        <v>100</v>
      </c>
      <c r="AD253" s="16">
        <v>0</v>
      </c>
      <c r="AE253" s="16">
        <v>250</v>
      </c>
      <c r="AF253" s="16">
        <f>IF(AC253=0,IF(O253=6,INDEX(Acceleration!$V$4:$V$110,MATCH('Track Data'!S253,Acceleration!$K$4:$K$110,0)),IF('Track Data'!O253=5,INDEX(Acceleration!$U$4:$U$110,MATCH('Track Data'!S253,Acceleration!$K$4:$K$110,0)),1)),U253)</f>
        <v>-14.71670186282954</v>
      </c>
      <c r="AG253" s="16">
        <f>IF(AC253=0,IF(O253=4,INDEX(Acceleration!$T$4:$T$110,MATCH('Track Data'!S253,Acceleration!$K$4:$K$110,0)),IF('Track Data'!O253=3,INDEX(Acceleration!$S$4:$S$110,MATCH('Track Data'!S253,Acceleration!$K$4:$K$110,0)),'Track Data'!AF253)),'Track Data'!U253)</f>
        <v>-14.71670186282954</v>
      </c>
      <c r="AH253" s="16">
        <f>IF(AC253=0,IF(O253=2,INDEX(Acceleration!$R$4:$R$110,MATCH('Track Data'!S253,Acceleration!$K$4:$K$110,0)),IF('Track Data'!O253=1,INDEX(Acceleration!$Q$4:$Q$110,MATCH('Track Data'!S253,Acceleration!$K$4:$K$110,0)),'Track Data'!AG253)),'Track Data'!U253)</f>
        <v>-14.71670186282954</v>
      </c>
    </row>
    <row r="254" spans="2:34" x14ac:dyDescent="0.25">
      <c r="B254" s="16">
        <v>200.607</v>
      </c>
      <c r="C254" s="16">
        <v>7524</v>
      </c>
      <c r="D254" s="16">
        <v>251</v>
      </c>
      <c r="E254" s="113">
        <v>104</v>
      </c>
      <c r="F254" s="113">
        <v>120.2</v>
      </c>
      <c r="G254" s="113">
        <v>122.7</v>
      </c>
      <c r="H254" s="113">
        <f t="shared" si="25"/>
        <v>34.083333333333336</v>
      </c>
      <c r="I254" s="113">
        <v>-3.8</v>
      </c>
      <c r="J254" s="113">
        <v>95.48</v>
      </c>
      <c r="K254" s="113">
        <v>-2.5</v>
      </c>
      <c r="L254" s="189"/>
      <c r="M254" s="16">
        <v>251</v>
      </c>
      <c r="N254" s="16">
        <f t="shared" si="27"/>
        <v>2.2544463644508031E-2</v>
      </c>
      <c r="O254" s="16">
        <v>6</v>
      </c>
      <c r="P254" s="16">
        <f t="shared" si="22"/>
        <v>7.3113821138211375</v>
      </c>
      <c r="Q254" s="16">
        <f t="shared" si="28"/>
        <v>44.356788246040445</v>
      </c>
      <c r="R254" s="113">
        <f t="shared" si="23"/>
        <v>311.95699999999999</v>
      </c>
      <c r="S254" s="16">
        <f>IF(S253=15800,15800,ROUND((((Q254*60)/'Gearing Calculator'!$C$14)*'Track Data'!P254),-2))</f>
        <v>9800</v>
      </c>
      <c r="T254" s="16">
        <f t="shared" si="26"/>
        <v>-14.71670186282954</v>
      </c>
      <c r="U254" s="16">
        <f>IF(AC254=100,Braking!$AG$2354,IF(AC254=50,Braking!$AG$1179,IF(AC254=75,Braking!$AG$1767,0)))</f>
        <v>-14.71670186282954</v>
      </c>
      <c r="V254" s="16">
        <f>0.5*'Gearing Calculator'!$C$15*'Gearing Calculator'!$C$20*'Gearing Calculator'!$W$20*('Track Data'!Q254^2)</f>
        <v>208.24281038527093</v>
      </c>
      <c r="W254" s="16">
        <f>('Gearing Calculator'!$U$9*'Track Data'!T254)+'Track Data'!V254</f>
        <v>-3709.3432254999525</v>
      </c>
      <c r="X254" s="16">
        <f>('Gearing Calculator'!$U$9*9.81)*('Gearing Calculator'!$U$16/'Gearing Calculator'!$C$7)-(('Track Data'!W254)*('Gearing Calculator'!$U$17/'Gearing Calculator'!$C$7))</f>
        <v>3423.0076827938392</v>
      </c>
      <c r="Y254" s="16">
        <f>('Gearing Calculator'!$U$9*9.81)*(('Gearing Calculator'!$C$7-'Gearing Calculator'!$U$16)/'Gearing Calculator'!$C$7)+(('Track Data'!W254)*('Gearing Calculator'!$U$17/'Gearing Calculator'!$C$7))</f>
        <v>-811.5856827938394</v>
      </c>
      <c r="Z254" s="16">
        <f>((X254*COS('Gearing Calculator'!$C$21))/'Gearing Calculator'!$C$22)/2</f>
        <v>105.82857150104992</v>
      </c>
      <c r="AA254" s="16">
        <f>Y254/'Gearing Calculator'!$C$24</f>
        <v>-11.332458227668235</v>
      </c>
      <c r="AB254" s="16">
        <f t="shared" si="24"/>
        <v>119.94259920829369</v>
      </c>
      <c r="AC254" s="16">
        <v>100</v>
      </c>
      <c r="AD254" s="16">
        <v>0</v>
      </c>
      <c r="AE254" s="16">
        <v>251</v>
      </c>
      <c r="AF254" s="16">
        <f>IF(AC254=0,IF(O254=6,INDEX(Acceleration!$V$4:$V$110,MATCH('Track Data'!S254,Acceleration!$K$4:$K$110,0)),IF('Track Data'!O254=5,INDEX(Acceleration!$U$4:$U$110,MATCH('Track Data'!S254,Acceleration!$K$4:$K$110,0)),1)),U254)</f>
        <v>-14.71670186282954</v>
      </c>
      <c r="AG254" s="16">
        <f>IF(AC254=0,IF(O254=4,INDEX(Acceleration!$T$4:$T$110,MATCH('Track Data'!S254,Acceleration!$K$4:$K$110,0)),IF('Track Data'!O254=3,INDEX(Acceleration!$S$4:$S$110,MATCH('Track Data'!S254,Acceleration!$K$4:$K$110,0)),'Track Data'!AF254)),'Track Data'!U254)</f>
        <v>-14.71670186282954</v>
      </c>
      <c r="AH254" s="16">
        <f>IF(AC254=0,IF(O254=2,INDEX(Acceleration!$R$4:$R$110,MATCH('Track Data'!S254,Acceleration!$K$4:$K$110,0)),IF('Track Data'!O254=1,INDEX(Acceleration!$Q$4:$Q$110,MATCH('Track Data'!S254,Acceleration!$K$4:$K$110,0)),'Track Data'!AG254)),'Track Data'!U254)</f>
        <v>-14.71670186282954</v>
      </c>
    </row>
    <row r="255" spans="2:34" x14ac:dyDescent="0.25">
      <c r="B255" s="16">
        <v>200.637</v>
      </c>
      <c r="C255" s="16">
        <v>7525</v>
      </c>
      <c r="D255" s="16">
        <v>252</v>
      </c>
      <c r="E255" s="113">
        <v>102</v>
      </c>
      <c r="F255" s="113">
        <v>119.1</v>
      </c>
      <c r="G255" s="113">
        <v>121.7</v>
      </c>
      <c r="H255" s="113">
        <f t="shared" si="25"/>
        <v>33.805555555555557</v>
      </c>
      <c r="I255" s="113">
        <v>-3.8</v>
      </c>
      <c r="J255" s="113">
        <v>95.74</v>
      </c>
      <c r="K255" s="113">
        <v>-2.5</v>
      </c>
      <c r="L255" s="189"/>
      <c r="M255" s="16">
        <v>252</v>
      </c>
      <c r="N255" s="16">
        <f t="shared" si="27"/>
        <v>2.271500770641225E-2</v>
      </c>
      <c r="O255" s="16">
        <v>6</v>
      </c>
      <c r="P255" s="16">
        <f t="shared" si="22"/>
        <v>7.3113821138211375</v>
      </c>
      <c r="Q255" s="16">
        <f t="shared" si="28"/>
        <v>44.023757901596866</v>
      </c>
      <c r="R255" s="113">
        <f t="shared" si="23"/>
        <v>311.95699999999999</v>
      </c>
      <c r="S255" s="16">
        <f>IF(S254=15800,15800,ROUND((((Q255*60)/'Gearing Calculator'!$C$14)*'Track Data'!P255),-2))</f>
        <v>9800</v>
      </c>
      <c r="T255" s="16">
        <f t="shared" si="26"/>
        <v>-14.71670186282954</v>
      </c>
      <c r="U255" s="16">
        <f>IF(AC255=100,Braking!$AG$2354,IF(AC255=50,Braking!$AG$1179,IF(AC255=75,Braking!$AG$1767,0)))</f>
        <v>-14.71670186282954</v>
      </c>
      <c r="V255" s="16">
        <f>0.5*'Gearing Calculator'!$C$15*'Gearing Calculator'!$C$20*'Gearing Calculator'!$W$20*('Track Data'!Q255^2)</f>
        <v>205.12757893494717</v>
      </c>
      <c r="W255" s="16">
        <f>('Gearing Calculator'!$U$9*'Track Data'!T255)+'Track Data'!V255</f>
        <v>-3712.4584569502763</v>
      </c>
      <c r="X255" s="16">
        <f>('Gearing Calculator'!$U$9*9.81)*('Gearing Calculator'!$U$16/'Gearing Calculator'!$C$7)-(('Track Data'!W255)*('Gearing Calculator'!$U$17/'Gearing Calculator'!$C$7))</f>
        <v>3424.7056966850514</v>
      </c>
      <c r="Y255" s="16">
        <f>('Gearing Calculator'!$U$9*9.81)*(('Gearing Calculator'!$C$7-'Gearing Calculator'!$U$16)/'Gearing Calculator'!$C$7)+(('Track Data'!W255)*('Gearing Calculator'!$U$17/'Gearing Calculator'!$C$7))</f>
        <v>-813.28369668505115</v>
      </c>
      <c r="Z255" s="16">
        <f>((X255*COS('Gearing Calculator'!$C$21))/'Gearing Calculator'!$C$22)/2</f>
        <v>105.88106872020582</v>
      </c>
      <c r="AA255" s="16">
        <f>Y255/'Gearing Calculator'!$C$24</f>
        <v>-11.356168196806571</v>
      </c>
      <c r="AB255" s="16">
        <f t="shared" si="24"/>
        <v>116.82736775796992</v>
      </c>
      <c r="AC255" s="16">
        <v>100</v>
      </c>
      <c r="AD255" s="16">
        <v>0</v>
      </c>
      <c r="AE255" s="16">
        <v>252</v>
      </c>
      <c r="AF255" s="16">
        <f>IF(AC255=0,IF(O255=6,INDEX(Acceleration!$V$4:$V$110,MATCH('Track Data'!S255,Acceleration!$K$4:$K$110,0)),IF('Track Data'!O255=5,INDEX(Acceleration!$U$4:$U$110,MATCH('Track Data'!S255,Acceleration!$K$4:$K$110,0)),1)),U255)</f>
        <v>-14.71670186282954</v>
      </c>
      <c r="AG255" s="16">
        <f>IF(AC255=0,IF(O255=4,INDEX(Acceleration!$T$4:$T$110,MATCH('Track Data'!S255,Acceleration!$K$4:$K$110,0)),IF('Track Data'!O255=3,INDEX(Acceleration!$S$4:$S$110,MATCH('Track Data'!S255,Acceleration!$K$4:$K$110,0)),'Track Data'!AF255)),'Track Data'!U255)</f>
        <v>-14.71670186282954</v>
      </c>
      <c r="AH255" s="16">
        <f>IF(AC255=0,IF(O255=2,INDEX(Acceleration!$R$4:$R$110,MATCH('Track Data'!S255,Acceleration!$K$4:$K$110,0)),IF('Track Data'!O255=1,INDEX(Acceleration!$Q$4:$Q$110,MATCH('Track Data'!S255,Acceleration!$K$4:$K$110,0)),'Track Data'!AG255)),'Track Data'!U255)</f>
        <v>-14.71670186282954</v>
      </c>
    </row>
    <row r="256" spans="2:34" x14ac:dyDescent="0.25">
      <c r="B256" s="16">
        <v>200.667</v>
      </c>
      <c r="C256" s="16">
        <v>7526</v>
      </c>
      <c r="D256" s="16">
        <v>253</v>
      </c>
      <c r="E256" s="113">
        <v>103</v>
      </c>
      <c r="F256" s="113">
        <v>118</v>
      </c>
      <c r="G256" s="113">
        <v>120.8</v>
      </c>
      <c r="H256" s="113">
        <f t="shared" si="25"/>
        <v>33.555555555555557</v>
      </c>
      <c r="I256" s="113">
        <v>-3.2</v>
      </c>
      <c r="J256" s="113">
        <v>98.56</v>
      </c>
      <c r="K256" s="113">
        <v>-3.1</v>
      </c>
      <c r="L256" s="189"/>
      <c r="M256" s="16">
        <v>253</v>
      </c>
      <c r="N256" s="16">
        <f t="shared" si="27"/>
        <v>2.2889481652266067E-2</v>
      </c>
      <c r="O256" s="16">
        <v>6</v>
      </c>
      <c r="P256" s="16">
        <f t="shared" si="22"/>
        <v>7.3113821138211375</v>
      </c>
      <c r="Q256" s="16">
        <f t="shared" si="28"/>
        <v>43.688188976572988</v>
      </c>
      <c r="R256" s="113">
        <f t="shared" si="23"/>
        <v>311.95699999999999</v>
      </c>
      <c r="S256" s="16">
        <f>IF(S255=15800,15800,ROUND((((Q256*60)/'Gearing Calculator'!$C$14)*'Track Data'!P256),-2))</f>
        <v>9700</v>
      </c>
      <c r="T256" s="16">
        <f t="shared" si="26"/>
        <v>-14.71670186282954</v>
      </c>
      <c r="U256" s="16">
        <f>IF(AC256=100,Braking!$AG$2354,IF(AC256=50,Braking!$AG$1179,IF(AC256=75,Braking!$AG$1767,0)))</f>
        <v>-14.71670186282954</v>
      </c>
      <c r="V256" s="16">
        <f>0.5*'Gearing Calculator'!$C$15*'Gearing Calculator'!$C$20*'Gearing Calculator'!$W$20*('Track Data'!Q256^2)</f>
        <v>202.0123474846234</v>
      </c>
      <c r="W256" s="16">
        <f>('Gearing Calculator'!$U$9*'Track Data'!T256)+'Track Data'!V256</f>
        <v>-3715.5736884006001</v>
      </c>
      <c r="X256" s="16">
        <f>('Gearing Calculator'!$U$9*9.81)*('Gearing Calculator'!$U$16/'Gearing Calculator'!$C$7)-(('Track Data'!W256)*('Gearing Calculator'!$U$17/'Gearing Calculator'!$C$7))</f>
        <v>3426.4037105762627</v>
      </c>
      <c r="Y256" s="16">
        <f>('Gearing Calculator'!$U$9*9.81)*(('Gearing Calculator'!$C$7-'Gearing Calculator'!$U$16)/'Gearing Calculator'!$C$7)+(('Track Data'!W256)*('Gearing Calculator'!$U$17/'Gearing Calculator'!$C$7))</f>
        <v>-814.98171057626291</v>
      </c>
      <c r="Z256" s="16">
        <f>((X256*COS('Gearing Calculator'!$C$21))/'Gearing Calculator'!$C$22)/2</f>
        <v>105.93356593936167</v>
      </c>
      <c r="AA256" s="16">
        <f>Y256/'Gearing Calculator'!$C$24</f>
        <v>-11.379878165944907</v>
      </c>
      <c r="AB256" s="16">
        <f t="shared" si="24"/>
        <v>113.71213630764616</v>
      </c>
      <c r="AC256" s="16">
        <v>100</v>
      </c>
      <c r="AD256" s="16">
        <v>0</v>
      </c>
      <c r="AE256" s="16">
        <v>253</v>
      </c>
      <c r="AF256" s="16">
        <f>IF(AC256=0,IF(O256=6,INDEX(Acceleration!$V$4:$V$110,MATCH('Track Data'!S256,Acceleration!$K$4:$K$110,0)),IF('Track Data'!O256=5,INDEX(Acceleration!$U$4:$U$110,MATCH('Track Data'!S256,Acceleration!$K$4:$K$110,0)),1)),U256)</f>
        <v>-14.71670186282954</v>
      </c>
      <c r="AG256" s="16">
        <f>IF(AC256=0,IF(O256=4,INDEX(Acceleration!$T$4:$T$110,MATCH('Track Data'!S256,Acceleration!$K$4:$K$110,0)),IF('Track Data'!O256=3,INDEX(Acceleration!$S$4:$S$110,MATCH('Track Data'!S256,Acceleration!$K$4:$K$110,0)),'Track Data'!AF256)),'Track Data'!U256)</f>
        <v>-14.71670186282954</v>
      </c>
      <c r="AH256" s="16">
        <f>IF(AC256=0,IF(O256=2,INDEX(Acceleration!$R$4:$R$110,MATCH('Track Data'!S256,Acceleration!$K$4:$K$110,0)),IF('Track Data'!O256=1,INDEX(Acceleration!$Q$4:$Q$110,MATCH('Track Data'!S256,Acceleration!$K$4:$K$110,0)),'Track Data'!AG256)),'Track Data'!U256)</f>
        <v>-14.71670186282954</v>
      </c>
    </row>
    <row r="257" spans="2:34" x14ac:dyDescent="0.25">
      <c r="B257" s="16">
        <v>200.69800000000001</v>
      </c>
      <c r="C257" s="16">
        <v>7527</v>
      </c>
      <c r="D257" s="16">
        <v>254</v>
      </c>
      <c r="E257" s="113">
        <v>103</v>
      </c>
      <c r="F257" s="113">
        <v>117</v>
      </c>
      <c r="G257" s="113">
        <v>119.9</v>
      </c>
      <c r="H257" s="113">
        <f t="shared" si="25"/>
        <v>33.305555555555557</v>
      </c>
      <c r="I257" s="113">
        <v>-3.2</v>
      </c>
      <c r="J257" s="113">
        <v>99.61</v>
      </c>
      <c r="K257" s="113">
        <v>-3.8</v>
      </c>
      <c r="L257" s="189"/>
      <c r="M257" s="16">
        <v>254</v>
      </c>
      <c r="N257" s="16">
        <f t="shared" si="27"/>
        <v>2.3068038767004601E-2</v>
      </c>
      <c r="O257" s="16">
        <v>6</v>
      </c>
      <c r="P257" s="16">
        <f t="shared" si="22"/>
        <v>7.3113821138211375</v>
      </c>
      <c r="Q257" s="16">
        <f t="shared" si="28"/>
        <v>43.350022518184396</v>
      </c>
      <c r="R257" s="113">
        <f t="shared" si="23"/>
        <v>311.95699999999999</v>
      </c>
      <c r="S257" s="16">
        <f>IF(S256=15800,15800,ROUND((((Q257*60)/'Gearing Calculator'!$C$14)*'Track Data'!P257),-2))</f>
        <v>9600</v>
      </c>
      <c r="T257" s="16">
        <f t="shared" si="26"/>
        <v>-14.71670186282954</v>
      </c>
      <c r="U257" s="16">
        <f>IF(AC257=100,Braking!$AG$2354,IF(AC257=50,Braking!$AG$1179,IF(AC257=75,Braking!$AG$1767,0)))</f>
        <v>-14.71670186282954</v>
      </c>
      <c r="V257" s="16">
        <f>0.5*'Gearing Calculator'!$C$15*'Gearing Calculator'!$C$20*'Gearing Calculator'!$W$20*('Track Data'!Q257^2)</f>
        <v>198.89711603429964</v>
      </c>
      <c r="W257" s="16">
        <f>('Gearing Calculator'!$U$9*'Track Data'!T257)+'Track Data'!V257</f>
        <v>-3718.6889198509234</v>
      </c>
      <c r="X257" s="16">
        <f>('Gearing Calculator'!$U$9*9.81)*('Gearing Calculator'!$U$16/'Gearing Calculator'!$C$7)-(('Track Data'!W257)*('Gearing Calculator'!$U$17/'Gearing Calculator'!$C$7))</f>
        <v>3428.1017244674745</v>
      </c>
      <c r="Y257" s="16">
        <f>('Gearing Calculator'!$U$9*9.81)*(('Gearing Calculator'!$C$7-'Gearing Calculator'!$U$16)/'Gearing Calculator'!$C$7)+(('Track Data'!W257)*('Gearing Calculator'!$U$17/'Gearing Calculator'!$C$7))</f>
        <v>-816.67972446747444</v>
      </c>
      <c r="Z257" s="16">
        <f>((X257*COS('Gearing Calculator'!$C$21))/'Gearing Calculator'!$C$22)/2</f>
        <v>105.98606315851755</v>
      </c>
      <c r="AA257" s="16">
        <f>Y257/'Gearing Calculator'!$C$24</f>
        <v>-11.403588135083242</v>
      </c>
      <c r="AB257" s="16">
        <f t="shared" si="24"/>
        <v>110.5969048573224</v>
      </c>
      <c r="AC257" s="16">
        <v>100</v>
      </c>
      <c r="AD257" s="16">
        <v>0</v>
      </c>
      <c r="AE257" s="16">
        <v>254</v>
      </c>
      <c r="AF257" s="16">
        <f>IF(AC257=0,IF(O257=6,INDEX(Acceleration!$V$4:$V$110,MATCH('Track Data'!S257,Acceleration!$K$4:$K$110,0)),IF('Track Data'!O257=5,INDEX(Acceleration!$U$4:$U$110,MATCH('Track Data'!S257,Acceleration!$K$4:$K$110,0)),1)),U257)</f>
        <v>-14.71670186282954</v>
      </c>
      <c r="AG257" s="16">
        <f>IF(AC257=0,IF(O257=4,INDEX(Acceleration!$T$4:$T$110,MATCH('Track Data'!S257,Acceleration!$K$4:$K$110,0)),IF('Track Data'!O257=3,INDEX(Acceleration!$S$4:$S$110,MATCH('Track Data'!S257,Acceleration!$K$4:$K$110,0)),'Track Data'!AF257)),'Track Data'!U257)</f>
        <v>-14.71670186282954</v>
      </c>
      <c r="AH257" s="16">
        <f>IF(AC257=0,IF(O257=2,INDEX(Acceleration!$R$4:$R$110,MATCH('Track Data'!S257,Acceleration!$K$4:$K$110,0)),IF('Track Data'!O257=1,INDEX(Acceleration!$Q$4:$Q$110,MATCH('Track Data'!S257,Acceleration!$K$4:$K$110,0)),'Track Data'!AG257)),'Track Data'!U257)</f>
        <v>-14.71670186282954</v>
      </c>
    </row>
    <row r="258" spans="2:34" x14ac:dyDescent="0.25">
      <c r="B258" s="16">
        <v>200.72900000000001</v>
      </c>
      <c r="C258" s="16">
        <v>7528</v>
      </c>
      <c r="D258" s="16">
        <v>255</v>
      </c>
      <c r="E258" s="113">
        <v>102</v>
      </c>
      <c r="F258" s="113">
        <v>116.1</v>
      </c>
      <c r="G258" s="113">
        <v>118.9</v>
      </c>
      <c r="H258" s="113">
        <f t="shared" si="25"/>
        <v>33.027777777777779</v>
      </c>
      <c r="I258" s="113">
        <v>-3.4</v>
      </c>
      <c r="J258" s="113">
        <v>99.68</v>
      </c>
      <c r="K258" s="113">
        <v>-4.0999999999999996</v>
      </c>
      <c r="L258" s="189"/>
      <c r="M258" s="16">
        <v>255</v>
      </c>
      <c r="N258" s="16">
        <f t="shared" si="27"/>
        <v>2.3250840838737082E-2</v>
      </c>
      <c r="O258" s="16">
        <v>6</v>
      </c>
      <c r="P258" s="16">
        <f t="shared" si="22"/>
        <v>7.3113821138211375</v>
      </c>
      <c r="Q258" s="16">
        <f t="shared" si="28"/>
        <v>43.009197255952536</v>
      </c>
      <c r="R258" s="113">
        <f t="shared" si="23"/>
        <v>311.95699999999999</v>
      </c>
      <c r="S258" s="16">
        <f>IF(S257=15800,15800,ROUND((((Q258*60)/'Gearing Calculator'!$C$14)*'Track Data'!P258),-2))</f>
        <v>9500</v>
      </c>
      <c r="T258" s="16">
        <f t="shared" si="26"/>
        <v>-14.71670186282954</v>
      </c>
      <c r="U258" s="16">
        <f>IF(AC258=100,Braking!$AG$2354,IF(AC258=50,Braking!$AG$1179,IF(AC258=75,Braking!$AG$1767,0)))</f>
        <v>-14.71670186282954</v>
      </c>
      <c r="V258" s="16">
        <f>0.5*'Gearing Calculator'!$C$15*'Gearing Calculator'!$C$20*'Gearing Calculator'!$W$20*('Track Data'!Q258^2)</f>
        <v>195.78188458397588</v>
      </c>
      <c r="W258" s="16">
        <f>('Gearing Calculator'!$U$9*'Track Data'!T258)+'Track Data'!V258</f>
        <v>-3721.8041513012472</v>
      </c>
      <c r="X258" s="16">
        <f>('Gearing Calculator'!$U$9*9.81)*('Gearing Calculator'!$U$16/'Gearing Calculator'!$C$7)-(('Track Data'!W258)*('Gearing Calculator'!$U$17/'Gearing Calculator'!$C$7))</f>
        <v>3429.7997383586862</v>
      </c>
      <c r="Y258" s="16">
        <f>('Gearing Calculator'!$U$9*9.81)*(('Gearing Calculator'!$C$7-'Gearing Calculator'!$U$16)/'Gearing Calculator'!$C$7)+(('Track Data'!W258)*('Gearing Calculator'!$U$17/'Gearing Calculator'!$C$7))</f>
        <v>-818.3777383586862</v>
      </c>
      <c r="Z258" s="16">
        <f>((X258*COS('Gearing Calculator'!$C$21))/'Gearing Calculator'!$C$22)/2</f>
        <v>106.03856037767343</v>
      </c>
      <c r="AA258" s="16">
        <f>Y258/'Gearing Calculator'!$C$24</f>
        <v>-11.427298104221578</v>
      </c>
      <c r="AB258" s="16">
        <f t="shared" si="24"/>
        <v>107.48167340699864</v>
      </c>
      <c r="AC258" s="16">
        <v>100</v>
      </c>
      <c r="AD258" s="16">
        <v>0</v>
      </c>
      <c r="AE258" s="16">
        <v>255</v>
      </c>
      <c r="AF258" s="16">
        <f>IF(AC258=0,IF(O258=6,INDEX(Acceleration!$V$4:$V$110,MATCH('Track Data'!S258,Acceleration!$K$4:$K$110,0)),IF('Track Data'!O258=5,INDEX(Acceleration!$U$4:$U$110,MATCH('Track Data'!S258,Acceleration!$K$4:$K$110,0)),1)),U258)</f>
        <v>-14.71670186282954</v>
      </c>
      <c r="AG258" s="16">
        <f>IF(AC258=0,IF(O258=4,INDEX(Acceleration!$T$4:$T$110,MATCH('Track Data'!S258,Acceleration!$K$4:$K$110,0)),IF('Track Data'!O258=3,INDEX(Acceleration!$S$4:$S$110,MATCH('Track Data'!S258,Acceleration!$K$4:$K$110,0)),'Track Data'!AF258)),'Track Data'!U258)</f>
        <v>-14.71670186282954</v>
      </c>
      <c r="AH258" s="16">
        <f>IF(AC258=0,IF(O258=2,INDEX(Acceleration!$R$4:$R$110,MATCH('Track Data'!S258,Acceleration!$K$4:$K$110,0)),IF('Track Data'!O258=1,INDEX(Acceleration!$Q$4:$Q$110,MATCH('Track Data'!S258,Acceleration!$K$4:$K$110,0)),'Track Data'!AG258)),'Track Data'!U258)</f>
        <v>-14.71670186282954</v>
      </c>
    </row>
    <row r="259" spans="2:34" x14ac:dyDescent="0.25">
      <c r="B259" s="16">
        <v>200.76</v>
      </c>
      <c r="C259" s="16">
        <v>7529</v>
      </c>
      <c r="D259" s="16">
        <v>256</v>
      </c>
      <c r="E259" s="113">
        <v>101</v>
      </c>
      <c r="F259" s="113">
        <v>113.4</v>
      </c>
      <c r="G259" s="113">
        <v>117.6</v>
      </c>
      <c r="H259" s="113">
        <f t="shared" si="25"/>
        <v>32.666666666666664</v>
      </c>
      <c r="I259" s="113">
        <v>-3.6</v>
      </c>
      <c r="J259" s="113">
        <v>99.64</v>
      </c>
      <c r="K259" s="113">
        <v>-1.7</v>
      </c>
      <c r="L259" s="189"/>
      <c r="M259" s="16">
        <v>256</v>
      </c>
      <c r="N259" s="16">
        <f t="shared" si="27"/>
        <v>2.3438058774987423E-2</v>
      </c>
      <c r="O259" s="16">
        <v>6</v>
      </c>
      <c r="P259" s="16">
        <f t="shared" si="22"/>
        <v>7.3113821138211375</v>
      </c>
      <c r="Q259" s="16">
        <f t="shared" si="28"/>
        <v>42.665649472096121</v>
      </c>
      <c r="R259" s="113">
        <f t="shared" si="23"/>
        <v>311.95699999999999</v>
      </c>
      <c r="S259" s="16">
        <f>IF(S258=15800,15800,ROUND((((Q259*60)/'Gearing Calculator'!$C$14)*'Track Data'!P259),-2))</f>
        <v>9500</v>
      </c>
      <c r="T259" s="16">
        <f t="shared" si="26"/>
        <v>-14.71670186282954</v>
      </c>
      <c r="U259" s="16">
        <f>IF(AC259=100,Braking!$AG$2354,IF(AC259=50,Braking!$AG$1179,IF(AC259=75,Braking!$AG$1767,0)))</f>
        <v>-14.71670186282954</v>
      </c>
      <c r="V259" s="16">
        <f>0.5*'Gearing Calculator'!$C$15*'Gearing Calculator'!$C$20*'Gearing Calculator'!$W$20*('Track Data'!Q259^2)</f>
        <v>192.66665313365212</v>
      </c>
      <c r="W259" s="16">
        <f>('Gearing Calculator'!$U$9*'Track Data'!T259)+'Track Data'!V259</f>
        <v>-3724.919382751571</v>
      </c>
      <c r="X259" s="16">
        <f>('Gearing Calculator'!$U$9*9.81)*('Gearing Calculator'!$U$16/'Gearing Calculator'!$C$7)-(('Track Data'!W259)*('Gearing Calculator'!$U$17/'Gearing Calculator'!$C$7))</f>
        <v>3431.497752249898</v>
      </c>
      <c r="Y259" s="16">
        <f>('Gearing Calculator'!$U$9*9.81)*(('Gearing Calculator'!$C$7-'Gearing Calculator'!$U$16)/'Gearing Calculator'!$C$7)+(('Track Data'!W259)*('Gearing Calculator'!$U$17/'Gearing Calculator'!$C$7))</f>
        <v>-820.07575224989796</v>
      </c>
      <c r="Z259" s="16">
        <f>((X259*COS('Gearing Calculator'!$C$21))/'Gearing Calculator'!$C$22)/2</f>
        <v>106.0910575968293</v>
      </c>
      <c r="AA259" s="16">
        <f>Y259/'Gearing Calculator'!$C$24</f>
        <v>-11.451008073359914</v>
      </c>
      <c r="AB259" s="16">
        <f t="shared" si="24"/>
        <v>104.36644195667488</v>
      </c>
      <c r="AC259" s="16">
        <v>100</v>
      </c>
      <c r="AD259" s="16">
        <v>0</v>
      </c>
      <c r="AE259" s="16">
        <v>256</v>
      </c>
      <c r="AF259" s="16">
        <f>IF(AC259=0,IF(O259=6,INDEX(Acceleration!$V$4:$V$110,MATCH('Track Data'!S259,Acceleration!$K$4:$K$110,0)),IF('Track Data'!O259=5,INDEX(Acceleration!$U$4:$U$110,MATCH('Track Data'!S259,Acceleration!$K$4:$K$110,0)),1)),U259)</f>
        <v>-14.71670186282954</v>
      </c>
      <c r="AG259" s="16">
        <f>IF(AC259=0,IF(O259=4,INDEX(Acceleration!$T$4:$T$110,MATCH('Track Data'!S259,Acceleration!$K$4:$K$110,0)),IF('Track Data'!O259=3,INDEX(Acceleration!$S$4:$S$110,MATCH('Track Data'!S259,Acceleration!$K$4:$K$110,0)),'Track Data'!AF259)),'Track Data'!U259)</f>
        <v>-14.71670186282954</v>
      </c>
      <c r="AH259" s="16">
        <f>IF(AC259=0,IF(O259=2,INDEX(Acceleration!$R$4:$R$110,MATCH('Track Data'!S259,Acceleration!$K$4:$K$110,0)),IF('Track Data'!O259=1,INDEX(Acceleration!$Q$4:$Q$110,MATCH('Track Data'!S259,Acceleration!$K$4:$K$110,0)),'Track Data'!AG259)),'Track Data'!U259)</f>
        <v>-14.71670186282954</v>
      </c>
    </row>
    <row r="260" spans="2:34" x14ac:dyDescent="0.25">
      <c r="B260" s="16">
        <v>200.791</v>
      </c>
      <c r="C260" s="16">
        <v>7530</v>
      </c>
      <c r="D260" s="16">
        <v>257</v>
      </c>
      <c r="E260" s="113">
        <v>99</v>
      </c>
      <c r="F260" s="113">
        <v>112.8</v>
      </c>
      <c r="G260" s="113">
        <v>116.6</v>
      </c>
      <c r="H260" s="113">
        <f t="shared" si="25"/>
        <v>32.388888888888886</v>
      </c>
      <c r="I260" s="113">
        <v>-3.7</v>
      </c>
      <c r="J260" s="113">
        <v>99.51</v>
      </c>
      <c r="K260" s="113">
        <v>0.2</v>
      </c>
      <c r="L260" s="189"/>
      <c r="M260" s="16">
        <v>257</v>
      </c>
      <c r="N260" s="16">
        <f t="shared" si="27"/>
        <v>2.3629873274413404E-2</v>
      </c>
      <c r="O260" s="16">
        <v>6</v>
      </c>
      <c r="P260" s="16">
        <f t="shared" ref="P260:P323" si="29">VLOOKUP(O260,$AJ$5:$AK$10,2,FALSE)</f>
        <v>7.3113821138211375</v>
      </c>
      <c r="Q260" s="16">
        <f t="shared" si="28"/>
        <v>42.319312862452257</v>
      </c>
      <c r="R260" s="113">
        <f t="shared" ref="R260:R323" si="30">VLOOKUP(O260,$AJ$5:$AL$10,3,FALSE)</f>
        <v>311.95699999999999</v>
      </c>
      <c r="S260" s="16">
        <f>IF(S259=15800,15800,ROUND((((Q260*60)/'Gearing Calculator'!$C$14)*'Track Data'!P260),-2))</f>
        <v>9400</v>
      </c>
      <c r="T260" s="16">
        <f t="shared" si="26"/>
        <v>-14.71670186282954</v>
      </c>
      <c r="U260" s="16">
        <f>IF(AC260=100,Braking!$AG$2354,IF(AC260=50,Braking!$AG$1179,IF(AC260=75,Braking!$AG$1767,0)))</f>
        <v>-14.71670186282954</v>
      </c>
      <c r="V260" s="16">
        <f>0.5*'Gearing Calculator'!$C$15*'Gearing Calculator'!$C$20*'Gearing Calculator'!$W$20*('Track Data'!Q260^2)</f>
        <v>189.55142168332836</v>
      </c>
      <c r="W260" s="16">
        <f>('Gearing Calculator'!$U$9*'Track Data'!T260)+'Track Data'!V260</f>
        <v>-3728.0346142018948</v>
      </c>
      <c r="X260" s="16">
        <f>('Gearing Calculator'!$U$9*9.81)*('Gearing Calculator'!$U$16/'Gearing Calculator'!$C$7)-(('Track Data'!W260)*('Gearing Calculator'!$U$17/'Gearing Calculator'!$C$7))</f>
        <v>3433.1957661411097</v>
      </c>
      <c r="Y260" s="16">
        <f>('Gearing Calculator'!$U$9*9.81)*(('Gearing Calculator'!$C$7-'Gearing Calculator'!$U$16)/'Gearing Calculator'!$C$7)+(('Track Data'!W260)*('Gearing Calculator'!$U$17/'Gearing Calculator'!$C$7))</f>
        <v>-821.77376614110995</v>
      </c>
      <c r="Z260" s="16">
        <f>((X260*COS('Gearing Calculator'!$C$21))/'Gearing Calculator'!$C$22)/2</f>
        <v>106.14355481598518</v>
      </c>
      <c r="AA260" s="16">
        <f>Y260/'Gearing Calculator'!$C$24</f>
        <v>-11.474718042498253</v>
      </c>
      <c r="AB260" s="16">
        <f t="shared" ref="AB260:AB309" si="31">(T260*O260)+V260</f>
        <v>101.25121050635111</v>
      </c>
      <c r="AC260" s="16">
        <v>100</v>
      </c>
      <c r="AD260" s="16">
        <v>0</v>
      </c>
      <c r="AE260" s="16">
        <v>257</v>
      </c>
      <c r="AF260" s="16">
        <f>IF(AC260=0,IF(O260=6,INDEX(Acceleration!$V$4:$V$110,MATCH('Track Data'!S260,Acceleration!$K$4:$K$110,0)),IF('Track Data'!O260=5,INDEX(Acceleration!$U$4:$U$110,MATCH('Track Data'!S260,Acceleration!$K$4:$K$110,0)),1)),U260)</f>
        <v>-14.71670186282954</v>
      </c>
      <c r="AG260" s="16">
        <f>IF(AC260=0,IF(O260=4,INDEX(Acceleration!$T$4:$T$110,MATCH('Track Data'!S260,Acceleration!$K$4:$K$110,0)),IF('Track Data'!O260=3,INDEX(Acceleration!$S$4:$S$110,MATCH('Track Data'!S260,Acceleration!$K$4:$K$110,0)),'Track Data'!AF260)),'Track Data'!U260)</f>
        <v>-14.71670186282954</v>
      </c>
      <c r="AH260" s="16">
        <f>IF(AC260=0,IF(O260=2,INDEX(Acceleration!$R$4:$R$110,MATCH('Track Data'!S260,Acceleration!$K$4:$K$110,0)),IF('Track Data'!O260=1,INDEX(Acceleration!$Q$4:$Q$110,MATCH('Track Data'!S260,Acceleration!$K$4:$K$110,0)),'Track Data'!AG260)),'Track Data'!U260)</f>
        <v>-14.71670186282954</v>
      </c>
    </row>
    <row r="261" spans="2:34" x14ac:dyDescent="0.25">
      <c r="B261" s="16">
        <v>200.82300000000001</v>
      </c>
      <c r="C261" s="16">
        <v>7531</v>
      </c>
      <c r="D261" s="16">
        <v>258</v>
      </c>
      <c r="E261" s="113">
        <v>97</v>
      </c>
      <c r="F261" s="113">
        <v>111.9</v>
      </c>
      <c r="G261" s="113">
        <v>115.6</v>
      </c>
      <c r="H261" s="113">
        <f t="shared" ref="H261:H324" si="32">G261/3.6</f>
        <v>32.111111111111107</v>
      </c>
      <c r="I261" s="113">
        <v>-3.7</v>
      </c>
      <c r="J261" s="113">
        <v>99.62</v>
      </c>
      <c r="K261" s="113">
        <v>2.1</v>
      </c>
      <c r="L261" s="189"/>
      <c r="M261" s="16">
        <v>258</v>
      </c>
      <c r="N261" s="16">
        <f t="shared" si="27"/>
        <v>2.3826475560005493E-2</v>
      </c>
      <c r="O261" s="16">
        <v>6</v>
      </c>
      <c r="P261" s="16">
        <f t="shared" si="29"/>
        <v>7.3113821138211375</v>
      </c>
      <c r="Q261" s="16">
        <f t="shared" si="28"/>
        <v>41.970118387067458</v>
      </c>
      <c r="R261" s="113">
        <f t="shared" si="30"/>
        <v>311.95699999999999</v>
      </c>
      <c r="S261" s="16">
        <f>IF(S260=15800,15800,ROUND((((Q261*60)/'Gearing Calculator'!$C$14)*'Track Data'!P261),-2))</f>
        <v>9300</v>
      </c>
      <c r="T261" s="16">
        <f t="shared" ref="T261:T324" si="33">AH261</f>
        <v>-14.71670186282954</v>
      </c>
      <c r="U261" s="16">
        <f>IF(AC261=100,Braking!$AG$2354,IF(AC261=50,Braking!$AG$1179,IF(AC261=75,Braking!$AG$1767,0)))</f>
        <v>-14.71670186282954</v>
      </c>
      <c r="V261" s="16">
        <f>0.5*'Gearing Calculator'!$C$15*'Gearing Calculator'!$C$20*'Gearing Calculator'!$W$20*('Track Data'!Q261^2)</f>
        <v>186.43619023300462</v>
      </c>
      <c r="W261" s="16">
        <f>('Gearing Calculator'!$U$9*'Track Data'!T261)+'Track Data'!V261</f>
        <v>-3731.1498456522186</v>
      </c>
      <c r="X261" s="16">
        <f>('Gearing Calculator'!$U$9*9.81)*('Gearing Calculator'!$U$16/'Gearing Calculator'!$C$7)-(('Track Data'!W261)*('Gearing Calculator'!$U$17/'Gearing Calculator'!$C$7))</f>
        <v>3434.893780032322</v>
      </c>
      <c r="Y261" s="16">
        <f>('Gearing Calculator'!$U$9*9.81)*(('Gearing Calculator'!$C$7-'Gearing Calculator'!$U$16)/'Gearing Calculator'!$C$7)+(('Track Data'!W261)*('Gearing Calculator'!$U$17/'Gearing Calculator'!$C$7))</f>
        <v>-823.4717800323217</v>
      </c>
      <c r="Z261" s="16">
        <f>((X261*COS('Gearing Calculator'!$C$21))/'Gearing Calculator'!$C$22)/2</f>
        <v>106.19605203514108</v>
      </c>
      <c r="AA261" s="16">
        <f>Y261/'Gearing Calculator'!$C$24</f>
        <v>-11.498428011636591</v>
      </c>
      <c r="AB261" s="16">
        <f t="shared" si="31"/>
        <v>98.135979056027381</v>
      </c>
      <c r="AC261" s="16">
        <v>100</v>
      </c>
      <c r="AD261" s="16">
        <v>0</v>
      </c>
      <c r="AE261" s="16">
        <v>258</v>
      </c>
      <c r="AF261" s="16">
        <f>IF(AC261=0,IF(O261=6,INDEX(Acceleration!$V$4:$V$110,MATCH('Track Data'!S261,Acceleration!$K$4:$K$110,0)),IF('Track Data'!O261=5,INDEX(Acceleration!$U$4:$U$110,MATCH('Track Data'!S261,Acceleration!$K$4:$K$110,0)),1)),U261)</f>
        <v>-14.71670186282954</v>
      </c>
      <c r="AG261" s="16">
        <f>IF(AC261=0,IF(O261=4,INDEX(Acceleration!$T$4:$T$110,MATCH('Track Data'!S261,Acceleration!$K$4:$K$110,0)),IF('Track Data'!O261=3,INDEX(Acceleration!$S$4:$S$110,MATCH('Track Data'!S261,Acceleration!$K$4:$K$110,0)),'Track Data'!AF261)),'Track Data'!U261)</f>
        <v>-14.71670186282954</v>
      </c>
      <c r="AH261" s="16">
        <f>IF(AC261=0,IF(O261=2,INDEX(Acceleration!$R$4:$R$110,MATCH('Track Data'!S261,Acceleration!$K$4:$K$110,0)),IF('Track Data'!O261=1,INDEX(Acceleration!$Q$4:$Q$110,MATCH('Track Data'!S261,Acceleration!$K$4:$K$110,0)),'Track Data'!AG261)),'Track Data'!U261)</f>
        <v>-14.71670186282954</v>
      </c>
    </row>
    <row r="262" spans="2:34" x14ac:dyDescent="0.25">
      <c r="B262" s="16">
        <v>200.85499999999999</v>
      </c>
      <c r="C262" s="16">
        <v>7532</v>
      </c>
      <c r="D262" s="16">
        <v>259</v>
      </c>
      <c r="E262" s="113">
        <v>95</v>
      </c>
      <c r="F262" s="113">
        <v>109.9</v>
      </c>
      <c r="G262" s="113">
        <v>114.6</v>
      </c>
      <c r="H262" s="113">
        <f t="shared" si="32"/>
        <v>31.833333333333332</v>
      </c>
      <c r="I262" s="113">
        <v>-3.7</v>
      </c>
      <c r="J262" s="113">
        <v>99.74</v>
      </c>
      <c r="K262" s="113">
        <v>3.9</v>
      </c>
      <c r="L262" s="189"/>
      <c r="M262" s="16">
        <v>259</v>
      </c>
      <c r="N262" s="16">
        <f t="shared" ref="N262:N325" si="34">1/Q262</f>
        <v>2.4028068180527985E-2</v>
      </c>
      <c r="O262" s="16">
        <v>6</v>
      </c>
      <c r="P262" s="16">
        <f t="shared" si="29"/>
        <v>7.3113821138211375</v>
      </c>
      <c r="Q262" s="16">
        <f t="shared" ref="Q262:Q325" si="35">IF(AD261=0,SQRT(Q261^2+(2*T261)),Q261)</f>
        <v>41.617994109505076</v>
      </c>
      <c r="R262" s="113">
        <f t="shared" si="30"/>
        <v>311.95699999999999</v>
      </c>
      <c r="S262" s="16">
        <f>IF(S261=15800,15800,ROUND((((Q262*60)/'Gearing Calculator'!$C$14)*'Track Data'!P262),-2))</f>
        <v>9200</v>
      </c>
      <c r="T262" s="16">
        <f t="shared" si="33"/>
        <v>-14.71670186282954</v>
      </c>
      <c r="U262" s="16">
        <f>IF(AC262=100,Braking!$AG$2354,IF(AC262=50,Braking!$AG$1179,IF(AC262=75,Braking!$AG$1767,0)))</f>
        <v>-14.71670186282954</v>
      </c>
      <c r="V262" s="16">
        <f>0.5*'Gearing Calculator'!$C$15*'Gearing Calculator'!$C$20*'Gearing Calculator'!$W$20*('Track Data'!Q262^2)</f>
        <v>183.32095878268089</v>
      </c>
      <c r="W262" s="16">
        <f>('Gearing Calculator'!$U$9*'Track Data'!T262)+'Track Data'!V262</f>
        <v>-3734.2650771025424</v>
      </c>
      <c r="X262" s="16">
        <f>('Gearing Calculator'!$U$9*9.81)*('Gearing Calculator'!$U$16/'Gearing Calculator'!$C$7)-(('Track Data'!W262)*('Gearing Calculator'!$U$17/'Gearing Calculator'!$C$7))</f>
        <v>3436.5917939235333</v>
      </c>
      <c r="Y262" s="16">
        <f>('Gearing Calculator'!$U$9*9.81)*(('Gearing Calculator'!$C$7-'Gearing Calculator'!$U$16)/'Gearing Calculator'!$C$7)+(('Track Data'!W262)*('Gearing Calculator'!$U$17/'Gearing Calculator'!$C$7))</f>
        <v>-825.16979392353346</v>
      </c>
      <c r="Z262" s="16">
        <f>((X262*COS('Gearing Calculator'!$C$21))/'Gearing Calculator'!$C$22)/2</f>
        <v>106.24854925429693</v>
      </c>
      <c r="AA262" s="16">
        <f>Y262/'Gearing Calculator'!$C$24</f>
        <v>-11.522137980774927</v>
      </c>
      <c r="AB262" s="16">
        <f t="shared" si="31"/>
        <v>95.020747605703647</v>
      </c>
      <c r="AC262" s="16">
        <v>100</v>
      </c>
      <c r="AD262" s="16">
        <v>0</v>
      </c>
      <c r="AE262" s="16">
        <v>259</v>
      </c>
      <c r="AF262" s="16">
        <f>IF(AC262=0,IF(O262=6,INDEX(Acceleration!$V$4:$V$110,MATCH('Track Data'!S262,Acceleration!$K$4:$K$110,0)),IF('Track Data'!O262=5,INDEX(Acceleration!$U$4:$U$110,MATCH('Track Data'!S262,Acceleration!$K$4:$K$110,0)),1)),U262)</f>
        <v>-14.71670186282954</v>
      </c>
      <c r="AG262" s="16">
        <f>IF(AC262=0,IF(O262=4,INDEX(Acceleration!$T$4:$T$110,MATCH('Track Data'!S262,Acceleration!$K$4:$K$110,0)),IF('Track Data'!O262=3,INDEX(Acceleration!$S$4:$S$110,MATCH('Track Data'!S262,Acceleration!$K$4:$K$110,0)),'Track Data'!AF262)),'Track Data'!U262)</f>
        <v>-14.71670186282954</v>
      </c>
      <c r="AH262" s="16">
        <f>IF(AC262=0,IF(O262=2,INDEX(Acceleration!$R$4:$R$110,MATCH('Track Data'!S262,Acceleration!$K$4:$K$110,0)),IF('Track Data'!O262=1,INDEX(Acceleration!$Q$4:$Q$110,MATCH('Track Data'!S262,Acceleration!$K$4:$K$110,0)),'Track Data'!AG262)),'Track Data'!U262)</f>
        <v>-14.71670186282954</v>
      </c>
    </row>
    <row r="263" spans="2:34" x14ac:dyDescent="0.25">
      <c r="B263" s="16">
        <v>200.887</v>
      </c>
      <c r="C263" s="16">
        <v>7533</v>
      </c>
      <c r="D263" s="16">
        <v>260</v>
      </c>
      <c r="E263" s="113">
        <v>94</v>
      </c>
      <c r="F263" s="113">
        <v>107.2</v>
      </c>
      <c r="G263" s="113">
        <v>113.6</v>
      </c>
      <c r="H263" s="113">
        <f t="shared" si="32"/>
        <v>31.555555555555554</v>
      </c>
      <c r="I263" s="113">
        <v>-3.7</v>
      </c>
      <c r="J263" s="113">
        <v>98.65</v>
      </c>
      <c r="K263" s="113">
        <v>5.3</v>
      </c>
      <c r="L263" s="189"/>
      <c r="M263" s="16">
        <v>260</v>
      </c>
      <c r="N263" s="16">
        <f t="shared" si="34"/>
        <v>2.4234865887838238E-2</v>
      </c>
      <c r="O263" s="16">
        <v>6</v>
      </c>
      <c r="P263" s="16">
        <f t="shared" si="29"/>
        <v>7.3113821138211375</v>
      </c>
      <c r="Q263" s="16">
        <f t="shared" si="35"/>
        <v>41.262865023809731</v>
      </c>
      <c r="R263" s="113">
        <f t="shared" si="30"/>
        <v>311.95699999999999</v>
      </c>
      <c r="S263" s="16">
        <f>IF(S262=15800,15800,ROUND((((Q263*60)/'Gearing Calculator'!$C$14)*'Track Data'!P263),-2))</f>
        <v>9100</v>
      </c>
      <c r="T263" s="16">
        <f t="shared" si="33"/>
        <v>-14.71670186282954</v>
      </c>
      <c r="U263" s="16">
        <f>IF(AC263=100,Braking!$AG$2354,IF(AC263=50,Braking!$AG$1179,IF(AC263=75,Braking!$AG$1767,0)))</f>
        <v>-14.71670186282954</v>
      </c>
      <c r="V263" s="16">
        <f>0.5*'Gearing Calculator'!$C$15*'Gearing Calculator'!$C$20*'Gearing Calculator'!$W$20*('Track Data'!Q263^2)</f>
        <v>180.20572733235718</v>
      </c>
      <c r="W263" s="16">
        <f>('Gearing Calculator'!$U$9*'Track Data'!T263)+'Track Data'!V263</f>
        <v>-3737.3803085528662</v>
      </c>
      <c r="X263" s="16">
        <f>('Gearing Calculator'!$U$9*9.81)*('Gearing Calculator'!$U$16/'Gearing Calculator'!$C$7)-(('Track Data'!W263)*('Gearing Calculator'!$U$17/'Gearing Calculator'!$C$7))</f>
        <v>3438.2898078147455</v>
      </c>
      <c r="Y263" s="16">
        <f>('Gearing Calculator'!$U$9*9.81)*(('Gearing Calculator'!$C$7-'Gearing Calculator'!$U$16)/'Gearing Calculator'!$C$7)+(('Track Data'!W263)*('Gearing Calculator'!$U$17/'Gearing Calculator'!$C$7))</f>
        <v>-826.86780781474522</v>
      </c>
      <c r="Z263" s="16">
        <f>((X263*COS('Gearing Calculator'!$C$21))/'Gearing Calculator'!$C$22)/2</f>
        <v>106.30104647345283</v>
      </c>
      <c r="AA263" s="16">
        <f>Y263/'Gearing Calculator'!$C$24</f>
        <v>-11.545847949913263</v>
      </c>
      <c r="AB263" s="16">
        <f t="shared" si="31"/>
        <v>91.905516155379942</v>
      </c>
      <c r="AC263" s="16">
        <v>100</v>
      </c>
      <c r="AD263" s="16">
        <v>0</v>
      </c>
      <c r="AE263" s="16">
        <v>260</v>
      </c>
      <c r="AF263" s="16">
        <f>IF(AC263=0,IF(O263=6,INDEX(Acceleration!$V$4:$V$110,MATCH('Track Data'!S263,Acceleration!$K$4:$K$110,0)),IF('Track Data'!O263=5,INDEX(Acceleration!$U$4:$U$110,MATCH('Track Data'!S263,Acceleration!$K$4:$K$110,0)),1)),U263)</f>
        <v>-14.71670186282954</v>
      </c>
      <c r="AG263" s="16">
        <f>IF(AC263=0,IF(O263=4,INDEX(Acceleration!$T$4:$T$110,MATCH('Track Data'!S263,Acceleration!$K$4:$K$110,0)),IF('Track Data'!O263=3,INDEX(Acceleration!$S$4:$S$110,MATCH('Track Data'!S263,Acceleration!$K$4:$K$110,0)),'Track Data'!AF263)),'Track Data'!U263)</f>
        <v>-14.71670186282954</v>
      </c>
      <c r="AH263" s="16">
        <f>IF(AC263=0,IF(O263=2,INDEX(Acceleration!$R$4:$R$110,MATCH('Track Data'!S263,Acceleration!$K$4:$K$110,0)),IF('Track Data'!O263=1,INDEX(Acceleration!$Q$4:$Q$110,MATCH('Track Data'!S263,Acceleration!$K$4:$K$110,0)),'Track Data'!AG263)),'Track Data'!U263)</f>
        <v>-14.71670186282954</v>
      </c>
    </row>
    <row r="264" spans="2:34" x14ac:dyDescent="0.25">
      <c r="B264" s="16">
        <v>200.92099999999999</v>
      </c>
      <c r="C264" s="16">
        <v>7534</v>
      </c>
      <c r="D264" s="16">
        <v>261</v>
      </c>
      <c r="E264" s="113">
        <v>91</v>
      </c>
      <c r="F264" s="113">
        <v>108.6</v>
      </c>
      <c r="G264" s="113">
        <v>112.2</v>
      </c>
      <c r="H264" s="113">
        <f t="shared" si="32"/>
        <v>31.166666666666668</v>
      </c>
      <c r="I264" s="113">
        <v>-3.7</v>
      </c>
      <c r="J264" s="113">
        <v>97.67</v>
      </c>
      <c r="K264" s="113">
        <v>2.5</v>
      </c>
      <c r="L264" s="189"/>
      <c r="M264" s="16">
        <v>261</v>
      </c>
      <c r="N264" s="16">
        <f t="shared" si="34"/>
        <v>2.444709659872293E-2</v>
      </c>
      <c r="O264" s="16">
        <v>6</v>
      </c>
      <c r="P264" s="16">
        <f t="shared" si="29"/>
        <v>7.3113821138211375</v>
      </c>
      <c r="Q264" s="16">
        <f t="shared" si="35"/>
        <v>40.904652867949892</v>
      </c>
      <c r="R264" s="113">
        <f t="shared" si="30"/>
        <v>311.95699999999999</v>
      </c>
      <c r="S264" s="16">
        <f>IF(S263=15800,15800,ROUND((((Q264*60)/'Gearing Calculator'!$C$14)*'Track Data'!P264),-2))</f>
        <v>9100</v>
      </c>
      <c r="T264" s="16">
        <f t="shared" si="33"/>
        <v>-14.71670186282954</v>
      </c>
      <c r="U264" s="16">
        <f>IF(AC264=100,Braking!$AG$2354,IF(AC264=50,Braking!$AG$1179,IF(AC264=75,Braking!$AG$1767,0)))</f>
        <v>-14.71670186282954</v>
      </c>
      <c r="V264" s="16">
        <f>0.5*'Gearing Calculator'!$C$15*'Gearing Calculator'!$C$20*'Gearing Calculator'!$W$20*('Track Data'!Q264^2)</f>
        <v>177.09049588203339</v>
      </c>
      <c r="W264" s="16">
        <f>('Gearing Calculator'!$U$9*'Track Data'!T264)+'Track Data'!V264</f>
        <v>-3740.4955400031899</v>
      </c>
      <c r="X264" s="16">
        <f>('Gearing Calculator'!$U$9*9.81)*('Gearing Calculator'!$U$16/'Gearing Calculator'!$C$7)-(('Track Data'!W264)*('Gearing Calculator'!$U$17/'Gearing Calculator'!$C$7))</f>
        <v>3439.9878217059568</v>
      </c>
      <c r="Y264" s="16">
        <f>('Gearing Calculator'!$U$9*9.81)*(('Gearing Calculator'!$C$7-'Gearing Calculator'!$U$16)/'Gearing Calculator'!$C$7)+(('Track Data'!W264)*('Gearing Calculator'!$U$17/'Gearing Calculator'!$C$7))</f>
        <v>-828.56582170595698</v>
      </c>
      <c r="Z264" s="16">
        <f>((X264*COS('Gearing Calculator'!$C$21))/'Gearing Calculator'!$C$22)/2</f>
        <v>106.35354369260868</v>
      </c>
      <c r="AA264" s="16">
        <f>Y264/'Gearing Calculator'!$C$24</f>
        <v>-11.569557919051599</v>
      </c>
      <c r="AB264" s="16">
        <f t="shared" si="31"/>
        <v>88.790284705056152</v>
      </c>
      <c r="AC264" s="16">
        <v>100</v>
      </c>
      <c r="AD264" s="16">
        <v>0</v>
      </c>
      <c r="AE264" s="16">
        <v>261</v>
      </c>
      <c r="AF264" s="16">
        <f>IF(AC264=0,IF(O264=6,INDEX(Acceleration!$V$4:$V$110,MATCH('Track Data'!S264,Acceleration!$K$4:$K$110,0)),IF('Track Data'!O264=5,INDEX(Acceleration!$U$4:$U$110,MATCH('Track Data'!S264,Acceleration!$K$4:$K$110,0)),1)),U264)</f>
        <v>-14.71670186282954</v>
      </c>
      <c r="AG264" s="16">
        <f>IF(AC264=0,IF(O264=4,INDEX(Acceleration!$T$4:$T$110,MATCH('Track Data'!S264,Acceleration!$K$4:$K$110,0)),IF('Track Data'!O264=3,INDEX(Acceleration!$S$4:$S$110,MATCH('Track Data'!S264,Acceleration!$K$4:$K$110,0)),'Track Data'!AF264)),'Track Data'!U264)</f>
        <v>-14.71670186282954</v>
      </c>
      <c r="AH264" s="16">
        <f>IF(AC264=0,IF(O264=2,INDEX(Acceleration!$R$4:$R$110,MATCH('Track Data'!S264,Acceleration!$K$4:$K$110,0)),IF('Track Data'!O264=1,INDEX(Acceleration!$Q$4:$Q$110,MATCH('Track Data'!S264,Acceleration!$K$4:$K$110,0)),'Track Data'!AG264)),'Track Data'!U264)</f>
        <v>-14.71670186282954</v>
      </c>
    </row>
    <row r="265" spans="2:34" x14ac:dyDescent="0.25">
      <c r="B265" s="16">
        <v>200.95400000000001</v>
      </c>
      <c r="C265" s="16">
        <v>7535</v>
      </c>
      <c r="D265" s="16">
        <v>262</v>
      </c>
      <c r="E265" s="113">
        <v>88</v>
      </c>
      <c r="F265" s="113">
        <v>108</v>
      </c>
      <c r="G265" s="113">
        <v>111.3</v>
      </c>
      <c r="H265" s="113">
        <f t="shared" si="32"/>
        <v>30.916666666666664</v>
      </c>
      <c r="I265" s="113">
        <v>-3.7</v>
      </c>
      <c r="J265" s="113">
        <v>97.67</v>
      </c>
      <c r="K265" s="113">
        <v>0.4</v>
      </c>
      <c r="L265" s="189"/>
      <c r="M265" s="16">
        <v>262</v>
      </c>
      <c r="N265" s="16">
        <f t="shared" si="34"/>
        <v>2.4665002451045324E-2</v>
      </c>
      <c r="O265" s="16">
        <v>6</v>
      </c>
      <c r="P265" s="16">
        <f t="shared" si="29"/>
        <v>7.3113821138211375</v>
      </c>
      <c r="Q265" s="16">
        <f t="shared" si="35"/>
        <v>40.543275922424208</v>
      </c>
      <c r="R265" s="113">
        <f t="shared" si="30"/>
        <v>311.95699999999999</v>
      </c>
      <c r="S265" s="16">
        <f>IF(S264=15800,15800,ROUND((((Q265*60)/'Gearing Calculator'!$C$14)*'Track Data'!P265),-2))</f>
        <v>9000</v>
      </c>
      <c r="T265" s="16">
        <f t="shared" si="33"/>
        <v>-14.71670186282954</v>
      </c>
      <c r="U265" s="16">
        <f>IF(AC265=100,Braking!$AG$2354,IF(AC265=50,Braking!$AG$1179,IF(AC265=75,Braking!$AG$1767,0)))</f>
        <v>-14.71670186282954</v>
      </c>
      <c r="V265" s="16">
        <f>0.5*'Gearing Calculator'!$C$15*'Gearing Calculator'!$C$20*'Gearing Calculator'!$W$20*('Track Data'!Q265^2)</f>
        <v>173.97526443170969</v>
      </c>
      <c r="W265" s="16">
        <f>('Gearing Calculator'!$U$9*'Track Data'!T265)+'Track Data'!V265</f>
        <v>-3743.6107714535137</v>
      </c>
      <c r="X265" s="16">
        <f>('Gearing Calculator'!$U$9*9.81)*('Gearing Calculator'!$U$16/'Gearing Calculator'!$C$7)-(('Track Data'!W265)*('Gearing Calculator'!$U$17/'Gearing Calculator'!$C$7))</f>
        <v>3441.685835597169</v>
      </c>
      <c r="Y265" s="16">
        <f>('Gearing Calculator'!$U$9*9.81)*(('Gearing Calculator'!$C$7-'Gearing Calculator'!$U$16)/'Gearing Calculator'!$C$7)+(('Track Data'!W265)*('Gearing Calculator'!$U$17/'Gearing Calculator'!$C$7))</f>
        <v>-830.26383559716896</v>
      </c>
      <c r="Z265" s="16">
        <f>((X265*COS('Gearing Calculator'!$C$21))/'Gearing Calculator'!$C$22)/2</f>
        <v>106.40604091176458</v>
      </c>
      <c r="AA265" s="16">
        <f>Y265/'Gearing Calculator'!$C$24</f>
        <v>-11.593267888189938</v>
      </c>
      <c r="AB265" s="16">
        <f t="shared" si="31"/>
        <v>85.675053254732447</v>
      </c>
      <c r="AC265" s="16">
        <v>100</v>
      </c>
      <c r="AD265" s="16">
        <v>0</v>
      </c>
      <c r="AE265" s="16">
        <v>262</v>
      </c>
      <c r="AF265" s="16">
        <f>IF(AC265=0,IF(O265=6,INDEX(Acceleration!$V$4:$V$110,MATCH('Track Data'!S265,Acceleration!$K$4:$K$110,0)),IF('Track Data'!O265=5,INDEX(Acceleration!$U$4:$U$110,MATCH('Track Data'!S265,Acceleration!$K$4:$K$110,0)),1)),U265)</f>
        <v>-14.71670186282954</v>
      </c>
      <c r="AG265" s="16">
        <f>IF(AC265=0,IF(O265=4,INDEX(Acceleration!$T$4:$T$110,MATCH('Track Data'!S265,Acceleration!$K$4:$K$110,0)),IF('Track Data'!O265=3,INDEX(Acceleration!$S$4:$S$110,MATCH('Track Data'!S265,Acceleration!$K$4:$K$110,0)),'Track Data'!AF265)),'Track Data'!U265)</f>
        <v>-14.71670186282954</v>
      </c>
      <c r="AH265" s="16">
        <f>IF(AC265=0,IF(O265=2,INDEX(Acceleration!$R$4:$R$110,MATCH('Track Data'!S265,Acceleration!$K$4:$K$110,0)),IF('Track Data'!O265=1,INDEX(Acceleration!$Q$4:$Q$110,MATCH('Track Data'!S265,Acceleration!$K$4:$K$110,0)),'Track Data'!AG265)),'Track Data'!U265)</f>
        <v>-14.71670186282954</v>
      </c>
    </row>
    <row r="266" spans="2:34" x14ac:dyDescent="0.25">
      <c r="B266" s="16">
        <v>200.988</v>
      </c>
      <c r="C266" s="16">
        <v>7536</v>
      </c>
      <c r="D266" s="16">
        <v>263</v>
      </c>
      <c r="E266" s="113">
        <v>87</v>
      </c>
      <c r="F266" s="113">
        <v>106.2</v>
      </c>
      <c r="G266" s="113">
        <v>110.5</v>
      </c>
      <c r="H266" s="113">
        <f t="shared" si="32"/>
        <v>30.694444444444443</v>
      </c>
      <c r="I266" s="113">
        <v>-3.7</v>
      </c>
      <c r="J266" s="113">
        <v>97.97</v>
      </c>
      <c r="K266" s="113">
        <v>0</v>
      </c>
      <c r="L266" s="189"/>
      <c r="M266" s="16">
        <v>263</v>
      </c>
      <c r="N266" s="16">
        <f t="shared" si="34"/>
        <v>2.488884096533097E-2</v>
      </c>
      <c r="O266" s="16">
        <v>6</v>
      </c>
      <c r="P266" s="16">
        <f t="shared" si="29"/>
        <v>7.3113821138211375</v>
      </c>
      <c r="Q266" s="16">
        <f t="shared" si="35"/>
        <v>40.178648792563493</v>
      </c>
      <c r="R266" s="113">
        <f t="shared" si="30"/>
        <v>311.95699999999999</v>
      </c>
      <c r="S266" s="16">
        <f>IF(S265=15800,15800,ROUND((((Q266*60)/'Gearing Calculator'!$C$14)*'Track Data'!P266),-2))</f>
        <v>8900</v>
      </c>
      <c r="T266" s="16">
        <f t="shared" si="33"/>
        <v>-14.71670186282954</v>
      </c>
      <c r="U266" s="16">
        <f>IF(AC266=100,Braking!$AG$2354,IF(AC266=50,Braking!$AG$1179,IF(AC266=75,Braking!$AG$1767,0)))</f>
        <v>-14.71670186282954</v>
      </c>
      <c r="V266" s="16">
        <f>0.5*'Gearing Calculator'!$C$15*'Gearing Calculator'!$C$20*'Gearing Calculator'!$W$20*('Track Data'!Q266^2)</f>
        <v>170.86003298138596</v>
      </c>
      <c r="W266" s="16">
        <f>('Gearing Calculator'!$U$9*'Track Data'!T266)+'Track Data'!V266</f>
        <v>-3746.7260029038375</v>
      </c>
      <c r="X266" s="16">
        <f>('Gearing Calculator'!$U$9*9.81)*('Gearing Calculator'!$U$16/'Gearing Calculator'!$C$7)-(('Track Data'!W266)*('Gearing Calculator'!$U$17/'Gearing Calculator'!$C$7))</f>
        <v>3443.3838494883807</v>
      </c>
      <c r="Y266" s="16">
        <f>('Gearing Calculator'!$U$9*9.81)*(('Gearing Calculator'!$C$7-'Gearing Calculator'!$U$16)/'Gearing Calculator'!$C$7)+(('Track Data'!W266)*('Gearing Calculator'!$U$17/'Gearing Calculator'!$C$7))</f>
        <v>-831.96184948838072</v>
      </c>
      <c r="Z266" s="16">
        <f>((X266*COS('Gearing Calculator'!$C$21))/'Gearing Calculator'!$C$22)/2</f>
        <v>106.45853813092046</v>
      </c>
      <c r="AA266" s="16">
        <f>Y266/'Gearing Calculator'!$C$24</f>
        <v>-11.616977857328276</v>
      </c>
      <c r="AB266" s="16">
        <f t="shared" si="31"/>
        <v>82.559821804408713</v>
      </c>
      <c r="AC266" s="16">
        <v>100</v>
      </c>
      <c r="AD266" s="16">
        <v>0</v>
      </c>
      <c r="AE266" s="16">
        <v>263</v>
      </c>
      <c r="AF266" s="16">
        <f>IF(AC266=0,IF(O266=6,INDEX(Acceleration!$V$4:$V$110,MATCH('Track Data'!S266,Acceleration!$K$4:$K$110,0)),IF('Track Data'!O266=5,INDEX(Acceleration!$U$4:$U$110,MATCH('Track Data'!S266,Acceleration!$K$4:$K$110,0)),1)),U266)</f>
        <v>-14.71670186282954</v>
      </c>
      <c r="AG266" s="16">
        <f>IF(AC266=0,IF(O266=4,INDEX(Acceleration!$T$4:$T$110,MATCH('Track Data'!S266,Acceleration!$K$4:$K$110,0)),IF('Track Data'!O266=3,INDEX(Acceleration!$S$4:$S$110,MATCH('Track Data'!S266,Acceleration!$K$4:$K$110,0)),'Track Data'!AF266)),'Track Data'!U266)</f>
        <v>-14.71670186282954</v>
      </c>
      <c r="AH266" s="16">
        <f>IF(AC266=0,IF(O266=2,INDEX(Acceleration!$R$4:$R$110,MATCH('Track Data'!S266,Acceleration!$K$4:$K$110,0)),IF('Track Data'!O266=1,INDEX(Acceleration!$Q$4:$Q$110,MATCH('Track Data'!S266,Acceleration!$K$4:$K$110,0)),'Track Data'!AG266)),'Track Data'!U266)</f>
        <v>-14.71670186282954</v>
      </c>
    </row>
    <row r="267" spans="2:34" x14ac:dyDescent="0.25">
      <c r="B267" s="16">
        <v>201.02099999999999</v>
      </c>
      <c r="C267" s="16">
        <v>7537</v>
      </c>
      <c r="D267" s="16">
        <v>264</v>
      </c>
      <c r="E267" s="113">
        <v>84</v>
      </c>
      <c r="F267" s="113">
        <v>105.2</v>
      </c>
      <c r="G267" s="113">
        <v>109.4</v>
      </c>
      <c r="H267" s="113">
        <f t="shared" si="32"/>
        <v>30.388888888888889</v>
      </c>
      <c r="I267" s="113">
        <v>-3.7</v>
      </c>
      <c r="J267" s="113">
        <v>97.58</v>
      </c>
      <c r="K267" s="113">
        <v>0</v>
      </c>
      <c r="L267" s="189"/>
      <c r="M267" s="16">
        <v>264</v>
      </c>
      <c r="N267" s="16">
        <f t="shared" si="34"/>
        <v>2.5118886324462068E-2</v>
      </c>
      <c r="O267" s="16">
        <v>6</v>
      </c>
      <c r="P267" s="16">
        <f t="shared" si="29"/>
        <v>7.3113821138211375</v>
      </c>
      <c r="Q267" s="16">
        <f t="shared" si="35"/>
        <v>39.810682172885521</v>
      </c>
      <c r="R267" s="113">
        <f t="shared" si="30"/>
        <v>311.95699999999999</v>
      </c>
      <c r="S267" s="16">
        <f>IF(S266=15800,15800,ROUND((((Q267*60)/'Gearing Calculator'!$C$14)*'Track Data'!P267),-2))</f>
        <v>8800</v>
      </c>
      <c r="T267" s="16">
        <f t="shared" si="33"/>
        <v>-14.71670186282954</v>
      </c>
      <c r="U267" s="16">
        <f>IF(AC267=100,Braking!$AG$2354,IF(AC267=50,Braking!$AG$1179,IF(AC267=75,Braking!$AG$1767,0)))</f>
        <v>-14.71670186282954</v>
      </c>
      <c r="V267" s="16">
        <f>0.5*'Gearing Calculator'!$C$15*'Gearing Calculator'!$C$20*'Gearing Calculator'!$W$20*('Track Data'!Q267^2)</f>
        <v>167.74480153106222</v>
      </c>
      <c r="W267" s="16">
        <f>('Gearing Calculator'!$U$9*'Track Data'!T267)+'Track Data'!V267</f>
        <v>-3749.8412343541609</v>
      </c>
      <c r="X267" s="16">
        <f>('Gearing Calculator'!$U$9*9.81)*('Gearing Calculator'!$U$16/'Gearing Calculator'!$C$7)-(('Track Data'!W267)*('Gearing Calculator'!$U$17/'Gearing Calculator'!$C$7))</f>
        <v>3445.0818633795925</v>
      </c>
      <c r="Y267" s="16">
        <f>('Gearing Calculator'!$U$9*9.81)*(('Gearing Calculator'!$C$7-'Gearing Calculator'!$U$16)/'Gearing Calculator'!$C$7)+(('Track Data'!W267)*('Gearing Calculator'!$U$17/'Gearing Calculator'!$C$7))</f>
        <v>-833.65986337959225</v>
      </c>
      <c r="Z267" s="16">
        <f>((X267*COS('Gearing Calculator'!$C$21))/'Gearing Calculator'!$C$22)/2</f>
        <v>106.51103535007634</v>
      </c>
      <c r="AA267" s="16">
        <f>Y267/'Gearing Calculator'!$C$24</f>
        <v>-11.640687826466609</v>
      </c>
      <c r="AB267" s="16">
        <f t="shared" si="31"/>
        <v>79.44459035408498</v>
      </c>
      <c r="AC267" s="16">
        <v>100</v>
      </c>
      <c r="AD267" s="16">
        <v>0</v>
      </c>
      <c r="AE267" s="16">
        <v>264</v>
      </c>
      <c r="AF267" s="16">
        <f>IF(AC267=0,IF(O267=6,INDEX(Acceleration!$V$4:$V$110,MATCH('Track Data'!S267,Acceleration!$K$4:$K$110,0)),IF('Track Data'!O267=5,INDEX(Acceleration!$U$4:$U$110,MATCH('Track Data'!S267,Acceleration!$K$4:$K$110,0)),1)),U267)</f>
        <v>-14.71670186282954</v>
      </c>
      <c r="AG267" s="16">
        <f>IF(AC267=0,IF(O267=4,INDEX(Acceleration!$T$4:$T$110,MATCH('Track Data'!S267,Acceleration!$K$4:$K$110,0)),IF('Track Data'!O267=3,INDEX(Acceleration!$S$4:$S$110,MATCH('Track Data'!S267,Acceleration!$K$4:$K$110,0)),'Track Data'!AF267)),'Track Data'!U267)</f>
        <v>-14.71670186282954</v>
      </c>
      <c r="AH267" s="16">
        <f>IF(AC267=0,IF(O267=2,INDEX(Acceleration!$R$4:$R$110,MATCH('Track Data'!S267,Acceleration!$K$4:$K$110,0)),IF('Track Data'!O267=1,INDEX(Acceleration!$Q$4:$Q$110,MATCH('Track Data'!S267,Acceleration!$K$4:$K$110,0)),'Track Data'!AG267)),'Track Data'!U267)</f>
        <v>-14.71670186282954</v>
      </c>
    </row>
    <row r="268" spans="2:34" x14ac:dyDescent="0.25">
      <c r="B268" s="16">
        <v>201.05600000000001</v>
      </c>
      <c r="C268" s="16">
        <v>7538</v>
      </c>
      <c r="D268" s="16">
        <v>265</v>
      </c>
      <c r="E268" s="113">
        <v>84</v>
      </c>
      <c r="F268" s="113">
        <v>105.3</v>
      </c>
      <c r="G268" s="113">
        <v>108.5</v>
      </c>
      <c r="H268" s="113">
        <f t="shared" si="32"/>
        <v>30.138888888888889</v>
      </c>
      <c r="I268" s="113">
        <v>-3.7</v>
      </c>
      <c r="J268" s="113">
        <v>96.56</v>
      </c>
      <c r="K268" s="113">
        <v>0.3</v>
      </c>
      <c r="L268" s="189"/>
      <c r="M268" s="16">
        <v>265</v>
      </c>
      <c r="N268" s="16">
        <f t="shared" si="34"/>
        <v>2.5355430785940679E-2</v>
      </c>
      <c r="O268" s="16">
        <v>6</v>
      </c>
      <c r="P268" s="16">
        <f t="shared" si="29"/>
        <v>7.3113821138211375</v>
      </c>
      <c r="Q268" s="16">
        <f t="shared" si="35"/>
        <v>39.439282591660387</v>
      </c>
      <c r="R268" s="113">
        <f t="shared" si="30"/>
        <v>311.95699999999999</v>
      </c>
      <c r="S268" s="16">
        <f>IF(S267=15800,15800,ROUND((((Q268*60)/'Gearing Calculator'!$C$14)*'Track Data'!P268),-2))</f>
        <v>8700</v>
      </c>
      <c r="T268" s="16">
        <f t="shared" si="33"/>
        <v>-14.71670186282954</v>
      </c>
      <c r="U268" s="16">
        <f>IF(AC268=100,Braking!$AG$2354,IF(AC268=50,Braking!$AG$1179,IF(AC268=75,Braking!$AG$1767,0)))</f>
        <v>-14.71670186282954</v>
      </c>
      <c r="V268" s="16">
        <f>0.5*'Gearing Calculator'!$C$15*'Gearing Calculator'!$C$20*'Gearing Calculator'!$W$20*('Track Data'!Q268^2)</f>
        <v>164.62957008073849</v>
      </c>
      <c r="W268" s="16">
        <f>('Gearing Calculator'!$U$9*'Track Data'!T268)+'Track Data'!V268</f>
        <v>-3752.9564658044847</v>
      </c>
      <c r="X268" s="16">
        <f>('Gearing Calculator'!$U$9*9.81)*('Gearing Calculator'!$U$16/'Gearing Calculator'!$C$7)-(('Track Data'!W268)*('Gearing Calculator'!$U$17/'Gearing Calculator'!$C$7))</f>
        <v>3446.7798772708038</v>
      </c>
      <c r="Y268" s="16">
        <f>('Gearing Calculator'!$U$9*9.81)*(('Gearing Calculator'!$C$7-'Gearing Calculator'!$U$16)/'Gearing Calculator'!$C$7)+(('Track Data'!W268)*('Gearing Calculator'!$U$17/'Gearing Calculator'!$C$7))</f>
        <v>-835.35787727080401</v>
      </c>
      <c r="Z268" s="16">
        <f>((X268*COS('Gearing Calculator'!$C$21))/'Gearing Calculator'!$C$22)/2</f>
        <v>106.56353256923219</v>
      </c>
      <c r="AA268" s="16">
        <f>Y268/'Gearing Calculator'!$C$24</f>
        <v>-11.664397795604945</v>
      </c>
      <c r="AB268" s="16">
        <f t="shared" si="31"/>
        <v>76.329358903761246</v>
      </c>
      <c r="AC268" s="16">
        <v>100</v>
      </c>
      <c r="AD268" s="16">
        <v>0</v>
      </c>
      <c r="AE268" s="16">
        <v>265</v>
      </c>
      <c r="AF268" s="16">
        <f>IF(AC268=0,IF(O268=6,INDEX(Acceleration!$V$4:$V$110,MATCH('Track Data'!S268,Acceleration!$K$4:$K$110,0)),IF('Track Data'!O268=5,INDEX(Acceleration!$U$4:$U$110,MATCH('Track Data'!S268,Acceleration!$K$4:$K$110,0)),1)),U268)</f>
        <v>-14.71670186282954</v>
      </c>
      <c r="AG268" s="16">
        <f>IF(AC268=0,IF(O268=4,INDEX(Acceleration!$T$4:$T$110,MATCH('Track Data'!S268,Acceleration!$K$4:$K$110,0)),IF('Track Data'!O268=3,INDEX(Acceleration!$S$4:$S$110,MATCH('Track Data'!S268,Acceleration!$K$4:$K$110,0)),'Track Data'!AF268)),'Track Data'!U268)</f>
        <v>-14.71670186282954</v>
      </c>
      <c r="AH268" s="16">
        <f>IF(AC268=0,IF(O268=2,INDEX(Acceleration!$R$4:$R$110,MATCH('Track Data'!S268,Acceleration!$K$4:$K$110,0)),IF('Track Data'!O268=1,INDEX(Acceleration!$Q$4:$Q$110,MATCH('Track Data'!S268,Acceleration!$K$4:$K$110,0)),'Track Data'!AG268)),'Track Data'!U268)</f>
        <v>-14.71670186282954</v>
      </c>
    </row>
    <row r="269" spans="2:34" x14ac:dyDescent="0.25">
      <c r="B269" s="16">
        <v>201.089</v>
      </c>
      <c r="C269" s="16">
        <v>7539</v>
      </c>
      <c r="D269" s="16">
        <v>266</v>
      </c>
      <c r="E269" s="113">
        <v>86</v>
      </c>
      <c r="F269" s="113">
        <v>104.9</v>
      </c>
      <c r="G269" s="113">
        <v>107.6</v>
      </c>
      <c r="H269" s="113">
        <f t="shared" si="32"/>
        <v>29.888888888888886</v>
      </c>
      <c r="I269" s="113">
        <v>-3.7</v>
      </c>
      <c r="J269" s="113">
        <v>96.51</v>
      </c>
      <c r="K269" s="113">
        <v>1</v>
      </c>
      <c r="L269" s="189"/>
      <c r="M269" s="16">
        <v>266</v>
      </c>
      <c r="N269" s="16">
        <f t="shared" si="34"/>
        <v>2.5598786243262915E-2</v>
      </c>
      <c r="O269" s="16">
        <v>6</v>
      </c>
      <c r="P269" s="16">
        <f t="shared" si="29"/>
        <v>7.3113821138211375</v>
      </c>
      <c r="Q269" s="16">
        <f t="shared" si="35"/>
        <v>39.064352133616488</v>
      </c>
      <c r="R269" s="113">
        <f t="shared" si="30"/>
        <v>311.95699999999999</v>
      </c>
      <c r="S269" s="16">
        <f>IF(S268=15800,15800,ROUND((((Q269*60)/'Gearing Calculator'!$C$14)*'Track Data'!P269),-2))</f>
        <v>8700</v>
      </c>
      <c r="T269" s="16">
        <f t="shared" si="33"/>
        <v>-14.71670186282954</v>
      </c>
      <c r="U269" s="16">
        <f>IF(AC269=100,Braking!$AG$2354,IF(AC269=50,Braking!$AG$1179,IF(AC269=75,Braking!$AG$1767,0)))</f>
        <v>-14.71670186282954</v>
      </c>
      <c r="V269" s="16">
        <f>0.5*'Gearing Calculator'!$C$15*'Gearing Calculator'!$C$20*'Gearing Calculator'!$W$20*('Track Data'!Q269^2)</f>
        <v>161.51433863041473</v>
      </c>
      <c r="W269" s="16">
        <f>('Gearing Calculator'!$U$9*'Track Data'!T269)+'Track Data'!V269</f>
        <v>-3756.0716972548084</v>
      </c>
      <c r="X269" s="16">
        <f>('Gearing Calculator'!$U$9*9.81)*('Gearing Calculator'!$U$16/'Gearing Calculator'!$C$7)-(('Track Data'!W269)*('Gearing Calculator'!$U$17/'Gearing Calculator'!$C$7))</f>
        <v>3448.477891162016</v>
      </c>
      <c r="Y269" s="16">
        <f>('Gearing Calculator'!$U$9*9.81)*(('Gearing Calculator'!$C$7-'Gearing Calculator'!$U$16)/'Gearing Calculator'!$C$7)+(('Track Data'!W269)*('Gearing Calculator'!$U$17/'Gearing Calculator'!$C$7))</f>
        <v>-837.05589116201577</v>
      </c>
      <c r="Z269" s="16">
        <f>((X269*COS('Gearing Calculator'!$C$21))/'Gearing Calculator'!$C$22)/2</f>
        <v>106.61602978838809</v>
      </c>
      <c r="AA269" s="16">
        <f>Y269/'Gearing Calculator'!$C$24</f>
        <v>-11.688107764743283</v>
      </c>
      <c r="AB269" s="16">
        <f t="shared" si="31"/>
        <v>73.214127453437484</v>
      </c>
      <c r="AC269" s="16">
        <v>100</v>
      </c>
      <c r="AD269" s="16">
        <v>0</v>
      </c>
      <c r="AE269" s="16">
        <v>266</v>
      </c>
      <c r="AF269" s="16">
        <f>IF(AC269=0,IF(O269=6,INDEX(Acceleration!$V$4:$V$110,MATCH('Track Data'!S269,Acceleration!$K$4:$K$110,0)),IF('Track Data'!O269=5,INDEX(Acceleration!$U$4:$U$110,MATCH('Track Data'!S269,Acceleration!$K$4:$K$110,0)),1)),U269)</f>
        <v>-14.71670186282954</v>
      </c>
      <c r="AG269" s="16">
        <f>IF(AC269=0,IF(O269=4,INDEX(Acceleration!$T$4:$T$110,MATCH('Track Data'!S269,Acceleration!$K$4:$K$110,0)),IF('Track Data'!O269=3,INDEX(Acceleration!$S$4:$S$110,MATCH('Track Data'!S269,Acceleration!$K$4:$K$110,0)),'Track Data'!AF269)),'Track Data'!U269)</f>
        <v>-14.71670186282954</v>
      </c>
      <c r="AH269" s="16">
        <f>IF(AC269=0,IF(O269=2,INDEX(Acceleration!$R$4:$R$110,MATCH('Track Data'!S269,Acceleration!$K$4:$K$110,0)),IF('Track Data'!O269=1,INDEX(Acceleration!$Q$4:$Q$110,MATCH('Track Data'!S269,Acceleration!$K$4:$K$110,0)),'Track Data'!AG269)),'Track Data'!U269)</f>
        <v>-14.71670186282954</v>
      </c>
    </row>
    <row r="270" spans="2:34" x14ac:dyDescent="0.25">
      <c r="B270" s="16">
        <v>201.124</v>
      </c>
      <c r="C270" s="16">
        <v>7540</v>
      </c>
      <c r="D270" s="16">
        <v>267</v>
      </c>
      <c r="E270" s="113">
        <v>93</v>
      </c>
      <c r="F270" s="113">
        <v>103.8</v>
      </c>
      <c r="G270" s="113">
        <v>106.4</v>
      </c>
      <c r="H270" s="113">
        <f t="shared" si="32"/>
        <v>29.555555555555557</v>
      </c>
      <c r="I270" s="113">
        <v>-2.8</v>
      </c>
      <c r="J270" s="113">
        <v>96.5</v>
      </c>
      <c r="K270" s="113">
        <v>1.7</v>
      </c>
      <c r="L270" s="189"/>
      <c r="M270" s="16">
        <v>267</v>
      </c>
      <c r="N270" s="16">
        <f t="shared" si="34"/>
        <v>2.5849285955374696E-2</v>
      </c>
      <c r="O270" s="16">
        <v>6</v>
      </c>
      <c r="P270" s="16">
        <f t="shared" si="29"/>
        <v>7.3113821138211375</v>
      </c>
      <c r="Q270" s="16">
        <f t="shared" si="35"/>
        <v>38.685788138456324</v>
      </c>
      <c r="R270" s="113">
        <f t="shared" si="30"/>
        <v>311.95699999999999</v>
      </c>
      <c r="S270" s="16">
        <f>IF(S269=15800,15800,ROUND((((Q270*60)/'Gearing Calculator'!$C$14)*'Track Data'!P270),-2))</f>
        <v>8600</v>
      </c>
      <c r="T270" s="16">
        <f t="shared" si="33"/>
        <v>-14.71670186282954</v>
      </c>
      <c r="U270" s="16">
        <f>IF(AC270=100,Braking!$AG$2354,IF(AC270=50,Braking!$AG$1179,IF(AC270=75,Braking!$AG$1767,0)))</f>
        <v>-14.71670186282954</v>
      </c>
      <c r="V270" s="16">
        <f>0.5*'Gearing Calculator'!$C$15*'Gearing Calculator'!$C$20*'Gearing Calculator'!$W$20*('Track Data'!Q270^2)</f>
        <v>158.39910718009099</v>
      </c>
      <c r="W270" s="16">
        <f>('Gearing Calculator'!$U$9*'Track Data'!T270)+'Track Data'!V270</f>
        <v>-3759.1869287051322</v>
      </c>
      <c r="X270" s="16">
        <f>('Gearing Calculator'!$U$9*9.81)*('Gearing Calculator'!$U$16/'Gearing Calculator'!$C$7)-(('Track Data'!W270)*('Gearing Calculator'!$U$17/'Gearing Calculator'!$C$7))</f>
        <v>3450.1759050532273</v>
      </c>
      <c r="Y270" s="16">
        <f>('Gearing Calculator'!$U$9*9.81)*(('Gearing Calculator'!$C$7-'Gearing Calculator'!$U$16)/'Gearing Calculator'!$C$7)+(('Track Data'!W270)*('Gearing Calculator'!$U$17/'Gearing Calculator'!$C$7))</f>
        <v>-838.75390505322753</v>
      </c>
      <c r="Z270" s="16">
        <f>((X270*COS('Gearing Calculator'!$C$21))/'Gearing Calculator'!$C$22)/2</f>
        <v>106.66852700754394</v>
      </c>
      <c r="AA270" s="16">
        <f>Y270/'Gearing Calculator'!$C$24</f>
        <v>-11.711817733881619</v>
      </c>
      <c r="AB270" s="16">
        <f t="shared" si="31"/>
        <v>70.098896003113751</v>
      </c>
      <c r="AC270" s="16">
        <v>100</v>
      </c>
      <c r="AD270" s="16">
        <v>0</v>
      </c>
      <c r="AE270" s="16">
        <v>267</v>
      </c>
      <c r="AF270" s="16">
        <f>IF(AC270=0,IF(O270=6,INDEX(Acceleration!$V$4:$V$110,MATCH('Track Data'!S270,Acceleration!$K$4:$K$110,0)),IF('Track Data'!O270=5,INDEX(Acceleration!$U$4:$U$110,MATCH('Track Data'!S270,Acceleration!$K$4:$K$110,0)),1)),U270)</f>
        <v>-14.71670186282954</v>
      </c>
      <c r="AG270" s="16">
        <f>IF(AC270=0,IF(O270=4,INDEX(Acceleration!$T$4:$T$110,MATCH('Track Data'!S270,Acceleration!$K$4:$K$110,0)),IF('Track Data'!O270=3,INDEX(Acceleration!$S$4:$S$110,MATCH('Track Data'!S270,Acceleration!$K$4:$K$110,0)),'Track Data'!AF270)),'Track Data'!U270)</f>
        <v>-14.71670186282954</v>
      </c>
      <c r="AH270" s="16">
        <f>IF(AC270=0,IF(O270=2,INDEX(Acceleration!$R$4:$R$110,MATCH('Track Data'!S270,Acceleration!$K$4:$K$110,0)),IF('Track Data'!O270=1,INDEX(Acceleration!$Q$4:$Q$110,MATCH('Track Data'!S270,Acceleration!$K$4:$K$110,0)),'Track Data'!AG270)),'Track Data'!U270)</f>
        <v>-14.71670186282954</v>
      </c>
    </row>
    <row r="271" spans="2:34" x14ac:dyDescent="0.25">
      <c r="B271" s="16">
        <v>201.15799999999999</v>
      </c>
      <c r="C271" s="16">
        <v>7541</v>
      </c>
      <c r="D271" s="16">
        <v>268</v>
      </c>
      <c r="E271" s="113">
        <v>96</v>
      </c>
      <c r="F271" s="113">
        <v>102.4</v>
      </c>
      <c r="G271" s="113">
        <v>105.5</v>
      </c>
      <c r="H271" s="113">
        <f t="shared" si="32"/>
        <v>29.305555555555554</v>
      </c>
      <c r="I271" s="113">
        <v>-1.8</v>
      </c>
      <c r="J271" s="113">
        <v>96.43</v>
      </c>
      <c r="K271" s="113">
        <v>1.3</v>
      </c>
      <c r="L271" s="189"/>
      <c r="M271" s="16">
        <v>268</v>
      </c>
      <c r="N271" s="16">
        <f t="shared" si="34"/>
        <v>2.610728646601999E-2</v>
      </c>
      <c r="O271" s="16">
        <v>6</v>
      </c>
      <c r="P271" s="16">
        <f t="shared" si="29"/>
        <v>7.3113821138211375</v>
      </c>
      <c r="Q271" s="16">
        <f t="shared" si="35"/>
        <v>38.303482872551797</v>
      </c>
      <c r="R271" s="113">
        <f t="shared" si="30"/>
        <v>311.95699999999999</v>
      </c>
      <c r="S271" s="16">
        <f>IF(S270=15800,15800,ROUND((((Q271*60)/'Gearing Calculator'!$C$14)*'Track Data'!P271),-2))</f>
        <v>8500</v>
      </c>
      <c r="T271" s="16">
        <f t="shared" si="33"/>
        <v>-14.71670186282954</v>
      </c>
      <c r="U271" s="16">
        <f>IF(AC271=100,Braking!$AG$2354,IF(AC271=50,Braking!$AG$1179,IF(AC271=75,Braking!$AG$1767,0)))</f>
        <v>-14.71670186282954</v>
      </c>
      <c r="V271" s="16">
        <f>0.5*'Gearing Calculator'!$C$15*'Gearing Calculator'!$C$20*'Gearing Calculator'!$W$20*('Track Data'!Q271^2)</f>
        <v>155.28387572976723</v>
      </c>
      <c r="W271" s="16">
        <f>('Gearing Calculator'!$U$9*'Track Data'!T271)+'Track Data'!V271</f>
        <v>-3762.302160155456</v>
      </c>
      <c r="X271" s="16">
        <f>('Gearing Calculator'!$U$9*9.81)*('Gearing Calculator'!$U$16/'Gearing Calculator'!$C$7)-(('Track Data'!W271)*('Gearing Calculator'!$U$17/'Gearing Calculator'!$C$7))</f>
        <v>3451.8739189444395</v>
      </c>
      <c r="Y271" s="16">
        <f>('Gearing Calculator'!$U$9*9.81)*(('Gearing Calculator'!$C$7-'Gearing Calculator'!$U$16)/'Gearing Calculator'!$C$7)+(('Track Data'!W271)*('Gearing Calculator'!$U$17/'Gearing Calculator'!$C$7))</f>
        <v>-840.45191894443929</v>
      </c>
      <c r="Z271" s="16">
        <f>((X271*COS('Gearing Calculator'!$C$21))/'Gearing Calculator'!$C$22)/2</f>
        <v>106.72102422669984</v>
      </c>
      <c r="AA271" s="16">
        <f>Y271/'Gearing Calculator'!$C$24</f>
        <v>-11.735527703019955</v>
      </c>
      <c r="AB271" s="16">
        <f t="shared" si="31"/>
        <v>66.983664552789989</v>
      </c>
      <c r="AC271" s="16">
        <v>100</v>
      </c>
      <c r="AD271" s="16">
        <v>0</v>
      </c>
      <c r="AE271" s="16">
        <v>268</v>
      </c>
      <c r="AF271" s="16">
        <f>IF(AC271=0,IF(O271=6,INDEX(Acceleration!$V$4:$V$110,MATCH('Track Data'!S271,Acceleration!$K$4:$K$110,0)),IF('Track Data'!O271=5,INDEX(Acceleration!$U$4:$U$110,MATCH('Track Data'!S271,Acceleration!$K$4:$K$110,0)),1)),U271)</f>
        <v>-14.71670186282954</v>
      </c>
      <c r="AG271" s="16">
        <f>IF(AC271=0,IF(O271=4,INDEX(Acceleration!$T$4:$T$110,MATCH('Track Data'!S271,Acceleration!$K$4:$K$110,0)),IF('Track Data'!O271=3,INDEX(Acceleration!$S$4:$S$110,MATCH('Track Data'!S271,Acceleration!$K$4:$K$110,0)),'Track Data'!AF271)),'Track Data'!U271)</f>
        <v>-14.71670186282954</v>
      </c>
      <c r="AH271" s="16">
        <f>IF(AC271=0,IF(O271=2,INDEX(Acceleration!$R$4:$R$110,MATCH('Track Data'!S271,Acceleration!$K$4:$K$110,0)),IF('Track Data'!O271=1,INDEX(Acceleration!$Q$4:$Q$110,MATCH('Track Data'!S271,Acceleration!$K$4:$K$110,0)),'Track Data'!AG271)),'Track Data'!U271)</f>
        <v>-14.71670186282954</v>
      </c>
    </row>
    <row r="272" spans="2:34" x14ac:dyDescent="0.25">
      <c r="B272" s="16">
        <v>201.19300000000001</v>
      </c>
      <c r="C272" s="16">
        <v>7542</v>
      </c>
      <c r="D272" s="16">
        <v>269</v>
      </c>
      <c r="E272" s="113">
        <v>100</v>
      </c>
      <c r="F272" s="113">
        <v>101.2</v>
      </c>
      <c r="G272" s="113">
        <v>104.4</v>
      </c>
      <c r="H272" s="113">
        <f t="shared" si="32"/>
        <v>29</v>
      </c>
      <c r="I272" s="113">
        <v>-1.8</v>
      </c>
      <c r="J272" s="113">
        <v>95.81</v>
      </c>
      <c r="K272" s="113">
        <v>0.7</v>
      </c>
      <c r="L272" s="189"/>
      <c r="M272" s="16">
        <v>269</v>
      </c>
      <c r="N272" s="16">
        <f t="shared" si="34"/>
        <v>2.6373169738124889E-2</v>
      </c>
      <c r="O272" s="16">
        <v>6</v>
      </c>
      <c r="P272" s="16">
        <f t="shared" si="29"/>
        <v>7.3113821138211375</v>
      </c>
      <c r="Q272" s="16">
        <f t="shared" si="35"/>
        <v>37.917323170843822</v>
      </c>
      <c r="R272" s="113">
        <f t="shared" si="30"/>
        <v>311.95699999999999</v>
      </c>
      <c r="S272" s="16">
        <f>IF(S271=15800,15800,ROUND((((Q272*60)/'Gearing Calculator'!$C$14)*'Track Data'!P272),-2))</f>
        <v>8400</v>
      </c>
      <c r="T272" s="16">
        <f t="shared" si="33"/>
        <v>-14.71670186282954</v>
      </c>
      <c r="U272" s="16">
        <f>IF(AC272=100,Braking!$AG$2354,IF(AC272=50,Braking!$AG$1179,IF(AC272=75,Braking!$AG$1767,0)))</f>
        <v>-14.71670186282954</v>
      </c>
      <c r="V272" s="16">
        <f>0.5*'Gearing Calculator'!$C$15*'Gearing Calculator'!$C$20*'Gearing Calculator'!$W$20*('Track Data'!Q272^2)</f>
        <v>152.16864427944347</v>
      </c>
      <c r="W272" s="16">
        <f>('Gearing Calculator'!$U$9*'Track Data'!T272)+'Track Data'!V272</f>
        <v>-3765.4173916057798</v>
      </c>
      <c r="X272" s="16">
        <f>('Gearing Calculator'!$U$9*9.81)*('Gearing Calculator'!$U$16/'Gearing Calculator'!$C$7)-(('Track Data'!W272)*('Gearing Calculator'!$U$17/'Gearing Calculator'!$C$7))</f>
        <v>3453.5719328356508</v>
      </c>
      <c r="Y272" s="16">
        <f>('Gearing Calculator'!$U$9*9.81)*(('Gearing Calculator'!$C$7-'Gearing Calculator'!$U$16)/'Gearing Calculator'!$C$7)+(('Track Data'!W272)*('Gearing Calculator'!$U$17/'Gearing Calculator'!$C$7))</f>
        <v>-842.14993283565104</v>
      </c>
      <c r="Z272" s="16">
        <f>((X272*COS('Gearing Calculator'!$C$21))/'Gearing Calculator'!$C$22)/2</f>
        <v>106.77352144585571</v>
      </c>
      <c r="AA272" s="16">
        <f>Y272/'Gearing Calculator'!$C$24</f>
        <v>-11.759237672158291</v>
      </c>
      <c r="AB272" s="16">
        <f t="shared" si="31"/>
        <v>63.868433102466227</v>
      </c>
      <c r="AC272" s="16">
        <v>100</v>
      </c>
      <c r="AD272" s="16">
        <v>0</v>
      </c>
      <c r="AE272" s="16">
        <v>269</v>
      </c>
      <c r="AF272" s="16">
        <f>IF(AC272=0,IF(O272=6,INDEX(Acceleration!$V$4:$V$110,MATCH('Track Data'!S272,Acceleration!$K$4:$K$110,0)),IF('Track Data'!O272=5,INDEX(Acceleration!$U$4:$U$110,MATCH('Track Data'!S272,Acceleration!$K$4:$K$110,0)),1)),U272)</f>
        <v>-14.71670186282954</v>
      </c>
      <c r="AG272" s="16">
        <f>IF(AC272=0,IF(O272=4,INDEX(Acceleration!$T$4:$T$110,MATCH('Track Data'!S272,Acceleration!$K$4:$K$110,0)),IF('Track Data'!O272=3,INDEX(Acceleration!$S$4:$S$110,MATCH('Track Data'!S272,Acceleration!$K$4:$K$110,0)),'Track Data'!AF272)),'Track Data'!U272)</f>
        <v>-14.71670186282954</v>
      </c>
      <c r="AH272" s="16">
        <f>IF(AC272=0,IF(O272=2,INDEX(Acceleration!$R$4:$R$110,MATCH('Track Data'!S272,Acceleration!$K$4:$K$110,0)),IF('Track Data'!O272=1,INDEX(Acceleration!$Q$4:$Q$110,MATCH('Track Data'!S272,Acceleration!$K$4:$K$110,0)),'Track Data'!AG272)),'Track Data'!U272)</f>
        <v>-14.71670186282954</v>
      </c>
    </row>
    <row r="273" spans="2:34" x14ac:dyDescent="0.25">
      <c r="B273" s="16">
        <v>201.22900000000001</v>
      </c>
      <c r="C273" s="16">
        <v>7543</v>
      </c>
      <c r="D273" s="16">
        <v>270</v>
      </c>
      <c r="E273" s="113">
        <v>96</v>
      </c>
      <c r="F273" s="113">
        <v>100.2</v>
      </c>
      <c r="G273" s="113">
        <v>103.5</v>
      </c>
      <c r="H273" s="113">
        <f t="shared" si="32"/>
        <v>28.75</v>
      </c>
      <c r="I273" s="113">
        <v>-0.8</v>
      </c>
      <c r="J273" s="113">
        <v>94.92</v>
      </c>
      <c r="K273" s="113">
        <v>0.9</v>
      </c>
      <c r="L273" s="189"/>
      <c r="M273" s="16">
        <v>270</v>
      </c>
      <c r="N273" s="16">
        <f t="shared" si="34"/>
        <v>2.66473455322821E-2</v>
      </c>
      <c r="O273" s="16">
        <v>6</v>
      </c>
      <c r="P273" s="16">
        <f t="shared" si="29"/>
        <v>7.3113821138211375</v>
      </c>
      <c r="Q273" s="16">
        <f t="shared" si="35"/>
        <v>37.527190045572965</v>
      </c>
      <c r="R273" s="113">
        <f t="shared" si="30"/>
        <v>311.95699999999999</v>
      </c>
      <c r="S273" s="16">
        <f>IF(S272=15800,15800,ROUND((((Q273*60)/'Gearing Calculator'!$C$14)*'Track Data'!P273),-2))</f>
        <v>8300</v>
      </c>
      <c r="T273" s="16">
        <f t="shared" si="33"/>
        <v>-14.71670186282954</v>
      </c>
      <c r="U273" s="16">
        <f>IF(AC273=100,Braking!$AG$2354,IF(AC273=50,Braking!$AG$1179,IF(AC273=75,Braking!$AG$1767,0)))</f>
        <v>-14.71670186282954</v>
      </c>
      <c r="V273" s="16">
        <f>0.5*'Gearing Calculator'!$C$15*'Gearing Calculator'!$C$20*'Gearing Calculator'!$W$20*('Track Data'!Q273^2)</f>
        <v>149.05341282911971</v>
      </c>
      <c r="W273" s="16">
        <f>('Gearing Calculator'!$U$9*'Track Data'!T273)+'Track Data'!V273</f>
        <v>-3768.5326230561036</v>
      </c>
      <c r="X273" s="16">
        <f>('Gearing Calculator'!$U$9*9.81)*('Gearing Calculator'!$U$16/'Gearing Calculator'!$C$7)-(('Track Data'!W273)*('Gearing Calculator'!$U$17/'Gearing Calculator'!$C$7))</f>
        <v>3455.2699467268631</v>
      </c>
      <c r="Y273" s="16">
        <f>('Gearing Calculator'!$U$9*9.81)*(('Gearing Calculator'!$C$7-'Gearing Calculator'!$U$16)/'Gearing Calculator'!$C$7)+(('Track Data'!W273)*('Gearing Calculator'!$U$17/'Gearing Calculator'!$C$7))</f>
        <v>-843.8479467268628</v>
      </c>
      <c r="Z273" s="16">
        <f>((X273*COS('Gearing Calculator'!$C$21))/'Gearing Calculator'!$C$22)/2</f>
        <v>106.8260186650116</v>
      </c>
      <c r="AA273" s="16">
        <f>Y273/'Gearing Calculator'!$C$24</f>
        <v>-11.782947641296628</v>
      </c>
      <c r="AB273" s="16">
        <f t="shared" si="31"/>
        <v>60.753201652142465</v>
      </c>
      <c r="AC273" s="16">
        <v>100</v>
      </c>
      <c r="AD273" s="16">
        <v>0</v>
      </c>
      <c r="AE273" s="16">
        <v>270</v>
      </c>
      <c r="AF273" s="16">
        <f>IF(AC273=0,IF(O273=6,INDEX(Acceleration!$V$4:$V$110,MATCH('Track Data'!S273,Acceleration!$K$4:$K$110,0)),IF('Track Data'!O273=5,INDEX(Acceleration!$U$4:$U$110,MATCH('Track Data'!S273,Acceleration!$K$4:$K$110,0)),1)),U273)</f>
        <v>-14.71670186282954</v>
      </c>
      <c r="AG273" s="16">
        <f>IF(AC273=0,IF(O273=4,INDEX(Acceleration!$T$4:$T$110,MATCH('Track Data'!S273,Acceleration!$K$4:$K$110,0)),IF('Track Data'!O273=3,INDEX(Acceleration!$S$4:$S$110,MATCH('Track Data'!S273,Acceleration!$K$4:$K$110,0)),'Track Data'!AF273)),'Track Data'!U273)</f>
        <v>-14.71670186282954</v>
      </c>
      <c r="AH273" s="16">
        <f>IF(AC273=0,IF(O273=2,INDEX(Acceleration!$R$4:$R$110,MATCH('Track Data'!S273,Acceleration!$K$4:$K$110,0)),IF('Track Data'!O273=1,INDEX(Acceleration!$Q$4:$Q$110,MATCH('Track Data'!S273,Acceleration!$K$4:$K$110,0)),'Track Data'!AG273)),'Track Data'!U273)</f>
        <v>-14.71670186282954</v>
      </c>
    </row>
    <row r="274" spans="2:34" x14ac:dyDescent="0.25">
      <c r="B274" s="16">
        <v>201.26499999999999</v>
      </c>
      <c r="C274" s="16">
        <v>7544</v>
      </c>
      <c r="D274" s="16">
        <v>271</v>
      </c>
      <c r="E274" s="113">
        <v>93</v>
      </c>
      <c r="F274" s="113">
        <v>98.4</v>
      </c>
      <c r="G274" s="113">
        <v>102.4</v>
      </c>
      <c r="H274" s="113">
        <f t="shared" si="32"/>
        <v>28.444444444444446</v>
      </c>
      <c r="I274" s="113">
        <v>-2.2000000000000002</v>
      </c>
      <c r="J274" s="113">
        <v>94.5</v>
      </c>
      <c r="K274" s="113">
        <v>1.5</v>
      </c>
      <c r="L274" s="189"/>
      <c r="M274" s="16">
        <v>271</v>
      </c>
      <c r="N274" s="16">
        <f t="shared" si="34"/>
        <v>2.6930254063029548E-2</v>
      </c>
      <c r="O274" s="16">
        <v>6</v>
      </c>
      <c r="P274" s="16">
        <f t="shared" si="29"/>
        <v>7.3113821138211375</v>
      </c>
      <c r="Q274" s="16">
        <f t="shared" si="35"/>
        <v>37.132958258007015</v>
      </c>
      <c r="R274" s="113">
        <f t="shared" si="30"/>
        <v>311.95699999999999</v>
      </c>
      <c r="S274" s="16">
        <f>IF(S273=15800,15800,ROUND((((Q274*60)/'Gearing Calculator'!$C$14)*'Track Data'!P274),-2))</f>
        <v>8200</v>
      </c>
      <c r="T274" s="16">
        <f t="shared" si="33"/>
        <v>-14.71670186282954</v>
      </c>
      <c r="U274" s="16">
        <f>IF(AC274=100,Braking!$AG$2354,IF(AC274=50,Braking!$AG$1179,IF(AC274=75,Braking!$AG$1767,0)))</f>
        <v>-14.71670186282954</v>
      </c>
      <c r="V274" s="16">
        <f>0.5*'Gearing Calculator'!$C$15*'Gearing Calculator'!$C$20*'Gearing Calculator'!$W$20*('Track Data'!Q274^2)</f>
        <v>145.93818137879592</v>
      </c>
      <c r="W274" s="16">
        <f>('Gearing Calculator'!$U$9*'Track Data'!T274)+'Track Data'!V274</f>
        <v>-3771.6478545064274</v>
      </c>
      <c r="X274" s="16">
        <f>('Gearing Calculator'!$U$9*9.81)*('Gearing Calculator'!$U$16/'Gearing Calculator'!$C$7)-(('Track Data'!W274)*('Gearing Calculator'!$U$17/'Gearing Calculator'!$C$7))</f>
        <v>3456.9679606180753</v>
      </c>
      <c r="Y274" s="16">
        <f>('Gearing Calculator'!$U$9*9.81)*(('Gearing Calculator'!$C$7-'Gearing Calculator'!$U$16)/'Gearing Calculator'!$C$7)+(('Track Data'!W274)*('Gearing Calculator'!$U$17/'Gearing Calculator'!$C$7))</f>
        <v>-845.54596061807501</v>
      </c>
      <c r="Z274" s="16">
        <f>((X274*COS('Gearing Calculator'!$C$21))/'Gearing Calculator'!$C$22)/2</f>
        <v>106.87851588416748</v>
      </c>
      <c r="AA274" s="16">
        <f>Y274/'Gearing Calculator'!$C$24</f>
        <v>-11.80665761043497</v>
      </c>
      <c r="AB274" s="16">
        <f t="shared" si="31"/>
        <v>57.637970201818675</v>
      </c>
      <c r="AC274" s="16">
        <v>100</v>
      </c>
      <c r="AD274" s="16">
        <v>0</v>
      </c>
      <c r="AE274" s="16">
        <v>271</v>
      </c>
      <c r="AF274" s="16">
        <f>IF(AC274=0,IF(O274=6,INDEX(Acceleration!$V$4:$V$110,MATCH('Track Data'!S274,Acceleration!$K$4:$K$110,0)),IF('Track Data'!O274=5,INDEX(Acceleration!$U$4:$U$110,MATCH('Track Data'!S274,Acceleration!$K$4:$K$110,0)),1)),U274)</f>
        <v>-14.71670186282954</v>
      </c>
      <c r="AG274" s="16">
        <f>IF(AC274=0,IF(O274=4,INDEX(Acceleration!$T$4:$T$110,MATCH('Track Data'!S274,Acceleration!$K$4:$K$110,0)),IF('Track Data'!O274=3,INDEX(Acceleration!$S$4:$S$110,MATCH('Track Data'!S274,Acceleration!$K$4:$K$110,0)),'Track Data'!AF274)),'Track Data'!U274)</f>
        <v>-14.71670186282954</v>
      </c>
      <c r="AH274" s="16">
        <f>IF(AC274=0,IF(O274=2,INDEX(Acceleration!$R$4:$R$110,MATCH('Track Data'!S274,Acceleration!$K$4:$K$110,0)),IF('Track Data'!O274=1,INDEX(Acceleration!$Q$4:$Q$110,MATCH('Track Data'!S274,Acceleration!$K$4:$K$110,0)),'Track Data'!AG274)),'Track Data'!U274)</f>
        <v>-14.71670186282954</v>
      </c>
    </row>
    <row r="275" spans="2:34" x14ac:dyDescent="0.25">
      <c r="B275" s="16">
        <v>201.30099999999999</v>
      </c>
      <c r="C275" s="16">
        <v>7545</v>
      </c>
      <c r="D275" s="16">
        <v>272</v>
      </c>
      <c r="E275" s="113">
        <v>92</v>
      </c>
      <c r="F275" s="113">
        <v>97.1</v>
      </c>
      <c r="G275" s="113">
        <v>101.2</v>
      </c>
      <c r="H275" s="113">
        <f t="shared" si="32"/>
        <v>28.111111111111111</v>
      </c>
      <c r="I275" s="113">
        <v>-2.2999999999999998</v>
      </c>
      <c r="J275" s="113">
        <v>92.93</v>
      </c>
      <c r="K275" s="113">
        <v>1.8</v>
      </c>
      <c r="L275" s="189"/>
      <c r="M275" s="16">
        <v>272</v>
      </c>
      <c r="N275" s="16">
        <f t="shared" si="34"/>
        <v>2.7222368972099766E-2</v>
      </c>
      <c r="O275" s="16">
        <v>6</v>
      </c>
      <c r="P275" s="16">
        <f t="shared" si="29"/>
        <v>7.3113821138211375</v>
      </c>
      <c r="Q275" s="16">
        <f t="shared" si="35"/>
        <v>36.7344958487963</v>
      </c>
      <c r="R275" s="113">
        <f t="shared" si="30"/>
        <v>311.95699999999999</v>
      </c>
      <c r="S275" s="16">
        <f>IF(S274=15800,15800,ROUND((((Q275*60)/'Gearing Calculator'!$C$14)*'Track Data'!P275),-2))</f>
        <v>8100</v>
      </c>
      <c r="T275" s="16">
        <f t="shared" si="33"/>
        <v>-14.71670186282954</v>
      </c>
      <c r="U275" s="16">
        <f>IF(AC275=100,Braking!$AG$2354,IF(AC275=50,Braking!$AG$1179,IF(AC275=75,Braking!$AG$1767,0)))</f>
        <v>-14.71670186282954</v>
      </c>
      <c r="V275" s="16">
        <f>0.5*'Gearing Calculator'!$C$15*'Gearing Calculator'!$C$20*'Gearing Calculator'!$W$20*('Track Data'!Q275^2)</f>
        <v>142.82294992847221</v>
      </c>
      <c r="W275" s="16">
        <f>('Gearing Calculator'!$U$9*'Track Data'!T275)+'Track Data'!V275</f>
        <v>-3774.7630859567512</v>
      </c>
      <c r="X275" s="16">
        <f>('Gearing Calculator'!$U$9*9.81)*('Gearing Calculator'!$U$16/'Gearing Calculator'!$C$7)-(('Track Data'!W275)*('Gearing Calculator'!$U$17/'Gearing Calculator'!$C$7))</f>
        <v>3458.6659745092866</v>
      </c>
      <c r="Y275" s="16">
        <f>('Gearing Calculator'!$U$9*9.81)*(('Gearing Calculator'!$C$7-'Gearing Calculator'!$U$16)/'Gearing Calculator'!$C$7)+(('Track Data'!W275)*('Gearing Calculator'!$U$17/'Gearing Calculator'!$C$7))</f>
        <v>-847.24397450928677</v>
      </c>
      <c r="Z275" s="16">
        <f>((X275*COS('Gearing Calculator'!$C$21))/'Gearing Calculator'!$C$22)/2</f>
        <v>106.93101310332335</v>
      </c>
      <c r="AA275" s="16">
        <f>Y275/'Gearing Calculator'!$C$24</f>
        <v>-11.830367579573307</v>
      </c>
      <c r="AB275" s="16">
        <f t="shared" si="31"/>
        <v>54.52273875149497</v>
      </c>
      <c r="AC275" s="16">
        <v>100</v>
      </c>
      <c r="AD275" s="16">
        <v>0</v>
      </c>
      <c r="AE275" s="16">
        <v>272</v>
      </c>
      <c r="AF275" s="16">
        <f>IF(AC275=0,IF(O275=6,INDEX(Acceleration!$V$4:$V$110,MATCH('Track Data'!S275,Acceleration!$K$4:$K$110,0)),IF('Track Data'!O275=5,INDEX(Acceleration!$U$4:$U$110,MATCH('Track Data'!S275,Acceleration!$K$4:$K$110,0)),1)),U275)</f>
        <v>-14.71670186282954</v>
      </c>
      <c r="AG275" s="16">
        <f>IF(AC275=0,IF(O275=4,INDEX(Acceleration!$T$4:$T$110,MATCH('Track Data'!S275,Acceleration!$K$4:$K$110,0)),IF('Track Data'!O275=3,INDEX(Acceleration!$S$4:$S$110,MATCH('Track Data'!S275,Acceleration!$K$4:$K$110,0)),'Track Data'!AF275)),'Track Data'!U275)</f>
        <v>-14.71670186282954</v>
      </c>
      <c r="AH275" s="16">
        <f>IF(AC275=0,IF(O275=2,INDEX(Acceleration!$R$4:$R$110,MATCH('Track Data'!S275,Acceleration!$K$4:$K$110,0)),IF('Track Data'!O275=1,INDEX(Acceleration!$Q$4:$Q$110,MATCH('Track Data'!S275,Acceleration!$K$4:$K$110,0)),'Track Data'!AG275)),'Track Data'!U275)</f>
        <v>-14.71670186282954</v>
      </c>
    </row>
    <row r="276" spans="2:34" x14ac:dyDescent="0.25">
      <c r="B276" s="16">
        <v>201.33799999999999</v>
      </c>
      <c r="C276" s="16">
        <v>7546</v>
      </c>
      <c r="D276" s="16">
        <v>273</v>
      </c>
      <c r="E276" s="113">
        <v>91</v>
      </c>
      <c r="F276" s="113">
        <v>96.5</v>
      </c>
      <c r="G276" s="113">
        <v>100.4</v>
      </c>
      <c r="H276" s="113">
        <f t="shared" si="32"/>
        <v>27.888888888888889</v>
      </c>
      <c r="I276" s="113">
        <v>-3.5</v>
      </c>
      <c r="J276" s="113">
        <v>92.79</v>
      </c>
      <c r="K276" s="113">
        <v>1.8</v>
      </c>
      <c r="L276" s="189"/>
      <c r="M276" s="16">
        <v>273</v>
      </c>
      <c r="N276" s="16">
        <f t="shared" si="34"/>
        <v>2.7524200664333098E-2</v>
      </c>
      <c r="O276" s="16">
        <v>6</v>
      </c>
      <c r="P276" s="16">
        <f t="shared" si="29"/>
        <v>7.3113821138211375</v>
      </c>
      <c r="Q276" s="16">
        <f t="shared" si="35"/>
        <v>36.331663621964431</v>
      </c>
      <c r="R276" s="113">
        <f t="shared" si="30"/>
        <v>311.95699999999999</v>
      </c>
      <c r="S276" s="16">
        <f>IF(S275=15800,15800,ROUND((((Q276*60)/'Gearing Calculator'!$C$14)*'Track Data'!P276),-2))</f>
        <v>8100</v>
      </c>
      <c r="T276" s="16">
        <f t="shared" si="33"/>
        <v>-14.71670186282954</v>
      </c>
      <c r="U276" s="16">
        <f>IF(AC276=100,Braking!$AG$2354,IF(AC276=50,Braking!$AG$1179,IF(AC276=75,Braking!$AG$1767,0)))</f>
        <v>-14.71670186282954</v>
      </c>
      <c r="V276" s="16">
        <f>0.5*'Gearing Calculator'!$C$15*'Gearing Calculator'!$C$20*'Gearing Calculator'!$W$20*('Track Data'!Q276^2)</f>
        <v>139.70771847814845</v>
      </c>
      <c r="W276" s="16">
        <f>('Gearing Calculator'!$U$9*'Track Data'!T276)+'Track Data'!V276</f>
        <v>-3777.878317407075</v>
      </c>
      <c r="X276" s="16">
        <f>('Gearing Calculator'!$U$9*9.81)*('Gearing Calculator'!$U$16/'Gearing Calculator'!$C$7)-(('Track Data'!W276)*('Gearing Calculator'!$U$17/'Gearing Calculator'!$C$7))</f>
        <v>3460.3639884004988</v>
      </c>
      <c r="Y276" s="16">
        <f>('Gearing Calculator'!$U$9*9.81)*(('Gearing Calculator'!$C$7-'Gearing Calculator'!$U$16)/'Gearing Calculator'!$C$7)+(('Track Data'!W276)*('Gearing Calculator'!$U$17/'Gearing Calculator'!$C$7))</f>
        <v>-848.94198840049853</v>
      </c>
      <c r="Z276" s="16">
        <f>((X276*COS('Gearing Calculator'!$C$21))/'Gearing Calculator'!$C$22)/2</f>
        <v>106.98351032247925</v>
      </c>
      <c r="AA276" s="16">
        <f>Y276/'Gearing Calculator'!$C$24</f>
        <v>-11.854077548711643</v>
      </c>
      <c r="AB276" s="16">
        <f t="shared" si="31"/>
        <v>51.407507301171208</v>
      </c>
      <c r="AC276" s="16">
        <v>100</v>
      </c>
      <c r="AD276" s="16">
        <v>0</v>
      </c>
      <c r="AE276" s="16">
        <v>273</v>
      </c>
      <c r="AF276" s="16">
        <f>IF(AC276=0,IF(O276=6,INDEX(Acceleration!$V$4:$V$110,MATCH('Track Data'!S276,Acceleration!$K$4:$K$110,0)),IF('Track Data'!O276=5,INDEX(Acceleration!$U$4:$U$110,MATCH('Track Data'!S276,Acceleration!$K$4:$K$110,0)),1)),U276)</f>
        <v>-14.71670186282954</v>
      </c>
      <c r="AG276" s="16">
        <f>IF(AC276=0,IF(O276=4,INDEX(Acceleration!$T$4:$T$110,MATCH('Track Data'!S276,Acceleration!$K$4:$K$110,0)),IF('Track Data'!O276=3,INDEX(Acceleration!$S$4:$S$110,MATCH('Track Data'!S276,Acceleration!$K$4:$K$110,0)),'Track Data'!AF276)),'Track Data'!U276)</f>
        <v>-14.71670186282954</v>
      </c>
      <c r="AH276" s="16">
        <f>IF(AC276=0,IF(O276=2,INDEX(Acceleration!$R$4:$R$110,MATCH('Track Data'!S276,Acceleration!$K$4:$K$110,0)),IF('Track Data'!O276=1,INDEX(Acceleration!$Q$4:$Q$110,MATCH('Track Data'!S276,Acceleration!$K$4:$K$110,0)),'Track Data'!AG276)),'Track Data'!U276)</f>
        <v>-14.71670186282954</v>
      </c>
    </row>
    <row r="277" spans="2:34" x14ac:dyDescent="0.25">
      <c r="B277" s="16">
        <v>201.376</v>
      </c>
      <c r="C277" s="16">
        <v>7547</v>
      </c>
      <c r="D277" s="16">
        <v>274</v>
      </c>
      <c r="E277" s="113">
        <v>90</v>
      </c>
      <c r="F277" s="113">
        <v>95.9</v>
      </c>
      <c r="G277" s="113">
        <v>99</v>
      </c>
      <c r="H277" s="113">
        <f t="shared" si="32"/>
        <v>27.5</v>
      </c>
      <c r="I277" s="113">
        <v>-3.6</v>
      </c>
      <c r="J277" s="113">
        <v>92.19</v>
      </c>
      <c r="K277" s="113">
        <v>1.8</v>
      </c>
      <c r="L277" s="189"/>
      <c r="M277" s="16">
        <v>274</v>
      </c>
      <c r="N277" s="16">
        <f t="shared" si="34"/>
        <v>2.7836300059720643E-2</v>
      </c>
      <c r="O277" s="16">
        <v>6</v>
      </c>
      <c r="P277" s="16">
        <f t="shared" si="29"/>
        <v>7.3113821138211375</v>
      </c>
      <c r="Q277" s="16">
        <f t="shared" si="35"/>
        <v>35.924314576814332</v>
      </c>
      <c r="R277" s="113">
        <f t="shared" si="30"/>
        <v>311.95699999999999</v>
      </c>
      <c r="S277" s="16">
        <f>IF(S276=15800,15800,ROUND((((Q277*60)/'Gearing Calculator'!$C$14)*'Track Data'!P277),-2))</f>
        <v>8000</v>
      </c>
      <c r="T277" s="16">
        <f t="shared" si="33"/>
        <v>-14.71670186282954</v>
      </c>
      <c r="U277" s="16">
        <f>IF(AC277=100,Braking!$AG$2354,IF(AC277=50,Braking!$AG$1179,IF(AC277=75,Braking!$AG$1767,0)))</f>
        <v>-14.71670186282954</v>
      </c>
      <c r="V277" s="16">
        <f>0.5*'Gearing Calculator'!$C$15*'Gearing Calculator'!$C$20*'Gearing Calculator'!$W$20*('Track Data'!Q277^2)</f>
        <v>136.59248702782472</v>
      </c>
      <c r="W277" s="16">
        <f>('Gearing Calculator'!$U$9*'Track Data'!T277)+'Track Data'!V277</f>
        <v>-3780.9935488573988</v>
      </c>
      <c r="X277" s="16">
        <f>('Gearing Calculator'!$U$9*9.81)*('Gearing Calculator'!$U$16/'Gearing Calculator'!$C$7)-(('Track Data'!W277)*('Gearing Calculator'!$U$17/'Gearing Calculator'!$C$7))</f>
        <v>3462.0620022917101</v>
      </c>
      <c r="Y277" s="16">
        <f>('Gearing Calculator'!$U$9*9.81)*(('Gearing Calculator'!$C$7-'Gearing Calculator'!$U$16)/'Gearing Calculator'!$C$7)+(('Track Data'!W277)*('Gearing Calculator'!$U$17/'Gearing Calculator'!$C$7))</f>
        <v>-850.64000229171029</v>
      </c>
      <c r="Z277" s="16">
        <f>((X277*COS('Gearing Calculator'!$C$21))/'Gearing Calculator'!$C$22)/2</f>
        <v>107.0360075416351</v>
      </c>
      <c r="AA277" s="16">
        <f>Y277/'Gearing Calculator'!$C$24</f>
        <v>-11.877787517849979</v>
      </c>
      <c r="AB277" s="16">
        <f t="shared" si="31"/>
        <v>48.292275850847474</v>
      </c>
      <c r="AC277" s="16">
        <v>100</v>
      </c>
      <c r="AD277" s="16">
        <v>0</v>
      </c>
      <c r="AE277" s="16">
        <v>274</v>
      </c>
      <c r="AF277" s="16">
        <f>IF(AC277=0,IF(O277=6,INDEX(Acceleration!$V$4:$V$110,MATCH('Track Data'!S277,Acceleration!$K$4:$K$110,0)),IF('Track Data'!O277=5,INDEX(Acceleration!$U$4:$U$110,MATCH('Track Data'!S277,Acceleration!$K$4:$K$110,0)),1)),U277)</f>
        <v>-14.71670186282954</v>
      </c>
      <c r="AG277" s="16">
        <f>IF(AC277=0,IF(O277=4,INDEX(Acceleration!$T$4:$T$110,MATCH('Track Data'!S277,Acceleration!$K$4:$K$110,0)),IF('Track Data'!O277=3,INDEX(Acceleration!$S$4:$S$110,MATCH('Track Data'!S277,Acceleration!$K$4:$K$110,0)),'Track Data'!AF277)),'Track Data'!U277)</f>
        <v>-14.71670186282954</v>
      </c>
      <c r="AH277" s="16">
        <f>IF(AC277=0,IF(O277=2,INDEX(Acceleration!$R$4:$R$110,MATCH('Track Data'!S277,Acceleration!$K$4:$K$110,0)),IF('Track Data'!O277=1,INDEX(Acceleration!$Q$4:$Q$110,MATCH('Track Data'!S277,Acceleration!$K$4:$K$110,0)),'Track Data'!AG277)),'Track Data'!U277)</f>
        <v>-14.71670186282954</v>
      </c>
    </row>
    <row r="278" spans="2:34" x14ac:dyDescent="0.25">
      <c r="B278" s="16">
        <v>201.41200000000001</v>
      </c>
      <c r="C278" s="16">
        <v>7548</v>
      </c>
      <c r="D278" s="16">
        <v>275</v>
      </c>
      <c r="E278" s="113">
        <v>88</v>
      </c>
      <c r="F278" s="113">
        <v>95.5</v>
      </c>
      <c r="G278" s="113">
        <v>97.7</v>
      </c>
      <c r="H278" s="113">
        <f t="shared" si="32"/>
        <v>27.138888888888889</v>
      </c>
      <c r="I278" s="113">
        <v>-3.7</v>
      </c>
      <c r="J278" s="113">
        <v>90.5</v>
      </c>
      <c r="K278" s="113">
        <v>1.8</v>
      </c>
      <c r="L278" s="189"/>
      <c r="M278" s="16">
        <v>275</v>
      </c>
      <c r="N278" s="16">
        <f t="shared" si="34"/>
        <v>2.8159262824349083E-2</v>
      </c>
      <c r="O278" s="16">
        <v>6</v>
      </c>
      <c r="P278" s="16">
        <f t="shared" si="29"/>
        <v>7.3113821138211375</v>
      </c>
      <c r="Q278" s="16">
        <f t="shared" si="35"/>
        <v>35.512293281175964</v>
      </c>
      <c r="R278" s="113">
        <f t="shared" si="30"/>
        <v>311.95699999999999</v>
      </c>
      <c r="S278" s="16">
        <f>IF(S277=15800,15800,ROUND((((Q278*60)/'Gearing Calculator'!$C$14)*'Track Data'!P278),-2))</f>
        <v>7900</v>
      </c>
      <c r="T278" s="16">
        <f t="shared" si="33"/>
        <v>-14.71670186282954</v>
      </c>
      <c r="U278" s="16">
        <f>IF(AC278=100,Braking!$AG$2354,IF(AC278=50,Braking!$AG$1179,IF(AC278=75,Braking!$AG$1767,0)))</f>
        <v>-14.71670186282954</v>
      </c>
      <c r="V278" s="16">
        <f>0.5*'Gearing Calculator'!$C$15*'Gearing Calculator'!$C$20*'Gearing Calculator'!$W$20*('Track Data'!Q278^2)</f>
        <v>133.47725557750096</v>
      </c>
      <c r="W278" s="16">
        <f>('Gearing Calculator'!$U$9*'Track Data'!T278)+'Track Data'!V278</f>
        <v>-3784.1087803077226</v>
      </c>
      <c r="X278" s="16">
        <f>('Gearing Calculator'!$U$9*9.81)*('Gearing Calculator'!$U$16/'Gearing Calculator'!$C$7)-(('Track Data'!W278)*('Gearing Calculator'!$U$17/'Gearing Calculator'!$C$7))</f>
        <v>3463.7600161829223</v>
      </c>
      <c r="Y278" s="16">
        <f>('Gearing Calculator'!$U$9*9.81)*(('Gearing Calculator'!$C$7-'Gearing Calculator'!$U$16)/'Gearing Calculator'!$C$7)+(('Track Data'!W278)*('Gearing Calculator'!$U$17/'Gearing Calculator'!$C$7))</f>
        <v>-852.33801618292205</v>
      </c>
      <c r="Z278" s="16">
        <f>((X278*COS('Gearing Calculator'!$C$21))/'Gearing Calculator'!$C$22)/2</f>
        <v>107.088504760791</v>
      </c>
      <c r="AA278" s="16">
        <f>Y278/'Gearing Calculator'!$C$24</f>
        <v>-11.901497486988315</v>
      </c>
      <c r="AB278" s="16">
        <f t="shared" si="31"/>
        <v>45.177044400523712</v>
      </c>
      <c r="AC278" s="16">
        <v>100</v>
      </c>
      <c r="AD278" s="16">
        <v>0</v>
      </c>
      <c r="AE278" s="16">
        <v>275</v>
      </c>
      <c r="AF278" s="16">
        <f>IF(AC278=0,IF(O278=6,INDEX(Acceleration!$V$4:$V$110,MATCH('Track Data'!S278,Acceleration!$K$4:$K$110,0)),IF('Track Data'!O278=5,INDEX(Acceleration!$U$4:$U$110,MATCH('Track Data'!S278,Acceleration!$K$4:$K$110,0)),1)),U278)</f>
        <v>-14.71670186282954</v>
      </c>
      <c r="AG278" s="16">
        <f>IF(AC278=0,IF(O278=4,INDEX(Acceleration!$T$4:$T$110,MATCH('Track Data'!S278,Acceleration!$K$4:$K$110,0)),IF('Track Data'!O278=3,INDEX(Acceleration!$S$4:$S$110,MATCH('Track Data'!S278,Acceleration!$K$4:$K$110,0)),'Track Data'!AF278)),'Track Data'!U278)</f>
        <v>-14.71670186282954</v>
      </c>
      <c r="AH278" s="16">
        <f>IF(AC278=0,IF(O278=2,INDEX(Acceleration!$R$4:$R$110,MATCH('Track Data'!S278,Acceleration!$K$4:$K$110,0)),IF('Track Data'!O278=1,INDEX(Acceleration!$Q$4:$Q$110,MATCH('Track Data'!S278,Acceleration!$K$4:$K$110,0)),'Track Data'!AG278)),'Track Data'!U278)</f>
        <v>-14.71670186282954</v>
      </c>
    </row>
    <row r="279" spans="2:34" x14ac:dyDescent="0.25">
      <c r="B279" s="16">
        <v>201.45</v>
      </c>
      <c r="C279" s="16">
        <v>7549</v>
      </c>
      <c r="D279" s="16">
        <v>276</v>
      </c>
      <c r="E279" s="113">
        <v>87</v>
      </c>
      <c r="F279" s="113">
        <v>94.7</v>
      </c>
      <c r="G279" s="113">
        <v>96.4</v>
      </c>
      <c r="H279" s="113">
        <f t="shared" si="32"/>
        <v>26.777777777777779</v>
      </c>
      <c r="I279" s="113">
        <v>-3.4</v>
      </c>
      <c r="J279" s="113">
        <v>89.49</v>
      </c>
      <c r="K279" s="113">
        <v>1.1000000000000001</v>
      </c>
      <c r="L279" s="189"/>
      <c r="M279" s="16">
        <v>276</v>
      </c>
      <c r="N279" s="16">
        <f t="shared" si="34"/>
        <v>2.849373415420501E-2</v>
      </c>
      <c r="O279" s="16">
        <v>6</v>
      </c>
      <c r="P279" s="16">
        <f t="shared" si="29"/>
        <v>7.3113821138211375</v>
      </c>
      <c r="Q279" s="16">
        <f t="shared" si="35"/>
        <v>35.095435178418811</v>
      </c>
      <c r="R279" s="113">
        <f t="shared" si="30"/>
        <v>311.95699999999999</v>
      </c>
      <c r="S279" s="16">
        <f>IF(S278=15800,15800,ROUND((((Q279*60)/'Gearing Calculator'!$C$14)*'Track Data'!P279),-2))</f>
        <v>7800</v>
      </c>
      <c r="T279" s="16">
        <f t="shared" si="33"/>
        <v>-14.71670186282954</v>
      </c>
      <c r="U279" s="16">
        <f>IF(AC279=100,Braking!$AG$2354,IF(AC279=50,Braking!$AG$1179,IF(AC279=75,Braking!$AG$1767,0)))</f>
        <v>-14.71670186282954</v>
      </c>
      <c r="V279" s="16">
        <f>0.5*'Gearing Calculator'!$C$15*'Gearing Calculator'!$C$20*'Gearing Calculator'!$W$20*('Track Data'!Q279^2)</f>
        <v>130.36202412717722</v>
      </c>
      <c r="W279" s="16">
        <f>('Gearing Calculator'!$U$9*'Track Data'!T279)+'Track Data'!V279</f>
        <v>-3787.2240117580459</v>
      </c>
      <c r="X279" s="16">
        <f>('Gearing Calculator'!$U$9*9.81)*('Gearing Calculator'!$U$16/'Gearing Calculator'!$C$7)-(('Track Data'!W279)*('Gearing Calculator'!$U$17/'Gearing Calculator'!$C$7))</f>
        <v>3465.4580300741336</v>
      </c>
      <c r="Y279" s="16">
        <f>('Gearing Calculator'!$U$9*9.81)*(('Gearing Calculator'!$C$7-'Gearing Calculator'!$U$16)/'Gearing Calculator'!$C$7)+(('Track Data'!W279)*('Gearing Calculator'!$U$17/'Gearing Calculator'!$C$7))</f>
        <v>-854.03603007413381</v>
      </c>
      <c r="Z279" s="16">
        <f>((X279*COS('Gearing Calculator'!$C$21))/'Gearing Calculator'!$C$22)/2</f>
        <v>107.14100197994686</v>
      </c>
      <c r="AA279" s="16">
        <f>Y279/'Gearing Calculator'!$C$24</f>
        <v>-11.925207456126653</v>
      </c>
      <c r="AB279" s="16">
        <f t="shared" si="31"/>
        <v>42.061812950199979</v>
      </c>
      <c r="AC279" s="16">
        <v>100</v>
      </c>
      <c r="AD279" s="16">
        <v>0</v>
      </c>
      <c r="AE279" s="16">
        <v>276</v>
      </c>
      <c r="AF279" s="16">
        <f>IF(AC279=0,IF(O279=6,INDEX(Acceleration!$V$4:$V$110,MATCH('Track Data'!S279,Acceleration!$K$4:$K$110,0)),IF('Track Data'!O279=5,INDEX(Acceleration!$U$4:$U$110,MATCH('Track Data'!S279,Acceleration!$K$4:$K$110,0)),1)),U279)</f>
        <v>-14.71670186282954</v>
      </c>
      <c r="AG279" s="16">
        <f>IF(AC279=0,IF(O279=4,INDEX(Acceleration!$T$4:$T$110,MATCH('Track Data'!S279,Acceleration!$K$4:$K$110,0)),IF('Track Data'!O279=3,INDEX(Acceleration!$S$4:$S$110,MATCH('Track Data'!S279,Acceleration!$K$4:$K$110,0)),'Track Data'!AF279)),'Track Data'!U279)</f>
        <v>-14.71670186282954</v>
      </c>
      <c r="AH279" s="16">
        <f>IF(AC279=0,IF(O279=2,INDEX(Acceleration!$R$4:$R$110,MATCH('Track Data'!S279,Acceleration!$K$4:$K$110,0)),IF('Track Data'!O279=1,INDEX(Acceleration!$Q$4:$Q$110,MATCH('Track Data'!S279,Acceleration!$K$4:$K$110,0)),'Track Data'!AG279)),'Track Data'!U279)</f>
        <v>-14.71670186282954</v>
      </c>
    </row>
    <row r="280" spans="2:34" x14ac:dyDescent="0.25">
      <c r="B280" s="16">
        <v>201.488</v>
      </c>
      <c r="C280" s="16">
        <v>7550</v>
      </c>
      <c r="D280" s="16">
        <v>277</v>
      </c>
      <c r="E280" s="113">
        <v>86</v>
      </c>
      <c r="F280" s="113">
        <v>93.9</v>
      </c>
      <c r="G280" s="113">
        <v>95.5</v>
      </c>
      <c r="H280" s="113">
        <f t="shared" si="32"/>
        <v>26.527777777777779</v>
      </c>
      <c r="I280" s="113">
        <v>-2.7</v>
      </c>
      <c r="J280" s="113">
        <v>89.16</v>
      </c>
      <c r="K280" s="113">
        <v>-0.1</v>
      </c>
      <c r="L280" s="189"/>
      <c r="M280" s="16">
        <v>277</v>
      </c>
      <c r="N280" s="16">
        <f t="shared" si="34"/>
        <v>2.8840414199296231E-2</v>
      </c>
      <c r="O280" s="16">
        <v>6</v>
      </c>
      <c r="P280" s="16">
        <f t="shared" si="29"/>
        <v>7.3113821138211375</v>
      </c>
      <c r="Q280" s="16">
        <f t="shared" si="35"/>
        <v>34.673565819467399</v>
      </c>
      <c r="R280" s="113">
        <f t="shared" si="30"/>
        <v>311.95699999999999</v>
      </c>
      <c r="S280" s="16">
        <f>IF(S279=15800,15800,ROUND((((Q280*60)/'Gearing Calculator'!$C$14)*'Track Data'!P280),-2))</f>
        <v>7700</v>
      </c>
      <c r="T280" s="16">
        <f t="shared" si="33"/>
        <v>-14.71670186282954</v>
      </c>
      <c r="U280" s="16">
        <f>IF(AC280=100,Braking!$AG$2354,IF(AC280=50,Braking!$AG$1179,IF(AC280=75,Braking!$AG$1767,0)))</f>
        <v>-14.71670186282954</v>
      </c>
      <c r="V280" s="16">
        <f>0.5*'Gearing Calculator'!$C$15*'Gearing Calculator'!$C$20*'Gearing Calculator'!$W$20*('Track Data'!Q280^2)</f>
        <v>127.2467926768535</v>
      </c>
      <c r="W280" s="16">
        <f>('Gearing Calculator'!$U$9*'Track Data'!T280)+'Track Data'!V280</f>
        <v>-3790.3392432083697</v>
      </c>
      <c r="X280" s="16">
        <f>('Gearing Calculator'!$U$9*9.81)*('Gearing Calculator'!$U$16/'Gearing Calculator'!$C$7)-(('Track Data'!W280)*('Gearing Calculator'!$U$17/'Gearing Calculator'!$C$7))</f>
        <v>3467.1560439653458</v>
      </c>
      <c r="Y280" s="16">
        <f>('Gearing Calculator'!$U$9*9.81)*(('Gearing Calculator'!$C$7-'Gearing Calculator'!$U$16)/'Gearing Calculator'!$C$7)+(('Track Data'!W280)*('Gearing Calculator'!$U$17/'Gearing Calculator'!$C$7))</f>
        <v>-855.73404396534556</v>
      </c>
      <c r="Z280" s="16">
        <f>((X280*COS('Gearing Calculator'!$C$21))/'Gearing Calculator'!$C$22)/2</f>
        <v>107.19349919910275</v>
      </c>
      <c r="AA280" s="16">
        <f>Y280/'Gearing Calculator'!$C$24</f>
        <v>-11.948917425264989</v>
      </c>
      <c r="AB280" s="16">
        <f t="shared" si="31"/>
        <v>38.94658149987626</v>
      </c>
      <c r="AC280" s="16">
        <v>100</v>
      </c>
      <c r="AD280" s="16">
        <v>0</v>
      </c>
      <c r="AE280" s="16">
        <v>277</v>
      </c>
      <c r="AF280" s="16">
        <f>IF(AC280=0,IF(O280=6,INDEX(Acceleration!$V$4:$V$110,MATCH('Track Data'!S280,Acceleration!$K$4:$K$110,0)),IF('Track Data'!O280=5,INDEX(Acceleration!$U$4:$U$110,MATCH('Track Data'!S280,Acceleration!$K$4:$K$110,0)),1)),U280)</f>
        <v>-14.71670186282954</v>
      </c>
      <c r="AG280" s="16">
        <f>IF(AC280=0,IF(O280=4,INDEX(Acceleration!$T$4:$T$110,MATCH('Track Data'!S280,Acceleration!$K$4:$K$110,0)),IF('Track Data'!O280=3,INDEX(Acceleration!$S$4:$S$110,MATCH('Track Data'!S280,Acceleration!$K$4:$K$110,0)),'Track Data'!AF280)),'Track Data'!U280)</f>
        <v>-14.71670186282954</v>
      </c>
      <c r="AH280" s="16">
        <f>IF(AC280=0,IF(O280=2,INDEX(Acceleration!$R$4:$R$110,MATCH('Track Data'!S280,Acceleration!$K$4:$K$110,0)),IF('Track Data'!O280=1,INDEX(Acceleration!$Q$4:$Q$110,MATCH('Track Data'!S280,Acceleration!$K$4:$K$110,0)),'Track Data'!AG280)),'Track Data'!U280)</f>
        <v>-14.71670186282954</v>
      </c>
    </row>
    <row r="281" spans="2:34" x14ac:dyDescent="0.25">
      <c r="B281" s="16">
        <v>201.52600000000001</v>
      </c>
      <c r="C281" s="16">
        <v>7551</v>
      </c>
      <c r="D281" s="16">
        <v>278</v>
      </c>
      <c r="E281" s="113">
        <v>86</v>
      </c>
      <c r="F281" s="113">
        <v>93.6</v>
      </c>
      <c r="G281" s="113">
        <v>94.2</v>
      </c>
      <c r="H281" s="113">
        <f t="shared" si="32"/>
        <v>26.166666666666668</v>
      </c>
      <c r="I281" s="113">
        <v>-1.6</v>
      </c>
      <c r="J281" s="113">
        <v>89.13</v>
      </c>
      <c r="K281" s="113">
        <v>-1.9</v>
      </c>
      <c r="L281" s="189"/>
      <c r="M281" s="16">
        <v>278</v>
      </c>
      <c r="N281" s="16">
        <f t="shared" si="34"/>
        <v>2.9200064231909312E-2</v>
      </c>
      <c r="O281" s="16">
        <v>6</v>
      </c>
      <c r="P281" s="16">
        <f t="shared" si="29"/>
        <v>7.3113821138211375</v>
      </c>
      <c r="Q281" s="16">
        <f t="shared" si="35"/>
        <v>34.246500009654696</v>
      </c>
      <c r="R281" s="113">
        <f t="shared" si="30"/>
        <v>311.95699999999999</v>
      </c>
      <c r="S281" s="16">
        <f>IF(S280=15800,15800,ROUND((((Q281*60)/'Gearing Calculator'!$C$14)*'Track Data'!P281),-2))</f>
        <v>7600</v>
      </c>
      <c r="T281" s="16">
        <f t="shared" si="33"/>
        <v>-14.71670186282954</v>
      </c>
      <c r="U281" s="16">
        <f>IF(AC281=100,Braking!$AG$2354,IF(AC281=50,Braking!$AG$1179,IF(AC281=75,Braking!$AG$1767,0)))</f>
        <v>-14.71670186282954</v>
      </c>
      <c r="V281" s="16">
        <f>0.5*'Gearing Calculator'!$C$15*'Gearing Calculator'!$C$20*'Gearing Calculator'!$W$20*('Track Data'!Q281^2)</f>
        <v>124.13156122652977</v>
      </c>
      <c r="W281" s="16">
        <f>('Gearing Calculator'!$U$9*'Track Data'!T281)+'Track Data'!V281</f>
        <v>-3793.4544746586935</v>
      </c>
      <c r="X281" s="16">
        <f>('Gearing Calculator'!$U$9*9.81)*('Gearing Calculator'!$U$16/'Gearing Calculator'!$C$7)-(('Track Data'!W281)*('Gearing Calculator'!$U$17/'Gearing Calculator'!$C$7))</f>
        <v>3468.8540578565571</v>
      </c>
      <c r="Y281" s="16">
        <f>('Gearing Calculator'!$U$9*9.81)*(('Gearing Calculator'!$C$7-'Gearing Calculator'!$U$16)/'Gearing Calculator'!$C$7)+(('Track Data'!W281)*('Gearing Calculator'!$U$17/'Gearing Calculator'!$C$7))</f>
        <v>-857.43205785655732</v>
      </c>
      <c r="Z281" s="16">
        <f>((X281*COS('Gearing Calculator'!$C$21))/'Gearing Calculator'!$C$22)/2</f>
        <v>107.24599641825861</v>
      </c>
      <c r="AA281" s="16">
        <f>Y281/'Gearing Calculator'!$C$24</f>
        <v>-11.972627394403325</v>
      </c>
      <c r="AB281" s="16">
        <f t="shared" si="31"/>
        <v>35.831350049552526</v>
      </c>
      <c r="AC281" s="16">
        <v>100</v>
      </c>
      <c r="AD281" s="16">
        <v>0</v>
      </c>
      <c r="AE281" s="16">
        <v>278</v>
      </c>
      <c r="AF281" s="16">
        <f>IF(AC281=0,IF(O281=6,INDEX(Acceleration!$V$4:$V$110,MATCH('Track Data'!S281,Acceleration!$K$4:$K$110,0)),IF('Track Data'!O281=5,INDEX(Acceleration!$U$4:$U$110,MATCH('Track Data'!S281,Acceleration!$K$4:$K$110,0)),1)),U281)</f>
        <v>-14.71670186282954</v>
      </c>
      <c r="AG281" s="16">
        <f>IF(AC281=0,IF(O281=4,INDEX(Acceleration!$T$4:$T$110,MATCH('Track Data'!S281,Acceleration!$K$4:$K$110,0)),IF('Track Data'!O281=3,INDEX(Acceleration!$S$4:$S$110,MATCH('Track Data'!S281,Acceleration!$K$4:$K$110,0)),'Track Data'!AF281)),'Track Data'!U281)</f>
        <v>-14.71670186282954</v>
      </c>
      <c r="AH281" s="16">
        <f>IF(AC281=0,IF(O281=2,INDEX(Acceleration!$R$4:$R$110,MATCH('Track Data'!S281,Acceleration!$K$4:$K$110,0)),IF('Track Data'!O281=1,INDEX(Acceleration!$Q$4:$Q$110,MATCH('Track Data'!S281,Acceleration!$K$4:$K$110,0)),'Track Data'!AG281)),'Track Data'!U281)</f>
        <v>-14.71670186282954</v>
      </c>
    </row>
    <row r="282" spans="2:34" x14ac:dyDescent="0.25">
      <c r="B282" s="16">
        <v>201.565</v>
      </c>
      <c r="C282" s="16">
        <v>7552</v>
      </c>
      <c r="D282" s="16">
        <v>279</v>
      </c>
      <c r="E282" s="113">
        <v>85</v>
      </c>
      <c r="F282" s="113">
        <v>91.9</v>
      </c>
      <c r="G282" s="113">
        <v>93.1</v>
      </c>
      <c r="H282" s="113">
        <f t="shared" si="32"/>
        <v>25.861111111111107</v>
      </c>
      <c r="I282" s="113">
        <v>-1.1000000000000001</v>
      </c>
      <c r="J282" s="113">
        <v>89.17</v>
      </c>
      <c r="K282" s="113">
        <v>-2.8</v>
      </c>
      <c r="L282" s="189"/>
      <c r="M282" s="16">
        <v>279</v>
      </c>
      <c r="N282" s="16">
        <f t="shared" si="34"/>
        <v>2.9573513682742886E-2</v>
      </c>
      <c r="O282" s="16">
        <v>6</v>
      </c>
      <c r="P282" s="16">
        <f t="shared" si="29"/>
        <v>7.3113821138211375</v>
      </c>
      <c r="Q282" s="16">
        <f t="shared" si="35"/>
        <v>33.814040858578558</v>
      </c>
      <c r="R282" s="113">
        <f t="shared" si="30"/>
        <v>311.95699999999999</v>
      </c>
      <c r="S282" s="16">
        <f>IF(S281=15800,15800,ROUND((((Q282*60)/'Gearing Calculator'!$C$14)*'Track Data'!P282),-2))</f>
        <v>7500</v>
      </c>
      <c r="T282" s="16">
        <f t="shared" si="33"/>
        <v>-14.71670186282954</v>
      </c>
      <c r="U282" s="16">
        <f>IF(AC282=100,Braking!$AG$2354,IF(AC282=50,Braking!$AG$1179,IF(AC282=75,Braking!$AG$1767,0)))</f>
        <v>-14.71670186282954</v>
      </c>
      <c r="V282" s="16">
        <f>0.5*'Gearing Calculator'!$C$15*'Gearing Calculator'!$C$20*'Gearing Calculator'!$W$20*('Track Data'!Q282^2)</f>
        <v>121.01632977620602</v>
      </c>
      <c r="W282" s="16">
        <f>('Gearing Calculator'!$U$9*'Track Data'!T282)+'Track Data'!V282</f>
        <v>-3796.5697061090173</v>
      </c>
      <c r="X282" s="16">
        <f>('Gearing Calculator'!$U$9*9.81)*('Gearing Calculator'!$U$16/'Gearing Calculator'!$C$7)-(('Track Data'!W282)*('Gearing Calculator'!$U$17/'Gearing Calculator'!$C$7))</f>
        <v>3470.5520717477693</v>
      </c>
      <c r="Y282" s="16">
        <f>('Gearing Calculator'!$U$9*9.81)*(('Gearing Calculator'!$C$7-'Gearing Calculator'!$U$16)/'Gearing Calculator'!$C$7)+(('Track Data'!W282)*('Gearing Calculator'!$U$17/'Gearing Calculator'!$C$7))</f>
        <v>-859.13007174776908</v>
      </c>
      <c r="Z282" s="16">
        <f>((X282*COS('Gearing Calculator'!$C$21))/'Gearing Calculator'!$C$22)/2</f>
        <v>107.29849363741451</v>
      </c>
      <c r="AA282" s="16">
        <f>Y282/'Gearing Calculator'!$C$24</f>
        <v>-11.996337363541661</v>
      </c>
      <c r="AB282" s="16">
        <f t="shared" si="31"/>
        <v>32.716118599228778</v>
      </c>
      <c r="AC282" s="16">
        <v>100</v>
      </c>
      <c r="AD282" s="16">
        <v>0</v>
      </c>
      <c r="AE282" s="16">
        <v>279</v>
      </c>
      <c r="AF282" s="16">
        <f>IF(AC282=0,IF(O282=6,INDEX(Acceleration!$V$4:$V$110,MATCH('Track Data'!S282,Acceleration!$K$4:$K$110,0)),IF('Track Data'!O282=5,INDEX(Acceleration!$U$4:$U$110,MATCH('Track Data'!S282,Acceleration!$K$4:$K$110,0)),1)),U282)</f>
        <v>-14.71670186282954</v>
      </c>
      <c r="AG282" s="16">
        <f>IF(AC282=0,IF(O282=4,INDEX(Acceleration!$T$4:$T$110,MATCH('Track Data'!S282,Acceleration!$K$4:$K$110,0)),IF('Track Data'!O282=3,INDEX(Acceleration!$S$4:$S$110,MATCH('Track Data'!S282,Acceleration!$K$4:$K$110,0)),'Track Data'!AF282)),'Track Data'!U282)</f>
        <v>-14.71670186282954</v>
      </c>
      <c r="AH282" s="16">
        <f>IF(AC282=0,IF(O282=2,INDEX(Acceleration!$R$4:$R$110,MATCH('Track Data'!S282,Acceleration!$K$4:$K$110,0)),IF('Track Data'!O282=1,INDEX(Acceleration!$Q$4:$Q$110,MATCH('Track Data'!S282,Acceleration!$K$4:$K$110,0)),'Track Data'!AG282)),'Track Data'!U282)</f>
        <v>-14.71670186282954</v>
      </c>
    </row>
    <row r="283" spans="2:34" x14ac:dyDescent="0.25">
      <c r="B283" s="16">
        <v>201.60400000000001</v>
      </c>
      <c r="C283" s="16">
        <v>7553</v>
      </c>
      <c r="D283" s="16">
        <v>280</v>
      </c>
      <c r="E283" s="113">
        <v>86</v>
      </c>
      <c r="F283" s="113">
        <v>91.4</v>
      </c>
      <c r="G283" s="113">
        <v>91.9</v>
      </c>
      <c r="H283" s="113">
        <f t="shared" si="32"/>
        <v>25.527777777777779</v>
      </c>
      <c r="I283" s="113">
        <v>-0.2</v>
      </c>
      <c r="J283" s="113">
        <v>89.02</v>
      </c>
      <c r="K283" s="113">
        <v>-3.5</v>
      </c>
      <c r="L283" s="189"/>
      <c r="M283" s="16">
        <v>280</v>
      </c>
      <c r="N283" s="16">
        <f t="shared" si="34"/>
        <v>2.9961668193021988E-2</v>
      </c>
      <c r="O283" s="16">
        <v>6</v>
      </c>
      <c r="P283" s="16">
        <f t="shared" si="29"/>
        <v>7.3113821138211375</v>
      </c>
      <c r="Q283" s="16">
        <f t="shared" si="35"/>
        <v>33.375978719132135</v>
      </c>
      <c r="R283" s="113">
        <f t="shared" si="30"/>
        <v>311.95699999999999</v>
      </c>
      <c r="S283" s="16">
        <f>IF(S282=15800,15800,ROUND((((Q283*60)/'Gearing Calculator'!$C$14)*'Track Data'!P283),-2))</f>
        <v>7400</v>
      </c>
      <c r="T283" s="16">
        <f t="shared" si="33"/>
        <v>-14.71670186282954</v>
      </c>
      <c r="U283" s="16">
        <f>IF(AC283=100,Braking!$AG$2354,IF(AC283=50,Braking!$AG$1179,IF(AC283=75,Braking!$AG$1767,0)))</f>
        <v>-14.71670186282954</v>
      </c>
      <c r="V283" s="16">
        <f>0.5*'Gearing Calculator'!$C$15*'Gearing Calculator'!$C$20*'Gearing Calculator'!$W$20*('Track Data'!Q283^2)</f>
        <v>117.90109832588227</v>
      </c>
      <c r="W283" s="16">
        <f>('Gearing Calculator'!$U$9*'Track Data'!T283)+'Track Data'!V283</f>
        <v>-3799.6849375593411</v>
      </c>
      <c r="X283" s="16">
        <f>('Gearing Calculator'!$U$9*9.81)*('Gearing Calculator'!$U$16/'Gearing Calculator'!$C$7)-(('Track Data'!W283)*('Gearing Calculator'!$U$17/'Gearing Calculator'!$C$7))</f>
        <v>3472.2500856389806</v>
      </c>
      <c r="Y283" s="16">
        <f>('Gearing Calculator'!$U$9*9.81)*(('Gearing Calculator'!$C$7-'Gearing Calculator'!$U$16)/'Gearing Calculator'!$C$7)+(('Track Data'!W283)*('Gearing Calculator'!$U$17/'Gearing Calculator'!$C$7))</f>
        <v>-860.82808563898084</v>
      </c>
      <c r="Z283" s="16">
        <f>((X283*COS('Gearing Calculator'!$C$21))/'Gearing Calculator'!$C$22)/2</f>
        <v>107.35099085657036</v>
      </c>
      <c r="AA283" s="16">
        <f>Y283/'Gearing Calculator'!$C$24</f>
        <v>-12.020047332679999</v>
      </c>
      <c r="AB283" s="16">
        <f t="shared" si="31"/>
        <v>29.600887148905031</v>
      </c>
      <c r="AC283" s="16">
        <v>100</v>
      </c>
      <c r="AD283" s="16">
        <v>0</v>
      </c>
      <c r="AE283" s="16">
        <v>280</v>
      </c>
      <c r="AF283" s="16">
        <f>IF(AC283=0,IF(O283=6,INDEX(Acceleration!$V$4:$V$110,MATCH('Track Data'!S283,Acceleration!$K$4:$K$110,0)),IF('Track Data'!O283=5,INDEX(Acceleration!$U$4:$U$110,MATCH('Track Data'!S283,Acceleration!$K$4:$K$110,0)),1)),U283)</f>
        <v>-14.71670186282954</v>
      </c>
      <c r="AG283" s="16">
        <f>IF(AC283=0,IF(O283=4,INDEX(Acceleration!$T$4:$T$110,MATCH('Track Data'!S283,Acceleration!$K$4:$K$110,0)),IF('Track Data'!O283=3,INDEX(Acceleration!$S$4:$S$110,MATCH('Track Data'!S283,Acceleration!$K$4:$K$110,0)),'Track Data'!AF283)),'Track Data'!U283)</f>
        <v>-14.71670186282954</v>
      </c>
      <c r="AH283" s="16">
        <f>IF(AC283=0,IF(O283=2,INDEX(Acceleration!$R$4:$R$110,MATCH('Track Data'!S283,Acceleration!$K$4:$K$110,0)),IF('Track Data'!O283=1,INDEX(Acceleration!$Q$4:$Q$110,MATCH('Track Data'!S283,Acceleration!$K$4:$K$110,0)),'Track Data'!AG283)),'Track Data'!U283)</f>
        <v>-14.71670186282954</v>
      </c>
    </row>
    <row r="284" spans="2:34" x14ac:dyDescent="0.25">
      <c r="B284" s="16">
        <v>201.643</v>
      </c>
      <c r="C284" s="16">
        <v>7554</v>
      </c>
      <c r="D284" s="16">
        <v>281</v>
      </c>
      <c r="E284" s="113">
        <v>86</v>
      </c>
      <c r="F284" s="113">
        <v>90.4</v>
      </c>
      <c r="G284" s="113">
        <v>90.8</v>
      </c>
      <c r="H284" s="113">
        <f t="shared" si="32"/>
        <v>25.222222222222221</v>
      </c>
      <c r="I284" s="113">
        <v>-0.2</v>
      </c>
      <c r="J284" s="113">
        <v>89.34</v>
      </c>
      <c r="K284" s="113">
        <v>-1.3</v>
      </c>
      <c r="L284" s="189"/>
      <c r="M284" s="16">
        <v>281</v>
      </c>
      <c r="N284" s="16">
        <f t="shared" si="34"/>
        <v>3.0365518860648744E-2</v>
      </c>
      <c r="O284" s="16">
        <v>6</v>
      </c>
      <c r="P284" s="16">
        <f t="shared" si="29"/>
        <v>7.3113821138211375</v>
      </c>
      <c r="Q284" s="16">
        <f t="shared" si="35"/>
        <v>32.932089999486855</v>
      </c>
      <c r="R284" s="113">
        <f t="shared" si="30"/>
        <v>311.95699999999999</v>
      </c>
      <c r="S284" s="16">
        <f>IF(S283=15800,15800,ROUND((((Q284*60)/'Gearing Calculator'!$C$14)*'Track Data'!P284),-2))</f>
        <v>7300</v>
      </c>
      <c r="T284" s="16">
        <f t="shared" si="33"/>
        <v>-14.71670186282954</v>
      </c>
      <c r="U284" s="16">
        <f>IF(AC284=100,Braking!$AG$2354,IF(AC284=50,Braking!$AG$1179,IF(AC284=75,Braking!$AG$1767,0)))</f>
        <v>-14.71670186282954</v>
      </c>
      <c r="V284" s="16">
        <f>0.5*'Gearing Calculator'!$C$15*'Gearing Calculator'!$C$20*'Gearing Calculator'!$W$20*('Track Data'!Q284^2)</f>
        <v>114.78586687555853</v>
      </c>
      <c r="W284" s="16">
        <f>('Gearing Calculator'!$U$9*'Track Data'!T284)+'Track Data'!V284</f>
        <v>-3802.8001690096648</v>
      </c>
      <c r="X284" s="16">
        <f>('Gearing Calculator'!$U$9*9.81)*('Gearing Calculator'!$U$16/'Gearing Calculator'!$C$7)-(('Track Data'!W284)*('Gearing Calculator'!$U$17/'Gearing Calculator'!$C$7))</f>
        <v>3473.9480995301928</v>
      </c>
      <c r="Y284" s="16">
        <f>('Gearing Calculator'!$U$9*9.81)*(('Gearing Calculator'!$C$7-'Gearing Calculator'!$U$16)/'Gearing Calculator'!$C$7)+(('Track Data'!W284)*('Gearing Calculator'!$U$17/'Gearing Calculator'!$C$7))</f>
        <v>-862.5260995301926</v>
      </c>
      <c r="Z284" s="16">
        <f>((X284*COS('Gearing Calculator'!$C$21))/'Gearing Calculator'!$C$22)/2</f>
        <v>107.40348807572626</v>
      </c>
      <c r="AA284" s="16">
        <f>Y284/'Gearing Calculator'!$C$24</f>
        <v>-12.043757301818335</v>
      </c>
      <c r="AB284" s="16">
        <f t="shared" si="31"/>
        <v>26.485655698581283</v>
      </c>
      <c r="AC284" s="16">
        <v>100</v>
      </c>
      <c r="AD284" s="16">
        <v>0</v>
      </c>
      <c r="AE284" s="16">
        <v>281</v>
      </c>
      <c r="AF284" s="16">
        <f>IF(AC284=0,IF(O284=6,INDEX(Acceleration!$V$4:$V$110,MATCH('Track Data'!S284,Acceleration!$K$4:$K$110,0)),IF('Track Data'!O284=5,INDEX(Acceleration!$U$4:$U$110,MATCH('Track Data'!S284,Acceleration!$K$4:$K$110,0)),1)),U284)</f>
        <v>-14.71670186282954</v>
      </c>
      <c r="AG284" s="16">
        <f>IF(AC284=0,IF(O284=4,INDEX(Acceleration!$T$4:$T$110,MATCH('Track Data'!S284,Acceleration!$K$4:$K$110,0)),IF('Track Data'!O284=3,INDEX(Acceleration!$S$4:$S$110,MATCH('Track Data'!S284,Acceleration!$K$4:$K$110,0)),'Track Data'!AF284)),'Track Data'!U284)</f>
        <v>-14.71670186282954</v>
      </c>
      <c r="AH284" s="16">
        <f>IF(AC284=0,IF(O284=2,INDEX(Acceleration!$R$4:$R$110,MATCH('Track Data'!S284,Acceleration!$K$4:$K$110,0)),IF('Track Data'!O284=1,INDEX(Acceleration!$Q$4:$Q$110,MATCH('Track Data'!S284,Acceleration!$K$4:$K$110,0)),'Track Data'!AG284)),'Track Data'!U284)</f>
        <v>-14.71670186282954</v>
      </c>
    </row>
    <row r="285" spans="2:34" x14ac:dyDescent="0.25">
      <c r="B285" s="16">
        <v>201.68299999999999</v>
      </c>
      <c r="C285" s="16">
        <v>7555</v>
      </c>
      <c r="D285" s="16">
        <v>282</v>
      </c>
      <c r="E285" s="113">
        <v>85</v>
      </c>
      <c r="F285" s="113">
        <v>88.4</v>
      </c>
      <c r="G285" s="113">
        <v>89.8</v>
      </c>
      <c r="H285" s="113">
        <f t="shared" si="32"/>
        <v>24.944444444444443</v>
      </c>
      <c r="I285" s="113">
        <v>0</v>
      </c>
      <c r="J285" s="113">
        <v>89.44</v>
      </c>
      <c r="K285" s="113">
        <v>0.7</v>
      </c>
      <c r="L285" s="189"/>
      <c r="M285" s="16">
        <v>282</v>
      </c>
      <c r="N285" s="16">
        <f t="shared" si="34"/>
        <v>3.0786152895449476E-2</v>
      </c>
      <c r="O285" s="16">
        <v>6</v>
      </c>
      <c r="P285" s="16">
        <f t="shared" si="29"/>
        <v>7.3113821138211375</v>
      </c>
      <c r="Q285" s="16">
        <f t="shared" si="35"/>
        <v>32.482135828923617</v>
      </c>
      <c r="R285" s="113">
        <f t="shared" si="30"/>
        <v>311.95699999999999</v>
      </c>
      <c r="S285" s="16">
        <f>IF(S284=15800,15800,ROUND((((Q285*60)/'Gearing Calculator'!$C$14)*'Track Data'!P285),-2))</f>
        <v>7200</v>
      </c>
      <c r="T285" s="16">
        <f t="shared" si="33"/>
        <v>-14.71670186282954</v>
      </c>
      <c r="U285" s="16">
        <f>IF(AC285=100,Braking!$AG$2354,IF(AC285=50,Braking!$AG$1179,IF(AC285=75,Braking!$AG$1767,0)))</f>
        <v>-14.71670186282954</v>
      </c>
      <c r="V285" s="16">
        <f>0.5*'Gearing Calculator'!$C$15*'Gearing Calculator'!$C$20*'Gearing Calculator'!$W$20*('Track Data'!Q285^2)</f>
        <v>111.67063542523481</v>
      </c>
      <c r="W285" s="16">
        <f>('Gearing Calculator'!$U$9*'Track Data'!T285)+'Track Data'!V285</f>
        <v>-3805.9154004599886</v>
      </c>
      <c r="X285" s="16">
        <f>('Gearing Calculator'!$U$9*9.81)*('Gearing Calculator'!$U$16/'Gearing Calculator'!$C$7)-(('Track Data'!W285)*('Gearing Calculator'!$U$17/'Gearing Calculator'!$C$7))</f>
        <v>3475.6461134214042</v>
      </c>
      <c r="Y285" s="16">
        <f>('Gearing Calculator'!$U$9*9.81)*(('Gearing Calculator'!$C$7-'Gearing Calculator'!$U$16)/'Gearing Calculator'!$C$7)+(('Track Data'!W285)*('Gearing Calculator'!$U$17/'Gearing Calculator'!$C$7))</f>
        <v>-864.22411342140435</v>
      </c>
      <c r="Z285" s="16">
        <f>((X285*COS('Gearing Calculator'!$C$21))/'Gearing Calculator'!$C$22)/2</f>
        <v>107.45598529488211</v>
      </c>
      <c r="AA285" s="16">
        <f>Y285/'Gearing Calculator'!$C$24</f>
        <v>-12.067467270956671</v>
      </c>
      <c r="AB285" s="16">
        <f t="shared" si="31"/>
        <v>23.370424248257564</v>
      </c>
      <c r="AC285" s="16">
        <v>100</v>
      </c>
      <c r="AD285" s="16">
        <v>0</v>
      </c>
      <c r="AE285" s="16">
        <v>282</v>
      </c>
      <c r="AF285" s="16">
        <f>IF(AC285=0,IF(O285=6,INDEX(Acceleration!$V$4:$V$110,MATCH('Track Data'!S285,Acceleration!$K$4:$K$110,0)),IF('Track Data'!O285=5,INDEX(Acceleration!$U$4:$U$110,MATCH('Track Data'!S285,Acceleration!$K$4:$K$110,0)),1)),U285)</f>
        <v>-14.71670186282954</v>
      </c>
      <c r="AG285" s="16">
        <f>IF(AC285=0,IF(O285=4,INDEX(Acceleration!$T$4:$T$110,MATCH('Track Data'!S285,Acceleration!$K$4:$K$110,0)),IF('Track Data'!O285=3,INDEX(Acceleration!$S$4:$S$110,MATCH('Track Data'!S285,Acceleration!$K$4:$K$110,0)),'Track Data'!AF285)),'Track Data'!U285)</f>
        <v>-14.71670186282954</v>
      </c>
      <c r="AH285" s="16">
        <f>IF(AC285=0,IF(O285=2,INDEX(Acceleration!$R$4:$R$110,MATCH('Track Data'!S285,Acceleration!$K$4:$K$110,0)),IF('Track Data'!O285=1,INDEX(Acceleration!$Q$4:$Q$110,MATCH('Track Data'!S285,Acceleration!$K$4:$K$110,0)),'Track Data'!AG285)),'Track Data'!U285)</f>
        <v>-14.71670186282954</v>
      </c>
    </row>
    <row r="286" spans="2:34" x14ac:dyDescent="0.25">
      <c r="B286" s="16">
        <v>201.72300000000001</v>
      </c>
      <c r="C286" s="16">
        <v>7556</v>
      </c>
      <c r="D286" s="16">
        <v>283</v>
      </c>
      <c r="E286" s="113">
        <v>85</v>
      </c>
      <c r="F286" s="113">
        <v>87.8</v>
      </c>
      <c r="G286" s="113">
        <v>88.8</v>
      </c>
      <c r="H286" s="113">
        <f t="shared" si="32"/>
        <v>24.666666666666664</v>
      </c>
      <c r="I286" s="113">
        <v>0.4</v>
      </c>
      <c r="J286" s="113">
        <v>88.53</v>
      </c>
      <c r="K286" s="113">
        <v>1.3</v>
      </c>
      <c r="L286" s="189"/>
      <c r="M286" s="16">
        <v>283</v>
      </c>
      <c r="N286" s="16">
        <f t="shared" si="34"/>
        <v>3.1224765944547584E-2</v>
      </c>
      <c r="O286" s="16">
        <v>6</v>
      </c>
      <c r="P286" s="16">
        <f t="shared" si="29"/>
        <v>7.3113821138211375</v>
      </c>
      <c r="Q286" s="16">
        <f t="shared" si="35"/>
        <v>32.025860554916932</v>
      </c>
      <c r="R286" s="113">
        <f t="shared" si="30"/>
        <v>311.95699999999999</v>
      </c>
      <c r="S286" s="16">
        <f>IF(S285=15800,15800,ROUND((((Q286*60)/'Gearing Calculator'!$C$14)*'Track Data'!P286),-2))</f>
        <v>7100</v>
      </c>
      <c r="T286" s="16">
        <f t="shared" si="33"/>
        <v>-14.71670186282954</v>
      </c>
      <c r="U286" s="16">
        <f>IF(AC286=100,Braking!$AG$2354,IF(AC286=50,Braking!$AG$1179,IF(AC286=75,Braking!$AG$1767,0)))</f>
        <v>-14.71670186282954</v>
      </c>
      <c r="V286" s="16">
        <f>0.5*'Gearing Calculator'!$C$15*'Gearing Calculator'!$C$20*'Gearing Calculator'!$W$20*('Track Data'!Q286^2)</f>
        <v>108.55540397491103</v>
      </c>
      <c r="W286" s="16">
        <f>('Gearing Calculator'!$U$9*'Track Data'!T286)+'Track Data'!V286</f>
        <v>-3809.0306319103124</v>
      </c>
      <c r="X286" s="16">
        <f>('Gearing Calculator'!$U$9*9.81)*('Gearing Calculator'!$U$16/'Gearing Calculator'!$C$7)-(('Track Data'!W286)*('Gearing Calculator'!$U$17/'Gearing Calculator'!$C$7))</f>
        <v>3477.3441273126164</v>
      </c>
      <c r="Y286" s="16">
        <f>('Gearing Calculator'!$U$9*9.81)*(('Gearing Calculator'!$C$7-'Gearing Calculator'!$U$16)/'Gearing Calculator'!$C$7)+(('Track Data'!W286)*('Gearing Calculator'!$U$17/'Gearing Calculator'!$C$7))</f>
        <v>-865.92212731261611</v>
      </c>
      <c r="Z286" s="16">
        <f>((X286*COS('Gearing Calculator'!$C$21))/'Gearing Calculator'!$C$22)/2</f>
        <v>107.50848251403801</v>
      </c>
      <c r="AA286" s="16">
        <f>Y286/'Gearing Calculator'!$C$24</f>
        <v>-12.091177240095007</v>
      </c>
      <c r="AB286" s="16">
        <f t="shared" si="31"/>
        <v>20.255192797933788</v>
      </c>
      <c r="AC286" s="16">
        <v>100</v>
      </c>
      <c r="AD286" s="16">
        <v>0</v>
      </c>
      <c r="AE286" s="16">
        <v>283</v>
      </c>
      <c r="AF286" s="16">
        <f>IF(AC286=0,IF(O286=6,INDEX(Acceleration!$V$4:$V$110,MATCH('Track Data'!S286,Acceleration!$K$4:$K$110,0)),IF('Track Data'!O286=5,INDEX(Acceleration!$U$4:$U$110,MATCH('Track Data'!S286,Acceleration!$K$4:$K$110,0)),1)),U286)</f>
        <v>-14.71670186282954</v>
      </c>
      <c r="AG286" s="16">
        <f>IF(AC286=0,IF(O286=4,INDEX(Acceleration!$T$4:$T$110,MATCH('Track Data'!S286,Acceleration!$K$4:$K$110,0)),IF('Track Data'!O286=3,INDEX(Acceleration!$S$4:$S$110,MATCH('Track Data'!S286,Acceleration!$K$4:$K$110,0)),'Track Data'!AF286)),'Track Data'!U286)</f>
        <v>-14.71670186282954</v>
      </c>
      <c r="AH286" s="16">
        <f>IF(AC286=0,IF(O286=2,INDEX(Acceleration!$R$4:$R$110,MATCH('Track Data'!S286,Acceleration!$K$4:$K$110,0)),IF('Track Data'!O286=1,INDEX(Acceleration!$Q$4:$Q$110,MATCH('Track Data'!S286,Acceleration!$K$4:$K$110,0)),'Track Data'!AG286)),'Track Data'!U286)</f>
        <v>-14.71670186282954</v>
      </c>
    </row>
    <row r="287" spans="2:34" x14ac:dyDescent="0.25">
      <c r="B287" s="16">
        <v>201.76400000000001</v>
      </c>
      <c r="C287" s="16">
        <v>7557</v>
      </c>
      <c r="D287" s="16">
        <v>284</v>
      </c>
      <c r="E287" s="113">
        <v>84</v>
      </c>
      <c r="F287" s="113">
        <v>86.5</v>
      </c>
      <c r="G287" s="113">
        <v>87.8</v>
      </c>
      <c r="H287" s="113">
        <f t="shared" si="32"/>
        <v>24.388888888888886</v>
      </c>
      <c r="I287" s="113">
        <v>-0.9</v>
      </c>
      <c r="J287" s="113">
        <v>88.33</v>
      </c>
      <c r="K287" s="113">
        <v>1.8</v>
      </c>
      <c r="L287" s="189"/>
      <c r="M287" s="16">
        <v>284</v>
      </c>
      <c r="N287" s="16">
        <f t="shared" si="34"/>
        <v>3.1682676406324176E-2</v>
      </c>
      <c r="O287" s="16">
        <v>6</v>
      </c>
      <c r="P287" s="16">
        <f t="shared" si="29"/>
        <v>7.3113821138211375</v>
      </c>
      <c r="Q287" s="16">
        <f t="shared" si="35"/>
        <v>31.562990044628616</v>
      </c>
      <c r="R287" s="113">
        <f t="shared" si="30"/>
        <v>311.95699999999999</v>
      </c>
      <c r="S287" s="16">
        <f>IF(S286=15800,15800,ROUND((((Q287*60)/'Gearing Calculator'!$C$14)*'Track Data'!P287),-2))</f>
        <v>7000</v>
      </c>
      <c r="T287" s="16">
        <f t="shared" si="33"/>
        <v>-14.71670186282954</v>
      </c>
      <c r="U287" s="16">
        <f>IF(AC287=100,Braking!$AG$2354,IF(AC287=50,Braking!$AG$1179,IF(AC287=75,Braking!$AG$1767,0)))</f>
        <v>-14.71670186282954</v>
      </c>
      <c r="V287" s="16">
        <f>0.5*'Gearing Calculator'!$C$15*'Gearing Calculator'!$C$20*'Gearing Calculator'!$W$20*('Track Data'!Q287^2)</f>
        <v>105.44017252458728</v>
      </c>
      <c r="W287" s="16">
        <f>('Gearing Calculator'!$U$9*'Track Data'!T287)+'Track Data'!V287</f>
        <v>-3812.1458633606362</v>
      </c>
      <c r="X287" s="16">
        <f>('Gearing Calculator'!$U$9*9.81)*('Gearing Calculator'!$U$16/'Gearing Calculator'!$C$7)-(('Track Data'!W287)*('Gearing Calculator'!$U$17/'Gearing Calculator'!$C$7))</f>
        <v>3479.0421412038277</v>
      </c>
      <c r="Y287" s="16">
        <f>('Gearing Calculator'!$U$9*9.81)*(('Gearing Calculator'!$C$7-'Gearing Calculator'!$U$16)/'Gearing Calculator'!$C$7)+(('Track Data'!W287)*('Gearing Calculator'!$U$17/'Gearing Calculator'!$C$7))</f>
        <v>-867.62014120382787</v>
      </c>
      <c r="Z287" s="16">
        <f>((X287*COS('Gearing Calculator'!$C$21))/'Gearing Calculator'!$C$22)/2</f>
        <v>107.56097973319388</v>
      </c>
      <c r="AA287" s="16">
        <f>Y287/'Gearing Calculator'!$C$24</f>
        <v>-12.114887209233345</v>
      </c>
      <c r="AB287" s="16">
        <f t="shared" si="31"/>
        <v>17.13996134761004</v>
      </c>
      <c r="AC287" s="16">
        <v>100</v>
      </c>
      <c r="AD287" s="16">
        <v>0</v>
      </c>
      <c r="AE287" s="16">
        <v>284</v>
      </c>
      <c r="AF287" s="16">
        <f>IF(AC287=0,IF(O287=6,INDEX(Acceleration!$V$4:$V$110,MATCH('Track Data'!S287,Acceleration!$K$4:$K$110,0)),IF('Track Data'!O287=5,INDEX(Acceleration!$U$4:$U$110,MATCH('Track Data'!S287,Acceleration!$K$4:$K$110,0)),1)),U287)</f>
        <v>-14.71670186282954</v>
      </c>
      <c r="AG287" s="16">
        <f>IF(AC287=0,IF(O287=4,INDEX(Acceleration!$T$4:$T$110,MATCH('Track Data'!S287,Acceleration!$K$4:$K$110,0)),IF('Track Data'!O287=3,INDEX(Acceleration!$S$4:$S$110,MATCH('Track Data'!S287,Acceleration!$K$4:$K$110,0)),'Track Data'!AF287)),'Track Data'!U287)</f>
        <v>-14.71670186282954</v>
      </c>
      <c r="AH287" s="16">
        <f>IF(AC287=0,IF(O287=2,INDEX(Acceleration!$R$4:$R$110,MATCH('Track Data'!S287,Acceleration!$K$4:$K$110,0)),IF('Track Data'!O287=1,INDEX(Acceleration!$Q$4:$Q$110,MATCH('Track Data'!S287,Acceleration!$K$4:$K$110,0)),'Track Data'!AG287)),'Track Data'!U287)</f>
        <v>-14.71670186282954</v>
      </c>
    </row>
    <row r="288" spans="2:34" x14ac:dyDescent="0.25">
      <c r="B288" s="16">
        <v>201.80600000000001</v>
      </c>
      <c r="C288" s="16">
        <v>7558</v>
      </c>
      <c r="D288" s="16">
        <v>285</v>
      </c>
      <c r="E288" s="113">
        <v>83</v>
      </c>
      <c r="F288" s="113">
        <v>84.8</v>
      </c>
      <c r="G288" s="113">
        <v>86.9</v>
      </c>
      <c r="H288" s="113">
        <f t="shared" si="32"/>
        <v>24.138888888888889</v>
      </c>
      <c r="I288" s="113">
        <v>-1.3</v>
      </c>
      <c r="J288" s="113">
        <v>85.54</v>
      </c>
      <c r="K288" s="113">
        <v>1.8</v>
      </c>
      <c r="L288" s="189"/>
      <c r="M288" s="16">
        <v>285</v>
      </c>
      <c r="N288" s="16">
        <f t="shared" si="34"/>
        <v>3.2161342123615898E-2</v>
      </c>
      <c r="O288" s="16">
        <v>6</v>
      </c>
      <c r="P288" s="16">
        <f t="shared" si="29"/>
        <v>7.3113821138211375</v>
      </c>
      <c r="Q288" s="16">
        <f t="shared" si="35"/>
        <v>31.093229758770093</v>
      </c>
      <c r="R288" s="113">
        <f t="shared" si="30"/>
        <v>311.95699999999999</v>
      </c>
      <c r="S288" s="16">
        <f>IF(S287=15800,15800,ROUND((((Q288*60)/'Gearing Calculator'!$C$14)*'Track Data'!P288),-2))</f>
        <v>6900</v>
      </c>
      <c r="T288" s="16">
        <f t="shared" si="33"/>
        <v>-14.71670186282954</v>
      </c>
      <c r="U288" s="16">
        <f>IF(AC288=100,Braking!$AG$2354,IF(AC288=50,Braking!$AG$1179,IF(AC288=75,Braking!$AG$1767,0)))</f>
        <v>-14.71670186282954</v>
      </c>
      <c r="V288" s="16">
        <f>0.5*'Gearing Calculator'!$C$15*'Gearing Calculator'!$C$20*'Gearing Calculator'!$W$20*('Track Data'!Q288^2)</f>
        <v>102.32494107426353</v>
      </c>
      <c r="W288" s="16">
        <f>('Gearing Calculator'!$U$9*'Track Data'!T288)+'Track Data'!V288</f>
        <v>-3815.2610948109595</v>
      </c>
      <c r="X288" s="16">
        <f>('Gearing Calculator'!$U$9*9.81)*('Gearing Calculator'!$U$16/'Gearing Calculator'!$C$7)-(('Track Data'!W288)*('Gearing Calculator'!$U$17/'Gearing Calculator'!$C$7))</f>
        <v>3480.7401550950399</v>
      </c>
      <c r="Y288" s="16">
        <f>('Gearing Calculator'!$U$9*9.81)*(('Gearing Calculator'!$C$7-'Gearing Calculator'!$U$16)/'Gearing Calculator'!$C$7)+(('Track Data'!W288)*('Gearing Calculator'!$U$17/'Gearing Calculator'!$C$7))</f>
        <v>-869.31815509503963</v>
      </c>
      <c r="Z288" s="16">
        <f>((X288*COS('Gearing Calculator'!$C$21))/'Gearing Calculator'!$C$22)/2</f>
        <v>107.61347695234977</v>
      </c>
      <c r="AA288" s="16">
        <f>Y288/'Gearing Calculator'!$C$24</f>
        <v>-12.138597178371681</v>
      </c>
      <c r="AB288" s="16">
        <f t="shared" si="31"/>
        <v>14.024729897286292</v>
      </c>
      <c r="AC288" s="16">
        <v>100</v>
      </c>
      <c r="AD288" s="16">
        <v>0</v>
      </c>
      <c r="AE288" s="16">
        <v>285</v>
      </c>
      <c r="AF288" s="16">
        <f>IF(AC288=0,IF(O288=6,INDEX(Acceleration!$V$4:$V$110,MATCH('Track Data'!S288,Acceleration!$K$4:$K$110,0)),IF('Track Data'!O288=5,INDEX(Acceleration!$U$4:$U$110,MATCH('Track Data'!S288,Acceleration!$K$4:$K$110,0)),1)),U288)</f>
        <v>-14.71670186282954</v>
      </c>
      <c r="AG288" s="16">
        <f>IF(AC288=0,IF(O288=4,INDEX(Acceleration!$T$4:$T$110,MATCH('Track Data'!S288,Acceleration!$K$4:$K$110,0)),IF('Track Data'!O288=3,INDEX(Acceleration!$S$4:$S$110,MATCH('Track Data'!S288,Acceleration!$K$4:$K$110,0)),'Track Data'!AF288)),'Track Data'!U288)</f>
        <v>-14.71670186282954</v>
      </c>
      <c r="AH288" s="16">
        <f>IF(AC288=0,IF(O288=2,INDEX(Acceleration!$R$4:$R$110,MATCH('Track Data'!S288,Acceleration!$K$4:$K$110,0)),IF('Track Data'!O288=1,INDEX(Acceleration!$Q$4:$Q$110,MATCH('Track Data'!S288,Acceleration!$K$4:$K$110,0)),'Track Data'!AG288)),'Track Data'!U288)</f>
        <v>-14.71670186282954</v>
      </c>
    </row>
    <row r="289" spans="2:34" x14ac:dyDescent="0.25">
      <c r="B289" s="16">
        <v>201.84800000000001</v>
      </c>
      <c r="C289" s="16">
        <v>7559</v>
      </c>
      <c r="D289" s="16">
        <v>286</v>
      </c>
      <c r="E289" s="113">
        <v>84</v>
      </c>
      <c r="F289" s="113">
        <v>83.4</v>
      </c>
      <c r="G289" s="113">
        <v>86</v>
      </c>
      <c r="H289" s="113">
        <f t="shared" si="32"/>
        <v>23.888888888888889</v>
      </c>
      <c r="I289" s="113">
        <v>-2.2000000000000002</v>
      </c>
      <c r="J289" s="113">
        <v>84.9</v>
      </c>
      <c r="K289" s="113">
        <v>1.8</v>
      </c>
      <c r="L289" s="189"/>
      <c r="M289" s="16">
        <v>286</v>
      </c>
      <c r="N289" s="16">
        <f t="shared" si="34"/>
        <v>3.2662379938110143E-2</v>
      </c>
      <c r="O289" s="16">
        <v>6</v>
      </c>
      <c r="P289" s="16">
        <f t="shared" si="29"/>
        <v>7.3113821138211375</v>
      </c>
      <c r="Q289" s="16">
        <f t="shared" si="35"/>
        <v>30.616262559398184</v>
      </c>
      <c r="R289" s="113">
        <f t="shared" si="30"/>
        <v>311.95699999999999</v>
      </c>
      <c r="S289" s="16">
        <f>IF(S288=15800,15800,ROUND((((Q289*60)/'Gearing Calculator'!$C$14)*'Track Data'!P289),-2))</f>
        <v>6800</v>
      </c>
      <c r="T289" s="16">
        <f t="shared" si="33"/>
        <v>-14.71670186282954</v>
      </c>
      <c r="U289" s="16">
        <f>IF(AC289=100,Braking!$AG$2354,IF(AC289=50,Braking!$AG$1179,IF(AC289=75,Braking!$AG$1767,0)))</f>
        <v>-14.71670186282954</v>
      </c>
      <c r="V289" s="16">
        <f>0.5*'Gearing Calculator'!$C$15*'Gearing Calculator'!$C$20*'Gearing Calculator'!$W$20*('Track Data'!Q289^2)</f>
        <v>99.209709623939773</v>
      </c>
      <c r="W289" s="16">
        <f>('Gearing Calculator'!$U$9*'Track Data'!T289)+'Track Data'!V289</f>
        <v>-3818.3763262612833</v>
      </c>
      <c r="X289" s="16">
        <f>('Gearing Calculator'!$U$9*9.81)*('Gearing Calculator'!$U$16/'Gearing Calculator'!$C$7)-(('Track Data'!W289)*('Gearing Calculator'!$U$17/'Gearing Calculator'!$C$7))</f>
        <v>3482.4381689862512</v>
      </c>
      <c r="Y289" s="16">
        <f>('Gearing Calculator'!$U$9*9.81)*(('Gearing Calculator'!$C$7-'Gearing Calculator'!$U$16)/'Gearing Calculator'!$C$7)+(('Track Data'!W289)*('Gearing Calculator'!$U$17/'Gearing Calculator'!$C$7))</f>
        <v>-871.01616898625139</v>
      </c>
      <c r="Z289" s="16">
        <f>((X289*COS('Gearing Calculator'!$C$21))/'Gearing Calculator'!$C$22)/2</f>
        <v>107.66597417150564</v>
      </c>
      <c r="AA289" s="16">
        <f>Y289/'Gearing Calculator'!$C$24</f>
        <v>-12.162307147510017</v>
      </c>
      <c r="AB289" s="16">
        <f t="shared" si="31"/>
        <v>10.90949844696253</v>
      </c>
      <c r="AC289" s="16">
        <v>100</v>
      </c>
      <c r="AD289" s="16">
        <v>0</v>
      </c>
      <c r="AE289" s="16">
        <v>286</v>
      </c>
      <c r="AF289" s="16">
        <f>IF(AC289=0,IF(O289=6,INDEX(Acceleration!$V$4:$V$110,MATCH('Track Data'!S289,Acceleration!$K$4:$K$110,0)),IF('Track Data'!O289=5,INDEX(Acceleration!$U$4:$U$110,MATCH('Track Data'!S289,Acceleration!$K$4:$K$110,0)),1)),U289)</f>
        <v>-14.71670186282954</v>
      </c>
      <c r="AG289" s="16">
        <f>IF(AC289=0,IF(O289=4,INDEX(Acceleration!$T$4:$T$110,MATCH('Track Data'!S289,Acceleration!$K$4:$K$110,0)),IF('Track Data'!O289=3,INDEX(Acceleration!$S$4:$S$110,MATCH('Track Data'!S289,Acceleration!$K$4:$K$110,0)),'Track Data'!AF289)),'Track Data'!U289)</f>
        <v>-14.71670186282954</v>
      </c>
      <c r="AH289" s="16">
        <f>IF(AC289=0,IF(O289=2,INDEX(Acceleration!$R$4:$R$110,MATCH('Track Data'!S289,Acceleration!$K$4:$K$110,0)),IF('Track Data'!O289=1,INDEX(Acceleration!$Q$4:$Q$110,MATCH('Track Data'!S289,Acceleration!$K$4:$K$110,0)),'Track Data'!AG289)),'Track Data'!U289)</f>
        <v>-14.71670186282954</v>
      </c>
    </row>
    <row r="290" spans="2:34" x14ac:dyDescent="0.25">
      <c r="B290" s="16">
        <v>201.89099999999999</v>
      </c>
      <c r="C290" s="16">
        <v>7560</v>
      </c>
      <c r="D290" s="16">
        <v>287</v>
      </c>
      <c r="E290" s="113">
        <v>80</v>
      </c>
      <c r="F290" s="113">
        <v>82.1</v>
      </c>
      <c r="G290" s="113">
        <v>84.9</v>
      </c>
      <c r="H290" s="113">
        <f t="shared" si="32"/>
        <v>23.583333333333336</v>
      </c>
      <c r="I290" s="113">
        <v>-2.9</v>
      </c>
      <c r="J290" s="113">
        <v>87.72</v>
      </c>
      <c r="K290" s="113">
        <v>2.2999999999999998</v>
      </c>
      <c r="L290" s="189"/>
      <c r="M290" s="16">
        <v>287</v>
      </c>
      <c r="N290" s="16">
        <f t="shared" si="34"/>
        <v>3.3187588704177082E-2</v>
      </c>
      <c r="O290" s="16">
        <v>6</v>
      </c>
      <c r="P290" s="16">
        <f t="shared" si="29"/>
        <v>7.3113821138211375</v>
      </c>
      <c r="Q290" s="16">
        <f t="shared" si="35"/>
        <v>30.131746205295634</v>
      </c>
      <c r="R290" s="113">
        <f t="shared" si="30"/>
        <v>311.95699999999999</v>
      </c>
      <c r="S290" s="16">
        <f>IF(S289=15800,15800,ROUND((((Q290*60)/'Gearing Calculator'!$C$14)*'Track Data'!P290),-2))</f>
        <v>6700</v>
      </c>
      <c r="T290" s="16">
        <f t="shared" si="33"/>
        <v>-14.71670186282954</v>
      </c>
      <c r="U290" s="16">
        <f>IF(AC290=100,Braking!$AG$2354,IF(AC290=50,Braking!$AG$1179,IF(AC290=75,Braking!$AG$1767,0)))</f>
        <v>-14.71670186282954</v>
      </c>
      <c r="V290" s="16">
        <f>0.5*'Gearing Calculator'!$C$15*'Gearing Calculator'!$C$20*'Gearing Calculator'!$W$20*('Track Data'!Q290^2)</f>
        <v>96.094478173616011</v>
      </c>
      <c r="W290" s="16">
        <f>('Gearing Calculator'!$U$9*'Track Data'!T290)+'Track Data'!V290</f>
        <v>-3821.4915577116071</v>
      </c>
      <c r="X290" s="16">
        <f>('Gearing Calculator'!$U$9*9.81)*('Gearing Calculator'!$U$16/'Gearing Calculator'!$C$7)-(('Track Data'!W290)*('Gearing Calculator'!$U$17/'Gearing Calculator'!$C$7))</f>
        <v>3484.1361828774634</v>
      </c>
      <c r="Y290" s="16">
        <f>('Gearing Calculator'!$U$9*9.81)*(('Gearing Calculator'!$C$7-'Gearing Calculator'!$U$16)/'Gearing Calculator'!$C$7)+(('Track Data'!W290)*('Gearing Calculator'!$U$17/'Gearing Calculator'!$C$7))</f>
        <v>-872.71418287746314</v>
      </c>
      <c r="Z290" s="16">
        <f>((X290*COS('Gearing Calculator'!$C$21))/'Gearing Calculator'!$C$22)/2</f>
        <v>107.71847139066152</v>
      </c>
      <c r="AA290" s="16">
        <f>Y290/'Gearing Calculator'!$C$24</f>
        <v>-12.186017116648353</v>
      </c>
      <c r="AB290" s="16">
        <f t="shared" si="31"/>
        <v>7.7942669966387683</v>
      </c>
      <c r="AC290" s="16">
        <v>100</v>
      </c>
      <c r="AD290" s="16">
        <v>0</v>
      </c>
      <c r="AE290" s="16">
        <v>287</v>
      </c>
      <c r="AF290" s="16">
        <f>IF(AC290=0,IF(O290=6,INDEX(Acceleration!$V$4:$V$110,MATCH('Track Data'!S290,Acceleration!$K$4:$K$110,0)),IF('Track Data'!O290=5,INDEX(Acceleration!$U$4:$U$110,MATCH('Track Data'!S290,Acceleration!$K$4:$K$110,0)),1)),U290)</f>
        <v>-14.71670186282954</v>
      </c>
      <c r="AG290" s="16">
        <f>IF(AC290=0,IF(O290=4,INDEX(Acceleration!$T$4:$T$110,MATCH('Track Data'!S290,Acceleration!$K$4:$K$110,0)),IF('Track Data'!O290=3,INDEX(Acceleration!$S$4:$S$110,MATCH('Track Data'!S290,Acceleration!$K$4:$K$110,0)),'Track Data'!AF290)),'Track Data'!U290)</f>
        <v>-14.71670186282954</v>
      </c>
      <c r="AH290" s="16">
        <f>IF(AC290=0,IF(O290=2,INDEX(Acceleration!$R$4:$R$110,MATCH('Track Data'!S290,Acceleration!$K$4:$K$110,0)),IF('Track Data'!O290=1,INDEX(Acceleration!$Q$4:$Q$110,MATCH('Track Data'!S290,Acceleration!$K$4:$K$110,0)),'Track Data'!AG290)),'Track Data'!U290)</f>
        <v>-14.71670186282954</v>
      </c>
    </row>
    <row r="291" spans="2:34" x14ac:dyDescent="0.25">
      <c r="B291" s="16">
        <v>201.935</v>
      </c>
      <c r="C291" s="16">
        <v>7561</v>
      </c>
      <c r="D291" s="16">
        <v>288</v>
      </c>
      <c r="E291" s="113">
        <v>79</v>
      </c>
      <c r="F291" s="113">
        <v>80.7</v>
      </c>
      <c r="G291" s="113">
        <v>84</v>
      </c>
      <c r="H291" s="113">
        <f t="shared" si="32"/>
        <v>23.333333333333332</v>
      </c>
      <c r="I291" s="113">
        <v>-3.7</v>
      </c>
      <c r="J291" s="113">
        <v>91.06</v>
      </c>
      <c r="K291" s="113">
        <v>2.2000000000000002</v>
      </c>
      <c r="L291" s="189"/>
      <c r="M291" s="16">
        <v>288</v>
      </c>
      <c r="N291" s="16">
        <f t="shared" si="34"/>
        <v>3.3738976509509265E-2</v>
      </c>
      <c r="O291" s="16">
        <v>6</v>
      </c>
      <c r="P291" s="16">
        <f t="shared" si="29"/>
        <v>7.3113821138211375</v>
      </c>
      <c r="Q291" s="16">
        <f t="shared" si="35"/>
        <v>29.639310478732273</v>
      </c>
      <c r="R291" s="113">
        <f t="shared" si="30"/>
        <v>311.95699999999999</v>
      </c>
      <c r="S291" s="16">
        <f>IF(S290=15800,15800,ROUND((((Q291*60)/'Gearing Calculator'!$C$14)*'Track Data'!P291),-2))</f>
        <v>6600</v>
      </c>
      <c r="T291" s="16">
        <f t="shared" si="33"/>
        <v>-14.71670186282954</v>
      </c>
      <c r="U291" s="16">
        <f>IF(AC291=100,Braking!$AG$2354,IF(AC291=50,Braking!$AG$1179,IF(AC291=75,Braking!$AG$1767,0)))</f>
        <v>-14.71670186282954</v>
      </c>
      <c r="V291" s="16">
        <f>0.5*'Gearing Calculator'!$C$15*'Gearing Calculator'!$C$20*'Gearing Calculator'!$W$20*('Track Data'!Q291^2)</f>
        <v>92.979246723292249</v>
      </c>
      <c r="W291" s="16">
        <f>('Gearing Calculator'!$U$9*'Track Data'!T291)+'Track Data'!V291</f>
        <v>-3824.6067891619309</v>
      </c>
      <c r="X291" s="16">
        <f>('Gearing Calculator'!$U$9*9.81)*('Gearing Calculator'!$U$16/'Gearing Calculator'!$C$7)-(('Track Data'!W291)*('Gearing Calculator'!$U$17/'Gearing Calculator'!$C$7))</f>
        <v>3485.8341967686747</v>
      </c>
      <c r="Y291" s="16">
        <f>('Gearing Calculator'!$U$9*9.81)*(('Gearing Calculator'!$C$7-'Gearing Calculator'!$U$16)/'Gearing Calculator'!$C$7)+(('Track Data'!W291)*('Gearing Calculator'!$U$17/'Gearing Calculator'!$C$7))</f>
        <v>-874.4121967686749</v>
      </c>
      <c r="Z291" s="16">
        <f>((X291*COS('Gearing Calculator'!$C$21))/'Gearing Calculator'!$C$22)/2</f>
        <v>107.7709686098174</v>
      </c>
      <c r="AA291" s="16">
        <f>Y291/'Gearing Calculator'!$C$24</f>
        <v>-12.209727085786691</v>
      </c>
      <c r="AB291" s="16">
        <f t="shared" si="31"/>
        <v>4.6790355463150064</v>
      </c>
      <c r="AC291" s="16">
        <v>100</v>
      </c>
      <c r="AD291" s="16">
        <v>0</v>
      </c>
      <c r="AE291" s="16">
        <v>288</v>
      </c>
      <c r="AF291" s="16">
        <f>IF(AC291=0,IF(O291=6,INDEX(Acceleration!$V$4:$V$110,MATCH('Track Data'!S291,Acceleration!$K$4:$K$110,0)),IF('Track Data'!O291=5,INDEX(Acceleration!$U$4:$U$110,MATCH('Track Data'!S291,Acceleration!$K$4:$K$110,0)),1)),U291)</f>
        <v>-14.71670186282954</v>
      </c>
      <c r="AG291" s="16">
        <f>IF(AC291=0,IF(O291=4,INDEX(Acceleration!$T$4:$T$110,MATCH('Track Data'!S291,Acceleration!$K$4:$K$110,0)),IF('Track Data'!O291=3,INDEX(Acceleration!$S$4:$S$110,MATCH('Track Data'!S291,Acceleration!$K$4:$K$110,0)),'Track Data'!AF291)),'Track Data'!U291)</f>
        <v>-14.71670186282954</v>
      </c>
      <c r="AH291" s="16">
        <f>IF(AC291=0,IF(O291=2,INDEX(Acceleration!$R$4:$R$110,MATCH('Track Data'!S291,Acceleration!$K$4:$K$110,0)),IF('Track Data'!O291=1,INDEX(Acceleration!$Q$4:$Q$110,MATCH('Track Data'!S291,Acceleration!$K$4:$K$110,0)),'Track Data'!AG291)),'Track Data'!U291)</f>
        <v>-14.71670186282954</v>
      </c>
    </row>
    <row r="292" spans="2:34" x14ac:dyDescent="0.25">
      <c r="B292" s="16">
        <v>201.97900000000001</v>
      </c>
      <c r="C292" s="16">
        <v>7562</v>
      </c>
      <c r="D292" s="16">
        <v>289</v>
      </c>
      <c r="E292" s="113">
        <v>80</v>
      </c>
      <c r="F292" s="113">
        <v>80.8</v>
      </c>
      <c r="G292" s="113">
        <v>83.3</v>
      </c>
      <c r="H292" s="113">
        <f t="shared" si="32"/>
        <v>23.138888888888889</v>
      </c>
      <c r="I292" s="113">
        <v>-3.7</v>
      </c>
      <c r="J292" s="113">
        <v>91.72</v>
      </c>
      <c r="K292" s="113">
        <v>1.2</v>
      </c>
      <c r="L292" s="189"/>
      <c r="M292" s="16">
        <v>289</v>
      </c>
      <c r="N292" s="16">
        <f t="shared" si="34"/>
        <v>3.4318793042655046E-2</v>
      </c>
      <c r="O292" s="16">
        <v>6</v>
      </c>
      <c r="P292" s="16">
        <f t="shared" si="29"/>
        <v>7.3113821138211375</v>
      </c>
      <c r="Q292" s="16">
        <f t="shared" si="35"/>
        <v>29.138553875047226</v>
      </c>
      <c r="R292" s="113">
        <f t="shared" si="30"/>
        <v>311.95699999999999</v>
      </c>
      <c r="S292" s="16">
        <f>IF(S291=15800,15800,ROUND((((Q292*60)/'Gearing Calculator'!$C$14)*'Track Data'!P292),-2))</f>
        <v>6500</v>
      </c>
      <c r="T292" s="16">
        <f t="shared" si="33"/>
        <v>-14.71670186282954</v>
      </c>
      <c r="U292" s="16">
        <f>IF(AC292=100,Braking!$AG$2354,IF(AC292=50,Braking!$AG$1179,IF(AC292=75,Braking!$AG$1767,0)))</f>
        <v>-14.71670186282954</v>
      </c>
      <c r="V292" s="16">
        <f>0.5*'Gearing Calculator'!$C$15*'Gearing Calculator'!$C$20*'Gearing Calculator'!$W$20*('Track Data'!Q292^2)</f>
        <v>89.864015272968487</v>
      </c>
      <c r="W292" s="16">
        <f>('Gearing Calculator'!$U$9*'Track Data'!T292)+'Track Data'!V292</f>
        <v>-3827.7220206122547</v>
      </c>
      <c r="X292" s="16">
        <f>('Gearing Calculator'!$U$9*9.81)*('Gearing Calculator'!$U$16/'Gearing Calculator'!$C$7)-(('Track Data'!W292)*('Gearing Calculator'!$U$17/'Gearing Calculator'!$C$7))</f>
        <v>3487.5322106598869</v>
      </c>
      <c r="Y292" s="16">
        <f>('Gearing Calculator'!$U$9*9.81)*(('Gearing Calculator'!$C$7-'Gearing Calculator'!$U$16)/'Gearing Calculator'!$C$7)+(('Track Data'!W292)*('Gearing Calculator'!$U$17/'Gearing Calculator'!$C$7))</f>
        <v>-876.11021065988666</v>
      </c>
      <c r="Z292" s="16">
        <f>((X292*COS('Gearing Calculator'!$C$21))/'Gearing Calculator'!$C$22)/2</f>
        <v>107.82346582897327</v>
      </c>
      <c r="AA292" s="16">
        <f>Y292/'Gearing Calculator'!$C$24</f>
        <v>-12.233437054925027</v>
      </c>
      <c r="AB292" s="16">
        <f t="shared" si="31"/>
        <v>1.5638040959912445</v>
      </c>
      <c r="AC292" s="16">
        <v>100</v>
      </c>
      <c r="AD292" s="16">
        <v>0</v>
      </c>
      <c r="AE292" s="16">
        <v>289</v>
      </c>
      <c r="AF292" s="16">
        <f>IF(AC292=0,IF(O292=6,INDEX(Acceleration!$V$4:$V$110,MATCH('Track Data'!S292,Acceleration!$K$4:$K$110,0)),IF('Track Data'!O292=5,INDEX(Acceleration!$U$4:$U$110,MATCH('Track Data'!S292,Acceleration!$K$4:$K$110,0)),1)),U292)</f>
        <v>-14.71670186282954</v>
      </c>
      <c r="AG292" s="16">
        <f>IF(AC292=0,IF(O292=4,INDEX(Acceleration!$T$4:$T$110,MATCH('Track Data'!S292,Acceleration!$K$4:$K$110,0)),IF('Track Data'!O292=3,INDEX(Acceleration!$S$4:$S$110,MATCH('Track Data'!S292,Acceleration!$K$4:$K$110,0)),'Track Data'!AF292)),'Track Data'!U292)</f>
        <v>-14.71670186282954</v>
      </c>
      <c r="AH292" s="16">
        <f>IF(AC292=0,IF(O292=2,INDEX(Acceleration!$R$4:$R$110,MATCH('Track Data'!S292,Acceleration!$K$4:$K$110,0)),IF('Track Data'!O292=1,INDEX(Acceleration!$Q$4:$Q$110,MATCH('Track Data'!S292,Acceleration!$K$4:$K$110,0)),'Track Data'!AG292)),'Track Data'!U292)</f>
        <v>-14.71670186282954</v>
      </c>
    </row>
    <row r="293" spans="2:34" x14ac:dyDescent="0.25">
      <c r="B293" s="16">
        <v>202.024</v>
      </c>
      <c r="C293" s="16">
        <v>7563</v>
      </c>
      <c r="D293" s="16">
        <v>290</v>
      </c>
      <c r="E293" s="113">
        <v>74</v>
      </c>
      <c r="F293" s="113">
        <v>78.8</v>
      </c>
      <c r="G293" s="113">
        <v>82.4</v>
      </c>
      <c r="H293" s="113">
        <f t="shared" si="32"/>
        <v>22.888888888888889</v>
      </c>
      <c r="I293" s="113">
        <v>-3.7</v>
      </c>
      <c r="J293" s="113">
        <v>96.2</v>
      </c>
      <c r="K293" s="113">
        <v>0.9</v>
      </c>
      <c r="L293" s="189"/>
      <c r="M293" s="16">
        <v>290</v>
      </c>
      <c r="N293" s="16">
        <f t="shared" si="34"/>
        <v>3.4929568298574111E-2</v>
      </c>
      <c r="O293" s="16">
        <v>6</v>
      </c>
      <c r="P293" s="16">
        <f t="shared" si="29"/>
        <v>7.3113821138211375</v>
      </c>
      <c r="Q293" s="16">
        <f t="shared" si="35"/>
        <v>28.629039770892955</v>
      </c>
      <c r="R293" s="113">
        <f t="shared" si="30"/>
        <v>311.95699999999999</v>
      </c>
      <c r="S293" s="16">
        <f>IF(S292=15800,15800,ROUND((((Q293*60)/'Gearing Calculator'!$C$14)*'Track Data'!P293),-2))</f>
        <v>6300</v>
      </c>
      <c r="T293" s="16">
        <f t="shared" si="33"/>
        <v>-14.71670186282954</v>
      </c>
      <c r="U293" s="16">
        <f>IF(AC293=100,Braking!$AG$2354,IF(AC293=50,Braking!$AG$1179,IF(AC293=75,Braking!$AG$1767,0)))</f>
        <v>-14.71670186282954</v>
      </c>
      <c r="V293" s="16">
        <f>0.5*'Gearing Calculator'!$C$15*'Gearing Calculator'!$C$20*'Gearing Calculator'!$W$20*('Track Data'!Q293^2)</f>
        <v>86.748783822644739</v>
      </c>
      <c r="W293" s="16">
        <f>('Gearing Calculator'!$U$9*'Track Data'!T293)+'Track Data'!V293</f>
        <v>-3830.8372520625785</v>
      </c>
      <c r="X293" s="16">
        <f>('Gearing Calculator'!$U$9*9.81)*('Gearing Calculator'!$U$16/'Gearing Calculator'!$C$7)-(('Track Data'!W293)*('Gearing Calculator'!$U$17/'Gearing Calculator'!$C$7))</f>
        <v>3489.2302245510982</v>
      </c>
      <c r="Y293" s="16">
        <f>('Gearing Calculator'!$U$9*9.81)*(('Gearing Calculator'!$C$7-'Gearing Calculator'!$U$16)/'Gearing Calculator'!$C$7)+(('Track Data'!W293)*('Gearing Calculator'!$U$17/'Gearing Calculator'!$C$7))</f>
        <v>-877.80822455109842</v>
      </c>
      <c r="Z293" s="16">
        <f>((X293*COS('Gearing Calculator'!$C$21))/'Gearing Calculator'!$C$22)/2</f>
        <v>107.87596304812915</v>
      </c>
      <c r="AA293" s="16">
        <f>Y293/'Gearing Calculator'!$C$24</f>
        <v>-12.257147024063363</v>
      </c>
      <c r="AB293" s="16">
        <f t="shared" si="31"/>
        <v>-1.5514273543325032</v>
      </c>
      <c r="AC293" s="16">
        <v>100</v>
      </c>
      <c r="AD293" s="16">
        <v>0</v>
      </c>
      <c r="AE293" s="16">
        <v>290</v>
      </c>
      <c r="AF293" s="16">
        <f>IF(AC293=0,IF(O293=6,INDEX(Acceleration!$V$4:$V$110,MATCH('Track Data'!S293,Acceleration!$K$4:$K$110,0)),IF('Track Data'!O293=5,INDEX(Acceleration!$U$4:$U$110,MATCH('Track Data'!S293,Acceleration!$K$4:$K$110,0)),1)),U293)</f>
        <v>-14.71670186282954</v>
      </c>
      <c r="AG293" s="16">
        <f>IF(AC293=0,IF(O293=4,INDEX(Acceleration!$T$4:$T$110,MATCH('Track Data'!S293,Acceleration!$K$4:$K$110,0)),IF('Track Data'!O293=3,INDEX(Acceleration!$S$4:$S$110,MATCH('Track Data'!S293,Acceleration!$K$4:$K$110,0)),'Track Data'!AF293)),'Track Data'!U293)</f>
        <v>-14.71670186282954</v>
      </c>
      <c r="AH293" s="16">
        <f>IF(AC293=0,IF(O293=2,INDEX(Acceleration!$R$4:$R$110,MATCH('Track Data'!S293,Acceleration!$K$4:$K$110,0)),IF('Track Data'!O293=1,INDEX(Acceleration!$Q$4:$Q$110,MATCH('Track Data'!S293,Acceleration!$K$4:$K$110,0)),'Track Data'!AG293)),'Track Data'!U293)</f>
        <v>-14.71670186282954</v>
      </c>
    </row>
    <row r="294" spans="2:34" x14ac:dyDescent="0.25">
      <c r="B294" s="16">
        <v>202.06899999999999</v>
      </c>
      <c r="C294" s="16">
        <v>7564</v>
      </c>
      <c r="D294" s="16">
        <v>291</v>
      </c>
      <c r="E294" s="113">
        <v>72</v>
      </c>
      <c r="F294" s="113">
        <v>77.3</v>
      </c>
      <c r="G294" s="113">
        <v>81.599999999999994</v>
      </c>
      <c r="H294" s="113">
        <f t="shared" si="32"/>
        <v>22.666666666666664</v>
      </c>
      <c r="I294" s="113">
        <v>-3.7</v>
      </c>
      <c r="J294" s="113">
        <v>96.03</v>
      </c>
      <c r="K294" s="113">
        <v>1.5</v>
      </c>
      <c r="L294" s="189"/>
      <c r="M294" s="16">
        <v>291</v>
      </c>
      <c r="N294" s="16">
        <f t="shared" si="34"/>
        <v>3.5574159143172829E-2</v>
      </c>
      <c r="O294" s="16">
        <v>6</v>
      </c>
      <c r="P294" s="16">
        <f t="shared" si="29"/>
        <v>7.3113821138211375</v>
      </c>
      <c r="Q294" s="16">
        <f t="shared" si="35"/>
        <v>28.110291967137435</v>
      </c>
      <c r="R294" s="113">
        <f t="shared" si="30"/>
        <v>311.95699999999999</v>
      </c>
      <c r="S294" s="16">
        <f>IF(S293=15800,15800,ROUND((((Q294*60)/'Gearing Calculator'!$C$14)*'Track Data'!P294),-2))</f>
        <v>6200</v>
      </c>
      <c r="T294" s="16">
        <f t="shared" si="33"/>
        <v>-14.71670186282954</v>
      </c>
      <c r="U294" s="16">
        <f>IF(AC294=100,Braking!$AG$2354,IF(AC294=50,Braking!$AG$1179,IF(AC294=75,Braking!$AG$1767,0)))</f>
        <v>-14.71670186282954</v>
      </c>
      <c r="V294" s="16">
        <f>0.5*'Gearing Calculator'!$C$15*'Gearing Calculator'!$C$20*'Gearing Calculator'!$W$20*('Track Data'!Q294^2)</f>
        <v>83.633552372320977</v>
      </c>
      <c r="W294" s="16">
        <f>('Gearing Calculator'!$U$9*'Track Data'!T294)+'Track Data'!V294</f>
        <v>-3833.9524835129023</v>
      </c>
      <c r="X294" s="16">
        <f>('Gearing Calculator'!$U$9*9.81)*('Gearing Calculator'!$U$16/'Gearing Calculator'!$C$7)-(('Track Data'!W294)*('Gearing Calculator'!$U$17/'Gearing Calculator'!$C$7))</f>
        <v>3490.9282384423104</v>
      </c>
      <c r="Y294" s="16">
        <f>('Gearing Calculator'!$U$9*9.81)*(('Gearing Calculator'!$C$7-'Gearing Calculator'!$U$16)/'Gearing Calculator'!$C$7)+(('Track Data'!W294)*('Gearing Calculator'!$U$17/'Gearing Calculator'!$C$7))</f>
        <v>-879.50623844231018</v>
      </c>
      <c r="Z294" s="16">
        <f>((X294*COS('Gearing Calculator'!$C$21))/'Gearing Calculator'!$C$22)/2</f>
        <v>107.92846026728503</v>
      </c>
      <c r="AA294" s="16">
        <f>Y294/'Gearing Calculator'!$C$24</f>
        <v>-12.280856993201699</v>
      </c>
      <c r="AB294" s="16">
        <f t="shared" si="31"/>
        <v>-4.6666588046562651</v>
      </c>
      <c r="AC294" s="16">
        <v>100</v>
      </c>
      <c r="AD294" s="16">
        <v>0</v>
      </c>
      <c r="AE294" s="16">
        <v>291</v>
      </c>
      <c r="AF294" s="16">
        <f>IF(AC294=0,IF(O294=6,INDEX(Acceleration!$V$4:$V$110,MATCH('Track Data'!S294,Acceleration!$K$4:$K$110,0)),IF('Track Data'!O294=5,INDEX(Acceleration!$U$4:$U$110,MATCH('Track Data'!S294,Acceleration!$K$4:$K$110,0)),1)),U294)</f>
        <v>-14.71670186282954</v>
      </c>
      <c r="AG294" s="16">
        <f>IF(AC294=0,IF(O294=4,INDEX(Acceleration!$T$4:$T$110,MATCH('Track Data'!S294,Acceleration!$K$4:$K$110,0)),IF('Track Data'!O294=3,INDEX(Acceleration!$S$4:$S$110,MATCH('Track Data'!S294,Acceleration!$K$4:$K$110,0)),'Track Data'!AF294)),'Track Data'!U294)</f>
        <v>-14.71670186282954</v>
      </c>
      <c r="AH294" s="16">
        <f>IF(AC294=0,IF(O294=2,INDEX(Acceleration!$R$4:$R$110,MATCH('Track Data'!S294,Acceleration!$K$4:$K$110,0)),IF('Track Data'!O294=1,INDEX(Acceleration!$Q$4:$Q$110,MATCH('Track Data'!S294,Acceleration!$K$4:$K$110,0)),'Track Data'!AG294)),'Track Data'!U294)</f>
        <v>-14.71670186282954</v>
      </c>
    </row>
    <row r="295" spans="2:34" x14ac:dyDescent="0.25">
      <c r="B295" s="16">
        <v>202.11600000000001</v>
      </c>
      <c r="C295" s="16">
        <v>7565</v>
      </c>
      <c r="D295" s="16">
        <v>292</v>
      </c>
      <c r="E295" s="113">
        <v>70</v>
      </c>
      <c r="F295" s="113">
        <v>76.900000000000006</v>
      </c>
      <c r="G295" s="113">
        <v>80.7</v>
      </c>
      <c r="H295" s="113">
        <f t="shared" si="32"/>
        <v>22.416666666666668</v>
      </c>
      <c r="I295" s="113">
        <v>-3.7</v>
      </c>
      <c r="J295" s="113">
        <v>96.12</v>
      </c>
      <c r="K295" s="113">
        <v>0.8</v>
      </c>
      <c r="L295" s="189"/>
      <c r="M295" s="16">
        <v>292</v>
      </c>
      <c r="N295" s="16">
        <f t="shared" si="34"/>
        <v>3.6255805695089745E-2</v>
      </c>
      <c r="O295" s="16">
        <v>6</v>
      </c>
      <c r="P295" s="16">
        <f t="shared" si="29"/>
        <v>7.3113821138211375</v>
      </c>
      <c r="Q295" s="16">
        <f t="shared" si="35"/>
        <v>27.581789476972887</v>
      </c>
      <c r="R295" s="113">
        <f t="shared" si="30"/>
        <v>311.95699999999999</v>
      </c>
      <c r="S295" s="16">
        <f>IF(S294=15800,15800,ROUND((((Q295*60)/'Gearing Calculator'!$C$14)*'Track Data'!P295),-2))</f>
        <v>6100</v>
      </c>
      <c r="T295" s="16">
        <f t="shared" si="33"/>
        <v>-14.71670186282954</v>
      </c>
      <c r="U295" s="16">
        <f>IF(AC295=100,Braking!$AG$2354,IF(AC295=50,Braking!$AG$1179,IF(AC295=75,Braking!$AG$1767,0)))</f>
        <v>-14.71670186282954</v>
      </c>
      <c r="V295" s="16">
        <f>0.5*'Gearing Calculator'!$C$15*'Gearing Calculator'!$C$20*'Gearing Calculator'!$W$20*('Track Data'!Q295^2)</f>
        <v>80.518320921997201</v>
      </c>
      <c r="W295" s="16">
        <f>('Gearing Calculator'!$U$9*'Track Data'!T295)+'Track Data'!V295</f>
        <v>-3837.0677149632261</v>
      </c>
      <c r="X295" s="16">
        <f>('Gearing Calculator'!$U$9*9.81)*('Gearing Calculator'!$U$16/'Gearing Calculator'!$C$7)-(('Track Data'!W295)*('Gearing Calculator'!$U$17/'Gearing Calculator'!$C$7))</f>
        <v>3492.6262523335226</v>
      </c>
      <c r="Y295" s="16">
        <f>('Gearing Calculator'!$U$9*9.81)*(('Gearing Calculator'!$C$7-'Gearing Calculator'!$U$16)/'Gearing Calculator'!$C$7)+(('Track Data'!W295)*('Gearing Calculator'!$U$17/'Gearing Calculator'!$C$7))</f>
        <v>-881.20425233352239</v>
      </c>
      <c r="Z295" s="16">
        <f>((X295*COS('Gearing Calculator'!$C$21))/'Gearing Calculator'!$C$22)/2</f>
        <v>107.98095748644091</v>
      </c>
      <c r="AA295" s="16">
        <f>Y295/'Gearing Calculator'!$C$24</f>
        <v>-12.304566962340042</v>
      </c>
      <c r="AB295" s="16">
        <f t="shared" si="31"/>
        <v>-7.7818902549800413</v>
      </c>
      <c r="AC295" s="16">
        <v>100</v>
      </c>
      <c r="AD295" s="16">
        <v>0</v>
      </c>
      <c r="AE295" s="16">
        <v>292</v>
      </c>
      <c r="AF295" s="16">
        <f>IF(AC295=0,IF(O295=6,INDEX(Acceleration!$V$4:$V$110,MATCH('Track Data'!S295,Acceleration!$K$4:$K$110,0)),IF('Track Data'!O295=5,INDEX(Acceleration!$U$4:$U$110,MATCH('Track Data'!S295,Acceleration!$K$4:$K$110,0)),1)),U295)</f>
        <v>-14.71670186282954</v>
      </c>
      <c r="AG295" s="16">
        <f>IF(AC295=0,IF(O295=4,INDEX(Acceleration!$T$4:$T$110,MATCH('Track Data'!S295,Acceleration!$K$4:$K$110,0)),IF('Track Data'!O295=3,INDEX(Acceleration!$S$4:$S$110,MATCH('Track Data'!S295,Acceleration!$K$4:$K$110,0)),'Track Data'!AF295)),'Track Data'!U295)</f>
        <v>-14.71670186282954</v>
      </c>
      <c r="AH295" s="16">
        <f>IF(AC295=0,IF(O295=2,INDEX(Acceleration!$R$4:$R$110,MATCH('Track Data'!S295,Acceleration!$K$4:$K$110,0)),IF('Track Data'!O295=1,INDEX(Acceleration!$Q$4:$Q$110,MATCH('Track Data'!S295,Acceleration!$K$4:$K$110,0)),'Track Data'!AG295)),'Track Data'!U295)</f>
        <v>-14.71670186282954</v>
      </c>
    </row>
    <row r="296" spans="2:34" x14ac:dyDescent="0.25">
      <c r="B296" s="16">
        <v>202.16300000000001</v>
      </c>
      <c r="C296" s="16">
        <v>7566</v>
      </c>
      <c r="D296" s="16">
        <v>293</v>
      </c>
      <c r="E296" s="113">
        <v>67</v>
      </c>
      <c r="F296" s="113">
        <v>75.5</v>
      </c>
      <c r="G296" s="113">
        <v>79.599999999999994</v>
      </c>
      <c r="H296" s="113">
        <f t="shared" si="32"/>
        <v>22.111111111111111</v>
      </c>
      <c r="I296" s="113">
        <v>-3.8</v>
      </c>
      <c r="J296" s="113">
        <v>95.88</v>
      </c>
      <c r="K296" s="113">
        <v>-0.6</v>
      </c>
      <c r="L296" s="189"/>
      <c r="M296" s="16">
        <v>293</v>
      </c>
      <c r="N296" s="16">
        <f t="shared" si="34"/>
        <v>3.6978200068507931E-2</v>
      </c>
      <c r="O296" s="16">
        <v>6</v>
      </c>
      <c r="P296" s="16">
        <f t="shared" si="29"/>
        <v>7.3113821138211375</v>
      </c>
      <c r="Q296" s="16">
        <f t="shared" si="35"/>
        <v>27.042960396864711</v>
      </c>
      <c r="R296" s="113">
        <f t="shared" si="30"/>
        <v>311.95699999999999</v>
      </c>
      <c r="S296" s="16">
        <f>IF(S295=15800,15800,ROUND((((Q296*60)/'Gearing Calculator'!$C$14)*'Track Data'!P296),-2))</f>
        <v>6000</v>
      </c>
      <c r="T296" s="16">
        <f t="shared" si="33"/>
        <v>-14.71670186282954</v>
      </c>
      <c r="U296" s="16">
        <f>IF(AC296=100,Braking!$AG$2354,IF(AC296=50,Braking!$AG$1179,IF(AC296=75,Braking!$AG$1767,0)))</f>
        <v>-14.71670186282954</v>
      </c>
      <c r="V296" s="16">
        <f>0.5*'Gearing Calculator'!$C$15*'Gearing Calculator'!$C$20*'Gearing Calculator'!$W$20*('Track Data'!Q296^2)</f>
        <v>77.403089471673439</v>
      </c>
      <c r="W296" s="16">
        <f>('Gearing Calculator'!$U$9*'Track Data'!T296)+'Track Data'!V296</f>
        <v>-3840.1829464135499</v>
      </c>
      <c r="X296" s="16">
        <f>('Gearing Calculator'!$U$9*9.81)*('Gearing Calculator'!$U$16/'Gearing Calculator'!$C$7)-(('Track Data'!W296)*('Gearing Calculator'!$U$17/'Gearing Calculator'!$C$7))</f>
        <v>3494.3242662247339</v>
      </c>
      <c r="Y296" s="16">
        <f>('Gearing Calculator'!$U$9*9.81)*(('Gearing Calculator'!$C$7-'Gearing Calculator'!$U$16)/'Gearing Calculator'!$C$7)+(('Track Data'!W296)*('Gearing Calculator'!$U$17/'Gearing Calculator'!$C$7))</f>
        <v>-882.90226622473415</v>
      </c>
      <c r="Z296" s="16">
        <f>((X296*COS('Gearing Calculator'!$C$21))/'Gearing Calculator'!$C$22)/2</f>
        <v>108.0334547055968</v>
      </c>
      <c r="AA296" s="16">
        <f>Y296/'Gearing Calculator'!$C$24</f>
        <v>-12.328276931478378</v>
      </c>
      <c r="AB296" s="16">
        <f t="shared" si="31"/>
        <v>-10.897121705303803</v>
      </c>
      <c r="AC296" s="16">
        <v>100</v>
      </c>
      <c r="AD296" s="16">
        <v>0</v>
      </c>
      <c r="AE296" s="16">
        <v>293</v>
      </c>
      <c r="AF296" s="16">
        <f>IF(AC296=0,IF(O296=6,INDEX(Acceleration!$V$4:$V$110,MATCH('Track Data'!S296,Acceleration!$K$4:$K$110,0)),IF('Track Data'!O296=5,INDEX(Acceleration!$U$4:$U$110,MATCH('Track Data'!S296,Acceleration!$K$4:$K$110,0)),1)),U296)</f>
        <v>-14.71670186282954</v>
      </c>
      <c r="AG296" s="16">
        <f>IF(AC296=0,IF(O296=4,INDEX(Acceleration!$T$4:$T$110,MATCH('Track Data'!S296,Acceleration!$K$4:$K$110,0)),IF('Track Data'!O296=3,INDEX(Acceleration!$S$4:$S$110,MATCH('Track Data'!S296,Acceleration!$K$4:$K$110,0)),'Track Data'!AF296)),'Track Data'!U296)</f>
        <v>-14.71670186282954</v>
      </c>
      <c r="AH296" s="16">
        <f>IF(AC296=0,IF(O296=2,INDEX(Acceleration!$R$4:$R$110,MATCH('Track Data'!S296,Acceleration!$K$4:$K$110,0)),IF('Track Data'!O296=1,INDEX(Acceleration!$Q$4:$Q$110,MATCH('Track Data'!S296,Acceleration!$K$4:$K$110,0)),'Track Data'!AG296)),'Track Data'!U296)</f>
        <v>-14.71670186282954</v>
      </c>
    </row>
    <row r="297" spans="2:34" x14ac:dyDescent="0.25">
      <c r="B297" s="16">
        <v>202.21100000000001</v>
      </c>
      <c r="C297" s="16">
        <v>7567</v>
      </c>
      <c r="D297" s="16">
        <v>294</v>
      </c>
      <c r="E297" s="113">
        <v>67</v>
      </c>
      <c r="F297" s="113">
        <v>74.599999999999994</v>
      </c>
      <c r="G297" s="113">
        <v>78.5</v>
      </c>
      <c r="H297" s="113">
        <f t="shared" si="32"/>
        <v>21.805555555555554</v>
      </c>
      <c r="I297" s="113">
        <v>-2.8</v>
      </c>
      <c r="J297" s="113">
        <v>95.61</v>
      </c>
      <c r="K297" s="113">
        <v>-0.6</v>
      </c>
      <c r="L297" s="189"/>
      <c r="M297" s="16">
        <v>294</v>
      </c>
      <c r="N297" s="16">
        <f t="shared" si="34"/>
        <v>3.7745570812933414E-2</v>
      </c>
      <c r="O297" s="16">
        <v>6</v>
      </c>
      <c r="P297" s="16">
        <f t="shared" si="29"/>
        <v>7.3113821138211375</v>
      </c>
      <c r="Q297" s="16">
        <f t="shared" si="35"/>
        <v>26.493174655007543</v>
      </c>
      <c r="R297" s="113">
        <f t="shared" si="30"/>
        <v>311.95699999999999</v>
      </c>
      <c r="S297" s="16">
        <f>IF(S296=15800,15800,ROUND((((Q297*60)/'Gearing Calculator'!$C$14)*'Track Data'!P297),-2))</f>
        <v>5900</v>
      </c>
      <c r="T297" s="16">
        <f t="shared" si="33"/>
        <v>-14.71670186282954</v>
      </c>
      <c r="U297" s="16">
        <f>IF(AC297=100,Braking!$AG$2354,IF(AC297=50,Braking!$AG$1179,IF(AC297=75,Braking!$AG$1767,0)))</f>
        <v>-14.71670186282954</v>
      </c>
      <c r="V297" s="16">
        <f>0.5*'Gearing Calculator'!$C$15*'Gearing Calculator'!$C$20*'Gearing Calculator'!$W$20*('Track Data'!Q297^2)</f>
        <v>74.287858021349678</v>
      </c>
      <c r="W297" s="16">
        <f>('Gearing Calculator'!$U$9*'Track Data'!T297)+'Track Data'!V297</f>
        <v>-3843.2981778638737</v>
      </c>
      <c r="X297" s="16">
        <f>('Gearing Calculator'!$U$9*9.81)*('Gearing Calculator'!$U$16/'Gearing Calculator'!$C$7)-(('Track Data'!W297)*('Gearing Calculator'!$U$17/'Gearing Calculator'!$C$7))</f>
        <v>3496.0222801159462</v>
      </c>
      <c r="Y297" s="16">
        <f>('Gearing Calculator'!$U$9*9.81)*(('Gearing Calculator'!$C$7-'Gearing Calculator'!$U$16)/'Gearing Calculator'!$C$7)+(('Track Data'!W297)*('Gearing Calculator'!$U$17/'Gearing Calculator'!$C$7))</f>
        <v>-884.60028011594591</v>
      </c>
      <c r="Z297" s="16">
        <f>((X297*COS('Gearing Calculator'!$C$21))/'Gearing Calculator'!$C$22)/2</f>
        <v>108.08595192475268</v>
      </c>
      <c r="AA297" s="16">
        <f>Y297/'Gearing Calculator'!$C$24</f>
        <v>-12.351986900616716</v>
      </c>
      <c r="AB297" s="16">
        <f t="shared" si="31"/>
        <v>-14.012353155627565</v>
      </c>
      <c r="AC297" s="16">
        <v>100</v>
      </c>
      <c r="AD297" s="16">
        <v>0</v>
      </c>
      <c r="AE297" s="16">
        <v>294</v>
      </c>
      <c r="AF297" s="16">
        <f>IF(AC297=0,IF(O297=6,INDEX(Acceleration!$V$4:$V$110,MATCH('Track Data'!S297,Acceleration!$K$4:$K$110,0)),IF('Track Data'!O297=5,INDEX(Acceleration!$U$4:$U$110,MATCH('Track Data'!S297,Acceleration!$K$4:$K$110,0)),1)),U297)</f>
        <v>-14.71670186282954</v>
      </c>
      <c r="AG297" s="16">
        <f>IF(AC297=0,IF(O297=4,INDEX(Acceleration!$T$4:$T$110,MATCH('Track Data'!S297,Acceleration!$K$4:$K$110,0)),IF('Track Data'!O297=3,INDEX(Acceleration!$S$4:$S$110,MATCH('Track Data'!S297,Acceleration!$K$4:$K$110,0)),'Track Data'!AF297)),'Track Data'!U297)</f>
        <v>-14.71670186282954</v>
      </c>
      <c r="AH297" s="16">
        <f>IF(AC297=0,IF(O297=2,INDEX(Acceleration!$R$4:$R$110,MATCH('Track Data'!S297,Acceleration!$K$4:$K$110,0)),IF('Track Data'!O297=1,INDEX(Acceleration!$Q$4:$Q$110,MATCH('Track Data'!S297,Acceleration!$K$4:$K$110,0)),'Track Data'!AG297)),'Track Data'!U297)</f>
        <v>-14.71670186282954</v>
      </c>
    </row>
    <row r="298" spans="2:34" x14ac:dyDescent="0.25">
      <c r="B298" s="16">
        <v>202.25899999999999</v>
      </c>
      <c r="C298" s="16">
        <v>7568</v>
      </c>
      <c r="D298" s="16">
        <v>295</v>
      </c>
      <c r="E298" s="113">
        <v>64</v>
      </c>
      <c r="F298" s="113">
        <v>73</v>
      </c>
      <c r="G298" s="113">
        <v>77.5</v>
      </c>
      <c r="H298" s="113">
        <f t="shared" si="32"/>
        <v>21.527777777777779</v>
      </c>
      <c r="I298" s="113">
        <v>-2.7</v>
      </c>
      <c r="J298" s="113">
        <v>95.57</v>
      </c>
      <c r="K298" s="113">
        <v>-0.5</v>
      </c>
      <c r="L298" s="189"/>
      <c r="M298" s="16">
        <v>295</v>
      </c>
      <c r="N298" s="16">
        <f t="shared" si="34"/>
        <v>3.8562787469755569E-2</v>
      </c>
      <c r="O298" s="16">
        <v>6</v>
      </c>
      <c r="P298" s="16">
        <f t="shared" si="29"/>
        <v>7.3113821138211375</v>
      </c>
      <c r="Q298" s="16">
        <f t="shared" si="35"/>
        <v>25.931735375309437</v>
      </c>
      <c r="R298" s="113">
        <f t="shared" si="30"/>
        <v>311.95699999999999</v>
      </c>
      <c r="S298" s="16">
        <f>IF(S297=15800,15800,ROUND((((Q298*60)/'Gearing Calculator'!$C$14)*'Track Data'!P298),-2))</f>
        <v>5700</v>
      </c>
      <c r="T298" s="16">
        <f t="shared" si="33"/>
        <v>-14.71670186282954</v>
      </c>
      <c r="U298" s="16">
        <f>IF(AC298=100,Braking!$AG$2354,IF(AC298=50,Braking!$AG$1179,IF(AC298=75,Braking!$AG$1767,0)))</f>
        <v>-14.71670186282954</v>
      </c>
      <c r="V298" s="16">
        <f>0.5*'Gearing Calculator'!$C$15*'Gearing Calculator'!$C$20*'Gearing Calculator'!$W$20*('Track Data'!Q298^2)</f>
        <v>71.172626571025916</v>
      </c>
      <c r="W298" s="16">
        <f>('Gearing Calculator'!$U$9*'Track Data'!T298)+'Track Data'!V298</f>
        <v>-3846.4134093141975</v>
      </c>
      <c r="X298" s="16">
        <f>('Gearing Calculator'!$U$9*9.81)*('Gearing Calculator'!$U$16/'Gearing Calculator'!$C$7)-(('Track Data'!W298)*('Gearing Calculator'!$U$17/'Gearing Calculator'!$C$7))</f>
        <v>3497.7202940071575</v>
      </c>
      <c r="Y298" s="16">
        <f>('Gearing Calculator'!$U$9*9.81)*(('Gearing Calculator'!$C$7-'Gearing Calculator'!$U$16)/'Gearing Calculator'!$C$7)+(('Track Data'!W298)*('Gearing Calculator'!$U$17/'Gearing Calculator'!$C$7))</f>
        <v>-886.29829400715766</v>
      </c>
      <c r="Z298" s="16">
        <f>((X298*COS('Gearing Calculator'!$C$21))/'Gearing Calculator'!$C$22)/2</f>
        <v>108.13844914390855</v>
      </c>
      <c r="AA298" s="16">
        <f>Y298/'Gearing Calculator'!$C$24</f>
        <v>-12.375696869755052</v>
      </c>
      <c r="AB298" s="16">
        <f t="shared" si="31"/>
        <v>-17.127584605951327</v>
      </c>
      <c r="AC298" s="16">
        <v>100</v>
      </c>
      <c r="AD298" s="16">
        <v>0</v>
      </c>
      <c r="AE298" s="16">
        <v>295</v>
      </c>
      <c r="AF298" s="16">
        <f>IF(AC298=0,IF(O298=6,INDEX(Acceleration!$V$4:$V$110,MATCH('Track Data'!S298,Acceleration!$K$4:$K$110,0)),IF('Track Data'!O298=5,INDEX(Acceleration!$U$4:$U$110,MATCH('Track Data'!S298,Acceleration!$K$4:$K$110,0)),1)),U298)</f>
        <v>-14.71670186282954</v>
      </c>
      <c r="AG298" s="16">
        <f>IF(AC298=0,IF(O298=4,INDEX(Acceleration!$T$4:$T$110,MATCH('Track Data'!S298,Acceleration!$K$4:$K$110,0)),IF('Track Data'!O298=3,INDEX(Acceleration!$S$4:$S$110,MATCH('Track Data'!S298,Acceleration!$K$4:$K$110,0)),'Track Data'!AF298)),'Track Data'!U298)</f>
        <v>-14.71670186282954</v>
      </c>
      <c r="AH298" s="16">
        <f>IF(AC298=0,IF(O298=2,INDEX(Acceleration!$R$4:$R$110,MATCH('Track Data'!S298,Acceleration!$K$4:$K$110,0)),IF('Track Data'!O298=1,INDEX(Acceleration!$Q$4:$Q$110,MATCH('Track Data'!S298,Acceleration!$K$4:$K$110,0)),'Track Data'!AG298)),'Track Data'!U298)</f>
        <v>-14.71670186282954</v>
      </c>
    </row>
    <row r="299" spans="2:34" x14ac:dyDescent="0.25">
      <c r="B299" s="16">
        <v>202.30799999999999</v>
      </c>
      <c r="C299" s="16">
        <v>7569</v>
      </c>
      <c r="D299" s="16">
        <v>296</v>
      </c>
      <c r="E299" s="113">
        <v>64</v>
      </c>
      <c r="F299" s="113">
        <v>71.099999999999994</v>
      </c>
      <c r="G299" s="113">
        <v>76.3</v>
      </c>
      <c r="H299" s="113">
        <f t="shared" si="32"/>
        <v>21.194444444444443</v>
      </c>
      <c r="I299" s="113">
        <v>-2.4</v>
      </c>
      <c r="J299" s="113">
        <v>95.5</v>
      </c>
      <c r="K299" s="113">
        <v>-0.1</v>
      </c>
      <c r="L299" s="189"/>
      <c r="M299" s="16">
        <v>296</v>
      </c>
      <c r="N299" s="16">
        <f t="shared" si="34"/>
        <v>3.9435491166507589E-2</v>
      </c>
      <c r="O299" s="16">
        <v>6</v>
      </c>
      <c r="P299" s="16">
        <f t="shared" si="29"/>
        <v>7.3113821138211375</v>
      </c>
      <c r="Q299" s="16">
        <f t="shared" si="35"/>
        <v>25.357868519444132</v>
      </c>
      <c r="R299" s="113">
        <f t="shared" si="30"/>
        <v>311.95699999999999</v>
      </c>
      <c r="S299" s="16">
        <f>IF(S298=15800,15800,ROUND((((Q299*60)/'Gearing Calculator'!$C$14)*'Track Data'!P299),-2))</f>
        <v>5600</v>
      </c>
      <c r="T299" s="16">
        <f t="shared" si="33"/>
        <v>-14.71670186282954</v>
      </c>
      <c r="U299" s="16">
        <f>IF(AC299=100,Braking!$AG$2354,IF(AC299=50,Braking!$AG$1179,IF(AC299=75,Braking!$AG$1767,0)))</f>
        <v>-14.71670186282954</v>
      </c>
      <c r="V299" s="16">
        <f>0.5*'Gearing Calculator'!$C$15*'Gearing Calculator'!$C$20*'Gearing Calculator'!$W$20*('Track Data'!Q299^2)</f>
        <v>68.057395120702154</v>
      </c>
      <c r="W299" s="16">
        <f>('Gearing Calculator'!$U$9*'Track Data'!T299)+'Track Data'!V299</f>
        <v>-3849.5286407645212</v>
      </c>
      <c r="X299" s="16">
        <f>('Gearing Calculator'!$U$9*9.81)*('Gearing Calculator'!$U$16/'Gearing Calculator'!$C$7)-(('Track Data'!W299)*('Gearing Calculator'!$U$17/'Gearing Calculator'!$C$7))</f>
        <v>3499.4183078983697</v>
      </c>
      <c r="Y299" s="16">
        <f>('Gearing Calculator'!$U$9*9.81)*(('Gearing Calculator'!$C$7-'Gearing Calculator'!$U$16)/'Gearing Calculator'!$C$7)+(('Track Data'!W299)*('Gearing Calculator'!$U$17/'Gearing Calculator'!$C$7))</f>
        <v>-887.99630789836942</v>
      </c>
      <c r="Z299" s="16">
        <f>((X299*COS('Gearing Calculator'!$C$21))/'Gearing Calculator'!$C$22)/2</f>
        <v>108.19094636306443</v>
      </c>
      <c r="AA299" s="16">
        <f>Y299/'Gearing Calculator'!$C$24</f>
        <v>-12.399406838893388</v>
      </c>
      <c r="AB299" s="16">
        <f t="shared" si="31"/>
        <v>-20.242816056275089</v>
      </c>
      <c r="AC299" s="16">
        <v>100</v>
      </c>
      <c r="AD299" s="16">
        <v>0</v>
      </c>
      <c r="AE299" s="16">
        <v>296</v>
      </c>
      <c r="AF299" s="16">
        <f>IF(AC299=0,IF(O299=6,INDEX(Acceleration!$V$4:$V$110,MATCH('Track Data'!S299,Acceleration!$K$4:$K$110,0)),IF('Track Data'!O299=5,INDEX(Acceleration!$U$4:$U$110,MATCH('Track Data'!S299,Acceleration!$K$4:$K$110,0)),1)),U299)</f>
        <v>-14.71670186282954</v>
      </c>
      <c r="AG299" s="16">
        <f>IF(AC299=0,IF(O299=4,INDEX(Acceleration!$T$4:$T$110,MATCH('Track Data'!S299,Acceleration!$K$4:$K$110,0)),IF('Track Data'!O299=3,INDEX(Acceleration!$S$4:$S$110,MATCH('Track Data'!S299,Acceleration!$K$4:$K$110,0)),'Track Data'!AF299)),'Track Data'!U299)</f>
        <v>-14.71670186282954</v>
      </c>
      <c r="AH299" s="16">
        <f>IF(AC299=0,IF(O299=2,INDEX(Acceleration!$R$4:$R$110,MATCH('Track Data'!S299,Acceleration!$K$4:$K$110,0)),IF('Track Data'!O299=1,INDEX(Acceleration!$Q$4:$Q$110,MATCH('Track Data'!S299,Acceleration!$K$4:$K$110,0)),'Track Data'!AG299)),'Track Data'!U299)</f>
        <v>-14.71670186282954</v>
      </c>
    </row>
    <row r="300" spans="2:34" x14ac:dyDescent="0.25">
      <c r="B300" s="16">
        <v>202.35900000000001</v>
      </c>
      <c r="C300" s="16">
        <v>7570</v>
      </c>
      <c r="D300" s="16">
        <v>297</v>
      </c>
      <c r="E300" s="113">
        <v>62</v>
      </c>
      <c r="F300" s="113">
        <v>70.2</v>
      </c>
      <c r="G300" s="113">
        <v>74.900000000000006</v>
      </c>
      <c r="H300" s="113">
        <f t="shared" si="32"/>
        <v>20.805555555555557</v>
      </c>
      <c r="I300" s="113">
        <v>-2.5</v>
      </c>
      <c r="J300" s="113">
        <v>95.2</v>
      </c>
      <c r="K300" s="113">
        <v>-0.3</v>
      </c>
      <c r="L300" s="189"/>
      <c r="M300" s="16">
        <v>297</v>
      </c>
      <c r="N300" s="16">
        <f t="shared" si="34"/>
        <v>4.0370259276104145E-2</v>
      </c>
      <c r="O300" s="16">
        <v>6</v>
      </c>
      <c r="P300" s="16">
        <f t="shared" si="29"/>
        <v>7.3113821138211375</v>
      </c>
      <c r="Q300" s="16">
        <f t="shared" si="35"/>
        <v>24.770710367766135</v>
      </c>
      <c r="R300" s="113">
        <f t="shared" si="30"/>
        <v>311.95699999999999</v>
      </c>
      <c r="S300" s="16">
        <f>IF(S299=15800,15800,ROUND((((Q300*60)/'Gearing Calculator'!$C$14)*'Track Data'!P300),-2))</f>
        <v>5500</v>
      </c>
      <c r="T300" s="16">
        <f t="shared" si="33"/>
        <v>-14.71670186282954</v>
      </c>
      <c r="U300" s="16">
        <f>IF(AC300=100,Braking!$AG$2354,IF(AC300=50,Braking!$AG$1179,IF(AC300=75,Braking!$AG$1767,0)))</f>
        <v>-14.71670186282954</v>
      </c>
      <c r="V300" s="16">
        <f>0.5*'Gearing Calculator'!$C$15*'Gearing Calculator'!$C$20*'Gearing Calculator'!$W$20*('Track Data'!Q300^2)</f>
        <v>64.942163670378406</v>
      </c>
      <c r="W300" s="16">
        <f>('Gearing Calculator'!$U$9*'Track Data'!T300)+'Track Data'!V300</f>
        <v>-3852.643872214845</v>
      </c>
      <c r="X300" s="16">
        <f>('Gearing Calculator'!$U$9*9.81)*('Gearing Calculator'!$U$16/'Gearing Calculator'!$C$7)-(('Track Data'!W300)*('Gearing Calculator'!$U$17/'Gearing Calculator'!$C$7))</f>
        <v>3501.116321789581</v>
      </c>
      <c r="Y300" s="16">
        <f>('Gearing Calculator'!$U$9*9.81)*(('Gearing Calculator'!$C$7-'Gearing Calculator'!$U$16)/'Gearing Calculator'!$C$7)+(('Track Data'!W300)*('Gearing Calculator'!$U$17/'Gearing Calculator'!$C$7))</f>
        <v>-889.69432178958118</v>
      </c>
      <c r="Z300" s="16">
        <f>((X300*COS('Gearing Calculator'!$C$21))/'Gearing Calculator'!$C$22)/2</f>
        <v>108.24344358222031</v>
      </c>
      <c r="AA300" s="16">
        <f>Y300/'Gearing Calculator'!$C$24</f>
        <v>-12.423116808031724</v>
      </c>
      <c r="AB300" s="16">
        <f t="shared" si="31"/>
        <v>-23.358047506598837</v>
      </c>
      <c r="AC300" s="16">
        <v>100</v>
      </c>
      <c r="AD300" s="16">
        <v>0</v>
      </c>
      <c r="AE300" s="16">
        <v>297</v>
      </c>
      <c r="AF300" s="16">
        <f>IF(AC300=0,IF(O300=6,INDEX(Acceleration!$V$4:$V$110,MATCH('Track Data'!S300,Acceleration!$K$4:$K$110,0)),IF('Track Data'!O300=5,INDEX(Acceleration!$U$4:$U$110,MATCH('Track Data'!S300,Acceleration!$K$4:$K$110,0)),1)),U300)</f>
        <v>-14.71670186282954</v>
      </c>
      <c r="AG300" s="16">
        <f>IF(AC300=0,IF(O300=4,INDEX(Acceleration!$T$4:$T$110,MATCH('Track Data'!S300,Acceleration!$K$4:$K$110,0)),IF('Track Data'!O300=3,INDEX(Acceleration!$S$4:$S$110,MATCH('Track Data'!S300,Acceleration!$K$4:$K$110,0)),'Track Data'!AF300)),'Track Data'!U300)</f>
        <v>-14.71670186282954</v>
      </c>
      <c r="AH300" s="16">
        <f>IF(AC300=0,IF(O300=2,INDEX(Acceleration!$R$4:$R$110,MATCH('Track Data'!S300,Acceleration!$K$4:$K$110,0)),IF('Track Data'!O300=1,INDEX(Acceleration!$Q$4:$Q$110,MATCH('Track Data'!S300,Acceleration!$K$4:$K$110,0)),'Track Data'!AG300)),'Track Data'!U300)</f>
        <v>-14.71670186282954</v>
      </c>
    </row>
    <row r="301" spans="2:34" x14ac:dyDescent="0.25">
      <c r="B301" s="16">
        <v>202.41</v>
      </c>
      <c r="C301" s="16">
        <v>7571</v>
      </c>
      <c r="D301" s="16">
        <v>298</v>
      </c>
      <c r="E301" s="113">
        <v>62</v>
      </c>
      <c r="F301" s="113">
        <v>67.8</v>
      </c>
      <c r="G301" s="113">
        <v>73.099999999999994</v>
      </c>
      <c r="H301" s="113">
        <f t="shared" si="32"/>
        <v>20.305555555555554</v>
      </c>
      <c r="I301" s="113">
        <v>-3.2</v>
      </c>
      <c r="J301" s="113">
        <v>95.08</v>
      </c>
      <c r="K301" s="113">
        <v>-1.1000000000000001</v>
      </c>
      <c r="L301" s="189"/>
      <c r="M301" s="16">
        <v>298</v>
      </c>
      <c r="N301" s="16">
        <f t="shared" si="34"/>
        <v>4.137481516631835E-2</v>
      </c>
      <c r="O301" s="16">
        <v>6</v>
      </c>
      <c r="P301" s="16">
        <f t="shared" si="29"/>
        <v>7.3113821138211375</v>
      </c>
      <c r="Q301" s="16">
        <f t="shared" si="35"/>
        <v>24.169292261009581</v>
      </c>
      <c r="R301" s="113">
        <f t="shared" si="30"/>
        <v>311.95699999999999</v>
      </c>
      <c r="S301" s="16">
        <f>IF(S300=15800,15800,ROUND((((Q301*60)/'Gearing Calculator'!$C$14)*'Track Data'!P301),-2))</f>
        <v>5400</v>
      </c>
      <c r="T301" s="16">
        <f t="shared" si="33"/>
        <v>-14.71670186282954</v>
      </c>
      <c r="U301" s="16">
        <f>IF(AC301=100,Braking!$AG$2354,IF(AC301=50,Braking!$AG$1179,IF(AC301=75,Braking!$AG$1767,0)))</f>
        <v>-14.71670186282954</v>
      </c>
      <c r="V301" s="16">
        <f>0.5*'Gearing Calculator'!$C$15*'Gearing Calculator'!$C$20*'Gearing Calculator'!$W$20*('Track Data'!Q301^2)</f>
        <v>61.826932220054644</v>
      </c>
      <c r="W301" s="16">
        <f>('Gearing Calculator'!$U$9*'Track Data'!T301)+'Track Data'!V301</f>
        <v>-3855.7591036651688</v>
      </c>
      <c r="X301" s="16">
        <f>('Gearing Calculator'!$U$9*9.81)*('Gearing Calculator'!$U$16/'Gearing Calculator'!$C$7)-(('Track Data'!W301)*('Gearing Calculator'!$U$17/'Gearing Calculator'!$C$7))</f>
        <v>3502.8143356807932</v>
      </c>
      <c r="Y301" s="16">
        <f>('Gearing Calculator'!$U$9*9.81)*(('Gearing Calculator'!$C$7-'Gearing Calculator'!$U$16)/'Gearing Calculator'!$C$7)+(('Track Data'!W301)*('Gearing Calculator'!$U$17/'Gearing Calculator'!$C$7))</f>
        <v>-891.39233568079294</v>
      </c>
      <c r="Z301" s="16">
        <f>((X301*COS('Gearing Calculator'!$C$21))/'Gearing Calculator'!$C$22)/2</f>
        <v>108.2959408013762</v>
      </c>
      <c r="AA301" s="16">
        <f>Y301/'Gearing Calculator'!$C$24</f>
        <v>-12.446826777170061</v>
      </c>
      <c r="AB301" s="16">
        <f t="shared" si="31"/>
        <v>-26.473278956922599</v>
      </c>
      <c r="AC301" s="16">
        <v>100</v>
      </c>
      <c r="AD301" s="16">
        <v>0</v>
      </c>
      <c r="AE301" s="16">
        <v>298</v>
      </c>
      <c r="AF301" s="16">
        <f>IF(AC301=0,IF(O301=6,INDEX(Acceleration!$V$4:$V$110,MATCH('Track Data'!S301,Acceleration!$K$4:$K$110,0)),IF('Track Data'!O301=5,INDEX(Acceleration!$U$4:$U$110,MATCH('Track Data'!S301,Acceleration!$K$4:$K$110,0)),1)),U301)</f>
        <v>-14.71670186282954</v>
      </c>
      <c r="AG301" s="16">
        <f>IF(AC301=0,IF(O301=4,INDEX(Acceleration!$T$4:$T$110,MATCH('Track Data'!S301,Acceleration!$K$4:$K$110,0)),IF('Track Data'!O301=3,INDEX(Acceleration!$S$4:$S$110,MATCH('Track Data'!S301,Acceleration!$K$4:$K$110,0)),'Track Data'!AF301)),'Track Data'!U301)</f>
        <v>-14.71670186282954</v>
      </c>
      <c r="AH301" s="16">
        <f>IF(AC301=0,IF(O301=2,INDEX(Acceleration!$R$4:$R$110,MATCH('Track Data'!S301,Acceleration!$K$4:$K$110,0)),IF('Track Data'!O301=1,INDEX(Acceleration!$Q$4:$Q$110,MATCH('Track Data'!S301,Acceleration!$K$4:$K$110,0)),'Track Data'!AG301)),'Track Data'!U301)</f>
        <v>-14.71670186282954</v>
      </c>
    </row>
    <row r="302" spans="2:34" x14ac:dyDescent="0.25">
      <c r="B302" s="16">
        <v>202.46299999999999</v>
      </c>
      <c r="C302" s="16">
        <v>7572</v>
      </c>
      <c r="D302" s="16">
        <v>299</v>
      </c>
      <c r="E302" s="113">
        <v>60</v>
      </c>
      <c r="F302" s="113">
        <v>66.8</v>
      </c>
      <c r="G302" s="113">
        <v>71.400000000000006</v>
      </c>
      <c r="H302" s="113">
        <f t="shared" si="32"/>
        <v>19.833333333333336</v>
      </c>
      <c r="I302" s="113">
        <v>-3.6</v>
      </c>
      <c r="J302" s="113">
        <v>94.46</v>
      </c>
      <c r="K302" s="113">
        <v>-3.1</v>
      </c>
      <c r="L302" s="189"/>
      <c r="M302" s="16">
        <v>299</v>
      </c>
      <c r="N302" s="16">
        <f t="shared" si="34"/>
        <v>4.2458298398359115E-2</v>
      </c>
      <c r="O302" s="16">
        <v>6</v>
      </c>
      <c r="P302" s="16">
        <f t="shared" si="29"/>
        <v>7.3113821138211375</v>
      </c>
      <c r="Q302" s="16">
        <f t="shared" si="35"/>
        <v>23.552521832543505</v>
      </c>
      <c r="R302" s="113">
        <f t="shared" si="30"/>
        <v>311.95699999999999</v>
      </c>
      <c r="S302" s="16">
        <f>IF(S301=15800,15800,ROUND((((Q302*60)/'Gearing Calculator'!$C$14)*'Track Data'!P302),-2))</f>
        <v>5200</v>
      </c>
      <c r="T302" s="16">
        <f t="shared" si="33"/>
        <v>-14.71670186282954</v>
      </c>
      <c r="U302" s="16">
        <f>IF(AC302=100,Braking!$AG$2354,IF(AC302=50,Braking!$AG$1179,IF(AC302=75,Braking!$AG$1767,0)))</f>
        <v>-14.71670186282954</v>
      </c>
      <c r="V302" s="16">
        <f>0.5*'Gearing Calculator'!$C$15*'Gearing Calculator'!$C$20*'Gearing Calculator'!$W$20*('Track Data'!Q302^2)</f>
        <v>58.711700769730875</v>
      </c>
      <c r="W302" s="16">
        <f>('Gearing Calculator'!$U$9*'Track Data'!T302)+'Track Data'!V302</f>
        <v>-3858.8743351154926</v>
      </c>
      <c r="X302" s="16">
        <f>('Gearing Calculator'!$U$9*9.81)*('Gearing Calculator'!$U$16/'Gearing Calculator'!$C$7)-(('Track Data'!W302)*('Gearing Calculator'!$U$17/'Gearing Calculator'!$C$7))</f>
        <v>3504.5123495720045</v>
      </c>
      <c r="Y302" s="16">
        <f>('Gearing Calculator'!$U$9*9.81)*(('Gearing Calculator'!$C$7-'Gearing Calculator'!$U$16)/'Gearing Calculator'!$C$7)+(('Track Data'!W302)*('Gearing Calculator'!$U$17/'Gearing Calculator'!$C$7))</f>
        <v>-893.0903495720047</v>
      </c>
      <c r="Z302" s="16">
        <f>((X302*COS('Gearing Calculator'!$C$21))/'Gearing Calculator'!$C$22)/2</f>
        <v>108.34843802053206</v>
      </c>
      <c r="AA302" s="16">
        <f>Y302/'Gearing Calculator'!$C$24</f>
        <v>-12.470536746308397</v>
      </c>
      <c r="AB302" s="16">
        <f t="shared" si="31"/>
        <v>-29.588510407246368</v>
      </c>
      <c r="AC302" s="16">
        <v>100</v>
      </c>
      <c r="AD302" s="16">
        <v>0</v>
      </c>
      <c r="AE302" s="16">
        <v>299</v>
      </c>
      <c r="AF302" s="16">
        <f>IF(AC302=0,IF(O302=6,INDEX(Acceleration!$V$4:$V$110,MATCH('Track Data'!S302,Acceleration!$K$4:$K$110,0)),IF('Track Data'!O302=5,INDEX(Acceleration!$U$4:$U$110,MATCH('Track Data'!S302,Acceleration!$K$4:$K$110,0)),1)),U302)</f>
        <v>-14.71670186282954</v>
      </c>
      <c r="AG302" s="16">
        <f>IF(AC302=0,IF(O302=4,INDEX(Acceleration!$T$4:$T$110,MATCH('Track Data'!S302,Acceleration!$K$4:$K$110,0)),IF('Track Data'!O302=3,INDEX(Acceleration!$S$4:$S$110,MATCH('Track Data'!S302,Acceleration!$K$4:$K$110,0)),'Track Data'!AF302)),'Track Data'!U302)</f>
        <v>-14.71670186282954</v>
      </c>
      <c r="AH302" s="16">
        <f>IF(AC302=0,IF(O302=2,INDEX(Acceleration!$R$4:$R$110,MATCH('Track Data'!S302,Acceleration!$K$4:$K$110,0)),IF('Track Data'!O302=1,INDEX(Acceleration!$Q$4:$Q$110,MATCH('Track Data'!S302,Acceleration!$K$4:$K$110,0)),'Track Data'!AG302)),'Track Data'!U302)</f>
        <v>-14.71670186282954</v>
      </c>
    </row>
    <row r="303" spans="2:34" x14ac:dyDescent="0.25">
      <c r="B303" s="16">
        <v>202.517</v>
      </c>
      <c r="C303" s="16">
        <v>7573</v>
      </c>
      <c r="D303" s="16">
        <v>300</v>
      </c>
      <c r="E303" s="113">
        <v>59</v>
      </c>
      <c r="F303" s="113">
        <v>65.400000000000006</v>
      </c>
      <c r="G303" s="113">
        <v>69.8</v>
      </c>
      <c r="H303" s="113">
        <f t="shared" si="32"/>
        <v>19.388888888888889</v>
      </c>
      <c r="I303" s="113">
        <v>-3.6</v>
      </c>
      <c r="J303" s="113">
        <v>94.19</v>
      </c>
      <c r="K303" s="113">
        <v>-3.5</v>
      </c>
      <c r="L303" s="189"/>
      <c r="M303" s="16">
        <v>300</v>
      </c>
      <c r="N303" s="16">
        <f t="shared" si="34"/>
        <v>4.3631617104518704E-2</v>
      </c>
      <c r="O303" s="16">
        <v>6</v>
      </c>
      <c r="P303" s="16">
        <f t="shared" si="29"/>
        <v>7.3113821138211375</v>
      </c>
      <c r="Q303" s="16">
        <f t="shared" si="35"/>
        <v>22.91915969111388</v>
      </c>
      <c r="R303" s="113">
        <f t="shared" si="30"/>
        <v>311.95699999999999</v>
      </c>
      <c r="S303" s="16">
        <f>IF(S302=15800,15800,ROUND((((Q303*60)/'Gearing Calculator'!$C$14)*'Track Data'!P303),-2))</f>
        <v>5100</v>
      </c>
      <c r="T303" s="16">
        <f t="shared" si="33"/>
        <v>-14.71670186282954</v>
      </c>
      <c r="U303" s="16">
        <f>IF(AC303=100,Braking!$AG$2354,IF(AC303=50,Braking!$AG$1179,IF(AC303=75,Braking!$AG$1767,0)))</f>
        <v>-14.71670186282954</v>
      </c>
      <c r="V303" s="16">
        <f>0.5*'Gearing Calculator'!$C$15*'Gearing Calculator'!$C$20*'Gearing Calculator'!$W$20*('Track Data'!Q303^2)</f>
        <v>55.596469319407113</v>
      </c>
      <c r="W303" s="16">
        <f>('Gearing Calculator'!$U$9*'Track Data'!T303)+'Track Data'!V303</f>
        <v>-3861.9895665658159</v>
      </c>
      <c r="X303" s="16">
        <f>('Gearing Calculator'!$U$9*9.81)*('Gearing Calculator'!$U$16/'Gearing Calculator'!$C$7)-(('Track Data'!W303)*('Gearing Calculator'!$U$17/'Gearing Calculator'!$C$7))</f>
        <v>3506.2103634632167</v>
      </c>
      <c r="Y303" s="16">
        <f>('Gearing Calculator'!$U$9*9.81)*(('Gearing Calculator'!$C$7-'Gearing Calculator'!$U$16)/'Gearing Calculator'!$C$7)+(('Track Data'!W303)*('Gearing Calculator'!$U$17/'Gearing Calculator'!$C$7))</f>
        <v>-894.78836346321646</v>
      </c>
      <c r="Z303" s="16">
        <f>((X303*COS('Gearing Calculator'!$C$21))/'Gearing Calculator'!$C$22)/2</f>
        <v>108.40093523968795</v>
      </c>
      <c r="AA303" s="16">
        <f>Y303/'Gearing Calculator'!$C$24</f>
        <v>-12.494246715446733</v>
      </c>
      <c r="AB303" s="16">
        <f t="shared" si="31"/>
        <v>-32.70374185757013</v>
      </c>
      <c r="AC303" s="16">
        <v>100</v>
      </c>
      <c r="AD303" s="16">
        <v>0</v>
      </c>
      <c r="AE303" s="16">
        <v>300</v>
      </c>
      <c r="AF303" s="16">
        <f>IF(AC303=0,IF(O303=6,INDEX(Acceleration!$V$4:$V$110,MATCH('Track Data'!S303,Acceleration!$K$4:$K$110,0)),IF('Track Data'!O303=5,INDEX(Acceleration!$U$4:$U$110,MATCH('Track Data'!S303,Acceleration!$K$4:$K$110,0)),1)),U303)</f>
        <v>-14.71670186282954</v>
      </c>
      <c r="AG303" s="16">
        <f>IF(AC303=0,IF(O303=4,INDEX(Acceleration!$T$4:$T$110,MATCH('Track Data'!S303,Acceleration!$K$4:$K$110,0)),IF('Track Data'!O303=3,INDEX(Acceleration!$S$4:$S$110,MATCH('Track Data'!S303,Acceleration!$K$4:$K$110,0)),'Track Data'!AF303)),'Track Data'!U303)</f>
        <v>-14.71670186282954</v>
      </c>
      <c r="AH303" s="16">
        <f>IF(AC303=0,IF(O303=2,INDEX(Acceleration!$R$4:$R$110,MATCH('Track Data'!S303,Acceleration!$K$4:$K$110,0)),IF('Track Data'!O303=1,INDEX(Acceleration!$Q$4:$Q$110,MATCH('Track Data'!S303,Acceleration!$K$4:$K$110,0)),'Track Data'!AG303)),'Track Data'!U303)</f>
        <v>-14.71670186282954</v>
      </c>
    </row>
    <row r="304" spans="2:34" x14ac:dyDescent="0.25">
      <c r="B304" s="16">
        <v>202.572</v>
      </c>
      <c r="C304" s="16">
        <v>7574</v>
      </c>
      <c r="D304" s="16">
        <v>301</v>
      </c>
      <c r="E304" s="113">
        <v>58</v>
      </c>
      <c r="F304" s="113">
        <v>63.9</v>
      </c>
      <c r="G304" s="113">
        <v>67.900000000000006</v>
      </c>
      <c r="H304" s="113">
        <f t="shared" si="32"/>
        <v>18.861111111111111</v>
      </c>
      <c r="I304" s="113">
        <v>-3.6</v>
      </c>
      <c r="J304" s="113">
        <v>94.26</v>
      </c>
      <c r="K304" s="113">
        <v>-3.1</v>
      </c>
      <c r="L304" s="189"/>
      <c r="M304" s="16">
        <v>301</v>
      </c>
      <c r="N304" s="16">
        <f t="shared" si="34"/>
        <v>4.4907913816998282E-2</v>
      </c>
      <c r="O304" s="16">
        <v>6</v>
      </c>
      <c r="P304" s="16">
        <f t="shared" si="29"/>
        <v>7.3113821138211375</v>
      </c>
      <c r="Q304" s="16">
        <f t="shared" si="35"/>
        <v>22.267790128818806</v>
      </c>
      <c r="R304" s="113">
        <f t="shared" si="30"/>
        <v>311.95699999999999</v>
      </c>
      <c r="S304" s="16">
        <f>IF(S303=15800,15800,ROUND((((Q304*60)/'Gearing Calculator'!$C$14)*'Track Data'!P304),-2))</f>
        <v>4900</v>
      </c>
      <c r="T304" s="16">
        <f t="shared" si="33"/>
        <v>-14.71670186282954</v>
      </c>
      <c r="U304" s="16">
        <f>IF(AC304=100,Braking!$AG$2354,IF(AC304=50,Braking!$AG$1179,IF(AC304=75,Braking!$AG$1767,0)))</f>
        <v>-14.71670186282954</v>
      </c>
      <c r="V304" s="16">
        <f>0.5*'Gearing Calculator'!$C$15*'Gearing Calculator'!$C$20*'Gearing Calculator'!$W$20*('Track Data'!Q304^2)</f>
        <v>52.481237869083365</v>
      </c>
      <c r="W304" s="16">
        <f>('Gearing Calculator'!$U$9*'Track Data'!T304)+'Track Data'!V304</f>
        <v>-3865.1047980161397</v>
      </c>
      <c r="X304" s="16">
        <f>('Gearing Calculator'!$U$9*9.81)*('Gearing Calculator'!$U$16/'Gearing Calculator'!$C$7)-(('Track Data'!W304)*('Gearing Calculator'!$U$17/'Gearing Calculator'!$C$7))</f>
        <v>3507.908377354428</v>
      </c>
      <c r="Y304" s="16">
        <f>('Gearing Calculator'!$U$9*9.81)*(('Gearing Calculator'!$C$7-'Gearing Calculator'!$U$16)/'Gearing Calculator'!$C$7)+(('Track Data'!W304)*('Gearing Calculator'!$U$17/'Gearing Calculator'!$C$7))</f>
        <v>-896.48637735442821</v>
      </c>
      <c r="Z304" s="16">
        <f>((X304*COS('Gearing Calculator'!$C$21))/'Gearing Calculator'!$C$22)/2</f>
        <v>108.45343245884381</v>
      </c>
      <c r="AA304" s="16">
        <f>Y304/'Gearing Calculator'!$C$24</f>
        <v>-12.517956684585069</v>
      </c>
      <c r="AB304" s="16">
        <f t="shared" si="31"/>
        <v>-35.818973307893877</v>
      </c>
      <c r="AC304" s="16">
        <v>100</v>
      </c>
      <c r="AD304" s="16">
        <v>0</v>
      </c>
      <c r="AE304" s="16">
        <v>301</v>
      </c>
      <c r="AF304" s="16">
        <f>IF(AC304=0,IF(O304=6,INDEX(Acceleration!$V$4:$V$110,MATCH('Track Data'!S304,Acceleration!$K$4:$K$110,0)),IF('Track Data'!O304=5,INDEX(Acceleration!$U$4:$U$110,MATCH('Track Data'!S304,Acceleration!$K$4:$K$110,0)),1)),U304)</f>
        <v>-14.71670186282954</v>
      </c>
      <c r="AG304" s="16">
        <f>IF(AC304=0,IF(O304=4,INDEX(Acceleration!$T$4:$T$110,MATCH('Track Data'!S304,Acceleration!$K$4:$K$110,0)),IF('Track Data'!O304=3,INDEX(Acceleration!$S$4:$S$110,MATCH('Track Data'!S304,Acceleration!$K$4:$K$110,0)),'Track Data'!AF304)),'Track Data'!U304)</f>
        <v>-14.71670186282954</v>
      </c>
      <c r="AH304" s="16">
        <f>IF(AC304=0,IF(O304=2,INDEX(Acceleration!$R$4:$R$110,MATCH('Track Data'!S304,Acceleration!$K$4:$K$110,0)),IF('Track Data'!O304=1,INDEX(Acceleration!$Q$4:$Q$110,MATCH('Track Data'!S304,Acceleration!$K$4:$K$110,0)),'Track Data'!AG304)),'Track Data'!U304)</f>
        <v>-14.71670186282954</v>
      </c>
    </row>
    <row r="305" spans="2:34" x14ac:dyDescent="0.25">
      <c r="B305" s="16">
        <v>202.62899999999999</v>
      </c>
      <c r="C305" s="16">
        <v>7575</v>
      </c>
      <c r="D305" s="16">
        <v>302</v>
      </c>
      <c r="E305" s="113">
        <v>57</v>
      </c>
      <c r="F305" s="113">
        <v>61.9</v>
      </c>
      <c r="G305" s="113">
        <v>66.3</v>
      </c>
      <c r="H305" s="113">
        <f t="shared" si="32"/>
        <v>18.416666666666664</v>
      </c>
      <c r="I305" s="113">
        <v>-3.3</v>
      </c>
      <c r="J305" s="113">
        <v>94.58</v>
      </c>
      <c r="K305" s="113">
        <v>-3.1</v>
      </c>
      <c r="L305" s="189"/>
      <c r="M305" s="16">
        <v>302</v>
      </c>
      <c r="N305" s="16">
        <f t="shared" si="34"/>
        <v>4.6303190607164091E-2</v>
      </c>
      <c r="O305" s="16">
        <v>6</v>
      </c>
      <c r="P305" s="16">
        <f t="shared" si="29"/>
        <v>7.3113821138211375</v>
      </c>
      <c r="Q305" s="16">
        <f t="shared" si="35"/>
        <v>21.596783869258431</v>
      </c>
      <c r="R305" s="113">
        <f t="shared" si="30"/>
        <v>311.95699999999999</v>
      </c>
      <c r="S305" s="16">
        <f>IF(S304=15800,15800,ROUND((((Q305*60)/'Gearing Calculator'!$C$14)*'Track Data'!P305),-2))</f>
        <v>4800</v>
      </c>
      <c r="T305" s="16">
        <f t="shared" si="33"/>
        <v>-14.71670186282954</v>
      </c>
      <c r="U305" s="16">
        <f>IF(AC305=100,Braking!$AG$2354,IF(AC305=50,Braking!$AG$1179,IF(AC305=75,Braking!$AG$1767,0)))</f>
        <v>-14.71670186282954</v>
      </c>
      <c r="V305" s="16">
        <f>0.5*'Gearing Calculator'!$C$15*'Gearing Calculator'!$C$20*'Gearing Calculator'!$W$20*('Track Data'!Q305^2)</f>
        <v>49.366006418759603</v>
      </c>
      <c r="W305" s="16">
        <f>('Gearing Calculator'!$U$9*'Track Data'!T305)+'Track Data'!V305</f>
        <v>-3868.2200294664635</v>
      </c>
      <c r="X305" s="16">
        <f>('Gearing Calculator'!$U$9*9.81)*('Gearing Calculator'!$U$16/'Gearing Calculator'!$C$7)-(('Track Data'!W305)*('Gearing Calculator'!$U$17/'Gearing Calculator'!$C$7))</f>
        <v>3509.6063912456402</v>
      </c>
      <c r="Y305" s="16">
        <f>('Gearing Calculator'!$U$9*9.81)*(('Gearing Calculator'!$C$7-'Gearing Calculator'!$U$16)/'Gearing Calculator'!$C$7)+(('Track Data'!W305)*('Gearing Calculator'!$U$17/'Gearing Calculator'!$C$7))</f>
        <v>-898.18439124563997</v>
      </c>
      <c r="Z305" s="16">
        <f>((X305*COS('Gearing Calculator'!$C$21))/'Gearing Calculator'!$C$22)/2</f>
        <v>108.5059296779997</v>
      </c>
      <c r="AA305" s="16">
        <f>Y305/'Gearing Calculator'!$C$24</f>
        <v>-12.541666653723407</v>
      </c>
      <c r="AB305" s="16">
        <f t="shared" si="31"/>
        <v>-38.934204758217639</v>
      </c>
      <c r="AC305" s="16">
        <v>100</v>
      </c>
      <c r="AD305" s="16">
        <v>0</v>
      </c>
      <c r="AE305" s="16">
        <v>302</v>
      </c>
      <c r="AF305" s="16">
        <f>IF(AC305=0,IF(O305=6,INDEX(Acceleration!$V$4:$V$110,MATCH('Track Data'!S305,Acceleration!$K$4:$K$110,0)),IF('Track Data'!O305=5,INDEX(Acceleration!$U$4:$U$110,MATCH('Track Data'!S305,Acceleration!$K$4:$K$110,0)),1)),U305)</f>
        <v>-14.71670186282954</v>
      </c>
      <c r="AG305" s="16">
        <f>IF(AC305=0,IF(O305=4,INDEX(Acceleration!$T$4:$T$110,MATCH('Track Data'!S305,Acceleration!$K$4:$K$110,0)),IF('Track Data'!O305=3,INDEX(Acceleration!$S$4:$S$110,MATCH('Track Data'!S305,Acceleration!$K$4:$K$110,0)),'Track Data'!AF305)),'Track Data'!U305)</f>
        <v>-14.71670186282954</v>
      </c>
      <c r="AH305" s="16">
        <f>IF(AC305=0,IF(O305=2,INDEX(Acceleration!$R$4:$R$110,MATCH('Track Data'!S305,Acceleration!$K$4:$K$110,0)),IF('Track Data'!O305=1,INDEX(Acceleration!$Q$4:$Q$110,MATCH('Track Data'!S305,Acceleration!$K$4:$K$110,0)),'Track Data'!AG305)),'Track Data'!U305)</f>
        <v>-14.71670186282954</v>
      </c>
    </row>
    <row r="306" spans="2:34" x14ac:dyDescent="0.25">
      <c r="B306" s="16">
        <v>202.68700000000001</v>
      </c>
      <c r="C306" s="16">
        <v>7576</v>
      </c>
      <c r="D306" s="16">
        <v>303</v>
      </c>
      <c r="E306" s="113">
        <v>56</v>
      </c>
      <c r="F306" s="113">
        <v>59.7</v>
      </c>
      <c r="G306" s="113">
        <v>64.400000000000006</v>
      </c>
      <c r="H306" s="113">
        <f t="shared" si="32"/>
        <v>17.888888888888889</v>
      </c>
      <c r="I306" s="113">
        <v>-3.6</v>
      </c>
      <c r="J306" s="113">
        <v>95.13</v>
      </c>
      <c r="K306" s="113">
        <v>-6.5</v>
      </c>
      <c r="L306" s="189"/>
      <c r="M306" s="16">
        <v>303</v>
      </c>
      <c r="N306" s="16">
        <f t="shared" si="34"/>
        <v>4.783716220608298E-2</v>
      </c>
      <c r="O306" s="16">
        <v>6</v>
      </c>
      <c r="P306" s="16">
        <f t="shared" si="29"/>
        <v>7.3113821138211375</v>
      </c>
      <c r="Q306" s="16">
        <f t="shared" si="35"/>
        <v>20.904250040836242</v>
      </c>
      <c r="R306" s="113">
        <f t="shared" si="30"/>
        <v>311.95699999999999</v>
      </c>
      <c r="S306" s="16">
        <f>IF(S305=15800,15800,ROUND((((Q306*60)/'Gearing Calculator'!$C$14)*'Track Data'!P306),-2))</f>
        <v>4600</v>
      </c>
      <c r="T306" s="16">
        <f t="shared" si="33"/>
        <v>-14.71670186282954</v>
      </c>
      <c r="U306" s="16">
        <f>IF(AC306=100,Braking!$AG$2354,IF(AC306=50,Braking!$AG$1179,IF(AC306=75,Braking!$AG$1767,0)))</f>
        <v>-14.71670186282954</v>
      </c>
      <c r="V306" s="16">
        <f>0.5*'Gearing Calculator'!$C$15*'Gearing Calculator'!$C$20*'Gearing Calculator'!$W$20*('Track Data'!Q306^2)</f>
        <v>46.250774968435842</v>
      </c>
      <c r="W306" s="16">
        <f>('Gearing Calculator'!$U$9*'Track Data'!T306)+'Track Data'!V306</f>
        <v>-3871.3352609167873</v>
      </c>
      <c r="X306" s="16">
        <f>('Gearing Calculator'!$U$9*9.81)*('Gearing Calculator'!$U$16/'Gearing Calculator'!$C$7)-(('Track Data'!W306)*('Gearing Calculator'!$U$17/'Gearing Calculator'!$C$7))</f>
        <v>3511.3044051368515</v>
      </c>
      <c r="Y306" s="16">
        <f>('Gearing Calculator'!$U$9*9.81)*(('Gearing Calculator'!$C$7-'Gearing Calculator'!$U$16)/'Gearing Calculator'!$C$7)+(('Track Data'!W306)*('Gearing Calculator'!$U$17/'Gearing Calculator'!$C$7))</f>
        <v>-899.88240513685173</v>
      </c>
      <c r="Z306" s="16">
        <f>((X306*COS('Gearing Calculator'!$C$21))/'Gearing Calculator'!$C$22)/2</f>
        <v>108.55842689715557</v>
      </c>
      <c r="AA306" s="16">
        <f>Y306/'Gearing Calculator'!$C$24</f>
        <v>-12.565376622861743</v>
      </c>
      <c r="AB306" s="16">
        <f t="shared" si="31"/>
        <v>-42.049436208541401</v>
      </c>
      <c r="AC306" s="16">
        <v>100</v>
      </c>
      <c r="AD306" s="16">
        <v>0</v>
      </c>
      <c r="AE306" s="16">
        <v>303</v>
      </c>
      <c r="AF306" s="16">
        <f>IF(AC306=0,IF(O306=6,INDEX(Acceleration!$V$4:$V$110,MATCH('Track Data'!S306,Acceleration!$K$4:$K$110,0)),IF('Track Data'!O306=5,INDEX(Acceleration!$U$4:$U$110,MATCH('Track Data'!S306,Acceleration!$K$4:$K$110,0)),1)),U306)</f>
        <v>-14.71670186282954</v>
      </c>
      <c r="AG306" s="16">
        <f>IF(AC306=0,IF(O306=4,INDEX(Acceleration!$T$4:$T$110,MATCH('Track Data'!S306,Acceleration!$K$4:$K$110,0)),IF('Track Data'!O306=3,INDEX(Acceleration!$S$4:$S$110,MATCH('Track Data'!S306,Acceleration!$K$4:$K$110,0)),'Track Data'!AF306)),'Track Data'!U306)</f>
        <v>-14.71670186282954</v>
      </c>
      <c r="AH306" s="16">
        <f>IF(AC306=0,IF(O306=2,INDEX(Acceleration!$R$4:$R$110,MATCH('Track Data'!S306,Acceleration!$K$4:$K$110,0)),IF('Track Data'!O306=1,INDEX(Acceleration!$Q$4:$Q$110,MATCH('Track Data'!S306,Acceleration!$K$4:$K$110,0)),'Track Data'!AG306)),'Track Data'!U306)</f>
        <v>-14.71670186282954</v>
      </c>
    </row>
    <row r="307" spans="2:34" x14ac:dyDescent="0.25">
      <c r="B307" s="16">
        <v>202.74799999999999</v>
      </c>
      <c r="C307" s="16">
        <v>7577</v>
      </c>
      <c r="D307" s="16">
        <v>304</v>
      </c>
      <c r="E307" s="113">
        <v>54</v>
      </c>
      <c r="F307" s="113">
        <v>58.5</v>
      </c>
      <c r="G307" s="113">
        <v>62.5</v>
      </c>
      <c r="H307" s="113">
        <f t="shared" si="32"/>
        <v>17.361111111111111</v>
      </c>
      <c r="I307" s="113">
        <v>-3.6</v>
      </c>
      <c r="J307" s="113">
        <v>94.85</v>
      </c>
      <c r="K307" s="113">
        <v>-11.1</v>
      </c>
      <c r="L307" s="189"/>
      <c r="M307" s="16">
        <v>304</v>
      </c>
      <c r="N307" s="16">
        <f t="shared" si="34"/>
        <v>4.9534442365179225E-2</v>
      </c>
      <c r="O307" s="16">
        <v>6</v>
      </c>
      <c r="P307" s="16">
        <f t="shared" si="29"/>
        <v>7.3113821138211375</v>
      </c>
      <c r="Q307" s="16">
        <f t="shared" si="35"/>
        <v>20.187973302046515</v>
      </c>
      <c r="R307" s="113">
        <f t="shared" si="30"/>
        <v>311.95699999999999</v>
      </c>
      <c r="S307" s="16">
        <f>IF(S306=15800,15800,ROUND((((Q307*60)/'Gearing Calculator'!$C$14)*'Track Data'!P307),-2))</f>
        <v>4500</v>
      </c>
      <c r="T307" s="16">
        <f t="shared" si="33"/>
        <v>-14.71670186282954</v>
      </c>
      <c r="U307" s="16">
        <f>IF(AC307=100,Braking!$AG$2354,IF(AC307=50,Braking!$AG$1179,IF(AC307=75,Braking!$AG$1767,0)))</f>
        <v>-14.71670186282954</v>
      </c>
      <c r="V307" s="16">
        <f>0.5*'Gearing Calculator'!$C$15*'Gearing Calculator'!$C$20*'Gearing Calculator'!$W$20*('Track Data'!Q307^2)</f>
        <v>43.13554351811208</v>
      </c>
      <c r="W307" s="16">
        <f>('Gearing Calculator'!$U$9*'Track Data'!T307)+'Track Data'!V307</f>
        <v>-3874.4504923671111</v>
      </c>
      <c r="X307" s="16">
        <f>('Gearing Calculator'!$U$9*9.81)*('Gearing Calculator'!$U$16/'Gearing Calculator'!$C$7)-(('Track Data'!W307)*('Gearing Calculator'!$U$17/'Gearing Calculator'!$C$7))</f>
        <v>3513.0024190280637</v>
      </c>
      <c r="Y307" s="16">
        <f>('Gearing Calculator'!$U$9*9.81)*(('Gearing Calculator'!$C$7-'Gearing Calculator'!$U$16)/'Gearing Calculator'!$C$7)+(('Track Data'!W307)*('Gearing Calculator'!$U$17/'Gearing Calculator'!$C$7))</f>
        <v>-901.58041902806349</v>
      </c>
      <c r="Z307" s="16">
        <f>((X307*COS('Gearing Calculator'!$C$21))/'Gearing Calculator'!$C$22)/2</f>
        <v>108.61092411631145</v>
      </c>
      <c r="AA307" s="16">
        <f>Y307/'Gearing Calculator'!$C$24</f>
        <v>-12.589086592000079</v>
      </c>
      <c r="AB307" s="16">
        <f t="shared" si="31"/>
        <v>-45.164667658865163</v>
      </c>
      <c r="AC307" s="16">
        <v>100</v>
      </c>
      <c r="AD307" s="16">
        <v>0</v>
      </c>
      <c r="AE307" s="16">
        <v>304</v>
      </c>
      <c r="AF307" s="16">
        <f>IF(AC307=0,IF(O307=6,INDEX(Acceleration!$V$4:$V$110,MATCH('Track Data'!S307,Acceleration!$K$4:$K$110,0)),IF('Track Data'!O307=5,INDEX(Acceleration!$U$4:$U$110,MATCH('Track Data'!S307,Acceleration!$K$4:$K$110,0)),1)),U307)</f>
        <v>-14.71670186282954</v>
      </c>
      <c r="AG307" s="16">
        <f>IF(AC307=0,IF(O307=4,INDEX(Acceleration!$T$4:$T$110,MATCH('Track Data'!S307,Acceleration!$K$4:$K$110,0)),IF('Track Data'!O307=3,INDEX(Acceleration!$S$4:$S$110,MATCH('Track Data'!S307,Acceleration!$K$4:$K$110,0)),'Track Data'!AF307)),'Track Data'!U307)</f>
        <v>-14.71670186282954</v>
      </c>
      <c r="AH307" s="16">
        <f>IF(AC307=0,IF(O307=2,INDEX(Acceleration!$R$4:$R$110,MATCH('Track Data'!S307,Acceleration!$K$4:$K$110,0)),IF('Track Data'!O307=1,INDEX(Acceleration!$Q$4:$Q$110,MATCH('Track Data'!S307,Acceleration!$K$4:$K$110,0)),'Track Data'!AG307)),'Track Data'!U307)</f>
        <v>-14.71670186282954</v>
      </c>
    </row>
    <row r="308" spans="2:34" x14ac:dyDescent="0.25">
      <c r="B308" s="16">
        <v>202.809</v>
      </c>
      <c r="C308" s="16">
        <v>7578</v>
      </c>
      <c r="D308" s="16">
        <v>305</v>
      </c>
      <c r="E308" s="113">
        <v>52</v>
      </c>
      <c r="F308" s="113">
        <v>57</v>
      </c>
      <c r="G308" s="113">
        <v>60.7</v>
      </c>
      <c r="H308" s="113">
        <f t="shared" si="32"/>
        <v>16.861111111111111</v>
      </c>
      <c r="I308" s="113">
        <v>-3.6</v>
      </c>
      <c r="J308" s="113">
        <v>94.73</v>
      </c>
      <c r="K308" s="113">
        <v>-15.1</v>
      </c>
      <c r="L308" s="189"/>
      <c r="M308" s="16">
        <v>305</v>
      </c>
      <c r="N308" s="16">
        <f t="shared" si="34"/>
        <v>5.1426229092495591E-2</v>
      </c>
      <c r="O308" s="16">
        <v>6</v>
      </c>
      <c r="P308" s="16">
        <f t="shared" si="29"/>
        <v>7.3113821138211375</v>
      </c>
      <c r="Q308" s="16">
        <f t="shared" si="35"/>
        <v>19.445330090242329</v>
      </c>
      <c r="R308" s="113">
        <f t="shared" si="30"/>
        <v>311.95699999999999</v>
      </c>
      <c r="S308" s="16">
        <f>IF(S307=15800,15800,ROUND((((Q308*60)/'Gearing Calculator'!$C$14)*'Track Data'!P308),-2))</f>
        <v>4300</v>
      </c>
      <c r="T308" s="16">
        <f t="shared" si="33"/>
        <v>-14.71670186282954</v>
      </c>
      <c r="U308" s="16">
        <f>IF(AC308=100,Braking!$AG$2354,IF(AC308=50,Braking!$AG$1179,IF(AC308=75,Braking!$AG$1767,0)))</f>
        <v>-14.71670186282954</v>
      </c>
      <c r="V308" s="16">
        <f>0.5*'Gearing Calculator'!$C$15*'Gearing Calculator'!$C$20*'Gearing Calculator'!$W$20*('Track Data'!Q308^2)</f>
        <v>40.020312067788318</v>
      </c>
      <c r="W308" s="16">
        <f>('Gearing Calculator'!$U$9*'Track Data'!T308)+'Track Data'!V308</f>
        <v>-3877.5657238174349</v>
      </c>
      <c r="X308" s="16">
        <f>('Gearing Calculator'!$U$9*9.81)*('Gearing Calculator'!$U$16/'Gearing Calculator'!$C$7)-(('Track Data'!W308)*('Gearing Calculator'!$U$17/'Gearing Calculator'!$C$7))</f>
        <v>3514.700432919275</v>
      </c>
      <c r="Y308" s="16">
        <f>('Gearing Calculator'!$U$9*9.81)*(('Gearing Calculator'!$C$7-'Gearing Calculator'!$U$16)/'Gearing Calculator'!$C$7)+(('Track Data'!W308)*('Gearing Calculator'!$U$17/'Gearing Calculator'!$C$7))</f>
        <v>-903.27843291927525</v>
      </c>
      <c r="Z308" s="16">
        <f>((X308*COS('Gearing Calculator'!$C$21))/'Gearing Calculator'!$C$22)/2</f>
        <v>108.66342133546732</v>
      </c>
      <c r="AA308" s="16">
        <f>Y308/'Gearing Calculator'!$C$24</f>
        <v>-12.612796561138415</v>
      </c>
      <c r="AB308" s="16">
        <f t="shared" si="31"/>
        <v>-48.279899109188925</v>
      </c>
      <c r="AC308" s="16">
        <v>100</v>
      </c>
      <c r="AD308" s="16">
        <v>0</v>
      </c>
      <c r="AE308" s="16">
        <v>305</v>
      </c>
      <c r="AF308" s="16">
        <f>IF(AC308=0,IF(O308=6,INDEX(Acceleration!$V$4:$V$110,MATCH('Track Data'!S308,Acceleration!$K$4:$K$110,0)),IF('Track Data'!O308=5,INDEX(Acceleration!$U$4:$U$110,MATCH('Track Data'!S308,Acceleration!$K$4:$K$110,0)),1)),U308)</f>
        <v>-14.71670186282954</v>
      </c>
      <c r="AG308" s="16">
        <f>IF(AC308=0,IF(O308=4,INDEX(Acceleration!$T$4:$T$110,MATCH('Track Data'!S308,Acceleration!$K$4:$K$110,0)),IF('Track Data'!O308=3,INDEX(Acceleration!$S$4:$S$110,MATCH('Track Data'!S308,Acceleration!$K$4:$K$110,0)),'Track Data'!AF308)),'Track Data'!U308)</f>
        <v>-14.71670186282954</v>
      </c>
      <c r="AH308" s="16">
        <f>IF(AC308=0,IF(O308=2,INDEX(Acceleration!$R$4:$R$110,MATCH('Track Data'!S308,Acceleration!$K$4:$K$110,0)),IF('Track Data'!O308=1,INDEX(Acceleration!$Q$4:$Q$110,MATCH('Track Data'!S308,Acceleration!$K$4:$K$110,0)),'Track Data'!AG308)),'Track Data'!U308)</f>
        <v>-14.71670186282954</v>
      </c>
    </row>
    <row r="309" spans="2:34" ht="15.75" thickBot="1" x14ac:dyDescent="0.3">
      <c r="B309" s="16">
        <v>202.87299999999999</v>
      </c>
      <c r="C309" s="16">
        <v>7579</v>
      </c>
      <c r="D309" s="16">
        <v>306</v>
      </c>
      <c r="E309" s="113">
        <v>50</v>
      </c>
      <c r="F309" s="113">
        <v>56</v>
      </c>
      <c r="G309" s="113">
        <v>58.5</v>
      </c>
      <c r="H309" s="113">
        <f t="shared" si="32"/>
        <v>16.25</v>
      </c>
      <c r="I309" s="113">
        <v>-3.6</v>
      </c>
      <c r="J309" s="113">
        <v>94.34</v>
      </c>
      <c r="K309" s="113">
        <v>-10.4</v>
      </c>
      <c r="L309" s="190"/>
      <c r="M309" s="16">
        <v>306</v>
      </c>
      <c r="N309" s="16">
        <f t="shared" si="34"/>
        <v>5.3552757288795279E-2</v>
      </c>
      <c r="O309" s="16">
        <v>6</v>
      </c>
      <c r="P309" s="16">
        <f t="shared" si="29"/>
        <v>7.3113821138211375</v>
      </c>
      <c r="Q309" s="16">
        <f t="shared" si="35"/>
        <v>18.673174839668391</v>
      </c>
      <c r="R309" s="113">
        <f t="shared" si="30"/>
        <v>311.95699999999999</v>
      </c>
      <c r="S309" s="16">
        <f>IF(S308=15800,15800,ROUND((((Q309*60)/'Gearing Calculator'!$C$14)*'Track Data'!P309),-2))</f>
        <v>4100</v>
      </c>
      <c r="T309" s="16">
        <f t="shared" si="33"/>
        <v>-14.71670186282954</v>
      </c>
      <c r="U309" s="16">
        <f>IF(AC309=100,Braking!$AG$2354,IF(AC309=50,Braking!$AG$1179,IF(AC309=75,Braking!$AG$1767,0)))</f>
        <v>-14.71670186282954</v>
      </c>
      <c r="V309" s="16">
        <f>0.5*'Gearing Calculator'!$C$15*'Gearing Calculator'!$C$20*'Gearing Calculator'!$W$20*('Track Data'!Q309^2)</f>
        <v>36.905080617464556</v>
      </c>
      <c r="W309" s="16">
        <f>('Gearing Calculator'!$U$9*'Track Data'!T309)+'Track Data'!V309</f>
        <v>-3880.6809552677587</v>
      </c>
      <c r="X309" s="16">
        <f>('Gearing Calculator'!$U$9*9.81)*('Gearing Calculator'!$U$16/'Gearing Calculator'!$C$7)-(('Track Data'!W309)*('Gearing Calculator'!$U$17/'Gearing Calculator'!$C$7))</f>
        <v>3516.3984468104873</v>
      </c>
      <c r="Y309" s="16">
        <f>('Gearing Calculator'!$U$9*9.81)*(('Gearing Calculator'!$C$7-'Gearing Calculator'!$U$16)/'Gearing Calculator'!$C$7)+(('Track Data'!W309)*('Gearing Calculator'!$U$17/'Gearing Calculator'!$C$7))</f>
        <v>-904.976446810487</v>
      </c>
      <c r="Z309" s="16">
        <f>((X309*COS('Gearing Calculator'!$C$21))/'Gearing Calculator'!$C$22)/2</f>
        <v>108.71591855462322</v>
      </c>
      <c r="AA309" s="16">
        <f>Y309/'Gearing Calculator'!$C$24</f>
        <v>-12.636506530276753</v>
      </c>
      <c r="AB309" s="16">
        <f t="shared" si="31"/>
        <v>-51.395130559512687</v>
      </c>
      <c r="AC309" s="16">
        <v>100</v>
      </c>
      <c r="AD309" s="16">
        <v>0</v>
      </c>
      <c r="AE309" s="16">
        <v>306</v>
      </c>
      <c r="AF309" s="16">
        <f>IF(AC309=0,IF(O309=6,INDEX(Acceleration!$V$4:$V$110,MATCH('Track Data'!S309,Acceleration!$K$4:$K$110,0)),IF('Track Data'!O309=5,INDEX(Acceleration!$U$4:$U$110,MATCH('Track Data'!S309,Acceleration!$K$4:$K$110,0)),1)),U309)</f>
        <v>-14.71670186282954</v>
      </c>
      <c r="AG309" s="16">
        <f>IF(AC309=0,IF(O309=4,INDEX(Acceleration!$T$4:$T$110,MATCH('Track Data'!S309,Acceleration!$K$4:$K$110,0)),IF('Track Data'!O309=3,INDEX(Acceleration!$S$4:$S$110,MATCH('Track Data'!S309,Acceleration!$K$4:$K$110,0)),'Track Data'!AF309)),'Track Data'!U309)</f>
        <v>-14.71670186282954</v>
      </c>
      <c r="AH309" s="16">
        <f>IF(AC309=0,IF(O309=2,INDEX(Acceleration!$R$4:$R$110,MATCH('Track Data'!S309,Acceleration!$K$4:$K$110,0)),IF('Track Data'!O309=1,INDEX(Acceleration!$Q$4:$Q$110,MATCH('Track Data'!S309,Acceleration!$K$4:$K$110,0)),'Track Data'!AG309)),'Track Data'!U309)</f>
        <v>-14.71670186282954</v>
      </c>
    </row>
    <row r="310" spans="2:34" x14ac:dyDescent="0.25">
      <c r="B310" s="16">
        <v>202.93700000000001</v>
      </c>
      <c r="C310" s="16">
        <v>7580</v>
      </c>
      <c r="D310" s="16">
        <v>307</v>
      </c>
      <c r="E310" s="113">
        <v>49</v>
      </c>
      <c r="F310" s="113">
        <v>54.2</v>
      </c>
      <c r="G310" s="113">
        <v>56.7</v>
      </c>
      <c r="H310" s="113">
        <f t="shared" si="32"/>
        <v>15.75</v>
      </c>
      <c r="I310" s="113">
        <v>-2.6</v>
      </c>
      <c r="J310" s="113">
        <v>94.28</v>
      </c>
      <c r="K310" s="113">
        <v>-15.3</v>
      </c>
      <c r="L310" s="191" t="s">
        <v>185</v>
      </c>
      <c r="M310" s="16">
        <v>307</v>
      </c>
      <c r="N310" s="16">
        <f t="shared" si="34"/>
        <v>5.5966969197347081E-2</v>
      </c>
      <c r="O310" s="16">
        <v>1</v>
      </c>
      <c r="P310" s="16">
        <f t="shared" si="29"/>
        <v>16.424119241192415</v>
      </c>
      <c r="Q310" s="16">
        <f t="shared" si="35"/>
        <v>17.867681854878814</v>
      </c>
      <c r="R310" s="113">
        <f t="shared" si="30"/>
        <v>434.78</v>
      </c>
      <c r="S310" s="16">
        <f>IF(S309=15800,15800,ROUND((((Q310*60)/'Gearing Calculator'!$C$14)*'Track Data'!P310),-2))</f>
        <v>8900</v>
      </c>
      <c r="T310" s="16">
        <f t="shared" si="33"/>
        <v>5.6877465133806844</v>
      </c>
      <c r="U310" s="16">
        <f>IF(AC310=100,Braking!$AG$2354,IF(AC310=50,Braking!$AG$1179,IF(AC310=75,Braking!$AG$1767,0)))</f>
        <v>0</v>
      </c>
      <c r="V310" s="16">
        <f>0.5*'Gearing Calculator'!$C$15*'Gearing Calculator'!$C$20*'Gearing Calculator'!$W$20*('Track Data'!Q310^2)</f>
        <v>33.789849167140808</v>
      </c>
      <c r="W310" s="16">
        <f>('Gearing Calculator'!$U$9*'Track Data'!T310)+'Track Data'!V310</f>
        <v>1547.8679710290789</v>
      </c>
      <c r="X310" s="16">
        <f>('Gearing Calculator'!$U$9*9.81)*('Gearing Calculator'!$U$16/'Gearing Calculator'!$C$7)-(('Track Data'!W310)*('Gearing Calculator'!$U$17/'Gearing Calculator'!$C$7))</f>
        <v>557.46854610700359</v>
      </c>
      <c r="Y310" s="16">
        <f>('Gearing Calculator'!$U$9*9.81)*(('Gearing Calculator'!$C$7-'Gearing Calculator'!$U$16)/'Gearing Calculator'!$C$7)+(('Track Data'!W310)*('Gearing Calculator'!$U$17/'Gearing Calculator'!$C$7))</f>
        <v>2053.9534538929965</v>
      </c>
      <c r="Z310" s="16">
        <f>((X310*COS('Gearing Calculator'!$C$21))/'Gearing Calculator'!$C$22)/2</f>
        <v>17.235164322832922</v>
      </c>
      <c r="AA310" s="16">
        <f>Y310/'Gearing Calculator'!$C$24</f>
        <v>28.680079271100176</v>
      </c>
      <c r="AB310" s="16">
        <f t="shared" ref="AB310:AB373" si="36">(T310*O310)+V310</f>
        <v>39.477595680521489</v>
      </c>
      <c r="AC310" s="16">
        <v>0</v>
      </c>
      <c r="AD310" s="16">
        <v>-50.276124960482598</v>
      </c>
      <c r="AE310" s="16">
        <v>307</v>
      </c>
      <c r="AF310" s="16">
        <f>IF(AC310=0,IF(O310=6,INDEX(Acceleration!$V$4:$V$110,MATCH('Track Data'!S310,Acceleration!$K$4:$K$110,0)),IF('Track Data'!O310=5,INDEX(Acceleration!$U$4:$U$110,MATCH('Track Data'!S310,Acceleration!$K$4:$K$110,0)),1)),U310)</f>
        <v>1</v>
      </c>
      <c r="AG310" s="16">
        <f>IF(AC310=0,IF(O310=4,INDEX(Acceleration!$T$4:$T$110,MATCH('Track Data'!S310,Acceleration!$K$4:$K$110,0)),IF('Track Data'!O310=3,INDEX(Acceleration!$S$4:$S$110,MATCH('Track Data'!S310,Acceleration!$K$4:$K$110,0)),'Track Data'!AF310)),'Track Data'!U310)</f>
        <v>1</v>
      </c>
      <c r="AH310" s="16">
        <f>IF(AC310=0,IF(O310=2,INDEX(Acceleration!$R$4:$R$110,MATCH('Track Data'!S310,Acceleration!$K$4:$K$110,0)),IF('Track Data'!O310=1,INDEX(Acceleration!$Q$4:$Q$110,MATCH('Track Data'!S310,Acceleration!$K$4:$K$110,0)),'Track Data'!AG310)),'Track Data'!U310)</f>
        <v>5.6877465133806844</v>
      </c>
    </row>
    <row r="311" spans="2:34" x14ac:dyDescent="0.25">
      <c r="B311" s="16">
        <v>203.00399999999999</v>
      </c>
      <c r="C311" s="16">
        <v>7581</v>
      </c>
      <c r="D311" s="16">
        <v>308</v>
      </c>
      <c r="E311" s="113">
        <v>49</v>
      </c>
      <c r="F311" s="113">
        <v>51.6</v>
      </c>
      <c r="G311" s="113">
        <v>55</v>
      </c>
      <c r="H311" s="113">
        <f t="shared" si="32"/>
        <v>15.277777777777777</v>
      </c>
      <c r="I311" s="113">
        <v>-2</v>
      </c>
      <c r="J311" s="113">
        <v>93.2</v>
      </c>
      <c r="K311" s="113">
        <v>-17.8</v>
      </c>
      <c r="L311" s="192"/>
      <c r="M311" s="16">
        <v>308</v>
      </c>
      <c r="N311" s="16">
        <f t="shared" si="34"/>
        <v>5.5966969197347081E-2</v>
      </c>
      <c r="O311" s="16">
        <v>1</v>
      </c>
      <c r="P311" s="16">
        <f t="shared" si="29"/>
        <v>16.424119241192415</v>
      </c>
      <c r="Q311" s="16">
        <f>IF(AD310=0,SQRT(Q310^2+(2*T310)),Q310)</f>
        <v>17.867681854878814</v>
      </c>
      <c r="R311" s="113">
        <f t="shared" si="30"/>
        <v>434.78</v>
      </c>
      <c r="S311" s="16">
        <f>IF(S310=15800,15800,ROUND((((Q311*60)/'Gearing Calculator'!$C$14)*'Track Data'!P311),-2))</f>
        <v>8900</v>
      </c>
      <c r="T311" s="16">
        <f t="shared" si="33"/>
        <v>5.6877465133806844</v>
      </c>
      <c r="U311" s="16">
        <f>IF(AC311=100,Braking!$AG$2354,IF(AC311=50,Braking!$AG$1179,IF(AC311=75,Braking!$AG$1767,0)))</f>
        <v>0</v>
      </c>
      <c r="V311" s="16">
        <f>0.5*'Gearing Calculator'!$C$15*'Gearing Calculator'!$C$20*'Gearing Calculator'!$W$20*('Track Data'!Q311^2)</f>
        <v>33.789849167140808</v>
      </c>
      <c r="W311" s="16">
        <f>('Gearing Calculator'!$U$9*'Track Data'!T311)+'Track Data'!V311</f>
        <v>1547.8679710290789</v>
      </c>
      <c r="X311" s="16">
        <f>('Gearing Calculator'!$U$9*9.81)*('Gearing Calculator'!$U$16/'Gearing Calculator'!$C$7)-(('Track Data'!W311)*('Gearing Calculator'!$U$17/'Gearing Calculator'!$C$7))</f>
        <v>557.46854610700359</v>
      </c>
      <c r="Y311" s="16">
        <f>('Gearing Calculator'!$U$9*9.81)*(('Gearing Calculator'!$C$7-'Gearing Calculator'!$U$16)/'Gearing Calculator'!$C$7)+(('Track Data'!W311)*('Gearing Calculator'!$U$17/'Gearing Calculator'!$C$7))</f>
        <v>2053.9534538929965</v>
      </c>
      <c r="Z311" s="16">
        <f>((X311*COS('Gearing Calculator'!$C$21))/'Gearing Calculator'!$C$22)/2</f>
        <v>17.235164322832922</v>
      </c>
      <c r="AA311" s="16">
        <f>Y311/'Gearing Calculator'!$C$24</f>
        <v>28.680079271100176</v>
      </c>
      <c r="AB311" s="16">
        <f t="shared" si="36"/>
        <v>39.477595680521489</v>
      </c>
      <c r="AC311" s="16">
        <v>0</v>
      </c>
      <c r="AD311" s="16">
        <v>-50.276124960482598</v>
      </c>
      <c r="AE311" s="16">
        <v>308</v>
      </c>
      <c r="AF311" s="16">
        <f>IF(AC311=0,IF(O311=6,INDEX(Acceleration!$V$4:$V$110,MATCH('Track Data'!S311,Acceleration!$K$4:$K$110,0)),IF('Track Data'!O311=5,INDEX(Acceleration!$U$4:$U$110,MATCH('Track Data'!S311,Acceleration!$K$4:$K$110,0)),1)),U311)</f>
        <v>1</v>
      </c>
      <c r="AG311" s="16">
        <f>IF(AC311=0,IF(O311=4,INDEX(Acceleration!$T$4:$T$110,MATCH('Track Data'!S311,Acceleration!$K$4:$K$110,0)),IF('Track Data'!O311=3,INDEX(Acceleration!$S$4:$S$110,MATCH('Track Data'!S311,Acceleration!$K$4:$K$110,0)),'Track Data'!AF311)),'Track Data'!U311)</f>
        <v>1</v>
      </c>
      <c r="AH311" s="16">
        <f>IF(AC311=0,IF(O311=2,INDEX(Acceleration!$R$4:$R$110,MATCH('Track Data'!S311,Acceleration!$K$4:$K$110,0)),IF('Track Data'!O311=1,INDEX(Acceleration!$Q$4:$Q$110,MATCH('Track Data'!S311,Acceleration!$K$4:$K$110,0)),'Track Data'!AG311)),'Track Data'!U311)</f>
        <v>5.6877465133806844</v>
      </c>
    </row>
    <row r="312" spans="2:34" x14ac:dyDescent="0.25">
      <c r="B312" s="16">
        <v>203.07300000000001</v>
      </c>
      <c r="C312" s="16">
        <v>7582</v>
      </c>
      <c r="D312" s="16">
        <v>309</v>
      </c>
      <c r="E312" s="113">
        <v>48</v>
      </c>
      <c r="F312" s="113">
        <v>50.5</v>
      </c>
      <c r="G312" s="113">
        <v>53.3</v>
      </c>
      <c r="H312" s="113">
        <f t="shared" si="32"/>
        <v>14.805555555555554</v>
      </c>
      <c r="I312" s="113">
        <v>-2.5</v>
      </c>
      <c r="J312" s="113">
        <v>92.57</v>
      </c>
      <c r="K312" s="113">
        <v>-19.7</v>
      </c>
      <c r="L312" s="192"/>
      <c r="M312" s="16">
        <v>309</v>
      </c>
      <c r="N312" s="16">
        <f t="shared" si="34"/>
        <v>5.5966969197347081E-2</v>
      </c>
      <c r="O312" s="16">
        <v>1</v>
      </c>
      <c r="P312" s="16">
        <f t="shared" si="29"/>
        <v>16.424119241192415</v>
      </c>
      <c r="Q312" s="16">
        <f t="shared" si="35"/>
        <v>17.867681854878814</v>
      </c>
      <c r="R312" s="113">
        <f t="shared" si="30"/>
        <v>434.78</v>
      </c>
      <c r="S312" s="16">
        <f>IF(S311=15800,15800,ROUND((((Q312*60)/'Gearing Calculator'!$C$14)*'Track Data'!P312),-2))</f>
        <v>8900</v>
      </c>
      <c r="T312" s="16">
        <f t="shared" si="33"/>
        <v>5.6877465133806844</v>
      </c>
      <c r="U312" s="16">
        <f>IF(AC312=100,Braking!$AG$2354,IF(AC312=50,Braking!$AG$1179,IF(AC312=75,Braking!$AG$1767,0)))</f>
        <v>0</v>
      </c>
      <c r="V312" s="16">
        <f>0.5*'Gearing Calculator'!$C$15*'Gearing Calculator'!$C$20*'Gearing Calculator'!$W$20*('Track Data'!Q312^2)</f>
        <v>33.789849167140808</v>
      </c>
      <c r="W312" s="16">
        <f>('Gearing Calculator'!$U$9*'Track Data'!T312)+'Track Data'!V312</f>
        <v>1547.8679710290789</v>
      </c>
      <c r="X312" s="16">
        <f>('Gearing Calculator'!$U$9*9.81)*('Gearing Calculator'!$U$16/'Gearing Calculator'!$C$7)-(('Track Data'!W312)*('Gearing Calculator'!$U$17/'Gearing Calculator'!$C$7))</f>
        <v>557.46854610700359</v>
      </c>
      <c r="Y312" s="16">
        <f>('Gearing Calculator'!$U$9*9.81)*(('Gearing Calculator'!$C$7-'Gearing Calculator'!$U$16)/'Gearing Calculator'!$C$7)+(('Track Data'!W312)*('Gearing Calculator'!$U$17/'Gearing Calculator'!$C$7))</f>
        <v>2053.9534538929965</v>
      </c>
      <c r="Z312" s="16">
        <f>((X312*COS('Gearing Calculator'!$C$21))/'Gearing Calculator'!$C$22)/2</f>
        <v>17.235164322832922</v>
      </c>
      <c r="AA312" s="16">
        <f>Y312/'Gearing Calculator'!$C$24</f>
        <v>28.680079271100176</v>
      </c>
      <c r="AB312" s="16">
        <f t="shared" si="36"/>
        <v>39.477595680521489</v>
      </c>
      <c r="AC312" s="16">
        <v>0</v>
      </c>
      <c r="AD312" s="16">
        <v>-50.276124960482598</v>
      </c>
      <c r="AE312" s="16">
        <v>309</v>
      </c>
      <c r="AF312" s="16">
        <f>IF(AC312=0,IF(O312=6,INDEX(Acceleration!$V$4:$V$110,MATCH('Track Data'!S312,Acceleration!$K$4:$K$110,0)),IF('Track Data'!O312=5,INDEX(Acceleration!$U$4:$U$110,MATCH('Track Data'!S312,Acceleration!$K$4:$K$110,0)),1)),U312)</f>
        <v>1</v>
      </c>
      <c r="AG312" s="16">
        <f>IF(AC312=0,IF(O312=4,INDEX(Acceleration!$T$4:$T$110,MATCH('Track Data'!S312,Acceleration!$K$4:$K$110,0)),IF('Track Data'!O312=3,INDEX(Acceleration!$S$4:$S$110,MATCH('Track Data'!S312,Acceleration!$K$4:$K$110,0)),'Track Data'!AF312)),'Track Data'!U312)</f>
        <v>1</v>
      </c>
      <c r="AH312" s="16">
        <f>IF(AC312=0,IF(O312=2,INDEX(Acceleration!$R$4:$R$110,MATCH('Track Data'!S312,Acceleration!$K$4:$K$110,0)),IF('Track Data'!O312=1,INDEX(Acceleration!$Q$4:$Q$110,MATCH('Track Data'!S312,Acceleration!$K$4:$K$110,0)),'Track Data'!AG312)),'Track Data'!U312)</f>
        <v>5.6877465133806844</v>
      </c>
    </row>
    <row r="313" spans="2:34" x14ac:dyDescent="0.25">
      <c r="B313" s="16">
        <v>203.14400000000001</v>
      </c>
      <c r="C313" s="16">
        <v>7583</v>
      </c>
      <c r="D313" s="16">
        <v>310</v>
      </c>
      <c r="E313" s="113">
        <v>47</v>
      </c>
      <c r="F313" s="113">
        <v>50</v>
      </c>
      <c r="G313" s="113">
        <v>51.7</v>
      </c>
      <c r="H313" s="113">
        <f t="shared" si="32"/>
        <v>14.361111111111111</v>
      </c>
      <c r="I313" s="113">
        <v>-2.6</v>
      </c>
      <c r="J313" s="113">
        <v>90.61</v>
      </c>
      <c r="K313" s="113">
        <v>-17.7</v>
      </c>
      <c r="L313" s="192"/>
      <c r="M313" s="16">
        <v>310</v>
      </c>
      <c r="N313" s="16">
        <f t="shared" si="34"/>
        <v>5.5966969197347081E-2</v>
      </c>
      <c r="O313" s="16">
        <v>1</v>
      </c>
      <c r="P313" s="16">
        <f t="shared" si="29"/>
        <v>16.424119241192415</v>
      </c>
      <c r="Q313" s="16">
        <f t="shared" si="35"/>
        <v>17.867681854878814</v>
      </c>
      <c r="R313" s="113">
        <f t="shared" si="30"/>
        <v>434.78</v>
      </c>
      <c r="S313" s="16">
        <f>IF(S312=15800,15800,ROUND((((Q313*60)/'Gearing Calculator'!$C$14)*'Track Data'!P313),-2))</f>
        <v>8900</v>
      </c>
      <c r="T313" s="16">
        <f t="shared" si="33"/>
        <v>5.6877465133806844</v>
      </c>
      <c r="U313" s="16">
        <f>IF(AC313=100,Braking!$AG$2354,IF(AC313=50,Braking!$AG$1179,IF(AC313=75,Braking!$AG$1767,0)))</f>
        <v>0</v>
      </c>
      <c r="V313" s="16">
        <f>0.5*'Gearing Calculator'!$C$15*'Gearing Calculator'!$C$20*'Gearing Calculator'!$W$20*('Track Data'!Q313^2)</f>
        <v>33.789849167140808</v>
      </c>
      <c r="W313" s="16">
        <f>('Gearing Calculator'!$U$9*'Track Data'!T313)+'Track Data'!V313</f>
        <v>1547.8679710290789</v>
      </c>
      <c r="X313" s="16">
        <f>('Gearing Calculator'!$U$9*9.81)*('Gearing Calculator'!$U$16/'Gearing Calculator'!$C$7)-(('Track Data'!W313)*('Gearing Calculator'!$U$17/'Gearing Calculator'!$C$7))</f>
        <v>557.46854610700359</v>
      </c>
      <c r="Y313" s="16">
        <f>('Gearing Calculator'!$U$9*9.81)*(('Gearing Calculator'!$C$7-'Gearing Calculator'!$U$16)/'Gearing Calculator'!$C$7)+(('Track Data'!W313)*('Gearing Calculator'!$U$17/'Gearing Calculator'!$C$7))</f>
        <v>2053.9534538929965</v>
      </c>
      <c r="Z313" s="16">
        <f>((X313*COS('Gearing Calculator'!$C$21))/'Gearing Calculator'!$C$22)/2</f>
        <v>17.235164322832922</v>
      </c>
      <c r="AA313" s="16">
        <f>Y313/'Gearing Calculator'!$C$24</f>
        <v>28.680079271100176</v>
      </c>
      <c r="AB313" s="16">
        <f t="shared" si="36"/>
        <v>39.477595680521489</v>
      </c>
      <c r="AC313" s="16">
        <v>0</v>
      </c>
      <c r="AD313" s="16">
        <v>-50.276124960482598</v>
      </c>
      <c r="AE313" s="16">
        <v>310</v>
      </c>
      <c r="AF313" s="16">
        <f>IF(AC313=0,IF(O313=6,INDEX(Acceleration!$V$4:$V$110,MATCH('Track Data'!S313,Acceleration!$K$4:$K$110,0)),IF('Track Data'!O313=5,INDEX(Acceleration!$U$4:$U$110,MATCH('Track Data'!S313,Acceleration!$K$4:$K$110,0)),1)),U313)</f>
        <v>1</v>
      </c>
      <c r="AG313" s="16">
        <f>IF(AC313=0,IF(O313=4,INDEX(Acceleration!$T$4:$T$110,MATCH('Track Data'!S313,Acceleration!$K$4:$K$110,0)),IF('Track Data'!O313=3,INDEX(Acceleration!$S$4:$S$110,MATCH('Track Data'!S313,Acceleration!$K$4:$K$110,0)),'Track Data'!AF313)),'Track Data'!U313)</f>
        <v>1</v>
      </c>
      <c r="AH313" s="16">
        <f>IF(AC313=0,IF(O313=2,INDEX(Acceleration!$R$4:$R$110,MATCH('Track Data'!S313,Acceleration!$K$4:$K$110,0)),IF('Track Data'!O313=1,INDEX(Acceleration!$Q$4:$Q$110,MATCH('Track Data'!S313,Acceleration!$K$4:$K$110,0)),'Track Data'!AG313)),'Track Data'!U313)</f>
        <v>5.6877465133806844</v>
      </c>
    </row>
    <row r="314" spans="2:34" x14ac:dyDescent="0.25">
      <c r="B314" s="16">
        <v>203.21700000000001</v>
      </c>
      <c r="C314" s="16">
        <v>7584</v>
      </c>
      <c r="D314" s="16">
        <v>311</v>
      </c>
      <c r="E314" s="113">
        <v>47</v>
      </c>
      <c r="F314" s="113">
        <v>48.9</v>
      </c>
      <c r="G314" s="113">
        <v>50</v>
      </c>
      <c r="H314" s="113">
        <f t="shared" si="32"/>
        <v>13.888888888888889</v>
      </c>
      <c r="I314" s="113">
        <v>-1.7</v>
      </c>
      <c r="J314" s="113">
        <v>90.91</v>
      </c>
      <c r="K314" s="113">
        <v>-9.6999999999999993</v>
      </c>
      <c r="L314" s="192"/>
      <c r="M314" s="16">
        <v>311</v>
      </c>
      <c r="N314" s="16">
        <f t="shared" si="34"/>
        <v>5.5966969197347081E-2</v>
      </c>
      <c r="O314" s="16">
        <v>1</v>
      </c>
      <c r="P314" s="16">
        <f t="shared" si="29"/>
        <v>16.424119241192415</v>
      </c>
      <c r="Q314" s="16">
        <f t="shared" si="35"/>
        <v>17.867681854878814</v>
      </c>
      <c r="R314" s="113">
        <f t="shared" si="30"/>
        <v>434.78</v>
      </c>
      <c r="S314" s="16">
        <f>IF(S313=15800,15800,ROUND((((Q314*60)/'Gearing Calculator'!$C$14)*'Track Data'!P314),-2))</f>
        <v>8900</v>
      </c>
      <c r="T314" s="16">
        <f t="shared" si="33"/>
        <v>5.6877465133806844</v>
      </c>
      <c r="U314" s="16">
        <f>IF(AC314=100,Braking!$AG$2354,IF(AC314=50,Braking!$AG$1179,IF(AC314=75,Braking!$AG$1767,0)))</f>
        <v>0</v>
      </c>
      <c r="V314" s="16">
        <f>0.5*'Gearing Calculator'!$C$15*'Gearing Calculator'!$C$20*'Gearing Calculator'!$W$20*('Track Data'!Q314^2)</f>
        <v>33.789849167140808</v>
      </c>
      <c r="W314" s="16">
        <f>('Gearing Calculator'!$U$9*'Track Data'!T314)+'Track Data'!V314</f>
        <v>1547.8679710290789</v>
      </c>
      <c r="X314" s="16">
        <f>('Gearing Calculator'!$U$9*9.81)*('Gearing Calculator'!$U$16/'Gearing Calculator'!$C$7)-(('Track Data'!W314)*('Gearing Calculator'!$U$17/'Gearing Calculator'!$C$7))</f>
        <v>557.46854610700359</v>
      </c>
      <c r="Y314" s="16">
        <f>('Gearing Calculator'!$U$9*9.81)*(('Gearing Calculator'!$C$7-'Gearing Calculator'!$U$16)/'Gearing Calculator'!$C$7)+(('Track Data'!W314)*('Gearing Calculator'!$U$17/'Gearing Calculator'!$C$7))</f>
        <v>2053.9534538929965</v>
      </c>
      <c r="Z314" s="16">
        <f>((X314*COS('Gearing Calculator'!$C$21))/'Gearing Calculator'!$C$22)/2</f>
        <v>17.235164322832922</v>
      </c>
      <c r="AA314" s="16">
        <f>Y314/'Gearing Calculator'!$C$24</f>
        <v>28.680079271100176</v>
      </c>
      <c r="AB314" s="16">
        <f t="shared" si="36"/>
        <v>39.477595680521489</v>
      </c>
      <c r="AC314" s="16">
        <v>0</v>
      </c>
      <c r="AD314" s="16">
        <v>-50.276124960482598</v>
      </c>
      <c r="AE314" s="16">
        <v>311</v>
      </c>
      <c r="AF314" s="16">
        <f>IF(AC314=0,IF(O314=6,INDEX(Acceleration!$V$4:$V$110,MATCH('Track Data'!S314,Acceleration!$K$4:$K$110,0)),IF('Track Data'!O314=5,INDEX(Acceleration!$U$4:$U$110,MATCH('Track Data'!S314,Acceleration!$K$4:$K$110,0)),1)),U314)</f>
        <v>1</v>
      </c>
      <c r="AG314" s="16">
        <f>IF(AC314=0,IF(O314=4,INDEX(Acceleration!$T$4:$T$110,MATCH('Track Data'!S314,Acceleration!$K$4:$K$110,0)),IF('Track Data'!O314=3,INDEX(Acceleration!$S$4:$S$110,MATCH('Track Data'!S314,Acceleration!$K$4:$K$110,0)),'Track Data'!AF314)),'Track Data'!U314)</f>
        <v>1</v>
      </c>
      <c r="AH314" s="16">
        <f>IF(AC314=0,IF(O314=2,INDEX(Acceleration!$R$4:$R$110,MATCH('Track Data'!S314,Acceleration!$K$4:$K$110,0)),IF('Track Data'!O314=1,INDEX(Acceleration!$Q$4:$Q$110,MATCH('Track Data'!S314,Acceleration!$K$4:$K$110,0)),'Track Data'!AG314)),'Track Data'!U314)</f>
        <v>5.6877465133806844</v>
      </c>
    </row>
    <row r="315" spans="2:34" x14ac:dyDescent="0.25">
      <c r="B315" s="16">
        <v>203.291</v>
      </c>
      <c r="C315" s="16">
        <v>7585</v>
      </c>
      <c r="D315" s="16">
        <v>312</v>
      </c>
      <c r="E315" s="113">
        <v>47</v>
      </c>
      <c r="F315" s="113">
        <v>47.2</v>
      </c>
      <c r="G315" s="113">
        <v>48.2</v>
      </c>
      <c r="H315" s="113">
        <f t="shared" si="32"/>
        <v>13.388888888888889</v>
      </c>
      <c r="I315" s="113">
        <v>1</v>
      </c>
      <c r="J315" s="113">
        <v>93.78</v>
      </c>
      <c r="K315" s="113">
        <v>-24.6</v>
      </c>
      <c r="L315" s="192"/>
      <c r="M315" s="16">
        <v>312</v>
      </c>
      <c r="N315" s="16">
        <f t="shared" si="34"/>
        <v>5.5966969197347081E-2</v>
      </c>
      <c r="O315" s="16">
        <v>1</v>
      </c>
      <c r="P315" s="16">
        <f t="shared" si="29"/>
        <v>16.424119241192415</v>
      </c>
      <c r="Q315" s="16">
        <f t="shared" si="35"/>
        <v>17.867681854878814</v>
      </c>
      <c r="R315" s="113">
        <f t="shared" si="30"/>
        <v>434.78</v>
      </c>
      <c r="S315" s="16">
        <f>IF(S314=15800,15800,ROUND((((Q315*60)/'Gearing Calculator'!$C$14)*'Track Data'!P315),-2))</f>
        <v>8900</v>
      </c>
      <c r="T315" s="16">
        <f t="shared" si="33"/>
        <v>5.6877465133806844</v>
      </c>
      <c r="U315" s="16">
        <f>IF(AC315=100,Braking!$AG$2354,IF(AC315=50,Braking!$AG$1179,IF(AC315=75,Braking!$AG$1767,0)))</f>
        <v>0</v>
      </c>
      <c r="V315" s="16">
        <f>0.5*'Gearing Calculator'!$C$15*'Gearing Calculator'!$C$20*'Gearing Calculator'!$W$20*('Track Data'!Q315^2)</f>
        <v>33.789849167140808</v>
      </c>
      <c r="W315" s="16">
        <f>('Gearing Calculator'!$U$9*'Track Data'!T315)+'Track Data'!V315</f>
        <v>1547.8679710290789</v>
      </c>
      <c r="X315" s="16">
        <f>('Gearing Calculator'!$U$9*9.81)*('Gearing Calculator'!$U$16/'Gearing Calculator'!$C$7)-(('Track Data'!W315)*('Gearing Calculator'!$U$17/'Gearing Calculator'!$C$7))</f>
        <v>557.46854610700359</v>
      </c>
      <c r="Y315" s="16">
        <f>('Gearing Calculator'!$U$9*9.81)*(('Gearing Calculator'!$C$7-'Gearing Calculator'!$U$16)/'Gearing Calculator'!$C$7)+(('Track Data'!W315)*('Gearing Calculator'!$U$17/'Gearing Calculator'!$C$7))</f>
        <v>2053.9534538929965</v>
      </c>
      <c r="Z315" s="16">
        <f>((X315*COS('Gearing Calculator'!$C$21))/'Gearing Calculator'!$C$22)/2</f>
        <v>17.235164322832922</v>
      </c>
      <c r="AA315" s="16">
        <f>Y315/'Gearing Calculator'!$C$24</f>
        <v>28.680079271100176</v>
      </c>
      <c r="AB315" s="16">
        <f t="shared" si="36"/>
        <v>39.477595680521489</v>
      </c>
      <c r="AC315" s="16">
        <v>0</v>
      </c>
      <c r="AD315" s="16">
        <v>-50.276124960482598</v>
      </c>
      <c r="AE315" s="16">
        <v>312</v>
      </c>
      <c r="AF315" s="16">
        <f>IF(AC315=0,IF(O315=6,INDEX(Acceleration!$V$4:$V$110,MATCH('Track Data'!S315,Acceleration!$K$4:$K$110,0)),IF('Track Data'!O315=5,INDEX(Acceleration!$U$4:$U$110,MATCH('Track Data'!S315,Acceleration!$K$4:$K$110,0)),1)),U315)</f>
        <v>1</v>
      </c>
      <c r="AG315" s="16">
        <f>IF(AC315=0,IF(O315=4,INDEX(Acceleration!$T$4:$T$110,MATCH('Track Data'!S315,Acceleration!$K$4:$K$110,0)),IF('Track Data'!O315=3,INDEX(Acceleration!$S$4:$S$110,MATCH('Track Data'!S315,Acceleration!$K$4:$K$110,0)),'Track Data'!AF315)),'Track Data'!U315)</f>
        <v>1</v>
      </c>
      <c r="AH315" s="16">
        <f>IF(AC315=0,IF(O315=2,INDEX(Acceleration!$R$4:$R$110,MATCH('Track Data'!S315,Acceleration!$K$4:$K$110,0)),IF('Track Data'!O315=1,INDEX(Acceleration!$Q$4:$Q$110,MATCH('Track Data'!S315,Acceleration!$K$4:$K$110,0)),'Track Data'!AG315)),'Track Data'!U315)</f>
        <v>5.6877465133806844</v>
      </c>
    </row>
    <row r="316" spans="2:34" x14ac:dyDescent="0.25">
      <c r="B316" s="16">
        <v>203.36699999999999</v>
      </c>
      <c r="C316" s="16">
        <v>7586</v>
      </c>
      <c r="D316" s="16">
        <v>313</v>
      </c>
      <c r="E316" s="113">
        <v>48</v>
      </c>
      <c r="F316" s="113">
        <v>46.5</v>
      </c>
      <c r="G316" s="113">
        <v>46.5</v>
      </c>
      <c r="H316" s="113">
        <f t="shared" si="32"/>
        <v>12.916666666666666</v>
      </c>
      <c r="I316" s="113">
        <v>2.4</v>
      </c>
      <c r="J316" s="113">
        <v>94.62</v>
      </c>
      <c r="K316" s="113">
        <v>-33.1</v>
      </c>
      <c r="L316" s="192"/>
      <c r="M316" s="16">
        <v>313</v>
      </c>
      <c r="N316" s="16">
        <f t="shared" si="34"/>
        <v>5.5966969197347081E-2</v>
      </c>
      <c r="O316" s="16">
        <v>1</v>
      </c>
      <c r="P316" s="16">
        <f t="shared" si="29"/>
        <v>16.424119241192415</v>
      </c>
      <c r="Q316" s="16">
        <f t="shared" si="35"/>
        <v>17.867681854878814</v>
      </c>
      <c r="R316" s="113">
        <f t="shared" si="30"/>
        <v>434.78</v>
      </c>
      <c r="S316" s="16">
        <f>IF(S315=15800,15800,ROUND((((Q316*60)/'Gearing Calculator'!$C$14)*'Track Data'!P316),-2))</f>
        <v>8900</v>
      </c>
      <c r="T316" s="16">
        <f t="shared" si="33"/>
        <v>5.6877465133806844</v>
      </c>
      <c r="U316" s="16">
        <f>IF(AC316=100,Braking!$AG$2354,IF(AC316=50,Braking!$AG$1179,IF(AC316=75,Braking!$AG$1767,0)))</f>
        <v>0</v>
      </c>
      <c r="V316" s="16">
        <f>0.5*'Gearing Calculator'!$C$15*'Gearing Calculator'!$C$20*'Gearing Calculator'!$W$20*('Track Data'!Q316^2)</f>
        <v>33.789849167140808</v>
      </c>
      <c r="W316" s="16">
        <f>('Gearing Calculator'!$U$9*'Track Data'!T316)+'Track Data'!V316</f>
        <v>1547.8679710290789</v>
      </c>
      <c r="X316" s="16">
        <f>('Gearing Calculator'!$U$9*9.81)*('Gearing Calculator'!$U$16/'Gearing Calculator'!$C$7)-(('Track Data'!W316)*('Gearing Calculator'!$U$17/'Gearing Calculator'!$C$7))</f>
        <v>557.46854610700359</v>
      </c>
      <c r="Y316" s="16">
        <f>('Gearing Calculator'!$U$9*9.81)*(('Gearing Calculator'!$C$7-'Gearing Calculator'!$U$16)/'Gearing Calculator'!$C$7)+(('Track Data'!W316)*('Gearing Calculator'!$U$17/'Gearing Calculator'!$C$7))</f>
        <v>2053.9534538929965</v>
      </c>
      <c r="Z316" s="16">
        <f>((X316*COS('Gearing Calculator'!$C$21))/'Gearing Calculator'!$C$22)/2</f>
        <v>17.235164322832922</v>
      </c>
      <c r="AA316" s="16">
        <f>Y316/'Gearing Calculator'!$C$24</f>
        <v>28.680079271100176</v>
      </c>
      <c r="AB316" s="16">
        <f t="shared" si="36"/>
        <v>39.477595680521489</v>
      </c>
      <c r="AC316" s="16">
        <v>0</v>
      </c>
      <c r="AD316" s="16">
        <v>-50.276124960482598</v>
      </c>
      <c r="AE316" s="16">
        <v>313</v>
      </c>
      <c r="AF316" s="16">
        <f>IF(AC316=0,IF(O316=6,INDEX(Acceleration!$V$4:$V$110,MATCH('Track Data'!S316,Acceleration!$K$4:$K$110,0)),IF('Track Data'!O316=5,INDEX(Acceleration!$U$4:$U$110,MATCH('Track Data'!S316,Acceleration!$K$4:$K$110,0)),1)),U316)</f>
        <v>1</v>
      </c>
      <c r="AG316" s="16">
        <f>IF(AC316=0,IF(O316=4,INDEX(Acceleration!$T$4:$T$110,MATCH('Track Data'!S316,Acceleration!$K$4:$K$110,0)),IF('Track Data'!O316=3,INDEX(Acceleration!$S$4:$S$110,MATCH('Track Data'!S316,Acceleration!$K$4:$K$110,0)),'Track Data'!AF316)),'Track Data'!U316)</f>
        <v>1</v>
      </c>
      <c r="AH316" s="16">
        <f>IF(AC316=0,IF(O316=2,INDEX(Acceleration!$R$4:$R$110,MATCH('Track Data'!S316,Acceleration!$K$4:$K$110,0)),IF('Track Data'!O316=1,INDEX(Acceleration!$Q$4:$Q$110,MATCH('Track Data'!S316,Acceleration!$K$4:$K$110,0)),'Track Data'!AG316)),'Track Data'!U316)</f>
        <v>5.6877465133806844</v>
      </c>
    </row>
    <row r="317" spans="2:34" x14ac:dyDescent="0.25">
      <c r="B317" s="16">
        <v>203.44499999999999</v>
      </c>
      <c r="C317" s="16">
        <v>7587</v>
      </c>
      <c r="D317" s="16">
        <v>314</v>
      </c>
      <c r="E317" s="113">
        <v>46</v>
      </c>
      <c r="F317" s="113">
        <v>44.8</v>
      </c>
      <c r="G317" s="113">
        <v>44.3</v>
      </c>
      <c r="H317" s="113">
        <f t="shared" si="32"/>
        <v>12.305555555555554</v>
      </c>
      <c r="I317" s="113">
        <v>4.8</v>
      </c>
      <c r="J317" s="113">
        <v>98.95</v>
      </c>
      <c r="K317" s="113">
        <v>-33.1</v>
      </c>
      <c r="L317" s="192"/>
      <c r="M317" s="16">
        <v>314</v>
      </c>
      <c r="N317" s="16">
        <f t="shared" si="34"/>
        <v>5.5966969197347081E-2</v>
      </c>
      <c r="O317" s="16">
        <v>1</v>
      </c>
      <c r="P317" s="16">
        <f t="shared" si="29"/>
        <v>16.424119241192415</v>
      </c>
      <c r="Q317" s="16">
        <f t="shared" si="35"/>
        <v>17.867681854878814</v>
      </c>
      <c r="R317" s="113">
        <f t="shared" si="30"/>
        <v>434.78</v>
      </c>
      <c r="S317" s="16">
        <f>IF(S316=15800,15800,ROUND((((Q317*60)/'Gearing Calculator'!$C$14)*'Track Data'!P317),-2))</f>
        <v>8900</v>
      </c>
      <c r="T317" s="16">
        <f t="shared" si="33"/>
        <v>5.6877465133806844</v>
      </c>
      <c r="U317" s="16">
        <f>IF(AC317=100,Braking!$AG$2354,IF(AC317=50,Braking!$AG$1179,IF(AC317=75,Braking!$AG$1767,0)))</f>
        <v>0</v>
      </c>
      <c r="V317" s="16">
        <f>0.5*'Gearing Calculator'!$C$15*'Gearing Calculator'!$C$20*'Gearing Calculator'!$W$20*('Track Data'!Q317^2)</f>
        <v>33.789849167140808</v>
      </c>
      <c r="W317" s="16">
        <f>('Gearing Calculator'!$U$9*'Track Data'!T317)+'Track Data'!V317</f>
        <v>1547.8679710290789</v>
      </c>
      <c r="X317" s="16">
        <f>('Gearing Calculator'!$U$9*9.81)*('Gearing Calculator'!$U$16/'Gearing Calculator'!$C$7)-(('Track Data'!W317)*('Gearing Calculator'!$U$17/'Gearing Calculator'!$C$7))</f>
        <v>557.46854610700359</v>
      </c>
      <c r="Y317" s="16">
        <f>('Gearing Calculator'!$U$9*9.81)*(('Gearing Calculator'!$C$7-'Gearing Calculator'!$U$16)/'Gearing Calculator'!$C$7)+(('Track Data'!W317)*('Gearing Calculator'!$U$17/'Gearing Calculator'!$C$7))</f>
        <v>2053.9534538929965</v>
      </c>
      <c r="Z317" s="16">
        <f>((X317*COS('Gearing Calculator'!$C$21))/'Gearing Calculator'!$C$22)/2</f>
        <v>17.235164322832922</v>
      </c>
      <c r="AA317" s="16">
        <f>Y317/'Gearing Calculator'!$C$24</f>
        <v>28.680079271100176</v>
      </c>
      <c r="AB317" s="16">
        <f t="shared" si="36"/>
        <v>39.477595680521489</v>
      </c>
      <c r="AC317" s="16">
        <v>0</v>
      </c>
      <c r="AD317" s="16">
        <v>-50.276124960482598</v>
      </c>
      <c r="AE317" s="16">
        <v>314</v>
      </c>
      <c r="AF317" s="16">
        <f>IF(AC317=0,IF(O317=6,INDEX(Acceleration!$V$4:$V$110,MATCH('Track Data'!S317,Acceleration!$K$4:$K$110,0)),IF('Track Data'!O317=5,INDEX(Acceleration!$U$4:$U$110,MATCH('Track Data'!S317,Acceleration!$K$4:$K$110,0)),1)),U317)</f>
        <v>1</v>
      </c>
      <c r="AG317" s="16">
        <f>IF(AC317=0,IF(O317=4,INDEX(Acceleration!$T$4:$T$110,MATCH('Track Data'!S317,Acceleration!$K$4:$K$110,0)),IF('Track Data'!O317=3,INDEX(Acceleration!$S$4:$S$110,MATCH('Track Data'!S317,Acceleration!$K$4:$K$110,0)),'Track Data'!AF317)),'Track Data'!U317)</f>
        <v>1</v>
      </c>
      <c r="AH317" s="16">
        <f>IF(AC317=0,IF(O317=2,INDEX(Acceleration!$R$4:$R$110,MATCH('Track Data'!S317,Acceleration!$K$4:$K$110,0)),IF('Track Data'!O317=1,INDEX(Acceleration!$Q$4:$Q$110,MATCH('Track Data'!S317,Acceleration!$K$4:$K$110,0)),'Track Data'!AG317)),'Track Data'!U317)</f>
        <v>5.6877465133806844</v>
      </c>
    </row>
    <row r="318" spans="2:34" x14ac:dyDescent="0.25">
      <c r="B318" s="16">
        <v>203.52600000000001</v>
      </c>
      <c r="C318" s="16">
        <v>7588</v>
      </c>
      <c r="D318" s="16">
        <v>315</v>
      </c>
      <c r="E318" s="113">
        <v>45</v>
      </c>
      <c r="F318" s="113">
        <v>43.2</v>
      </c>
      <c r="G318" s="113">
        <v>42.2</v>
      </c>
      <c r="H318" s="113">
        <f t="shared" si="32"/>
        <v>11.722222222222223</v>
      </c>
      <c r="I318" s="113">
        <v>5.0999999999999996</v>
      </c>
      <c r="J318" s="113">
        <v>98.55</v>
      </c>
      <c r="K318" s="113">
        <v>-34.299999999999997</v>
      </c>
      <c r="L318" s="192"/>
      <c r="M318" s="16">
        <v>315</v>
      </c>
      <c r="N318" s="16">
        <f t="shared" si="34"/>
        <v>5.5966969197347081E-2</v>
      </c>
      <c r="O318" s="16">
        <v>1</v>
      </c>
      <c r="P318" s="16">
        <f t="shared" si="29"/>
        <v>16.424119241192415</v>
      </c>
      <c r="Q318" s="16">
        <f t="shared" si="35"/>
        <v>17.867681854878814</v>
      </c>
      <c r="R318" s="113">
        <f t="shared" si="30"/>
        <v>434.78</v>
      </c>
      <c r="S318" s="16">
        <f>IF(S317=15800,15800,ROUND((((Q318*60)/'Gearing Calculator'!$C$14)*'Track Data'!P318),-2))</f>
        <v>8900</v>
      </c>
      <c r="T318" s="16">
        <f t="shared" si="33"/>
        <v>5.6877465133806844</v>
      </c>
      <c r="U318" s="16">
        <f>IF(AC318=100,Braking!$AG$2354,IF(AC318=50,Braking!$AG$1179,IF(AC318=75,Braking!$AG$1767,0)))</f>
        <v>0</v>
      </c>
      <c r="V318" s="16">
        <f>0.5*'Gearing Calculator'!$C$15*'Gearing Calculator'!$C$20*'Gearing Calculator'!$W$20*('Track Data'!Q318^2)</f>
        <v>33.789849167140808</v>
      </c>
      <c r="W318" s="16">
        <f>('Gearing Calculator'!$U$9*'Track Data'!T318)+'Track Data'!V318</f>
        <v>1547.8679710290789</v>
      </c>
      <c r="X318" s="16">
        <f>('Gearing Calculator'!$U$9*9.81)*('Gearing Calculator'!$U$16/'Gearing Calculator'!$C$7)-(('Track Data'!W318)*('Gearing Calculator'!$U$17/'Gearing Calculator'!$C$7))</f>
        <v>557.46854610700359</v>
      </c>
      <c r="Y318" s="16">
        <f>('Gearing Calculator'!$U$9*9.81)*(('Gearing Calculator'!$C$7-'Gearing Calculator'!$U$16)/'Gearing Calculator'!$C$7)+(('Track Data'!W318)*('Gearing Calculator'!$U$17/'Gearing Calculator'!$C$7))</f>
        <v>2053.9534538929965</v>
      </c>
      <c r="Z318" s="16">
        <f>((X318*COS('Gearing Calculator'!$C$21))/'Gearing Calculator'!$C$22)/2</f>
        <v>17.235164322832922</v>
      </c>
      <c r="AA318" s="16">
        <f>Y318/'Gearing Calculator'!$C$24</f>
        <v>28.680079271100176</v>
      </c>
      <c r="AB318" s="16">
        <f t="shared" si="36"/>
        <v>39.477595680521489</v>
      </c>
      <c r="AC318" s="16">
        <v>0</v>
      </c>
      <c r="AD318" s="16">
        <v>-50.276124960482598</v>
      </c>
      <c r="AE318" s="16">
        <v>315</v>
      </c>
      <c r="AF318" s="16">
        <f>IF(AC318=0,IF(O318=6,INDEX(Acceleration!$V$4:$V$110,MATCH('Track Data'!S318,Acceleration!$K$4:$K$110,0)),IF('Track Data'!O318=5,INDEX(Acceleration!$U$4:$U$110,MATCH('Track Data'!S318,Acceleration!$K$4:$K$110,0)),1)),U318)</f>
        <v>1</v>
      </c>
      <c r="AG318" s="16">
        <f>IF(AC318=0,IF(O318=4,INDEX(Acceleration!$T$4:$T$110,MATCH('Track Data'!S318,Acceleration!$K$4:$K$110,0)),IF('Track Data'!O318=3,INDEX(Acceleration!$S$4:$S$110,MATCH('Track Data'!S318,Acceleration!$K$4:$K$110,0)),'Track Data'!AF318)),'Track Data'!U318)</f>
        <v>1</v>
      </c>
      <c r="AH318" s="16">
        <f>IF(AC318=0,IF(O318=2,INDEX(Acceleration!$R$4:$R$110,MATCH('Track Data'!S318,Acceleration!$K$4:$K$110,0)),IF('Track Data'!O318=1,INDEX(Acceleration!$Q$4:$Q$110,MATCH('Track Data'!S318,Acceleration!$K$4:$K$110,0)),'Track Data'!AG318)),'Track Data'!U318)</f>
        <v>5.6877465133806844</v>
      </c>
    </row>
    <row r="319" spans="2:34" x14ac:dyDescent="0.25">
      <c r="B319" s="16">
        <v>203.61099999999999</v>
      </c>
      <c r="C319" s="16">
        <v>7589</v>
      </c>
      <c r="D319" s="16">
        <v>316</v>
      </c>
      <c r="E319" s="113">
        <v>42</v>
      </c>
      <c r="F319" s="113">
        <v>41</v>
      </c>
      <c r="G319" s="113">
        <v>40.1</v>
      </c>
      <c r="H319" s="113">
        <f t="shared" si="32"/>
        <v>11.138888888888889</v>
      </c>
      <c r="I319" s="113">
        <v>4.4000000000000004</v>
      </c>
      <c r="J319" s="113">
        <v>93.91</v>
      </c>
      <c r="K319" s="113">
        <v>-40.200000000000003</v>
      </c>
      <c r="L319" s="192"/>
      <c r="M319" s="16">
        <v>316</v>
      </c>
      <c r="N319" s="16">
        <f t="shared" si="34"/>
        <v>5.5966969197347081E-2</v>
      </c>
      <c r="O319" s="16">
        <v>1</v>
      </c>
      <c r="P319" s="16">
        <f t="shared" si="29"/>
        <v>16.424119241192415</v>
      </c>
      <c r="Q319" s="16">
        <f t="shared" si="35"/>
        <v>17.867681854878814</v>
      </c>
      <c r="R319" s="113">
        <f t="shared" si="30"/>
        <v>434.78</v>
      </c>
      <c r="S319" s="16">
        <f>IF(S318=15800,15800,ROUND((((Q319*60)/'Gearing Calculator'!$C$14)*'Track Data'!P319),-2))</f>
        <v>8900</v>
      </c>
      <c r="T319" s="16">
        <f t="shared" si="33"/>
        <v>5.6877465133806844</v>
      </c>
      <c r="U319" s="16">
        <f>IF(AC319=100,Braking!$AG$2354,IF(AC319=50,Braking!$AG$1179,IF(AC319=75,Braking!$AG$1767,0)))</f>
        <v>0</v>
      </c>
      <c r="V319" s="16">
        <f>0.5*'Gearing Calculator'!$C$15*'Gearing Calculator'!$C$20*'Gearing Calculator'!$W$20*('Track Data'!Q319^2)</f>
        <v>33.789849167140808</v>
      </c>
      <c r="W319" s="16">
        <f>('Gearing Calculator'!$U$9*'Track Data'!T319)+'Track Data'!V319</f>
        <v>1547.8679710290789</v>
      </c>
      <c r="X319" s="16">
        <f>('Gearing Calculator'!$U$9*9.81)*('Gearing Calculator'!$U$16/'Gearing Calculator'!$C$7)-(('Track Data'!W319)*('Gearing Calculator'!$U$17/'Gearing Calculator'!$C$7))</f>
        <v>557.46854610700359</v>
      </c>
      <c r="Y319" s="16">
        <f>('Gearing Calculator'!$U$9*9.81)*(('Gearing Calculator'!$C$7-'Gearing Calculator'!$U$16)/'Gearing Calculator'!$C$7)+(('Track Data'!W319)*('Gearing Calculator'!$U$17/'Gearing Calculator'!$C$7))</f>
        <v>2053.9534538929965</v>
      </c>
      <c r="Z319" s="16">
        <f>((X319*COS('Gearing Calculator'!$C$21))/'Gearing Calculator'!$C$22)/2</f>
        <v>17.235164322832922</v>
      </c>
      <c r="AA319" s="16">
        <f>Y319/'Gearing Calculator'!$C$24</f>
        <v>28.680079271100176</v>
      </c>
      <c r="AB319" s="16">
        <f t="shared" si="36"/>
        <v>39.477595680521489</v>
      </c>
      <c r="AC319" s="16">
        <v>0</v>
      </c>
      <c r="AD319" s="16">
        <v>-50.276124960482598</v>
      </c>
      <c r="AE319" s="16">
        <v>316</v>
      </c>
      <c r="AF319" s="16">
        <f>IF(AC319=0,IF(O319=6,INDEX(Acceleration!$V$4:$V$110,MATCH('Track Data'!S319,Acceleration!$K$4:$K$110,0)),IF('Track Data'!O319=5,INDEX(Acceleration!$U$4:$U$110,MATCH('Track Data'!S319,Acceleration!$K$4:$K$110,0)),1)),U319)</f>
        <v>1</v>
      </c>
      <c r="AG319" s="16">
        <f>IF(AC319=0,IF(O319=4,INDEX(Acceleration!$T$4:$T$110,MATCH('Track Data'!S319,Acceleration!$K$4:$K$110,0)),IF('Track Data'!O319=3,INDEX(Acceleration!$S$4:$S$110,MATCH('Track Data'!S319,Acceleration!$K$4:$K$110,0)),'Track Data'!AF319)),'Track Data'!U319)</f>
        <v>1</v>
      </c>
      <c r="AH319" s="16">
        <f>IF(AC319=0,IF(O319=2,INDEX(Acceleration!$R$4:$R$110,MATCH('Track Data'!S319,Acceleration!$K$4:$K$110,0)),IF('Track Data'!O319=1,INDEX(Acceleration!$Q$4:$Q$110,MATCH('Track Data'!S319,Acceleration!$K$4:$K$110,0)),'Track Data'!AG319)),'Track Data'!U319)</f>
        <v>5.6877465133806844</v>
      </c>
    </row>
    <row r="320" spans="2:34" x14ac:dyDescent="0.25">
      <c r="B320" s="16">
        <v>203.69900000000001</v>
      </c>
      <c r="C320" s="16">
        <v>7590</v>
      </c>
      <c r="D320" s="16">
        <v>317</v>
      </c>
      <c r="E320" s="113">
        <v>41</v>
      </c>
      <c r="F320" s="113">
        <v>40.6</v>
      </c>
      <c r="G320" s="113">
        <v>38.299999999999997</v>
      </c>
      <c r="H320" s="113">
        <f t="shared" si="32"/>
        <v>10.638888888888888</v>
      </c>
      <c r="I320" s="113">
        <v>3.5</v>
      </c>
      <c r="J320" s="113">
        <v>89.35</v>
      </c>
      <c r="K320" s="113">
        <v>-44.3</v>
      </c>
      <c r="L320" s="192"/>
      <c r="M320" s="16">
        <v>317</v>
      </c>
      <c r="N320" s="16">
        <f t="shared" si="34"/>
        <v>5.5966969197347081E-2</v>
      </c>
      <c r="O320" s="16">
        <v>1</v>
      </c>
      <c r="P320" s="16">
        <f t="shared" si="29"/>
        <v>16.424119241192415</v>
      </c>
      <c r="Q320" s="16">
        <f t="shared" si="35"/>
        <v>17.867681854878814</v>
      </c>
      <c r="R320" s="113">
        <f t="shared" si="30"/>
        <v>434.78</v>
      </c>
      <c r="S320" s="16">
        <f>IF(S319=15800,15800,ROUND((((Q320*60)/'Gearing Calculator'!$C$14)*'Track Data'!P320),-2))</f>
        <v>8900</v>
      </c>
      <c r="T320" s="16">
        <f t="shared" si="33"/>
        <v>5.6877465133806844</v>
      </c>
      <c r="U320" s="16">
        <f>IF(AC320=100,Braking!$AG$2354,IF(AC320=50,Braking!$AG$1179,IF(AC320=75,Braking!$AG$1767,0)))</f>
        <v>0</v>
      </c>
      <c r="V320" s="16">
        <f>0.5*'Gearing Calculator'!$C$15*'Gearing Calculator'!$C$20*'Gearing Calculator'!$W$20*('Track Data'!Q320^2)</f>
        <v>33.789849167140808</v>
      </c>
      <c r="W320" s="16">
        <f>('Gearing Calculator'!$U$9*'Track Data'!T320)+'Track Data'!V320</f>
        <v>1547.8679710290789</v>
      </c>
      <c r="X320" s="16">
        <f>('Gearing Calculator'!$U$9*9.81)*('Gearing Calculator'!$U$16/'Gearing Calculator'!$C$7)-(('Track Data'!W320)*('Gearing Calculator'!$U$17/'Gearing Calculator'!$C$7))</f>
        <v>557.46854610700359</v>
      </c>
      <c r="Y320" s="16">
        <f>('Gearing Calculator'!$U$9*9.81)*(('Gearing Calculator'!$C$7-'Gearing Calculator'!$U$16)/'Gearing Calculator'!$C$7)+(('Track Data'!W320)*('Gearing Calculator'!$U$17/'Gearing Calculator'!$C$7))</f>
        <v>2053.9534538929965</v>
      </c>
      <c r="Z320" s="16">
        <f>((X320*COS('Gearing Calculator'!$C$21))/'Gearing Calculator'!$C$22)/2</f>
        <v>17.235164322832922</v>
      </c>
      <c r="AA320" s="16">
        <f>Y320/'Gearing Calculator'!$C$24</f>
        <v>28.680079271100176</v>
      </c>
      <c r="AB320" s="16">
        <f t="shared" si="36"/>
        <v>39.477595680521489</v>
      </c>
      <c r="AC320" s="16">
        <v>0</v>
      </c>
      <c r="AD320" s="16">
        <v>-50.276124960482598</v>
      </c>
      <c r="AE320" s="16">
        <v>317</v>
      </c>
      <c r="AF320" s="16">
        <f>IF(AC320=0,IF(O320=6,INDEX(Acceleration!$V$4:$V$110,MATCH('Track Data'!S320,Acceleration!$K$4:$K$110,0)),IF('Track Data'!O320=5,INDEX(Acceleration!$U$4:$U$110,MATCH('Track Data'!S320,Acceleration!$K$4:$K$110,0)),1)),U320)</f>
        <v>1</v>
      </c>
      <c r="AG320" s="16">
        <f>IF(AC320=0,IF(O320=4,INDEX(Acceleration!$T$4:$T$110,MATCH('Track Data'!S320,Acceleration!$K$4:$K$110,0)),IF('Track Data'!O320=3,INDEX(Acceleration!$S$4:$S$110,MATCH('Track Data'!S320,Acceleration!$K$4:$K$110,0)),'Track Data'!AF320)),'Track Data'!U320)</f>
        <v>1</v>
      </c>
      <c r="AH320" s="16">
        <f>IF(AC320=0,IF(O320=2,INDEX(Acceleration!$R$4:$R$110,MATCH('Track Data'!S320,Acceleration!$K$4:$K$110,0)),IF('Track Data'!O320=1,INDEX(Acceleration!$Q$4:$Q$110,MATCH('Track Data'!S320,Acceleration!$K$4:$K$110,0)),'Track Data'!AG320)),'Track Data'!U320)</f>
        <v>5.6877465133806844</v>
      </c>
    </row>
    <row r="321" spans="2:34" x14ac:dyDescent="0.25">
      <c r="B321" s="16">
        <v>203.78700000000001</v>
      </c>
      <c r="C321" s="16">
        <v>7591</v>
      </c>
      <c r="D321" s="16">
        <v>318</v>
      </c>
      <c r="E321" s="113">
        <v>40</v>
      </c>
      <c r="F321" s="113">
        <v>40.5</v>
      </c>
      <c r="G321" s="113">
        <v>36.5</v>
      </c>
      <c r="H321" s="113">
        <f t="shared" si="32"/>
        <v>10.138888888888889</v>
      </c>
      <c r="I321" s="113">
        <v>5.3</v>
      </c>
      <c r="J321" s="113">
        <v>83.69</v>
      </c>
      <c r="K321" s="113">
        <v>-44.1</v>
      </c>
      <c r="L321" s="192"/>
      <c r="M321" s="16">
        <v>318</v>
      </c>
      <c r="N321" s="16">
        <f t="shared" si="34"/>
        <v>5.5966969197347081E-2</v>
      </c>
      <c r="O321" s="16">
        <v>1</v>
      </c>
      <c r="P321" s="16">
        <f t="shared" si="29"/>
        <v>16.424119241192415</v>
      </c>
      <c r="Q321" s="16">
        <f t="shared" si="35"/>
        <v>17.867681854878814</v>
      </c>
      <c r="R321" s="113">
        <f t="shared" si="30"/>
        <v>434.78</v>
      </c>
      <c r="S321" s="16">
        <f>IF(S320=15800,15800,ROUND((((Q321*60)/'Gearing Calculator'!$C$14)*'Track Data'!P321),-2))</f>
        <v>8900</v>
      </c>
      <c r="T321" s="16">
        <f t="shared" si="33"/>
        <v>5.6877465133806844</v>
      </c>
      <c r="U321" s="16">
        <f>IF(AC321=100,Braking!$AG$2354,IF(AC321=50,Braking!$AG$1179,IF(AC321=75,Braking!$AG$1767,0)))</f>
        <v>0</v>
      </c>
      <c r="V321" s="16">
        <f>0.5*'Gearing Calculator'!$C$15*'Gearing Calculator'!$C$20*'Gearing Calculator'!$W$20*('Track Data'!Q321^2)</f>
        <v>33.789849167140808</v>
      </c>
      <c r="W321" s="16">
        <f>('Gearing Calculator'!$U$9*'Track Data'!T321)+'Track Data'!V321</f>
        <v>1547.8679710290789</v>
      </c>
      <c r="X321" s="16">
        <f>('Gearing Calculator'!$U$9*9.81)*('Gearing Calculator'!$U$16/'Gearing Calculator'!$C$7)-(('Track Data'!W321)*('Gearing Calculator'!$U$17/'Gearing Calculator'!$C$7))</f>
        <v>557.46854610700359</v>
      </c>
      <c r="Y321" s="16">
        <f>('Gearing Calculator'!$U$9*9.81)*(('Gearing Calculator'!$C$7-'Gearing Calculator'!$U$16)/'Gearing Calculator'!$C$7)+(('Track Data'!W321)*('Gearing Calculator'!$U$17/'Gearing Calculator'!$C$7))</f>
        <v>2053.9534538929965</v>
      </c>
      <c r="Z321" s="16">
        <f>((X321*COS('Gearing Calculator'!$C$21))/'Gearing Calculator'!$C$22)/2</f>
        <v>17.235164322832922</v>
      </c>
      <c r="AA321" s="16">
        <f>Y321/'Gearing Calculator'!$C$24</f>
        <v>28.680079271100176</v>
      </c>
      <c r="AB321" s="16">
        <f t="shared" si="36"/>
        <v>39.477595680521489</v>
      </c>
      <c r="AC321" s="16">
        <v>0</v>
      </c>
      <c r="AD321" s="16">
        <v>-50.276124960482598</v>
      </c>
      <c r="AE321" s="16">
        <v>318</v>
      </c>
      <c r="AF321" s="16">
        <f>IF(AC321=0,IF(O321=6,INDEX(Acceleration!$V$4:$V$110,MATCH('Track Data'!S321,Acceleration!$K$4:$K$110,0)),IF('Track Data'!O321=5,INDEX(Acceleration!$U$4:$U$110,MATCH('Track Data'!S321,Acceleration!$K$4:$K$110,0)),1)),U321)</f>
        <v>1</v>
      </c>
      <c r="AG321" s="16">
        <f>IF(AC321=0,IF(O321=4,INDEX(Acceleration!$T$4:$T$110,MATCH('Track Data'!S321,Acceleration!$K$4:$K$110,0)),IF('Track Data'!O321=3,INDEX(Acceleration!$S$4:$S$110,MATCH('Track Data'!S321,Acceleration!$K$4:$K$110,0)),'Track Data'!AF321)),'Track Data'!U321)</f>
        <v>1</v>
      </c>
      <c r="AH321" s="16">
        <f>IF(AC321=0,IF(O321=2,INDEX(Acceleration!$R$4:$R$110,MATCH('Track Data'!S321,Acceleration!$K$4:$K$110,0)),IF('Track Data'!O321=1,INDEX(Acceleration!$Q$4:$Q$110,MATCH('Track Data'!S321,Acceleration!$K$4:$K$110,0)),'Track Data'!AG321)),'Track Data'!U321)</f>
        <v>5.6877465133806844</v>
      </c>
    </row>
    <row r="322" spans="2:34" x14ac:dyDescent="0.25">
      <c r="B322" s="16">
        <v>203.876</v>
      </c>
      <c r="C322" s="16">
        <v>7592</v>
      </c>
      <c r="D322" s="16">
        <v>319</v>
      </c>
      <c r="E322" s="113">
        <v>40</v>
      </c>
      <c r="F322" s="113">
        <v>39.5</v>
      </c>
      <c r="G322" s="113">
        <v>35</v>
      </c>
      <c r="H322" s="113">
        <f t="shared" si="32"/>
        <v>9.7222222222222214</v>
      </c>
      <c r="I322" s="113">
        <v>7.3</v>
      </c>
      <c r="J322" s="113">
        <v>64.95</v>
      </c>
      <c r="K322" s="113">
        <v>-43.6</v>
      </c>
      <c r="L322" s="192"/>
      <c r="M322" s="16">
        <v>319</v>
      </c>
      <c r="N322" s="16">
        <f t="shared" si="34"/>
        <v>5.5966969197347081E-2</v>
      </c>
      <c r="O322" s="16">
        <v>1</v>
      </c>
      <c r="P322" s="16">
        <f t="shared" si="29"/>
        <v>16.424119241192415</v>
      </c>
      <c r="Q322" s="16">
        <f t="shared" si="35"/>
        <v>17.867681854878814</v>
      </c>
      <c r="R322" s="113">
        <f t="shared" si="30"/>
        <v>434.78</v>
      </c>
      <c r="S322" s="16">
        <f>IF(S321=15800,15800,ROUND((((Q322*60)/'Gearing Calculator'!$C$14)*'Track Data'!P322),-2))</f>
        <v>8900</v>
      </c>
      <c r="T322" s="16">
        <f t="shared" si="33"/>
        <v>5.6877465133806844</v>
      </c>
      <c r="U322" s="16">
        <f>IF(AC322=100,Braking!$AG$2354,IF(AC322=50,Braking!$AG$1179,IF(AC322=75,Braking!$AG$1767,0)))</f>
        <v>0</v>
      </c>
      <c r="V322" s="16">
        <f>0.5*'Gearing Calculator'!$C$15*'Gearing Calculator'!$C$20*'Gearing Calculator'!$W$20*('Track Data'!Q322^2)</f>
        <v>33.789849167140808</v>
      </c>
      <c r="W322" s="16">
        <f>('Gearing Calculator'!$U$9*'Track Data'!T322)+'Track Data'!V322</f>
        <v>1547.8679710290789</v>
      </c>
      <c r="X322" s="16">
        <f>('Gearing Calculator'!$U$9*9.81)*('Gearing Calculator'!$U$16/'Gearing Calculator'!$C$7)-(('Track Data'!W322)*('Gearing Calculator'!$U$17/'Gearing Calculator'!$C$7))</f>
        <v>557.46854610700359</v>
      </c>
      <c r="Y322" s="16">
        <f>('Gearing Calculator'!$U$9*9.81)*(('Gearing Calculator'!$C$7-'Gearing Calculator'!$U$16)/'Gearing Calculator'!$C$7)+(('Track Data'!W322)*('Gearing Calculator'!$U$17/'Gearing Calculator'!$C$7))</f>
        <v>2053.9534538929965</v>
      </c>
      <c r="Z322" s="16">
        <f>((X322*COS('Gearing Calculator'!$C$21))/'Gearing Calculator'!$C$22)/2</f>
        <v>17.235164322832922</v>
      </c>
      <c r="AA322" s="16">
        <f>Y322/'Gearing Calculator'!$C$24</f>
        <v>28.680079271100176</v>
      </c>
      <c r="AB322" s="16">
        <f t="shared" si="36"/>
        <v>39.477595680521489</v>
      </c>
      <c r="AC322" s="16">
        <v>0</v>
      </c>
      <c r="AD322" s="16">
        <v>-50.276124960482598</v>
      </c>
      <c r="AE322" s="16">
        <v>319</v>
      </c>
      <c r="AF322" s="16">
        <f>IF(AC322=0,IF(O322=6,INDEX(Acceleration!$V$4:$V$110,MATCH('Track Data'!S322,Acceleration!$K$4:$K$110,0)),IF('Track Data'!O322=5,INDEX(Acceleration!$U$4:$U$110,MATCH('Track Data'!S322,Acceleration!$K$4:$K$110,0)),1)),U322)</f>
        <v>1</v>
      </c>
      <c r="AG322" s="16">
        <f>IF(AC322=0,IF(O322=4,INDEX(Acceleration!$T$4:$T$110,MATCH('Track Data'!S322,Acceleration!$K$4:$K$110,0)),IF('Track Data'!O322=3,INDEX(Acceleration!$S$4:$S$110,MATCH('Track Data'!S322,Acceleration!$K$4:$K$110,0)),'Track Data'!AF322)),'Track Data'!U322)</f>
        <v>1</v>
      </c>
      <c r="AH322" s="16">
        <f>IF(AC322=0,IF(O322=2,INDEX(Acceleration!$R$4:$R$110,MATCH('Track Data'!S322,Acceleration!$K$4:$K$110,0)),IF('Track Data'!O322=1,INDEX(Acceleration!$Q$4:$Q$110,MATCH('Track Data'!S322,Acceleration!$K$4:$K$110,0)),'Track Data'!AG322)),'Track Data'!U322)</f>
        <v>5.6877465133806844</v>
      </c>
    </row>
    <row r="323" spans="2:34" x14ac:dyDescent="0.25">
      <c r="B323" s="16">
        <v>203.96799999999999</v>
      </c>
      <c r="C323" s="16">
        <v>7593</v>
      </c>
      <c r="D323" s="16">
        <v>320</v>
      </c>
      <c r="E323" s="113">
        <v>38</v>
      </c>
      <c r="F323" s="113">
        <v>38.6</v>
      </c>
      <c r="G323" s="113">
        <v>33.9</v>
      </c>
      <c r="H323" s="113">
        <f t="shared" si="32"/>
        <v>9.4166666666666661</v>
      </c>
      <c r="I323" s="113">
        <v>8.6999999999999993</v>
      </c>
      <c r="J323" s="113">
        <v>60.2</v>
      </c>
      <c r="K323" s="113">
        <v>-44.3</v>
      </c>
      <c r="L323" s="192"/>
      <c r="M323" s="16">
        <v>320</v>
      </c>
      <c r="N323" s="16">
        <f t="shared" si="34"/>
        <v>5.5966969197347081E-2</v>
      </c>
      <c r="O323" s="16">
        <v>1</v>
      </c>
      <c r="P323" s="16">
        <f t="shared" si="29"/>
        <v>16.424119241192415</v>
      </c>
      <c r="Q323" s="16">
        <f t="shared" si="35"/>
        <v>17.867681854878814</v>
      </c>
      <c r="R323" s="113">
        <f t="shared" si="30"/>
        <v>434.78</v>
      </c>
      <c r="S323" s="16">
        <f>IF(S322=15800,15800,ROUND((((Q323*60)/'Gearing Calculator'!$C$14)*'Track Data'!P323),-2))</f>
        <v>8900</v>
      </c>
      <c r="T323" s="16">
        <f t="shared" si="33"/>
        <v>5.6877465133806844</v>
      </c>
      <c r="U323" s="16">
        <f>IF(AC323=100,Braking!$AG$2354,IF(AC323=50,Braking!$AG$1179,IF(AC323=75,Braking!$AG$1767,0)))</f>
        <v>0</v>
      </c>
      <c r="V323" s="16">
        <f>0.5*'Gearing Calculator'!$C$15*'Gearing Calculator'!$C$20*'Gearing Calculator'!$W$20*('Track Data'!Q323^2)</f>
        <v>33.789849167140808</v>
      </c>
      <c r="W323" s="16">
        <f>('Gearing Calculator'!$U$9*'Track Data'!T323)+'Track Data'!V323</f>
        <v>1547.8679710290789</v>
      </c>
      <c r="X323" s="16">
        <f>('Gearing Calculator'!$U$9*9.81)*('Gearing Calculator'!$U$16/'Gearing Calculator'!$C$7)-(('Track Data'!W323)*('Gearing Calculator'!$U$17/'Gearing Calculator'!$C$7))</f>
        <v>557.46854610700359</v>
      </c>
      <c r="Y323" s="16">
        <f>('Gearing Calculator'!$U$9*9.81)*(('Gearing Calculator'!$C$7-'Gearing Calculator'!$U$16)/'Gearing Calculator'!$C$7)+(('Track Data'!W323)*('Gearing Calculator'!$U$17/'Gearing Calculator'!$C$7))</f>
        <v>2053.9534538929965</v>
      </c>
      <c r="Z323" s="16">
        <f>((X323*COS('Gearing Calculator'!$C$21))/'Gearing Calculator'!$C$22)/2</f>
        <v>17.235164322832922</v>
      </c>
      <c r="AA323" s="16">
        <f>Y323/'Gearing Calculator'!$C$24</f>
        <v>28.680079271100176</v>
      </c>
      <c r="AB323" s="16">
        <f t="shared" si="36"/>
        <v>39.477595680521489</v>
      </c>
      <c r="AC323" s="16">
        <v>0</v>
      </c>
      <c r="AD323" s="16">
        <v>-50.276124960482598</v>
      </c>
      <c r="AE323" s="16">
        <v>320</v>
      </c>
      <c r="AF323" s="16">
        <f>IF(AC323=0,IF(O323=6,INDEX(Acceleration!$V$4:$V$110,MATCH('Track Data'!S323,Acceleration!$K$4:$K$110,0)),IF('Track Data'!O323=5,INDEX(Acceleration!$U$4:$U$110,MATCH('Track Data'!S323,Acceleration!$K$4:$K$110,0)),1)),U323)</f>
        <v>1</v>
      </c>
      <c r="AG323" s="16">
        <f>IF(AC323=0,IF(O323=4,INDEX(Acceleration!$T$4:$T$110,MATCH('Track Data'!S323,Acceleration!$K$4:$K$110,0)),IF('Track Data'!O323=3,INDEX(Acceleration!$S$4:$S$110,MATCH('Track Data'!S323,Acceleration!$K$4:$K$110,0)),'Track Data'!AF323)),'Track Data'!U323)</f>
        <v>1</v>
      </c>
      <c r="AH323" s="16">
        <f>IF(AC323=0,IF(O323=2,INDEX(Acceleration!$R$4:$R$110,MATCH('Track Data'!S323,Acceleration!$K$4:$K$110,0)),IF('Track Data'!O323=1,INDEX(Acceleration!$Q$4:$Q$110,MATCH('Track Data'!S323,Acceleration!$K$4:$K$110,0)),'Track Data'!AG323)),'Track Data'!U323)</f>
        <v>5.6877465133806844</v>
      </c>
    </row>
    <row r="324" spans="2:34" x14ac:dyDescent="0.25">
      <c r="B324" s="16">
        <v>204.06100000000001</v>
      </c>
      <c r="C324" s="16">
        <v>7594</v>
      </c>
      <c r="D324" s="16">
        <v>321</v>
      </c>
      <c r="E324" s="113">
        <v>38</v>
      </c>
      <c r="F324" s="113">
        <v>38.6</v>
      </c>
      <c r="G324" s="113">
        <v>33.1</v>
      </c>
      <c r="H324" s="113">
        <f t="shared" si="32"/>
        <v>9.1944444444444446</v>
      </c>
      <c r="I324" s="113">
        <v>9.6</v>
      </c>
      <c r="J324" s="113">
        <v>66.97</v>
      </c>
      <c r="K324" s="113">
        <v>-47.2</v>
      </c>
      <c r="L324" s="192"/>
      <c r="M324" s="16">
        <v>321</v>
      </c>
      <c r="N324" s="16">
        <f t="shared" si="34"/>
        <v>5.5966969197347081E-2</v>
      </c>
      <c r="O324" s="16">
        <v>1</v>
      </c>
      <c r="P324" s="16">
        <f t="shared" ref="P324:P387" si="37">VLOOKUP(O324,$AJ$5:$AK$10,2,FALSE)</f>
        <v>16.424119241192415</v>
      </c>
      <c r="Q324" s="16">
        <f t="shared" si="35"/>
        <v>17.867681854878814</v>
      </c>
      <c r="R324" s="113">
        <f t="shared" ref="R324:R387" si="38">VLOOKUP(O324,$AJ$5:$AL$10,3,FALSE)</f>
        <v>434.78</v>
      </c>
      <c r="S324" s="16">
        <f>IF(S323=15800,15800,ROUND((((Q324*60)/'Gearing Calculator'!$C$14)*'Track Data'!P324),-2))</f>
        <v>8900</v>
      </c>
      <c r="T324" s="16">
        <f t="shared" si="33"/>
        <v>5.6877465133806844</v>
      </c>
      <c r="U324" s="16">
        <f>IF(AC324=100,Braking!$AG$2354,IF(AC324=50,Braking!$AG$1179,IF(AC324=75,Braking!$AG$1767,0)))</f>
        <v>0</v>
      </c>
      <c r="V324" s="16">
        <f>0.5*'Gearing Calculator'!$C$15*'Gearing Calculator'!$C$20*'Gearing Calculator'!$W$20*('Track Data'!Q324^2)</f>
        <v>33.789849167140808</v>
      </c>
      <c r="W324" s="16">
        <f>('Gearing Calculator'!$U$9*'Track Data'!T324)+'Track Data'!V324</f>
        <v>1547.8679710290789</v>
      </c>
      <c r="X324" s="16">
        <f>('Gearing Calculator'!$U$9*9.81)*('Gearing Calculator'!$U$16/'Gearing Calculator'!$C$7)-(('Track Data'!W324)*('Gearing Calculator'!$U$17/'Gearing Calculator'!$C$7))</f>
        <v>557.46854610700359</v>
      </c>
      <c r="Y324" s="16">
        <f>('Gearing Calculator'!$U$9*9.81)*(('Gearing Calculator'!$C$7-'Gearing Calculator'!$U$16)/'Gearing Calculator'!$C$7)+(('Track Data'!W324)*('Gearing Calculator'!$U$17/'Gearing Calculator'!$C$7))</f>
        <v>2053.9534538929965</v>
      </c>
      <c r="Z324" s="16">
        <f>((X324*COS('Gearing Calculator'!$C$21))/'Gearing Calculator'!$C$22)/2</f>
        <v>17.235164322832922</v>
      </c>
      <c r="AA324" s="16">
        <f>Y324/'Gearing Calculator'!$C$24</f>
        <v>28.680079271100176</v>
      </c>
      <c r="AB324" s="16">
        <f t="shared" si="36"/>
        <v>39.477595680521489</v>
      </c>
      <c r="AC324" s="16">
        <v>0</v>
      </c>
      <c r="AD324" s="16">
        <v>-50.276124960482598</v>
      </c>
      <c r="AE324" s="16">
        <v>321</v>
      </c>
      <c r="AF324" s="16">
        <f>IF(AC324=0,IF(O324=6,INDEX(Acceleration!$V$4:$V$110,MATCH('Track Data'!S324,Acceleration!$K$4:$K$110,0)),IF('Track Data'!O324=5,INDEX(Acceleration!$U$4:$U$110,MATCH('Track Data'!S324,Acceleration!$K$4:$K$110,0)),1)),U324)</f>
        <v>1</v>
      </c>
      <c r="AG324" s="16">
        <f>IF(AC324=0,IF(O324=4,INDEX(Acceleration!$T$4:$T$110,MATCH('Track Data'!S324,Acceleration!$K$4:$K$110,0)),IF('Track Data'!O324=3,INDEX(Acceleration!$S$4:$S$110,MATCH('Track Data'!S324,Acceleration!$K$4:$K$110,0)),'Track Data'!AF324)),'Track Data'!U324)</f>
        <v>1</v>
      </c>
      <c r="AH324" s="16">
        <f>IF(AC324=0,IF(O324=2,INDEX(Acceleration!$R$4:$R$110,MATCH('Track Data'!S324,Acceleration!$K$4:$K$110,0)),IF('Track Data'!O324=1,INDEX(Acceleration!$Q$4:$Q$110,MATCH('Track Data'!S324,Acceleration!$K$4:$K$110,0)),'Track Data'!AG324)),'Track Data'!U324)</f>
        <v>5.6877465133806844</v>
      </c>
    </row>
    <row r="325" spans="2:34" x14ac:dyDescent="0.25">
      <c r="B325" s="16">
        <v>204.154</v>
      </c>
      <c r="C325" s="16">
        <v>7595</v>
      </c>
      <c r="D325" s="16">
        <v>322</v>
      </c>
      <c r="E325" s="113">
        <v>40</v>
      </c>
      <c r="F325" s="113">
        <v>38.4</v>
      </c>
      <c r="G325" s="113">
        <v>32.5</v>
      </c>
      <c r="H325" s="113">
        <f t="shared" ref="H325:H388" si="39">G325/3.6</f>
        <v>9.0277777777777768</v>
      </c>
      <c r="I325" s="113">
        <v>11.1</v>
      </c>
      <c r="J325" s="113">
        <v>70.55</v>
      </c>
      <c r="K325" s="113">
        <v>-13.5</v>
      </c>
      <c r="L325" s="192"/>
      <c r="M325" s="16">
        <v>322</v>
      </c>
      <c r="N325" s="16">
        <f t="shared" si="34"/>
        <v>5.5966969197347081E-2</v>
      </c>
      <c r="O325" s="16">
        <v>1</v>
      </c>
      <c r="P325" s="16">
        <f t="shared" si="37"/>
        <v>16.424119241192415</v>
      </c>
      <c r="Q325" s="16">
        <f t="shared" si="35"/>
        <v>17.867681854878814</v>
      </c>
      <c r="R325" s="113">
        <f t="shared" si="38"/>
        <v>434.78</v>
      </c>
      <c r="S325" s="16">
        <f>IF(S324=15800,15800,ROUND((((Q325*60)/'Gearing Calculator'!$C$14)*'Track Data'!P325),-2))</f>
        <v>8900</v>
      </c>
      <c r="T325" s="16">
        <f t="shared" ref="T325:T367" si="40">AH325</f>
        <v>5.6877465133806844</v>
      </c>
      <c r="U325" s="16">
        <f>IF(AC325=100,Braking!$AG$2354,IF(AC325=50,Braking!$AG$1179,IF(AC325=75,Braking!$AG$1767,0)))</f>
        <v>0</v>
      </c>
      <c r="V325" s="16">
        <f>0.5*'Gearing Calculator'!$C$15*'Gearing Calculator'!$C$20*'Gearing Calculator'!$W$20*('Track Data'!Q325^2)</f>
        <v>33.789849167140808</v>
      </c>
      <c r="W325" s="16">
        <f>('Gearing Calculator'!$U$9*'Track Data'!T325)+'Track Data'!V325</f>
        <v>1547.8679710290789</v>
      </c>
      <c r="X325" s="16">
        <f>('Gearing Calculator'!$U$9*9.81)*('Gearing Calculator'!$U$16/'Gearing Calculator'!$C$7)-(('Track Data'!W325)*('Gearing Calculator'!$U$17/'Gearing Calculator'!$C$7))</f>
        <v>557.46854610700359</v>
      </c>
      <c r="Y325" s="16">
        <f>('Gearing Calculator'!$U$9*9.81)*(('Gearing Calculator'!$C$7-'Gearing Calculator'!$U$16)/'Gearing Calculator'!$C$7)+(('Track Data'!W325)*('Gearing Calculator'!$U$17/'Gearing Calculator'!$C$7))</f>
        <v>2053.9534538929965</v>
      </c>
      <c r="Z325" s="16">
        <f>((X325*COS('Gearing Calculator'!$C$21))/'Gearing Calculator'!$C$22)/2</f>
        <v>17.235164322832922</v>
      </c>
      <c r="AA325" s="16">
        <f>Y325/'Gearing Calculator'!$C$24</f>
        <v>28.680079271100176</v>
      </c>
      <c r="AB325" s="16">
        <f t="shared" si="36"/>
        <v>39.477595680521489</v>
      </c>
      <c r="AC325" s="16">
        <v>0</v>
      </c>
      <c r="AD325" s="16">
        <v>-50.276124960482598</v>
      </c>
      <c r="AE325" s="16">
        <v>322</v>
      </c>
      <c r="AF325" s="16">
        <f>IF(AC325=0,IF(O325=6,INDEX(Acceleration!$V$4:$V$110,MATCH('Track Data'!S325,Acceleration!$K$4:$K$110,0)),IF('Track Data'!O325=5,INDEX(Acceleration!$U$4:$U$110,MATCH('Track Data'!S325,Acceleration!$K$4:$K$110,0)),1)),U325)</f>
        <v>1</v>
      </c>
      <c r="AG325" s="16">
        <f>IF(AC325=0,IF(O325=4,INDEX(Acceleration!$T$4:$T$110,MATCH('Track Data'!S325,Acceleration!$K$4:$K$110,0)),IF('Track Data'!O325=3,INDEX(Acceleration!$S$4:$S$110,MATCH('Track Data'!S325,Acceleration!$K$4:$K$110,0)),'Track Data'!AF325)),'Track Data'!U325)</f>
        <v>1</v>
      </c>
      <c r="AH325" s="16">
        <f>IF(AC325=0,IF(O325=2,INDEX(Acceleration!$R$4:$R$110,MATCH('Track Data'!S325,Acceleration!$K$4:$K$110,0)),IF('Track Data'!O325=1,INDEX(Acceleration!$Q$4:$Q$110,MATCH('Track Data'!S325,Acceleration!$K$4:$K$110,0)),'Track Data'!AG325)),'Track Data'!U325)</f>
        <v>5.6877465133806844</v>
      </c>
    </row>
    <row r="326" spans="2:34" x14ac:dyDescent="0.25">
      <c r="B326" s="16">
        <v>204.24700000000001</v>
      </c>
      <c r="C326" s="16">
        <v>7596</v>
      </c>
      <c r="D326" s="16">
        <v>323</v>
      </c>
      <c r="E326" s="113">
        <v>40</v>
      </c>
      <c r="F326" s="113">
        <v>38.9</v>
      </c>
      <c r="G326" s="113">
        <v>32.1</v>
      </c>
      <c r="H326" s="113">
        <f t="shared" si="39"/>
        <v>8.9166666666666661</v>
      </c>
      <c r="I326" s="113">
        <v>12.4</v>
      </c>
      <c r="J326" s="113">
        <v>69.430000000000007</v>
      </c>
      <c r="K326" s="113">
        <v>-11.3</v>
      </c>
      <c r="L326" s="192"/>
      <c r="M326" s="16">
        <v>323</v>
      </c>
      <c r="N326" s="16">
        <f t="shared" ref="N326:N389" si="41">1/Q326</f>
        <v>5.5966969197347081E-2</v>
      </c>
      <c r="O326" s="16">
        <v>1</v>
      </c>
      <c r="P326" s="16">
        <f t="shared" si="37"/>
        <v>16.424119241192415</v>
      </c>
      <c r="Q326" s="16">
        <f t="shared" ref="Q326:Q389" si="42">IF(AD325=0,SQRT(Q325^2+(2*T325)),Q325)</f>
        <v>17.867681854878814</v>
      </c>
      <c r="R326" s="113">
        <f t="shared" si="38"/>
        <v>434.78</v>
      </c>
      <c r="S326" s="16">
        <f>IF(S325=15800,15800,ROUND((((Q326*60)/'Gearing Calculator'!$C$14)*'Track Data'!P326),-2))</f>
        <v>8900</v>
      </c>
      <c r="T326" s="16">
        <f t="shared" si="40"/>
        <v>5.6877465133806844</v>
      </c>
      <c r="U326" s="16">
        <f>IF(AC326=100,Braking!$AG$2354,IF(AC326=50,Braking!$AG$1179,IF(AC326=75,Braking!$AG$1767,0)))</f>
        <v>0</v>
      </c>
      <c r="V326" s="16">
        <f>0.5*'Gearing Calculator'!$C$15*'Gearing Calculator'!$C$20*'Gearing Calculator'!$W$20*('Track Data'!Q326^2)</f>
        <v>33.789849167140808</v>
      </c>
      <c r="W326" s="16">
        <f>('Gearing Calculator'!$U$9*'Track Data'!T326)+'Track Data'!V326</f>
        <v>1547.8679710290789</v>
      </c>
      <c r="X326" s="16">
        <f>('Gearing Calculator'!$U$9*9.81)*('Gearing Calculator'!$U$16/'Gearing Calculator'!$C$7)-(('Track Data'!W326)*('Gearing Calculator'!$U$17/'Gearing Calculator'!$C$7))</f>
        <v>557.46854610700359</v>
      </c>
      <c r="Y326" s="16">
        <f>('Gearing Calculator'!$U$9*9.81)*(('Gearing Calculator'!$C$7-'Gearing Calculator'!$U$16)/'Gearing Calculator'!$C$7)+(('Track Data'!W326)*('Gearing Calculator'!$U$17/'Gearing Calculator'!$C$7))</f>
        <v>2053.9534538929965</v>
      </c>
      <c r="Z326" s="16">
        <f>((X326*COS('Gearing Calculator'!$C$21))/'Gearing Calculator'!$C$22)/2</f>
        <v>17.235164322832922</v>
      </c>
      <c r="AA326" s="16">
        <f>Y326/'Gearing Calculator'!$C$24</f>
        <v>28.680079271100176</v>
      </c>
      <c r="AB326" s="16">
        <f t="shared" si="36"/>
        <v>39.477595680521489</v>
      </c>
      <c r="AC326" s="16">
        <v>0</v>
      </c>
      <c r="AD326" s="16">
        <v>-50.276124960482598</v>
      </c>
      <c r="AE326" s="16">
        <v>323</v>
      </c>
      <c r="AF326" s="16">
        <f>IF(AC326=0,IF(O326=6,INDEX(Acceleration!$V$4:$V$110,MATCH('Track Data'!S326,Acceleration!$K$4:$K$110,0)),IF('Track Data'!O326=5,INDEX(Acceleration!$U$4:$U$110,MATCH('Track Data'!S326,Acceleration!$K$4:$K$110,0)),1)),U326)</f>
        <v>1</v>
      </c>
      <c r="AG326" s="16">
        <f>IF(AC326=0,IF(O326=4,INDEX(Acceleration!$T$4:$T$110,MATCH('Track Data'!S326,Acceleration!$K$4:$K$110,0)),IF('Track Data'!O326=3,INDEX(Acceleration!$S$4:$S$110,MATCH('Track Data'!S326,Acceleration!$K$4:$K$110,0)),'Track Data'!AF326)),'Track Data'!U326)</f>
        <v>1</v>
      </c>
      <c r="AH326" s="16">
        <f>IF(AC326=0,IF(O326=2,INDEX(Acceleration!$R$4:$R$110,MATCH('Track Data'!S326,Acceleration!$K$4:$K$110,0)),IF('Track Data'!O326=1,INDEX(Acceleration!$Q$4:$Q$110,MATCH('Track Data'!S326,Acceleration!$K$4:$K$110,0)),'Track Data'!AG326)),'Track Data'!U326)</f>
        <v>5.6877465133806844</v>
      </c>
    </row>
    <row r="327" spans="2:34" x14ac:dyDescent="0.25">
      <c r="B327" s="16">
        <v>204.33799999999999</v>
      </c>
      <c r="C327" s="16">
        <v>7597</v>
      </c>
      <c r="D327" s="16">
        <v>324</v>
      </c>
      <c r="E327" s="113">
        <v>41</v>
      </c>
      <c r="F327" s="113">
        <v>40.5</v>
      </c>
      <c r="G327" s="113">
        <v>31.8</v>
      </c>
      <c r="H327" s="113">
        <f t="shared" si="39"/>
        <v>8.8333333333333339</v>
      </c>
      <c r="I327" s="113">
        <v>13.4</v>
      </c>
      <c r="J327" s="113">
        <v>62.37</v>
      </c>
      <c r="K327" s="113">
        <v>-26.9</v>
      </c>
      <c r="L327" s="192"/>
      <c r="M327" s="16">
        <v>324</v>
      </c>
      <c r="N327" s="16">
        <f t="shared" si="41"/>
        <v>5.5966969197347081E-2</v>
      </c>
      <c r="O327" s="16">
        <v>1</v>
      </c>
      <c r="P327" s="16">
        <f t="shared" si="37"/>
        <v>16.424119241192415</v>
      </c>
      <c r="Q327" s="16">
        <f t="shared" si="42"/>
        <v>17.867681854878814</v>
      </c>
      <c r="R327" s="113">
        <f t="shared" si="38"/>
        <v>434.78</v>
      </c>
      <c r="S327" s="16">
        <f>IF(S326=15800,15800,ROUND((((Q327*60)/'Gearing Calculator'!$C$14)*'Track Data'!P327),-2))</f>
        <v>8900</v>
      </c>
      <c r="T327" s="16">
        <f t="shared" si="40"/>
        <v>5.6877465133806844</v>
      </c>
      <c r="U327" s="16">
        <f>IF(AC327=100,Braking!$AG$2354,IF(AC327=50,Braking!$AG$1179,IF(AC327=75,Braking!$AG$1767,0)))</f>
        <v>0</v>
      </c>
      <c r="V327" s="16">
        <f>0.5*'Gearing Calculator'!$C$15*'Gearing Calculator'!$C$20*'Gearing Calculator'!$W$20*('Track Data'!Q327^2)</f>
        <v>33.789849167140808</v>
      </c>
      <c r="W327" s="16">
        <f>('Gearing Calculator'!$U$9*'Track Data'!T327)+'Track Data'!V327</f>
        <v>1547.8679710290789</v>
      </c>
      <c r="X327" s="16">
        <f>('Gearing Calculator'!$U$9*9.81)*('Gearing Calculator'!$U$16/'Gearing Calculator'!$C$7)-(('Track Data'!W327)*('Gearing Calculator'!$U$17/'Gearing Calculator'!$C$7))</f>
        <v>557.46854610700359</v>
      </c>
      <c r="Y327" s="16">
        <f>('Gearing Calculator'!$U$9*9.81)*(('Gearing Calculator'!$C$7-'Gearing Calculator'!$U$16)/'Gearing Calculator'!$C$7)+(('Track Data'!W327)*('Gearing Calculator'!$U$17/'Gearing Calculator'!$C$7))</f>
        <v>2053.9534538929965</v>
      </c>
      <c r="Z327" s="16">
        <f>((X327*COS('Gearing Calculator'!$C$21))/'Gearing Calculator'!$C$22)/2</f>
        <v>17.235164322832922</v>
      </c>
      <c r="AA327" s="16">
        <f>Y327/'Gearing Calculator'!$C$24</f>
        <v>28.680079271100176</v>
      </c>
      <c r="AB327" s="16">
        <f t="shared" si="36"/>
        <v>39.477595680521489</v>
      </c>
      <c r="AC327" s="16">
        <v>0</v>
      </c>
      <c r="AD327" s="16">
        <v>-50.276124960482598</v>
      </c>
      <c r="AE327" s="16">
        <v>324</v>
      </c>
      <c r="AF327" s="16">
        <f>IF(AC327=0,IF(O327=6,INDEX(Acceleration!$V$4:$V$110,MATCH('Track Data'!S327,Acceleration!$K$4:$K$110,0)),IF('Track Data'!O327=5,INDEX(Acceleration!$U$4:$U$110,MATCH('Track Data'!S327,Acceleration!$K$4:$K$110,0)),1)),U327)</f>
        <v>1</v>
      </c>
      <c r="AG327" s="16">
        <f>IF(AC327=0,IF(O327=4,INDEX(Acceleration!$T$4:$T$110,MATCH('Track Data'!S327,Acceleration!$K$4:$K$110,0)),IF('Track Data'!O327=3,INDEX(Acceleration!$S$4:$S$110,MATCH('Track Data'!S327,Acceleration!$K$4:$K$110,0)),'Track Data'!AF327)),'Track Data'!U327)</f>
        <v>1</v>
      </c>
      <c r="AH327" s="16">
        <f>IF(AC327=0,IF(O327=2,INDEX(Acceleration!$R$4:$R$110,MATCH('Track Data'!S327,Acceleration!$K$4:$K$110,0)),IF('Track Data'!O327=1,INDEX(Acceleration!$Q$4:$Q$110,MATCH('Track Data'!S327,Acceleration!$K$4:$K$110,0)),'Track Data'!AG327)),'Track Data'!U327)</f>
        <v>5.6877465133806844</v>
      </c>
    </row>
    <row r="328" spans="2:34" x14ac:dyDescent="0.25">
      <c r="B328" s="16">
        <v>204.42599999999999</v>
      </c>
      <c r="C328" s="16">
        <v>7598</v>
      </c>
      <c r="D328" s="16">
        <v>325</v>
      </c>
      <c r="E328" s="113">
        <v>41</v>
      </c>
      <c r="F328" s="113">
        <v>40.799999999999997</v>
      </c>
      <c r="G328" s="113">
        <v>31.7</v>
      </c>
      <c r="H328" s="113">
        <f t="shared" si="39"/>
        <v>8.8055555555555554</v>
      </c>
      <c r="I328" s="113">
        <v>14.8</v>
      </c>
      <c r="J328" s="113">
        <v>60.98</v>
      </c>
      <c r="K328" s="113">
        <v>-37.5</v>
      </c>
      <c r="L328" s="192"/>
      <c r="M328" s="16">
        <v>325</v>
      </c>
      <c r="N328" s="16">
        <f t="shared" si="41"/>
        <v>5.5966969197347081E-2</v>
      </c>
      <c r="O328" s="16">
        <v>1</v>
      </c>
      <c r="P328" s="16">
        <f t="shared" si="37"/>
        <v>16.424119241192415</v>
      </c>
      <c r="Q328" s="16">
        <f t="shared" si="42"/>
        <v>17.867681854878814</v>
      </c>
      <c r="R328" s="113">
        <f t="shared" si="38"/>
        <v>434.78</v>
      </c>
      <c r="S328" s="16">
        <f>IF(S327=15800,15800,ROUND((((Q328*60)/'Gearing Calculator'!$C$14)*'Track Data'!P328),-2))</f>
        <v>8900</v>
      </c>
      <c r="T328" s="16">
        <f t="shared" si="40"/>
        <v>5.6877465133806844</v>
      </c>
      <c r="U328" s="16">
        <f>IF(AC328=100,Braking!$AG$2354,IF(AC328=50,Braking!$AG$1179,IF(AC328=75,Braking!$AG$1767,0)))</f>
        <v>0</v>
      </c>
      <c r="V328" s="16">
        <f>0.5*'Gearing Calculator'!$C$15*'Gearing Calculator'!$C$20*'Gearing Calculator'!$W$20*('Track Data'!Q328^2)</f>
        <v>33.789849167140808</v>
      </c>
      <c r="W328" s="16">
        <f>('Gearing Calculator'!$U$9*'Track Data'!T328)+'Track Data'!V328</f>
        <v>1547.8679710290789</v>
      </c>
      <c r="X328" s="16">
        <f>('Gearing Calculator'!$U$9*9.81)*('Gearing Calculator'!$U$16/'Gearing Calculator'!$C$7)-(('Track Data'!W328)*('Gearing Calculator'!$U$17/'Gearing Calculator'!$C$7))</f>
        <v>557.46854610700359</v>
      </c>
      <c r="Y328" s="16">
        <f>('Gearing Calculator'!$U$9*9.81)*(('Gearing Calculator'!$C$7-'Gearing Calculator'!$U$16)/'Gearing Calculator'!$C$7)+(('Track Data'!W328)*('Gearing Calculator'!$U$17/'Gearing Calculator'!$C$7))</f>
        <v>2053.9534538929965</v>
      </c>
      <c r="Z328" s="16">
        <f>((X328*COS('Gearing Calculator'!$C$21))/'Gearing Calculator'!$C$22)/2</f>
        <v>17.235164322832922</v>
      </c>
      <c r="AA328" s="16">
        <f>Y328/'Gearing Calculator'!$C$24</f>
        <v>28.680079271100176</v>
      </c>
      <c r="AB328" s="16">
        <f t="shared" si="36"/>
        <v>39.477595680521489</v>
      </c>
      <c r="AC328" s="16">
        <v>0</v>
      </c>
      <c r="AD328" s="16">
        <v>-50.276124960482598</v>
      </c>
      <c r="AE328" s="16">
        <v>325</v>
      </c>
      <c r="AF328" s="16">
        <f>IF(AC328=0,IF(O328=6,INDEX(Acceleration!$V$4:$V$110,MATCH('Track Data'!S328,Acceleration!$K$4:$K$110,0)),IF('Track Data'!O328=5,INDEX(Acceleration!$U$4:$U$110,MATCH('Track Data'!S328,Acceleration!$K$4:$K$110,0)),1)),U328)</f>
        <v>1</v>
      </c>
      <c r="AG328" s="16">
        <f>IF(AC328=0,IF(O328=4,INDEX(Acceleration!$T$4:$T$110,MATCH('Track Data'!S328,Acceleration!$K$4:$K$110,0)),IF('Track Data'!O328=3,INDEX(Acceleration!$S$4:$S$110,MATCH('Track Data'!S328,Acceleration!$K$4:$K$110,0)),'Track Data'!AF328)),'Track Data'!U328)</f>
        <v>1</v>
      </c>
      <c r="AH328" s="16">
        <f>IF(AC328=0,IF(O328=2,INDEX(Acceleration!$R$4:$R$110,MATCH('Track Data'!S328,Acceleration!$K$4:$K$110,0)),IF('Track Data'!O328=1,INDEX(Acceleration!$Q$4:$Q$110,MATCH('Track Data'!S328,Acceleration!$K$4:$K$110,0)),'Track Data'!AG328)),'Track Data'!U328)</f>
        <v>5.6877465133806844</v>
      </c>
    </row>
    <row r="329" spans="2:34" x14ac:dyDescent="0.25">
      <c r="B329" s="16">
        <v>204.51400000000001</v>
      </c>
      <c r="C329" s="16">
        <v>7599</v>
      </c>
      <c r="D329" s="16">
        <v>326</v>
      </c>
      <c r="E329" s="113">
        <v>41</v>
      </c>
      <c r="F329" s="113">
        <v>41.1</v>
      </c>
      <c r="G329" s="113">
        <v>32.1</v>
      </c>
      <c r="H329" s="113">
        <f t="shared" si="39"/>
        <v>8.9166666666666661</v>
      </c>
      <c r="I329" s="113">
        <v>15.5</v>
      </c>
      <c r="J329" s="113">
        <v>56.62</v>
      </c>
      <c r="K329" s="113">
        <v>-59.1</v>
      </c>
      <c r="L329" s="192"/>
      <c r="M329" s="16">
        <v>326</v>
      </c>
      <c r="N329" s="16">
        <f t="shared" si="41"/>
        <v>5.5966969197347081E-2</v>
      </c>
      <c r="O329" s="16">
        <v>1</v>
      </c>
      <c r="P329" s="16">
        <f t="shared" si="37"/>
        <v>16.424119241192415</v>
      </c>
      <c r="Q329" s="16">
        <f t="shared" si="42"/>
        <v>17.867681854878814</v>
      </c>
      <c r="R329" s="113">
        <f t="shared" si="38"/>
        <v>434.78</v>
      </c>
      <c r="S329" s="16">
        <f>IF(S328=15800,15800,ROUND((((Q329*60)/'Gearing Calculator'!$C$14)*'Track Data'!P329),-2))</f>
        <v>8900</v>
      </c>
      <c r="T329" s="16">
        <f t="shared" si="40"/>
        <v>5.6877465133806844</v>
      </c>
      <c r="U329" s="16">
        <f>IF(AC329=100,Braking!$AG$2354,IF(AC329=50,Braking!$AG$1179,IF(AC329=75,Braking!$AG$1767,0)))</f>
        <v>0</v>
      </c>
      <c r="V329" s="16">
        <f>0.5*'Gearing Calculator'!$C$15*'Gearing Calculator'!$C$20*'Gearing Calculator'!$W$20*('Track Data'!Q329^2)</f>
        <v>33.789849167140808</v>
      </c>
      <c r="W329" s="16">
        <f>('Gearing Calculator'!$U$9*'Track Data'!T329)+'Track Data'!V329</f>
        <v>1547.8679710290789</v>
      </c>
      <c r="X329" s="16">
        <f>('Gearing Calculator'!$U$9*9.81)*('Gearing Calculator'!$U$16/'Gearing Calculator'!$C$7)-(('Track Data'!W329)*('Gearing Calculator'!$U$17/'Gearing Calculator'!$C$7))</f>
        <v>557.46854610700359</v>
      </c>
      <c r="Y329" s="16">
        <f>('Gearing Calculator'!$U$9*9.81)*(('Gearing Calculator'!$C$7-'Gearing Calculator'!$U$16)/'Gearing Calculator'!$C$7)+(('Track Data'!W329)*('Gearing Calculator'!$U$17/'Gearing Calculator'!$C$7))</f>
        <v>2053.9534538929965</v>
      </c>
      <c r="Z329" s="16">
        <f>((X329*COS('Gearing Calculator'!$C$21))/'Gearing Calculator'!$C$22)/2</f>
        <v>17.235164322832922</v>
      </c>
      <c r="AA329" s="16">
        <f>Y329/'Gearing Calculator'!$C$24</f>
        <v>28.680079271100176</v>
      </c>
      <c r="AB329" s="16">
        <f t="shared" si="36"/>
        <v>39.477595680521489</v>
      </c>
      <c r="AC329" s="16">
        <v>0</v>
      </c>
      <c r="AD329" s="16">
        <v>-50.276124960482598</v>
      </c>
      <c r="AE329" s="16">
        <v>326</v>
      </c>
      <c r="AF329" s="16">
        <f>IF(AC329=0,IF(O329=6,INDEX(Acceleration!$V$4:$V$110,MATCH('Track Data'!S329,Acceleration!$K$4:$K$110,0)),IF('Track Data'!O329=5,INDEX(Acceleration!$U$4:$U$110,MATCH('Track Data'!S329,Acceleration!$K$4:$K$110,0)),1)),U329)</f>
        <v>1</v>
      </c>
      <c r="AG329" s="16">
        <f>IF(AC329=0,IF(O329=4,INDEX(Acceleration!$T$4:$T$110,MATCH('Track Data'!S329,Acceleration!$K$4:$K$110,0)),IF('Track Data'!O329=3,INDEX(Acceleration!$S$4:$S$110,MATCH('Track Data'!S329,Acceleration!$K$4:$K$110,0)),'Track Data'!AF329)),'Track Data'!U329)</f>
        <v>1</v>
      </c>
      <c r="AH329" s="16">
        <f>IF(AC329=0,IF(O329=2,INDEX(Acceleration!$R$4:$R$110,MATCH('Track Data'!S329,Acceleration!$K$4:$K$110,0)),IF('Track Data'!O329=1,INDEX(Acceleration!$Q$4:$Q$110,MATCH('Track Data'!S329,Acceleration!$K$4:$K$110,0)),'Track Data'!AG329)),'Track Data'!U329)</f>
        <v>5.6877465133806844</v>
      </c>
    </row>
    <row r="330" spans="2:34" x14ac:dyDescent="0.25">
      <c r="B330" s="16">
        <v>204.601</v>
      </c>
      <c r="C330" s="16">
        <v>7600</v>
      </c>
      <c r="D330" s="16">
        <v>327</v>
      </c>
      <c r="E330" s="113">
        <v>42</v>
      </c>
      <c r="F330" s="113">
        <v>41.7</v>
      </c>
      <c r="G330" s="113">
        <v>32.9</v>
      </c>
      <c r="H330" s="113">
        <f t="shared" si="39"/>
        <v>9.1388888888888875</v>
      </c>
      <c r="I330" s="113">
        <v>14.4</v>
      </c>
      <c r="J330" s="113">
        <v>50</v>
      </c>
      <c r="K330" s="113">
        <v>-58.6</v>
      </c>
      <c r="L330" s="192"/>
      <c r="M330" s="16">
        <v>327</v>
      </c>
      <c r="N330" s="16">
        <f t="shared" si="41"/>
        <v>5.5966969197347081E-2</v>
      </c>
      <c r="O330" s="16">
        <v>1</v>
      </c>
      <c r="P330" s="16">
        <f t="shared" si="37"/>
        <v>16.424119241192415</v>
      </c>
      <c r="Q330" s="16">
        <f t="shared" si="42"/>
        <v>17.867681854878814</v>
      </c>
      <c r="R330" s="113">
        <f t="shared" si="38"/>
        <v>434.78</v>
      </c>
      <c r="S330" s="16">
        <f>IF(S329=15800,15800,ROUND((((Q330*60)/'Gearing Calculator'!$C$14)*'Track Data'!P330),-2))</f>
        <v>8900</v>
      </c>
      <c r="T330" s="16">
        <f t="shared" si="40"/>
        <v>5.6877465133806844</v>
      </c>
      <c r="U330" s="16">
        <f>IF(AC330=100,Braking!$AG$2354,IF(AC330=50,Braking!$AG$1179,IF(AC330=75,Braking!$AG$1767,0)))</f>
        <v>0</v>
      </c>
      <c r="V330" s="16">
        <f>0.5*'Gearing Calculator'!$C$15*'Gearing Calculator'!$C$20*'Gearing Calculator'!$W$20*('Track Data'!Q330^2)</f>
        <v>33.789849167140808</v>
      </c>
      <c r="W330" s="16">
        <f>('Gearing Calculator'!$U$9*'Track Data'!T330)+'Track Data'!V330</f>
        <v>1547.8679710290789</v>
      </c>
      <c r="X330" s="16">
        <f>('Gearing Calculator'!$U$9*9.81)*('Gearing Calculator'!$U$16/'Gearing Calculator'!$C$7)-(('Track Data'!W330)*('Gearing Calculator'!$U$17/'Gearing Calculator'!$C$7))</f>
        <v>557.46854610700359</v>
      </c>
      <c r="Y330" s="16">
        <f>('Gearing Calculator'!$U$9*9.81)*(('Gearing Calculator'!$C$7-'Gearing Calculator'!$U$16)/'Gearing Calculator'!$C$7)+(('Track Data'!W330)*('Gearing Calculator'!$U$17/'Gearing Calculator'!$C$7))</f>
        <v>2053.9534538929965</v>
      </c>
      <c r="Z330" s="16">
        <f>((X330*COS('Gearing Calculator'!$C$21))/'Gearing Calculator'!$C$22)/2</f>
        <v>17.235164322832922</v>
      </c>
      <c r="AA330" s="16">
        <f>Y330/'Gearing Calculator'!$C$24</f>
        <v>28.680079271100176</v>
      </c>
      <c r="AB330" s="16">
        <f t="shared" si="36"/>
        <v>39.477595680521489</v>
      </c>
      <c r="AC330" s="16">
        <v>0</v>
      </c>
      <c r="AD330" s="16">
        <v>-50.276124960482598</v>
      </c>
      <c r="AE330" s="16">
        <v>327</v>
      </c>
      <c r="AF330" s="16">
        <f>IF(AC330=0,IF(O330=6,INDEX(Acceleration!$V$4:$V$110,MATCH('Track Data'!S330,Acceleration!$K$4:$K$110,0)),IF('Track Data'!O330=5,INDEX(Acceleration!$U$4:$U$110,MATCH('Track Data'!S330,Acceleration!$K$4:$K$110,0)),1)),U330)</f>
        <v>1</v>
      </c>
      <c r="AG330" s="16">
        <f>IF(AC330=0,IF(O330=4,INDEX(Acceleration!$T$4:$T$110,MATCH('Track Data'!S330,Acceleration!$K$4:$K$110,0)),IF('Track Data'!O330=3,INDEX(Acceleration!$S$4:$S$110,MATCH('Track Data'!S330,Acceleration!$K$4:$K$110,0)),'Track Data'!AF330)),'Track Data'!U330)</f>
        <v>1</v>
      </c>
      <c r="AH330" s="16">
        <f>IF(AC330=0,IF(O330=2,INDEX(Acceleration!$R$4:$R$110,MATCH('Track Data'!S330,Acceleration!$K$4:$K$110,0)),IF('Track Data'!O330=1,INDEX(Acceleration!$Q$4:$Q$110,MATCH('Track Data'!S330,Acceleration!$K$4:$K$110,0)),'Track Data'!AG330)),'Track Data'!U330)</f>
        <v>5.6877465133806844</v>
      </c>
    </row>
    <row r="331" spans="2:34" x14ac:dyDescent="0.25">
      <c r="B331" s="16">
        <v>204.68700000000001</v>
      </c>
      <c r="C331" s="16">
        <v>7601</v>
      </c>
      <c r="D331" s="16">
        <v>328</v>
      </c>
      <c r="E331" s="113">
        <v>43</v>
      </c>
      <c r="F331" s="113">
        <v>42.1</v>
      </c>
      <c r="G331" s="113">
        <v>34</v>
      </c>
      <c r="H331" s="113">
        <f t="shared" si="39"/>
        <v>9.4444444444444446</v>
      </c>
      <c r="I331" s="113">
        <v>13.2</v>
      </c>
      <c r="J331" s="113">
        <v>47.17</v>
      </c>
      <c r="K331" s="113">
        <v>-57.9</v>
      </c>
      <c r="L331" s="192"/>
      <c r="M331" s="16">
        <v>328</v>
      </c>
      <c r="N331" s="16">
        <f t="shared" si="41"/>
        <v>5.5966969197347081E-2</v>
      </c>
      <c r="O331" s="16">
        <v>1</v>
      </c>
      <c r="P331" s="16">
        <f t="shared" si="37"/>
        <v>16.424119241192415</v>
      </c>
      <c r="Q331" s="16">
        <f t="shared" si="42"/>
        <v>17.867681854878814</v>
      </c>
      <c r="R331" s="113">
        <f t="shared" si="38"/>
        <v>434.78</v>
      </c>
      <c r="S331" s="16">
        <f>IF(S330=15800,15800,ROUND((((Q331*60)/'Gearing Calculator'!$C$14)*'Track Data'!P331),-2))</f>
        <v>8900</v>
      </c>
      <c r="T331" s="16">
        <f t="shared" si="40"/>
        <v>5.6877465133806844</v>
      </c>
      <c r="U331" s="16">
        <f>IF(AC331=100,Braking!$AG$2354,IF(AC331=50,Braking!$AG$1179,IF(AC331=75,Braking!$AG$1767,0)))</f>
        <v>0</v>
      </c>
      <c r="V331" s="16">
        <f>0.5*'Gearing Calculator'!$C$15*'Gearing Calculator'!$C$20*'Gearing Calculator'!$W$20*('Track Data'!Q331^2)</f>
        <v>33.789849167140808</v>
      </c>
      <c r="W331" s="16">
        <f>('Gearing Calculator'!$U$9*'Track Data'!T331)+'Track Data'!V331</f>
        <v>1547.8679710290789</v>
      </c>
      <c r="X331" s="16">
        <f>('Gearing Calculator'!$U$9*9.81)*('Gearing Calculator'!$U$16/'Gearing Calculator'!$C$7)-(('Track Data'!W331)*('Gearing Calculator'!$U$17/'Gearing Calculator'!$C$7))</f>
        <v>557.46854610700359</v>
      </c>
      <c r="Y331" s="16">
        <f>('Gearing Calculator'!$U$9*9.81)*(('Gearing Calculator'!$C$7-'Gearing Calculator'!$U$16)/'Gearing Calculator'!$C$7)+(('Track Data'!W331)*('Gearing Calculator'!$U$17/'Gearing Calculator'!$C$7))</f>
        <v>2053.9534538929965</v>
      </c>
      <c r="Z331" s="16">
        <f>((X331*COS('Gearing Calculator'!$C$21))/'Gearing Calculator'!$C$22)/2</f>
        <v>17.235164322832922</v>
      </c>
      <c r="AA331" s="16">
        <f>Y331/'Gearing Calculator'!$C$24</f>
        <v>28.680079271100176</v>
      </c>
      <c r="AB331" s="16">
        <f t="shared" si="36"/>
        <v>39.477595680521489</v>
      </c>
      <c r="AC331" s="16">
        <v>0</v>
      </c>
      <c r="AD331" s="16">
        <v>-50.276124960482598</v>
      </c>
      <c r="AE331" s="16">
        <v>328</v>
      </c>
      <c r="AF331" s="16">
        <f>IF(AC331=0,IF(O331=6,INDEX(Acceleration!$V$4:$V$110,MATCH('Track Data'!S331,Acceleration!$K$4:$K$110,0)),IF('Track Data'!O331=5,INDEX(Acceleration!$U$4:$U$110,MATCH('Track Data'!S331,Acceleration!$K$4:$K$110,0)),1)),U331)</f>
        <v>1</v>
      </c>
      <c r="AG331" s="16">
        <f>IF(AC331=0,IF(O331=4,INDEX(Acceleration!$T$4:$T$110,MATCH('Track Data'!S331,Acceleration!$K$4:$K$110,0)),IF('Track Data'!O331=3,INDEX(Acceleration!$S$4:$S$110,MATCH('Track Data'!S331,Acceleration!$K$4:$K$110,0)),'Track Data'!AF331)),'Track Data'!U331)</f>
        <v>1</v>
      </c>
      <c r="AH331" s="16">
        <f>IF(AC331=0,IF(O331=2,INDEX(Acceleration!$R$4:$R$110,MATCH('Track Data'!S331,Acceleration!$K$4:$K$110,0)),IF('Track Data'!O331=1,INDEX(Acceleration!$Q$4:$Q$110,MATCH('Track Data'!S331,Acceleration!$K$4:$K$110,0)),'Track Data'!AG331)),'Track Data'!U331)</f>
        <v>5.6877465133806844</v>
      </c>
    </row>
    <row r="332" spans="2:34" x14ac:dyDescent="0.25">
      <c r="B332" s="16">
        <v>204.77099999999999</v>
      </c>
      <c r="C332" s="16">
        <v>7602</v>
      </c>
      <c r="D332" s="16">
        <v>329</v>
      </c>
      <c r="E332" s="113">
        <v>45</v>
      </c>
      <c r="F332" s="113">
        <v>43.3</v>
      </c>
      <c r="G332" s="113">
        <v>35.299999999999997</v>
      </c>
      <c r="H332" s="113">
        <f t="shared" si="39"/>
        <v>9.8055555555555554</v>
      </c>
      <c r="I332" s="113">
        <v>11.8</v>
      </c>
      <c r="J332" s="113">
        <v>43.04</v>
      </c>
      <c r="K332" s="113">
        <v>-52.2</v>
      </c>
      <c r="L332" s="192"/>
      <c r="M332" s="16">
        <v>329</v>
      </c>
      <c r="N332" s="16">
        <f t="shared" si="41"/>
        <v>5.5966969197347081E-2</v>
      </c>
      <c r="O332" s="16">
        <v>1</v>
      </c>
      <c r="P332" s="16">
        <f t="shared" si="37"/>
        <v>16.424119241192415</v>
      </c>
      <c r="Q332" s="16">
        <f t="shared" si="42"/>
        <v>17.867681854878814</v>
      </c>
      <c r="R332" s="113">
        <f t="shared" si="38"/>
        <v>434.78</v>
      </c>
      <c r="S332" s="16">
        <f>IF(S331=15800,15800,ROUND((((Q332*60)/'Gearing Calculator'!$C$14)*'Track Data'!P332),-2))</f>
        <v>8900</v>
      </c>
      <c r="T332" s="16">
        <f t="shared" si="40"/>
        <v>5.6877465133806844</v>
      </c>
      <c r="U332" s="16">
        <f>IF(AC332=100,Braking!$AG$2354,IF(AC332=50,Braking!$AG$1179,IF(AC332=75,Braking!$AG$1767,0)))</f>
        <v>0</v>
      </c>
      <c r="V332" s="16">
        <f>0.5*'Gearing Calculator'!$C$15*'Gearing Calculator'!$C$20*'Gearing Calculator'!$W$20*('Track Data'!Q332^2)</f>
        <v>33.789849167140808</v>
      </c>
      <c r="W332" s="16">
        <f>('Gearing Calculator'!$U$9*'Track Data'!T332)+'Track Data'!V332</f>
        <v>1547.8679710290789</v>
      </c>
      <c r="X332" s="16">
        <f>('Gearing Calculator'!$U$9*9.81)*('Gearing Calculator'!$U$16/'Gearing Calculator'!$C$7)-(('Track Data'!W332)*('Gearing Calculator'!$U$17/'Gearing Calculator'!$C$7))</f>
        <v>557.46854610700359</v>
      </c>
      <c r="Y332" s="16">
        <f>('Gearing Calculator'!$U$9*9.81)*(('Gearing Calculator'!$C$7-'Gearing Calculator'!$U$16)/'Gearing Calculator'!$C$7)+(('Track Data'!W332)*('Gearing Calculator'!$U$17/'Gearing Calculator'!$C$7))</f>
        <v>2053.9534538929965</v>
      </c>
      <c r="Z332" s="16">
        <f>((X332*COS('Gearing Calculator'!$C$21))/'Gearing Calculator'!$C$22)/2</f>
        <v>17.235164322832922</v>
      </c>
      <c r="AA332" s="16">
        <f>Y332/'Gearing Calculator'!$C$24</f>
        <v>28.680079271100176</v>
      </c>
      <c r="AB332" s="16">
        <f t="shared" si="36"/>
        <v>39.477595680521489</v>
      </c>
      <c r="AC332" s="16">
        <v>0</v>
      </c>
      <c r="AD332" s="16">
        <v>-50.276124960482598</v>
      </c>
      <c r="AE332" s="16">
        <v>329</v>
      </c>
      <c r="AF332" s="16">
        <f>IF(AC332=0,IF(O332=6,INDEX(Acceleration!$V$4:$V$110,MATCH('Track Data'!S332,Acceleration!$K$4:$K$110,0)),IF('Track Data'!O332=5,INDEX(Acceleration!$U$4:$U$110,MATCH('Track Data'!S332,Acceleration!$K$4:$K$110,0)),1)),U332)</f>
        <v>1</v>
      </c>
      <c r="AG332" s="16">
        <f>IF(AC332=0,IF(O332=4,INDEX(Acceleration!$T$4:$T$110,MATCH('Track Data'!S332,Acceleration!$K$4:$K$110,0)),IF('Track Data'!O332=3,INDEX(Acceleration!$S$4:$S$110,MATCH('Track Data'!S332,Acceleration!$K$4:$K$110,0)),'Track Data'!AF332)),'Track Data'!U332)</f>
        <v>1</v>
      </c>
      <c r="AH332" s="16">
        <f>IF(AC332=0,IF(O332=2,INDEX(Acceleration!$R$4:$R$110,MATCH('Track Data'!S332,Acceleration!$K$4:$K$110,0)),IF('Track Data'!O332=1,INDEX(Acceleration!$Q$4:$Q$110,MATCH('Track Data'!S332,Acceleration!$K$4:$K$110,0)),'Track Data'!AG332)),'Track Data'!U332)</f>
        <v>5.6877465133806844</v>
      </c>
    </row>
    <row r="333" spans="2:34" x14ac:dyDescent="0.25">
      <c r="B333" s="16">
        <v>204.85400000000001</v>
      </c>
      <c r="C333" s="16">
        <v>7603</v>
      </c>
      <c r="D333" s="16">
        <v>330</v>
      </c>
      <c r="E333" s="113">
        <v>45</v>
      </c>
      <c r="F333" s="113">
        <v>44.2</v>
      </c>
      <c r="G333" s="113">
        <v>36.6</v>
      </c>
      <c r="H333" s="113">
        <f t="shared" si="39"/>
        <v>10.166666666666666</v>
      </c>
      <c r="I333" s="113">
        <v>11</v>
      </c>
      <c r="J333" s="113">
        <v>38.22</v>
      </c>
      <c r="K333" s="113">
        <v>-46.4</v>
      </c>
      <c r="L333" s="192"/>
      <c r="M333" s="16">
        <v>330</v>
      </c>
      <c r="N333" s="16">
        <f t="shared" si="41"/>
        <v>5.5966969197347081E-2</v>
      </c>
      <c r="O333" s="16">
        <v>1</v>
      </c>
      <c r="P333" s="16">
        <f t="shared" si="37"/>
        <v>16.424119241192415</v>
      </c>
      <c r="Q333" s="16">
        <f t="shared" si="42"/>
        <v>17.867681854878814</v>
      </c>
      <c r="R333" s="113">
        <f t="shared" si="38"/>
        <v>434.78</v>
      </c>
      <c r="S333" s="16">
        <f>IF(S332=15800,15800,ROUND((((Q333*60)/'Gearing Calculator'!$C$14)*'Track Data'!P333),-2))</f>
        <v>8900</v>
      </c>
      <c r="T333" s="16">
        <f t="shared" si="40"/>
        <v>5.6877465133806844</v>
      </c>
      <c r="U333" s="16">
        <f>IF(AC333=100,Braking!$AG$2354,IF(AC333=50,Braking!$AG$1179,IF(AC333=75,Braking!$AG$1767,0)))</f>
        <v>0</v>
      </c>
      <c r="V333" s="16">
        <f>0.5*'Gearing Calculator'!$C$15*'Gearing Calculator'!$C$20*'Gearing Calculator'!$W$20*('Track Data'!Q333^2)</f>
        <v>33.789849167140808</v>
      </c>
      <c r="W333" s="16">
        <f>('Gearing Calculator'!$U$9*'Track Data'!T333)+'Track Data'!V333</f>
        <v>1547.8679710290789</v>
      </c>
      <c r="X333" s="16">
        <f>('Gearing Calculator'!$U$9*9.81)*('Gearing Calculator'!$U$16/'Gearing Calculator'!$C$7)-(('Track Data'!W333)*('Gearing Calculator'!$U$17/'Gearing Calculator'!$C$7))</f>
        <v>557.46854610700359</v>
      </c>
      <c r="Y333" s="16">
        <f>('Gearing Calculator'!$U$9*9.81)*(('Gearing Calculator'!$C$7-'Gearing Calculator'!$U$16)/'Gearing Calculator'!$C$7)+(('Track Data'!W333)*('Gearing Calculator'!$U$17/'Gearing Calculator'!$C$7))</f>
        <v>2053.9534538929965</v>
      </c>
      <c r="Z333" s="16">
        <f>((X333*COS('Gearing Calculator'!$C$21))/'Gearing Calculator'!$C$22)/2</f>
        <v>17.235164322832922</v>
      </c>
      <c r="AA333" s="16">
        <f>Y333/'Gearing Calculator'!$C$24</f>
        <v>28.680079271100176</v>
      </c>
      <c r="AB333" s="16">
        <f t="shared" si="36"/>
        <v>39.477595680521489</v>
      </c>
      <c r="AC333" s="16">
        <v>0</v>
      </c>
      <c r="AD333" s="16">
        <v>-50.276124960482598</v>
      </c>
      <c r="AE333" s="16">
        <v>330</v>
      </c>
      <c r="AF333" s="16">
        <f>IF(AC333=0,IF(O333=6,INDEX(Acceleration!$V$4:$V$110,MATCH('Track Data'!S333,Acceleration!$K$4:$K$110,0)),IF('Track Data'!O333=5,INDEX(Acceleration!$U$4:$U$110,MATCH('Track Data'!S333,Acceleration!$K$4:$K$110,0)),1)),U333)</f>
        <v>1</v>
      </c>
      <c r="AG333" s="16">
        <f>IF(AC333=0,IF(O333=4,INDEX(Acceleration!$T$4:$T$110,MATCH('Track Data'!S333,Acceleration!$K$4:$K$110,0)),IF('Track Data'!O333=3,INDEX(Acceleration!$S$4:$S$110,MATCH('Track Data'!S333,Acceleration!$K$4:$K$110,0)),'Track Data'!AF333)),'Track Data'!U333)</f>
        <v>1</v>
      </c>
      <c r="AH333" s="16">
        <f>IF(AC333=0,IF(O333=2,INDEX(Acceleration!$R$4:$R$110,MATCH('Track Data'!S333,Acceleration!$K$4:$K$110,0)),IF('Track Data'!O333=1,INDEX(Acceleration!$Q$4:$Q$110,MATCH('Track Data'!S333,Acceleration!$K$4:$K$110,0)),'Track Data'!AG333)),'Track Data'!U333)</f>
        <v>5.6877465133806844</v>
      </c>
    </row>
    <row r="334" spans="2:34" x14ac:dyDescent="0.25">
      <c r="B334" s="16">
        <v>204.934</v>
      </c>
      <c r="C334" s="16">
        <v>7604</v>
      </c>
      <c r="D334" s="16">
        <v>331</v>
      </c>
      <c r="E334" s="113">
        <v>48</v>
      </c>
      <c r="F334" s="113">
        <v>46</v>
      </c>
      <c r="G334" s="113">
        <v>37.9</v>
      </c>
      <c r="H334" s="113">
        <f t="shared" si="39"/>
        <v>10.527777777777777</v>
      </c>
      <c r="I334" s="113">
        <v>10.3</v>
      </c>
      <c r="J334" s="113">
        <v>35.04</v>
      </c>
      <c r="K334" s="113">
        <v>-45.3</v>
      </c>
      <c r="L334" s="192"/>
      <c r="M334" s="16">
        <v>331</v>
      </c>
      <c r="N334" s="16">
        <f t="shared" si="41"/>
        <v>5.5966969197347081E-2</v>
      </c>
      <c r="O334" s="16">
        <v>1</v>
      </c>
      <c r="P334" s="16">
        <f t="shared" si="37"/>
        <v>16.424119241192415</v>
      </c>
      <c r="Q334" s="16">
        <f t="shared" si="42"/>
        <v>17.867681854878814</v>
      </c>
      <c r="R334" s="113">
        <f t="shared" si="38"/>
        <v>434.78</v>
      </c>
      <c r="S334" s="16">
        <f>IF(S333=15800,15800,ROUND((((Q334*60)/'Gearing Calculator'!$C$14)*'Track Data'!P334),-2))</f>
        <v>8900</v>
      </c>
      <c r="T334" s="16">
        <f t="shared" si="40"/>
        <v>5.6877465133806844</v>
      </c>
      <c r="U334" s="16">
        <f>IF(AC334=100,Braking!$AG$2354,IF(AC334=50,Braking!$AG$1179,IF(AC334=75,Braking!$AG$1767,0)))</f>
        <v>0</v>
      </c>
      <c r="V334" s="16">
        <f>0.5*'Gearing Calculator'!$C$15*'Gearing Calculator'!$C$20*'Gearing Calculator'!$W$20*('Track Data'!Q334^2)</f>
        <v>33.789849167140808</v>
      </c>
      <c r="W334" s="16">
        <f>('Gearing Calculator'!$U$9*'Track Data'!T334)+'Track Data'!V334</f>
        <v>1547.8679710290789</v>
      </c>
      <c r="X334" s="16">
        <f>('Gearing Calculator'!$U$9*9.81)*('Gearing Calculator'!$U$16/'Gearing Calculator'!$C$7)-(('Track Data'!W334)*('Gearing Calculator'!$U$17/'Gearing Calculator'!$C$7))</f>
        <v>557.46854610700359</v>
      </c>
      <c r="Y334" s="16">
        <f>('Gearing Calculator'!$U$9*9.81)*(('Gearing Calculator'!$C$7-'Gearing Calculator'!$U$16)/'Gearing Calculator'!$C$7)+(('Track Data'!W334)*('Gearing Calculator'!$U$17/'Gearing Calculator'!$C$7))</f>
        <v>2053.9534538929965</v>
      </c>
      <c r="Z334" s="16">
        <f>((X334*COS('Gearing Calculator'!$C$21))/'Gearing Calculator'!$C$22)/2</f>
        <v>17.235164322832922</v>
      </c>
      <c r="AA334" s="16">
        <f>Y334/'Gearing Calculator'!$C$24</f>
        <v>28.680079271100176</v>
      </c>
      <c r="AB334" s="16">
        <f t="shared" si="36"/>
        <v>39.477595680521489</v>
      </c>
      <c r="AC334" s="16">
        <v>0</v>
      </c>
      <c r="AD334" s="16">
        <v>-50.276124960482598</v>
      </c>
      <c r="AE334" s="16">
        <v>331</v>
      </c>
      <c r="AF334" s="16">
        <f>IF(AC334=0,IF(O334=6,INDEX(Acceleration!$V$4:$V$110,MATCH('Track Data'!S334,Acceleration!$K$4:$K$110,0)),IF('Track Data'!O334=5,INDEX(Acceleration!$U$4:$U$110,MATCH('Track Data'!S334,Acceleration!$K$4:$K$110,0)),1)),U334)</f>
        <v>1</v>
      </c>
      <c r="AG334" s="16">
        <f>IF(AC334=0,IF(O334=4,INDEX(Acceleration!$T$4:$T$110,MATCH('Track Data'!S334,Acceleration!$K$4:$K$110,0)),IF('Track Data'!O334=3,INDEX(Acceleration!$S$4:$S$110,MATCH('Track Data'!S334,Acceleration!$K$4:$K$110,0)),'Track Data'!AF334)),'Track Data'!U334)</f>
        <v>1</v>
      </c>
      <c r="AH334" s="16">
        <f>IF(AC334=0,IF(O334=2,INDEX(Acceleration!$R$4:$R$110,MATCH('Track Data'!S334,Acceleration!$K$4:$K$110,0)),IF('Track Data'!O334=1,INDEX(Acceleration!$Q$4:$Q$110,MATCH('Track Data'!S334,Acceleration!$K$4:$K$110,0)),'Track Data'!AG334)),'Track Data'!U334)</f>
        <v>5.6877465133806844</v>
      </c>
    </row>
    <row r="335" spans="2:34" x14ac:dyDescent="0.25">
      <c r="B335" s="16">
        <v>205.011</v>
      </c>
      <c r="C335" s="16">
        <v>7605</v>
      </c>
      <c r="D335" s="16">
        <v>332</v>
      </c>
      <c r="E335" s="113">
        <v>49</v>
      </c>
      <c r="F335" s="113">
        <v>47.7</v>
      </c>
      <c r="G335" s="113">
        <v>39</v>
      </c>
      <c r="H335" s="113">
        <f t="shared" si="39"/>
        <v>10.833333333333334</v>
      </c>
      <c r="I335" s="113">
        <v>10.3</v>
      </c>
      <c r="J335" s="113">
        <v>32.15</v>
      </c>
      <c r="K335" s="113">
        <v>-45.5</v>
      </c>
      <c r="L335" s="192"/>
      <c r="M335" s="16">
        <v>332</v>
      </c>
      <c r="N335" s="16">
        <f t="shared" si="41"/>
        <v>5.5966969197347081E-2</v>
      </c>
      <c r="O335" s="16">
        <v>1</v>
      </c>
      <c r="P335" s="16">
        <f t="shared" si="37"/>
        <v>16.424119241192415</v>
      </c>
      <c r="Q335" s="16">
        <f t="shared" si="42"/>
        <v>17.867681854878814</v>
      </c>
      <c r="R335" s="113">
        <f t="shared" si="38"/>
        <v>434.78</v>
      </c>
      <c r="S335" s="16">
        <f>IF(S334=15800,15800,ROUND((((Q335*60)/'Gearing Calculator'!$C$14)*'Track Data'!P335),-2))</f>
        <v>8900</v>
      </c>
      <c r="T335" s="16">
        <f t="shared" si="40"/>
        <v>5.6877465133806844</v>
      </c>
      <c r="U335" s="16">
        <f>IF(AC335=100,Braking!$AG$2354,IF(AC335=50,Braking!$AG$1179,IF(AC335=75,Braking!$AG$1767,0)))</f>
        <v>0</v>
      </c>
      <c r="V335" s="16">
        <f>0.5*'Gearing Calculator'!$C$15*'Gearing Calculator'!$C$20*'Gearing Calculator'!$W$20*('Track Data'!Q335^2)</f>
        <v>33.789849167140808</v>
      </c>
      <c r="W335" s="16">
        <f>('Gearing Calculator'!$U$9*'Track Data'!T335)+'Track Data'!V335</f>
        <v>1547.8679710290789</v>
      </c>
      <c r="X335" s="16">
        <f>('Gearing Calculator'!$U$9*9.81)*('Gearing Calculator'!$U$16/'Gearing Calculator'!$C$7)-(('Track Data'!W335)*('Gearing Calculator'!$U$17/'Gearing Calculator'!$C$7))</f>
        <v>557.46854610700359</v>
      </c>
      <c r="Y335" s="16">
        <f>('Gearing Calculator'!$U$9*9.81)*(('Gearing Calculator'!$C$7-'Gearing Calculator'!$U$16)/'Gearing Calculator'!$C$7)+(('Track Data'!W335)*('Gearing Calculator'!$U$17/'Gearing Calculator'!$C$7))</f>
        <v>2053.9534538929965</v>
      </c>
      <c r="Z335" s="16">
        <f>((X335*COS('Gearing Calculator'!$C$21))/'Gearing Calculator'!$C$22)/2</f>
        <v>17.235164322832922</v>
      </c>
      <c r="AA335" s="16">
        <f>Y335/'Gearing Calculator'!$C$24</f>
        <v>28.680079271100176</v>
      </c>
      <c r="AB335" s="16">
        <f t="shared" si="36"/>
        <v>39.477595680521489</v>
      </c>
      <c r="AC335" s="16">
        <v>0</v>
      </c>
      <c r="AD335" s="16">
        <v>-50.276124960482598</v>
      </c>
      <c r="AE335" s="16">
        <v>332</v>
      </c>
      <c r="AF335" s="16">
        <f>IF(AC335=0,IF(O335=6,INDEX(Acceleration!$V$4:$V$110,MATCH('Track Data'!S335,Acceleration!$K$4:$K$110,0)),IF('Track Data'!O335=5,INDEX(Acceleration!$U$4:$U$110,MATCH('Track Data'!S335,Acceleration!$K$4:$K$110,0)),1)),U335)</f>
        <v>1</v>
      </c>
      <c r="AG335" s="16">
        <f>IF(AC335=0,IF(O335=4,INDEX(Acceleration!$T$4:$T$110,MATCH('Track Data'!S335,Acceleration!$K$4:$K$110,0)),IF('Track Data'!O335=3,INDEX(Acceleration!$S$4:$S$110,MATCH('Track Data'!S335,Acceleration!$K$4:$K$110,0)),'Track Data'!AF335)),'Track Data'!U335)</f>
        <v>1</v>
      </c>
      <c r="AH335" s="16">
        <f>IF(AC335=0,IF(O335=2,INDEX(Acceleration!$R$4:$R$110,MATCH('Track Data'!S335,Acceleration!$K$4:$K$110,0)),IF('Track Data'!O335=1,INDEX(Acceleration!$Q$4:$Q$110,MATCH('Track Data'!S335,Acceleration!$K$4:$K$110,0)),'Track Data'!AG335)),'Track Data'!U335)</f>
        <v>5.6877465133806844</v>
      </c>
    </row>
    <row r="336" spans="2:34" x14ac:dyDescent="0.25">
      <c r="B336" s="16">
        <v>205.08600000000001</v>
      </c>
      <c r="C336" s="16">
        <v>7606</v>
      </c>
      <c r="D336" s="16">
        <v>333</v>
      </c>
      <c r="E336" s="113">
        <v>51</v>
      </c>
      <c r="F336" s="113">
        <v>49.1</v>
      </c>
      <c r="G336" s="113">
        <v>39.9</v>
      </c>
      <c r="H336" s="113">
        <f t="shared" si="39"/>
        <v>11.083333333333332</v>
      </c>
      <c r="I336" s="113">
        <v>10.3</v>
      </c>
      <c r="J336" s="113">
        <v>24.71</v>
      </c>
      <c r="K336" s="113">
        <v>-44.3</v>
      </c>
      <c r="L336" s="192"/>
      <c r="M336" s="16">
        <v>333</v>
      </c>
      <c r="N336" s="16">
        <f t="shared" si="41"/>
        <v>5.5966969197347081E-2</v>
      </c>
      <c r="O336" s="16">
        <v>1</v>
      </c>
      <c r="P336" s="16">
        <f t="shared" si="37"/>
        <v>16.424119241192415</v>
      </c>
      <c r="Q336" s="16">
        <f t="shared" si="42"/>
        <v>17.867681854878814</v>
      </c>
      <c r="R336" s="113">
        <f t="shared" si="38"/>
        <v>434.78</v>
      </c>
      <c r="S336" s="16">
        <f>IF(S335=15800,15800,ROUND((((Q336*60)/'Gearing Calculator'!$C$14)*'Track Data'!P336),-2))</f>
        <v>8900</v>
      </c>
      <c r="T336" s="16">
        <f t="shared" si="40"/>
        <v>5.6877465133806844</v>
      </c>
      <c r="U336" s="16">
        <f>IF(AC336=100,Braking!$AG$2354,IF(AC336=50,Braking!$AG$1179,IF(AC336=75,Braking!$AG$1767,0)))</f>
        <v>0</v>
      </c>
      <c r="V336" s="16">
        <f>0.5*'Gearing Calculator'!$C$15*'Gearing Calculator'!$C$20*'Gearing Calculator'!$W$20*('Track Data'!Q336^2)</f>
        <v>33.789849167140808</v>
      </c>
      <c r="W336" s="16">
        <f>('Gearing Calculator'!$U$9*'Track Data'!T336)+'Track Data'!V336</f>
        <v>1547.8679710290789</v>
      </c>
      <c r="X336" s="16">
        <f>('Gearing Calculator'!$U$9*9.81)*('Gearing Calculator'!$U$16/'Gearing Calculator'!$C$7)-(('Track Data'!W336)*('Gearing Calculator'!$U$17/'Gearing Calculator'!$C$7))</f>
        <v>557.46854610700359</v>
      </c>
      <c r="Y336" s="16">
        <f>('Gearing Calculator'!$U$9*9.81)*(('Gearing Calculator'!$C$7-'Gearing Calculator'!$U$16)/'Gearing Calculator'!$C$7)+(('Track Data'!W336)*('Gearing Calculator'!$U$17/'Gearing Calculator'!$C$7))</f>
        <v>2053.9534538929965</v>
      </c>
      <c r="Z336" s="16">
        <f>((X336*COS('Gearing Calculator'!$C$21))/'Gearing Calculator'!$C$22)/2</f>
        <v>17.235164322832922</v>
      </c>
      <c r="AA336" s="16">
        <f>Y336/'Gearing Calculator'!$C$24</f>
        <v>28.680079271100176</v>
      </c>
      <c r="AB336" s="16">
        <f t="shared" si="36"/>
        <v>39.477595680521489</v>
      </c>
      <c r="AC336" s="16">
        <v>0</v>
      </c>
      <c r="AD336" s="16">
        <v>-50.276124960482598</v>
      </c>
      <c r="AE336" s="16">
        <v>333</v>
      </c>
      <c r="AF336" s="16">
        <f>IF(AC336=0,IF(O336=6,INDEX(Acceleration!$V$4:$V$110,MATCH('Track Data'!S336,Acceleration!$K$4:$K$110,0)),IF('Track Data'!O336=5,INDEX(Acceleration!$U$4:$U$110,MATCH('Track Data'!S336,Acceleration!$K$4:$K$110,0)),1)),U336)</f>
        <v>1</v>
      </c>
      <c r="AG336" s="16">
        <f>IF(AC336=0,IF(O336=4,INDEX(Acceleration!$T$4:$T$110,MATCH('Track Data'!S336,Acceleration!$K$4:$K$110,0)),IF('Track Data'!O336=3,INDEX(Acceleration!$S$4:$S$110,MATCH('Track Data'!S336,Acceleration!$K$4:$K$110,0)),'Track Data'!AF336)),'Track Data'!U336)</f>
        <v>1</v>
      </c>
      <c r="AH336" s="16">
        <f>IF(AC336=0,IF(O336=2,INDEX(Acceleration!$R$4:$R$110,MATCH('Track Data'!S336,Acceleration!$K$4:$K$110,0)),IF('Track Data'!O336=1,INDEX(Acceleration!$Q$4:$Q$110,MATCH('Track Data'!S336,Acceleration!$K$4:$K$110,0)),'Track Data'!AG336)),'Track Data'!U336)</f>
        <v>5.6877465133806844</v>
      </c>
    </row>
    <row r="337" spans="2:34" x14ac:dyDescent="0.25">
      <c r="B337" s="16">
        <v>205.15899999999999</v>
      </c>
      <c r="C337" s="16">
        <v>7607</v>
      </c>
      <c r="D337" s="16">
        <v>334</v>
      </c>
      <c r="E337" s="113">
        <v>53</v>
      </c>
      <c r="F337" s="113">
        <v>50.1</v>
      </c>
      <c r="G337" s="113">
        <v>40.799999999999997</v>
      </c>
      <c r="H337" s="113">
        <f t="shared" si="39"/>
        <v>11.333333333333332</v>
      </c>
      <c r="I337" s="113">
        <v>11.4</v>
      </c>
      <c r="J337" s="113">
        <v>23.07</v>
      </c>
      <c r="K337" s="113">
        <v>-28.1</v>
      </c>
      <c r="L337" s="192"/>
      <c r="M337" s="16">
        <v>334</v>
      </c>
      <c r="N337" s="16">
        <f t="shared" si="41"/>
        <v>5.5966969197347081E-2</v>
      </c>
      <c r="O337" s="16">
        <v>1</v>
      </c>
      <c r="P337" s="16">
        <f t="shared" si="37"/>
        <v>16.424119241192415</v>
      </c>
      <c r="Q337" s="16">
        <f t="shared" si="42"/>
        <v>17.867681854878814</v>
      </c>
      <c r="R337" s="113">
        <f t="shared" si="38"/>
        <v>434.78</v>
      </c>
      <c r="S337" s="16">
        <f>IF(S336=15800,15800,ROUND((((Q337*60)/'Gearing Calculator'!$C$14)*'Track Data'!P337),-2))</f>
        <v>8900</v>
      </c>
      <c r="T337" s="16">
        <f t="shared" si="40"/>
        <v>5.6877465133806844</v>
      </c>
      <c r="U337" s="16">
        <f>IF(AC337=100,Braking!$AG$2354,IF(AC337=50,Braking!$AG$1179,IF(AC337=75,Braking!$AG$1767,0)))</f>
        <v>0</v>
      </c>
      <c r="V337" s="16">
        <f>0.5*'Gearing Calculator'!$C$15*'Gearing Calculator'!$C$20*'Gearing Calculator'!$W$20*('Track Data'!Q337^2)</f>
        <v>33.789849167140808</v>
      </c>
      <c r="W337" s="16">
        <f>('Gearing Calculator'!$U$9*'Track Data'!T337)+'Track Data'!V337</f>
        <v>1547.8679710290789</v>
      </c>
      <c r="X337" s="16">
        <f>('Gearing Calculator'!$U$9*9.81)*('Gearing Calculator'!$U$16/'Gearing Calculator'!$C$7)-(('Track Data'!W337)*('Gearing Calculator'!$U$17/'Gearing Calculator'!$C$7))</f>
        <v>557.46854610700359</v>
      </c>
      <c r="Y337" s="16">
        <f>('Gearing Calculator'!$U$9*9.81)*(('Gearing Calculator'!$C$7-'Gearing Calculator'!$U$16)/'Gearing Calculator'!$C$7)+(('Track Data'!W337)*('Gearing Calculator'!$U$17/'Gearing Calculator'!$C$7))</f>
        <v>2053.9534538929965</v>
      </c>
      <c r="Z337" s="16">
        <f>((X337*COS('Gearing Calculator'!$C$21))/'Gearing Calculator'!$C$22)/2</f>
        <v>17.235164322832922</v>
      </c>
      <c r="AA337" s="16">
        <f>Y337/'Gearing Calculator'!$C$24</f>
        <v>28.680079271100176</v>
      </c>
      <c r="AB337" s="16">
        <f t="shared" si="36"/>
        <v>39.477595680521489</v>
      </c>
      <c r="AC337" s="16">
        <v>0</v>
      </c>
      <c r="AD337" s="16">
        <v>-50.276124960482598</v>
      </c>
      <c r="AE337" s="16">
        <v>334</v>
      </c>
      <c r="AF337" s="16">
        <f>IF(AC337=0,IF(O337=6,INDEX(Acceleration!$V$4:$V$110,MATCH('Track Data'!S337,Acceleration!$K$4:$K$110,0)),IF('Track Data'!O337=5,INDEX(Acceleration!$U$4:$U$110,MATCH('Track Data'!S337,Acceleration!$K$4:$K$110,0)),1)),U337)</f>
        <v>1</v>
      </c>
      <c r="AG337" s="16">
        <f>IF(AC337=0,IF(O337=4,INDEX(Acceleration!$T$4:$T$110,MATCH('Track Data'!S337,Acceleration!$K$4:$K$110,0)),IF('Track Data'!O337=3,INDEX(Acceleration!$S$4:$S$110,MATCH('Track Data'!S337,Acceleration!$K$4:$K$110,0)),'Track Data'!AF337)),'Track Data'!U337)</f>
        <v>1</v>
      </c>
      <c r="AH337" s="16">
        <f>IF(AC337=0,IF(O337=2,INDEX(Acceleration!$R$4:$R$110,MATCH('Track Data'!S337,Acceleration!$K$4:$K$110,0)),IF('Track Data'!O337=1,INDEX(Acceleration!$Q$4:$Q$110,MATCH('Track Data'!S337,Acceleration!$K$4:$K$110,0)),'Track Data'!AG337)),'Track Data'!U337)</f>
        <v>5.6877465133806844</v>
      </c>
    </row>
    <row r="338" spans="2:34" x14ac:dyDescent="0.25">
      <c r="B338" s="16">
        <v>205.23</v>
      </c>
      <c r="C338" s="16">
        <v>7608</v>
      </c>
      <c r="D338" s="16">
        <v>335</v>
      </c>
      <c r="E338" s="113">
        <v>54</v>
      </c>
      <c r="F338" s="113">
        <v>51.9</v>
      </c>
      <c r="G338" s="113">
        <v>41.8</v>
      </c>
      <c r="H338" s="113">
        <f t="shared" si="39"/>
        <v>11.611111111111111</v>
      </c>
      <c r="I338" s="113">
        <v>10</v>
      </c>
      <c r="J338" s="113">
        <v>25.14</v>
      </c>
      <c r="K338" s="113">
        <v>-17.899999999999999</v>
      </c>
      <c r="L338" s="192"/>
      <c r="M338" s="16">
        <v>335</v>
      </c>
      <c r="N338" s="16">
        <f t="shared" si="41"/>
        <v>5.5966969197347081E-2</v>
      </c>
      <c r="O338" s="16">
        <v>1</v>
      </c>
      <c r="P338" s="16">
        <f t="shared" si="37"/>
        <v>16.424119241192415</v>
      </c>
      <c r="Q338" s="16">
        <f t="shared" si="42"/>
        <v>17.867681854878814</v>
      </c>
      <c r="R338" s="113">
        <f t="shared" si="38"/>
        <v>434.78</v>
      </c>
      <c r="S338" s="16">
        <f>IF(S337=15800,15800,ROUND((((Q338*60)/'Gearing Calculator'!$C$14)*'Track Data'!P338),-2))</f>
        <v>8900</v>
      </c>
      <c r="T338" s="16">
        <f t="shared" si="40"/>
        <v>5.6877465133806844</v>
      </c>
      <c r="U338" s="16">
        <f>IF(AC338=100,Braking!$AG$2354,IF(AC338=50,Braking!$AG$1179,IF(AC338=75,Braking!$AG$1767,0)))</f>
        <v>0</v>
      </c>
      <c r="V338" s="16">
        <f>0.5*'Gearing Calculator'!$C$15*'Gearing Calculator'!$C$20*'Gearing Calculator'!$W$20*('Track Data'!Q338^2)</f>
        <v>33.789849167140808</v>
      </c>
      <c r="W338" s="16">
        <f>('Gearing Calculator'!$U$9*'Track Data'!T338)+'Track Data'!V338</f>
        <v>1547.8679710290789</v>
      </c>
      <c r="X338" s="16">
        <f>('Gearing Calculator'!$U$9*9.81)*('Gearing Calculator'!$U$16/'Gearing Calculator'!$C$7)-(('Track Data'!W338)*('Gearing Calculator'!$U$17/'Gearing Calculator'!$C$7))</f>
        <v>557.46854610700359</v>
      </c>
      <c r="Y338" s="16">
        <f>('Gearing Calculator'!$U$9*9.81)*(('Gearing Calculator'!$C$7-'Gearing Calculator'!$U$16)/'Gearing Calculator'!$C$7)+(('Track Data'!W338)*('Gearing Calculator'!$U$17/'Gearing Calculator'!$C$7))</f>
        <v>2053.9534538929965</v>
      </c>
      <c r="Z338" s="16">
        <f>((X338*COS('Gearing Calculator'!$C$21))/'Gearing Calculator'!$C$22)/2</f>
        <v>17.235164322832922</v>
      </c>
      <c r="AA338" s="16">
        <f>Y338/'Gearing Calculator'!$C$24</f>
        <v>28.680079271100176</v>
      </c>
      <c r="AB338" s="16">
        <f t="shared" si="36"/>
        <v>39.477595680521489</v>
      </c>
      <c r="AC338" s="16">
        <v>0</v>
      </c>
      <c r="AD338" s="16">
        <v>-50.276124960482598</v>
      </c>
      <c r="AE338" s="16">
        <v>335</v>
      </c>
      <c r="AF338" s="16">
        <f>IF(AC338=0,IF(O338=6,INDEX(Acceleration!$V$4:$V$110,MATCH('Track Data'!S338,Acceleration!$K$4:$K$110,0)),IF('Track Data'!O338=5,INDEX(Acceleration!$U$4:$U$110,MATCH('Track Data'!S338,Acceleration!$K$4:$K$110,0)),1)),U338)</f>
        <v>1</v>
      </c>
      <c r="AG338" s="16">
        <f>IF(AC338=0,IF(O338=4,INDEX(Acceleration!$T$4:$T$110,MATCH('Track Data'!S338,Acceleration!$K$4:$K$110,0)),IF('Track Data'!O338=3,INDEX(Acceleration!$S$4:$S$110,MATCH('Track Data'!S338,Acceleration!$K$4:$K$110,0)),'Track Data'!AF338)),'Track Data'!U338)</f>
        <v>1</v>
      </c>
      <c r="AH338" s="16">
        <f>IF(AC338=0,IF(O338=2,INDEX(Acceleration!$R$4:$R$110,MATCH('Track Data'!S338,Acceleration!$K$4:$K$110,0)),IF('Track Data'!O338=1,INDEX(Acceleration!$Q$4:$Q$110,MATCH('Track Data'!S338,Acceleration!$K$4:$K$110,0)),'Track Data'!AG338)),'Track Data'!U338)</f>
        <v>5.6877465133806844</v>
      </c>
    </row>
    <row r="339" spans="2:34" x14ac:dyDescent="0.25">
      <c r="B339" s="16">
        <v>205.29900000000001</v>
      </c>
      <c r="C339" s="16">
        <v>7609</v>
      </c>
      <c r="D339" s="16">
        <v>336</v>
      </c>
      <c r="E339" s="113">
        <v>55</v>
      </c>
      <c r="F339" s="113">
        <v>53.2</v>
      </c>
      <c r="G339" s="113">
        <v>42.5</v>
      </c>
      <c r="H339" s="113">
        <f t="shared" si="39"/>
        <v>11.805555555555555</v>
      </c>
      <c r="I339" s="113">
        <v>10</v>
      </c>
      <c r="J339" s="113">
        <v>26.3</v>
      </c>
      <c r="K339" s="113">
        <v>-32.200000000000003</v>
      </c>
      <c r="L339" s="192"/>
      <c r="M339" s="16">
        <v>336</v>
      </c>
      <c r="N339" s="16">
        <f t="shared" si="41"/>
        <v>5.5966969197347081E-2</v>
      </c>
      <c r="O339" s="16">
        <v>1</v>
      </c>
      <c r="P339" s="16">
        <f t="shared" si="37"/>
        <v>16.424119241192415</v>
      </c>
      <c r="Q339" s="16">
        <f t="shared" si="42"/>
        <v>17.867681854878814</v>
      </c>
      <c r="R339" s="113">
        <f t="shared" si="38"/>
        <v>434.78</v>
      </c>
      <c r="S339" s="16">
        <f>IF(S338=15800,15800,ROUND((((Q339*60)/'Gearing Calculator'!$C$14)*'Track Data'!P339),-2))</f>
        <v>8900</v>
      </c>
      <c r="T339" s="16">
        <f t="shared" si="40"/>
        <v>5.6877465133806844</v>
      </c>
      <c r="U339" s="16">
        <f>IF(AC339=100,Braking!$AG$2354,IF(AC339=50,Braking!$AG$1179,IF(AC339=75,Braking!$AG$1767,0)))</f>
        <v>0</v>
      </c>
      <c r="V339" s="16">
        <f>0.5*'Gearing Calculator'!$C$15*'Gearing Calculator'!$C$20*'Gearing Calculator'!$W$20*('Track Data'!Q339^2)</f>
        <v>33.789849167140808</v>
      </c>
      <c r="W339" s="16">
        <f>('Gearing Calculator'!$U$9*'Track Data'!T339)+'Track Data'!V339</f>
        <v>1547.8679710290789</v>
      </c>
      <c r="X339" s="16">
        <f>('Gearing Calculator'!$U$9*9.81)*('Gearing Calculator'!$U$16/'Gearing Calculator'!$C$7)-(('Track Data'!W339)*('Gearing Calculator'!$U$17/'Gearing Calculator'!$C$7))</f>
        <v>557.46854610700359</v>
      </c>
      <c r="Y339" s="16">
        <f>('Gearing Calculator'!$U$9*9.81)*(('Gearing Calculator'!$C$7-'Gearing Calculator'!$U$16)/'Gearing Calculator'!$C$7)+(('Track Data'!W339)*('Gearing Calculator'!$U$17/'Gearing Calculator'!$C$7))</f>
        <v>2053.9534538929965</v>
      </c>
      <c r="Z339" s="16">
        <f>((X339*COS('Gearing Calculator'!$C$21))/'Gearing Calculator'!$C$22)/2</f>
        <v>17.235164322832922</v>
      </c>
      <c r="AA339" s="16">
        <f>Y339/'Gearing Calculator'!$C$24</f>
        <v>28.680079271100176</v>
      </c>
      <c r="AB339" s="16">
        <f t="shared" si="36"/>
        <v>39.477595680521489</v>
      </c>
      <c r="AC339" s="16">
        <v>0</v>
      </c>
      <c r="AD339" s="16">
        <v>-50.276124960482598</v>
      </c>
      <c r="AE339" s="16">
        <v>336</v>
      </c>
      <c r="AF339" s="16">
        <f>IF(AC339=0,IF(O339=6,INDEX(Acceleration!$V$4:$V$110,MATCH('Track Data'!S339,Acceleration!$K$4:$K$110,0)),IF('Track Data'!O339=5,INDEX(Acceleration!$U$4:$U$110,MATCH('Track Data'!S339,Acceleration!$K$4:$K$110,0)),1)),U339)</f>
        <v>1</v>
      </c>
      <c r="AG339" s="16">
        <f>IF(AC339=0,IF(O339=4,INDEX(Acceleration!$T$4:$T$110,MATCH('Track Data'!S339,Acceleration!$K$4:$K$110,0)),IF('Track Data'!O339=3,INDEX(Acceleration!$S$4:$S$110,MATCH('Track Data'!S339,Acceleration!$K$4:$K$110,0)),'Track Data'!AF339)),'Track Data'!U339)</f>
        <v>1</v>
      </c>
      <c r="AH339" s="16">
        <f>IF(AC339=0,IF(O339=2,INDEX(Acceleration!$R$4:$R$110,MATCH('Track Data'!S339,Acceleration!$K$4:$K$110,0)),IF('Track Data'!O339=1,INDEX(Acceleration!$Q$4:$Q$110,MATCH('Track Data'!S339,Acceleration!$K$4:$K$110,0)),'Track Data'!AG339)),'Track Data'!U339)</f>
        <v>5.6877465133806844</v>
      </c>
    </row>
    <row r="340" spans="2:34" x14ac:dyDescent="0.25">
      <c r="B340" s="16">
        <v>205.36600000000001</v>
      </c>
      <c r="C340" s="16">
        <v>7610</v>
      </c>
      <c r="D340" s="16">
        <v>337</v>
      </c>
      <c r="E340" s="113">
        <v>57</v>
      </c>
      <c r="F340" s="113">
        <v>54.2</v>
      </c>
      <c r="G340" s="113">
        <v>43.3</v>
      </c>
      <c r="H340" s="113">
        <f t="shared" si="39"/>
        <v>12.027777777777777</v>
      </c>
      <c r="I340" s="113">
        <v>11</v>
      </c>
      <c r="J340" s="113">
        <v>29.11</v>
      </c>
      <c r="K340" s="113">
        <v>-31.5</v>
      </c>
      <c r="L340" s="192"/>
      <c r="M340" s="16">
        <v>337</v>
      </c>
      <c r="N340" s="16">
        <f t="shared" si="41"/>
        <v>5.5966969197347081E-2</v>
      </c>
      <c r="O340" s="16">
        <v>1</v>
      </c>
      <c r="P340" s="16">
        <f t="shared" si="37"/>
        <v>16.424119241192415</v>
      </c>
      <c r="Q340" s="16">
        <f t="shared" si="42"/>
        <v>17.867681854878814</v>
      </c>
      <c r="R340" s="113">
        <f t="shared" si="38"/>
        <v>434.78</v>
      </c>
      <c r="S340" s="16">
        <f>IF(S339=15800,15800,ROUND((((Q340*60)/'Gearing Calculator'!$C$14)*'Track Data'!P340),-2))</f>
        <v>8900</v>
      </c>
      <c r="T340" s="16">
        <f t="shared" si="40"/>
        <v>5.6877465133806844</v>
      </c>
      <c r="U340" s="16">
        <f>IF(AC340=100,Braking!$AG$2354,IF(AC340=50,Braking!$AG$1179,IF(AC340=75,Braking!$AG$1767,0)))</f>
        <v>0</v>
      </c>
      <c r="V340" s="16">
        <f>0.5*'Gearing Calculator'!$C$15*'Gearing Calculator'!$C$20*'Gearing Calculator'!$W$20*('Track Data'!Q340^2)</f>
        <v>33.789849167140808</v>
      </c>
      <c r="W340" s="16">
        <f>('Gearing Calculator'!$U$9*'Track Data'!T340)+'Track Data'!V340</f>
        <v>1547.8679710290789</v>
      </c>
      <c r="X340" s="16">
        <f>('Gearing Calculator'!$U$9*9.81)*('Gearing Calculator'!$U$16/'Gearing Calculator'!$C$7)-(('Track Data'!W340)*('Gearing Calculator'!$U$17/'Gearing Calculator'!$C$7))</f>
        <v>557.46854610700359</v>
      </c>
      <c r="Y340" s="16">
        <f>('Gearing Calculator'!$U$9*9.81)*(('Gearing Calculator'!$C$7-'Gearing Calculator'!$U$16)/'Gearing Calculator'!$C$7)+(('Track Data'!W340)*('Gearing Calculator'!$U$17/'Gearing Calculator'!$C$7))</f>
        <v>2053.9534538929965</v>
      </c>
      <c r="Z340" s="16">
        <f>((X340*COS('Gearing Calculator'!$C$21))/'Gearing Calculator'!$C$22)/2</f>
        <v>17.235164322832922</v>
      </c>
      <c r="AA340" s="16">
        <f>Y340/'Gearing Calculator'!$C$24</f>
        <v>28.680079271100176</v>
      </c>
      <c r="AB340" s="16">
        <f t="shared" si="36"/>
        <v>39.477595680521489</v>
      </c>
      <c r="AC340" s="16">
        <v>0</v>
      </c>
      <c r="AD340" s="16">
        <v>-50.276124960482598</v>
      </c>
      <c r="AE340" s="16">
        <v>337</v>
      </c>
      <c r="AF340" s="16">
        <f>IF(AC340=0,IF(O340=6,INDEX(Acceleration!$V$4:$V$110,MATCH('Track Data'!S340,Acceleration!$K$4:$K$110,0)),IF('Track Data'!O340=5,INDEX(Acceleration!$U$4:$U$110,MATCH('Track Data'!S340,Acceleration!$K$4:$K$110,0)),1)),U340)</f>
        <v>1</v>
      </c>
      <c r="AG340" s="16">
        <f>IF(AC340=0,IF(O340=4,INDEX(Acceleration!$T$4:$T$110,MATCH('Track Data'!S340,Acceleration!$K$4:$K$110,0)),IF('Track Data'!O340=3,INDEX(Acceleration!$S$4:$S$110,MATCH('Track Data'!S340,Acceleration!$K$4:$K$110,0)),'Track Data'!AF340)),'Track Data'!U340)</f>
        <v>1</v>
      </c>
      <c r="AH340" s="16">
        <f>IF(AC340=0,IF(O340=2,INDEX(Acceleration!$R$4:$R$110,MATCH('Track Data'!S340,Acceleration!$K$4:$K$110,0)),IF('Track Data'!O340=1,INDEX(Acceleration!$Q$4:$Q$110,MATCH('Track Data'!S340,Acceleration!$K$4:$K$110,0)),'Track Data'!AG340)),'Track Data'!U340)</f>
        <v>5.6877465133806844</v>
      </c>
    </row>
    <row r="341" spans="2:34" x14ac:dyDescent="0.25">
      <c r="B341" s="16">
        <v>205.43199999999999</v>
      </c>
      <c r="C341" s="16">
        <v>7611</v>
      </c>
      <c r="D341" s="16">
        <v>338</v>
      </c>
      <c r="E341" s="113">
        <v>58</v>
      </c>
      <c r="F341" s="113">
        <v>55.5</v>
      </c>
      <c r="G341" s="113">
        <v>44.2</v>
      </c>
      <c r="H341" s="113">
        <f t="shared" si="39"/>
        <v>12.277777777777779</v>
      </c>
      <c r="I341" s="113">
        <v>11.1</v>
      </c>
      <c r="J341" s="113">
        <v>27.96</v>
      </c>
      <c r="K341" s="113">
        <v>-18.399999999999999</v>
      </c>
      <c r="L341" s="192"/>
      <c r="M341" s="16">
        <v>338</v>
      </c>
      <c r="N341" s="16">
        <f t="shared" si="41"/>
        <v>5.5966969197347081E-2</v>
      </c>
      <c r="O341" s="16">
        <v>1</v>
      </c>
      <c r="P341" s="16">
        <f t="shared" si="37"/>
        <v>16.424119241192415</v>
      </c>
      <c r="Q341" s="16">
        <f t="shared" si="42"/>
        <v>17.867681854878814</v>
      </c>
      <c r="R341" s="113">
        <f t="shared" si="38"/>
        <v>434.78</v>
      </c>
      <c r="S341" s="16">
        <f>IF(S340=15800,15800,ROUND((((Q341*60)/'Gearing Calculator'!$C$14)*'Track Data'!P341),-2))</f>
        <v>8900</v>
      </c>
      <c r="T341" s="16">
        <f t="shared" si="40"/>
        <v>5.6877465133806844</v>
      </c>
      <c r="U341" s="16">
        <f>IF(AC341=100,Braking!$AG$2354,IF(AC341=50,Braking!$AG$1179,IF(AC341=75,Braking!$AG$1767,0)))</f>
        <v>0</v>
      </c>
      <c r="V341" s="16">
        <f>0.5*'Gearing Calculator'!$C$15*'Gearing Calculator'!$C$20*'Gearing Calculator'!$W$20*('Track Data'!Q341^2)</f>
        <v>33.789849167140808</v>
      </c>
      <c r="W341" s="16">
        <f>('Gearing Calculator'!$U$9*'Track Data'!T341)+'Track Data'!V341</f>
        <v>1547.8679710290789</v>
      </c>
      <c r="X341" s="16">
        <f>('Gearing Calculator'!$U$9*9.81)*('Gearing Calculator'!$U$16/'Gearing Calculator'!$C$7)-(('Track Data'!W341)*('Gearing Calculator'!$U$17/'Gearing Calculator'!$C$7))</f>
        <v>557.46854610700359</v>
      </c>
      <c r="Y341" s="16">
        <f>('Gearing Calculator'!$U$9*9.81)*(('Gearing Calculator'!$C$7-'Gearing Calculator'!$U$16)/'Gearing Calculator'!$C$7)+(('Track Data'!W341)*('Gearing Calculator'!$U$17/'Gearing Calculator'!$C$7))</f>
        <v>2053.9534538929965</v>
      </c>
      <c r="Z341" s="16">
        <f>((X341*COS('Gearing Calculator'!$C$21))/'Gearing Calculator'!$C$22)/2</f>
        <v>17.235164322832922</v>
      </c>
      <c r="AA341" s="16">
        <f>Y341/'Gearing Calculator'!$C$24</f>
        <v>28.680079271100176</v>
      </c>
      <c r="AB341" s="16">
        <f t="shared" si="36"/>
        <v>39.477595680521489</v>
      </c>
      <c r="AC341" s="16">
        <v>0</v>
      </c>
      <c r="AD341" s="16">
        <v>-50.276124960482598</v>
      </c>
      <c r="AE341" s="16">
        <v>338</v>
      </c>
      <c r="AF341" s="16">
        <f>IF(AC341=0,IF(O341=6,INDEX(Acceleration!$V$4:$V$110,MATCH('Track Data'!S341,Acceleration!$K$4:$K$110,0)),IF('Track Data'!O341=5,INDEX(Acceleration!$U$4:$U$110,MATCH('Track Data'!S341,Acceleration!$K$4:$K$110,0)),1)),U341)</f>
        <v>1</v>
      </c>
      <c r="AG341" s="16">
        <f>IF(AC341=0,IF(O341=4,INDEX(Acceleration!$T$4:$T$110,MATCH('Track Data'!S341,Acceleration!$K$4:$K$110,0)),IF('Track Data'!O341=3,INDEX(Acceleration!$S$4:$S$110,MATCH('Track Data'!S341,Acceleration!$K$4:$K$110,0)),'Track Data'!AF341)),'Track Data'!U341)</f>
        <v>1</v>
      </c>
      <c r="AH341" s="16">
        <f>IF(AC341=0,IF(O341=2,INDEX(Acceleration!$R$4:$R$110,MATCH('Track Data'!S341,Acceleration!$K$4:$K$110,0)),IF('Track Data'!O341=1,INDEX(Acceleration!$Q$4:$Q$110,MATCH('Track Data'!S341,Acceleration!$K$4:$K$110,0)),'Track Data'!AG341)),'Track Data'!U341)</f>
        <v>5.6877465133806844</v>
      </c>
    </row>
    <row r="342" spans="2:34" x14ac:dyDescent="0.25">
      <c r="B342" s="16">
        <v>205.49600000000001</v>
      </c>
      <c r="C342" s="16">
        <v>7612</v>
      </c>
      <c r="D342" s="16">
        <v>339</v>
      </c>
      <c r="E342" s="113">
        <v>59</v>
      </c>
      <c r="F342" s="113">
        <v>56.7</v>
      </c>
      <c r="G342" s="113">
        <v>44.9</v>
      </c>
      <c r="H342" s="113">
        <f t="shared" si="39"/>
        <v>12.472222222222221</v>
      </c>
      <c r="I342" s="113">
        <v>11.1</v>
      </c>
      <c r="J342" s="113">
        <v>28.32</v>
      </c>
      <c r="K342" s="113">
        <v>-24.9</v>
      </c>
      <c r="L342" s="192"/>
      <c r="M342" s="16">
        <v>339</v>
      </c>
      <c r="N342" s="16">
        <f t="shared" si="41"/>
        <v>5.5966969197347081E-2</v>
      </c>
      <c r="O342" s="16">
        <v>1</v>
      </c>
      <c r="P342" s="16">
        <f t="shared" si="37"/>
        <v>16.424119241192415</v>
      </c>
      <c r="Q342" s="16">
        <f t="shared" si="42"/>
        <v>17.867681854878814</v>
      </c>
      <c r="R342" s="113">
        <f t="shared" si="38"/>
        <v>434.78</v>
      </c>
      <c r="S342" s="16">
        <f>IF(S341=15800,15800,ROUND((((Q342*60)/'Gearing Calculator'!$C$14)*'Track Data'!P342),-2))</f>
        <v>8900</v>
      </c>
      <c r="T342" s="16">
        <f t="shared" si="40"/>
        <v>5.6877465133806844</v>
      </c>
      <c r="U342" s="16">
        <f>IF(AC342=100,Braking!$AG$2354,IF(AC342=50,Braking!$AG$1179,IF(AC342=75,Braking!$AG$1767,0)))</f>
        <v>0</v>
      </c>
      <c r="V342" s="16">
        <f>0.5*'Gearing Calculator'!$C$15*'Gearing Calculator'!$C$20*'Gearing Calculator'!$W$20*('Track Data'!Q342^2)</f>
        <v>33.789849167140808</v>
      </c>
      <c r="W342" s="16">
        <f>('Gearing Calculator'!$U$9*'Track Data'!T342)+'Track Data'!V342</f>
        <v>1547.8679710290789</v>
      </c>
      <c r="X342" s="16">
        <f>('Gearing Calculator'!$U$9*9.81)*('Gearing Calculator'!$U$16/'Gearing Calculator'!$C$7)-(('Track Data'!W342)*('Gearing Calculator'!$U$17/'Gearing Calculator'!$C$7))</f>
        <v>557.46854610700359</v>
      </c>
      <c r="Y342" s="16">
        <f>('Gearing Calculator'!$U$9*9.81)*(('Gearing Calculator'!$C$7-'Gearing Calculator'!$U$16)/'Gearing Calculator'!$C$7)+(('Track Data'!W342)*('Gearing Calculator'!$U$17/'Gearing Calculator'!$C$7))</f>
        <v>2053.9534538929965</v>
      </c>
      <c r="Z342" s="16">
        <f>((X342*COS('Gearing Calculator'!$C$21))/'Gearing Calculator'!$C$22)/2</f>
        <v>17.235164322832922</v>
      </c>
      <c r="AA342" s="16">
        <f>Y342/'Gearing Calculator'!$C$24</f>
        <v>28.680079271100176</v>
      </c>
      <c r="AB342" s="16">
        <f t="shared" si="36"/>
        <v>39.477595680521489</v>
      </c>
      <c r="AC342" s="16">
        <v>0</v>
      </c>
      <c r="AD342" s="16">
        <v>-50.276124960482598</v>
      </c>
      <c r="AE342" s="16">
        <v>339</v>
      </c>
      <c r="AF342" s="16">
        <f>IF(AC342=0,IF(O342=6,INDEX(Acceleration!$V$4:$V$110,MATCH('Track Data'!S342,Acceleration!$K$4:$K$110,0)),IF('Track Data'!O342=5,INDEX(Acceleration!$U$4:$U$110,MATCH('Track Data'!S342,Acceleration!$K$4:$K$110,0)),1)),U342)</f>
        <v>1</v>
      </c>
      <c r="AG342" s="16">
        <f>IF(AC342=0,IF(O342=4,INDEX(Acceleration!$T$4:$T$110,MATCH('Track Data'!S342,Acceleration!$K$4:$K$110,0)),IF('Track Data'!O342=3,INDEX(Acceleration!$S$4:$S$110,MATCH('Track Data'!S342,Acceleration!$K$4:$K$110,0)),'Track Data'!AF342)),'Track Data'!U342)</f>
        <v>1</v>
      </c>
      <c r="AH342" s="16">
        <f>IF(AC342=0,IF(O342=2,INDEX(Acceleration!$R$4:$R$110,MATCH('Track Data'!S342,Acceleration!$K$4:$K$110,0)),IF('Track Data'!O342=1,INDEX(Acceleration!$Q$4:$Q$110,MATCH('Track Data'!S342,Acceleration!$K$4:$K$110,0)),'Track Data'!AG342)),'Track Data'!U342)</f>
        <v>5.6877465133806844</v>
      </c>
    </row>
    <row r="343" spans="2:34" x14ac:dyDescent="0.25">
      <c r="B343" s="16">
        <v>205.559</v>
      </c>
      <c r="C343" s="16">
        <v>7613</v>
      </c>
      <c r="D343" s="16">
        <v>340</v>
      </c>
      <c r="E343" s="113">
        <v>61</v>
      </c>
      <c r="F343" s="113">
        <v>58.8</v>
      </c>
      <c r="G343" s="113">
        <v>46.1</v>
      </c>
      <c r="H343" s="113">
        <f t="shared" si="39"/>
        <v>12.805555555555555</v>
      </c>
      <c r="I343" s="113">
        <v>11.3</v>
      </c>
      <c r="J343" s="113">
        <v>45.96</v>
      </c>
      <c r="K343" s="113">
        <v>-34</v>
      </c>
      <c r="L343" s="192"/>
      <c r="M343" s="16">
        <v>340</v>
      </c>
      <c r="N343" s="16">
        <f t="shared" si="41"/>
        <v>5.5966969197347081E-2</v>
      </c>
      <c r="O343" s="16">
        <v>1</v>
      </c>
      <c r="P343" s="16">
        <f t="shared" si="37"/>
        <v>16.424119241192415</v>
      </c>
      <c r="Q343" s="16">
        <f t="shared" si="42"/>
        <v>17.867681854878814</v>
      </c>
      <c r="R343" s="113">
        <f t="shared" si="38"/>
        <v>434.78</v>
      </c>
      <c r="S343" s="16">
        <f>IF(S342=15800,15800,ROUND((((Q343*60)/'Gearing Calculator'!$C$14)*'Track Data'!P343),-2))</f>
        <v>8900</v>
      </c>
      <c r="T343" s="16">
        <f t="shared" si="40"/>
        <v>5.6877465133806844</v>
      </c>
      <c r="U343" s="16">
        <f>IF(AC343=100,Braking!$AG$2354,IF(AC343=50,Braking!$AG$1179,IF(AC343=75,Braking!$AG$1767,0)))</f>
        <v>0</v>
      </c>
      <c r="V343" s="16">
        <f>0.5*'Gearing Calculator'!$C$15*'Gearing Calculator'!$C$20*'Gearing Calculator'!$W$20*('Track Data'!Q343^2)</f>
        <v>33.789849167140808</v>
      </c>
      <c r="W343" s="16">
        <f>('Gearing Calculator'!$U$9*'Track Data'!T343)+'Track Data'!V343</f>
        <v>1547.8679710290789</v>
      </c>
      <c r="X343" s="16">
        <f>('Gearing Calculator'!$U$9*9.81)*('Gearing Calculator'!$U$16/'Gearing Calculator'!$C$7)-(('Track Data'!W343)*('Gearing Calculator'!$U$17/'Gearing Calculator'!$C$7))</f>
        <v>557.46854610700359</v>
      </c>
      <c r="Y343" s="16">
        <f>('Gearing Calculator'!$U$9*9.81)*(('Gearing Calculator'!$C$7-'Gearing Calculator'!$U$16)/'Gearing Calculator'!$C$7)+(('Track Data'!W343)*('Gearing Calculator'!$U$17/'Gearing Calculator'!$C$7))</f>
        <v>2053.9534538929965</v>
      </c>
      <c r="Z343" s="16">
        <f>((X343*COS('Gearing Calculator'!$C$21))/'Gearing Calculator'!$C$22)/2</f>
        <v>17.235164322832922</v>
      </c>
      <c r="AA343" s="16">
        <f>Y343/'Gearing Calculator'!$C$24</f>
        <v>28.680079271100176</v>
      </c>
      <c r="AB343" s="16">
        <f t="shared" si="36"/>
        <v>39.477595680521489</v>
      </c>
      <c r="AC343" s="16">
        <v>0</v>
      </c>
      <c r="AD343" s="16">
        <v>-50.276124960482598</v>
      </c>
      <c r="AE343" s="16">
        <v>340</v>
      </c>
      <c r="AF343" s="16">
        <f>IF(AC343=0,IF(O343=6,INDEX(Acceleration!$V$4:$V$110,MATCH('Track Data'!S343,Acceleration!$K$4:$K$110,0)),IF('Track Data'!O343=5,INDEX(Acceleration!$U$4:$U$110,MATCH('Track Data'!S343,Acceleration!$K$4:$K$110,0)),1)),U343)</f>
        <v>1</v>
      </c>
      <c r="AG343" s="16">
        <f>IF(AC343=0,IF(O343=4,INDEX(Acceleration!$T$4:$T$110,MATCH('Track Data'!S343,Acceleration!$K$4:$K$110,0)),IF('Track Data'!O343=3,INDEX(Acceleration!$S$4:$S$110,MATCH('Track Data'!S343,Acceleration!$K$4:$K$110,0)),'Track Data'!AF343)),'Track Data'!U343)</f>
        <v>1</v>
      </c>
      <c r="AH343" s="16">
        <f>IF(AC343=0,IF(O343=2,INDEX(Acceleration!$R$4:$R$110,MATCH('Track Data'!S343,Acceleration!$K$4:$K$110,0)),IF('Track Data'!O343=1,INDEX(Acceleration!$Q$4:$Q$110,MATCH('Track Data'!S343,Acceleration!$K$4:$K$110,0)),'Track Data'!AG343)),'Track Data'!U343)</f>
        <v>5.6877465133806844</v>
      </c>
    </row>
    <row r="344" spans="2:34" x14ac:dyDescent="0.25">
      <c r="B344" s="16">
        <v>205.62</v>
      </c>
      <c r="C344" s="16">
        <v>7614</v>
      </c>
      <c r="D344" s="16">
        <v>341</v>
      </c>
      <c r="E344" s="113">
        <v>63</v>
      </c>
      <c r="F344" s="113">
        <v>60</v>
      </c>
      <c r="G344" s="113">
        <v>48.3</v>
      </c>
      <c r="H344" s="113">
        <f t="shared" si="39"/>
        <v>13.416666666666666</v>
      </c>
      <c r="I344" s="113">
        <v>16.5</v>
      </c>
      <c r="J344" s="113">
        <v>46.04</v>
      </c>
      <c r="K344" s="113">
        <v>-40.5</v>
      </c>
      <c r="L344" s="192"/>
      <c r="M344" s="16">
        <v>341</v>
      </c>
      <c r="N344" s="16">
        <f t="shared" si="41"/>
        <v>5.5966969197347081E-2</v>
      </c>
      <c r="O344" s="16">
        <v>1</v>
      </c>
      <c r="P344" s="16">
        <f t="shared" si="37"/>
        <v>16.424119241192415</v>
      </c>
      <c r="Q344" s="16">
        <f t="shared" si="42"/>
        <v>17.867681854878814</v>
      </c>
      <c r="R344" s="113">
        <f t="shared" si="38"/>
        <v>434.78</v>
      </c>
      <c r="S344" s="16">
        <f>IF(S343=15800,15800,ROUND((((Q344*60)/'Gearing Calculator'!$C$14)*'Track Data'!P344),-2))</f>
        <v>8900</v>
      </c>
      <c r="T344" s="16">
        <f t="shared" si="40"/>
        <v>5.6877465133806844</v>
      </c>
      <c r="U344" s="16">
        <f>IF(AC344=100,Braking!$AG$2354,IF(AC344=50,Braking!$AG$1179,IF(AC344=75,Braking!$AG$1767,0)))</f>
        <v>0</v>
      </c>
      <c r="V344" s="16">
        <f>0.5*'Gearing Calculator'!$C$15*'Gearing Calculator'!$C$20*'Gearing Calculator'!$W$20*('Track Data'!Q344^2)</f>
        <v>33.789849167140808</v>
      </c>
      <c r="W344" s="16">
        <f>('Gearing Calculator'!$U$9*'Track Data'!T344)+'Track Data'!V344</f>
        <v>1547.8679710290789</v>
      </c>
      <c r="X344" s="16">
        <f>('Gearing Calculator'!$U$9*9.81)*('Gearing Calculator'!$U$16/'Gearing Calculator'!$C$7)-(('Track Data'!W344)*('Gearing Calculator'!$U$17/'Gearing Calculator'!$C$7))</f>
        <v>557.46854610700359</v>
      </c>
      <c r="Y344" s="16">
        <f>('Gearing Calculator'!$U$9*9.81)*(('Gearing Calculator'!$C$7-'Gearing Calculator'!$U$16)/'Gearing Calculator'!$C$7)+(('Track Data'!W344)*('Gearing Calculator'!$U$17/'Gearing Calculator'!$C$7))</f>
        <v>2053.9534538929965</v>
      </c>
      <c r="Z344" s="16">
        <f>((X344*COS('Gearing Calculator'!$C$21))/'Gearing Calculator'!$C$22)/2</f>
        <v>17.235164322832922</v>
      </c>
      <c r="AA344" s="16">
        <f>Y344/'Gearing Calculator'!$C$24</f>
        <v>28.680079271100176</v>
      </c>
      <c r="AB344" s="16">
        <f t="shared" si="36"/>
        <v>39.477595680521489</v>
      </c>
      <c r="AC344" s="16">
        <v>0</v>
      </c>
      <c r="AD344" s="16">
        <v>-50.276124960482598</v>
      </c>
      <c r="AE344" s="16">
        <v>341</v>
      </c>
      <c r="AF344" s="16">
        <f>IF(AC344=0,IF(O344=6,INDEX(Acceleration!$V$4:$V$110,MATCH('Track Data'!S344,Acceleration!$K$4:$K$110,0)),IF('Track Data'!O344=5,INDEX(Acceleration!$U$4:$U$110,MATCH('Track Data'!S344,Acceleration!$K$4:$K$110,0)),1)),U344)</f>
        <v>1</v>
      </c>
      <c r="AG344" s="16">
        <f>IF(AC344=0,IF(O344=4,INDEX(Acceleration!$T$4:$T$110,MATCH('Track Data'!S344,Acceleration!$K$4:$K$110,0)),IF('Track Data'!O344=3,INDEX(Acceleration!$S$4:$S$110,MATCH('Track Data'!S344,Acceleration!$K$4:$K$110,0)),'Track Data'!AF344)),'Track Data'!U344)</f>
        <v>1</v>
      </c>
      <c r="AH344" s="16">
        <f>IF(AC344=0,IF(O344=2,INDEX(Acceleration!$R$4:$R$110,MATCH('Track Data'!S344,Acceleration!$K$4:$K$110,0)),IF('Track Data'!O344=1,INDEX(Acceleration!$Q$4:$Q$110,MATCH('Track Data'!S344,Acceleration!$K$4:$K$110,0)),'Track Data'!AG344)),'Track Data'!U344)</f>
        <v>5.6877465133806844</v>
      </c>
    </row>
    <row r="345" spans="2:34" x14ac:dyDescent="0.25">
      <c r="B345" s="16">
        <v>205.68</v>
      </c>
      <c r="C345" s="16">
        <v>7615</v>
      </c>
      <c r="D345" s="16">
        <v>342</v>
      </c>
      <c r="E345" s="113">
        <v>64</v>
      </c>
      <c r="F345" s="113">
        <v>60.9</v>
      </c>
      <c r="G345" s="113">
        <v>50.3</v>
      </c>
      <c r="H345" s="113">
        <f t="shared" si="39"/>
        <v>13.972222222222221</v>
      </c>
      <c r="I345" s="113">
        <v>17.8</v>
      </c>
      <c r="J345" s="113">
        <v>34.96</v>
      </c>
      <c r="K345" s="113">
        <v>-40.299999999999997</v>
      </c>
      <c r="L345" s="192"/>
      <c r="M345" s="16">
        <v>342</v>
      </c>
      <c r="N345" s="16">
        <f t="shared" si="41"/>
        <v>5.5966969197347081E-2</v>
      </c>
      <c r="O345" s="16">
        <v>1</v>
      </c>
      <c r="P345" s="16">
        <f t="shared" si="37"/>
        <v>16.424119241192415</v>
      </c>
      <c r="Q345" s="16">
        <f t="shared" si="42"/>
        <v>17.867681854878814</v>
      </c>
      <c r="R345" s="113">
        <f t="shared" si="38"/>
        <v>434.78</v>
      </c>
      <c r="S345" s="16">
        <f>IF(S344=15800,15800,ROUND((((Q345*60)/'Gearing Calculator'!$C$14)*'Track Data'!P345),-2))</f>
        <v>8900</v>
      </c>
      <c r="T345" s="16">
        <f t="shared" si="40"/>
        <v>5.6877465133806844</v>
      </c>
      <c r="U345" s="16">
        <f>IF(AC345=100,Braking!$AG$2354,IF(AC345=50,Braking!$AG$1179,IF(AC345=75,Braking!$AG$1767,0)))</f>
        <v>0</v>
      </c>
      <c r="V345" s="16">
        <f>0.5*'Gearing Calculator'!$C$15*'Gearing Calculator'!$C$20*'Gearing Calculator'!$W$20*('Track Data'!Q345^2)</f>
        <v>33.789849167140808</v>
      </c>
      <c r="W345" s="16">
        <f>('Gearing Calculator'!$U$9*'Track Data'!T345)+'Track Data'!V345</f>
        <v>1547.8679710290789</v>
      </c>
      <c r="X345" s="16">
        <f>('Gearing Calculator'!$U$9*9.81)*('Gearing Calculator'!$U$16/'Gearing Calculator'!$C$7)-(('Track Data'!W345)*('Gearing Calculator'!$U$17/'Gearing Calculator'!$C$7))</f>
        <v>557.46854610700359</v>
      </c>
      <c r="Y345" s="16">
        <f>('Gearing Calculator'!$U$9*9.81)*(('Gearing Calculator'!$C$7-'Gearing Calculator'!$U$16)/'Gearing Calculator'!$C$7)+(('Track Data'!W345)*('Gearing Calculator'!$U$17/'Gearing Calculator'!$C$7))</f>
        <v>2053.9534538929965</v>
      </c>
      <c r="Z345" s="16">
        <f>((X345*COS('Gearing Calculator'!$C$21))/'Gearing Calculator'!$C$22)/2</f>
        <v>17.235164322832922</v>
      </c>
      <c r="AA345" s="16">
        <f>Y345/'Gearing Calculator'!$C$24</f>
        <v>28.680079271100176</v>
      </c>
      <c r="AB345" s="16">
        <f t="shared" si="36"/>
        <v>39.477595680521489</v>
      </c>
      <c r="AC345" s="16">
        <v>0</v>
      </c>
      <c r="AD345" s="16">
        <v>-50.276124960482598</v>
      </c>
      <c r="AE345" s="16">
        <v>342</v>
      </c>
      <c r="AF345" s="16">
        <f>IF(AC345=0,IF(O345=6,INDEX(Acceleration!$V$4:$V$110,MATCH('Track Data'!S345,Acceleration!$K$4:$K$110,0)),IF('Track Data'!O345=5,INDEX(Acceleration!$U$4:$U$110,MATCH('Track Data'!S345,Acceleration!$K$4:$K$110,0)),1)),U345)</f>
        <v>1</v>
      </c>
      <c r="AG345" s="16">
        <f>IF(AC345=0,IF(O345=4,INDEX(Acceleration!$T$4:$T$110,MATCH('Track Data'!S345,Acceleration!$K$4:$K$110,0)),IF('Track Data'!O345=3,INDEX(Acceleration!$S$4:$S$110,MATCH('Track Data'!S345,Acceleration!$K$4:$K$110,0)),'Track Data'!AF345)),'Track Data'!U345)</f>
        <v>1</v>
      </c>
      <c r="AH345" s="16">
        <f>IF(AC345=0,IF(O345=2,INDEX(Acceleration!$R$4:$R$110,MATCH('Track Data'!S345,Acceleration!$K$4:$K$110,0)),IF('Track Data'!O345=1,INDEX(Acceleration!$Q$4:$Q$110,MATCH('Track Data'!S345,Acceleration!$K$4:$K$110,0)),'Track Data'!AG345)),'Track Data'!U345)</f>
        <v>5.6877465133806844</v>
      </c>
    </row>
    <row r="346" spans="2:34" x14ac:dyDescent="0.25">
      <c r="B346" s="16">
        <v>205.739</v>
      </c>
      <c r="C346" s="16">
        <v>7616</v>
      </c>
      <c r="D346" s="16">
        <v>343</v>
      </c>
      <c r="E346" s="113">
        <v>65</v>
      </c>
      <c r="F346" s="113">
        <v>61.7</v>
      </c>
      <c r="G346" s="113">
        <v>52.1</v>
      </c>
      <c r="H346" s="113">
        <f t="shared" si="39"/>
        <v>14.472222222222221</v>
      </c>
      <c r="I346" s="113">
        <v>16.7</v>
      </c>
      <c r="J346" s="113">
        <v>27.15</v>
      </c>
      <c r="K346" s="113">
        <v>-65.3</v>
      </c>
      <c r="L346" s="192"/>
      <c r="M346" s="16">
        <v>343</v>
      </c>
      <c r="N346" s="16">
        <f t="shared" si="41"/>
        <v>5.5966969197347081E-2</v>
      </c>
      <c r="O346" s="16">
        <v>1</v>
      </c>
      <c r="P346" s="16">
        <f t="shared" si="37"/>
        <v>16.424119241192415</v>
      </c>
      <c r="Q346" s="16">
        <f t="shared" si="42"/>
        <v>17.867681854878814</v>
      </c>
      <c r="R346" s="113">
        <f t="shared" si="38"/>
        <v>434.78</v>
      </c>
      <c r="S346" s="16">
        <f>IF(S345=15800,15800,ROUND((((Q346*60)/'Gearing Calculator'!$C$14)*'Track Data'!P346),-2))</f>
        <v>8900</v>
      </c>
      <c r="T346" s="16">
        <f t="shared" si="40"/>
        <v>5.6877465133806844</v>
      </c>
      <c r="U346" s="16">
        <f>IF(AC346=100,Braking!$AG$2354,IF(AC346=50,Braking!$AG$1179,IF(AC346=75,Braking!$AG$1767,0)))</f>
        <v>0</v>
      </c>
      <c r="V346" s="16">
        <f>0.5*'Gearing Calculator'!$C$15*'Gearing Calculator'!$C$20*'Gearing Calculator'!$W$20*('Track Data'!Q346^2)</f>
        <v>33.789849167140808</v>
      </c>
      <c r="W346" s="16">
        <f>('Gearing Calculator'!$U$9*'Track Data'!T346)+'Track Data'!V346</f>
        <v>1547.8679710290789</v>
      </c>
      <c r="X346" s="16">
        <f>('Gearing Calculator'!$U$9*9.81)*('Gearing Calculator'!$U$16/'Gearing Calculator'!$C$7)-(('Track Data'!W346)*('Gearing Calculator'!$U$17/'Gearing Calculator'!$C$7))</f>
        <v>557.46854610700359</v>
      </c>
      <c r="Y346" s="16">
        <f>('Gearing Calculator'!$U$9*9.81)*(('Gearing Calculator'!$C$7-'Gearing Calculator'!$U$16)/'Gearing Calculator'!$C$7)+(('Track Data'!W346)*('Gearing Calculator'!$U$17/'Gearing Calculator'!$C$7))</f>
        <v>2053.9534538929965</v>
      </c>
      <c r="Z346" s="16">
        <f>((X346*COS('Gearing Calculator'!$C$21))/'Gearing Calculator'!$C$22)/2</f>
        <v>17.235164322832922</v>
      </c>
      <c r="AA346" s="16">
        <f>Y346/'Gearing Calculator'!$C$24</f>
        <v>28.680079271100176</v>
      </c>
      <c r="AB346" s="16">
        <f t="shared" si="36"/>
        <v>39.477595680521489</v>
      </c>
      <c r="AC346" s="16">
        <v>0</v>
      </c>
      <c r="AD346" s="16">
        <v>-50.276124960482598</v>
      </c>
      <c r="AE346" s="16">
        <v>343</v>
      </c>
      <c r="AF346" s="16">
        <f>IF(AC346=0,IF(O346=6,INDEX(Acceleration!$V$4:$V$110,MATCH('Track Data'!S346,Acceleration!$K$4:$K$110,0)),IF('Track Data'!O346=5,INDEX(Acceleration!$U$4:$U$110,MATCH('Track Data'!S346,Acceleration!$K$4:$K$110,0)),1)),U346)</f>
        <v>1</v>
      </c>
      <c r="AG346" s="16">
        <f>IF(AC346=0,IF(O346=4,INDEX(Acceleration!$T$4:$T$110,MATCH('Track Data'!S346,Acceleration!$K$4:$K$110,0)),IF('Track Data'!O346=3,INDEX(Acceleration!$S$4:$S$110,MATCH('Track Data'!S346,Acceleration!$K$4:$K$110,0)),'Track Data'!AF346)),'Track Data'!U346)</f>
        <v>1</v>
      </c>
      <c r="AH346" s="16">
        <f>IF(AC346=0,IF(O346=2,INDEX(Acceleration!$R$4:$R$110,MATCH('Track Data'!S346,Acceleration!$K$4:$K$110,0)),IF('Track Data'!O346=1,INDEX(Acceleration!$Q$4:$Q$110,MATCH('Track Data'!S346,Acceleration!$K$4:$K$110,0)),'Track Data'!AG346)),'Track Data'!U346)</f>
        <v>5.6877465133806844</v>
      </c>
    </row>
    <row r="347" spans="2:34" x14ac:dyDescent="0.25">
      <c r="B347" s="16">
        <v>205.797</v>
      </c>
      <c r="C347" s="16">
        <v>7617</v>
      </c>
      <c r="D347" s="16">
        <v>344</v>
      </c>
      <c r="E347" s="113">
        <v>67</v>
      </c>
      <c r="F347" s="113">
        <v>63</v>
      </c>
      <c r="G347" s="113">
        <v>54.4</v>
      </c>
      <c r="H347" s="113">
        <f t="shared" si="39"/>
        <v>15.111111111111111</v>
      </c>
      <c r="I347" s="113">
        <v>13.1</v>
      </c>
      <c r="J347" s="113">
        <v>19.64</v>
      </c>
      <c r="K347" s="114">
        <v>-78.400000000000006</v>
      </c>
      <c r="L347" s="192"/>
      <c r="M347" s="16">
        <v>344</v>
      </c>
      <c r="N347" s="16">
        <f t="shared" si="41"/>
        <v>5.5966969197347081E-2</v>
      </c>
      <c r="O347" s="16">
        <v>1</v>
      </c>
      <c r="P347" s="16">
        <f t="shared" si="37"/>
        <v>16.424119241192415</v>
      </c>
      <c r="Q347" s="16">
        <f t="shared" si="42"/>
        <v>17.867681854878814</v>
      </c>
      <c r="R347" s="113">
        <f t="shared" si="38"/>
        <v>434.78</v>
      </c>
      <c r="S347" s="16">
        <f>IF(S346=15800,15800,ROUND((((Q347*60)/'Gearing Calculator'!$C$14)*'Track Data'!P347),-2))</f>
        <v>8900</v>
      </c>
      <c r="T347" s="16">
        <f t="shared" si="40"/>
        <v>5.6877465133806844</v>
      </c>
      <c r="U347" s="16">
        <f>IF(AC347=100,Braking!$AG$2354,IF(AC347=50,Braking!$AG$1179,IF(AC347=75,Braking!$AG$1767,0)))</f>
        <v>0</v>
      </c>
      <c r="V347" s="16">
        <f>0.5*'Gearing Calculator'!$C$15*'Gearing Calculator'!$C$20*'Gearing Calculator'!$W$20*('Track Data'!Q347^2)</f>
        <v>33.789849167140808</v>
      </c>
      <c r="W347" s="16">
        <f>('Gearing Calculator'!$U$9*'Track Data'!T347)+'Track Data'!V347</f>
        <v>1547.8679710290789</v>
      </c>
      <c r="X347" s="16">
        <f>('Gearing Calculator'!$U$9*9.81)*('Gearing Calculator'!$U$16/'Gearing Calculator'!$C$7)-(('Track Data'!W347)*('Gearing Calculator'!$U$17/'Gearing Calculator'!$C$7))</f>
        <v>557.46854610700359</v>
      </c>
      <c r="Y347" s="16">
        <f>('Gearing Calculator'!$U$9*9.81)*(('Gearing Calculator'!$C$7-'Gearing Calculator'!$U$16)/'Gearing Calculator'!$C$7)+(('Track Data'!W347)*('Gearing Calculator'!$U$17/'Gearing Calculator'!$C$7))</f>
        <v>2053.9534538929965</v>
      </c>
      <c r="Z347" s="16">
        <f>((X347*COS('Gearing Calculator'!$C$21))/'Gearing Calculator'!$C$22)/2</f>
        <v>17.235164322832922</v>
      </c>
      <c r="AA347" s="16">
        <f>Y347/'Gearing Calculator'!$C$24</f>
        <v>28.680079271100176</v>
      </c>
      <c r="AB347" s="16">
        <f t="shared" si="36"/>
        <v>39.477595680521489</v>
      </c>
      <c r="AC347" s="16">
        <v>0</v>
      </c>
      <c r="AD347" s="16">
        <v>-50.276124960482598</v>
      </c>
      <c r="AE347" s="16">
        <v>344</v>
      </c>
      <c r="AF347" s="16">
        <f>IF(AC347=0,IF(O347=6,INDEX(Acceleration!$V$4:$V$110,MATCH('Track Data'!S347,Acceleration!$K$4:$K$110,0)),IF('Track Data'!O347=5,INDEX(Acceleration!$U$4:$U$110,MATCH('Track Data'!S347,Acceleration!$K$4:$K$110,0)),1)),U347)</f>
        <v>1</v>
      </c>
      <c r="AG347" s="16">
        <f>IF(AC347=0,IF(O347=4,INDEX(Acceleration!$T$4:$T$110,MATCH('Track Data'!S347,Acceleration!$K$4:$K$110,0)),IF('Track Data'!O347=3,INDEX(Acceleration!$S$4:$S$110,MATCH('Track Data'!S347,Acceleration!$K$4:$K$110,0)),'Track Data'!AF347)),'Track Data'!U347)</f>
        <v>1</v>
      </c>
      <c r="AH347" s="16">
        <f>IF(AC347=0,IF(O347=2,INDEX(Acceleration!$R$4:$R$110,MATCH('Track Data'!S347,Acceleration!$K$4:$K$110,0)),IF('Track Data'!O347=1,INDEX(Acceleration!$Q$4:$Q$110,MATCH('Track Data'!S347,Acceleration!$K$4:$K$110,0)),'Track Data'!AG347)),'Track Data'!U347)</f>
        <v>5.6877465133806844</v>
      </c>
    </row>
    <row r="348" spans="2:34" x14ac:dyDescent="0.25">
      <c r="B348" s="16">
        <v>205.85400000000001</v>
      </c>
      <c r="C348" s="16">
        <v>7618</v>
      </c>
      <c r="D348" s="16">
        <v>345</v>
      </c>
      <c r="E348" s="113">
        <v>69</v>
      </c>
      <c r="F348" s="113">
        <v>64.099999999999994</v>
      </c>
      <c r="G348" s="113">
        <v>56.8</v>
      </c>
      <c r="H348" s="113">
        <f t="shared" si="39"/>
        <v>15.777777777777777</v>
      </c>
      <c r="I348" s="113">
        <v>9.1</v>
      </c>
      <c r="J348" s="113">
        <v>16.52</v>
      </c>
      <c r="K348" s="113">
        <v>-74.400000000000006</v>
      </c>
      <c r="L348" s="192"/>
      <c r="M348" s="16">
        <v>345</v>
      </c>
      <c r="N348" s="16">
        <f t="shared" si="41"/>
        <v>5.5966969197347081E-2</v>
      </c>
      <c r="O348" s="16">
        <v>1</v>
      </c>
      <c r="P348" s="16">
        <f t="shared" si="37"/>
        <v>16.424119241192415</v>
      </c>
      <c r="Q348" s="16">
        <f t="shared" si="42"/>
        <v>17.867681854878814</v>
      </c>
      <c r="R348" s="113">
        <f t="shared" si="38"/>
        <v>434.78</v>
      </c>
      <c r="S348" s="16">
        <f>IF(S347=15800,15800,ROUND((((Q348*60)/'Gearing Calculator'!$C$14)*'Track Data'!P348),-2))</f>
        <v>8900</v>
      </c>
      <c r="T348" s="16">
        <f t="shared" si="40"/>
        <v>5.6877465133806844</v>
      </c>
      <c r="U348" s="16">
        <f>IF(AC348=100,Braking!$AG$2354,IF(AC348=50,Braking!$AG$1179,IF(AC348=75,Braking!$AG$1767,0)))</f>
        <v>0</v>
      </c>
      <c r="V348" s="16">
        <f>0.5*'Gearing Calculator'!$C$15*'Gearing Calculator'!$C$20*'Gearing Calculator'!$W$20*('Track Data'!Q348^2)</f>
        <v>33.789849167140808</v>
      </c>
      <c r="W348" s="16">
        <f>('Gearing Calculator'!$U$9*'Track Data'!T348)+'Track Data'!V348</f>
        <v>1547.8679710290789</v>
      </c>
      <c r="X348" s="16">
        <f>('Gearing Calculator'!$U$9*9.81)*('Gearing Calculator'!$U$16/'Gearing Calculator'!$C$7)-(('Track Data'!W348)*('Gearing Calculator'!$U$17/'Gearing Calculator'!$C$7))</f>
        <v>557.46854610700359</v>
      </c>
      <c r="Y348" s="16">
        <f>('Gearing Calculator'!$U$9*9.81)*(('Gearing Calculator'!$C$7-'Gearing Calculator'!$U$16)/'Gearing Calculator'!$C$7)+(('Track Data'!W348)*('Gearing Calculator'!$U$17/'Gearing Calculator'!$C$7))</f>
        <v>2053.9534538929965</v>
      </c>
      <c r="Z348" s="16">
        <f>((X348*COS('Gearing Calculator'!$C$21))/'Gearing Calculator'!$C$22)/2</f>
        <v>17.235164322832922</v>
      </c>
      <c r="AA348" s="16">
        <f>Y348/'Gearing Calculator'!$C$24</f>
        <v>28.680079271100176</v>
      </c>
      <c r="AB348" s="16">
        <f t="shared" si="36"/>
        <v>39.477595680521489</v>
      </c>
      <c r="AC348" s="16">
        <v>0</v>
      </c>
      <c r="AD348" s="16">
        <v>-50.276124960482598</v>
      </c>
      <c r="AE348" s="16">
        <v>345</v>
      </c>
      <c r="AF348" s="16">
        <f>IF(AC348=0,IF(O348=6,INDEX(Acceleration!$V$4:$V$110,MATCH('Track Data'!S348,Acceleration!$K$4:$K$110,0)),IF('Track Data'!O348=5,INDEX(Acceleration!$U$4:$U$110,MATCH('Track Data'!S348,Acceleration!$K$4:$K$110,0)),1)),U348)</f>
        <v>1</v>
      </c>
      <c r="AG348" s="16">
        <f>IF(AC348=0,IF(O348=4,INDEX(Acceleration!$T$4:$T$110,MATCH('Track Data'!S348,Acceleration!$K$4:$K$110,0)),IF('Track Data'!O348=3,INDEX(Acceleration!$S$4:$S$110,MATCH('Track Data'!S348,Acceleration!$K$4:$K$110,0)),'Track Data'!AF348)),'Track Data'!U348)</f>
        <v>1</v>
      </c>
      <c r="AH348" s="16">
        <f>IF(AC348=0,IF(O348=2,INDEX(Acceleration!$R$4:$R$110,MATCH('Track Data'!S348,Acceleration!$K$4:$K$110,0)),IF('Track Data'!O348=1,INDEX(Acceleration!$Q$4:$Q$110,MATCH('Track Data'!S348,Acceleration!$K$4:$K$110,0)),'Track Data'!AG348)),'Track Data'!U348)</f>
        <v>5.6877465133806844</v>
      </c>
    </row>
    <row r="349" spans="2:34" x14ac:dyDescent="0.25">
      <c r="B349" s="16">
        <v>205.90899999999999</v>
      </c>
      <c r="C349" s="16">
        <v>7619</v>
      </c>
      <c r="D349" s="16">
        <v>346</v>
      </c>
      <c r="E349" s="113">
        <v>71</v>
      </c>
      <c r="F349" s="113">
        <v>65.599999999999994</v>
      </c>
      <c r="G349" s="113">
        <v>58.9</v>
      </c>
      <c r="H349" s="113">
        <f t="shared" si="39"/>
        <v>16.361111111111111</v>
      </c>
      <c r="I349" s="113">
        <v>7</v>
      </c>
      <c r="J349" s="113">
        <v>10.84</v>
      </c>
      <c r="K349" s="113">
        <v>-59.9</v>
      </c>
      <c r="L349" s="192"/>
      <c r="M349" s="16">
        <v>346</v>
      </c>
      <c r="N349" s="16">
        <f t="shared" si="41"/>
        <v>5.5966969197347081E-2</v>
      </c>
      <c r="O349" s="16">
        <v>1</v>
      </c>
      <c r="P349" s="16">
        <f t="shared" si="37"/>
        <v>16.424119241192415</v>
      </c>
      <c r="Q349" s="16">
        <f t="shared" si="42"/>
        <v>17.867681854878814</v>
      </c>
      <c r="R349" s="113">
        <f t="shared" si="38"/>
        <v>434.78</v>
      </c>
      <c r="S349" s="16">
        <f>IF(S348=15800,15800,ROUND((((Q349*60)/'Gearing Calculator'!$C$14)*'Track Data'!P349),-2))</f>
        <v>8900</v>
      </c>
      <c r="T349" s="16">
        <f t="shared" si="40"/>
        <v>5.6877465133806844</v>
      </c>
      <c r="U349" s="16">
        <f>IF(AC349=100,Braking!$AG$2354,IF(AC349=50,Braking!$AG$1179,IF(AC349=75,Braking!$AG$1767,0)))</f>
        <v>0</v>
      </c>
      <c r="V349" s="16">
        <f>0.5*'Gearing Calculator'!$C$15*'Gearing Calculator'!$C$20*'Gearing Calculator'!$W$20*('Track Data'!Q349^2)</f>
        <v>33.789849167140808</v>
      </c>
      <c r="W349" s="16">
        <f>('Gearing Calculator'!$U$9*'Track Data'!T349)+'Track Data'!V349</f>
        <v>1547.8679710290789</v>
      </c>
      <c r="X349" s="16">
        <f>('Gearing Calculator'!$U$9*9.81)*('Gearing Calculator'!$U$16/'Gearing Calculator'!$C$7)-(('Track Data'!W349)*('Gearing Calculator'!$U$17/'Gearing Calculator'!$C$7))</f>
        <v>557.46854610700359</v>
      </c>
      <c r="Y349" s="16">
        <f>('Gearing Calculator'!$U$9*9.81)*(('Gearing Calculator'!$C$7-'Gearing Calculator'!$U$16)/'Gearing Calculator'!$C$7)+(('Track Data'!W349)*('Gearing Calculator'!$U$17/'Gearing Calculator'!$C$7))</f>
        <v>2053.9534538929965</v>
      </c>
      <c r="Z349" s="16">
        <f>((X349*COS('Gearing Calculator'!$C$21))/'Gearing Calculator'!$C$22)/2</f>
        <v>17.235164322832922</v>
      </c>
      <c r="AA349" s="16">
        <f>Y349/'Gearing Calculator'!$C$24</f>
        <v>28.680079271100176</v>
      </c>
      <c r="AB349" s="16">
        <f t="shared" si="36"/>
        <v>39.477595680521489</v>
      </c>
      <c r="AC349" s="16">
        <v>0</v>
      </c>
      <c r="AD349" s="16">
        <v>-50.276124960482598</v>
      </c>
      <c r="AE349" s="16">
        <v>346</v>
      </c>
      <c r="AF349" s="16">
        <f>IF(AC349=0,IF(O349=6,INDEX(Acceleration!$V$4:$V$110,MATCH('Track Data'!S349,Acceleration!$K$4:$K$110,0)),IF('Track Data'!O349=5,INDEX(Acceleration!$U$4:$U$110,MATCH('Track Data'!S349,Acceleration!$K$4:$K$110,0)),1)),U349)</f>
        <v>1</v>
      </c>
      <c r="AG349" s="16">
        <f>IF(AC349=0,IF(O349=4,INDEX(Acceleration!$T$4:$T$110,MATCH('Track Data'!S349,Acceleration!$K$4:$K$110,0)),IF('Track Data'!O349=3,INDEX(Acceleration!$S$4:$S$110,MATCH('Track Data'!S349,Acceleration!$K$4:$K$110,0)),'Track Data'!AF349)),'Track Data'!U349)</f>
        <v>1</v>
      </c>
      <c r="AH349" s="16">
        <f>IF(AC349=0,IF(O349=2,INDEX(Acceleration!$R$4:$R$110,MATCH('Track Data'!S349,Acceleration!$K$4:$K$110,0)),IF('Track Data'!O349=1,INDEX(Acceleration!$Q$4:$Q$110,MATCH('Track Data'!S349,Acceleration!$K$4:$K$110,0)),'Track Data'!AG349)),'Track Data'!U349)</f>
        <v>5.6877465133806844</v>
      </c>
    </row>
    <row r="350" spans="2:34" x14ac:dyDescent="0.25">
      <c r="B350" s="16">
        <v>205.964</v>
      </c>
      <c r="C350" s="16">
        <v>7620</v>
      </c>
      <c r="D350" s="16">
        <v>347</v>
      </c>
      <c r="E350" s="113">
        <v>72</v>
      </c>
      <c r="F350" s="113">
        <v>67.3</v>
      </c>
      <c r="G350" s="113">
        <v>60.9</v>
      </c>
      <c r="H350" s="113">
        <f t="shared" si="39"/>
        <v>16.916666666666664</v>
      </c>
      <c r="I350" s="113">
        <v>5.9</v>
      </c>
      <c r="J350" s="113">
        <v>10.75</v>
      </c>
      <c r="K350" s="113">
        <v>-52.3</v>
      </c>
      <c r="L350" s="192"/>
      <c r="M350" s="16">
        <v>347</v>
      </c>
      <c r="N350" s="16">
        <f t="shared" si="41"/>
        <v>5.5966969197347081E-2</v>
      </c>
      <c r="O350" s="16">
        <v>1</v>
      </c>
      <c r="P350" s="16">
        <f t="shared" si="37"/>
        <v>16.424119241192415</v>
      </c>
      <c r="Q350" s="16">
        <f t="shared" si="42"/>
        <v>17.867681854878814</v>
      </c>
      <c r="R350" s="113">
        <f t="shared" si="38"/>
        <v>434.78</v>
      </c>
      <c r="S350" s="16">
        <f>IF(S349=15800,15800,ROUND((((Q350*60)/'Gearing Calculator'!$C$14)*'Track Data'!P350),-2))</f>
        <v>8900</v>
      </c>
      <c r="T350" s="16">
        <f t="shared" si="40"/>
        <v>5.6877465133806844</v>
      </c>
      <c r="U350" s="16">
        <f>IF(AC350=100,Braking!$AG$2354,IF(AC350=50,Braking!$AG$1179,IF(AC350=75,Braking!$AG$1767,0)))</f>
        <v>0</v>
      </c>
      <c r="V350" s="16">
        <f>0.5*'Gearing Calculator'!$C$15*'Gearing Calculator'!$C$20*'Gearing Calculator'!$W$20*('Track Data'!Q350^2)</f>
        <v>33.789849167140808</v>
      </c>
      <c r="W350" s="16">
        <f>('Gearing Calculator'!$U$9*'Track Data'!T350)+'Track Data'!V350</f>
        <v>1547.8679710290789</v>
      </c>
      <c r="X350" s="16">
        <f>('Gearing Calculator'!$U$9*9.81)*('Gearing Calculator'!$U$16/'Gearing Calculator'!$C$7)-(('Track Data'!W350)*('Gearing Calculator'!$U$17/'Gearing Calculator'!$C$7))</f>
        <v>557.46854610700359</v>
      </c>
      <c r="Y350" s="16">
        <f>('Gearing Calculator'!$U$9*9.81)*(('Gearing Calculator'!$C$7-'Gearing Calculator'!$U$16)/'Gearing Calculator'!$C$7)+(('Track Data'!W350)*('Gearing Calculator'!$U$17/'Gearing Calculator'!$C$7))</f>
        <v>2053.9534538929965</v>
      </c>
      <c r="Z350" s="16">
        <f>((X350*COS('Gearing Calculator'!$C$21))/'Gearing Calculator'!$C$22)/2</f>
        <v>17.235164322832922</v>
      </c>
      <c r="AA350" s="16">
        <f>Y350/'Gearing Calculator'!$C$24</f>
        <v>28.680079271100176</v>
      </c>
      <c r="AB350" s="16">
        <f t="shared" si="36"/>
        <v>39.477595680521489</v>
      </c>
      <c r="AC350" s="16">
        <v>0</v>
      </c>
      <c r="AD350" s="16">
        <v>-50.276124960482598</v>
      </c>
      <c r="AE350" s="16">
        <v>347</v>
      </c>
      <c r="AF350" s="16">
        <f>IF(AC350=0,IF(O350=6,INDEX(Acceleration!$V$4:$V$110,MATCH('Track Data'!S350,Acceleration!$K$4:$K$110,0)),IF('Track Data'!O350=5,INDEX(Acceleration!$U$4:$U$110,MATCH('Track Data'!S350,Acceleration!$K$4:$K$110,0)),1)),U350)</f>
        <v>1</v>
      </c>
      <c r="AG350" s="16">
        <f>IF(AC350=0,IF(O350=4,INDEX(Acceleration!$T$4:$T$110,MATCH('Track Data'!S350,Acceleration!$K$4:$K$110,0)),IF('Track Data'!O350=3,INDEX(Acceleration!$S$4:$S$110,MATCH('Track Data'!S350,Acceleration!$K$4:$K$110,0)),'Track Data'!AF350)),'Track Data'!U350)</f>
        <v>1</v>
      </c>
      <c r="AH350" s="16">
        <f>IF(AC350=0,IF(O350=2,INDEX(Acceleration!$R$4:$R$110,MATCH('Track Data'!S350,Acceleration!$K$4:$K$110,0)),IF('Track Data'!O350=1,INDEX(Acceleration!$Q$4:$Q$110,MATCH('Track Data'!S350,Acceleration!$K$4:$K$110,0)),'Track Data'!AG350)),'Track Data'!U350)</f>
        <v>5.6877465133806844</v>
      </c>
    </row>
    <row r="351" spans="2:34" x14ac:dyDescent="0.25">
      <c r="B351" s="16">
        <v>206.017</v>
      </c>
      <c r="C351" s="16">
        <v>7621</v>
      </c>
      <c r="D351" s="16">
        <v>348</v>
      </c>
      <c r="E351" s="113">
        <v>73</v>
      </c>
      <c r="F351" s="113">
        <v>68.900000000000006</v>
      </c>
      <c r="G351" s="113">
        <v>62</v>
      </c>
      <c r="H351" s="113">
        <f t="shared" si="39"/>
        <v>17.222222222222221</v>
      </c>
      <c r="I351" s="113">
        <v>5.8</v>
      </c>
      <c r="J351" s="113">
        <v>9.11</v>
      </c>
      <c r="K351" s="113">
        <v>-48.5</v>
      </c>
      <c r="L351" s="192"/>
      <c r="M351" s="16">
        <v>348</v>
      </c>
      <c r="N351" s="16">
        <f t="shared" si="41"/>
        <v>5.5966969197347081E-2</v>
      </c>
      <c r="O351" s="16">
        <v>1</v>
      </c>
      <c r="P351" s="16">
        <f t="shared" si="37"/>
        <v>16.424119241192415</v>
      </c>
      <c r="Q351" s="16">
        <f t="shared" si="42"/>
        <v>17.867681854878814</v>
      </c>
      <c r="R351" s="113">
        <f t="shared" si="38"/>
        <v>434.78</v>
      </c>
      <c r="S351" s="16">
        <f>IF(S350=15800,15800,ROUND((((Q351*60)/'Gearing Calculator'!$C$14)*'Track Data'!P351),-2))</f>
        <v>8900</v>
      </c>
      <c r="T351" s="16">
        <f t="shared" si="40"/>
        <v>5.6877465133806844</v>
      </c>
      <c r="U351" s="16">
        <f>IF(AC351=100,Braking!$AG$2354,IF(AC351=50,Braking!$AG$1179,IF(AC351=75,Braking!$AG$1767,0)))</f>
        <v>0</v>
      </c>
      <c r="V351" s="16">
        <f>0.5*'Gearing Calculator'!$C$15*'Gearing Calculator'!$C$20*'Gearing Calculator'!$W$20*('Track Data'!Q351^2)</f>
        <v>33.789849167140808</v>
      </c>
      <c r="W351" s="16">
        <f>('Gearing Calculator'!$U$9*'Track Data'!T351)+'Track Data'!V351</f>
        <v>1547.8679710290789</v>
      </c>
      <c r="X351" s="16">
        <f>('Gearing Calculator'!$U$9*9.81)*('Gearing Calculator'!$U$16/'Gearing Calculator'!$C$7)-(('Track Data'!W351)*('Gearing Calculator'!$U$17/'Gearing Calculator'!$C$7))</f>
        <v>557.46854610700359</v>
      </c>
      <c r="Y351" s="16">
        <f>('Gearing Calculator'!$U$9*9.81)*(('Gearing Calculator'!$C$7-'Gearing Calculator'!$U$16)/'Gearing Calculator'!$C$7)+(('Track Data'!W351)*('Gearing Calculator'!$U$17/'Gearing Calculator'!$C$7))</f>
        <v>2053.9534538929965</v>
      </c>
      <c r="Z351" s="16">
        <f>((X351*COS('Gearing Calculator'!$C$21))/'Gearing Calculator'!$C$22)/2</f>
        <v>17.235164322832922</v>
      </c>
      <c r="AA351" s="16">
        <f>Y351/'Gearing Calculator'!$C$24</f>
        <v>28.680079271100176</v>
      </c>
      <c r="AB351" s="16">
        <f t="shared" si="36"/>
        <v>39.477595680521489</v>
      </c>
      <c r="AC351" s="16">
        <v>0</v>
      </c>
      <c r="AD351" s="16">
        <v>-50.276124960482598</v>
      </c>
      <c r="AE351" s="16">
        <v>348</v>
      </c>
      <c r="AF351" s="16">
        <f>IF(AC351=0,IF(O351=6,INDEX(Acceleration!$V$4:$V$110,MATCH('Track Data'!S351,Acceleration!$K$4:$K$110,0)),IF('Track Data'!O351=5,INDEX(Acceleration!$U$4:$U$110,MATCH('Track Data'!S351,Acceleration!$K$4:$K$110,0)),1)),U351)</f>
        <v>1</v>
      </c>
      <c r="AG351" s="16">
        <f>IF(AC351=0,IF(O351=4,INDEX(Acceleration!$T$4:$T$110,MATCH('Track Data'!S351,Acceleration!$K$4:$K$110,0)),IF('Track Data'!O351=3,INDEX(Acceleration!$S$4:$S$110,MATCH('Track Data'!S351,Acceleration!$K$4:$K$110,0)),'Track Data'!AF351)),'Track Data'!U351)</f>
        <v>1</v>
      </c>
      <c r="AH351" s="16">
        <f>IF(AC351=0,IF(O351=2,INDEX(Acceleration!$R$4:$R$110,MATCH('Track Data'!S351,Acceleration!$K$4:$K$110,0)),IF('Track Data'!O351=1,INDEX(Acceleration!$Q$4:$Q$110,MATCH('Track Data'!S351,Acceleration!$K$4:$K$110,0)),'Track Data'!AG351)),'Track Data'!U351)</f>
        <v>5.6877465133806844</v>
      </c>
    </row>
    <row r="352" spans="2:34" x14ac:dyDescent="0.25">
      <c r="B352" s="16">
        <v>206.06899999999999</v>
      </c>
      <c r="C352" s="16">
        <v>7622</v>
      </c>
      <c r="D352" s="16">
        <v>349</v>
      </c>
      <c r="E352" s="113">
        <v>75</v>
      </c>
      <c r="F352" s="113">
        <v>70.2</v>
      </c>
      <c r="G352" s="113">
        <v>63.1</v>
      </c>
      <c r="H352" s="113">
        <f t="shared" si="39"/>
        <v>17.527777777777779</v>
      </c>
      <c r="I352" s="113">
        <v>7.3</v>
      </c>
      <c r="J352" s="113">
        <v>13.45</v>
      </c>
      <c r="K352" s="113">
        <v>-44</v>
      </c>
      <c r="L352" s="192"/>
      <c r="M352" s="16">
        <v>349</v>
      </c>
      <c r="N352" s="16">
        <f t="shared" si="41"/>
        <v>5.5966969197347081E-2</v>
      </c>
      <c r="O352" s="16">
        <v>1</v>
      </c>
      <c r="P352" s="16">
        <f t="shared" si="37"/>
        <v>16.424119241192415</v>
      </c>
      <c r="Q352" s="16">
        <f t="shared" si="42"/>
        <v>17.867681854878814</v>
      </c>
      <c r="R352" s="113">
        <f t="shared" si="38"/>
        <v>434.78</v>
      </c>
      <c r="S352" s="16">
        <f>IF(S351=15800,15800,ROUND((((Q352*60)/'Gearing Calculator'!$C$14)*'Track Data'!P352),-2))</f>
        <v>8900</v>
      </c>
      <c r="T352" s="16">
        <f t="shared" si="40"/>
        <v>5.6877465133806844</v>
      </c>
      <c r="U352" s="16">
        <f>IF(AC352=100,Braking!$AG$2354,IF(AC352=50,Braking!$AG$1179,IF(AC352=75,Braking!$AG$1767,0)))</f>
        <v>0</v>
      </c>
      <c r="V352" s="16">
        <f>0.5*'Gearing Calculator'!$C$15*'Gearing Calculator'!$C$20*'Gearing Calculator'!$W$20*('Track Data'!Q352^2)</f>
        <v>33.789849167140808</v>
      </c>
      <c r="W352" s="16">
        <f>('Gearing Calculator'!$U$9*'Track Data'!T352)+'Track Data'!V352</f>
        <v>1547.8679710290789</v>
      </c>
      <c r="X352" s="16">
        <f>('Gearing Calculator'!$U$9*9.81)*('Gearing Calculator'!$U$16/'Gearing Calculator'!$C$7)-(('Track Data'!W352)*('Gearing Calculator'!$U$17/'Gearing Calculator'!$C$7))</f>
        <v>557.46854610700359</v>
      </c>
      <c r="Y352" s="16">
        <f>('Gearing Calculator'!$U$9*9.81)*(('Gearing Calculator'!$C$7-'Gearing Calculator'!$U$16)/'Gearing Calculator'!$C$7)+(('Track Data'!W352)*('Gearing Calculator'!$U$17/'Gearing Calculator'!$C$7))</f>
        <v>2053.9534538929965</v>
      </c>
      <c r="Z352" s="16">
        <f>((X352*COS('Gearing Calculator'!$C$21))/'Gearing Calculator'!$C$22)/2</f>
        <v>17.235164322832922</v>
      </c>
      <c r="AA352" s="16">
        <f>Y352/'Gearing Calculator'!$C$24</f>
        <v>28.680079271100176</v>
      </c>
      <c r="AB352" s="16">
        <f t="shared" si="36"/>
        <v>39.477595680521489</v>
      </c>
      <c r="AC352" s="16">
        <v>0</v>
      </c>
      <c r="AD352" s="16">
        <v>-50.276124960482598</v>
      </c>
      <c r="AE352" s="16">
        <v>349</v>
      </c>
      <c r="AF352" s="16">
        <f>IF(AC352=0,IF(O352=6,INDEX(Acceleration!$V$4:$V$110,MATCH('Track Data'!S352,Acceleration!$K$4:$K$110,0)),IF('Track Data'!O352=5,INDEX(Acceleration!$U$4:$U$110,MATCH('Track Data'!S352,Acceleration!$K$4:$K$110,0)),1)),U352)</f>
        <v>1</v>
      </c>
      <c r="AG352" s="16">
        <f>IF(AC352=0,IF(O352=4,INDEX(Acceleration!$T$4:$T$110,MATCH('Track Data'!S352,Acceleration!$K$4:$K$110,0)),IF('Track Data'!O352=3,INDEX(Acceleration!$S$4:$S$110,MATCH('Track Data'!S352,Acceleration!$K$4:$K$110,0)),'Track Data'!AF352)),'Track Data'!U352)</f>
        <v>1</v>
      </c>
      <c r="AH352" s="16">
        <f>IF(AC352=0,IF(O352=2,INDEX(Acceleration!$R$4:$R$110,MATCH('Track Data'!S352,Acceleration!$K$4:$K$110,0)),IF('Track Data'!O352=1,INDEX(Acceleration!$Q$4:$Q$110,MATCH('Track Data'!S352,Acceleration!$K$4:$K$110,0)),'Track Data'!AG352)),'Track Data'!U352)</f>
        <v>5.6877465133806844</v>
      </c>
    </row>
    <row r="353" spans="2:34" x14ac:dyDescent="0.25">
      <c r="B353" s="16">
        <v>206.12</v>
      </c>
      <c r="C353" s="16">
        <v>7623</v>
      </c>
      <c r="D353" s="16">
        <v>350</v>
      </c>
      <c r="E353" s="113">
        <v>75</v>
      </c>
      <c r="F353" s="113">
        <v>71.5</v>
      </c>
      <c r="G353" s="113">
        <v>64.400000000000006</v>
      </c>
      <c r="H353" s="113">
        <f t="shared" si="39"/>
        <v>17.888888888888889</v>
      </c>
      <c r="I353" s="113">
        <v>9.1</v>
      </c>
      <c r="J353" s="113">
        <v>10.57</v>
      </c>
      <c r="K353" s="113">
        <v>-24.3</v>
      </c>
      <c r="L353" s="192"/>
      <c r="M353" s="16">
        <v>350</v>
      </c>
      <c r="N353" s="16">
        <f t="shared" si="41"/>
        <v>5.5966969197347081E-2</v>
      </c>
      <c r="O353" s="16">
        <v>1</v>
      </c>
      <c r="P353" s="16">
        <f t="shared" si="37"/>
        <v>16.424119241192415</v>
      </c>
      <c r="Q353" s="16">
        <f t="shared" si="42"/>
        <v>17.867681854878814</v>
      </c>
      <c r="R353" s="113">
        <f t="shared" si="38"/>
        <v>434.78</v>
      </c>
      <c r="S353" s="16">
        <f>IF(S352=15800,15800,ROUND((((Q353*60)/'Gearing Calculator'!$C$14)*'Track Data'!P353),-2))</f>
        <v>8900</v>
      </c>
      <c r="T353" s="16">
        <f t="shared" si="40"/>
        <v>5.6877465133806844</v>
      </c>
      <c r="U353" s="16">
        <f>IF(AC353=100,Braking!$AG$2354,IF(AC353=50,Braking!$AG$1179,IF(AC353=75,Braking!$AG$1767,0)))</f>
        <v>0</v>
      </c>
      <c r="V353" s="16">
        <f>0.5*'Gearing Calculator'!$C$15*'Gearing Calculator'!$C$20*'Gearing Calculator'!$W$20*('Track Data'!Q353^2)</f>
        <v>33.789849167140808</v>
      </c>
      <c r="W353" s="16">
        <f>('Gearing Calculator'!$U$9*'Track Data'!T353)+'Track Data'!V353</f>
        <v>1547.8679710290789</v>
      </c>
      <c r="X353" s="16">
        <f>('Gearing Calculator'!$U$9*9.81)*('Gearing Calculator'!$U$16/'Gearing Calculator'!$C$7)-(('Track Data'!W353)*('Gearing Calculator'!$U$17/'Gearing Calculator'!$C$7))</f>
        <v>557.46854610700359</v>
      </c>
      <c r="Y353" s="16">
        <f>('Gearing Calculator'!$U$9*9.81)*(('Gearing Calculator'!$C$7-'Gearing Calculator'!$U$16)/'Gearing Calculator'!$C$7)+(('Track Data'!W353)*('Gearing Calculator'!$U$17/'Gearing Calculator'!$C$7))</f>
        <v>2053.9534538929965</v>
      </c>
      <c r="Z353" s="16">
        <f>((X353*COS('Gearing Calculator'!$C$21))/'Gearing Calculator'!$C$22)/2</f>
        <v>17.235164322832922</v>
      </c>
      <c r="AA353" s="16">
        <f>Y353/'Gearing Calculator'!$C$24</f>
        <v>28.680079271100176</v>
      </c>
      <c r="AB353" s="16">
        <f t="shared" si="36"/>
        <v>39.477595680521489</v>
      </c>
      <c r="AC353" s="16">
        <v>0</v>
      </c>
      <c r="AD353" s="16">
        <v>-50.276124960482598</v>
      </c>
      <c r="AE353" s="16">
        <v>350</v>
      </c>
      <c r="AF353" s="16">
        <f>IF(AC353=0,IF(O353=6,INDEX(Acceleration!$V$4:$V$110,MATCH('Track Data'!S353,Acceleration!$K$4:$K$110,0)),IF('Track Data'!O353=5,INDEX(Acceleration!$U$4:$U$110,MATCH('Track Data'!S353,Acceleration!$K$4:$K$110,0)),1)),U353)</f>
        <v>1</v>
      </c>
      <c r="AG353" s="16">
        <f>IF(AC353=0,IF(O353=4,INDEX(Acceleration!$T$4:$T$110,MATCH('Track Data'!S353,Acceleration!$K$4:$K$110,0)),IF('Track Data'!O353=3,INDEX(Acceleration!$S$4:$S$110,MATCH('Track Data'!S353,Acceleration!$K$4:$K$110,0)),'Track Data'!AF353)),'Track Data'!U353)</f>
        <v>1</v>
      </c>
      <c r="AH353" s="16">
        <f>IF(AC353=0,IF(O353=2,INDEX(Acceleration!$R$4:$R$110,MATCH('Track Data'!S353,Acceleration!$K$4:$K$110,0)),IF('Track Data'!O353=1,INDEX(Acceleration!$Q$4:$Q$110,MATCH('Track Data'!S353,Acceleration!$K$4:$K$110,0)),'Track Data'!AG353)),'Track Data'!U353)</f>
        <v>5.6877465133806844</v>
      </c>
    </row>
    <row r="354" spans="2:34" x14ac:dyDescent="0.25">
      <c r="B354" s="16">
        <v>206.17</v>
      </c>
      <c r="C354" s="16">
        <v>7624</v>
      </c>
      <c r="D354" s="16">
        <v>351</v>
      </c>
      <c r="E354" s="113">
        <v>76</v>
      </c>
      <c r="F354" s="113">
        <v>72.099999999999994</v>
      </c>
      <c r="G354" s="113">
        <v>65.7</v>
      </c>
      <c r="H354" s="113">
        <f t="shared" si="39"/>
        <v>18.25</v>
      </c>
      <c r="I354" s="113">
        <v>9.8000000000000007</v>
      </c>
      <c r="J354" s="113">
        <v>8.01</v>
      </c>
      <c r="K354" s="113">
        <v>-9.3000000000000007</v>
      </c>
      <c r="L354" s="192"/>
      <c r="M354" s="16">
        <v>351</v>
      </c>
      <c r="N354" s="16">
        <f t="shared" si="41"/>
        <v>5.5966969197347081E-2</v>
      </c>
      <c r="O354" s="16">
        <v>1</v>
      </c>
      <c r="P354" s="16">
        <f t="shared" si="37"/>
        <v>16.424119241192415</v>
      </c>
      <c r="Q354" s="16">
        <f t="shared" si="42"/>
        <v>17.867681854878814</v>
      </c>
      <c r="R354" s="113">
        <f t="shared" si="38"/>
        <v>434.78</v>
      </c>
      <c r="S354" s="16">
        <f>IF(S353=15800,15800,ROUND((((Q354*60)/'Gearing Calculator'!$C$14)*'Track Data'!P354),-2))</f>
        <v>8900</v>
      </c>
      <c r="T354" s="16">
        <f t="shared" si="40"/>
        <v>5.6877465133806844</v>
      </c>
      <c r="U354" s="16">
        <f>IF(AC354=100,Braking!$AG$2354,IF(AC354=50,Braking!$AG$1179,IF(AC354=75,Braking!$AG$1767,0)))</f>
        <v>0</v>
      </c>
      <c r="V354" s="16">
        <f>0.5*'Gearing Calculator'!$C$15*'Gearing Calculator'!$C$20*'Gearing Calculator'!$W$20*('Track Data'!Q354^2)</f>
        <v>33.789849167140808</v>
      </c>
      <c r="W354" s="16">
        <f>('Gearing Calculator'!$U$9*'Track Data'!T354)+'Track Data'!V354</f>
        <v>1547.8679710290789</v>
      </c>
      <c r="X354" s="16">
        <f>('Gearing Calculator'!$U$9*9.81)*('Gearing Calculator'!$U$16/'Gearing Calculator'!$C$7)-(('Track Data'!W354)*('Gearing Calculator'!$U$17/'Gearing Calculator'!$C$7))</f>
        <v>557.46854610700359</v>
      </c>
      <c r="Y354" s="16">
        <f>('Gearing Calculator'!$U$9*9.81)*(('Gearing Calculator'!$C$7-'Gearing Calculator'!$U$16)/'Gearing Calculator'!$C$7)+(('Track Data'!W354)*('Gearing Calculator'!$U$17/'Gearing Calculator'!$C$7))</f>
        <v>2053.9534538929965</v>
      </c>
      <c r="Z354" s="16">
        <f>((X354*COS('Gearing Calculator'!$C$21))/'Gearing Calculator'!$C$22)/2</f>
        <v>17.235164322832922</v>
      </c>
      <c r="AA354" s="16">
        <f>Y354/'Gearing Calculator'!$C$24</f>
        <v>28.680079271100176</v>
      </c>
      <c r="AB354" s="16">
        <f t="shared" si="36"/>
        <v>39.477595680521489</v>
      </c>
      <c r="AC354" s="16">
        <v>0</v>
      </c>
      <c r="AD354" s="16">
        <v>-50.276124960482598</v>
      </c>
      <c r="AE354" s="16">
        <v>351</v>
      </c>
      <c r="AF354" s="16">
        <f>IF(AC354=0,IF(O354=6,INDEX(Acceleration!$V$4:$V$110,MATCH('Track Data'!S354,Acceleration!$K$4:$K$110,0)),IF('Track Data'!O354=5,INDEX(Acceleration!$U$4:$U$110,MATCH('Track Data'!S354,Acceleration!$K$4:$K$110,0)),1)),U354)</f>
        <v>1</v>
      </c>
      <c r="AG354" s="16">
        <f>IF(AC354=0,IF(O354=4,INDEX(Acceleration!$T$4:$T$110,MATCH('Track Data'!S354,Acceleration!$K$4:$K$110,0)),IF('Track Data'!O354=3,INDEX(Acceleration!$S$4:$S$110,MATCH('Track Data'!S354,Acceleration!$K$4:$K$110,0)),'Track Data'!AF354)),'Track Data'!U354)</f>
        <v>1</v>
      </c>
      <c r="AH354" s="16">
        <f>IF(AC354=0,IF(O354=2,INDEX(Acceleration!$R$4:$R$110,MATCH('Track Data'!S354,Acceleration!$K$4:$K$110,0)),IF('Track Data'!O354=1,INDEX(Acceleration!$Q$4:$Q$110,MATCH('Track Data'!S354,Acceleration!$K$4:$K$110,0)),'Track Data'!AG354)),'Track Data'!U354)</f>
        <v>5.6877465133806844</v>
      </c>
    </row>
    <row r="355" spans="2:34" x14ac:dyDescent="0.25">
      <c r="B355" s="16">
        <v>206.22</v>
      </c>
      <c r="C355" s="16">
        <v>7625</v>
      </c>
      <c r="D355" s="16">
        <v>352</v>
      </c>
      <c r="E355" s="113">
        <v>77</v>
      </c>
      <c r="F355" s="113">
        <v>72.2</v>
      </c>
      <c r="G355" s="113">
        <v>66.900000000000006</v>
      </c>
      <c r="H355" s="113">
        <f t="shared" si="39"/>
        <v>18.583333333333336</v>
      </c>
      <c r="I355" s="113">
        <v>8</v>
      </c>
      <c r="J355" s="113">
        <v>5.44</v>
      </c>
      <c r="K355" s="113">
        <v>-9.3000000000000007</v>
      </c>
      <c r="L355" s="192"/>
      <c r="M355" s="16">
        <v>352</v>
      </c>
      <c r="N355" s="16">
        <f t="shared" si="41"/>
        <v>5.5966969197347081E-2</v>
      </c>
      <c r="O355" s="16">
        <v>1</v>
      </c>
      <c r="P355" s="16">
        <f t="shared" si="37"/>
        <v>16.424119241192415</v>
      </c>
      <c r="Q355" s="16">
        <f t="shared" si="42"/>
        <v>17.867681854878814</v>
      </c>
      <c r="R355" s="113">
        <f t="shared" si="38"/>
        <v>434.78</v>
      </c>
      <c r="S355" s="16">
        <f>IF(S354=15800,15800,ROUND((((Q355*60)/'Gearing Calculator'!$C$14)*'Track Data'!P355),-2))</f>
        <v>8900</v>
      </c>
      <c r="T355" s="16">
        <f t="shared" si="40"/>
        <v>5.6877465133806844</v>
      </c>
      <c r="U355" s="16">
        <f>IF(AC355=100,Braking!$AG$2354,IF(AC355=50,Braking!$AG$1179,IF(AC355=75,Braking!$AG$1767,0)))</f>
        <v>0</v>
      </c>
      <c r="V355" s="16">
        <f>0.5*'Gearing Calculator'!$C$15*'Gearing Calculator'!$C$20*'Gearing Calculator'!$W$20*('Track Data'!Q355^2)</f>
        <v>33.789849167140808</v>
      </c>
      <c r="W355" s="16">
        <f>('Gearing Calculator'!$U$9*'Track Data'!T355)+'Track Data'!V355</f>
        <v>1547.8679710290789</v>
      </c>
      <c r="X355" s="16">
        <f>('Gearing Calculator'!$U$9*9.81)*('Gearing Calculator'!$U$16/'Gearing Calculator'!$C$7)-(('Track Data'!W355)*('Gearing Calculator'!$U$17/'Gearing Calculator'!$C$7))</f>
        <v>557.46854610700359</v>
      </c>
      <c r="Y355" s="16">
        <f>('Gearing Calculator'!$U$9*9.81)*(('Gearing Calculator'!$C$7-'Gearing Calculator'!$U$16)/'Gearing Calculator'!$C$7)+(('Track Data'!W355)*('Gearing Calculator'!$U$17/'Gearing Calculator'!$C$7))</f>
        <v>2053.9534538929965</v>
      </c>
      <c r="Z355" s="16">
        <f>((X355*COS('Gearing Calculator'!$C$21))/'Gearing Calculator'!$C$22)/2</f>
        <v>17.235164322832922</v>
      </c>
      <c r="AA355" s="16">
        <f>Y355/'Gearing Calculator'!$C$24</f>
        <v>28.680079271100176</v>
      </c>
      <c r="AB355" s="16">
        <f t="shared" si="36"/>
        <v>39.477595680521489</v>
      </c>
      <c r="AC355" s="16">
        <v>0</v>
      </c>
      <c r="AD355" s="16">
        <v>-50.276124960482598</v>
      </c>
      <c r="AE355" s="16">
        <v>352</v>
      </c>
      <c r="AF355" s="16">
        <f>IF(AC355=0,IF(O355=6,INDEX(Acceleration!$V$4:$V$110,MATCH('Track Data'!S355,Acceleration!$K$4:$K$110,0)),IF('Track Data'!O355=5,INDEX(Acceleration!$U$4:$U$110,MATCH('Track Data'!S355,Acceleration!$K$4:$K$110,0)),1)),U355)</f>
        <v>1</v>
      </c>
      <c r="AG355" s="16">
        <f>IF(AC355=0,IF(O355=4,INDEX(Acceleration!$T$4:$T$110,MATCH('Track Data'!S355,Acceleration!$K$4:$K$110,0)),IF('Track Data'!O355=3,INDEX(Acceleration!$S$4:$S$110,MATCH('Track Data'!S355,Acceleration!$K$4:$K$110,0)),'Track Data'!AF355)),'Track Data'!U355)</f>
        <v>1</v>
      </c>
      <c r="AH355" s="16">
        <f>IF(AC355=0,IF(O355=2,INDEX(Acceleration!$R$4:$R$110,MATCH('Track Data'!S355,Acceleration!$K$4:$K$110,0)),IF('Track Data'!O355=1,INDEX(Acceleration!$Q$4:$Q$110,MATCH('Track Data'!S355,Acceleration!$K$4:$K$110,0)),'Track Data'!AG355)),'Track Data'!U355)</f>
        <v>5.6877465133806844</v>
      </c>
    </row>
    <row r="356" spans="2:34" x14ac:dyDescent="0.25">
      <c r="B356" s="16">
        <v>206.26900000000001</v>
      </c>
      <c r="C356" s="16">
        <v>7626</v>
      </c>
      <c r="D356" s="16">
        <v>353</v>
      </c>
      <c r="E356" s="113">
        <v>79</v>
      </c>
      <c r="F356" s="113">
        <v>71.900000000000006</v>
      </c>
      <c r="G356" s="113">
        <v>68</v>
      </c>
      <c r="H356" s="113">
        <f t="shared" si="39"/>
        <v>18.888888888888889</v>
      </c>
      <c r="I356" s="113">
        <v>5.0999999999999996</v>
      </c>
      <c r="J356" s="113">
        <v>1.95</v>
      </c>
      <c r="K356" s="113">
        <v>-18.2</v>
      </c>
      <c r="L356" s="192"/>
      <c r="M356" s="16">
        <v>353</v>
      </c>
      <c r="N356" s="16">
        <f t="shared" si="41"/>
        <v>5.5966969197347081E-2</v>
      </c>
      <c r="O356" s="16">
        <v>1</v>
      </c>
      <c r="P356" s="16">
        <f t="shared" si="37"/>
        <v>16.424119241192415</v>
      </c>
      <c r="Q356" s="16">
        <f t="shared" si="42"/>
        <v>17.867681854878814</v>
      </c>
      <c r="R356" s="113">
        <f t="shared" si="38"/>
        <v>434.78</v>
      </c>
      <c r="S356" s="16">
        <f>IF(S355=15800,15800,ROUND((((Q356*60)/'Gearing Calculator'!$C$14)*'Track Data'!P356),-2))</f>
        <v>8900</v>
      </c>
      <c r="T356" s="16">
        <f t="shared" si="40"/>
        <v>5.6877465133806844</v>
      </c>
      <c r="U356" s="16">
        <f>IF(AC356=100,Braking!$AG$2354,IF(AC356=50,Braking!$AG$1179,IF(AC356=75,Braking!$AG$1767,0)))</f>
        <v>0</v>
      </c>
      <c r="V356" s="16">
        <f>0.5*'Gearing Calculator'!$C$15*'Gearing Calculator'!$C$20*'Gearing Calculator'!$W$20*('Track Data'!Q356^2)</f>
        <v>33.789849167140808</v>
      </c>
      <c r="W356" s="16">
        <f>('Gearing Calculator'!$U$9*'Track Data'!T356)+'Track Data'!V356</f>
        <v>1547.8679710290789</v>
      </c>
      <c r="X356" s="16">
        <f>('Gearing Calculator'!$U$9*9.81)*('Gearing Calculator'!$U$16/'Gearing Calculator'!$C$7)-(('Track Data'!W356)*('Gearing Calculator'!$U$17/'Gearing Calculator'!$C$7))</f>
        <v>557.46854610700359</v>
      </c>
      <c r="Y356" s="16">
        <f>('Gearing Calculator'!$U$9*9.81)*(('Gearing Calculator'!$C$7-'Gearing Calculator'!$U$16)/'Gearing Calculator'!$C$7)+(('Track Data'!W356)*('Gearing Calculator'!$U$17/'Gearing Calculator'!$C$7))</f>
        <v>2053.9534538929965</v>
      </c>
      <c r="Z356" s="16">
        <f>((X356*COS('Gearing Calculator'!$C$21))/'Gearing Calculator'!$C$22)/2</f>
        <v>17.235164322832922</v>
      </c>
      <c r="AA356" s="16">
        <f>Y356/'Gearing Calculator'!$C$24</f>
        <v>28.680079271100176</v>
      </c>
      <c r="AB356" s="16">
        <f t="shared" si="36"/>
        <v>39.477595680521489</v>
      </c>
      <c r="AC356" s="16">
        <v>0</v>
      </c>
      <c r="AD356" s="16">
        <v>-50.276124960482598</v>
      </c>
      <c r="AE356" s="16">
        <v>353</v>
      </c>
      <c r="AF356" s="16">
        <f>IF(AC356=0,IF(O356=6,INDEX(Acceleration!$V$4:$V$110,MATCH('Track Data'!S356,Acceleration!$K$4:$K$110,0)),IF('Track Data'!O356=5,INDEX(Acceleration!$U$4:$U$110,MATCH('Track Data'!S356,Acceleration!$K$4:$K$110,0)),1)),U356)</f>
        <v>1</v>
      </c>
      <c r="AG356" s="16">
        <f>IF(AC356=0,IF(O356=4,INDEX(Acceleration!$T$4:$T$110,MATCH('Track Data'!S356,Acceleration!$K$4:$K$110,0)),IF('Track Data'!O356=3,INDEX(Acceleration!$S$4:$S$110,MATCH('Track Data'!S356,Acceleration!$K$4:$K$110,0)),'Track Data'!AF356)),'Track Data'!U356)</f>
        <v>1</v>
      </c>
      <c r="AH356" s="16">
        <f>IF(AC356=0,IF(O356=2,INDEX(Acceleration!$R$4:$R$110,MATCH('Track Data'!S356,Acceleration!$K$4:$K$110,0)),IF('Track Data'!O356=1,INDEX(Acceleration!$Q$4:$Q$110,MATCH('Track Data'!S356,Acceleration!$K$4:$K$110,0)),'Track Data'!AG356)),'Track Data'!U356)</f>
        <v>5.6877465133806844</v>
      </c>
    </row>
    <row r="357" spans="2:34" x14ac:dyDescent="0.25">
      <c r="B357" s="16">
        <v>206.31899999999999</v>
      </c>
      <c r="C357" s="16">
        <v>7627</v>
      </c>
      <c r="D357" s="16">
        <v>354</v>
      </c>
      <c r="E357" s="113">
        <v>80</v>
      </c>
      <c r="F357" s="113">
        <v>71.5</v>
      </c>
      <c r="G357" s="113">
        <v>69.400000000000006</v>
      </c>
      <c r="H357" s="113">
        <f t="shared" si="39"/>
        <v>19.277777777777779</v>
      </c>
      <c r="I357" s="113">
        <v>2.7</v>
      </c>
      <c r="J357" s="113">
        <v>-7.0000000000000007E-2</v>
      </c>
      <c r="K357" s="113">
        <v>-36.9</v>
      </c>
      <c r="L357" s="192"/>
      <c r="M357" s="16">
        <v>354</v>
      </c>
      <c r="N357" s="16">
        <f t="shared" si="41"/>
        <v>5.5966969197347081E-2</v>
      </c>
      <c r="O357" s="16">
        <v>1</v>
      </c>
      <c r="P357" s="16">
        <f t="shared" si="37"/>
        <v>16.424119241192415</v>
      </c>
      <c r="Q357" s="16">
        <f t="shared" si="42"/>
        <v>17.867681854878814</v>
      </c>
      <c r="R357" s="113">
        <f t="shared" si="38"/>
        <v>434.78</v>
      </c>
      <c r="S357" s="16">
        <f>IF(S356=15800,15800,ROUND((((Q357*60)/'Gearing Calculator'!$C$14)*'Track Data'!P357),-2))</f>
        <v>8900</v>
      </c>
      <c r="T357" s="16">
        <f t="shared" si="40"/>
        <v>5.6877465133806844</v>
      </c>
      <c r="U357" s="16">
        <f>IF(AC357=100,Braking!$AG$2354,IF(AC357=50,Braking!$AG$1179,IF(AC357=75,Braking!$AG$1767,0)))</f>
        <v>0</v>
      </c>
      <c r="V357" s="16">
        <f>0.5*'Gearing Calculator'!$C$15*'Gearing Calculator'!$C$20*'Gearing Calculator'!$W$20*('Track Data'!Q357^2)</f>
        <v>33.789849167140808</v>
      </c>
      <c r="W357" s="16">
        <f>('Gearing Calculator'!$U$9*'Track Data'!T357)+'Track Data'!V357</f>
        <v>1547.8679710290789</v>
      </c>
      <c r="X357" s="16">
        <f>('Gearing Calculator'!$U$9*9.81)*('Gearing Calculator'!$U$16/'Gearing Calculator'!$C$7)-(('Track Data'!W357)*('Gearing Calculator'!$U$17/'Gearing Calculator'!$C$7))</f>
        <v>557.46854610700359</v>
      </c>
      <c r="Y357" s="16">
        <f>('Gearing Calculator'!$U$9*9.81)*(('Gearing Calculator'!$C$7-'Gearing Calculator'!$U$16)/'Gearing Calculator'!$C$7)+(('Track Data'!W357)*('Gearing Calculator'!$U$17/'Gearing Calculator'!$C$7))</f>
        <v>2053.9534538929965</v>
      </c>
      <c r="Z357" s="16">
        <f>((X357*COS('Gearing Calculator'!$C$21))/'Gearing Calculator'!$C$22)/2</f>
        <v>17.235164322832922</v>
      </c>
      <c r="AA357" s="16">
        <f>Y357/'Gearing Calculator'!$C$24</f>
        <v>28.680079271100176</v>
      </c>
      <c r="AB357" s="16">
        <f t="shared" si="36"/>
        <v>39.477595680521489</v>
      </c>
      <c r="AC357" s="16">
        <v>0</v>
      </c>
      <c r="AD357" s="16">
        <v>-50.276124960482598</v>
      </c>
      <c r="AE357" s="16">
        <v>354</v>
      </c>
      <c r="AF357" s="16">
        <f>IF(AC357=0,IF(O357=6,INDEX(Acceleration!$V$4:$V$110,MATCH('Track Data'!S357,Acceleration!$K$4:$K$110,0)),IF('Track Data'!O357=5,INDEX(Acceleration!$U$4:$U$110,MATCH('Track Data'!S357,Acceleration!$K$4:$K$110,0)),1)),U357)</f>
        <v>1</v>
      </c>
      <c r="AG357" s="16">
        <f>IF(AC357=0,IF(O357=4,INDEX(Acceleration!$T$4:$T$110,MATCH('Track Data'!S357,Acceleration!$K$4:$K$110,0)),IF('Track Data'!O357=3,INDEX(Acceleration!$S$4:$S$110,MATCH('Track Data'!S357,Acceleration!$K$4:$K$110,0)),'Track Data'!AF357)),'Track Data'!U357)</f>
        <v>1</v>
      </c>
      <c r="AH357" s="16">
        <f>IF(AC357=0,IF(O357=2,INDEX(Acceleration!$R$4:$R$110,MATCH('Track Data'!S357,Acceleration!$K$4:$K$110,0)),IF('Track Data'!O357=1,INDEX(Acceleration!$Q$4:$Q$110,MATCH('Track Data'!S357,Acceleration!$K$4:$K$110,0)),'Track Data'!AG357)),'Track Data'!U357)</f>
        <v>5.6877465133806844</v>
      </c>
    </row>
    <row r="358" spans="2:34" x14ac:dyDescent="0.25">
      <c r="B358" s="16">
        <v>206.369</v>
      </c>
      <c r="C358" s="16">
        <v>7628</v>
      </c>
      <c r="D358" s="16">
        <v>355</v>
      </c>
      <c r="E358" s="113">
        <v>81</v>
      </c>
      <c r="F358" s="113">
        <v>71.2</v>
      </c>
      <c r="G358" s="113">
        <v>71</v>
      </c>
      <c r="H358" s="113">
        <f t="shared" si="39"/>
        <v>19.722222222222221</v>
      </c>
      <c r="I358" s="113">
        <v>1.5</v>
      </c>
      <c r="J358" s="113">
        <v>-0.05</v>
      </c>
      <c r="K358" s="113">
        <v>-43.4</v>
      </c>
      <c r="L358" s="192"/>
      <c r="M358" s="16">
        <v>355</v>
      </c>
      <c r="N358" s="16">
        <f t="shared" si="41"/>
        <v>5.5966969197347081E-2</v>
      </c>
      <c r="O358" s="16">
        <v>1</v>
      </c>
      <c r="P358" s="16">
        <f t="shared" si="37"/>
        <v>16.424119241192415</v>
      </c>
      <c r="Q358" s="16">
        <f t="shared" si="42"/>
        <v>17.867681854878814</v>
      </c>
      <c r="R358" s="113">
        <f t="shared" si="38"/>
        <v>434.78</v>
      </c>
      <c r="S358" s="16">
        <f>IF(S357=15800,15800,ROUND((((Q358*60)/'Gearing Calculator'!$C$14)*'Track Data'!P358),-2))</f>
        <v>8900</v>
      </c>
      <c r="T358" s="16">
        <f t="shared" si="40"/>
        <v>5.6877465133806844</v>
      </c>
      <c r="U358" s="16">
        <f>IF(AC358=100,Braking!$AG$2354,IF(AC358=50,Braking!$AG$1179,IF(AC358=75,Braking!$AG$1767,0)))</f>
        <v>0</v>
      </c>
      <c r="V358" s="16">
        <f>0.5*'Gearing Calculator'!$C$15*'Gearing Calculator'!$C$20*'Gearing Calculator'!$W$20*('Track Data'!Q358^2)</f>
        <v>33.789849167140808</v>
      </c>
      <c r="W358" s="16">
        <f>('Gearing Calculator'!$U$9*'Track Data'!T358)+'Track Data'!V358</f>
        <v>1547.8679710290789</v>
      </c>
      <c r="X358" s="16">
        <f>('Gearing Calculator'!$U$9*9.81)*('Gearing Calculator'!$U$16/'Gearing Calculator'!$C$7)-(('Track Data'!W358)*('Gearing Calculator'!$U$17/'Gearing Calculator'!$C$7))</f>
        <v>557.46854610700359</v>
      </c>
      <c r="Y358" s="16">
        <f>('Gearing Calculator'!$U$9*9.81)*(('Gearing Calculator'!$C$7-'Gearing Calculator'!$U$16)/'Gearing Calculator'!$C$7)+(('Track Data'!W358)*('Gearing Calculator'!$U$17/'Gearing Calculator'!$C$7))</f>
        <v>2053.9534538929965</v>
      </c>
      <c r="Z358" s="16">
        <f>((X358*COS('Gearing Calculator'!$C$21))/'Gearing Calculator'!$C$22)/2</f>
        <v>17.235164322832922</v>
      </c>
      <c r="AA358" s="16">
        <f>Y358/'Gearing Calculator'!$C$24</f>
        <v>28.680079271100176</v>
      </c>
      <c r="AB358" s="16">
        <f t="shared" si="36"/>
        <v>39.477595680521489</v>
      </c>
      <c r="AC358" s="16">
        <v>0</v>
      </c>
      <c r="AD358" s="16">
        <v>-50.276124960482598</v>
      </c>
      <c r="AE358" s="16">
        <v>355</v>
      </c>
      <c r="AF358" s="16">
        <f>IF(AC358=0,IF(O358=6,INDEX(Acceleration!$V$4:$V$110,MATCH('Track Data'!S358,Acceleration!$K$4:$K$110,0)),IF('Track Data'!O358=5,INDEX(Acceleration!$U$4:$U$110,MATCH('Track Data'!S358,Acceleration!$K$4:$K$110,0)),1)),U358)</f>
        <v>1</v>
      </c>
      <c r="AG358" s="16">
        <f>IF(AC358=0,IF(O358=4,INDEX(Acceleration!$T$4:$T$110,MATCH('Track Data'!S358,Acceleration!$K$4:$K$110,0)),IF('Track Data'!O358=3,INDEX(Acceleration!$S$4:$S$110,MATCH('Track Data'!S358,Acceleration!$K$4:$K$110,0)),'Track Data'!AF358)),'Track Data'!U358)</f>
        <v>1</v>
      </c>
      <c r="AH358" s="16">
        <f>IF(AC358=0,IF(O358=2,INDEX(Acceleration!$R$4:$R$110,MATCH('Track Data'!S358,Acceleration!$K$4:$K$110,0)),IF('Track Data'!O358=1,INDEX(Acceleration!$Q$4:$Q$110,MATCH('Track Data'!S358,Acceleration!$K$4:$K$110,0)),'Track Data'!AG358)),'Track Data'!U358)</f>
        <v>5.6877465133806844</v>
      </c>
    </row>
    <row r="359" spans="2:34" x14ac:dyDescent="0.25">
      <c r="B359" s="16">
        <v>206.42</v>
      </c>
      <c r="C359" s="16">
        <v>7629</v>
      </c>
      <c r="D359" s="16">
        <v>356</v>
      </c>
      <c r="E359" s="113">
        <v>82</v>
      </c>
      <c r="F359" s="113">
        <v>70.599999999999994</v>
      </c>
      <c r="G359" s="113">
        <v>73.2</v>
      </c>
      <c r="H359" s="113">
        <f t="shared" si="39"/>
        <v>20.333333333333332</v>
      </c>
      <c r="I359" s="113">
        <v>2.6</v>
      </c>
      <c r="J359" s="113">
        <v>-0.04</v>
      </c>
      <c r="K359" s="113">
        <v>-44.2</v>
      </c>
      <c r="L359" s="192"/>
      <c r="M359" s="16">
        <v>356</v>
      </c>
      <c r="N359" s="16">
        <f t="shared" si="41"/>
        <v>5.5966969197347081E-2</v>
      </c>
      <c r="O359" s="16">
        <v>1</v>
      </c>
      <c r="P359" s="16">
        <f t="shared" si="37"/>
        <v>16.424119241192415</v>
      </c>
      <c r="Q359" s="16">
        <f t="shared" si="42"/>
        <v>17.867681854878814</v>
      </c>
      <c r="R359" s="113">
        <f t="shared" si="38"/>
        <v>434.78</v>
      </c>
      <c r="S359" s="16">
        <f>IF(S358=15800,15800,ROUND((((Q359*60)/'Gearing Calculator'!$C$14)*'Track Data'!P359),-2))</f>
        <v>8900</v>
      </c>
      <c r="T359" s="16">
        <f t="shared" si="40"/>
        <v>5.6877465133806844</v>
      </c>
      <c r="U359" s="16">
        <f>IF(AC359=100,Braking!$AG$2354,IF(AC359=50,Braking!$AG$1179,IF(AC359=75,Braking!$AG$1767,0)))</f>
        <v>0</v>
      </c>
      <c r="V359" s="16">
        <f>0.5*'Gearing Calculator'!$C$15*'Gearing Calculator'!$C$20*'Gearing Calculator'!$W$20*('Track Data'!Q359^2)</f>
        <v>33.789849167140808</v>
      </c>
      <c r="W359" s="16">
        <f>('Gearing Calculator'!$U$9*'Track Data'!T359)+'Track Data'!V359</f>
        <v>1547.8679710290789</v>
      </c>
      <c r="X359" s="16">
        <f>('Gearing Calculator'!$U$9*9.81)*('Gearing Calculator'!$U$16/'Gearing Calculator'!$C$7)-(('Track Data'!W359)*('Gearing Calculator'!$U$17/'Gearing Calculator'!$C$7))</f>
        <v>557.46854610700359</v>
      </c>
      <c r="Y359" s="16">
        <f>('Gearing Calculator'!$U$9*9.81)*(('Gearing Calculator'!$C$7-'Gearing Calculator'!$U$16)/'Gearing Calculator'!$C$7)+(('Track Data'!W359)*('Gearing Calculator'!$U$17/'Gearing Calculator'!$C$7))</f>
        <v>2053.9534538929965</v>
      </c>
      <c r="Z359" s="16">
        <f>((X359*COS('Gearing Calculator'!$C$21))/'Gearing Calculator'!$C$22)/2</f>
        <v>17.235164322832922</v>
      </c>
      <c r="AA359" s="16">
        <f>Y359/'Gearing Calculator'!$C$24</f>
        <v>28.680079271100176</v>
      </c>
      <c r="AB359" s="16">
        <f t="shared" si="36"/>
        <v>39.477595680521489</v>
      </c>
      <c r="AC359" s="16">
        <v>0</v>
      </c>
      <c r="AD359" s="16">
        <v>-50.276124960482598</v>
      </c>
      <c r="AE359" s="16">
        <v>356</v>
      </c>
      <c r="AF359" s="16">
        <f>IF(AC359=0,IF(O359=6,INDEX(Acceleration!$V$4:$V$110,MATCH('Track Data'!S359,Acceleration!$K$4:$K$110,0)),IF('Track Data'!O359=5,INDEX(Acceleration!$U$4:$U$110,MATCH('Track Data'!S359,Acceleration!$K$4:$K$110,0)),1)),U359)</f>
        <v>1</v>
      </c>
      <c r="AG359" s="16">
        <f>IF(AC359=0,IF(O359=4,INDEX(Acceleration!$T$4:$T$110,MATCH('Track Data'!S359,Acceleration!$K$4:$K$110,0)),IF('Track Data'!O359=3,INDEX(Acceleration!$S$4:$S$110,MATCH('Track Data'!S359,Acceleration!$K$4:$K$110,0)),'Track Data'!AF359)),'Track Data'!U359)</f>
        <v>1</v>
      </c>
      <c r="AH359" s="16">
        <f>IF(AC359=0,IF(O359=2,INDEX(Acceleration!$R$4:$R$110,MATCH('Track Data'!S359,Acceleration!$K$4:$K$110,0)),IF('Track Data'!O359=1,INDEX(Acceleration!$Q$4:$Q$110,MATCH('Track Data'!S359,Acceleration!$K$4:$K$110,0)),'Track Data'!AG359)),'Track Data'!U359)</f>
        <v>5.6877465133806844</v>
      </c>
    </row>
    <row r="360" spans="2:34" x14ac:dyDescent="0.25">
      <c r="B360" s="16">
        <v>206.471</v>
      </c>
      <c r="C360" s="16">
        <v>7630</v>
      </c>
      <c r="D360" s="16">
        <v>357</v>
      </c>
      <c r="E360" s="113">
        <v>84</v>
      </c>
      <c r="F360" s="113">
        <v>70.2</v>
      </c>
      <c r="G360" s="113">
        <v>75</v>
      </c>
      <c r="H360" s="113">
        <f t="shared" si="39"/>
        <v>20.833333333333332</v>
      </c>
      <c r="I360" s="113">
        <v>3</v>
      </c>
      <c r="J360" s="113">
        <v>-0.05</v>
      </c>
      <c r="K360" s="113">
        <v>-38.700000000000003</v>
      </c>
      <c r="L360" s="192"/>
      <c r="M360" s="16">
        <v>357</v>
      </c>
      <c r="N360" s="16">
        <f t="shared" si="41"/>
        <v>5.5966969197347081E-2</v>
      </c>
      <c r="O360" s="16">
        <v>1</v>
      </c>
      <c r="P360" s="16">
        <f t="shared" si="37"/>
        <v>16.424119241192415</v>
      </c>
      <c r="Q360" s="16">
        <f t="shared" si="42"/>
        <v>17.867681854878814</v>
      </c>
      <c r="R360" s="113">
        <f t="shared" si="38"/>
        <v>434.78</v>
      </c>
      <c r="S360" s="16">
        <f>IF(S359=15800,15800,ROUND((((Q360*60)/'Gearing Calculator'!$C$14)*'Track Data'!P360),-2))</f>
        <v>8900</v>
      </c>
      <c r="T360" s="16">
        <f t="shared" si="40"/>
        <v>5.6877465133806844</v>
      </c>
      <c r="U360" s="16">
        <f>IF(AC360=100,Braking!$AG$2354,IF(AC360=50,Braking!$AG$1179,IF(AC360=75,Braking!$AG$1767,0)))</f>
        <v>0</v>
      </c>
      <c r="V360" s="16">
        <f>0.5*'Gearing Calculator'!$C$15*'Gearing Calculator'!$C$20*'Gearing Calculator'!$W$20*('Track Data'!Q360^2)</f>
        <v>33.789849167140808</v>
      </c>
      <c r="W360" s="16">
        <f>('Gearing Calculator'!$U$9*'Track Data'!T360)+'Track Data'!V360</f>
        <v>1547.8679710290789</v>
      </c>
      <c r="X360" s="16">
        <f>('Gearing Calculator'!$U$9*9.81)*('Gearing Calculator'!$U$16/'Gearing Calculator'!$C$7)-(('Track Data'!W360)*('Gearing Calculator'!$U$17/'Gearing Calculator'!$C$7))</f>
        <v>557.46854610700359</v>
      </c>
      <c r="Y360" s="16">
        <f>('Gearing Calculator'!$U$9*9.81)*(('Gearing Calculator'!$C$7-'Gearing Calculator'!$U$16)/'Gearing Calculator'!$C$7)+(('Track Data'!W360)*('Gearing Calculator'!$U$17/'Gearing Calculator'!$C$7))</f>
        <v>2053.9534538929965</v>
      </c>
      <c r="Z360" s="16">
        <f>((X360*COS('Gearing Calculator'!$C$21))/'Gearing Calculator'!$C$22)/2</f>
        <v>17.235164322832922</v>
      </c>
      <c r="AA360" s="16">
        <f>Y360/'Gearing Calculator'!$C$24</f>
        <v>28.680079271100176</v>
      </c>
      <c r="AB360" s="16">
        <f t="shared" si="36"/>
        <v>39.477595680521489</v>
      </c>
      <c r="AC360" s="16">
        <v>0</v>
      </c>
      <c r="AD360" s="16">
        <v>-50.276124960482598</v>
      </c>
      <c r="AE360" s="16">
        <v>357</v>
      </c>
      <c r="AF360" s="16">
        <f>IF(AC360=0,IF(O360=6,INDEX(Acceleration!$V$4:$V$110,MATCH('Track Data'!S360,Acceleration!$K$4:$K$110,0)),IF('Track Data'!O360=5,INDEX(Acceleration!$U$4:$U$110,MATCH('Track Data'!S360,Acceleration!$K$4:$K$110,0)),1)),U360)</f>
        <v>1</v>
      </c>
      <c r="AG360" s="16">
        <f>IF(AC360=0,IF(O360=4,INDEX(Acceleration!$T$4:$T$110,MATCH('Track Data'!S360,Acceleration!$K$4:$K$110,0)),IF('Track Data'!O360=3,INDEX(Acceleration!$S$4:$S$110,MATCH('Track Data'!S360,Acceleration!$K$4:$K$110,0)),'Track Data'!AF360)),'Track Data'!U360)</f>
        <v>1</v>
      </c>
      <c r="AH360" s="16">
        <f>IF(AC360=0,IF(O360=2,INDEX(Acceleration!$R$4:$R$110,MATCH('Track Data'!S360,Acceleration!$K$4:$K$110,0)),IF('Track Data'!O360=1,INDEX(Acceleration!$Q$4:$Q$110,MATCH('Track Data'!S360,Acceleration!$K$4:$K$110,0)),'Track Data'!AG360)),'Track Data'!U360)</f>
        <v>5.6877465133806844</v>
      </c>
    </row>
    <row r="361" spans="2:34" x14ac:dyDescent="0.25">
      <c r="B361" s="16">
        <v>206.523</v>
      </c>
      <c r="C361" s="16">
        <v>7631</v>
      </c>
      <c r="D361" s="16">
        <v>358</v>
      </c>
      <c r="E361" s="113">
        <v>85</v>
      </c>
      <c r="F361" s="113">
        <v>69.5</v>
      </c>
      <c r="G361" s="113">
        <v>76.900000000000006</v>
      </c>
      <c r="H361" s="113">
        <f t="shared" si="39"/>
        <v>21.361111111111111</v>
      </c>
      <c r="I361" s="113">
        <v>3.7</v>
      </c>
      <c r="J361" s="113">
        <v>-0.01</v>
      </c>
      <c r="K361" s="113">
        <v>-35.299999999999997</v>
      </c>
      <c r="L361" s="192"/>
      <c r="M361" s="16">
        <v>358</v>
      </c>
      <c r="N361" s="16">
        <f t="shared" si="41"/>
        <v>5.5966969197347081E-2</v>
      </c>
      <c r="O361" s="16">
        <v>1</v>
      </c>
      <c r="P361" s="16">
        <f t="shared" si="37"/>
        <v>16.424119241192415</v>
      </c>
      <c r="Q361" s="16">
        <f t="shared" si="42"/>
        <v>17.867681854878814</v>
      </c>
      <c r="R361" s="113">
        <f t="shared" si="38"/>
        <v>434.78</v>
      </c>
      <c r="S361" s="16">
        <f>IF(S360=15800,15800,ROUND((((Q361*60)/'Gearing Calculator'!$C$14)*'Track Data'!P361),-2))</f>
        <v>8900</v>
      </c>
      <c r="T361" s="16">
        <f t="shared" si="40"/>
        <v>5.6877465133806844</v>
      </c>
      <c r="U361" s="16">
        <f>IF(AC361=100,Braking!$AG$2354,IF(AC361=50,Braking!$AG$1179,IF(AC361=75,Braking!$AG$1767,0)))</f>
        <v>0</v>
      </c>
      <c r="V361" s="16">
        <f>0.5*'Gearing Calculator'!$C$15*'Gearing Calculator'!$C$20*'Gearing Calculator'!$W$20*('Track Data'!Q361^2)</f>
        <v>33.789849167140808</v>
      </c>
      <c r="W361" s="16">
        <f>('Gearing Calculator'!$U$9*'Track Data'!T361)+'Track Data'!V361</f>
        <v>1547.8679710290789</v>
      </c>
      <c r="X361" s="16">
        <f>('Gearing Calculator'!$U$9*9.81)*('Gearing Calculator'!$U$16/'Gearing Calculator'!$C$7)-(('Track Data'!W361)*('Gearing Calculator'!$U$17/'Gearing Calculator'!$C$7))</f>
        <v>557.46854610700359</v>
      </c>
      <c r="Y361" s="16">
        <f>('Gearing Calculator'!$U$9*9.81)*(('Gearing Calculator'!$C$7-'Gearing Calculator'!$U$16)/'Gearing Calculator'!$C$7)+(('Track Data'!W361)*('Gearing Calculator'!$U$17/'Gearing Calculator'!$C$7))</f>
        <v>2053.9534538929965</v>
      </c>
      <c r="Z361" s="16">
        <f>((X361*COS('Gearing Calculator'!$C$21))/'Gearing Calculator'!$C$22)/2</f>
        <v>17.235164322832922</v>
      </c>
      <c r="AA361" s="16">
        <f>Y361/'Gearing Calculator'!$C$24</f>
        <v>28.680079271100176</v>
      </c>
      <c r="AB361" s="16">
        <f t="shared" si="36"/>
        <v>39.477595680521489</v>
      </c>
      <c r="AC361" s="16">
        <v>0</v>
      </c>
      <c r="AD361" s="16">
        <v>-50.276124960482598</v>
      </c>
      <c r="AE361" s="16">
        <v>358</v>
      </c>
      <c r="AF361" s="16">
        <f>IF(AC361=0,IF(O361=6,INDEX(Acceleration!$V$4:$V$110,MATCH('Track Data'!S361,Acceleration!$K$4:$K$110,0)),IF('Track Data'!O361=5,INDEX(Acceleration!$U$4:$U$110,MATCH('Track Data'!S361,Acceleration!$K$4:$K$110,0)),1)),U361)</f>
        <v>1</v>
      </c>
      <c r="AG361" s="16">
        <f>IF(AC361=0,IF(O361=4,INDEX(Acceleration!$T$4:$T$110,MATCH('Track Data'!S361,Acceleration!$K$4:$K$110,0)),IF('Track Data'!O361=3,INDEX(Acceleration!$S$4:$S$110,MATCH('Track Data'!S361,Acceleration!$K$4:$K$110,0)),'Track Data'!AF361)),'Track Data'!U361)</f>
        <v>1</v>
      </c>
      <c r="AH361" s="16">
        <f>IF(AC361=0,IF(O361=2,INDEX(Acceleration!$R$4:$R$110,MATCH('Track Data'!S361,Acceleration!$K$4:$K$110,0)),IF('Track Data'!O361=1,INDEX(Acceleration!$Q$4:$Q$110,MATCH('Track Data'!S361,Acceleration!$K$4:$K$110,0)),'Track Data'!AG361)),'Track Data'!U361)</f>
        <v>5.6877465133806844</v>
      </c>
    </row>
    <row r="362" spans="2:34" x14ac:dyDescent="0.25">
      <c r="B362" s="16">
        <v>206.57400000000001</v>
      </c>
      <c r="C362" s="16">
        <v>7632</v>
      </c>
      <c r="D362" s="16">
        <v>359</v>
      </c>
      <c r="E362" s="113">
        <v>86</v>
      </c>
      <c r="F362" s="113">
        <v>69</v>
      </c>
      <c r="G362" s="113">
        <v>78.7</v>
      </c>
      <c r="H362" s="113">
        <f t="shared" si="39"/>
        <v>21.861111111111111</v>
      </c>
      <c r="I362" s="113">
        <v>4.7</v>
      </c>
      <c r="J362" s="113">
        <v>-0.03</v>
      </c>
      <c r="K362" s="113">
        <v>-33.1</v>
      </c>
      <c r="L362" s="192"/>
      <c r="M362" s="16">
        <v>359</v>
      </c>
      <c r="N362" s="16">
        <f t="shared" si="41"/>
        <v>5.5966969197347081E-2</v>
      </c>
      <c r="O362" s="16">
        <v>1</v>
      </c>
      <c r="P362" s="16">
        <f t="shared" si="37"/>
        <v>16.424119241192415</v>
      </c>
      <c r="Q362" s="16">
        <f t="shared" si="42"/>
        <v>17.867681854878814</v>
      </c>
      <c r="R362" s="113">
        <f t="shared" si="38"/>
        <v>434.78</v>
      </c>
      <c r="S362" s="16">
        <f>IF(S361=15800,15800,ROUND((((Q362*60)/'Gearing Calculator'!$C$14)*'Track Data'!P362),-2))</f>
        <v>8900</v>
      </c>
      <c r="T362" s="16">
        <f t="shared" si="40"/>
        <v>5.6877465133806844</v>
      </c>
      <c r="U362" s="16">
        <f>IF(AC362=100,Braking!$AG$2354,IF(AC362=50,Braking!$AG$1179,IF(AC362=75,Braking!$AG$1767,0)))</f>
        <v>0</v>
      </c>
      <c r="V362" s="16">
        <f>0.5*'Gearing Calculator'!$C$15*'Gearing Calculator'!$C$20*'Gearing Calculator'!$W$20*('Track Data'!Q362^2)</f>
        <v>33.789849167140808</v>
      </c>
      <c r="W362" s="16">
        <f>('Gearing Calculator'!$U$9*'Track Data'!T362)+'Track Data'!V362</f>
        <v>1547.8679710290789</v>
      </c>
      <c r="X362" s="16">
        <f>('Gearing Calculator'!$U$9*9.81)*('Gearing Calculator'!$U$16/'Gearing Calculator'!$C$7)-(('Track Data'!W362)*('Gearing Calculator'!$U$17/'Gearing Calculator'!$C$7))</f>
        <v>557.46854610700359</v>
      </c>
      <c r="Y362" s="16">
        <f>('Gearing Calculator'!$U$9*9.81)*(('Gearing Calculator'!$C$7-'Gearing Calculator'!$U$16)/'Gearing Calculator'!$C$7)+(('Track Data'!W362)*('Gearing Calculator'!$U$17/'Gearing Calculator'!$C$7))</f>
        <v>2053.9534538929965</v>
      </c>
      <c r="Z362" s="16">
        <f>((X362*COS('Gearing Calculator'!$C$21))/'Gearing Calculator'!$C$22)/2</f>
        <v>17.235164322832922</v>
      </c>
      <c r="AA362" s="16">
        <f>Y362/'Gearing Calculator'!$C$24</f>
        <v>28.680079271100176</v>
      </c>
      <c r="AB362" s="16">
        <f t="shared" si="36"/>
        <v>39.477595680521489</v>
      </c>
      <c r="AC362" s="16">
        <v>0</v>
      </c>
      <c r="AD362" s="16">
        <v>-50.276124960482598</v>
      </c>
      <c r="AE362" s="16">
        <v>359</v>
      </c>
      <c r="AF362" s="16">
        <f>IF(AC362=0,IF(O362=6,INDEX(Acceleration!$V$4:$V$110,MATCH('Track Data'!S362,Acceleration!$K$4:$K$110,0)),IF('Track Data'!O362=5,INDEX(Acceleration!$U$4:$U$110,MATCH('Track Data'!S362,Acceleration!$K$4:$K$110,0)),1)),U362)</f>
        <v>1</v>
      </c>
      <c r="AG362" s="16">
        <f>IF(AC362=0,IF(O362=4,INDEX(Acceleration!$T$4:$T$110,MATCH('Track Data'!S362,Acceleration!$K$4:$K$110,0)),IF('Track Data'!O362=3,INDEX(Acceleration!$S$4:$S$110,MATCH('Track Data'!S362,Acceleration!$K$4:$K$110,0)),'Track Data'!AF362)),'Track Data'!U362)</f>
        <v>1</v>
      </c>
      <c r="AH362" s="16">
        <f>IF(AC362=0,IF(O362=2,INDEX(Acceleration!$R$4:$R$110,MATCH('Track Data'!S362,Acceleration!$K$4:$K$110,0)),IF('Track Data'!O362=1,INDEX(Acceleration!$Q$4:$Q$110,MATCH('Track Data'!S362,Acceleration!$K$4:$K$110,0)),'Track Data'!AG362)),'Track Data'!U362)</f>
        <v>5.6877465133806844</v>
      </c>
    </row>
    <row r="363" spans="2:34" x14ac:dyDescent="0.25">
      <c r="B363" s="16">
        <v>206.626</v>
      </c>
      <c r="C363" s="16">
        <v>7633</v>
      </c>
      <c r="D363" s="16">
        <v>360</v>
      </c>
      <c r="E363" s="113">
        <v>88</v>
      </c>
      <c r="F363" s="113">
        <v>68.400000000000006</v>
      </c>
      <c r="G363" s="113">
        <v>80.5</v>
      </c>
      <c r="H363" s="113">
        <f t="shared" si="39"/>
        <v>22.361111111111111</v>
      </c>
      <c r="I363" s="113">
        <v>4.0999999999999996</v>
      </c>
      <c r="J363" s="113">
        <v>0.04</v>
      </c>
      <c r="K363" s="113">
        <v>-33.1</v>
      </c>
      <c r="L363" s="192"/>
      <c r="M363" s="16">
        <v>360</v>
      </c>
      <c r="N363" s="16">
        <f t="shared" si="41"/>
        <v>5.5966969197347081E-2</v>
      </c>
      <c r="O363" s="16">
        <v>1</v>
      </c>
      <c r="P363" s="16">
        <f t="shared" si="37"/>
        <v>16.424119241192415</v>
      </c>
      <c r="Q363" s="16">
        <f t="shared" si="42"/>
        <v>17.867681854878814</v>
      </c>
      <c r="R363" s="113">
        <f t="shared" si="38"/>
        <v>434.78</v>
      </c>
      <c r="S363" s="16">
        <f>IF(S362=15800,15800,ROUND((((Q363*60)/'Gearing Calculator'!$C$14)*'Track Data'!P363),-2))</f>
        <v>8900</v>
      </c>
      <c r="T363" s="16">
        <f t="shared" si="40"/>
        <v>5.6877465133806844</v>
      </c>
      <c r="U363" s="16">
        <f>IF(AC363=100,Braking!$AG$2354,IF(AC363=50,Braking!$AG$1179,IF(AC363=75,Braking!$AG$1767,0)))</f>
        <v>0</v>
      </c>
      <c r="V363" s="16">
        <f>0.5*'Gearing Calculator'!$C$15*'Gearing Calculator'!$C$20*'Gearing Calculator'!$W$20*('Track Data'!Q363^2)</f>
        <v>33.789849167140808</v>
      </c>
      <c r="W363" s="16">
        <f>('Gearing Calculator'!$U$9*'Track Data'!T363)+'Track Data'!V363</f>
        <v>1547.8679710290789</v>
      </c>
      <c r="X363" s="16">
        <f>('Gearing Calculator'!$U$9*9.81)*('Gearing Calculator'!$U$16/'Gearing Calculator'!$C$7)-(('Track Data'!W363)*('Gearing Calculator'!$U$17/'Gearing Calculator'!$C$7))</f>
        <v>557.46854610700359</v>
      </c>
      <c r="Y363" s="16">
        <f>('Gearing Calculator'!$U$9*9.81)*(('Gearing Calculator'!$C$7-'Gearing Calculator'!$U$16)/'Gearing Calculator'!$C$7)+(('Track Data'!W363)*('Gearing Calculator'!$U$17/'Gearing Calculator'!$C$7))</f>
        <v>2053.9534538929965</v>
      </c>
      <c r="Z363" s="16">
        <f>((X363*COS('Gearing Calculator'!$C$21))/'Gearing Calculator'!$C$22)/2</f>
        <v>17.235164322832922</v>
      </c>
      <c r="AA363" s="16">
        <f>Y363/'Gearing Calculator'!$C$24</f>
        <v>28.680079271100176</v>
      </c>
      <c r="AB363" s="16">
        <f t="shared" si="36"/>
        <v>39.477595680521489</v>
      </c>
      <c r="AC363" s="16">
        <v>0</v>
      </c>
      <c r="AD363" s="16">
        <v>-50.276124960482598</v>
      </c>
      <c r="AE363" s="16">
        <v>360</v>
      </c>
      <c r="AF363" s="16">
        <f>IF(AC363=0,IF(O363=6,INDEX(Acceleration!$V$4:$V$110,MATCH('Track Data'!S363,Acceleration!$K$4:$K$110,0)),IF('Track Data'!O363=5,INDEX(Acceleration!$U$4:$U$110,MATCH('Track Data'!S363,Acceleration!$K$4:$K$110,0)),1)),U363)</f>
        <v>1</v>
      </c>
      <c r="AG363" s="16">
        <f>IF(AC363=0,IF(O363=4,INDEX(Acceleration!$T$4:$T$110,MATCH('Track Data'!S363,Acceleration!$K$4:$K$110,0)),IF('Track Data'!O363=3,INDEX(Acceleration!$S$4:$S$110,MATCH('Track Data'!S363,Acceleration!$K$4:$K$110,0)),'Track Data'!AF363)),'Track Data'!U363)</f>
        <v>1</v>
      </c>
      <c r="AH363" s="16">
        <f>IF(AC363=0,IF(O363=2,INDEX(Acceleration!$R$4:$R$110,MATCH('Track Data'!S363,Acceleration!$K$4:$K$110,0)),IF('Track Data'!O363=1,INDEX(Acceleration!$Q$4:$Q$110,MATCH('Track Data'!S363,Acceleration!$K$4:$K$110,0)),'Track Data'!AG363)),'Track Data'!U363)</f>
        <v>5.6877465133806844</v>
      </c>
    </row>
    <row r="364" spans="2:34" x14ac:dyDescent="0.25">
      <c r="B364" s="16">
        <v>206.679</v>
      </c>
      <c r="C364" s="16">
        <v>7634</v>
      </c>
      <c r="D364" s="16">
        <v>361</v>
      </c>
      <c r="E364" s="113">
        <v>88</v>
      </c>
      <c r="F364" s="113">
        <v>68</v>
      </c>
      <c r="G364" s="113">
        <v>82</v>
      </c>
      <c r="H364" s="113">
        <f t="shared" si="39"/>
        <v>22.777777777777779</v>
      </c>
      <c r="I364" s="113">
        <v>3.3</v>
      </c>
      <c r="J364" s="113">
        <v>0.01</v>
      </c>
      <c r="K364" s="113">
        <v>-29.3</v>
      </c>
      <c r="L364" s="192"/>
      <c r="M364" s="16">
        <v>361</v>
      </c>
      <c r="N364" s="16">
        <f t="shared" si="41"/>
        <v>5.5966969197347081E-2</v>
      </c>
      <c r="O364" s="16">
        <v>1</v>
      </c>
      <c r="P364" s="16">
        <f t="shared" si="37"/>
        <v>16.424119241192415</v>
      </c>
      <c r="Q364" s="16">
        <f t="shared" si="42"/>
        <v>17.867681854878814</v>
      </c>
      <c r="R364" s="113">
        <f t="shared" si="38"/>
        <v>434.78</v>
      </c>
      <c r="S364" s="16">
        <f>IF(S363=15800,15800,ROUND((((Q364*60)/'Gearing Calculator'!$C$14)*'Track Data'!P364),-2))</f>
        <v>8900</v>
      </c>
      <c r="T364" s="16">
        <f t="shared" si="40"/>
        <v>5.6877465133806844</v>
      </c>
      <c r="U364" s="16">
        <f>IF(AC364=100,Braking!$AG$2354,IF(AC364=50,Braking!$AG$1179,IF(AC364=75,Braking!$AG$1767,0)))</f>
        <v>0</v>
      </c>
      <c r="V364" s="16">
        <f>0.5*'Gearing Calculator'!$C$15*'Gearing Calculator'!$C$20*'Gearing Calculator'!$W$20*('Track Data'!Q364^2)</f>
        <v>33.789849167140808</v>
      </c>
      <c r="W364" s="16">
        <f>('Gearing Calculator'!$U$9*'Track Data'!T364)+'Track Data'!V364</f>
        <v>1547.8679710290789</v>
      </c>
      <c r="X364" s="16">
        <f>('Gearing Calculator'!$U$9*9.81)*('Gearing Calculator'!$U$16/'Gearing Calculator'!$C$7)-(('Track Data'!W364)*('Gearing Calculator'!$U$17/'Gearing Calculator'!$C$7))</f>
        <v>557.46854610700359</v>
      </c>
      <c r="Y364" s="16">
        <f>('Gearing Calculator'!$U$9*9.81)*(('Gearing Calculator'!$C$7-'Gearing Calculator'!$U$16)/'Gearing Calculator'!$C$7)+(('Track Data'!W364)*('Gearing Calculator'!$U$17/'Gearing Calculator'!$C$7))</f>
        <v>2053.9534538929965</v>
      </c>
      <c r="Z364" s="16">
        <f>((X364*COS('Gearing Calculator'!$C$21))/'Gearing Calculator'!$C$22)/2</f>
        <v>17.235164322832922</v>
      </c>
      <c r="AA364" s="16">
        <f>Y364/'Gearing Calculator'!$C$24</f>
        <v>28.680079271100176</v>
      </c>
      <c r="AB364" s="16">
        <f t="shared" si="36"/>
        <v>39.477595680521489</v>
      </c>
      <c r="AC364" s="16">
        <v>0</v>
      </c>
      <c r="AD364" s="16">
        <v>-50.276124960482598</v>
      </c>
      <c r="AE364" s="16">
        <v>361</v>
      </c>
      <c r="AF364" s="16">
        <f>IF(AC364=0,IF(O364=6,INDEX(Acceleration!$V$4:$V$110,MATCH('Track Data'!S364,Acceleration!$K$4:$K$110,0)),IF('Track Data'!O364=5,INDEX(Acceleration!$U$4:$U$110,MATCH('Track Data'!S364,Acceleration!$K$4:$K$110,0)),1)),U364)</f>
        <v>1</v>
      </c>
      <c r="AG364" s="16">
        <f>IF(AC364=0,IF(O364=4,INDEX(Acceleration!$T$4:$T$110,MATCH('Track Data'!S364,Acceleration!$K$4:$K$110,0)),IF('Track Data'!O364=3,INDEX(Acceleration!$S$4:$S$110,MATCH('Track Data'!S364,Acceleration!$K$4:$K$110,0)),'Track Data'!AF364)),'Track Data'!U364)</f>
        <v>1</v>
      </c>
      <c r="AH364" s="16">
        <f>IF(AC364=0,IF(O364=2,INDEX(Acceleration!$R$4:$R$110,MATCH('Track Data'!S364,Acceleration!$K$4:$K$110,0)),IF('Track Data'!O364=1,INDEX(Acceleration!$Q$4:$Q$110,MATCH('Track Data'!S364,Acceleration!$K$4:$K$110,0)),'Track Data'!AG364)),'Track Data'!U364)</f>
        <v>5.6877465133806844</v>
      </c>
    </row>
    <row r="365" spans="2:34" x14ac:dyDescent="0.25">
      <c r="B365" s="16">
        <v>206.73099999999999</v>
      </c>
      <c r="C365" s="16">
        <v>7635</v>
      </c>
      <c r="D365" s="16">
        <v>362</v>
      </c>
      <c r="E365" s="113">
        <v>86</v>
      </c>
      <c r="F365" s="113">
        <v>66.599999999999994</v>
      </c>
      <c r="G365" s="113">
        <v>83.9</v>
      </c>
      <c r="H365" s="113">
        <f t="shared" si="39"/>
        <v>23.305555555555557</v>
      </c>
      <c r="I365" s="113">
        <v>4.3</v>
      </c>
      <c r="J365" s="113">
        <v>0.39</v>
      </c>
      <c r="K365" s="113">
        <v>-23.1</v>
      </c>
      <c r="L365" s="192"/>
      <c r="M365" s="16">
        <v>362</v>
      </c>
      <c r="N365" s="16">
        <f t="shared" si="41"/>
        <v>5.5966969197347081E-2</v>
      </c>
      <c r="O365" s="16">
        <v>1</v>
      </c>
      <c r="P365" s="16">
        <f t="shared" si="37"/>
        <v>16.424119241192415</v>
      </c>
      <c r="Q365" s="16">
        <f t="shared" si="42"/>
        <v>17.867681854878814</v>
      </c>
      <c r="R365" s="113">
        <f t="shared" si="38"/>
        <v>434.78</v>
      </c>
      <c r="S365" s="16">
        <f>IF(S364=15800,15800,ROUND((((Q365*60)/'Gearing Calculator'!$C$14)*'Track Data'!P365),-2))</f>
        <v>8900</v>
      </c>
      <c r="T365" s="16">
        <f t="shared" si="40"/>
        <v>5.6877465133806844</v>
      </c>
      <c r="U365" s="16">
        <f>IF(AC365=100,Braking!$AG$2354,IF(AC365=50,Braking!$AG$1179,IF(AC365=75,Braking!$AG$1767,0)))</f>
        <v>0</v>
      </c>
      <c r="V365" s="16">
        <f>0.5*'Gearing Calculator'!$C$15*'Gearing Calculator'!$C$20*'Gearing Calculator'!$W$20*('Track Data'!Q365^2)</f>
        <v>33.789849167140808</v>
      </c>
      <c r="W365" s="16">
        <f>('Gearing Calculator'!$U$9*'Track Data'!T365)+'Track Data'!V365</f>
        <v>1547.8679710290789</v>
      </c>
      <c r="X365" s="16">
        <f>('Gearing Calculator'!$U$9*9.81)*('Gearing Calculator'!$U$16/'Gearing Calculator'!$C$7)-(('Track Data'!W365)*('Gearing Calculator'!$U$17/'Gearing Calculator'!$C$7))</f>
        <v>557.46854610700359</v>
      </c>
      <c r="Y365" s="16">
        <f>('Gearing Calculator'!$U$9*9.81)*(('Gearing Calculator'!$C$7-'Gearing Calculator'!$U$16)/'Gearing Calculator'!$C$7)+(('Track Data'!W365)*('Gearing Calculator'!$U$17/'Gearing Calculator'!$C$7))</f>
        <v>2053.9534538929965</v>
      </c>
      <c r="Z365" s="16">
        <f>((X365*COS('Gearing Calculator'!$C$21))/'Gearing Calculator'!$C$22)/2</f>
        <v>17.235164322832922</v>
      </c>
      <c r="AA365" s="16">
        <f>Y365/'Gearing Calculator'!$C$24</f>
        <v>28.680079271100176</v>
      </c>
      <c r="AB365" s="16">
        <f t="shared" si="36"/>
        <v>39.477595680521489</v>
      </c>
      <c r="AC365" s="16">
        <v>0</v>
      </c>
      <c r="AD365" s="16">
        <v>-50.276124960482598</v>
      </c>
      <c r="AE365" s="16">
        <v>362</v>
      </c>
      <c r="AF365" s="16">
        <f>IF(AC365=0,IF(O365=6,INDEX(Acceleration!$V$4:$V$110,MATCH('Track Data'!S365,Acceleration!$K$4:$K$110,0)),IF('Track Data'!O365=5,INDEX(Acceleration!$U$4:$U$110,MATCH('Track Data'!S365,Acceleration!$K$4:$K$110,0)),1)),U365)</f>
        <v>1</v>
      </c>
      <c r="AG365" s="16">
        <f>IF(AC365=0,IF(O365=4,INDEX(Acceleration!$T$4:$T$110,MATCH('Track Data'!S365,Acceleration!$K$4:$K$110,0)),IF('Track Data'!O365=3,INDEX(Acceleration!$S$4:$S$110,MATCH('Track Data'!S365,Acceleration!$K$4:$K$110,0)),'Track Data'!AF365)),'Track Data'!U365)</f>
        <v>1</v>
      </c>
      <c r="AH365" s="16">
        <f>IF(AC365=0,IF(O365=2,INDEX(Acceleration!$R$4:$R$110,MATCH('Track Data'!S365,Acceleration!$K$4:$K$110,0)),IF('Track Data'!O365=1,INDEX(Acceleration!$Q$4:$Q$110,MATCH('Track Data'!S365,Acceleration!$K$4:$K$110,0)),'Track Data'!AG365)),'Track Data'!U365)</f>
        <v>5.6877465133806844</v>
      </c>
    </row>
    <row r="366" spans="2:34" x14ac:dyDescent="0.25">
      <c r="B366" s="16">
        <v>206.786</v>
      </c>
      <c r="C366" s="16">
        <v>7636</v>
      </c>
      <c r="D366" s="16">
        <v>363</v>
      </c>
      <c r="E366" s="113">
        <v>86</v>
      </c>
      <c r="F366" s="113">
        <v>66.2</v>
      </c>
      <c r="G366" s="113">
        <v>85.3</v>
      </c>
      <c r="H366" s="113">
        <f t="shared" si="39"/>
        <v>23.694444444444443</v>
      </c>
      <c r="I366" s="113">
        <v>0.4</v>
      </c>
      <c r="J366" s="113">
        <v>0.61</v>
      </c>
      <c r="K366" s="113">
        <v>-20.399999999999999</v>
      </c>
      <c r="L366" s="192"/>
      <c r="M366" s="16">
        <v>363</v>
      </c>
      <c r="N366" s="16">
        <f t="shared" si="41"/>
        <v>5.5966969197347081E-2</v>
      </c>
      <c r="O366" s="16">
        <v>1</v>
      </c>
      <c r="P366" s="16">
        <f t="shared" si="37"/>
        <v>16.424119241192415</v>
      </c>
      <c r="Q366" s="16">
        <f t="shared" si="42"/>
        <v>17.867681854878814</v>
      </c>
      <c r="R366" s="113">
        <f t="shared" si="38"/>
        <v>434.78</v>
      </c>
      <c r="S366" s="16">
        <f>IF(S365=15800,15800,ROUND((((Q366*60)/'Gearing Calculator'!$C$14)*'Track Data'!P366),-2))</f>
        <v>8900</v>
      </c>
      <c r="T366" s="16">
        <f t="shared" si="40"/>
        <v>5.6877465133806844</v>
      </c>
      <c r="U366" s="16">
        <f>IF(AC366=100,Braking!$AG$2354,IF(AC366=50,Braking!$AG$1179,IF(AC366=75,Braking!$AG$1767,0)))</f>
        <v>0</v>
      </c>
      <c r="V366" s="16">
        <f>0.5*'Gearing Calculator'!$C$15*'Gearing Calculator'!$C$20*'Gearing Calculator'!$W$20*('Track Data'!Q366^2)</f>
        <v>33.789849167140808</v>
      </c>
      <c r="W366" s="16">
        <f>('Gearing Calculator'!$U$9*'Track Data'!T366)+'Track Data'!V366</f>
        <v>1547.8679710290789</v>
      </c>
      <c r="X366" s="16">
        <f>('Gearing Calculator'!$U$9*9.81)*('Gearing Calculator'!$U$16/'Gearing Calculator'!$C$7)-(('Track Data'!W366)*('Gearing Calculator'!$U$17/'Gearing Calculator'!$C$7))</f>
        <v>557.46854610700359</v>
      </c>
      <c r="Y366" s="16">
        <f>('Gearing Calculator'!$U$9*9.81)*(('Gearing Calculator'!$C$7-'Gearing Calculator'!$U$16)/'Gearing Calculator'!$C$7)+(('Track Data'!W366)*('Gearing Calculator'!$U$17/'Gearing Calculator'!$C$7))</f>
        <v>2053.9534538929965</v>
      </c>
      <c r="Z366" s="16">
        <f>((X366*COS('Gearing Calculator'!$C$21))/'Gearing Calculator'!$C$22)/2</f>
        <v>17.235164322832922</v>
      </c>
      <c r="AA366" s="16">
        <f>Y366/'Gearing Calculator'!$C$24</f>
        <v>28.680079271100176</v>
      </c>
      <c r="AB366" s="16">
        <f t="shared" si="36"/>
        <v>39.477595680521489</v>
      </c>
      <c r="AC366" s="16">
        <v>0</v>
      </c>
      <c r="AD366" s="16">
        <v>-50.276124960482598</v>
      </c>
      <c r="AE366" s="16">
        <v>363</v>
      </c>
      <c r="AF366" s="16">
        <f>IF(AC366=0,IF(O366=6,INDEX(Acceleration!$V$4:$V$110,MATCH('Track Data'!S366,Acceleration!$K$4:$K$110,0)),IF('Track Data'!O366=5,INDEX(Acceleration!$U$4:$U$110,MATCH('Track Data'!S366,Acceleration!$K$4:$K$110,0)),1)),U366)</f>
        <v>1</v>
      </c>
      <c r="AG366" s="16">
        <f>IF(AC366=0,IF(O366=4,INDEX(Acceleration!$T$4:$T$110,MATCH('Track Data'!S366,Acceleration!$K$4:$K$110,0)),IF('Track Data'!O366=3,INDEX(Acceleration!$S$4:$S$110,MATCH('Track Data'!S366,Acceleration!$K$4:$K$110,0)),'Track Data'!AF366)),'Track Data'!U366)</f>
        <v>1</v>
      </c>
      <c r="AH366" s="16">
        <f>IF(AC366=0,IF(O366=2,INDEX(Acceleration!$R$4:$R$110,MATCH('Track Data'!S366,Acceleration!$K$4:$K$110,0)),IF('Track Data'!O366=1,INDEX(Acceleration!$Q$4:$Q$110,MATCH('Track Data'!S366,Acceleration!$K$4:$K$110,0)),'Track Data'!AG366)),'Track Data'!U366)</f>
        <v>5.6877465133806844</v>
      </c>
    </row>
    <row r="367" spans="2:34" ht="15.75" thickBot="1" x14ac:dyDescent="0.3">
      <c r="B367" s="16">
        <v>206.839</v>
      </c>
      <c r="C367" s="16">
        <v>7637</v>
      </c>
      <c r="D367" s="16">
        <v>364</v>
      </c>
      <c r="E367" s="113">
        <v>93</v>
      </c>
      <c r="F367" s="113">
        <v>66.099999999999994</v>
      </c>
      <c r="G367" s="113">
        <v>86.7</v>
      </c>
      <c r="H367" s="113">
        <f t="shared" si="39"/>
        <v>24.083333333333332</v>
      </c>
      <c r="I367" s="113">
        <v>-3.7</v>
      </c>
      <c r="J367" s="113">
        <v>0.12</v>
      </c>
      <c r="K367" s="113">
        <v>-18.100000000000001</v>
      </c>
      <c r="L367" s="193"/>
      <c r="M367" s="16">
        <v>364</v>
      </c>
      <c r="N367" s="16">
        <f t="shared" si="41"/>
        <v>5.5966969197347081E-2</v>
      </c>
      <c r="O367" s="16">
        <v>1</v>
      </c>
      <c r="P367" s="16">
        <f t="shared" si="37"/>
        <v>16.424119241192415</v>
      </c>
      <c r="Q367" s="16">
        <f t="shared" si="42"/>
        <v>17.867681854878814</v>
      </c>
      <c r="R367" s="113">
        <f t="shared" si="38"/>
        <v>434.78</v>
      </c>
      <c r="S367" s="16">
        <f>IF(S366=15800,15800,ROUND((((Q367*60)/'Gearing Calculator'!$C$14)*'Track Data'!P367),-2))</f>
        <v>8900</v>
      </c>
      <c r="T367" s="16">
        <f t="shared" si="40"/>
        <v>5.6877465133806844</v>
      </c>
      <c r="U367" s="16">
        <f>IF(AC367=100,Braking!$AG$2354,IF(AC367=50,Braking!$AG$1179,IF(AC367=75,Braking!$AG$1767,0)))</f>
        <v>0</v>
      </c>
      <c r="V367" s="16">
        <f>0.5*'Gearing Calculator'!$C$15*'Gearing Calculator'!$C$20*'Gearing Calculator'!$W$20*('Track Data'!Q367^2)</f>
        <v>33.789849167140808</v>
      </c>
      <c r="W367" s="16">
        <f>('Gearing Calculator'!$U$9*'Track Data'!T367)+'Track Data'!V367</f>
        <v>1547.8679710290789</v>
      </c>
      <c r="X367" s="16">
        <f>('Gearing Calculator'!$U$9*9.81)*('Gearing Calculator'!$U$16/'Gearing Calculator'!$C$7)-(('Track Data'!W367)*('Gearing Calculator'!$U$17/'Gearing Calculator'!$C$7))</f>
        <v>557.46854610700359</v>
      </c>
      <c r="Y367" s="16">
        <f>('Gearing Calculator'!$U$9*9.81)*(('Gearing Calculator'!$C$7-'Gearing Calculator'!$U$16)/'Gearing Calculator'!$C$7)+(('Track Data'!W367)*('Gearing Calculator'!$U$17/'Gearing Calculator'!$C$7))</f>
        <v>2053.9534538929965</v>
      </c>
      <c r="Z367" s="16">
        <f>((X367*COS('Gearing Calculator'!$C$21))/'Gearing Calculator'!$C$22)/2</f>
        <v>17.235164322832922</v>
      </c>
      <c r="AA367" s="16">
        <f>Y367/'Gearing Calculator'!$C$24</f>
        <v>28.680079271100176</v>
      </c>
      <c r="AB367" s="16">
        <f t="shared" si="36"/>
        <v>39.477595680521489</v>
      </c>
      <c r="AC367" s="16">
        <v>0</v>
      </c>
      <c r="AD367" s="16">
        <v>-50.276124960482598</v>
      </c>
      <c r="AE367" s="16">
        <v>364</v>
      </c>
      <c r="AF367" s="16">
        <f>IF(AC367=0,IF(O367=6,INDEX(Acceleration!$V$4:$V$110,MATCH('Track Data'!S367,Acceleration!$K$4:$K$110,0)),IF('Track Data'!O367=5,INDEX(Acceleration!$U$4:$U$110,MATCH('Track Data'!S367,Acceleration!$K$4:$K$110,0)),1)),U367)</f>
        <v>1</v>
      </c>
      <c r="AG367" s="16">
        <f>IF(AC367=0,IF(O367=4,INDEX(Acceleration!$T$4:$T$110,MATCH('Track Data'!S367,Acceleration!$K$4:$K$110,0)),IF('Track Data'!O367=3,INDEX(Acceleration!$S$4:$S$110,MATCH('Track Data'!S367,Acceleration!$K$4:$K$110,0)),'Track Data'!AF367)),'Track Data'!U367)</f>
        <v>1</v>
      </c>
      <c r="AH367" s="16">
        <f>IF(AC367=0,IF(O367=2,INDEX(Acceleration!$R$4:$R$110,MATCH('Track Data'!S367,Acceleration!$K$4:$K$110,0)),IF('Track Data'!O367=1,INDEX(Acceleration!$Q$4:$Q$110,MATCH('Track Data'!S367,Acceleration!$K$4:$K$110,0)),'Track Data'!AG367)),'Track Data'!U367)</f>
        <v>5.6877465133806844</v>
      </c>
    </row>
    <row r="368" spans="2:34" x14ac:dyDescent="0.25">
      <c r="B368" s="16">
        <v>206.89400000000001</v>
      </c>
      <c r="C368" s="16">
        <v>7638</v>
      </c>
      <c r="D368" s="16">
        <v>365</v>
      </c>
      <c r="E368" s="113">
        <v>90</v>
      </c>
      <c r="F368" s="113">
        <v>65.099999999999994</v>
      </c>
      <c r="G368" s="113">
        <v>88.1</v>
      </c>
      <c r="H368" s="113">
        <f t="shared" si="39"/>
        <v>24.472222222222221</v>
      </c>
      <c r="I368" s="113">
        <v>3.8</v>
      </c>
      <c r="J368" s="113">
        <v>0.09</v>
      </c>
      <c r="K368" s="113">
        <v>-14.5</v>
      </c>
      <c r="L368" s="188" t="s">
        <v>184</v>
      </c>
      <c r="M368" s="16">
        <v>365</v>
      </c>
      <c r="N368" s="16">
        <f t="shared" si="41"/>
        <v>5.5966969197347081E-2</v>
      </c>
      <c r="O368" s="16">
        <v>1</v>
      </c>
      <c r="P368" s="16">
        <f t="shared" si="37"/>
        <v>16.424119241192415</v>
      </c>
      <c r="Q368" s="16">
        <f t="shared" si="42"/>
        <v>17.867681854878814</v>
      </c>
      <c r="R368" s="113">
        <f t="shared" si="38"/>
        <v>434.78</v>
      </c>
      <c r="S368" s="16">
        <f>IF(S367=15800,15800,ROUND((((Q368*60)/'Gearing Calculator'!$C$14)*'Track Data'!P368),-2))</f>
        <v>8900</v>
      </c>
      <c r="T368" s="16">
        <f t="shared" ref="T368:T388" si="43">AH368</f>
        <v>5.6877465133806844</v>
      </c>
      <c r="U368" s="16">
        <f>IF(AC368=100,Braking!$AG$2354,IF(AC368=50,Braking!$AG$1179,IF(AC368=75,Braking!$AG$1767,0)))</f>
        <v>0</v>
      </c>
      <c r="V368" s="16">
        <f>0.5*'Gearing Calculator'!$C$15*'Gearing Calculator'!$C$20*'Gearing Calculator'!$W$20*('Track Data'!Q368^2)</f>
        <v>33.789849167140808</v>
      </c>
      <c r="W368" s="16">
        <f>('Gearing Calculator'!$U$9*'Track Data'!T368)+'Track Data'!V368</f>
        <v>1547.8679710290789</v>
      </c>
      <c r="X368" s="16">
        <f>('Gearing Calculator'!$U$9*9.81)*('Gearing Calculator'!$U$16/'Gearing Calculator'!$C$7)-(('Track Data'!W368)*('Gearing Calculator'!$U$17/'Gearing Calculator'!$C$7))</f>
        <v>557.46854610700359</v>
      </c>
      <c r="Y368" s="16">
        <f>('Gearing Calculator'!$U$9*9.81)*(('Gearing Calculator'!$C$7-'Gearing Calculator'!$U$16)/'Gearing Calculator'!$C$7)+(('Track Data'!W368)*('Gearing Calculator'!$U$17/'Gearing Calculator'!$C$7))</f>
        <v>2053.9534538929965</v>
      </c>
      <c r="Z368" s="16">
        <f>((X368*COS('Gearing Calculator'!$C$21))/'Gearing Calculator'!$C$22)/2</f>
        <v>17.235164322832922</v>
      </c>
      <c r="AA368" s="16">
        <f>Y368/'Gearing Calculator'!$C$24</f>
        <v>28.680079271100176</v>
      </c>
      <c r="AB368" s="16">
        <f t="shared" si="36"/>
        <v>39.477595680521489</v>
      </c>
      <c r="AC368" s="16">
        <v>0</v>
      </c>
      <c r="AD368" s="16">
        <v>0</v>
      </c>
      <c r="AE368" s="16">
        <v>365</v>
      </c>
      <c r="AF368" s="16">
        <f>IF(AC368=0,IF(O368=6,INDEX(Acceleration!$V$4:$V$110,MATCH('Track Data'!S368,Acceleration!$K$4:$K$110,0)),IF('Track Data'!O368=5,INDEX(Acceleration!$U$4:$U$110,MATCH('Track Data'!S368,Acceleration!$K$4:$K$110,0)),1)),U368)</f>
        <v>1</v>
      </c>
      <c r="AG368" s="16">
        <f>IF(AC368=0,IF(O368=4,INDEX(Acceleration!$T$4:$T$110,MATCH('Track Data'!S368,Acceleration!$K$4:$K$110,0)),IF('Track Data'!O368=3,INDEX(Acceleration!$S$4:$S$110,MATCH('Track Data'!S368,Acceleration!$K$4:$K$110,0)),'Track Data'!AF368)),'Track Data'!U368)</f>
        <v>1</v>
      </c>
      <c r="AH368" s="16">
        <f>IF(AC368=0,IF(O368=2,INDEX(Acceleration!$R$4:$R$110,MATCH('Track Data'!S368,Acceleration!$K$4:$K$110,0)),IF('Track Data'!O368=1,INDEX(Acceleration!$Q$4:$Q$110,MATCH('Track Data'!S368,Acceleration!$K$4:$K$110,0)),'Track Data'!AG368)),'Track Data'!U368)</f>
        <v>5.6877465133806844</v>
      </c>
    </row>
    <row r="369" spans="2:34" x14ac:dyDescent="0.25">
      <c r="B369" s="16">
        <v>206.94900000000001</v>
      </c>
      <c r="C369" s="16">
        <v>7639</v>
      </c>
      <c r="D369" s="16">
        <v>366</v>
      </c>
      <c r="E369" s="113">
        <v>92</v>
      </c>
      <c r="F369" s="113">
        <v>75</v>
      </c>
      <c r="G369" s="113">
        <v>89.3</v>
      </c>
      <c r="H369" s="113">
        <f t="shared" si="39"/>
        <v>24.805555555555554</v>
      </c>
      <c r="I369" s="113">
        <v>3</v>
      </c>
      <c r="J369" s="113">
        <v>-7.0000000000000007E-2</v>
      </c>
      <c r="K369" s="113">
        <v>-9.1</v>
      </c>
      <c r="L369" s="189"/>
      <c r="M369" s="16">
        <v>366</v>
      </c>
      <c r="N369" s="16">
        <f t="shared" si="41"/>
        <v>5.4995754976085297E-2</v>
      </c>
      <c r="O369" s="16">
        <v>1</v>
      </c>
      <c r="P369" s="16">
        <f t="shared" si="37"/>
        <v>16.424119241192415</v>
      </c>
      <c r="Q369" s="16">
        <f t="shared" si="42"/>
        <v>18.183221603828265</v>
      </c>
      <c r="R369" s="113">
        <f t="shared" si="38"/>
        <v>434.78</v>
      </c>
      <c r="S369" s="16">
        <f>IF(S368=15800,15800,ROUND((((Q369*60)/'Gearing Calculator'!$C$14)*'Track Data'!P369),-2))</f>
        <v>9100</v>
      </c>
      <c r="T369" s="16">
        <f t="shared" si="43"/>
        <v>5.7460064548960208</v>
      </c>
      <c r="U369" s="16">
        <f>IF(AC369=100,Braking!$AG$2354,IF(AC369=50,Braking!$AG$1179,IF(AC369=75,Braking!$AG$1767,0)))</f>
        <v>0</v>
      </c>
      <c r="V369" s="16">
        <f>0.5*'Gearing Calculator'!$C$15*'Gearing Calculator'!$C$20*'Gearing Calculator'!$W$20*('Track Data'!Q369^2)</f>
        <v>34.993831349093227</v>
      </c>
      <c r="W369" s="16">
        <f>('Gearing Calculator'!$U$9*'Track Data'!T369)+'Track Data'!V369</f>
        <v>1564.5807496424138</v>
      </c>
      <c r="X369" s="16">
        <f>('Gearing Calculator'!$U$9*9.81)*('Gearing Calculator'!$U$16/'Gearing Calculator'!$C$7)-(('Track Data'!W369)*('Gearing Calculator'!$U$17/'Gearing Calculator'!$C$7))</f>
        <v>548.35894038469337</v>
      </c>
      <c r="Y369" s="16">
        <f>('Gearing Calculator'!$U$9*9.81)*(('Gearing Calculator'!$C$7-'Gearing Calculator'!$U$16)/'Gearing Calculator'!$C$7)+(('Track Data'!W369)*('Gearing Calculator'!$U$17/'Gearing Calculator'!$C$7))</f>
        <v>2063.0630596153069</v>
      </c>
      <c r="Z369" s="16">
        <f>((X369*COS('Gearing Calculator'!$C$21))/'Gearing Calculator'!$C$22)/2</f>
        <v>16.953524125127313</v>
      </c>
      <c r="AA369" s="16">
        <f>Y369/'Gearing Calculator'!$C$24</f>
        <v>28.807279921021983</v>
      </c>
      <c r="AB369" s="16">
        <f t="shared" si="36"/>
        <v>40.739837803989246</v>
      </c>
      <c r="AC369" s="16">
        <v>0</v>
      </c>
      <c r="AD369" s="16">
        <v>0</v>
      </c>
      <c r="AE369" s="16">
        <v>366</v>
      </c>
      <c r="AF369" s="16">
        <f>IF(AC369=0,IF(O369=6,INDEX(Acceleration!$V$4:$V$110,MATCH('Track Data'!S369,Acceleration!$K$4:$K$110,0)),IF('Track Data'!O369=5,INDEX(Acceleration!$U$4:$U$110,MATCH('Track Data'!S369,Acceleration!$K$4:$K$110,0)),1)),U369)</f>
        <v>1</v>
      </c>
      <c r="AG369" s="16">
        <f>IF(AC369=0,IF(O369=4,INDEX(Acceleration!$T$4:$T$110,MATCH('Track Data'!S369,Acceleration!$K$4:$K$110,0)),IF('Track Data'!O369=3,INDEX(Acceleration!$S$4:$S$110,MATCH('Track Data'!S369,Acceleration!$K$4:$K$110,0)),'Track Data'!AF369)),'Track Data'!U369)</f>
        <v>1</v>
      </c>
      <c r="AH369" s="16">
        <f>IF(AC369=0,IF(O369=2,INDEX(Acceleration!$R$4:$R$110,MATCH('Track Data'!S369,Acceleration!$K$4:$K$110,0)),IF('Track Data'!O369=1,INDEX(Acceleration!$Q$4:$Q$110,MATCH('Track Data'!S369,Acceleration!$K$4:$K$110,0)),'Track Data'!AG369)),'Track Data'!U369)</f>
        <v>5.7460064548960208</v>
      </c>
    </row>
    <row r="370" spans="2:34" x14ac:dyDescent="0.25">
      <c r="B370" s="16">
        <v>206.99600000000001</v>
      </c>
      <c r="C370" s="16">
        <v>7640</v>
      </c>
      <c r="D370" s="16">
        <v>367</v>
      </c>
      <c r="E370" s="113">
        <v>93</v>
      </c>
      <c r="F370" s="113">
        <v>91.7</v>
      </c>
      <c r="G370" s="113">
        <v>90.2</v>
      </c>
      <c r="H370" s="113">
        <f t="shared" si="39"/>
        <v>25.055555555555557</v>
      </c>
      <c r="I370" s="113">
        <v>4.0999999999999996</v>
      </c>
      <c r="J370" s="113">
        <v>27.52</v>
      </c>
      <c r="K370" s="113">
        <v>-7.4</v>
      </c>
      <c r="L370" s="189"/>
      <c r="M370" s="16">
        <v>367</v>
      </c>
      <c r="N370" s="16">
        <f t="shared" si="41"/>
        <v>5.4064199582096087E-2</v>
      </c>
      <c r="O370" s="16">
        <v>1</v>
      </c>
      <c r="P370" s="16">
        <f t="shared" si="37"/>
        <v>16.424119241192415</v>
      </c>
      <c r="Q370" s="16">
        <f t="shared" si="42"/>
        <v>18.496528344630487</v>
      </c>
      <c r="R370" s="113">
        <f t="shared" si="38"/>
        <v>434.78</v>
      </c>
      <c r="S370" s="16">
        <f>IF(S369=15800,15800,ROUND((((Q370*60)/'Gearing Calculator'!$C$14)*'Track Data'!P370),-2))</f>
        <v>9200</v>
      </c>
      <c r="T370" s="16">
        <f t="shared" si="43"/>
        <v>5.8668214111281145</v>
      </c>
      <c r="U370" s="16">
        <f>IF(AC370=100,Braking!$AG$2354,IF(AC370=50,Braking!$AG$1179,IF(AC370=75,Braking!$AG$1767,0)))</f>
        <v>0</v>
      </c>
      <c r="V370" s="16">
        <f>0.5*'Gearing Calculator'!$C$15*'Gearing Calculator'!$C$20*'Gearing Calculator'!$W$20*('Track Data'!Q370^2)</f>
        <v>36.210145995465616</v>
      </c>
      <c r="W370" s="16">
        <f>('Gearing Calculator'!$U$9*'Track Data'!T370)+'Track Data'!V370</f>
        <v>1597.9580056377697</v>
      </c>
      <c r="X370" s="16">
        <f>('Gearing Calculator'!$U$9*9.81)*('Gearing Calculator'!$U$16/'Gearing Calculator'!$C$7)-(('Track Data'!W370)*('Gearing Calculator'!$U$17/'Gearing Calculator'!$C$7))</f>
        <v>530.16605640981061</v>
      </c>
      <c r="Y370" s="16">
        <f>('Gearing Calculator'!$U$9*9.81)*(('Gearing Calculator'!$C$7-'Gearing Calculator'!$U$16)/'Gearing Calculator'!$C$7)+(('Track Data'!W370)*('Gearing Calculator'!$U$17/'Gearing Calculator'!$C$7))</f>
        <v>2081.2559435901894</v>
      </c>
      <c r="Z370" s="16">
        <f>((X370*COS('Gearing Calculator'!$C$21))/'Gearing Calculator'!$C$22)/2</f>
        <v>16.391057691813689</v>
      </c>
      <c r="AA370" s="16">
        <f>Y370/'Gearing Calculator'!$C$24</f>
        <v>29.061313601084503</v>
      </c>
      <c r="AB370" s="16">
        <f t="shared" si="36"/>
        <v>42.076967406593731</v>
      </c>
      <c r="AC370" s="16">
        <v>0</v>
      </c>
      <c r="AD370" s="16">
        <v>0</v>
      </c>
      <c r="AE370" s="16">
        <v>367</v>
      </c>
      <c r="AF370" s="16">
        <f>IF(AC370=0,IF(O370=6,INDEX(Acceleration!$V$4:$V$110,MATCH('Track Data'!S370,Acceleration!$K$4:$K$110,0)),IF('Track Data'!O370=5,INDEX(Acceleration!$U$4:$U$110,MATCH('Track Data'!S370,Acceleration!$K$4:$K$110,0)),1)),U370)</f>
        <v>1</v>
      </c>
      <c r="AG370" s="16">
        <f>IF(AC370=0,IF(O370=4,INDEX(Acceleration!$T$4:$T$110,MATCH('Track Data'!S370,Acceleration!$K$4:$K$110,0)),IF('Track Data'!O370=3,INDEX(Acceleration!$S$4:$S$110,MATCH('Track Data'!S370,Acceleration!$K$4:$K$110,0)),'Track Data'!AF370)),'Track Data'!U370)</f>
        <v>1</v>
      </c>
      <c r="AH370" s="16">
        <f>IF(AC370=0,IF(O370=2,INDEX(Acceleration!$R$4:$R$110,MATCH('Track Data'!S370,Acceleration!$K$4:$K$110,0)),IF('Track Data'!O370=1,INDEX(Acceleration!$Q$4:$Q$110,MATCH('Track Data'!S370,Acceleration!$K$4:$K$110,0)),'Track Data'!AG370)),'Track Data'!U370)</f>
        <v>5.8668214111281145</v>
      </c>
    </row>
    <row r="371" spans="2:34" x14ac:dyDescent="0.25">
      <c r="B371" s="16">
        <v>207.03399999999999</v>
      </c>
      <c r="C371" s="16">
        <v>7641</v>
      </c>
      <c r="D371" s="16">
        <v>368</v>
      </c>
      <c r="E371" s="113">
        <v>92</v>
      </c>
      <c r="F371" s="113">
        <v>94.4</v>
      </c>
      <c r="G371" s="113">
        <v>90.9</v>
      </c>
      <c r="H371" s="113">
        <f t="shared" si="39"/>
        <v>25.25</v>
      </c>
      <c r="I371" s="113">
        <v>11.3</v>
      </c>
      <c r="J371" s="113">
        <v>34.39</v>
      </c>
      <c r="K371" s="113">
        <v>-7.4</v>
      </c>
      <c r="L371" s="189"/>
      <c r="M371" s="16">
        <v>368</v>
      </c>
      <c r="N371" s="16">
        <f t="shared" si="41"/>
        <v>5.3160273512116316E-2</v>
      </c>
      <c r="O371" s="16">
        <v>1</v>
      </c>
      <c r="P371" s="16">
        <f t="shared" si="37"/>
        <v>16.424119241192415</v>
      </c>
      <c r="Q371" s="16">
        <f t="shared" si="42"/>
        <v>18.811039408442461</v>
      </c>
      <c r="R371" s="113">
        <f t="shared" si="38"/>
        <v>434.78</v>
      </c>
      <c r="S371" s="16">
        <f>IF(S370=15800,15800,ROUND((((Q371*60)/'Gearing Calculator'!$C$14)*'Track Data'!P371),-2))</f>
        <v>9400</v>
      </c>
      <c r="T371" s="16">
        <f t="shared" si="43"/>
        <v>6.1006013293482235</v>
      </c>
      <c r="U371" s="16">
        <f>IF(AC371=100,Braking!$AG$2354,IF(AC371=50,Braking!$AG$1179,IF(AC371=75,Braking!$AG$1767,0)))</f>
        <v>0</v>
      </c>
      <c r="V371" s="16">
        <f>0.5*'Gearing Calculator'!$C$15*'Gearing Calculator'!$C$20*'Gearing Calculator'!$W$20*('Track Data'!Q371^2)</f>
        <v>37.452034751773226</v>
      </c>
      <c r="W371" s="16">
        <f>('Gearing Calculator'!$U$9*'Track Data'!T371)+'Track Data'!V371</f>
        <v>1661.4321086242703</v>
      </c>
      <c r="X371" s="16">
        <f>('Gearing Calculator'!$U$9*9.81)*('Gearing Calculator'!$U$16/'Gearing Calculator'!$C$7)-(('Track Data'!W371)*('Gearing Calculator'!$U$17/'Gearing Calculator'!$C$7))</f>
        <v>495.56833539871718</v>
      </c>
      <c r="Y371" s="16">
        <f>('Gearing Calculator'!$U$9*9.81)*(('Gearing Calculator'!$C$7-'Gearing Calculator'!$U$16)/'Gearing Calculator'!$C$7)+(('Track Data'!W371)*('Gearing Calculator'!$U$17/'Gearing Calculator'!$C$7))</f>
        <v>2115.8536646012826</v>
      </c>
      <c r="Z371" s="16">
        <f>((X371*COS('Gearing Calculator'!$C$21))/'Gearing Calculator'!$C$22)/2</f>
        <v>15.321405581419521</v>
      </c>
      <c r="AA371" s="16">
        <f>Y371/'Gearing Calculator'!$C$24</f>
        <v>29.544413828753662</v>
      </c>
      <c r="AB371" s="16">
        <f t="shared" si="36"/>
        <v>43.552636081121449</v>
      </c>
      <c r="AC371" s="16">
        <v>0</v>
      </c>
      <c r="AD371" s="16">
        <v>0</v>
      </c>
      <c r="AE371" s="16">
        <v>368</v>
      </c>
      <c r="AF371" s="16">
        <f>IF(AC371=0,IF(O371=6,INDEX(Acceleration!$V$4:$V$110,MATCH('Track Data'!S371,Acceleration!$K$4:$K$110,0)),IF('Track Data'!O371=5,INDEX(Acceleration!$U$4:$U$110,MATCH('Track Data'!S371,Acceleration!$K$4:$K$110,0)),1)),U371)</f>
        <v>1</v>
      </c>
      <c r="AG371" s="16">
        <f>IF(AC371=0,IF(O371=4,INDEX(Acceleration!$T$4:$T$110,MATCH('Track Data'!S371,Acceleration!$K$4:$K$110,0)),IF('Track Data'!O371=3,INDEX(Acceleration!$S$4:$S$110,MATCH('Track Data'!S371,Acceleration!$K$4:$K$110,0)),'Track Data'!AF371)),'Track Data'!U371)</f>
        <v>1</v>
      </c>
      <c r="AH371" s="16">
        <f>IF(AC371=0,IF(O371=2,INDEX(Acceleration!$R$4:$R$110,MATCH('Track Data'!S371,Acceleration!$K$4:$K$110,0)),IF('Track Data'!O371=1,INDEX(Acceleration!$Q$4:$Q$110,MATCH('Track Data'!S371,Acceleration!$K$4:$K$110,0)),'Track Data'!AG371)),'Track Data'!U371)</f>
        <v>6.1006013293482235</v>
      </c>
    </row>
    <row r="372" spans="2:34" x14ac:dyDescent="0.25">
      <c r="B372" s="16">
        <v>207.072</v>
      </c>
      <c r="C372" s="16">
        <v>7642</v>
      </c>
      <c r="D372" s="16">
        <v>369</v>
      </c>
      <c r="E372" s="113">
        <v>94</v>
      </c>
      <c r="F372" s="113">
        <v>95.1</v>
      </c>
      <c r="G372" s="113">
        <v>91.7</v>
      </c>
      <c r="H372" s="113">
        <f t="shared" si="39"/>
        <v>25.472222222222221</v>
      </c>
      <c r="I372" s="113">
        <v>12.6</v>
      </c>
      <c r="J372" s="113">
        <v>32.54</v>
      </c>
      <c r="K372" s="113">
        <v>-5.3</v>
      </c>
      <c r="L372" s="189"/>
      <c r="M372" s="16">
        <v>369</v>
      </c>
      <c r="N372" s="16">
        <f t="shared" si="41"/>
        <v>5.2266809940490155E-2</v>
      </c>
      <c r="O372" s="16">
        <v>1</v>
      </c>
      <c r="P372" s="16">
        <f t="shared" si="37"/>
        <v>16.424119241192415</v>
      </c>
      <c r="Q372" s="16">
        <f t="shared" si="42"/>
        <v>19.132600614779783</v>
      </c>
      <c r="R372" s="113">
        <f t="shared" si="38"/>
        <v>434.78</v>
      </c>
      <c r="S372" s="16">
        <f>IF(S371=15800,15800,ROUND((((Q372*60)/'Gearing Calculator'!$C$14)*'Track Data'!P372),-2))</f>
        <v>9500</v>
      </c>
      <c r="T372" s="16">
        <f t="shared" si="43"/>
        <v>6.2137305656044628</v>
      </c>
      <c r="U372" s="16">
        <f>IF(AC372=100,Braking!$AG$2354,IF(AC372=50,Braking!$AG$1179,IF(AC372=75,Braking!$AG$1767,0)))</f>
        <v>0</v>
      </c>
      <c r="V372" s="16">
        <f>0.5*'Gearing Calculator'!$C$15*'Gearing Calculator'!$C$20*'Gearing Calculator'!$W$20*('Track Data'!Q372^2)</f>
        <v>38.743410041169653</v>
      </c>
      <c r="W372" s="16">
        <f>('Gearing Calculator'!$U$9*'Track Data'!T372)+'Track Data'!V372</f>
        <v>1692.8384866050776</v>
      </c>
      <c r="X372" s="16">
        <f>('Gearing Calculator'!$U$9*9.81)*('Gearing Calculator'!$U$16/'Gearing Calculator'!$C$7)-(('Track Data'!W372)*('Gearing Calculator'!$U$17/'Gearing Calculator'!$C$7))</f>
        <v>478.44971454038046</v>
      </c>
      <c r="Y372" s="16">
        <f>('Gearing Calculator'!$U$9*9.81)*(('Gearing Calculator'!$C$7-'Gearing Calculator'!$U$16)/'Gearing Calculator'!$C$7)+(('Track Data'!W372)*('Gearing Calculator'!$U$17/'Gearing Calculator'!$C$7))</f>
        <v>2132.9722854596193</v>
      </c>
      <c r="Z372" s="16">
        <f>((X372*COS('Gearing Calculator'!$C$21))/'Gearing Calculator'!$C$22)/2</f>
        <v>14.792151966064734</v>
      </c>
      <c r="AA372" s="16">
        <f>Y372/'Gearing Calculator'!$C$24</f>
        <v>29.78344719258109</v>
      </c>
      <c r="AB372" s="16">
        <f t="shared" si="36"/>
        <v>44.957140606774118</v>
      </c>
      <c r="AC372" s="16">
        <v>0</v>
      </c>
      <c r="AD372" s="16">
        <v>0</v>
      </c>
      <c r="AE372" s="16">
        <v>369</v>
      </c>
      <c r="AF372" s="16">
        <f>IF(AC372=0,IF(O372=6,INDEX(Acceleration!$V$4:$V$110,MATCH('Track Data'!S372,Acceleration!$K$4:$K$110,0)),IF('Track Data'!O372=5,INDEX(Acceleration!$U$4:$U$110,MATCH('Track Data'!S372,Acceleration!$K$4:$K$110,0)),1)),U372)</f>
        <v>1</v>
      </c>
      <c r="AG372" s="16">
        <f>IF(AC372=0,IF(O372=4,INDEX(Acceleration!$T$4:$T$110,MATCH('Track Data'!S372,Acceleration!$K$4:$K$110,0)),IF('Track Data'!O372=3,INDEX(Acceleration!$S$4:$S$110,MATCH('Track Data'!S372,Acceleration!$K$4:$K$110,0)),'Track Data'!AF372)),'Track Data'!U372)</f>
        <v>1</v>
      </c>
      <c r="AH372" s="16">
        <f>IF(AC372=0,IF(O372=2,INDEX(Acceleration!$R$4:$R$110,MATCH('Track Data'!S372,Acceleration!$K$4:$K$110,0)),IF('Track Data'!O372=1,INDEX(Acceleration!$Q$4:$Q$110,MATCH('Track Data'!S372,Acceleration!$K$4:$K$110,0)),'Track Data'!AG372)),'Track Data'!U372)</f>
        <v>6.2137305656044628</v>
      </c>
    </row>
    <row r="373" spans="2:34" x14ac:dyDescent="0.25">
      <c r="B373" s="16">
        <v>207.11</v>
      </c>
      <c r="C373" s="16">
        <v>7643</v>
      </c>
      <c r="D373" s="16">
        <v>370</v>
      </c>
      <c r="E373" s="113">
        <v>96</v>
      </c>
      <c r="F373" s="113">
        <v>95.5</v>
      </c>
      <c r="G373" s="113">
        <v>92.4</v>
      </c>
      <c r="H373" s="113">
        <f t="shared" si="39"/>
        <v>25.666666666666668</v>
      </c>
      <c r="I373" s="113">
        <v>12.2</v>
      </c>
      <c r="J373" s="113">
        <v>25.93</v>
      </c>
      <c r="K373" s="113">
        <v>-2.9</v>
      </c>
      <c r="L373" s="189"/>
      <c r="M373" s="16">
        <v>370</v>
      </c>
      <c r="N373" s="16">
        <f t="shared" si="41"/>
        <v>5.1401561645364316E-2</v>
      </c>
      <c r="O373" s="16">
        <v>1</v>
      </c>
      <c r="P373" s="16">
        <f t="shared" si="37"/>
        <v>16.424119241192415</v>
      </c>
      <c r="Q373" s="16">
        <f t="shared" si="42"/>
        <v>19.454661842753286</v>
      </c>
      <c r="R373" s="113">
        <f t="shared" si="38"/>
        <v>434.78</v>
      </c>
      <c r="S373" s="16">
        <f>IF(S372=15800,15800,ROUND((((Q373*60)/'Gearing Calculator'!$C$14)*'Track Data'!P373),-2))</f>
        <v>9700</v>
      </c>
      <c r="T373" s="16">
        <f t="shared" si="43"/>
        <v>6.4328528748424798</v>
      </c>
      <c r="U373" s="16">
        <f>IF(AC373=100,Braking!$AG$2354,IF(AC373=50,Braking!$AG$1179,IF(AC373=75,Braking!$AG$1767,0)))</f>
        <v>0</v>
      </c>
      <c r="V373" s="16">
        <f>0.5*'Gearing Calculator'!$C$15*'Gearing Calculator'!$C$20*'Gearing Calculator'!$W$20*('Track Data'!Q373^2)</f>
        <v>40.058732527296804</v>
      </c>
      <c r="W373" s="16">
        <f>('Gearing Calculator'!$U$9*'Track Data'!T373)+'Track Data'!V373</f>
        <v>1752.4841678103649</v>
      </c>
      <c r="X373" s="16">
        <f>('Gearing Calculator'!$U$9*9.81)*('Gearing Calculator'!$U$16/'Gearing Calculator'!$C$7)-(('Track Data'!W373)*('Gearing Calculator'!$U$17/'Gearing Calculator'!$C$7))</f>
        <v>445.93874485726371</v>
      </c>
      <c r="Y373" s="16">
        <f>('Gearing Calculator'!$U$9*9.81)*(('Gearing Calculator'!$C$7-'Gearing Calculator'!$U$16)/'Gearing Calculator'!$C$7)+(('Track Data'!W373)*('Gearing Calculator'!$U$17/'Gearing Calculator'!$C$7))</f>
        <v>2165.4832551427362</v>
      </c>
      <c r="Z373" s="16">
        <f>((X373*COS('Gearing Calculator'!$C$21))/'Gearing Calculator'!$C$22)/2</f>
        <v>13.787015606899452</v>
      </c>
      <c r="AA373" s="16">
        <f>Y373/'Gearing Calculator'!$C$24</f>
        <v>30.23740937265136</v>
      </c>
      <c r="AB373" s="16">
        <f t="shared" si="36"/>
        <v>46.491585402139286</v>
      </c>
      <c r="AC373" s="16">
        <v>0</v>
      </c>
      <c r="AD373" s="16">
        <v>0</v>
      </c>
      <c r="AE373" s="16">
        <v>370</v>
      </c>
      <c r="AF373" s="16">
        <f>IF(AC373=0,IF(O373=6,INDEX(Acceleration!$V$4:$V$110,MATCH('Track Data'!S373,Acceleration!$K$4:$K$110,0)),IF('Track Data'!O373=5,INDEX(Acceleration!$U$4:$U$110,MATCH('Track Data'!S373,Acceleration!$K$4:$K$110,0)),1)),U373)</f>
        <v>1</v>
      </c>
      <c r="AG373" s="16">
        <f>IF(AC373=0,IF(O373=4,INDEX(Acceleration!$T$4:$T$110,MATCH('Track Data'!S373,Acceleration!$K$4:$K$110,0)),IF('Track Data'!O373=3,INDEX(Acceleration!$S$4:$S$110,MATCH('Track Data'!S373,Acceleration!$K$4:$K$110,0)),'Track Data'!AF373)),'Track Data'!U373)</f>
        <v>1</v>
      </c>
      <c r="AH373" s="16">
        <f>IF(AC373=0,IF(O373=2,INDEX(Acceleration!$R$4:$R$110,MATCH('Track Data'!S373,Acceleration!$K$4:$K$110,0)),IF('Track Data'!O373=1,INDEX(Acceleration!$Q$4:$Q$110,MATCH('Track Data'!S373,Acceleration!$K$4:$K$110,0)),'Track Data'!AG373)),'Track Data'!U373)</f>
        <v>6.4328528748424798</v>
      </c>
    </row>
    <row r="374" spans="2:34" x14ac:dyDescent="0.25">
      <c r="B374" s="16">
        <v>207.148</v>
      </c>
      <c r="C374" s="16">
        <v>7644</v>
      </c>
      <c r="D374" s="16">
        <v>371</v>
      </c>
      <c r="E374" s="113">
        <v>97</v>
      </c>
      <c r="F374" s="113">
        <v>95.8</v>
      </c>
      <c r="G374" s="113">
        <v>93</v>
      </c>
      <c r="H374" s="113">
        <f t="shared" si="39"/>
        <v>25.833333333333332</v>
      </c>
      <c r="I374" s="113">
        <v>10.6</v>
      </c>
      <c r="J374" s="113">
        <v>21.31</v>
      </c>
      <c r="K374" s="113">
        <v>-1.5</v>
      </c>
      <c r="L374" s="189"/>
      <c r="M374" s="16">
        <v>371</v>
      </c>
      <c r="N374" s="16">
        <f t="shared" si="41"/>
        <v>5.0549581888851863E-2</v>
      </c>
      <c r="O374" s="16">
        <v>1</v>
      </c>
      <c r="P374" s="16">
        <f t="shared" si="37"/>
        <v>16.424119241192415</v>
      </c>
      <c r="Q374" s="16">
        <f t="shared" si="42"/>
        <v>19.782557295899981</v>
      </c>
      <c r="R374" s="113">
        <f t="shared" si="38"/>
        <v>434.78</v>
      </c>
      <c r="S374" s="16">
        <f>IF(S373=15800,15800,ROUND((((Q374*60)/'Gearing Calculator'!$C$14)*'Track Data'!P374),-2))</f>
        <v>9900</v>
      </c>
      <c r="T374" s="16">
        <f t="shared" si="43"/>
        <v>6.6429376867024867</v>
      </c>
      <c r="U374" s="16">
        <f>IF(AC374=100,Braking!$AG$2354,IF(AC374=50,Braking!$AG$1179,IF(AC374=75,Braking!$AG$1767,0)))</f>
        <v>0</v>
      </c>
      <c r="V374" s="16">
        <f>0.5*'Gearing Calculator'!$C$15*'Gearing Calculator'!$C$20*'Gearing Calculator'!$W$20*('Track Data'!Q374^2)</f>
        <v>41.420438823843455</v>
      </c>
      <c r="W374" s="16">
        <f>('Gearing Calculator'!$U$9*'Track Data'!T374)+'Track Data'!V374</f>
        <v>1809.7704510240453</v>
      </c>
      <c r="X374" s="16">
        <f>('Gearing Calculator'!$U$9*9.81)*('Gearing Calculator'!$U$16/'Gearing Calculator'!$C$7)-(('Track Data'!W374)*('Gearing Calculator'!$U$17/'Gearing Calculator'!$C$7))</f>
        <v>414.71380821166952</v>
      </c>
      <c r="Y374" s="16">
        <f>('Gearing Calculator'!$U$9*9.81)*(('Gearing Calculator'!$C$7-'Gearing Calculator'!$U$16)/'Gearing Calculator'!$C$7)+(('Track Data'!W374)*('Gearing Calculator'!$U$17/'Gearing Calculator'!$C$7))</f>
        <v>2196.7081917883306</v>
      </c>
      <c r="Z374" s="16">
        <f>((X374*COS('Gearing Calculator'!$C$21))/'Gearing Calculator'!$C$22)/2</f>
        <v>12.821639321878404</v>
      </c>
      <c r="AA374" s="16">
        <f>Y374/'Gearing Calculator'!$C$24</f>
        <v>30.673414218103609</v>
      </c>
      <c r="AB374" s="16">
        <f t="shared" ref="AB374:AB437" si="44">(T374*O374)+V374</f>
        <v>48.063376510545943</v>
      </c>
      <c r="AC374" s="16">
        <v>0</v>
      </c>
      <c r="AD374" s="16">
        <v>0</v>
      </c>
      <c r="AE374" s="16">
        <v>371</v>
      </c>
      <c r="AF374" s="16">
        <f>IF(AC374=0,IF(O374=6,INDEX(Acceleration!$V$4:$V$110,MATCH('Track Data'!S374,Acceleration!$K$4:$K$110,0)),IF('Track Data'!O374=5,INDEX(Acceleration!$U$4:$U$110,MATCH('Track Data'!S374,Acceleration!$K$4:$K$110,0)),1)),U374)</f>
        <v>1</v>
      </c>
      <c r="AG374" s="16">
        <f>IF(AC374=0,IF(O374=4,INDEX(Acceleration!$T$4:$T$110,MATCH('Track Data'!S374,Acceleration!$K$4:$K$110,0)),IF('Track Data'!O374=3,INDEX(Acceleration!$S$4:$S$110,MATCH('Track Data'!S374,Acceleration!$K$4:$K$110,0)),'Track Data'!AF374)),'Track Data'!U374)</f>
        <v>1</v>
      </c>
      <c r="AH374" s="16">
        <f>IF(AC374=0,IF(O374=2,INDEX(Acceleration!$R$4:$R$110,MATCH('Track Data'!S374,Acceleration!$K$4:$K$110,0)),IF('Track Data'!O374=1,INDEX(Acceleration!$Q$4:$Q$110,MATCH('Track Data'!S374,Acceleration!$K$4:$K$110,0)),'Track Data'!AG374)),'Track Data'!U374)</f>
        <v>6.6429376867024867</v>
      </c>
    </row>
    <row r="375" spans="2:34" x14ac:dyDescent="0.25">
      <c r="B375" s="16">
        <v>207.185</v>
      </c>
      <c r="C375" s="16">
        <v>7645</v>
      </c>
      <c r="D375" s="16">
        <v>372</v>
      </c>
      <c r="E375" s="113">
        <v>98</v>
      </c>
      <c r="F375" s="113">
        <v>96.2</v>
      </c>
      <c r="G375" s="113">
        <v>93.8</v>
      </c>
      <c r="H375" s="113">
        <f t="shared" si="39"/>
        <v>26.055555555555554</v>
      </c>
      <c r="I375" s="113">
        <v>6.9</v>
      </c>
      <c r="J375" s="113">
        <v>15.91</v>
      </c>
      <c r="K375" s="113">
        <v>-0.1</v>
      </c>
      <c r="L375" s="189"/>
      <c r="M375" s="16">
        <v>372</v>
      </c>
      <c r="N375" s="16">
        <f t="shared" si="41"/>
        <v>4.9712778445762329E-2</v>
      </c>
      <c r="O375" s="16">
        <v>1</v>
      </c>
      <c r="P375" s="16">
        <f t="shared" si="37"/>
        <v>16.424119241192415</v>
      </c>
      <c r="Q375" s="16">
        <f t="shared" si="42"/>
        <v>20.115552404519509</v>
      </c>
      <c r="R375" s="113">
        <f t="shared" si="38"/>
        <v>434.78</v>
      </c>
      <c r="S375" s="16">
        <f>IF(S374=15800,15800,ROUND((((Q375*60)/'Gearing Calculator'!$C$14)*'Track Data'!P375),-2))</f>
        <v>10000</v>
      </c>
      <c r="T375" s="16">
        <f t="shared" si="43"/>
        <v>6.8300472702333357</v>
      </c>
      <c r="U375" s="16">
        <f>IF(AC375=100,Braking!$AG$2354,IF(AC375=50,Braking!$AG$1179,IF(AC375=75,Braking!$AG$1767,0)))</f>
        <v>0</v>
      </c>
      <c r="V375" s="16">
        <f>0.5*'Gearing Calculator'!$C$15*'Gearing Calculator'!$C$20*'Gearing Calculator'!$W$20*('Track Data'!Q375^2)</f>
        <v>42.826615873364645</v>
      </c>
      <c r="W375" s="16">
        <f>('Gearing Calculator'!$U$9*'Track Data'!T375)+'Track Data'!V375</f>
        <v>1860.9851992094787</v>
      </c>
      <c r="X375" s="16">
        <f>('Gearing Calculator'!$U$9*9.81)*('Gearing Calculator'!$U$16/'Gearing Calculator'!$C$7)-(('Track Data'!W375)*('Gearing Calculator'!$U$17/'Gearing Calculator'!$C$7))</f>
        <v>386.79827280426298</v>
      </c>
      <c r="Y375" s="16">
        <f>('Gearing Calculator'!$U$9*9.81)*(('Gearing Calculator'!$C$7-'Gearing Calculator'!$U$16)/'Gearing Calculator'!$C$7)+(('Track Data'!W375)*('Gearing Calculator'!$U$17/'Gearing Calculator'!$C$7))</f>
        <v>2224.623727195737</v>
      </c>
      <c r="Z375" s="16">
        <f>((X375*COS('Gearing Calculator'!$C$21))/'Gearing Calculator'!$C$22)/2</f>
        <v>11.958579256397757</v>
      </c>
      <c r="AA375" s="16">
        <f>Y375/'Gearing Calculator'!$C$24</f>
        <v>31.063208722386143</v>
      </c>
      <c r="AB375" s="16">
        <f t="shared" si="44"/>
        <v>49.656663143597982</v>
      </c>
      <c r="AC375" s="16">
        <v>0</v>
      </c>
      <c r="AD375" s="16">
        <v>0</v>
      </c>
      <c r="AE375" s="16">
        <v>372</v>
      </c>
      <c r="AF375" s="16">
        <f>IF(AC375=0,IF(O375=6,INDEX(Acceleration!$V$4:$V$110,MATCH('Track Data'!S375,Acceleration!$K$4:$K$110,0)),IF('Track Data'!O375=5,INDEX(Acceleration!$U$4:$U$110,MATCH('Track Data'!S375,Acceleration!$K$4:$K$110,0)),1)),U375)</f>
        <v>1</v>
      </c>
      <c r="AG375" s="16">
        <f>IF(AC375=0,IF(O375=4,INDEX(Acceleration!$T$4:$T$110,MATCH('Track Data'!S375,Acceleration!$K$4:$K$110,0)),IF('Track Data'!O375=3,INDEX(Acceleration!$S$4:$S$110,MATCH('Track Data'!S375,Acceleration!$K$4:$K$110,0)),'Track Data'!AF375)),'Track Data'!U375)</f>
        <v>1</v>
      </c>
      <c r="AH375" s="16">
        <f>IF(AC375=0,IF(O375=2,INDEX(Acceleration!$R$4:$R$110,MATCH('Track Data'!S375,Acceleration!$K$4:$K$110,0)),IF('Track Data'!O375=1,INDEX(Acceleration!$Q$4:$Q$110,MATCH('Track Data'!S375,Acceleration!$K$4:$K$110,0)),'Track Data'!AG375)),'Track Data'!U375)</f>
        <v>6.8300472702333357</v>
      </c>
    </row>
    <row r="376" spans="2:34" x14ac:dyDescent="0.25">
      <c r="B376" s="16">
        <v>207.22200000000001</v>
      </c>
      <c r="C376" s="16">
        <v>7646</v>
      </c>
      <c r="D376" s="16">
        <v>373</v>
      </c>
      <c r="E376" s="113">
        <v>99</v>
      </c>
      <c r="F376" s="113">
        <v>96.3</v>
      </c>
      <c r="G376" s="113">
        <v>94.6</v>
      </c>
      <c r="H376" s="113">
        <f t="shared" si="39"/>
        <v>26.277777777777775</v>
      </c>
      <c r="I376" s="113">
        <v>4.0999999999999996</v>
      </c>
      <c r="J376" s="113">
        <v>8.65</v>
      </c>
      <c r="K376" s="113">
        <v>0.6</v>
      </c>
      <c r="L376" s="189"/>
      <c r="M376" s="16">
        <v>373</v>
      </c>
      <c r="N376" s="16">
        <f t="shared" si="41"/>
        <v>4.8894316718828747E-2</v>
      </c>
      <c r="O376" s="16">
        <v>1</v>
      </c>
      <c r="P376" s="16">
        <f t="shared" si="37"/>
        <v>16.424119241192415</v>
      </c>
      <c r="Q376" s="16">
        <f t="shared" si="42"/>
        <v>20.452274765400482</v>
      </c>
      <c r="R376" s="113">
        <f t="shared" si="38"/>
        <v>434.78</v>
      </c>
      <c r="S376" s="16">
        <f>IF(S375=15800,15800,ROUND((((Q376*60)/'Gearing Calculator'!$C$14)*'Track Data'!P376),-2))</f>
        <v>10200</v>
      </c>
      <c r="T376" s="16">
        <f t="shared" si="43"/>
        <v>7.0258900994548581</v>
      </c>
      <c r="U376" s="16">
        <f>IF(AC376=100,Braking!$AG$2354,IF(AC376=50,Braking!$AG$1179,IF(AC376=75,Braking!$AG$1767,0)))</f>
        <v>0</v>
      </c>
      <c r="V376" s="16">
        <f>0.5*'Gearing Calculator'!$C$15*'Gearing Calculator'!$C$20*'Gearing Calculator'!$W$20*('Track Data'!Q376^2)</f>
        <v>44.272400279527645</v>
      </c>
      <c r="W376" s="16">
        <f>('Gearing Calculator'!$U$9*'Track Data'!T376)+'Track Data'!V376</f>
        <v>1914.5643447544107</v>
      </c>
      <c r="X376" s="16">
        <f>('Gearing Calculator'!$U$9*9.81)*('Gearing Calculator'!$U$16/'Gearing Calculator'!$C$7)-(('Track Data'!W376)*('Gearing Calculator'!$U$17/'Gearing Calculator'!$C$7))</f>
        <v>357.59397936240725</v>
      </c>
      <c r="Y376" s="16">
        <f>('Gearing Calculator'!$U$9*9.81)*(('Gearing Calculator'!$C$7-'Gearing Calculator'!$U$16)/'Gearing Calculator'!$C$7)+(('Track Data'!W376)*('Gearing Calculator'!$U$17/'Gearing Calculator'!$C$7))</f>
        <v>2253.828020637593</v>
      </c>
      <c r="Z376" s="16">
        <f>((X376*COS('Gearing Calculator'!$C$21))/'Gearing Calculator'!$C$22)/2</f>
        <v>11.055674868486333</v>
      </c>
      <c r="AA376" s="16">
        <f>Y376/'Gearing Calculator'!$C$24</f>
        <v>31.470998611383568</v>
      </c>
      <c r="AB376" s="16">
        <f t="shared" si="44"/>
        <v>51.2982903789825</v>
      </c>
      <c r="AC376" s="16">
        <v>0</v>
      </c>
      <c r="AD376" s="16">
        <v>0</v>
      </c>
      <c r="AE376" s="16">
        <v>373</v>
      </c>
      <c r="AF376" s="16">
        <f>IF(AC376=0,IF(O376=6,INDEX(Acceleration!$V$4:$V$110,MATCH('Track Data'!S376,Acceleration!$K$4:$K$110,0)),IF('Track Data'!O376=5,INDEX(Acceleration!$U$4:$U$110,MATCH('Track Data'!S376,Acceleration!$K$4:$K$110,0)),1)),U376)</f>
        <v>1</v>
      </c>
      <c r="AG376" s="16">
        <f>IF(AC376=0,IF(O376=4,INDEX(Acceleration!$T$4:$T$110,MATCH('Track Data'!S376,Acceleration!$K$4:$K$110,0)),IF('Track Data'!O376=3,INDEX(Acceleration!$S$4:$S$110,MATCH('Track Data'!S376,Acceleration!$K$4:$K$110,0)),'Track Data'!AF376)),'Track Data'!U376)</f>
        <v>1</v>
      </c>
      <c r="AH376" s="16">
        <f>IF(AC376=0,IF(O376=2,INDEX(Acceleration!$R$4:$R$110,MATCH('Track Data'!S376,Acceleration!$K$4:$K$110,0)),IF('Track Data'!O376=1,INDEX(Acceleration!$Q$4:$Q$110,MATCH('Track Data'!S376,Acceleration!$K$4:$K$110,0)),'Track Data'!AG376)),'Track Data'!U376)</f>
        <v>7.0258900994548581</v>
      </c>
    </row>
    <row r="377" spans="2:34" x14ac:dyDescent="0.25">
      <c r="B377" s="16">
        <v>207.26</v>
      </c>
      <c r="C377" s="16">
        <v>7647</v>
      </c>
      <c r="D377" s="16">
        <v>374</v>
      </c>
      <c r="E377" s="113">
        <v>100</v>
      </c>
      <c r="F377" s="113">
        <v>97</v>
      </c>
      <c r="G377" s="113">
        <v>95.4</v>
      </c>
      <c r="H377" s="113">
        <f t="shared" si="39"/>
        <v>26.5</v>
      </c>
      <c r="I377" s="113">
        <v>2.2000000000000002</v>
      </c>
      <c r="J377" s="113">
        <v>5.21</v>
      </c>
      <c r="K377" s="113">
        <v>0.6</v>
      </c>
      <c r="L377" s="189"/>
      <c r="M377" s="16">
        <v>374</v>
      </c>
      <c r="N377" s="16">
        <f t="shared" si="41"/>
        <v>4.8093193116018715E-2</v>
      </c>
      <c r="O377" s="16">
        <v>1</v>
      </c>
      <c r="P377" s="16">
        <f t="shared" si="37"/>
        <v>16.424119241192415</v>
      </c>
      <c r="Q377" s="16">
        <f t="shared" si="42"/>
        <v>20.792963311619321</v>
      </c>
      <c r="R377" s="113">
        <f t="shared" si="38"/>
        <v>434.78</v>
      </c>
      <c r="S377" s="16">
        <f>IF(S376=15800,15800,ROUND((((Q377*60)/'Gearing Calculator'!$C$14)*'Track Data'!P377),-2))</f>
        <v>10400</v>
      </c>
      <c r="T377" s="16">
        <f t="shared" si="43"/>
        <v>7.2140162589606796</v>
      </c>
      <c r="U377" s="16">
        <f>IF(AC377=100,Braking!$AG$2354,IF(AC377=50,Braking!$AG$1179,IF(AC377=75,Braking!$AG$1767,0)))</f>
        <v>0</v>
      </c>
      <c r="V377" s="16">
        <f>0.5*'Gearing Calculator'!$C$15*'Gearing Calculator'!$C$20*'Gearing Calculator'!$W$20*('Track Data'!Q377^2)</f>
        <v>45.759640695780256</v>
      </c>
      <c r="W377" s="16">
        <f>('Gearing Calculator'!$U$9*'Track Data'!T377)+'Track Data'!V377</f>
        <v>1966.1307688311131</v>
      </c>
      <c r="X377" s="16">
        <f>('Gearing Calculator'!$U$9*9.81)*('Gearing Calculator'!$U$16/'Gearing Calculator'!$C$7)-(('Track Data'!W377)*('Gearing Calculator'!$U$17/'Gearing Calculator'!$C$7))</f>
        <v>329.4867565769996</v>
      </c>
      <c r="Y377" s="16">
        <f>('Gearing Calculator'!$U$9*9.81)*(('Gearing Calculator'!$C$7-'Gearing Calculator'!$U$16)/'Gearing Calculator'!$C$7)+(('Track Data'!W377)*('Gearing Calculator'!$U$17/'Gearing Calculator'!$C$7))</f>
        <v>2281.9352434230004</v>
      </c>
      <c r="Z377" s="16">
        <f>((X377*COS('Gearing Calculator'!$C$21))/'Gearing Calculator'!$C$22)/2</f>
        <v>10.186688435533416</v>
      </c>
      <c r="AA377" s="16">
        <f>Y377/'Gearing Calculator'!$C$24</f>
        <v>31.863469714391314</v>
      </c>
      <c r="AB377" s="16">
        <f t="shared" si="44"/>
        <v>52.973656954740932</v>
      </c>
      <c r="AC377" s="16">
        <v>0</v>
      </c>
      <c r="AD377" s="16">
        <v>0</v>
      </c>
      <c r="AE377" s="16">
        <v>374</v>
      </c>
      <c r="AF377" s="16">
        <f>IF(AC377=0,IF(O377=6,INDEX(Acceleration!$V$4:$V$110,MATCH('Track Data'!S377,Acceleration!$K$4:$K$110,0)),IF('Track Data'!O377=5,INDEX(Acceleration!$U$4:$U$110,MATCH('Track Data'!S377,Acceleration!$K$4:$K$110,0)),1)),U377)</f>
        <v>1</v>
      </c>
      <c r="AG377" s="16">
        <f>IF(AC377=0,IF(O377=4,INDEX(Acceleration!$T$4:$T$110,MATCH('Track Data'!S377,Acceleration!$K$4:$K$110,0)),IF('Track Data'!O377=3,INDEX(Acceleration!$S$4:$S$110,MATCH('Track Data'!S377,Acceleration!$K$4:$K$110,0)),'Track Data'!AF377)),'Track Data'!U377)</f>
        <v>1</v>
      </c>
      <c r="AH377" s="16">
        <f>IF(AC377=0,IF(O377=2,INDEX(Acceleration!$R$4:$R$110,MATCH('Track Data'!S377,Acceleration!$K$4:$K$110,0)),IF('Track Data'!O377=1,INDEX(Acceleration!$Q$4:$Q$110,MATCH('Track Data'!S377,Acceleration!$K$4:$K$110,0)),'Track Data'!AG377)),'Track Data'!U377)</f>
        <v>7.2140162589606796</v>
      </c>
    </row>
    <row r="378" spans="2:34" x14ac:dyDescent="0.25">
      <c r="B378" s="16">
        <v>207.297</v>
      </c>
      <c r="C378" s="16">
        <v>7648</v>
      </c>
      <c r="D378" s="16">
        <v>375</v>
      </c>
      <c r="E378" s="113">
        <v>101</v>
      </c>
      <c r="F378" s="113">
        <v>97.3</v>
      </c>
      <c r="G378" s="113">
        <v>96</v>
      </c>
      <c r="H378" s="113">
        <f t="shared" si="39"/>
        <v>26.666666666666664</v>
      </c>
      <c r="I378" s="113">
        <v>2</v>
      </c>
      <c r="J378" s="113">
        <v>4.59</v>
      </c>
      <c r="K378" s="113">
        <v>0.8</v>
      </c>
      <c r="L378" s="189"/>
      <c r="M378" s="16">
        <v>375</v>
      </c>
      <c r="N378" s="16">
        <f t="shared" si="41"/>
        <v>4.7310266595675235E-2</v>
      </c>
      <c r="O378" s="16">
        <v>1</v>
      </c>
      <c r="P378" s="16">
        <f t="shared" si="37"/>
        <v>16.424119241192415</v>
      </c>
      <c r="Q378" s="16">
        <f t="shared" si="42"/>
        <v>21.137061191099118</v>
      </c>
      <c r="R378" s="113">
        <f t="shared" si="38"/>
        <v>434.78</v>
      </c>
      <c r="S378" s="16">
        <f>IF(S377=15800,15800,ROUND((((Q378*60)/'Gearing Calculator'!$C$14)*'Track Data'!P378),-2))</f>
        <v>10500</v>
      </c>
      <c r="T378" s="16">
        <f t="shared" si="43"/>
        <v>7.3053222669936044</v>
      </c>
      <c r="U378" s="16">
        <f>IF(AC378=100,Braking!$AG$2354,IF(AC378=50,Braking!$AG$1179,IF(AC378=75,Braking!$AG$1767,0)))</f>
        <v>0</v>
      </c>
      <c r="V378" s="16">
        <f>0.5*'Gearing Calculator'!$C$15*'Gearing Calculator'!$C$20*'Gearing Calculator'!$W$20*('Track Data'!Q378^2)</f>
        <v>47.286703657477048</v>
      </c>
      <c r="W378" s="16">
        <f>('Gearing Calculator'!$U$9*'Track Data'!T378)+'Track Data'!V378</f>
        <v>1991.9634911311746</v>
      </c>
      <c r="X378" s="16">
        <f>('Gearing Calculator'!$U$9*9.81)*('Gearing Calculator'!$U$16/'Gearing Calculator'!$C$7)-(('Track Data'!W378)*('Gearing Calculator'!$U$17/'Gearing Calculator'!$C$7))</f>
        <v>315.40615871042314</v>
      </c>
      <c r="Y378" s="16">
        <f>('Gearing Calculator'!$U$9*9.81)*(('Gearing Calculator'!$C$7-'Gearing Calculator'!$U$16)/'Gearing Calculator'!$C$7)+(('Track Data'!W378)*('Gearing Calculator'!$U$17/'Gearing Calculator'!$C$7))</f>
        <v>2296.0158412895771</v>
      </c>
      <c r="Z378" s="16">
        <f>((X378*COS('Gearing Calculator'!$C$21))/'Gearing Calculator'!$C$22)/2</f>
        <v>9.7513608826357583</v>
      </c>
      <c r="AA378" s="16">
        <f>Y378/'Gearing Calculator'!$C$24</f>
        <v>32.060082087584334</v>
      </c>
      <c r="AB378" s="16">
        <f t="shared" si="44"/>
        <v>54.592025924470654</v>
      </c>
      <c r="AC378" s="16">
        <v>0</v>
      </c>
      <c r="AD378" s="16">
        <v>0</v>
      </c>
      <c r="AE378" s="16">
        <v>375</v>
      </c>
      <c r="AF378" s="16">
        <f>IF(AC378=0,IF(O378=6,INDEX(Acceleration!$V$4:$V$110,MATCH('Track Data'!S378,Acceleration!$K$4:$K$110,0)),IF('Track Data'!O378=5,INDEX(Acceleration!$U$4:$U$110,MATCH('Track Data'!S378,Acceleration!$K$4:$K$110,0)),1)),U378)</f>
        <v>1</v>
      </c>
      <c r="AG378" s="16">
        <f>IF(AC378=0,IF(O378=4,INDEX(Acceleration!$T$4:$T$110,MATCH('Track Data'!S378,Acceleration!$K$4:$K$110,0)),IF('Track Data'!O378=3,INDEX(Acceleration!$S$4:$S$110,MATCH('Track Data'!S378,Acceleration!$K$4:$K$110,0)),'Track Data'!AF378)),'Track Data'!U378)</f>
        <v>1</v>
      </c>
      <c r="AH378" s="16">
        <f>IF(AC378=0,IF(O378=2,INDEX(Acceleration!$R$4:$R$110,MATCH('Track Data'!S378,Acceleration!$K$4:$K$110,0)),IF('Track Data'!O378=1,INDEX(Acceleration!$Q$4:$Q$110,MATCH('Track Data'!S378,Acceleration!$K$4:$K$110,0)),'Track Data'!AG378)),'Track Data'!U378)</f>
        <v>7.3053222669936044</v>
      </c>
    </row>
    <row r="379" spans="2:34" x14ac:dyDescent="0.25">
      <c r="B379" s="16">
        <v>207.334</v>
      </c>
      <c r="C379" s="16">
        <v>7649</v>
      </c>
      <c r="D379" s="16">
        <v>376</v>
      </c>
      <c r="E379" s="113">
        <v>101</v>
      </c>
      <c r="F379" s="113">
        <v>97.2</v>
      </c>
      <c r="G379" s="113">
        <v>96.9</v>
      </c>
      <c r="H379" s="113">
        <f t="shared" si="39"/>
        <v>26.916666666666668</v>
      </c>
      <c r="I379" s="113">
        <v>2.5</v>
      </c>
      <c r="J379" s="113">
        <v>2.59</v>
      </c>
      <c r="K379" s="113">
        <v>1.4</v>
      </c>
      <c r="L379" s="189"/>
      <c r="M379" s="16">
        <v>376</v>
      </c>
      <c r="N379" s="16">
        <f t="shared" si="41"/>
        <v>4.6555156791085239E-2</v>
      </c>
      <c r="O379" s="16">
        <v>1</v>
      </c>
      <c r="P379" s="16">
        <f t="shared" si="37"/>
        <v>16.424119241192415</v>
      </c>
      <c r="Q379" s="16">
        <f t="shared" si="42"/>
        <v>21.479897586586759</v>
      </c>
      <c r="R379" s="113">
        <f t="shared" si="38"/>
        <v>434.78</v>
      </c>
      <c r="S379" s="16">
        <f>IF(S378=15800,15800,ROUND((((Q379*60)/'Gearing Calculator'!$C$14)*'Track Data'!P379),-2))</f>
        <v>10700</v>
      </c>
      <c r="T379" s="16">
        <f t="shared" si="43"/>
        <v>7.3232588671317282</v>
      </c>
      <c r="U379" s="16">
        <f>IF(AC379=100,Braking!$AG$2354,IF(AC379=50,Braking!$AG$1179,IF(AC379=75,Braking!$AG$1767,0)))</f>
        <v>0</v>
      </c>
      <c r="V379" s="16">
        <f>0.5*'Gearing Calculator'!$C$15*'Gearing Calculator'!$C$20*'Gearing Calculator'!$W$20*('Track Data'!Q379^2)</f>
        <v>48.833094274954256</v>
      </c>
      <c r="W379" s="16">
        <f>('Gearing Calculator'!$U$9*'Track Data'!T379)+'Track Data'!V379</f>
        <v>1998.2846047054202</v>
      </c>
      <c r="X379" s="16">
        <f>('Gearing Calculator'!$U$9*9.81)*('Gearing Calculator'!$U$16/'Gearing Calculator'!$C$7)-(('Track Data'!W379)*('Gearing Calculator'!$U$17/'Gearing Calculator'!$C$7))</f>
        <v>311.96072012001582</v>
      </c>
      <c r="Y379" s="16">
        <f>('Gearing Calculator'!$U$9*9.81)*(('Gearing Calculator'!$C$7-'Gearing Calculator'!$U$16)/'Gearing Calculator'!$C$7)+(('Track Data'!W379)*('Gearing Calculator'!$U$17/'Gearing Calculator'!$C$7))</f>
        <v>2299.4612798799844</v>
      </c>
      <c r="Z379" s="16">
        <f>((X379*COS('Gearing Calculator'!$C$21))/'Gearing Calculator'!$C$22)/2</f>
        <v>9.6448388184142164</v>
      </c>
      <c r="AA379" s="16">
        <f>Y379/'Gearing Calculator'!$C$24</f>
        <v>32.108191966466592</v>
      </c>
      <c r="AB379" s="16">
        <f t="shared" si="44"/>
        <v>56.156353142085983</v>
      </c>
      <c r="AC379" s="16">
        <v>0</v>
      </c>
      <c r="AD379" s="16">
        <v>0</v>
      </c>
      <c r="AE379" s="16">
        <v>376</v>
      </c>
      <c r="AF379" s="16">
        <f>IF(AC379=0,IF(O379=6,INDEX(Acceleration!$V$4:$V$110,MATCH('Track Data'!S379,Acceleration!$K$4:$K$110,0)),IF('Track Data'!O379=5,INDEX(Acceleration!$U$4:$U$110,MATCH('Track Data'!S379,Acceleration!$K$4:$K$110,0)),1)),U379)</f>
        <v>1</v>
      </c>
      <c r="AG379" s="16">
        <f>IF(AC379=0,IF(O379=4,INDEX(Acceleration!$T$4:$T$110,MATCH('Track Data'!S379,Acceleration!$K$4:$K$110,0)),IF('Track Data'!O379=3,INDEX(Acceleration!$S$4:$S$110,MATCH('Track Data'!S379,Acceleration!$K$4:$K$110,0)),'Track Data'!AF379)),'Track Data'!U379)</f>
        <v>1</v>
      </c>
      <c r="AH379" s="16">
        <f>IF(AC379=0,IF(O379=2,INDEX(Acceleration!$R$4:$R$110,MATCH('Track Data'!S379,Acceleration!$K$4:$K$110,0)),IF('Track Data'!O379=1,INDEX(Acceleration!$Q$4:$Q$110,MATCH('Track Data'!S379,Acceleration!$K$4:$K$110,0)),'Track Data'!AG379)),'Track Data'!U379)</f>
        <v>7.3232588671317282</v>
      </c>
    </row>
    <row r="380" spans="2:34" x14ac:dyDescent="0.25">
      <c r="B380" s="16">
        <v>207.37100000000001</v>
      </c>
      <c r="C380" s="16">
        <v>7650</v>
      </c>
      <c r="D380" s="16">
        <v>377</v>
      </c>
      <c r="E380" s="113">
        <v>103</v>
      </c>
      <c r="F380" s="113">
        <v>98</v>
      </c>
      <c r="G380" s="113">
        <v>97.9</v>
      </c>
      <c r="H380" s="113">
        <f t="shared" si="39"/>
        <v>27.194444444444446</v>
      </c>
      <c r="I380" s="113">
        <v>3</v>
      </c>
      <c r="J380" s="113">
        <v>0.64</v>
      </c>
      <c r="K380" s="113">
        <v>1.8</v>
      </c>
      <c r="L380" s="189"/>
      <c r="M380" s="16">
        <v>377</v>
      </c>
      <c r="N380" s="16">
        <f t="shared" si="41"/>
        <v>4.5833359319181713E-2</v>
      </c>
      <c r="O380" s="16">
        <v>1</v>
      </c>
      <c r="P380" s="16">
        <f t="shared" si="37"/>
        <v>16.424119241192415</v>
      </c>
      <c r="Q380" s="16">
        <f t="shared" si="42"/>
        <v>21.818169448065966</v>
      </c>
      <c r="R380" s="113">
        <f t="shared" si="38"/>
        <v>434.78</v>
      </c>
      <c r="S380" s="16">
        <f>IF(S379=15800,15800,ROUND((((Q380*60)/'Gearing Calculator'!$C$14)*'Track Data'!P380),-2))</f>
        <v>10900</v>
      </c>
      <c r="T380" s="16">
        <f t="shared" si="43"/>
        <v>7.3403528244792531</v>
      </c>
      <c r="U380" s="16">
        <f>IF(AC380=100,Braking!$AG$2354,IF(AC380=50,Braking!$AG$1179,IF(AC380=75,Braking!$AG$1767,0)))</f>
        <v>0</v>
      </c>
      <c r="V380" s="16">
        <f>0.5*'Gearing Calculator'!$C$15*'Gearing Calculator'!$C$20*'Gearing Calculator'!$W$20*('Track Data'!Q380^2)</f>
        <v>50.383281711948698</v>
      </c>
      <c r="W380" s="16">
        <f>('Gearing Calculator'!$U$9*'Track Data'!T380)+'Track Data'!V380</f>
        <v>2004.3852035883258</v>
      </c>
      <c r="X380" s="16">
        <f>('Gearing Calculator'!$U$9*9.81)*('Gearing Calculator'!$U$16/'Gearing Calculator'!$C$7)-(('Track Data'!W380)*('Gearing Calculator'!$U$17/'Gearing Calculator'!$C$7))</f>
        <v>308.63547709616</v>
      </c>
      <c r="Y380" s="16">
        <f>('Gearing Calculator'!$U$9*9.81)*(('Gearing Calculator'!$C$7-'Gearing Calculator'!$U$16)/'Gearing Calculator'!$C$7)+(('Track Data'!W380)*('Gearing Calculator'!$U$17/'Gearing Calculator'!$C$7))</f>
        <v>2302.7865229038398</v>
      </c>
      <c r="Z380" s="16">
        <f>((X380*COS('Gearing Calculator'!$C$21))/'Gearing Calculator'!$C$22)/2</f>
        <v>9.5420328209642573</v>
      </c>
      <c r="AA380" s="16">
        <f>Y380/'Gearing Calculator'!$C$24</f>
        <v>32.154623512098304</v>
      </c>
      <c r="AB380" s="16">
        <f t="shared" si="44"/>
        <v>57.723634536427952</v>
      </c>
      <c r="AC380" s="16">
        <v>0</v>
      </c>
      <c r="AD380" s="16">
        <v>0</v>
      </c>
      <c r="AE380" s="16">
        <v>377</v>
      </c>
      <c r="AF380" s="16">
        <f>IF(AC380=0,IF(O380=6,INDEX(Acceleration!$V$4:$V$110,MATCH('Track Data'!S380,Acceleration!$K$4:$K$110,0)),IF('Track Data'!O380=5,INDEX(Acceleration!$U$4:$U$110,MATCH('Track Data'!S380,Acceleration!$K$4:$K$110,0)),1)),U380)</f>
        <v>1</v>
      </c>
      <c r="AG380" s="16">
        <f>IF(AC380=0,IF(O380=4,INDEX(Acceleration!$T$4:$T$110,MATCH('Track Data'!S380,Acceleration!$K$4:$K$110,0)),IF('Track Data'!O380=3,INDEX(Acceleration!$S$4:$S$110,MATCH('Track Data'!S380,Acceleration!$K$4:$K$110,0)),'Track Data'!AF380)),'Track Data'!U380)</f>
        <v>1</v>
      </c>
      <c r="AH380" s="16">
        <f>IF(AC380=0,IF(O380=2,INDEX(Acceleration!$R$4:$R$110,MATCH('Track Data'!S380,Acceleration!$K$4:$K$110,0)),IF('Track Data'!O380=1,INDEX(Acceleration!$Q$4:$Q$110,MATCH('Track Data'!S380,Acceleration!$K$4:$K$110,0)),'Track Data'!AG380)),'Track Data'!U380)</f>
        <v>7.3403528244792531</v>
      </c>
    </row>
    <row r="381" spans="2:34" x14ac:dyDescent="0.25">
      <c r="B381" s="16">
        <v>207.40700000000001</v>
      </c>
      <c r="C381" s="16">
        <v>7651</v>
      </c>
      <c r="D381" s="16">
        <v>378</v>
      </c>
      <c r="E381" s="113">
        <v>104</v>
      </c>
      <c r="F381" s="113">
        <v>99.7</v>
      </c>
      <c r="G381" s="113">
        <v>98.7</v>
      </c>
      <c r="H381" s="113">
        <f t="shared" si="39"/>
        <v>27.416666666666668</v>
      </c>
      <c r="I381" s="113">
        <v>2.6</v>
      </c>
      <c r="J381" s="113">
        <v>1.1299999999999999</v>
      </c>
      <c r="K381" s="113">
        <v>1.8</v>
      </c>
      <c r="L381" s="189"/>
      <c r="M381" s="16">
        <v>378</v>
      </c>
      <c r="N381" s="16">
        <f t="shared" si="41"/>
        <v>4.5142553275933958E-2</v>
      </c>
      <c r="O381" s="16">
        <v>1</v>
      </c>
      <c r="P381" s="16">
        <f t="shared" si="37"/>
        <v>16.424119241192415</v>
      </c>
      <c r="Q381" s="16">
        <f t="shared" si="42"/>
        <v>22.152047844690966</v>
      </c>
      <c r="R381" s="113">
        <f t="shared" si="38"/>
        <v>434.78</v>
      </c>
      <c r="S381" s="16">
        <f>IF(S380=15800,15800,ROUND((((Q381*60)/'Gearing Calculator'!$C$14)*'Track Data'!P381),-2))</f>
        <v>11000</v>
      </c>
      <c r="T381" s="16">
        <f t="shared" si="43"/>
        <v>7.2710625986387001</v>
      </c>
      <c r="U381" s="16">
        <f>IF(AC381=100,Braking!$AG$2354,IF(AC381=50,Braking!$AG$1179,IF(AC381=75,Braking!$AG$1767,0)))</f>
        <v>0</v>
      </c>
      <c r="V381" s="16">
        <f>0.5*'Gearing Calculator'!$C$15*'Gearing Calculator'!$C$20*'Gearing Calculator'!$W$20*('Track Data'!Q381^2)</f>
        <v>51.93708759783447</v>
      </c>
      <c r="W381" s="16">
        <f>('Gearing Calculator'!$U$9*'Track Data'!T381)+'Track Data'!V381</f>
        <v>1987.4939513554564</v>
      </c>
      <c r="X381" s="16">
        <f>('Gearing Calculator'!$U$9*9.81)*('Gearing Calculator'!$U$16/'Gearing Calculator'!$C$7)-(('Track Data'!W381)*('Gearing Calculator'!$U$17/'Gearing Calculator'!$C$7))</f>
        <v>317.84236312974622</v>
      </c>
      <c r="Y381" s="16">
        <f>('Gearing Calculator'!$U$9*9.81)*(('Gearing Calculator'!$C$7-'Gearing Calculator'!$U$16)/'Gearing Calculator'!$C$7)+(('Track Data'!W381)*('Gearing Calculator'!$U$17/'Gearing Calculator'!$C$7))</f>
        <v>2293.579636870254</v>
      </c>
      <c r="Z381" s="16">
        <f>((X381*COS('Gearing Calculator'!$C$21))/'Gearing Calculator'!$C$22)/2</f>
        <v>9.8266806182231097</v>
      </c>
      <c r="AA381" s="16">
        <f>Y381/'Gearing Calculator'!$C$24</f>
        <v>32.02606450274844</v>
      </c>
      <c r="AB381" s="16">
        <f t="shared" si="44"/>
        <v>59.20815019647317</v>
      </c>
      <c r="AC381" s="16">
        <v>0</v>
      </c>
      <c r="AD381" s="16">
        <v>0</v>
      </c>
      <c r="AE381" s="16">
        <v>378</v>
      </c>
      <c r="AF381" s="16">
        <f>IF(AC381=0,IF(O381=6,INDEX(Acceleration!$V$4:$V$110,MATCH('Track Data'!S381,Acceleration!$K$4:$K$110,0)),IF('Track Data'!O381=5,INDEX(Acceleration!$U$4:$U$110,MATCH('Track Data'!S381,Acceleration!$K$4:$K$110,0)),1)),U381)</f>
        <v>1</v>
      </c>
      <c r="AG381" s="16">
        <f>IF(AC381=0,IF(O381=4,INDEX(Acceleration!$T$4:$T$110,MATCH('Track Data'!S381,Acceleration!$K$4:$K$110,0)),IF('Track Data'!O381=3,INDEX(Acceleration!$S$4:$S$110,MATCH('Track Data'!S381,Acceleration!$K$4:$K$110,0)),'Track Data'!AF381)),'Track Data'!U381)</f>
        <v>1</v>
      </c>
      <c r="AH381" s="16">
        <f>IF(AC381=0,IF(O381=2,INDEX(Acceleration!$R$4:$R$110,MATCH('Track Data'!S381,Acceleration!$K$4:$K$110,0)),IF('Track Data'!O381=1,INDEX(Acceleration!$Q$4:$Q$110,MATCH('Track Data'!S381,Acceleration!$K$4:$K$110,0)),'Track Data'!AG381)),'Track Data'!U381)</f>
        <v>7.2710625986387001</v>
      </c>
    </row>
    <row r="382" spans="2:34" x14ac:dyDescent="0.25">
      <c r="B382" s="16">
        <v>207.44300000000001</v>
      </c>
      <c r="C382" s="16">
        <v>7652</v>
      </c>
      <c r="D382" s="16">
        <v>379</v>
      </c>
      <c r="E382" s="113">
        <v>104</v>
      </c>
      <c r="F382" s="113">
        <v>101.6</v>
      </c>
      <c r="G382" s="113">
        <v>99.8</v>
      </c>
      <c r="H382" s="113">
        <f t="shared" si="39"/>
        <v>27.722222222222221</v>
      </c>
      <c r="I382" s="113">
        <v>2.5</v>
      </c>
      <c r="J382" s="113">
        <v>2.81</v>
      </c>
      <c r="K382" s="113">
        <v>1.9</v>
      </c>
      <c r="L382" s="189"/>
      <c r="M382" s="16">
        <v>379</v>
      </c>
      <c r="N382" s="16">
        <f t="shared" si="41"/>
        <v>4.4488169840037332E-2</v>
      </c>
      <c r="O382" s="16">
        <v>1</v>
      </c>
      <c r="P382" s="16">
        <f t="shared" si="37"/>
        <v>16.424119241192415</v>
      </c>
      <c r="Q382" s="16">
        <f t="shared" si="42"/>
        <v>22.477885774928989</v>
      </c>
      <c r="R382" s="113">
        <f t="shared" si="38"/>
        <v>434.78</v>
      </c>
      <c r="S382" s="16">
        <f>IF(S381=15800,15800,ROUND((((Q382*60)/'Gearing Calculator'!$C$14)*'Track Data'!P382),-2))</f>
        <v>11200</v>
      </c>
      <c r="T382" s="16">
        <f t="shared" si="43"/>
        <v>7.1360553205494499</v>
      </c>
      <c r="U382" s="16">
        <f>IF(AC382=100,Braking!$AG$2354,IF(AC382=50,Braking!$AG$1179,IF(AC382=75,Braking!$AG$1767,0)))</f>
        <v>0</v>
      </c>
      <c r="V382" s="16">
        <f>0.5*'Gearing Calculator'!$C$15*'Gearing Calculator'!$C$20*'Gearing Calculator'!$W$20*('Track Data'!Q382^2)</f>
        <v>53.476226128714302</v>
      </c>
      <c r="W382" s="16">
        <f>('Gearing Calculator'!$U$9*'Track Data'!T382)+'Track Data'!V382</f>
        <v>1953.094152458978</v>
      </c>
      <c r="X382" s="16">
        <f>('Gearing Calculator'!$U$9*9.81)*('Gearing Calculator'!$U$16/'Gearing Calculator'!$C$7)-(('Track Data'!W382)*('Gearing Calculator'!$U$17/'Gearing Calculator'!$C$7))</f>
        <v>336.59260281901288</v>
      </c>
      <c r="Y382" s="16">
        <f>('Gearing Calculator'!$U$9*9.81)*(('Gearing Calculator'!$C$7-'Gearing Calculator'!$U$16)/'Gearing Calculator'!$C$7)+(('Track Data'!W382)*('Gearing Calculator'!$U$17/'Gearing Calculator'!$C$7))</f>
        <v>2274.8293971809871</v>
      </c>
      <c r="Z382" s="16">
        <f>((X382*COS('Gearing Calculator'!$C$21))/'Gearing Calculator'!$C$22)/2</f>
        <v>10.406378727459545</v>
      </c>
      <c r="AA382" s="16">
        <f>Y382/'Gearing Calculator'!$C$24</f>
        <v>31.764248267516304</v>
      </c>
      <c r="AB382" s="16">
        <f t="shared" si="44"/>
        <v>60.612281449263754</v>
      </c>
      <c r="AC382" s="16">
        <v>0</v>
      </c>
      <c r="AD382" s="16">
        <v>0</v>
      </c>
      <c r="AE382" s="16">
        <v>379</v>
      </c>
      <c r="AF382" s="16">
        <f>IF(AC382=0,IF(O382=6,INDEX(Acceleration!$V$4:$V$110,MATCH('Track Data'!S382,Acceleration!$K$4:$K$110,0)),IF('Track Data'!O382=5,INDEX(Acceleration!$U$4:$U$110,MATCH('Track Data'!S382,Acceleration!$K$4:$K$110,0)),1)),U382)</f>
        <v>1</v>
      </c>
      <c r="AG382" s="16">
        <f>IF(AC382=0,IF(O382=4,INDEX(Acceleration!$T$4:$T$110,MATCH('Track Data'!S382,Acceleration!$K$4:$K$110,0)),IF('Track Data'!O382=3,INDEX(Acceleration!$S$4:$S$110,MATCH('Track Data'!S382,Acceleration!$K$4:$K$110,0)),'Track Data'!AF382)),'Track Data'!U382)</f>
        <v>1</v>
      </c>
      <c r="AH382" s="16">
        <f>IF(AC382=0,IF(O382=2,INDEX(Acceleration!$R$4:$R$110,MATCH('Track Data'!S382,Acceleration!$K$4:$K$110,0)),IF('Track Data'!O382=1,INDEX(Acceleration!$Q$4:$Q$110,MATCH('Track Data'!S382,Acceleration!$K$4:$K$110,0)),'Track Data'!AG382)),'Track Data'!U382)</f>
        <v>7.1360553205494499</v>
      </c>
    </row>
    <row r="383" spans="2:34" x14ac:dyDescent="0.25">
      <c r="B383" s="16">
        <v>207.47900000000001</v>
      </c>
      <c r="C383" s="16">
        <v>7653</v>
      </c>
      <c r="D383" s="16">
        <v>380</v>
      </c>
      <c r="E383" s="113">
        <v>105</v>
      </c>
      <c r="F383" s="113">
        <v>103.1</v>
      </c>
      <c r="G383" s="113">
        <v>100.6</v>
      </c>
      <c r="H383" s="113">
        <f t="shared" si="39"/>
        <v>27.944444444444443</v>
      </c>
      <c r="I383" s="113">
        <v>3.1</v>
      </c>
      <c r="J383" s="113">
        <v>3.63</v>
      </c>
      <c r="K383" s="113">
        <v>3.1</v>
      </c>
      <c r="L383" s="189"/>
      <c r="M383" s="16">
        <v>380</v>
      </c>
      <c r="N383" s="16">
        <f t="shared" si="41"/>
        <v>4.3872839814788657E-2</v>
      </c>
      <c r="O383" s="16">
        <v>1</v>
      </c>
      <c r="P383" s="16">
        <f t="shared" si="37"/>
        <v>16.424119241192415</v>
      </c>
      <c r="Q383" s="16">
        <f t="shared" si="42"/>
        <v>22.793145012302578</v>
      </c>
      <c r="R383" s="113">
        <f t="shared" si="38"/>
        <v>434.78</v>
      </c>
      <c r="S383" s="16">
        <f>IF(S382=15800,15800,ROUND((((Q383*60)/'Gearing Calculator'!$C$14)*'Track Data'!P383),-2))</f>
        <v>11300</v>
      </c>
      <c r="T383" s="16">
        <f t="shared" si="43"/>
        <v>7.0702741950247265</v>
      </c>
      <c r="U383" s="16">
        <f>IF(AC383=100,Braking!$AG$2354,IF(AC383=50,Braking!$AG$1179,IF(AC383=75,Braking!$AG$1767,0)))</f>
        <v>0</v>
      </c>
      <c r="V383" s="16">
        <f>0.5*'Gearing Calculator'!$C$15*'Gearing Calculator'!$C$20*'Gearing Calculator'!$W$20*('Track Data'!Q383^2)</f>
        <v>54.986786318968214</v>
      </c>
      <c r="W383" s="16">
        <f>('Gearing Calculator'!$U$9*'Track Data'!T383)+'Track Data'!V383</f>
        <v>1937.0937770345502</v>
      </c>
      <c r="X383" s="16">
        <f>('Gearing Calculator'!$U$9*9.81)*('Gearing Calculator'!$U$16/'Gearing Calculator'!$C$7)-(('Track Data'!W383)*('Gearing Calculator'!$U$17/'Gearing Calculator'!$C$7))</f>
        <v>345.31390015069542</v>
      </c>
      <c r="Y383" s="16">
        <f>('Gearing Calculator'!$U$9*9.81)*(('Gearing Calculator'!$C$7-'Gearing Calculator'!$U$16)/'Gearing Calculator'!$C$7)+(('Track Data'!W383)*('Gearing Calculator'!$U$17/'Gearing Calculator'!$C$7))</f>
        <v>2266.1080998493044</v>
      </c>
      <c r="Z383" s="16">
        <f>((X383*COS('Gearing Calculator'!$C$21))/'Gearing Calculator'!$C$22)/2</f>
        <v>10.676013657841754</v>
      </c>
      <c r="AA383" s="16">
        <f>Y383/'Gearing Calculator'!$C$24</f>
        <v>31.642469705131937</v>
      </c>
      <c r="AB383" s="16">
        <f t="shared" si="44"/>
        <v>62.057060513992937</v>
      </c>
      <c r="AC383" s="16">
        <v>0</v>
      </c>
      <c r="AD383" s="16">
        <v>0</v>
      </c>
      <c r="AE383" s="16">
        <v>380</v>
      </c>
      <c r="AF383" s="16">
        <f>IF(AC383=0,IF(O383=6,INDEX(Acceleration!$V$4:$V$110,MATCH('Track Data'!S383,Acceleration!$K$4:$K$110,0)),IF('Track Data'!O383=5,INDEX(Acceleration!$U$4:$U$110,MATCH('Track Data'!S383,Acceleration!$K$4:$K$110,0)),1)),U383)</f>
        <v>1</v>
      </c>
      <c r="AG383" s="16">
        <f>IF(AC383=0,IF(O383=4,INDEX(Acceleration!$T$4:$T$110,MATCH('Track Data'!S383,Acceleration!$K$4:$K$110,0)),IF('Track Data'!O383=3,INDEX(Acceleration!$S$4:$S$110,MATCH('Track Data'!S383,Acceleration!$K$4:$K$110,0)),'Track Data'!AF383)),'Track Data'!U383)</f>
        <v>1</v>
      </c>
      <c r="AH383" s="16">
        <f>IF(AC383=0,IF(O383=2,INDEX(Acceleration!$R$4:$R$110,MATCH('Track Data'!S383,Acceleration!$K$4:$K$110,0)),IF('Track Data'!O383=1,INDEX(Acceleration!$Q$4:$Q$110,MATCH('Track Data'!S383,Acceleration!$K$4:$K$110,0)),'Track Data'!AG383)),'Track Data'!U383)</f>
        <v>7.0702741950247265</v>
      </c>
    </row>
    <row r="384" spans="2:34" x14ac:dyDescent="0.25">
      <c r="B384" s="16">
        <v>207.51400000000001</v>
      </c>
      <c r="C384" s="16">
        <v>7654</v>
      </c>
      <c r="D384" s="16">
        <v>381</v>
      </c>
      <c r="E384" s="113">
        <v>106</v>
      </c>
      <c r="F384" s="113">
        <v>104.6</v>
      </c>
      <c r="G384" s="113">
        <v>101.7</v>
      </c>
      <c r="H384" s="113">
        <f t="shared" si="39"/>
        <v>28.25</v>
      </c>
      <c r="I384" s="113">
        <v>3.6</v>
      </c>
      <c r="J384" s="113">
        <v>5.09</v>
      </c>
      <c r="K384" s="113">
        <v>4.7</v>
      </c>
      <c r="L384" s="189"/>
      <c r="M384" s="16">
        <v>381</v>
      </c>
      <c r="N384" s="16">
        <f t="shared" si="41"/>
        <v>4.3287690484065264E-2</v>
      </c>
      <c r="O384" s="16">
        <v>1</v>
      </c>
      <c r="P384" s="16">
        <f t="shared" si="37"/>
        <v>16.424119241192415</v>
      </c>
      <c r="Q384" s="16">
        <f t="shared" si="42"/>
        <v>23.101255549036797</v>
      </c>
      <c r="R384" s="113">
        <f t="shared" si="38"/>
        <v>434.78</v>
      </c>
      <c r="S384" s="16">
        <f>IF(S383=15800,15800,ROUND((((Q384*60)/'Gearing Calculator'!$C$14)*'Track Data'!P384),-2))</f>
        <v>11500</v>
      </c>
      <c r="T384" s="16">
        <f t="shared" si="43"/>
        <v>6.9420051452088378</v>
      </c>
      <c r="U384" s="16">
        <f>IF(AC384=100,Braking!$AG$2354,IF(AC384=50,Braking!$AG$1179,IF(AC384=75,Braking!$AG$1767,0)))</f>
        <v>0</v>
      </c>
      <c r="V384" s="16">
        <f>0.5*'Gearing Calculator'!$C$15*'Gearing Calculator'!$C$20*'Gearing Calculator'!$W$20*('Track Data'!Q384^2)</f>
        <v>56.48342196057105</v>
      </c>
      <c r="W384" s="16">
        <f>('Gearing Calculator'!$U$9*'Track Data'!T384)+'Track Data'!V384</f>
        <v>1904.4451916151636</v>
      </c>
      <c r="X384" s="16">
        <f>('Gearing Calculator'!$U$9*9.81)*('Gearing Calculator'!$U$16/'Gearing Calculator'!$C$7)-(('Track Data'!W384)*('Gearing Calculator'!$U$17/'Gearing Calculator'!$C$7))</f>
        <v>363.10960889804119</v>
      </c>
      <c r="Y384" s="16">
        <f>('Gearing Calculator'!$U$9*9.81)*(('Gearing Calculator'!$C$7-'Gearing Calculator'!$U$16)/'Gearing Calculator'!$C$7)+(('Track Data'!W384)*('Gearing Calculator'!$U$17/'Gearing Calculator'!$C$7))</f>
        <v>2248.3123911019588</v>
      </c>
      <c r="Z384" s="16">
        <f>((X384*COS('Gearing Calculator'!$C$21))/'Gearing Calculator'!$C$22)/2</f>
        <v>11.226200689278157</v>
      </c>
      <c r="AA384" s="16">
        <f>Y384/'Gearing Calculator'!$C$24</f>
        <v>31.393981923389891</v>
      </c>
      <c r="AB384" s="16">
        <f t="shared" si="44"/>
        <v>63.425427105779889</v>
      </c>
      <c r="AC384" s="16">
        <v>0</v>
      </c>
      <c r="AD384" s="16">
        <v>0</v>
      </c>
      <c r="AE384" s="16">
        <v>381</v>
      </c>
      <c r="AF384" s="16">
        <f>IF(AC384=0,IF(O384=6,INDEX(Acceleration!$V$4:$V$110,MATCH('Track Data'!S384,Acceleration!$K$4:$K$110,0)),IF('Track Data'!O384=5,INDEX(Acceleration!$U$4:$U$110,MATCH('Track Data'!S384,Acceleration!$K$4:$K$110,0)),1)),U384)</f>
        <v>1</v>
      </c>
      <c r="AG384" s="16">
        <f>IF(AC384=0,IF(O384=4,INDEX(Acceleration!$T$4:$T$110,MATCH('Track Data'!S384,Acceleration!$K$4:$K$110,0)),IF('Track Data'!O384=3,INDEX(Acceleration!$S$4:$S$110,MATCH('Track Data'!S384,Acceleration!$K$4:$K$110,0)),'Track Data'!AF384)),'Track Data'!U384)</f>
        <v>1</v>
      </c>
      <c r="AH384" s="16">
        <f>IF(AC384=0,IF(O384=2,INDEX(Acceleration!$R$4:$R$110,MATCH('Track Data'!S384,Acceleration!$K$4:$K$110,0)),IF('Track Data'!O384=1,INDEX(Acceleration!$Q$4:$Q$110,MATCH('Track Data'!S384,Acceleration!$K$4:$K$110,0)),'Track Data'!AG384)),'Track Data'!U384)</f>
        <v>6.9420051452088378</v>
      </c>
    </row>
    <row r="385" spans="2:34" x14ac:dyDescent="0.25">
      <c r="B385" s="16">
        <v>207.548</v>
      </c>
      <c r="C385" s="16">
        <v>7655</v>
      </c>
      <c r="D385" s="16">
        <v>382</v>
      </c>
      <c r="E385" s="113">
        <v>107</v>
      </c>
      <c r="F385" s="113">
        <v>105.6</v>
      </c>
      <c r="G385" s="113">
        <v>102.5</v>
      </c>
      <c r="H385" s="113">
        <f t="shared" si="39"/>
        <v>28.472222222222221</v>
      </c>
      <c r="I385" s="113">
        <v>4.3</v>
      </c>
      <c r="J385" s="113">
        <v>7.34</v>
      </c>
      <c r="K385" s="113">
        <v>4.4000000000000004</v>
      </c>
      <c r="L385" s="189"/>
      <c r="M385" s="16">
        <v>382</v>
      </c>
      <c r="N385" s="16">
        <f t="shared" si="41"/>
        <v>4.2735354212243469E-2</v>
      </c>
      <c r="O385" s="16">
        <v>1</v>
      </c>
      <c r="P385" s="16">
        <f t="shared" si="37"/>
        <v>16.424119241192415</v>
      </c>
      <c r="Q385" s="16">
        <f t="shared" si="42"/>
        <v>23.399829448787038</v>
      </c>
      <c r="R385" s="113">
        <f t="shared" si="38"/>
        <v>434.78</v>
      </c>
      <c r="S385" s="16">
        <f>IF(S384=15800,15800,ROUND((((Q385*60)/'Gearing Calculator'!$C$14)*'Track Data'!P385),-2))</f>
        <v>11700</v>
      </c>
      <c r="T385" s="16">
        <f t="shared" si="43"/>
        <v>6.963728092387738</v>
      </c>
      <c r="U385" s="16">
        <f>IF(AC385=100,Braking!$AG$2354,IF(AC385=50,Braking!$AG$1179,IF(AC385=75,Braking!$AG$1767,0)))</f>
        <v>0</v>
      </c>
      <c r="V385" s="16">
        <f>0.5*'Gearing Calculator'!$C$15*'Gearing Calculator'!$C$20*'Gearing Calculator'!$W$20*('Track Data'!Q385^2)</f>
        <v>57.952905609708857</v>
      </c>
      <c r="W385" s="16">
        <f>('Gearing Calculator'!$U$9*'Track Data'!T385)+'Track Data'!V385</f>
        <v>1911.6973238033245</v>
      </c>
      <c r="X385" s="16">
        <f>('Gearing Calculator'!$U$9*9.81)*('Gearing Calculator'!$U$16/'Gearing Calculator'!$C$7)-(('Track Data'!W385)*('Gearing Calculator'!$U$17/'Gearing Calculator'!$C$7))</f>
        <v>359.15670158031298</v>
      </c>
      <c r="Y385" s="16">
        <f>('Gearing Calculator'!$U$9*9.81)*(('Gearing Calculator'!$C$7-'Gearing Calculator'!$U$16)/'Gearing Calculator'!$C$7)+(('Track Data'!W385)*('Gearing Calculator'!$U$17/'Gearing Calculator'!$C$7))</f>
        <v>2252.265298419687</v>
      </c>
      <c r="Z385" s="16">
        <f>((X385*COS('Gearing Calculator'!$C$21))/'Gearing Calculator'!$C$22)/2</f>
        <v>11.103989296994694</v>
      </c>
      <c r="AA385" s="16">
        <f>Y385/'Gearing Calculator'!$C$24</f>
        <v>31.449177767779101</v>
      </c>
      <c r="AB385" s="16">
        <f t="shared" si="44"/>
        <v>64.91663370209659</v>
      </c>
      <c r="AC385" s="16">
        <v>0</v>
      </c>
      <c r="AD385" s="16">
        <v>0</v>
      </c>
      <c r="AE385" s="16">
        <v>382</v>
      </c>
      <c r="AF385" s="16">
        <f>IF(AC385=0,IF(O385=6,INDEX(Acceleration!$V$4:$V$110,MATCH('Track Data'!S385,Acceleration!$K$4:$K$110,0)),IF('Track Data'!O385=5,INDEX(Acceleration!$U$4:$U$110,MATCH('Track Data'!S385,Acceleration!$K$4:$K$110,0)),1)),U385)</f>
        <v>1</v>
      </c>
      <c r="AG385" s="16">
        <f>IF(AC385=0,IF(O385=4,INDEX(Acceleration!$T$4:$T$110,MATCH('Track Data'!S385,Acceleration!$K$4:$K$110,0)),IF('Track Data'!O385=3,INDEX(Acceleration!$S$4:$S$110,MATCH('Track Data'!S385,Acceleration!$K$4:$K$110,0)),'Track Data'!AF385)),'Track Data'!U385)</f>
        <v>1</v>
      </c>
      <c r="AH385" s="16">
        <f>IF(AC385=0,IF(O385=2,INDEX(Acceleration!$R$4:$R$110,MATCH('Track Data'!S385,Acceleration!$K$4:$K$110,0)),IF('Track Data'!O385=1,INDEX(Acceleration!$Q$4:$Q$110,MATCH('Track Data'!S385,Acceleration!$K$4:$K$110,0)),'Track Data'!AG385)),'Track Data'!U385)</f>
        <v>6.963728092387738</v>
      </c>
    </row>
    <row r="386" spans="2:34" x14ac:dyDescent="0.25">
      <c r="B386" s="16">
        <v>207.58199999999999</v>
      </c>
      <c r="C386" s="16">
        <v>7656</v>
      </c>
      <c r="D386" s="16">
        <v>383</v>
      </c>
      <c r="E386" s="113">
        <v>108</v>
      </c>
      <c r="F386" s="113">
        <v>106.6</v>
      </c>
      <c r="G386" s="113">
        <v>103.6</v>
      </c>
      <c r="H386" s="113">
        <f t="shared" si="39"/>
        <v>28.777777777777775</v>
      </c>
      <c r="I386" s="113">
        <v>5.9</v>
      </c>
      <c r="J386" s="113">
        <v>7.49</v>
      </c>
      <c r="K386" s="113">
        <v>3.5</v>
      </c>
      <c r="L386" s="189"/>
      <c r="M386" s="16">
        <v>383</v>
      </c>
      <c r="N386" s="16">
        <f t="shared" si="41"/>
        <v>4.2202002380147811E-2</v>
      </c>
      <c r="O386" s="16">
        <v>1</v>
      </c>
      <c r="P386" s="16">
        <f t="shared" si="37"/>
        <v>16.424119241192415</v>
      </c>
      <c r="Q386" s="16">
        <f t="shared" si="42"/>
        <v>23.695558115754448</v>
      </c>
      <c r="R386" s="113">
        <f t="shared" si="38"/>
        <v>434.78</v>
      </c>
      <c r="S386" s="16">
        <f>IF(S385=15800,15800,ROUND((((Q386*60)/'Gearing Calculator'!$C$14)*'Track Data'!P386),-2))</f>
        <v>11800</v>
      </c>
      <c r="T386" s="16">
        <f t="shared" si="43"/>
        <v>6.9742437731048845</v>
      </c>
      <c r="U386" s="16">
        <f>IF(AC386=100,Braking!$AG$2354,IF(AC386=50,Braking!$AG$1179,IF(AC386=75,Braking!$AG$1767,0)))</f>
        <v>0</v>
      </c>
      <c r="V386" s="16">
        <f>0.5*'Gearing Calculator'!$C$15*'Gearing Calculator'!$C$20*'Gearing Calculator'!$W$20*('Track Data'!Q386^2)</f>
        <v>59.426987572305492</v>
      </c>
      <c r="W386" s="16">
        <f>('Gearing Calculator'!$U$9*'Track Data'!T386)+'Track Data'!V386</f>
        <v>1915.9706799728258</v>
      </c>
      <c r="X386" s="16">
        <f>('Gearing Calculator'!$U$9*9.81)*('Gearing Calculator'!$U$16/'Gearing Calculator'!$C$7)-(('Track Data'!W386)*('Gearing Calculator'!$U$17/'Gearing Calculator'!$C$7))</f>
        <v>356.8274306244889</v>
      </c>
      <c r="Y386" s="16">
        <f>('Gearing Calculator'!$U$9*9.81)*(('Gearing Calculator'!$C$7-'Gearing Calculator'!$U$16)/'Gearing Calculator'!$C$7)+(('Track Data'!W386)*('Gearing Calculator'!$U$17/'Gearing Calculator'!$C$7))</f>
        <v>2254.5945693755111</v>
      </c>
      <c r="Z386" s="16">
        <f>((X386*COS('Gearing Calculator'!$C$21))/'Gearing Calculator'!$C$22)/2</f>
        <v>11.031975605897001</v>
      </c>
      <c r="AA386" s="16">
        <f>Y386/'Gearing Calculator'!$C$24</f>
        <v>31.481702202804776</v>
      </c>
      <c r="AB386" s="16">
        <f t="shared" si="44"/>
        <v>66.40123134541038</v>
      </c>
      <c r="AC386" s="16">
        <v>0</v>
      </c>
      <c r="AD386" s="16">
        <v>0</v>
      </c>
      <c r="AE386" s="16">
        <v>383</v>
      </c>
      <c r="AF386" s="16">
        <f>IF(AC386=0,IF(O386=6,INDEX(Acceleration!$V$4:$V$110,MATCH('Track Data'!S386,Acceleration!$K$4:$K$110,0)),IF('Track Data'!O386=5,INDEX(Acceleration!$U$4:$U$110,MATCH('Track Data'!S386,Acceleration!$K$4:$K$110,0)),1)),U386)</f>
        <v>1</v>
      </c>
      <c r="AG386" s="16">
        <f>IF(AC386=0,IF(O386=4,INDEX(Acceleration!$T$4:$T$110,MATCH('Track Data'!S386,Acceleration!$K$4:$K$110,0)),IF('Track Data'!O386=3,INDEX(Acceleration!$S$4:$S$110,MATCH('Track Data'!S386,Acceleration!$K$4:$K$110,0)),'Track Data'!AF386)),'Track Data'!U386)</f>
        <v>1</v>
      </c>
      <c r="AH386" s="16">
        <f>IF(AC386=0,IF(O386=2,INDEX(Acceleration!$R$4:$R$110,MATCH('Track Data'!S386,Acceleration!$K$4:$K$110,0)),IF('Track Data'!O386=1,INDEX(Acceleration!$Q$4:$Q$110,MATCH('Track Data'!S386,Acceleration!$K$4:$K$110,0)),'Track Data'!AG386)),'Track Data'!U386)</f>
        <v>6.9742437731048845</v>
      </c>
    </row>
    <row r="387" spans="2:34" x14ac:dyDescent="0.25">
      <c r="B387" s="16">
        <v>207.61600000000001</v>
      </c>
      <c r="C387" s="16">
        <v>7657</v>
      </c>
      <c r="D387" s="16">
        <v>384</v>
      </c>
      <c r="E387" s="113">
        <v>108</v>
      </c>
      <c r="F387" s="113">
        <v>106.8</v>
      </c>
      <c r="G387" s="113">
        <v>104.4</v>
      </c>
      <c r="H387" s="113">
        <f t="shared" si="39"/>
        <v>29</v>
      </c>
      <c r="I387" s="113">
        <v>6.3</v>
      </c>
      <c r="J387" s="113">
        <v>8.07</v>
      </c>
      <c r="K387" s="113">
        <v>3.1</v>
      </c>
      <c r="L387" s="189"/>
      <c r="M387" s="16">
        <v>384</v>
      </c>
      <c r="N387" s="16">
        <f t="shared" si="41"/>
        <v>4.1687372123376622E-2</v>
      </c>
      <c r="O387" s="16">
        <v>1</v>
      </c>
      <c r="P387" s="16">
        <f t="shared" si="37"/>
        <v>16.424119241192415</v>
      </c>
      <c r="Q387" s="16">
        <f t="shared" si="42"/>
        <v>23.988079580560555</v>
      </c>
      <c r="R387" s="113">
        <f t="shared" si="38"/>
        <v>434.78</v>
      </c>
      <c r="S387" s="16">
        <f>IF(S386=15800,15800,ROUND((((Q387*60)/'Gearing Calculator'!$C$14)*'Track Data'!P387),-2))</f>
        <v>11900</v>
      </c>
      <c r="T387" s="16">
        <f t="shared" si="43"/>
        <v>6.9845361478650387</v>
      </c>
      <c r="U387" s="16">
        <f>IF(AC387=100,Braking!$AG$2354,IF(AC387=50,Braking!$AG$1179,IF(AC387=75,Braking!$AG$1767,0)))</f>
        <v>0</v>
      </c>
      <c r="V387" s="16">
        <f>0.5*'Gearing Calculator'!$C$15*'Gearing Calculator'!$C$20*'Gearing Calculator'!$W$20*('Track Data'!Q387^2)</f>
        <v>60.903295494196335</v>
      </c>
      <c r="W387" s="16">
        <f>('Gearing Calculator'!$U$9*'Track Data'!T387)+'Track Data'!V387</f>
        <v>1920.1868180558695</v>
      </c>
      <c r="X387" s="16">
        <f>('Gearing Calculator'!$U$9*9.81)*('Gearing Calculator'!$U$16/'Gearing Calculator'!$C$7)-(('Track Data'!W387)*('Gearing Calculator'!$U$17/'Gearing Calculator'!$C$7))</f>
        <v>354.52934743342098</v>
      </c>
      <c r="Y387" s="16">
        <f>('Gearing Calculator'!$U$9*9.81)*(('Gearing Calculator'!$C$7-'Gearing Calculator'!$U$16)/'Gearing Calculator'!$C$7)+(('Track Data'!W387)*('Gearing Calculator'!$U$17/'Gearing Calculator'!$C$7))</f>
        <v>2256.8926525665793</v>
      </c>
      <c r="Z387" s="16">
        <f>((X387*COS('Gearing Calculator'!$C$21))/'Gearing Calculator'!$C$22)/2</f>
        <v>10.960926141847072</v>
      </c>
      <c r="AA387" s="16">
        <f>Y387/'Gearing Calculator'!$C$24</f>
        <v>31.513791152029256</v>
      </c>
      <c r="AB387" s="16">
        <f t="shared" si="44"/>
        <v>67.887831642061371</v>
      </c>
      <c r="AC387" s="16">
        <v>0</v>
      </c>
      <c r="AD387" s="16">
        <v>0</v>
      </c>
      <c r="AE387" s="16">
        <v>384</v>
      </c>
      <c r="AF387" s="16">
        <f>IF(AC387=0,IF(O387=6,INDEX(Acceleration!$V$4:$V$110,MATCH('Track Data'!S387,Acceleration!$K$4:$K$110,0)),IF('Track Data'!O387=5,INDEX(Acceleration!$U$4:$U$110,MATCH('Track Data'!S387,Acceleration!$K$4:$K$110,0)),1)),U387)</f>
        <v>1</v>
      </c>
      <c r="AG387" s="16">
        <f>IF(AC387=0,IF(O387=4,INDEX(Acceleration!$T$4:$T$110,MATCH('Track Data'!S387,Acceleration!$K$4:$K$110,0)),IF('Track Data'!O387=3,INDEX(Acceleration!$S$4:$S$110,MATCH('Track Data'!S387,Acceleration!$K$4:$K$110,0)),'Track Data'!AF387)),'Track Data'!U387)</f>
        <v>1</v>
      </c>
      <c r="AH387" s="16">
        <f>IF(AC387=0,IF(O387=2,INDEX(Acceleration!$R$4:$R$110,MATCH('Track Data'!S387,Acceleration!$K$4:$K$110,0)),IF('Track Data'!O387=1,INDEX(Acceleration!$Q$4:$Q$110,MATCH('Track Data'!S387,Acceleration!$K$4:$K$110,0)),'Track Data'!AG387)),'Track Data'!U387)</f>
        <v>6.9845361478650387</v>
      </c>
    </row>
    <row r="388" spans="2:34" x14ac:dyDescent="0.25">
      <c r="B388" s="16">
        <v>207.649</v>
      </c>
      <c r="C388" s="16">
        <v>7658</v>
      </c>
      <c r="D388" s="16">
        <v>385</v>
      </c>
      <c r="E388" s="113">
        <v>109</v>
      </c>
      <c r="F388" s="113">
        <v>106.9</v>
      </c>
      <c r="G388" s="113">
        <v>105.2</v>
      </c>
      <c r="H388" s="113">
        <f t="shared" si="39"/>
        <v>29.222222222222221</v>
      </c>
      <c r="I388" s="113">
        <v>6.3</v>
      </c>
      <c r="J388" s="113">
        <v>6.55</v>
      </c>
      <c r="K388" s="113">
        <v>3.1</v>
      </c>
      <c r="L388" s="189"/>
      <c r="M388" s="16">
        <v>385</v>
      </c>
      <c r="N388" s="16">
        <f t="shared" si="41"/>
        <v>4.1190401657470718E-2</v>
      </c>
      <c r="O388" s="16">
        <v>1</v>
      </c>
      <c r="P388" s="16">
        <f t="shared" ref="P388:P451" si="45">VLOOKUP(O388,$AJ$5:$AK$10,2,FALSE)</f>
        <v>16.424119241192415</v>
      </c>
      <c r="Q388" s="16">
        <f t="shared" si="42"/>
        <v>24.277500576851736</v>
      </c>
      <c r="R388" s="113">
        <f t="shared" ref="R388:R451" si="46">VLOOKUP(O388,$AJ$5:$AL$10,3,FALSE)</f>
        <v>434.78</v>
      </c>
      <c r="S388" s="16">
        <f>IF(S387=15800,15800,ROUND((((Q388*60)/'Gearing Calculator'!$C$14)*'Track Data'!P388),-2))</f>
        <v>12100</v>
      </c>
      <c r="T388" s="16">
        <f t="shared" si="43"/>
        <v>7.0749574904722738</v>
      </c>
      <c r="U388" s="16">
        <f>IF(AC388=100,Braking!$AG$2354,IF(AC388=50,Braking!$AG$1179,IF(AC388=75,Braking!$AG$1767,0)))</f>
        <v>0</v>
      </c>
      <c r="V388" s="16">
        <f>0.5*'Gearing Calculator'!$C$15*'Gearing Calculator'!$C$20*'Gearing Calculator'!$W$20*('Track Data'!Q388^2)</f>
        <v>62.381782105976399</v>
      </c>
      <c r="W388" s="16">
        <f>('Gearing Calculator'!$U$9*'Track Data'!T388)+'Track Data'!V388</f>
        <v>1945.7354660696956</v>
      </c>
      <c r="X388" s="16">
        <f>('Gearing Calculator'!$U$9*9.81)*('Gearing Calculator'!$U$16/'Gearing Calculator'!$C$7)-(('Track Data'!W388)*('Gearing Calculator'!$U$17/'Gearing Calculator'!$C$7))</f>
        <v>340.60358945333633</v>
      </c>
      <c r="Y388" s="16">
        <f>('Gearing Calculator'!$U$9*9.81)*(('Gearing Calculator'!$C$7-'Gearing Calculator'!$U$16)/'Gearing Calculator'!$C$7)+(('Track Data'!W388)*('Gearing Calculator'!$U$17/'Gearing Calculator'!$C$7))</f>
        <v>2270.8184105466635</v>
      </c>
      <c r="Z388" s="16">
        <f>((X388*COS('Gearing Calculator'!$C$21))/'Gearing Calculator'!$C$22)/2</f>
        <v>10.530385748522905</v>
      </c>
      <c r="AA388" s="16">
        <f>Y388/'Gearing Calculator'!$C$24</f>
        <v>31.708241441066711</v>
      </c>
      <c r="AB388" s="16">
        <f t="shared" si="44"/>
        <v>69.456739596448671</v>
      </c>
      <c r="AC388" s="16">
        <v>0</v>
      </c>
      <c r="AD388" s="16">
        <v>0</v>
      </c>
      <c r="AE388" s="16">
        <v>385</v>
      </c>
      <c r="AF388" s="16">
        <f>IF(AC388=0,IF(O388=6,INDEX(Acceleration!$V$4:$V$110,MATCH('Track Data'!S388,Acceleration!$K$4:$K$110,0)),IF('Track Data'!O388=5,INDEX(Acceleration!$U$4:$U$110,MATCH('Track Data'!S388,Acceleration!$K$4:$K$110,0)),1)),U388)</f>
        <v>1</v>
      </c>
      <c r="AG388" s="16">
        <f>IF(AC388=0,IF(O388=4,INDEX(Acceleration!$T$4:$T$110,MATCH('Track Data'!S388,Acceleration!$K$4:$K$110,0)),IF('Track Data'!O388=3,INDEX(Acceleration!$S$4:$S$110,MATCH('Track Data'!S388,Acceleration!$K$4:$K$110,0)),'Track Data'!AF388)),'Track Data'!U388)</f>
        <v>1</v>
      </c>
      <c r="AH388" s="16">
        <f>IF(AC388=0,IF(O388=2,INDEX(Acceleration!$R$4:$R$110,MATCH('Track Data'!S388,Acceleration!$K$4:$K$110,0)),IF('Track Data'!O388=1,INDEX(Acceleration!$Q$4:$Q$110,MATCH('Track Data'!S388,Acceleration!$K$4:$K$110,0)),'Track Data'!AG388)),'Track Data'!U388)</f>
        <v>7.0749574904722738</v>
      </c>
    </row>
    <row r="389" spans="2:34" x14ac:dyDescent="0.25">
      <c r="B389" s="16">
        <v>207.68299999999999</v>
      </c>
      <c r="C389" s="16">
        <v>7659</v>
      </c>
      <c r="D389" s="16">
        <v>386</v>
      </c>
      <c r="E389" s="113">
        <v>111</v>
      </c>
      <c r="F389" s="113">
        <v>106.9</v>
      </c>
      <c r="G389" s="113">
        <v>106.2</v>
      </c>
      <c r="H389" s="113">
        <f t="shared" ref="H389:H452" si="47">G389/3.6</f>
        <v>29.5</v>
      </c>
      <c r="I389" s="113">
        <v>5.2</v>
      </c>
      <c r="J389" s="113">
        <v>4.1399999999999997</v>
      </c>
      <c r="K389" s="113">
        <v>3.1</v>
      </c>
      <c r="L389" s="189"/>
      <c r="M389" s="16">
        <v>386</v>
      </c>
      <c r="N389" s="16">
        <f t="shared" si="41"/>
        <v>4.0704691772143135E-2</v>
      </c>
      <c r="O389" s="16">
        <v>1</v>
      </c>
      <c r="P389" s="16">
        <f t="shared" si="45"/>
        <v>16.424119241192415</v>
      </c>
      <c r="Q389" s="16">
        <f t="shared" si="42"/>
        <v>24.567192538830742</v>
      </c>
      <c r="R389" s="113">
        <f t="shared" si="46"/>
        <v>434.78</v>
      </c>
      <c r="S389" s="16">
        <f>IF(S388=15800,15800,ROUND((((Q389*60)/'Gearing Calculator'!$C$14)*'Track Data'!P389),-2))</f>
        <v>12200</v>
      </c>
      <c r="T389" s="16">
        <f t="shared" ref="T389:T452" si="48">AH389</f>
        <v>7.0840326620929801</v>
      </c>
      <c r="U389" s="16">
        <f>IF(AC389=100,Braking!$AG$2354,IF(AC389=50,Braking!$AG$1179,IF(AC389=75,Braking!$AG$1767,0)))</f>
        <v>0</v>
      </c>
      <c r="V389" s="16">
        <f>0.5*'Gearing Calculator'!$C$15*'Gearing Calculator'!$C$20*'Gearing Calculator'!$W$20*('Track Data'!Q389^2)</f>
        <v>63.879409107559574</v>
      </c>
      <c r="W389" s="16">
        <f>('Gearing Calculator'!$U$9*'Track Data'!T389)+'Track Data'!V389</f>
        <v>1949.6489037567108</v>
      </c>
      <c r="X389" s="16">
        <f>('Gearing Calculator'!$U$9*9.81)*('Gearing Calculator'!$U$16/'Gearing Calculator'!$C$7)-(('Track Data'!W389)*('Gearing Calculator'!$U$17/'Gearing Calculator'!$C$7))</f>
        <v>338.470498650644</v>
      </c>
      <c r="Y389" s="16">
        <f>('Gearing Calculator'!$U$9*9.81)*(('Gearing Calculator'!$C$7-'Gearing Calculator'!$U$16)/'Gearing Calculator'!$C$7)+(('Track Data'!W389)*('Gearing Calculator'!$U$17/'Gearing Calculator'!$C$7))</f>
        <v>2272.951501349356</v>
      </c>
      <c r="Z389" s="16">
        <f>((X389*COS('Gearing Calculator'!$C$21))/'Gearing Calculator'!$C$22)/2</f>
        <v>10.464437327295084</v>
      </c>
      <c r="AA389" s="16">
        <f>Y389/'Gearing Calculator'!$C$24</f>
        <v>31.738026543157375</v>
      </c>
      <c r="AB389" s="16">
        <f t="shared" si="44"/>
        <v>70.963441769652547</v>
      </c>
      <c r="AC389" s="16">
        <v>0</v>
      </c>
      <c r="AD389" s="16">
        <v>0</v>
      </c>
      <c r="AE389" s="16">
        <v>386</v>
      </c>
      <c r="AF389" s="16">
        <f>IF(AC389=0,IF(O389=6,INDEX(Acceleration!$V$4:$V$110,MATCH('Track Data'!S389,Acceleration!$K$4:$K$110,0)),IF('Track Data'!O389=5,INDEX(Acceleration!$U$4:$U$110,MATCH('Track Data'!S389,Acceleration!$K$4:$K$110,0)),1)),U389)</f>
        <v>1</v>
      </c>
      <c r="AG389" s="16">
        <f>IF(AC389=0,IF(O389=4,INDEX(Acceleration!$T$4:$T$110,MATCH('Track Data'!S389,Acceleration!$K$4:$K$110,0)),IF('Track Data'!O389=3,INDEX(Acceleration!$S$4:$S$110,MATCH('Track Data'!S389,Acceleration!$K$4:$K$110,0)),'Track Data'!AF389)),'Track Data'!U389)</f>
        <v>1</v>
      </c>
      <c r="AH389" s="16">
        <f>IF(AC389=0,IF(O389=2,INDEX(Acceleration!$R$4:$R$110,MATCH('Track Data'!S389,Acceleration!$K$4:$K$110,0)),IF('Track Data'!O389=1,INDEX(Acceleration!$Q$4:$Q$110,MATCH('Track Data'!S389,Acceleration!$K$4:$K$110,0)),'Track Data'!AG389)),'Track Data'!U389)</f>
        <v>7.0840326620929801</v>
      </c>
    </row>
    <row r="390" spans="2:34" x14ac:dyDescent="0.25">
      <c r="B390" s="16">
        <v>207.71600000000001</v>
      </c>
      <c r="C390" s="16">
        <v>7660</v>
      </c>
      <c r="D390" s="16">
        <v>387</v>
      </c>
      <c r="E390" s="113">
        <v>112</v>
      </c>
      <c r="F390" s="113">
        <v>107</v>
      </c>
      <c r="G390" s="113">
        <v>107</v>
      </c>
      <c r="H390" s="113">
        <f t="shared" si="47"/>
        <v>29.722222222222221</v>
      </c>
      <c r="I390" s="113">
        <v>3.6</v>
      </c>
      <c r="J390" s="113">
        <v>1.84</v>
      </c>
      <c r="K390" s="113">
        <v>3.1</v>
      </c>
      <c r="L390" s="189"/>
      <c r="M390" s="16">
        <v>387</v>
      </c>
      <c r="N390" s="16">
        <f t="shared" ref="N390:N453" si="49">1/Q390</f>
        <v>4.0235177459891636E-2</v>
      </c>
      <c r="O390" s="16">
        <v>1</v>
      </c>
      <c r="P390" s="16">
        <f t="shared" si="45"/>
        <v>16.424119241192415</v>
      </c>
      <c r="Q390" s="16">
        <f t="shared" ref="Q390:Q453" si="50">IF(AD389=0,SQRT(Q389^2+(2*T389)),Q389)</f>
        <v>24.8538732306288</v>
      </c>
      <c r="R390" s="113">
        <f t="shared" si="46"/>
        <v>434.78</v>
      </c>
      <c r="S390" s="16">
        <f>IF(S389=15800,15800,ROUND((((Q390*60)/'Gearing Calculator'!$C$14)*'Track Data'!P390),-2))</f>
        <v>12400</v>
      </c>
      <c r="T390" s="16">
        <f t="shared" si="48"/>
        <v>7.1016048784262011</v>
      </c>
      <c r="U390" s="16">
        <f>IF(AC390=100,Braking!$AG$2354,IF(AC390=50,Braking!$AG$1179,IF(AC390=75,Braking!$AG$1767,0)))</f>
        <v>0</v>
      </c>
      <c r="V390" s="16">
        <f>0.5*'Gearing Calculator'!$C$15*'Gearing Calculator'!$C$20*'Gearing Calculator'!$W$20*('Track Data'!Q390^2)</f>
        <v>65.378957141471417</v>
      </c>
      <c r="W390" s="16">
        <f>('Gearing Calculator'!$U$9*'Track Data'!T390)+'Track Data'!V390</f>
        <v>1955.826175778526</v>
      </c>
      <c r="X390" s="16">
        <f>('Gearing Calculator'!$U$9*9.81)*('Gearing Calculator'!$U$16/'Gearing Calculator'!$C$7)-(('Track Data'!W390)*('Gearing Calculator'!$U$17/'Gearing Calculator'!$C$7))</f>
        <v>335.10346352978763</v>
      </c>
      <c r="Y390" s="16">
        <f>('Gearing Calculator'!$U$9*9.81)*(('Gearing Calculator'!$C$7-'Gearing Calculator'!$U$16)/'Gearing Calculator'!$C$7)+(('Track Data'!W390)*('Gearing Calculator'!$U$17/'Gearing Calculator'!$C$7))</f>
        <v>2276.3185364702122</v>
      </c>
      <c r="Z390" s="16">
        <f>((X390*COS('Gearing Calculator'!$C$21))/'Gearing Calculator'!$C$22)/2</f>
        <v>10.36033925038301</v>
      </c>
      <c r="AA390" s="16">
        <f>Y390/'Gearing Calculator'!$C$24</f>
        <v>31.785041646635843</v>
      </c>
      <c r="AB390" s="16">
        <f t="shared" si="44"/>
        <v>72.480562019897619</v>
      </c>
      <c r="AC390" s="16">
        <v>0</v>
      </c>
      <c r="AD390" s="16">
        <v>0</v>
      </c>
      <c r="AE390" s="16">
        <v>387</v>
      </c>
      <c r="AF390" s="16">
        <f>IF(AC390=0,IF(O390=6,INDEX(Acceleration!$V$4:$V$110,MATCH('Track Data'!S390,Acceleration!$K$4:$K$110,0)),IF('Track Data'!O390=5,INDEX(Acceleration!$U$4:$U$110,MATCH('Track Data'!S390,Acceleration!$K$4:$K$110,0)),1)),U390)</f>
        <v>1</v>
      </c>
      <c r="AG390" s="16">
        <f>IF(AC390=0,IF(O390=4,INDEX(Acceleration!$T$4:$T$110,MATCH('Track Data'!S390,Acceleration!$K$4:$K$110,0)),IF('Track Data'!O390=3,INDEX(Acceleration!$S$4:$S$110,MATCH('Track Data'!S390,Acceleration!$K$4:$K$110,0)),'Track Data'!AF390)),'Track Data'!U390)</f>
        <v>1</v>
      </c>
      <c r="AH390" s="16">
        <f>IF(AC390=0,IF(O390=2,INDEX(Acceleration!$R$4:$R$110,MATCH('Track Data'!S390,Acceleration!$K$4:$K$110,0)),IF('Track Data'!O390=1,INDEX(Acceleration!$Q$4:$Q$110,MATCH('Track Data'!S390,Acceleration!$K$4:$K$110,0)),'Track Data'!AG390)),'Track Data'!U390)</f>
        <v>7.1016048784262011</v>
      </c>
    </row>
    <row r="391" spans="2:34" x14ac:dyDescent="0.25">
      <c r="B391" s="16">
        <v>207.75</v>
      </c>
      <c r="C391" s="16">
        <v>7661</v>
      </c>
      <c r="D391" s="16">
        <v>388</v>
      </c>
      <c r="E391" s="113">
        <v>113</v>
      </c>
      <c r="F391" s="113">
        <v>106.8</v>
      </c>
      <c r="G391" s="113">
        <v>108.1</v>
      </c>
      <c r="H391" s="113">
        <f t="shared" si="47"/>
        <v>30.027777777777775</v>
      </c>
      <c r="I391" s="113">
        <v>2</v>
      </c>
      <c r="J391" s="113">
        <v>0.69</v>
      </c>
      <c r="K391" s="113">
        <v>3.1</v>
      </c>
      <c r="L391" s="189"/>
      <c r="M391" s="16">
        <v>388</v>
      </c>
      <c r="N391" s="16">
        <f t="shared" si="49"/>
        <v>3.9780437925209439E-2</v>
      </c>
      <c r="O391" s="16">
        <v>1</v>
      </c>
      <c r="P391" s="16">
        <f t="shared" si="45"/>
        <v>16.424119241192415</v>
      </c>
      <c r="Q391" s="16">
        <f t="shared" si="50"/>
        <v>25.137983696410881</v>
      </c>
      <c r="R391" s="113">
        <f t="shared" si="46"/>
        <v>434.78</v>
      </c>
      <c r="S391" s="16">
        <f>IF(S390=15800,15800,ROUND((((Q391*60)/'Gearing Calculator'!$C$14)*'Track Data'!P391),-2))</f>
        <v>12500</v>
      </c>
      <c r="T391" s="16">
        <f t="shared" si="48"/>
        <v>7.1101104217051878</v>
      </c>
      <c r="U391" s="16">
        <f>IF(AC391=100,Braking!$AG$2354,IF(AC391=50,Braking!$AG$1179,IF(AC391=75,Braking!$AG$1767,0)))</f>
        <v>0</v>
      </c>
      <c r="V391" s="16">
        <f>0.5*'Gearing Calculator'!$C$15*'Gearing Calculator'!$C$20*'Gearing Calculator'!$W$20*('Track Data'!Q391^2)</f>
        <v>66.882224862136667</v>
      </c>
      <c r="W391" s="16">
        <f>('Gearing Calculator'!$U$9*'Track Data'!T391)+'Track Data'!V391</f>
        <v>1959.5936191200574</v>
      </c>
      <c r="X391" s="16">
        <f>('Gearing Calculator'!$U$9*9.81)*('Gearing Calculator'!$U$16/'Gearing Calculator'!$C$7)-(('Track Data'!W391)*('Gearing Calculator'!$U$17/'Gearing Calculator'!$C$7))</f>
        <v>333.04994961588295</v>
      </c>
      <c r="Y391" s="16">
        <f>('Gearing Calculator'!$U$9*9.81)*(('Gearing Calculator'!$C$7-'Gearing Calculator'!$U$16)/'Gearing Calculator'!$C$7)+(('Track Data'!W391)*('Gearing Calculator'!$U$17/'Gearing Calculator'!$C$7))</f>
        <v>2278.3720503841168</v>
      </c>
      <c r="Z391" s="16">
        <f>((X391*COS('Gearing Calculator'!$C$21))/'Gearing Calculator'!$C$22)/2</f>
        <v>10.296851094876246</v>
      </c>
      <c r="AA391" s="16">
        <f>Y391/'Gearing Calculator'!$C$24</f>
        <v>31.813715588454468</v>
      </c>
      <c r="AB391" s="16">
        <f t="shared" si="44"/>
        <v>73.992335283841854</v>
      </c>
      <c r="AC391" s="16">
        <v>0</v>
      </c>
      <c r="AD391" s="16">
        <v>0</v>
      </c>
      <c r="AE391" s="16">
        <v>388</v>
      </c>
      <c r="AF391" s="16">
        <f>IF(AC391=0,IF(O391=6,INDEX(Acceleration!$V$4:$V$110,MATCH('Track Data'!S391,Acceleration!$K$4:$K$110,0)),IF('Track Data'!O391=5,INDEX(Acceleration!$U$4:$U$110,MATCH('Track Data'!S391,Acceleration!$K$4:$K$110,0)),1)),U391)</f>
        <v>1</v>
      </c>
      <c r="AG391" s="16">
        <f>IF(AC391=0,IF(O391=4,INDEX(Acceleration!$T$4:$T$110,MATCH('Track Data'!S391,Acceleration!$K$4:$K$110,0)),IF('Track Data'!O391=3,INDEX(Acceleration!$S$4:$S$110,MATCH('Track Data'!S391,Acceleration!$K$4:$K$110,0)),'Track Data'!AF391)),'Track Data'!U391)</f>
        <v>1</v>
      </c>
      <c r="AH391" s="16">
        <f>IF(AC391=0,IF(O391=2,INDEX(Acceleration!$R$4:$R$110,MATCH('Track Data'!S391,Acceleration!$K$4:$K$110,0)),IF('Track Data'!O391=1,INDEX(Acceleration!$Q$4:$Q$110,MATCH('Track Data'!S391,Acceleration!$K$4:$K$110,0)),'Track Data'!AG391)),'Track Data'!U391)</f>
        <v>7.1101104217051878</v>
      </c>
    </row>
    <row r="392" spans="2:34" x14ac:dyDescent="0.25">
      <c r="B392" s="16">
        <v>207.78299999999999</v>
      </c>
      <c r="C392" s="16">
        <v>7662</v>
      </c>
      <c r="D392" s="16">
        <v>389</v>
      </c>
      <c r="E392" s="113">
        <v>114</v>
      </c>
      <c r="F392" s="113">
        <v>106.6</v>
      </c>
      <c r="G392" s="113">
        <v>108.9</v>
      </c>
      <c r="H392" s="113">
        <f t="shared" si="47"/>
        <v>30.25</v>
      </c>
      <c r="I392" s="113">
        <v>1.5</v>
      </c>
      <c r="J392" s="113">
        <v>0.09</v>
      </c>
      <c r="K392" s="113">
        <v>3.1</v>
      </c>
      <c r="L392" s="189"/>
      <c r="M392" s="16">
        <v>389</v>
      </c>
      <c r="N392" s="16">
        <f t="shared" si="49"/>
        <v>3.9340258461132191E-2</v>
      </c>
      <c r="O392" s="16">
        <v>1</v>
      </c>
      <c r="P392" s="16">
        <f t="shared" si="45"/>
        <v>16.424119241192415</v>
      </c>
      <c r="Q392" s="16">
        <f t="shared" si="50"/>
        <v>25.419253434442751</v>
      </c>
      <c r="R392" s="113">
        <f t="shared" si="46"/>
        <v>434.78</v>
      </c>
      <c r="S392" s="16">
        <f>IF(S391=15800,15800,ROUND((((Q392*60)/'Gearing Calculator'!$C$14)*'Track Data'!P392),-2))</f>
        <v>12700</v>
      </c>
      <c r="T392" s="16">
        <f t="shared" si="48"/>
        <v>7.1265806211363918</v>
      </c>
      <c r="U392" s="16">
        <f>IF(AC392=100,Braking!$AG$2354,IF(AC392=50,Braking!$AG$1179,IF(AC392=75,Braking!$AG$1767,0)))</f>
        <v>0</v>
      </c>
      <c r="V392" s="16">
        <f>0.5*'Gearing Calculator'!$C$15*'Gearing Calculator'!$C$20*'Gearing Calculator'!$W$20*('Track Data'!Q392^2)</f>
        <v>68.387293036203232</v>
      </c>
      <c r="W392" s="16">
        <f>('Gearing Calculator'!$U$9*'Track Data'!T392)+'Track Data'!V392</f>
        <v>1965.4830543827106</v>
      </c>
      <c r="X392" s="16">
        <f>('Gearing Calculator'!$U$9*9.81)*('Gearing Calculator'!$U$16/'Gearing Calculator'!$C$7)-(('Track Data'!W392)*('Gearing Calculator'!$U$17/'Gearing Calculator'!$C$7))</f>
        <v>329.83980518621661</v>
      </c>
      <c r="Y392" s="16">
        <f>('Gearing Calculator'!$U$9*9.81)*(('Gearing Calculator'!$C$7-'Gearing Calculator'!$U$16)/'Gearing Calculator'!$C$7)+(('Track Data'!W392)*('Gearing Calculator'!$U$17/'Gearing Calculator'!$C$7))</f>
        <v>2281.5821948137836</v>
      </c>
      <c r="Z392" s="16">
        <f>((X392*COS('Gearing Calculator'!$C$21))/'Gearing Calculator'!$C$22)/2</f>
        <v>10.197603581932785</v>
      </c>
      <c r="AA392" s="16">
        <f>Y392/'Gearing Calculator'!$C$24</f>
        <v>31.858539971665305</v>
      </c>
      <c r="AB392" s="16">
        <f t="shared" si="44"/>
        <v>75.51387365733963</v>
      </c>
      <c r="AC392" s="16">
        <v>0</v>
      </c>
      <c r="AD392" s="16">
        <v>0</v>
      </c>
      <c r="AE392" s="16">
        <v>389</v>
      </c>
      <c r="AF392" s="16">
        <f>IF(AC392=0,IF(O392=6,INDEX(Acceleration!$V$4:$V$110,MATCH('Track Data'!S392,Acceleration!$K$4:$K$110,0)),IF('Track Data'!O392=5,INDEX(Acceleration!$U$4:$U$110,MATCH('Track Data'!S392,Acceleration!$K$4:$K$110,0)),1)),U392)</f>
        <v>1</v>
      </c>
      <c r="AG392" s="16">
        <f>IF(AC392=0,IF(O392=4,INDEX(Acceleration!$T$4:$T$110,MATCH('Track Data'!S392,Acceleration!$K$4:$K$110,0)),IF('Track Data'!O392=3,INDEX(Acceleration!$S$4:$S$110,MATCH('Track Data'!S392,Acceleration!$K$4:$K$110,0)),'Track Data'!AF392)),'Track Data'!U392)</f>
        <v>1</v>
      </c>
      <c r="AH392" s="16">
        <f>IF(AC392=0,IF(O392=2,INDEX(Acceleration!$R$4:$R$110,MATCH('Track Data'!S392,Acceleration!$K$4:$K$110,0)),IF('Track Data'!O392=1,INDEX(Acceleration!$Q$4:$Q$110,MATCH('Track Data'!S392,Acceleration!$K$4:$K$110,0)),'Track Data'!AG392)),'Track Data'!U392)</f>
        <v>7.1265806211363918</v>
      </c>
    </row>
    <row r="393" spans="2:34" x14ac:dyDescent="0.25">
      <c r="B393" s="16">
        <v>207.81700000000001</v>
      </c>
      <c r="C393" s="16">
        <v>7663</v>
      </c>
      <c r="D393" s="16">
        <v>390</v>
      </c>
      <c r="E393" s="113">
        <v>114</v>
      </c>
      <c r="F393" s="113">
        <v>106.8</v>
      </c>
      <c r="G393" s="113">
        <v>109.7</v>
      </c>
      <c r="H393" s="113">
        <f t="shared" si="47"/>
        <v>30.472222222222221</v>
      </c>
      <c r="I393" s="113">
        <v>1.5</v>
      </c>
      <c r="J393" s="113">
        <v>0.1</v>
      </c>
      <c r="K393" s="113">
        <v>3.1</v>
      </c>
      <c r="L393" s="189"/>
      <c r="M393" s="16">
        <v>390</v>
      </c>
      <c r="N393" s="16">
        <f t="shared" si="49"/>
        <v>3.8913404421183392E-2</v>
      </c>
      <c r="O393" s="16">
        <v>1</v>
      </c>
      <c r="P393" s="16">
        <f t="shared" si="45"/>
        <v>16.424119241192415</v>
      </c>
      <c r="Q393" s="16">
        <f t="shared" si="50"/>
        <v>25.698085656458971</v>
      </c>
      <c r="R393" s="113">
        <f t="shared" si="46"/>
        <v>434.78</v>
      </c>
      <c r="S393" s="16">
        <f>IF(S392=15800,15800,ROUND((((Q393*60)/'Gearing Calculator'!$C$14)*'Track Data'!P393),-2))</f>
        <v>12800</v>
      </c>
      <c r="T393" s="16">
        <f t="shared" si="48"/>
        <v>7.1012373853435165</v>
      </c>
      <c r="U393" s="16">
        <f>IF(AC393=100,Braking!$AG$2354,IF(AC393=50,Braking!$AG$1179,IF(AC393=75,Braking!$AG$1767,0)))</f>
        <v>0</v>
      </c>
      <c r="V393" s="16">
        <f>0.5*'Gearing Calculator'!$C$15*'Gearing Calculator'!$C$20*'Gearing Calculator'!$W$20*('Track Data'!Q393^2)</f>
        <v>69.89584762208537</v>
      </c>
      <c r="W393" s="16">
        <f>('Gearing Calculator'!$U$9*'Track Data'!T393)+'Track Data'!V393</f>
        <v>1960.2452396005292</v>
      </c>
      <c r="X393" s="16">
        <f>('Gearing Calculator'!$U$9*9.81)*('Gearing Calculator'!$U$16/'Gearing Calculator'!$C$7)-(('Track Data'!W393)*('Gearing Calculator'!$U$17/'Gearing Calculator'!$C$7))</f>
        <v>332.69477195243053</v>
      </c>
      <c r="Y393" s="16">
        <f>('Gearing Calculator'!$U$9*9.81)*(('Gearing Calculator'!$C$7-'Gearing Calculator'!$U$16)/'Gearing Calculator'!$C$7)+(('Track Data'!W393)*('Gearing Calculator'!$U$17/'Gearing Calculator'!$C$7))</f>
        <v>2278.7272280475695</v>
      </c>
      <c r="Z393" s="16">
        <f>((X393*COS('Gearing Calculator'!$C$21))/'Gearing Calculator'!$C$22)/2</f>
        <v>10.28587012485354</v>
      </c>
      <c r="AA393" s="16">
        <f>Y393/'Gearing Calculator'!$C$24</f>
        <v>31.818675059918554</v>
      </c>
      <c r="AB393" s="16">
        <f t="shared" si="44"/>
        <v>76.997085007428893</v>
      </c>
      <c r="AC393" s="16">
        <v>0</v>
      </c>
      <c r="AD393" s="16">
        <v>0</v>
      </c>
      <c r="AE393" s="16">
        <v>390</v>
      </c>
      <c r="AF393" s="16">
        <f>IF(AC393=0,IF(O393=6,INDEX(Acceleration!$V$4:$V$110,MATCH('Track Data'!S393,Acceleration!$K$4:$K$110,0)),IF('Track Data'!O393=5,INDEX(Acceleration!$U$4:$U$110,MATCH('Track Data'!S393,Acceleration!$K$4:$K$110,0)),1)),U393)</f>
        <v>1</v>
      </c>
      <c r="AG393" s="16">
        <f>IF(AC393=0,IF(O393=4,INDEX(Acceleration!$T$4:$T$110,MATCH('Track Data'!S393,Acceleration!$K$4:$K$110,0)),IF('Track Data'!O393=3,INDEX(Acceleration!$S$4:$S$110,MATCH('Track Data'!S393,Acceleration!$K$4:$K$110,0)),'Track Data'!AF393)),'Track Data'!U393)</f>
        <v>1</v>
      </c>
      <c r="AH393" s="16">
        <f>IF(AC393=0,IF(O393=2,INDEX(Acceleration!$R$4:$R$110,MATCH('Track Data'!S393,Acceleration!$K$4:$K$110,0)),IF('Track Data'!O393=1,INDEX(Acceleration!$Q$4:$Q$110,MATCH('Track Data'!S393,Acceleration!$K$4:$K$110,0)),'Track Data'!AG393)),'Track Data'!U393)</f>
        <v>7.1012373853435165</v>
      </c>
    </row>
    <row r="394" spans="2:34" x14ac:dyDescent="0.25">
      <c r="B394" s="16">
        <v>207.851</v>
      </c>
      <c r="C394" s="16">
        <v>7664</v>
      </c>
      <c r="D394" s="16">
        <v>391</v>
      </c>
      <c r="E394" s="113">
        <v>115</v>
      </c>
      <c r="F394" s="113">
        <v>108.4</v>
      </c>
      <c r="G394" s="113">
        <v>110.8</v>
      </c>
      <c r="H394" s="113">
        <f t="shared" si="47"/>
        <v>30.777777777777775</v>
      </c>
      <c r="I394" s="113">
        <v>2.2999999999999998</v>
      </c>
      <c r="J394" s="113">
        <v>0.12</v>
      </c>
      <c r="K394" s="113">
        <v>3.2</v>
      </c>
      <c r="L394" s="189"/>
      <c r="M394" s="16">
        <v>391</v>
      </c>
      <c r="N394" s="16">
        <f t="shared" si="49"/>
        <v>3.8501596370397947E-2</v>
      </c>
      <c r="O394" s="16">
        <v>1</v>
      </c>
      <c r="P394" s="16">
        <f t="shared" si="45"/>
        <v>16.424119241192415</v>
      </c>
      <c r="Q394" s="16">
        <f t="shared" si="50"/>
        <v>25.972949027351309</v>
      </c>
      <c r="R394" s="113">
        <f t="shared" si="46"/>
        <v>434.78</v>
      </c>
      <c r="S394" s="16">
        <f>IF(S393=15800,15800,ROUND((((Q394*60)/'Gearing Calculator'!$C$14)*'Track Data'!P394),-2))</f>
        <v>12900</v>
      </c>
      <c r="T394" s="16">
        <f t="shared" si="48"/>
        <v>7.0762404655126598</v>
      </c>
      <c r="U394" s="16">
        <f>IF(AC394=100,Braking!$AG$2354,IF(AC394=50,Braking!$AG$1179,IF(AC394=75,Braking!$AG$1767,0)))</f>
        <v>0</v>
      </c>
      <c r="V394" s="16">
        <f>0.5*'Gearing Calculator'!$C$15*'Gearing Calculator'!$C$20*'Gearing Calculator'!$W$20*('Track Data'!Q394^2)</f>
        <v>71.399037551814871</v>
      </c>
      <c r="W394" s="16">
        <f>('Gearing Calculator'!$U$9*'Track Data'!T394)+'Track Data'!V394</f>
        <v>1955.0942494712849</v>
      </c>
      <c r="X394" s="16">
        <f>('Gearing Calculator'!$U$9*9.81)*('Gearing Calculator'!$U$16/'Gearing Calculator'!$C$7)-(('Track Data'!W394)*('Gearing Calculator'!$U$17/'Gearing Calculator'!$C$7))</f>
        <v>335.50241335321402</v>
      </c>
      <c r="Y394" s="16">
        <f>('Gearing Calculator'!$U$9*9.81)*(('Gearing Calculator'!$C$7-'Gearing Calculator'!$U$16)/'Gearing Calculator'!$C$7)+(('Track Data'!W394)*('Gearing Calculator'!$U$17/'Gearing Calculator'!$C$7))</f>
        <v>2275.9195866467862</v>
      </c>
      <c r="Z394" s="16">
        <f>((X394*COS('Gearing Calculator'!$C$21))/'Gearing Calculator'!$C$22)/2</f>
        <v>10.372673517152561</v>
      </c>
      <c r="AA394" s="16">
        <f>Y394/'Gearing Calculator'!$C$24</f>
        <v>31.779470969004681</v>
      </c>
      <c r="AB394" s="16">
        <f t="shared" si="44"/>
        <v>78.475278017327526</v>
      </c>
      <c r="AC394" s="16">
        <v>0</v>
      </c>
      <c r="AD394" s="16">
        <v>0</v>
      </c>
      <c r="AE394" s="16">
        <v>391</v>
      </c>
      <c r="AF394" s="16">
        <f>IF(AC394=0,IF(O394=6,INDEX(Acceleration!$V$4:$V$110,MATCH('Track Data'!S394,Acceleration!$K$4:$K$110,0)),IF('Track Data'!O394=5,INDEX(Acceleration!$U$4:$U$110,MATCH('Track Data'!S394,Acceleration!$K$4:$K$110,0)),1)),U394)</f>
        <v>1</v>
      </c>
      <c r="AG394" s="16">
        <f>IF(AC394=0,IF(O394=4,INDEX(Acceleration!$T$4:$T$110,MATCH('Track Data'!S394,Acceleration!$K$4:$K$110,0)),IF('Track Data'!O394=3,INDEX(Acceleration!$S$4:$S$110,MATCH('Track Data'!S394,Acceleration!$K$4:$K$110,0)),'Track Data'!AF394)),'Track Data'!U394)</f>
        <v>1</v>
      </c>
      <c r="AH394" s="16">
        <f>IF(AC394=0,IF(O394=2,INDEX(Acceleration!$R$4:$R$110,MATCH('Track Data'!S394,Acceleration!$K$4:$K$110,0)),IF('Track Data'!O394=1,INDEX(Acceleration!$Q$4:$Q$110,MATCH('Track Data'!S394,Acceleration!$K$4:$K$110,0)),'Track Data'!AG394)),'Track Data'!U394)</f>
        <v>7.0762404655126598</v>
      </c>
    </row>
    <row r="395" spans="2:34" x14ac:dyDescent="0.25">
      <c r="B395" s="16">
        <v>207.88399999999999</v>
      </c>
      <c r="C395" s="16">
        <v>7665</v>
      </c>
      <c r="D395" s="16">
        <v>392</v>
      </c>
      <c r="E395" s="113">
        <v>115</v>
      </c>
      <c r="F395" s="113">
        <v>110.6</v>
      </c>
      <c r="G395" s="113">
        <v>111.5</v>
      </c>
      <c r="H395" s="113">
        <f t="shared" si="47"/>
        <v>30.972222222222221</v>
      </c>
      <c r="I395" s="113">
        <v>3.9</v>
      </c>
      <c r="J395" s="113">
        <v>1.3</v>
      </c>
      <c r="K395" s="113">
        <v>3.4</v>
      </c>
      <c r="L395" s="189"/>
      <c r="M395" s="16">
        <v>392</v>
      </c>
      <c r="N395" s="16">
        <f t="shared" si="49"/>
        <v>3.8103974508558722E-2</v>
      </c>
      <c r="O395" s="16">
        <v>1</v>
      </c>
      <c r="P395" s="16">
        <f t="shared" si="45"/>
        <v>16.424119241192415</v>
      </c>
      <c r="Q395" s="16">
        <f t="shared" si="50"/>
        <v>26.243981445436489</v>
      </c>
      <c r="R395" s="113">
        <f t="shared" si="46"/>
        <v>434.78</v>
      </c>
      <c r="S395" s="16">
        <f>IF(S394=15800,15800,ROUND((((Q395*60)/'Gearing Calculator'!$C$14)*'Track Data'!P395),-2))</f>
        <v>13100</v>
      </c>
      <c r="T395" s="16">
        <f t="shared" si="48"/>
        <v>6.9621471029126143</v>
      </c>
      <c r="U395" s="16">
        <f>IF(AC395=100,Braking!$AG$2354,IF(AC395=50,Braking!$AG$1179,IF(AC395=75,Braking!$AG$1767,0)))</f>
        <v>0</v>
      </c>
      <c r="V395" s="16">
        <f>0.5*'Gearing Calculator'!$C$15*'Gearing Calculator'!$C$20*'Gearing Calculator'!$W$20*('Track Data'!Q395^2)</f>
        <v>72.896936133554618</v>
      </c>
      <c r="W395" s="16">
        <f>('Gearing Calculator'!$U$9*'Track Data'!T395)+'Track Data'!V395</f>
        <v>1926.2204949288925</v>
      </c>
      <c r="X395" s="16">
        <f>('Gearing Calculator'!$U$9*9.81)*('Gearing Calculator'!$U$16/'Gearing Calculator'!$C$7)-(('Track Data'!W395)*('Gearing Calculator'!$U$17/'Gearing Calculator'!$C$7))</f>
        <v>351.24058147530536</v>
      </c>
      <c r="Y395" s="16">
        <f>('Gearing Calculator'!$U$9*9.81)*(('Gearing Calculator'!$C$7-'Gearing Calculator'!$U$16)/'Gearing Calculator'!$C$7)+(('Track Data'!W395)*('Gearing Calculator'!$U$17/'Gearing Calculator'!$C$7))</f>
        <v>2260.1814185246949</v>
      </c>
      <c r="Z395" s="16">
        <f>((X395*COS('Gearing Calculator'!$C$21))/'Gearing Calculator'!$C$22)/2</f>
        <v>10.85924789990267</v>
      </c>
      <c r="AA395" s="16">
        <f>Y395/'Gearing Calculator'!$C$24</f>
        <v>31.559713355477477</v>
      </c>
      <c r="AB395" s="16">
        <f t="shared" si="44"/>
        <v>79.859083236467228</v>
      </c>
      <c r="AC395" s="16">
        <v>0</v>
      </c>
      <c r="AD395" s="16">
        <v>0</v>
      </c>
      <c r="AE395" s="16">
        <v>392</v>
      </c>
      <c r="AF395" s="16">
        <f>IF(AC395=0,IF(O395=6,INDEX(Acceleration!$V$4:$V$110,MATCH('Track Data'!S395,Acceleration!$K$4:$K$110,0)),IF('Track Data'!O395=5,INDEX(Acceleration!$U$4:$U$110,MATCH('Track Data'!S395,Acceleration!$K$4:$K$110,0)),1)),U395)</f>
        <v>1</v>
      </c>
      <c r="AG395" s="16">
        <f>IF(AC395=0,IF(O395=4,INDEX(Acceleration!$T$4:$T$110,MATCH('Track Data'!S395,Acceleration!$K$4:$K$110,0)),IF('Track Data'!O395=3,INDEX(Acceleration!$S$4:$S$110,MATCH('Track Data'!S395,Acceleration!$K$4:$K$110,0)),'Track Data'!AF395)),'Track Data'!U395)</f>
        <v>1</v>
      </c>
      <c r="AH395" s="16">
        <f>IF(AC395=0,IF(O395=2,INDEX(Acceleration!$R$4:$R$110,MATCH('Track Data'!S395,Acceleration!$K$4:$K$110,0)),IF('Track Data'!O395=1,INDEX(Acceleration!$Q$4:$Q$110,MATCH('Track Data'!S395,Acceleration!$K$4:$K$110,0)),'Track Data'!AG395)),'Track Data'!U395)</f>
        <v>6.9621471029126143</v>
      </c>
    </row>
    <row r="396" spans="2:34" x14ac:dyDescent="0.25">
      <c r="B396" s="16">
        <v>207.916</v>
      </c>
      <c r="C396" s="16">
        <v>7666</v>
      </c>
      <c r="D396" s="16">
        <v>393</v>
      </c>
      <c r="E396" s="113">
        <v>116</v>
      </c>
      <c r="F396" s="113">
        <v>112.2</v>
      </c>
      <c r="G396" s="113">
        <v>112.3</v>
      </c>
      <c r="H396" s="113">
        <f t="shared" si="47"/>
        <v>31.194444444444443</v>
      </c>
      <c r="I396" s="113">
        <v>4.5</v>
      </c>
      <c r="J396" s="113">
        <v>1.94</v>
      </c>
      <c r="K396" s="113">
        <v>3.7</v>
      </c>
      <c r="L396" s="189"/>
      <c r="M396" s="16">
        <v>393</v>
      </c>
      <c r="N396" s="16">
        <f t="shared" si="49"/>
        <v>3.7724546646017362E-2</v>
      </c>
      <c r="O396" s="16">
        <v>1</v>
      </c>
      <c r="P396" s="16">
        <f t="shared" si="45"/>
        <v>16.424119241192415</v>
      </c>
      <c r="Q396" s="16">
        <f t="shared" si="50"/>
        <v>26.507939495823511</v>
      </c>
      <c r="R396" s="113">
        <f t="shared" si="46"/>
        <v>434.78</v>
      </c>
      <c r="S396" s="16">
        <f>IF(S395=15800,15800,ROUND((((Q396*60)/'Gearing Calculator'!$C$14)*'Track Data'!P396),-2))</f>
        <v>13200</v>
      </c>
      <c r="T396" s="16">
        <f t="shared" si="48"/>
        <v>6.9063271989546884</v>
      </c>
      <c r="U396" s="16">
        <f>IF(AC396=100,Braking!$AG$2354,IF(AC396=50,Braking!$AG$1179,IF(AC396=75,Braking!$AG$1767,0)))</f>
        <v>0</v>
      </c>
      <c r="V396" s="16">
        <f>0.5*'Gearing Calculator'!$C$15*'Gearing Calculator'!$C$20*'Gearing Calculator'!$W$20*('Track Data'!Q396^2)</f>
        <v>74.37068343229916</v>
      </c>
      <c r="W396" s="16">
        <f>('Gearing Calculator'!$U$9*'Track Data'!T396)+'Track Data'!V396</f>
        <v>1912.834983794037</v>
      </c>
      <c r="X396" s="16">
        <f>('Gearing Calculator'!$U$9*9.81)*('Gearing Calculator'!$U$16/'Gearing Calculator'!$C$7)-(('Track Data'!W396)*('Gearing Calculator'!$U$17/'Gearing Calculator'!$C$7))</f>
        <v>358.53659919032702</v>
      </c>
      <c r="Y396" s="16">
        <f>('Gearing Calculator'!$U$9*9.81)*(('Gearing Calculator'!$C$7-'Gearing Calculator'!$U$16)/'Gearing Calculator'!$C$7)+(('Track Data'!W396)*('Gearing Calculator'!$U$17/'Gearing Calculator'!$C$7))</f>
        <v>2252.8854008096732</v>
      </c>
      <c r="Z396" s="16">
        <f>((X396*COS('Gearing Calculator'!$C$21))/'Gearing Calculator'!$C$22)/2</f>
        <v>11.084817692313095</v>
      </c>
      <c r="AA396" s="16">
        <f>Y396/'Gearing Calculator'!$C$24</f>
        <v>31.457836476995364</v>
      </c>
      <c r="AB396" s="16">
        <f t="shared" si="44"/>
        <v>81.277010631253845</v>
      </c>
      <c r="AC396" s="16">
        <v>0</v>
      </c>
      <c r="AD396" s="16">
        <v>0</v>
      </c>
      <c r="AE396" s="16">
        <v>393</v>
      </c>
      <c r="AF396" s="16">
        <f>IF(AC396=0,IF(O396=6,INDEX(Acceleration!$V$4:$V$110,MATCH('Track Data'!S396,Acceleration!$K$4:$K$110,0)),IF('Track Data'!O396=5,INDEX(Acceleration!$U$4:$U$110,MATCH('Track Data'!S396,Acceleration!$K$4:$K$110,0)),1)),U396)</f>
        <v>1</v>
      </c>
      <c r="AG396" s="16">
        <f>IF(AC396=0,IF(O396=4,INDEX(Acceleration!$T$4:$T$110,MATCH('Track Data'!S396,Acceleration!$K$4:$K$110,0)),IF('Track Data'!O396=3,INDEX(Acceleration!$S$4:$S$110,MATCH('Track Data'!S396,Acceleration!$K$4:$K$110,0)),'Track Data'!AF396)),'Track Data'!U396)</f>
        <v>1</v>
      </c>
      <c r="AH396" s="16">
        <f>IF(AC396=0,IF(O396=2,INDEX(Acceleration!$R$4:$R$110,MATCH('Track Data'!S396,Acceleration!$K$4:$K$110,0)),IF('Track Data'!O396=1,INDEX(Acceleration!$Q$4:$Q$110,MATCH('Track Data'!S396,Acceleration!$K$4:$K$110,0)),'Track Data'!AG396)),'Track Data'!U396)</f>
        <v>6.9063271989546884</v>
      </c>
    </row>
    <row r="397" spans="2:34" x14ac:dyDescent="0.25">
      <c r="B397" s="16">
        <v>207.94800000000001</v>
      </c>
      <c r="C397" s="16">
        <v>7667</v>
      </c>
      <c r="D397" s="16">
        <v>394</v>
      </c>
      <c r="E397" s="113">
        <v>117</v>
      </c>
      <c r="F397" s="113">
        <v>113.7</v>
      </c>
      <c r="G397" s="113">
        <v>113.1</v>
      </c>
      <c r="H397" s="113">
        <f t="shared" si="47"/>
        <v>31.416666666666664</v>
      </c>
      <c r="I397" s="113">
        <v>4.7</v>
      </c>
      <c r="J397" s="113">
        <v>3.83</v>
      </c>
      <c r="K397" s="113">
        <v>3.3</v>
      </c>
      <c r="L397" s="189"/>
      <c r="M397" s="16">
        <v>394</v>
      </c>
      <c r="N397" s="16">
        <f t="shared" si="49"/>
        <v>3.7359142558615832E-2</v>
      </c>
      <c r="O397" s="16">
        <v>2</v>
      </c>
      <c r="P397" s="16">
        <f t="shared" si="45"/>
        <v>12.715447154471546</v>
      </c>
      <c r="Q397" s="16">
        <f t="shared" si="50"/>
        <v>26.767209617592741</v>
      </c>
      <c r="R397" s="113">
        <f t="shared" si="46"/>
        <v>373.41300000000001</v>
      </c>
      <c r="S397" s="16">
        <f>IF(S396=15800,15800,ROUND((((Q397*60)/'Gearing Calculator'!$C$14)*'Track Data'!P397),-2))</f>
        <v>10300</v>
      </c>
      <c r="T397" s="16">
        <f t="shared" si="48"/>
        <v>6.3324861897027258</v>
      </c>
      <c r="U397" s="16">
        <f>IF(AC397=100,Braking!$AG$2354,IF(AC397=50,Braking!$AG$1179,IF(AC397=75,Braking!$AG$1767,0)))</f>
        <v>0</v>
      </c>
      <c r="V397" s="16">
        <f>0.5*'Gearing Calculator'!$C$15*'Gearing Calculator'!$C$20*'Gearing Calculator'!$W$20*('Track Data'!Q397^2)</f>
        <v>75.832614773773869</v>
      </c>
      <c r="W397" s="16">
        <f>('Gearing Calculator'!$U$9*'Track Data'!T397)+'Track Data'!V397</f>
        <v>1761.5404384726394</v>
      </c>
      <c r="X397" s="16">
        <f>('Gearing Calculator'!$U$9*9.81)*('Gearing Calculator'!$U$16/'Gearing Calculator'!$C$7)-(('Track Data'!W397)*('Gearing Calculator'!$U$17/'Gearing Calculator'!$C$7))</f>
        <v>441.00245885979223</v>
      </c>
      <c r="Y397" s="16">
        <f>('Gearing Calculator'!$U$9*9.81)*(('Gearing Calculator'!$C$7-'Gearing Calculator'!$U$16)/'Gearing Calculator'!$C$7)+(('Track Data'!W397)*('Gearing Calculator'!$U$17/'Gearing Calculator'!$C$7))</f>
        <v>2170.4195411402079</v>
      </c>
      <c r="Z397" s="16">
        <f>((X397*COS('Gearing Calculator'!$C$21))/'Gearing Calculator'!$C$22)/2</f>
        <v>13.63440125600011</v>
      </c>
      <c r="AA397" s="16">
        <f>Y397/'Gearing Calculator'!$C$24</f>
        <v>30.306336481707302</v>
      </c>
      <c r="AB397" s="16">
        <f t="shared" si="44"/>
        <v>88.497587153179325</v>
      </c>
      <c r="AC397" s="16">
        <v>0</v>
      </c>
      <c r="AD397" s="16">
        <v>0</v>
      </c>
      <c r="AE397" s="16">
        <v>394</v>
      </c>
      <c r="AF397" s="16">
        <f>IF(AC397=0,IF(O397=6,INDEX(Acceleration!$V$4:$V$110,MATCH('Track Data'!S397,Acceleration!$K$4:$K$110,0)),IF('Track Data'!O397=5,INDEX(Acceleration!$U$4:$U$110,MATCH('Track Data'!S397,Acceleration!$K$4:$K$110,0)),1)),U397)</f>
        <v>1</v>
      </c>
      <c r="AG397" s="16">
        <f>IF(AC397=0,IF(O397=4,INDEX(Acceleration!$T$4:$T$110,MATCH('Track Data'!S397,Acceleration!$K$4:$K$110,0)),IF('Track Data'!O397=3,INDEX(Acceleration!$S$4:$S$110,MATCH('Track Data'!S397,Acceleration!$K$4:$K$110,0)),'Track Data'!AF397)),'Track Data'!U397)</f>
        <v>1</v>
      </c>
      <c r="AH397" s="16">
        <f>IF(AC397=0,IF(O397=2,INDEX(Acceleration!$R$4:$R$110,MATCH('Track Data'!S397,Acceleration!$K$4:$K$110,0)),IF('Track Data'!O397=1,INDEX(Acceleration!$Q$4:$Q$110,MATCH('Track Data'!S397,Acceleration!$K$4:$K$110,0)),'Track Data'!AG397)),'Track Data'!U397)</f>
        <v>6.3324861897027258</v>
      </c>
    </row>
    <row r="398" spans="2:34" x14ac:dyDescent="0.25">
      <c r="B398" s="16">
        <v>207.98</v>
      </c>
      <c r="C398" s="16">
        <v>7668</v>
      </c>
      <c r="D398" s="16">
        <v>395</v>
      </c>
      <c r="E398" s="113">
        <v>118</v>
      </c>
      <c r="F398" s="113">
        <v>115.6</v>
      </c>
      <c r="G398" s="113">
        <v>113.9</v>
      </c>
      <c r="H398" s="113">
        <f t="shared" si="47"/>
        <v>31.638888888888889</v>
      </c>
      <c r="I398" s="113">
        <v>4.4000000000000004</v>
      </c>
      <c r="J398" s="113">
        <v>5.09</v>
      </c>
      <c r="K398" s="113">
        <v>2.7</v>
      </c>
      <c r="L398" s="189"/>
      <c r="M398" s="16">
        <v>395</v>
      </c>
      <c r="N398" s="16">
        <f t="shared" si="49"/>
        <v>3.7033265751839906E-2</v>
      </c>
      <c r="O398" s="16">
        <v>2</v>
      </c>
      <c r="P398" s="16">
        <f t="shared" si="45"/>
        <v>12.715447154471546</v>
      </c>
      <c r="Q398" s="16">
        <f t="shared" si="50"/>
        <v>27.002749546880494</v>
      </c>
      <c r="R398" s="113">
        <f t="shared" si="46"/>
        <v>373.41300000000001</v>
      </c>
      <c r="S398" s="16">
        <f>IF(S397=15800,15800,ROUND((((Q398*60)/'Gearing Calculator'!$C$14)*'Track Data'!P398),-2))</f>
        <v>10400</v>
      </c>
      <c r="T398" s="16">
        <f t="shared" si="48"/>
        <v>6.4147455908003277</v>
      </c>
      <c r="U398" s="16">
        <f>IF(AC398=100,Braking!$AG$2354,IF(AC398=50,Braking!$AG$1179,IF(AC398=75,Braking!$AG$1767,0)))</f>
        <v>0</v>
      </c>
      <c r="V398" s="16">
        <f>0.5*'Gearing Calculator'!$C$15*'Gearing Calculator'!$C$20*'Gearing Calculator'!$W$20*('Track Data'!Q398^2)</f>
        <v>77.173075450410153</v>
      </c>
      <c r="W398" s="16">
        <f>('Gearing Calculator'!$U$9*'Track Data'!T398)+'Track Data'!V398</f>
        <v>1784.7783517214573</v>
      </c>
      <c r="X398" s="16">
        <f>('Gearing Calculator'!$U$9*9.81)*('Gearing Calculator'!$U$16/'Gearing Calculator'!$C$7)-(('Track Data'!W398)*('Gearing Calculator'!$U$17/'Gearing Calculator'!$C$7))</f>
        <v>428.33620913534037</v>
      </c>
      <c r="Y398" s="16">
        <f>('Gearing Calculator'!$U$9*9.81)*(('Gearing Calculator'!$C$7-'Gearing Calculator'!$U$16)/'Gearing Calculator'!$C$7)+(('Track Data'!W398)*('Gearing Calculator'!$U$17/'Gearing Calculator'!$C$7))</f>
        <v>2183.0857908646594</v>
      </c>
      <c r="Z398" s="16">
        <f>((X398*COS('Gearing Calculator'!$C$21))/'Gearing Calculator'!$C$22)/2</f>
        <v>13.242800874454884</v>
      </c>
      <c r="AA398" s="16">
        <f>Y398/'Gearing Calculator'!$C$24</f>
        <v>30.48319981104726</v>
      </c>
      <c r="AB398" s="16">
        <f t="shared" si="44"/>
        <v>90.002566632010812</v>
      </c>
      <c r="AC398" s="16">
        <v>0</v>
      </c>
      <c r="AD398" s="16">
        <v>0</v>
      </c>
      <c r="AE398" s="16">
        <v>395</v>
      </c>
      <c r="AF398" s="16">
        <f>IF(AC398=0,IF(O398=6,INDEX(Acceleration!$V$4:$V$110,MATCH('Track Data'!S398,Acceleration!$K$4:$K$110,0)),IF('Track Data'!O398=5,INDEX(Acceleration!$U$4:$U$110,MATCH('Track Data'!S398,Acceleration!$K$4:$K$110,0)),1)),U398)</f>
        <v>1</v>
      </c>
      <c r="AG398" s="16">
        <f>IF(AC398=0,IF(O398=4,INDEX(Acceleration!$T$4:$T$110,MATCH('Track Data'!S398,Acceleration!$K$4:$K$110,0)),IF('Track Data'!O398=3,INDEX(Acceleration!$S$4:$S$110,MATCH('Track Data'!S398,Acceleration!$K$4:$K$110,0)),'Track Data'!AF398)),'Track Data'!U398)</f>
        <v>1</v>
      </c>
      <c r="AH398" s="16">
        <f>IF(AC398=0,IF(O398=2,INDEX(Acceleration!$R$4:$R$110,MATCH('Track Data'!S398,Acceleration!$K$4:$K$110,0)),IF('Track Data'!O398=1,INDEX(Acceleration!$Q$4:$Q$110,MATCH('Track Data'!S398,Acceleration!$K$4:$K$110,0)),'Track Data'!AG398)),'Track Data'!U398)</f>
        <v>6.4147455908003277</v>
      </c>
    </row>
    <row r="399" spans="2:34" x14ac:dyDescent="0.25">
      <c r="B399" s="16">
        <v>208.011</v>
      </c>
      <c r="C399" s="16">
        <v>7669</v>
      </c>
      <c r="D399" s="16">
        <v>396</v>
      </c>
      <c r="E399" s="113">
        <v>117</v>
      </c>
      <c r="F399" s="113">
        <v>116.7</v>
      </c>
      <c r="G399" s="113">
        <v>114.5</v>
      </c>
      <c r="H399" s="113">
        <f t="shared" si="47"/>
        <v>31.805555555555554</v>
      </c>
      <c r="I399" s="113">
        <v>4.3</v>
      </c>
      <c r="J399" s="113">
        <v>7.8</v>
      </c>
      <c r="K399" s="113">
        <v>3.6</v>
      </c>
      <c r="L399" s="189"/>
      <c r="M399" s="16">
        <v>396</v>
      </c>
      <c r="N399" s="16">
        <f t="shared" si="49"/>
        <v>3.6711699794728707E-2</v>
      </c>
      <c r="O399" s="16">
        <v>2</v>
      </c>
      <c r="P399" s="16">
        <f t="shared" si="45"/>
        <v>12.715447154471546</v>
      </c>
      <c r="Q399" s="16">
        <f t="shared" si="50"/>
        <v>27.239272645817021</v>
      </c>
      <c r="R399" s="113">
        <f t="shared" si="46"/>
        <v>373.41300000000001</v>
      </c>
      <c r="S399" s="16">
        <f>IF(S398=15800,15800,ROUND((((Q399*60)/'Gearing Calculator'!$C$14)*'Track Data'!P399),-2))</f>
        <v>10500</v>
      </c>
      <c r="T399" s="16">
        <f t="shared" si="48"/>
        <v>6.4953477784476208</v>
      </c>
      <c r="U399" s="16">
        <f>IF(AC399=100,Braking!$AG$2354,IF(AC399=50,Braking!$AG$1179,IF(AC399=75,Braking!$AG$1767,0)))</f>
        <v>0</v>
      </c>
      <c r="V399" s="16">
        <f>0.5*'Gearing Calculator'!$C$15*'Gearing Calculator'!$C$20*'Gearing Calculator'!$W$20*('Track Data'!Q399^2)</f>
        <v>78.530948797070764</v>
      </c>
      <c r="W399" s="16">
        <f>('Gearing Calculator'!$U$9*'Track Data'!T399)+'Track Data'!V399</f>
        <v>1807.5925274198273</v>
      </c>
      <c r="X399" s="16">
        <f>('Gearing Calculator'!$U$9*9.81)*('Gearing Calculator'!$U$16/'Gearing Calculator'!$C$7)-(('Track Data'!W399)*('Gearing Calculator'!$U$17/'Gearing Calculator'!$C$7))</f>
        <v>415.90092531450182</v>
      </c>
      <c r="Y399" s="16">
        <f>('Gearing Calculator'!$U$9*9.81)*(('Gearing Calculator'!$C$7-'Gearing Calculator'!$U$16)/'Gearing Calculator'!$C$7)+(('Track Data'!W399)*('Gearing Calculator'!$U$17/'Gearing Calculator'!$C$7))</f>
        <v>2195.5210746854982</v>
      </c>
      <c r="Z399" s="16">
        <f>((X399*COS('Gearing Calculator'!$C$21))/'Gearing Calculator'!$C$22)/2</f>
        <v>12.858341228166465</v>
      </c>
      <c r="AA399" s="16">
        <f>Y399/'Gearing Calculator'!$C$24</f>
        <v>30.656838081702475</v>
      </c>
      <c r="AB399" s="16">
        <f t="shared" si="44"/>
        <v>91.52164435396601</v>
      </c>
      <c r="AC399" s="16">
        <v>0</v>
      </c>
      <c r="AD399" s="16">
        <v>0</v>
      </c>
      <c r="AE399" s="16">
        <v>396</v>
      </c>
      <c r="AF399" s="16">
        <f>IF(AC399=0,IF(O399=6,INDEX(Acceleration!$V$4:$V$110,MATCH('Track Data'!S399,Acceleration!$K$4:$K$110,0)),IF('Track Data'!O399=5,INDEX(Acceleration!$U$4:$U$110,MATCH('Track Data'!S399,Acceleration!$K$4:$K$110,0)),1)),U399)</f>
        <v>1</v>
      </c>
      <c r="AG399" s="16">
        <f>IF(AC399=0,IF(O399=4,INDEX(Acceleration!$T$4:$T$110,MATCH('Track Data'!S399,Acceleration!$K$4:$K$110,0)),IF('Track Data'!O399=3,INDEX(Acceleration!$S$4:$S$110,MATCH('Track Data'!S399,Acceleration!$K$4:$K$110,0)),'Track Data'!AF399)),'Track Data'!U399)</f>
        <v>1</v>
      </c>
      <c r="AH399" s="16">
        <f>IF(AC399=0,IF(O399=2,INDEX(Acceleration!$R$4:$R$110,MATCH('Track Data'!S399,Acceleration!$K$4:$K$110,0)),IF('Track Data'!O399=1,INDEX(Acceleration!$Q$4:$Q$110,MATCH('Track Data'!S399,Acceleration!$K$4:$K$110,0)),'Track Data'!AG399)),'Track Data'!U399)</f>
        <v>6.4953477784476208</v>
      </c>
    </row>
    <row r="400" spans="2:34" x14ac:dyDescent="0.25">
      <c r="B400" s="16">
        <v>208.042</v>
      </c>
      <c r="C400" s="16">
        <v>7670</v>
      </c>
      <c r="D400" s="16">
        <v>397</v>
      </c>
      <c r="E400" s="113">
        <v>116</v>
      </c>
      <c r="F400" s="113">
        <v>117.5</v>
      </c>
      <c r="G400" s="113">
        <v>115.1</v>
      </c>
      <c r="H400" s="113">
        <f t="shared" si="47"/>
        <v>31.972222222222221</v>
      </c>
      <c r="I400" s="113">
        <v>4.3</v>
      </c>
      <c r="J400" s="113">
        <v>14.05</v>
      </c>
      <c r="K400" s="113">
        <v>5.9</v>
      </c>
      <c r="L400" s="189"/>
      <c r="M400" s="16">
        <v>397</v>
      </c>
      <c r="N400" s="16">
        <f t="shared" si="49"/>
        <v>3.6394481399505442E-2</v>
      </c>
      <c r="O400" s="16">
        <v>2</v>
      </c>
      <c r="P400" s="16">
        <f t="shared" si="45"/>
        <v>12.715447154471546</v>
      </c>
      <c r="Q400" s="16">
        <f t="shared" si="50"/>
        <v>27.476693211339146</v>
      </c>
      <c r="R400" s="113">
        <f t="shared" si="46"/>
        <v>373.41300000000001</v>
      </c>
      <c r="S400" s="16">
        <f>IF(S399=15800,15800,ROUND((((Q400*60)/'Gearing Calculator'!$C$14)*'Track Data'!P400),-2))</f>
        <v>10600</v>
      </c>
      <c r="T400" s="16">
        <f t="shared" si="48"/>
        <v>6.5018098199936212</v>
      </c>
      <c r="U400" s="16">
        <f>IF(AC400=100,Braking!$AG$2354,IF(AC400=50,Braking!$AG$1179,IF(AC400=75,Braking!$AG$1767,0)))</f>
        <v>0</v>
      </c>
      <c r="V400" s="16">
        <f>0.5*'Gearing Calculator'!$C$15*'Gearing Calculator'!$C$20*'Gearing Calculator'!$W$20*('Track Data'!Q400^2)</f>
        <v>79.905884014812571</v>
      </c>
      <c r="W400" s="16">
        <f>('Gearing Calculator'!$U$9*'Track Data'!T400)+'Track Data'!V400</f>
        <v>1810.6876580971143</v>
      </c>
      <c r="X400" s="16">
        <f>('Gearing Calculator'!$U$9*9.81)*('Gearing Calculator'!$U$16/'Gearing Calculator'!$C$7)-(('Track Data'!W400)*('Gearing Calculator'!$U$17/'Gearing Calculator'!$C$7))</f>
        <v>414.21386771735183</v>
      </c>
      <c r="Y400" s="16">
        <f>('Gearing Calculator'!$U$9*9.81)*(('Gearing Calculator'!$C$7-'Gearing Calculator'!$U$16)/'Gearing Calculator'!$C$7)+(('Track Data'!W400)*('Gearing Calculator'!$U$17/'Gearing Calculator'!$C$7))</f>
        <v>2197.208132282648</v>
      </c>
      <c r="Z400" s="16">
        <f>((X400*COS('Gearing Calculator'!$C$21))/'Gearing Calculator'!$C$22)/2</f>
        <v>12.806182742971171</v>
      </c>
      <c r="AA400" s="16">
        <f>Y400/'Gearing Calculator'!$C$24</f>
        <v>30.680395064227788</v>
      </c>
      <c r="AB400" s="16">
        <f t="shared" si="44"/>
        <v>92.909503654799806</v>
      </c>
      <c r="AC400" s="16">
        <v>0</v>
      </c>
      <c r="AD400" s="16">
        <v>0</v>
      </c>
      <c r="AE400" s="16">
        <v>397</v>
      </c>
      <c r="AF400" s="16">
        <f>IF(AC400=0,IF(O400=6,INDEX(Acceleration!$V$4:$V$110,MATCH('Track Data'!S400,Acceleration!$K$4:$K$110,0)),IF('Track Data'!O400=5,INDEX(Acceleration!$U$4:$U$110,MATCH('Track Data'!S400,Acceleration!$K$4:$K$110,0)),1)),U400)</f>
        <v>1</v>
      </c>
      <c r="AG400" s="16">
        <f>IF(AC400=0,IF(O400=4,INDEX(Acceleration!$T$4:$T$110,MATCH('Track Data'!S400,Acceleration!$K$4:$K$110,0)),IF('Track Data'!O400=3,INDEX(Acceleration!$S$4:$S$110,MATCH('Track Data'!S400,Acceleration!$K$4:$K$110,0)),'Track Data'!AF400)),'Track Data'!U400)</f>
        <v>1</v>
      </c>
      <c r="AH400" s="16">
        <f>IF(AC400=0,IF(O400=2,INDEX(Acceleration!$R$4:$R$110,MATCH('Track Data'!S400,Acceleration!$K$4:$K$110,0)),IF('Track Data'!O400=1,INDEX(Acceleration!$Q$4:$Q$110,MATCH('Track Data'!S400,Acceleration!$K$4:$K$110,0)),'Track Data'!AG400)),'Track Data'!U400)</f>
        <v>6.5018098199936212</v>
      </c>
    </row>
    <row r="401" spans="2:34" x14ac:dyDescent="0.25">
      <c r="B401" s="16">
        <v>208.072</v>
      </c>
      <c r="C401" s="16">
        <v>7671</v>
      </c>
      <c r="D401" s="16">
        <v>398</v>
      </c>
      <c r="E401" s="113">
        <v>116</v>
      </c>
      <c r="F401" s="113">
        <v>117.9</v>
      </c>
      <c r="G401" s="113">
        <v>115.6</v>
      </c>
      <c r="H401" s="113">
        <f t="shared" si="47"/>
        <v>32.111111111111107</v>
      </c>
      <c r="I401" s="113">
        <v>4.5</v>
      </c>
      <c r="J401" s="113">
        <v>22.76</v>
      </c>
      <c r="K401" s="113">
        <v>8.3000000000000007</v>
      </c>
      <c r="L401" s="189"/>
      <c r="M401" s="16">
        <v>398</v>
      </c>
      <c r="N401" s="16">
        <f t="shared" si="49"/>
        <v>3.6085042830002953E-2</v>
      </c>
      <c r="O401" s="16">
        <v>2</v>
      </c>
      <c r="P401" s="16">
        <f t="shared" si="45"/>
        <v>12.715447154471546</v>
      </c>
      <c r="Q401" s="16">
        <f t="shared" si="50"/>
        <v>27.712312957781744</v>
      </c>
      <c r="R401" s="113">
        <f t="shared" si="46"/>
        <v>373.41300000000001</v>
      </c>
      <c r="S401" s="16">
        <f>IF(S400=15800,15800,ROUND((((Q401*60)/'Gearing Calculator'!$C$14)*'Track Data'!P401),-2))</f>
        <v>10700</v>
      </c>
      <c r="T401" s="16">
        <f t="shared" si="48"/>
        <v>6.5080606917597175</v>
      </c>
      <c r="U401" s="16">
        <f>IF(AC401=100,Braking!$AG$2354,IF(AC401=50,Braking!$AG$1179,IF(AC401=75,Braking!$AG$1767,0)))</f>
        <v>0</v>
      </c>
      <c r="V401" s="16">
        <f>0.5*'Gearing Calculator'!$C$15*'Gearing Calculator'!$C$20*'Gearing Calculator'!$W$20*('Track Data'!Q401^2)</f>
        <v>81.282187117508812</v>
      </c>
      <c r="W401" s="16">
        <f>('Gearing Calculator'!$U$9*'Track Data'!T401)+'Track Data'!V401</f>
        <v>1813.7279432639455</v>
      </c>
      <c r="X401" s="16">
        <f>('Gearing Calculator'!$U$9*9.81)*('Gearing Calculator'!$U$16/'Gearing Calculator'!$C$7)-(('Track Data'!W401)*('Gearing Calculator'!$U$17/'Gearing Calculator'!$C$7))</f>
        <v>412.55670466900506</v>
      </c>
      <c r="Y401" s="16">
        <f>('Gearing Calculator'!$U$9*9.81)*(('Gearing Calculator'!$C$7-'Gearing Calculator'!$U$16)/'Gearing Calculator'!$C$7)+(('Track Data'!W401)*('Gearing Calculator'!$U$17/'Gearing Calculator'!$C$7))</f>
        <v>2198.8652953309947</v>
      </c>
      <c r="Z401" s="16">
        <f>((X401*COS('Gearing Calculator'!$C$21))/'Gearing Calculator'!$C$22)/2</f>
        <v>12.75494850267647</v>
      </c>
      <c r="AA401" s="16">
        <f>Y401/'Gearing Calculator'!$C$24</f>
        <v>30.703534618584115</v>
      </c>
      <c r="AB401" s="16">
        <f t="shared" si="44"/>
        <v>94.298308501028245</v>
      </c>
      <c r="AC401" s="16">
        <v>0</v>
      </c>
      <c r="AD401" s="16">
        <v>0</v>
      </c>
      <c r="AE401" s="16">
        <v>398</v>
      </c>
      <c r="AF401" s="16">
        <f>IF(AC401=0,IF(O401=6,INDEX(Acceleration!$V$4:$V$110,MATCH('Track Data'!S401,Acceleration!$K$4:$K$110,0)),IF('Track Data'!O401=5,INDEX(Acceleration!$U$4:$U$110,MATCH('Track Data'!S401,Acceleration!$K$4:$K$110,0)),1)),U401)</f>
        <v>1</v>
      </c>
      <c r="AG401" s="16">
        <f>IF(AC401=0,IF(O401=4,INDEX(Acceleration!$T$4:$T$110,MATCH('Track Data'!S401,Acceleration!$K$4:$K$110,0)),IF('Track Data'!O401=3,INDEX(Acceleration!$S$4:$S$110,MATCH('Track Data'!S401,Acceleration!$K$4:$K$110,0)),'Track Data'!AF401)),'Track Data'!U401)</f>
        <v>1</v>
      </c>
      <c r="AH401" s="16">
        <f>IF(AC401=0,IF(O401=2,INDEX(Acceleration!$R$4:$R$110,MATCH('Track Data'!S401,Acceleration!$K$4:$K$110,0)),IF('Track Data'!O401=1,INDEX(Acceleration!$Q$4:$Q$110,MATCH('Track Data'!S401,Acceleration!$K$4:$K$110,0)),'Track Data'!AG401)),'Track Data'!U401)</f>
        <v>6.5080606917597175</v>
      </c>
    </row>
    <row r="402" spans="2:34" x14ac:dyDescent="0.25">
      <c r="B402" s="16">
        <v>208.10300000000001</v>
      </c>
      <c r="C402" s="16">
        <v>7672</v>
      </c>
      <c r="D402" s="16">
        <v>399</v>
      </c>
      <c r="E402" s="113">
        <v>115</v>
      </c>
      <c r="F402" s="113">
        <v>117.9</v>
      </c>
      <c r="G402" s="113">
        <v>116.1</v>
      </c>
      <c r="H402" s="113">
        <f t="shared" si="47"/>
        <v>32.25</v>
      </c>
      <c r="I402" s="113">
        <v>4.7</v>
      </c>
      <c r="J402" s="113">
        <v>31.6</v>
      </c>
      <c r="K402" s="113">
        <v>7.1</v>
      </c>
      <c r="L402" s="189"/>
      <c r="M402" s="16">
        <v>399</v>
      </c>
      <c r="N402" s="16">
        <f t="shared" si="49"/>
        <v>3.5783078839185481E-2</v>
      </c>
      <c r="O402" s="16">
        <v>2</v>
      </c>
      <c r="P402" s="16">
        <f t="shared" si="45"/>
        <v>12.715447154471546</v>
      </c>
      <c r="Q402" s="16">
        <f t="shared" si="50"/>
        <v>27.946169878063031</v>
      </c>
      <c r="R402" s="113">
        <f t="shared" si="46"/>
        <v>373.41300000000001</v>
      </c>
      <c r="S402" s="16">
        <f>IF(S401=15800,15800,ROUND((((Q402*60)/'Gearing Calculator'!$C$14)*'Track Data'!P402),-2))</f>
        <v>10800</v>
      </c>
      <c r="T402" s="16">
        <f t="shared" si="48"/>
        <v>6.5141054147894666</v>
      </c>
      <c r="U402" s="16">
        <f>IF(AC402=100,Braking!$AG$2354,IF(AC402=50,Braking!$AG$1179,IF(AC402=75,Braking!$AG$1767,0)))</f>
        <v>0</v>
      </c>
      <c r="V402" s="16">
        <f>0.5*'Gearing Calculator'!$C$15*'Gearing Calculator'!$C$20*'Gearing Calculator'!$W$20*('Track Data'!Q402^2)</f>
        <v>82.659813404740518</v>
      </c>
      <c r="W402" s="16">
        <f>('Gearing Calculator'!$U$9*'Track Data'!T402)+'Track Data'!V402</f>
        <v>1816.7146748216965</v>
      </c>
      <c r="X402" s="16">
        <f>('Gearing Calculator'!$U$9*9.81)*('Gearing Calculator'!$U$16/'Gearing Calculator'!$C$7)-(('Track Data'!W402)*('Gearing Calculator'!$U$17/'Gearing Calculator'!$C$7))</f>
        <v>410.92873199498274</v>
      </c>
      <c r="Y402" s="16">
        <f>('Gearing Calculator'!$U$9*9.81)*(('Gearing Calculator'!$C$7-'Gearing Calculator'!$U$16)/'Gearing Calculator'!$C$7)+(('Track Data'!W402)*('Gearing Calculator'!$U$17/'Gearing Calculator'!$C$7))</f>
        <v>2200.4932680050174</v>
      </c>
      <c r="Z402" s="16">
        <f>((X402*COS('Gearing Calculator'!$C$21))/'Gearing Calculator'!$C$22)/2</f>
        <v>12.704616736434595</v>
      </c>
      <c r="AA402" s="16">
        <f>Y402/'Gearing Calculator'!$C$24</f>
        <v>30.726266577409014</v>
      </c>
      <c r="AB402" s="16">
        <f t="shared" si="44"/>
        <v>95.688024234319457</v>
      </c>
      <c r="AC402" s="16">
        <v>0</v>
      </c>
      <c r="AD402" s="16">
        <v>0</v>
      </c>
      <c r="AE402" s="16">
        <v>399</v>
      </c>
      <c r="AF402" s="16">
        <f>IF(AC402=0,IF(O402=6,INDEX(Acceleration!$V$4:$V$110,MATCH('Track Data'!S402,Acceleration!$K$4:$K$110,0)),IF('Track Data'!O402=5,INDEX(Acceleration!$U$4:$U$110,MATCH('Track Data'!S402,Acceleration!$K$4:$K$110,0)),1)),U402)</f>
        <v>1</v>
      </c>
      <c r="AG402" s="16">
        <f>IF(AC402=0,IF(O402=4,INDEX(Acceleration!$T$4:$T$110,MATCH('Track Data'!S402,Acceleration!$K$4:$K$110,0)),IF('Track Data'!O402=3,INDEX(Acceleration!$S$4:$S$110,MATCH('Track Data'!S402,Acceleration!$K$4:$K$110,0)),'Track Data'!AF402)),'Track Data'!U402)</f>
        <v>1</v>
      </c>
      <c r="AH402" s="16">
        <f>IF(AC402=0,IF(O402=2,INDEX(Acceleration!$R$4:$R$110,MATCH('Track Data'!S402,Acceleration!$K$4:$K$110,0)),IF('Track Data'!O402=1,INDEX(Acceleration!$Q$4:$Q$110,MATCH('Track Data'!S402,Acceleration!$K$4:$K$110,0)),'Track Data'!AG402)),'Track Data'!U402)</f>
        <v>6.5141054147894666</v>
      </c>
    </row>
    <row r="403" spans="2:34" x14ac:dyDescent="0.25">
      <c r="B403" s="16">
        <v>208.13300000000001</v>
      </c>
      <c r="C403" s="16">
        <v>7673</v>
      </c>
      <c r="D403" s="16">
        <v>400</v>
      </c>
      <c r="E403" s="113">
        <v>113</v>
      </c>
      <c r="F403" s="113">
        <v>117.8</v>
      </c>
      <c r="G403" s="113">
        <v>116.6</v>
      </c>
      <c r="H403" s="113">
        <f t="shared" si="47"/>
        <v>32.388888888888886</v>
      </c>
      <c r="I403" s="113">
        <v>5.8</v>
      </c>
      <c r="J403" s="113">
        <v>39.56</v>
      </c>
      <c r="K403" s="113">
        <v>5</v>
      </c>
      <c r="L403" s="189"/>
      <c r="M403" s="16">
        <v>400</v>
      </c>
      <c r="N403" s="16">
        <f t="shared" si="49"/>
        <v>3.5488300593338205E-2</v>
      </c>
      <c r="O403" s="16">
        <v>2</v>
      </c>
      <c r="P403" s="16">
        <f t="shared" si="45"/>
        <v>12.715447154471546</v>
      </c>
      <c r="Q403" s="16">
        <f t="shared" si="50"/>
        <v>28.178300546398045</v>
      </c>
      <c r="R403" s="113">
        <f t="shared" si="46"/>
        <v>373.41300000000001</v>
      </c>
      <c r="S403" s="16">
        <f>IF(S402=15800,15800,ROUND((((Q403*60)/'Gearing Calculator'!$C$14)*'Track Data'!P403),-2))</f>
        <v>10900</v>
      </c>
      <c r="T403" s="16">
        <f t="shared" si="48"/>
        <v>6.5199488258679459</v>
      </c>
      <c r="U403" s="16">
        <f>IF(AC403=100,Braking!$AG$2354,IF(AC403=50,Braking!$AG$1179,IF(AC403=75,Braking!$AG$1767,0)))</f>
        <v>0</v>
      </c>
      <c r="V403" s="16">
        <f>0.5*'Gearing Calculator'!$C$15*'Gearing Calculator'!$C$20*'Gearing Calculator'!$W$20*('Track Data'!Q403^2)</f>
        <v>84.038719238943145</v>
      </c>
      <c r="W403" s="16">
        <f>('Gearing Calculator'!$U$9*'Track Data'!T403)+'Track Data'!V403</f>
        <v>1819.6490966849901</v>
      </c>
      <c r="X403" s="16">
        <f>('Gearing Calculator'!$U$9*9.81)*('Gearing Calculator'!$U$16/'Gearing Calculator'!$C$7)-(('Track Data'!W403)*('Gearing Calculator'!$U$17/'Gearing Calculator'!$C$7))</f>
        <v>409.3292716768641</v>
      </c>
      <c r="Y403" s="16">
        <f>('Gearing Calculator'!$U$9*9.81)*(('Gearing Calculator'!$C$7-'Gearing Calculator'!$U$16)/'Gearing Calculator'!$C$7)+(('Track Data'!W403)*('Gearing Calculator'!$U$17/'Gearing Calculator'!$C$7))</f>
        <v>2202.0927283231358</v>
      </c>
      <c r="Z403" s="16">
        <f>((X403*COS('Gearing Calculator'!$C$21))/'Gearing Calculator'!$C$22)/2</f>
        <v>12.655166482060361</v>
      </c>
      <c r="AA403" s="16">
        <f>Y403/'Gearing Calculator'!$C$24</f>
        <v>30.748600408113731</v>
      </c>
      <c r="AB403" s="16">
        <f t="shared" si="44"/>
        <v>97.078616890679029</v>
      </c>
      <c r="AC403" s="16">
        <v>0</v>
      </c>
      <c r="AD403" s="16">
        <v>0</v>
      </c>
      <c r="AE403" s="16">
        <v>400</v>
      </c>
      <c r="AF403" s="16">
        <f>IF(AC403=0,IF(O403=6,INDEX(Acceleration!$V$4:$V$110,MATCH('Track Data'!S403,Acceleration!$K$4:$K$110,0)),IF('Track Data'!O403=5,INDEX(Acceleration!$U$4:$U$110,MATCH('Track Data'!S403,Acceleration!$K$4:$K$110,0)),1)),U403)</f>
        <v>1</v>
      </c>
      <c r="AG403" s="16">
        <f>IF(AC403=0,IF(O403=4,INDEX(Acceleration!$T$4:$T$110,MATCH('Track Data'!S403,Acceleration!$K$4:$K$110,0)),IF('Track Data'!O403=3,INDEX(Acceleration!$S$4:$S$110,MATCH('Track Data'!S403,Acceleration!$K$4:$K$110,0)),'Track Data'!AF403)),'Track Data'!U403)</f>
        <v>1</v>
      </c>
      <c r="AH403" s="16">
        <f>IF(AC403=0,IF(O403=2,INDEX(Acceleration!$R$4:$R$110,MATCH('Track Data'!S403,Acceleration!$K$4:$K$110,0)),IF('Track Data'!O403=1,INDEX(Acceleration!$Q$4:$Q$110,MATCH('Track Data'!S403,Acceleration!$K$4:$K$110,0)),'Track Data'!AG403)),'Track Data'!U403)</f>
        <v>6.5199488258679459</v>
      </c>
    </row>
    <row r="404" spans="2:34" x14ac:dyDescent="0.25">
      <c r="B404" s="16">
        <v>208.16399999999999</v>
      </c>
      <c r="C404" s="16">
        <v>7674</v>
      </c>
      <c r="D404" s="16">
        <v>401</v>
      </c>
      <c r="E404" s="113">
        <v>110</v>
      </c>
      <c r="F404" s="113">
        <v>117.6</v>
      </c>
      <c r="G404" s="113">
        <v>116.9</v>
      </c>
      <c r="H404" s="113">
        <f t="shared" si="47"/>
        <v>32.472222222222221</v>
      </c>
      <c r="I404" s="113">
        <v>7.7</v>
      </c>
      <c r="J404" s="113">
        <v>46.79</v>
      </c>
      <c r="K404" s="113">
        <v>3.1</v>
      </c>
      <c r="L404" s="189"/>
      <c r="M404" s="16">
        <v>401</v>
      </c>
      <c r="N404" s="16">
        <f t="shared" si="49"/>
        <v>3.520043455703345E-2</v>
      </c>
      <c r="O404" s="16">
        <v>2</v>
      </c>
      <c r="P404" s="16">
        <f t="shared" si="45"/>
        <v>12.715447154471546</v>
      </c>
      <c r="Q404" s="16">
        <f t="shared" si="50"/>
        <v>28.408740192674372</v>
      </c>
      <c r="R404" s="113">
        <f t="shared" si="46"/>
        <v>373.41300000000001</v>
      </c>
      <c r="S404" s="16">
        <f>IF(S403=15800,15800,ROUND((((Q404*60)/'Gearing Calculator'!$C$14)*'Track Data'!P404),-2))</f>
        <v>11000</v>
      </c>
      <c r="T404" s="16">
        <f t="shared" si="48"/>
        <v>6.4557040289451404</v>
      </c>
      <c r="U404" s="16">
        <f>IF(AC404=100,Braking!$AG$2354,IF(AC404=50,Braking!$AG$1179,IF(AC404=75,Braking!$AG$1767,0)))</f>
        <v>0</v>
      </c>
      <c r="V404" s="16">
        <f>0.5*'Gearing Calculator'!$C$15*'Gearing Calculator'!$C$20*'Gearing Calculator'!$W$20*('Track Data'!Q404^2)</f>
        <v>85.418862006402875</v>
      </c>
      <c r="W404" s="16">
        <f>('Gearing Calculator'!$U$9*'Track Data'!T404)+'Track Data'!V404</f>
        <v>1803.9272745115991</v>
      </c>
      <c r="X404" s="16">
        <f>('Gearing Calculator'!$U$9*9.81)*('Gearing Calculator'!$U$16/'Gearing Calculator'!$C$7)-(('Track Data'!W404)*('Gearing Calculator'!$U$17/'Gearing Calculator'!$C$7))</f>
        <v>417.89873846329021</v>
      </c>
      <c r="Y404" s="16">
        <f>('Gearing Calculator'!$U$9*9.81)*(('Gearing Calculator'!$C$7-'Gearing Calculator'!$U$16)/'Gearing Calculator'!$C$7)+(('Track Data'!W404)*('Gearing Calculator'!$U$17/'Gearing Calculator'!$C$7))</f>
        <v>2193.5232615367099</v>
      </c>
      <c r="Z404" s="16">
        <f>((X404*COS('Gearing Calculator'!$C$21))/'Gearing Calculator'!$C$22)/2</f>
        <v>12.920107292182344</v>
      </c>
      <c r="AA404" s="16">
        <f>Y404/'Gearing Calculator'!$C$24</f>
        <v>30.628941909387812</v>
      </c>
      <c r="AB404" s="16">
        <f t="shared" si="44"/>
        <v>98.33027006429316</v>
      </c>
      <c r="AC404" s="16">
        <v>0</v>
      </c>
      <c r="AD404" s="16">
        <v>0</v>
      </c>
      <c r="AE404" s="16">
        <v>401</v>
      </c>
      <c r="AF404" s="16">
        <f>IF(AC404=0,IF(O404=6,INDEX(Acceleration!$V$4:$V$110,MATCH('Track Data'!S404,Acceleration!$K$4:$K$110,0)),IF('Track Data'!O404=5,INDEX(Acceleration!$U$4:$U$110,MATCH('Track Data'!S404,Acceleration!$K$4:$K$110,0)),1)),U404)</f>
        <v>1</v>
      </c>
      <c r="AG404" s="16">
        <f>IF(AC404=0,IF(O404=4,INDEX(Acceleration!$T$4:$T$110,MATCH('Track Data'!S404,Acceleration!$K$4:$K$110,0)),IF('Track Data'!O404=3,INDEX(Acceleration!$S$4:$S$110,MATCH('Track Data'!S404,Acceleration!$K$4:$K$110,0)),'Track Data'!AF404)),'Track Data'!U404)</f>
        <v>1</v>
      </c>
      <c r="AH404" s="16">
        <f>IF(AC404=0,IF(O404=2,INDEX(Acceleration!$R$4:$R$110,MATCH('Track Data'!S404,Acceleration!$K$4:$K$110,0)),IF('Track Data'!O404=1,INDEX(Acceleration!$Q$4:$Q$110,MATCH('Track Data'!S404,Acceleration!$K$4:$K$110,0)),'Track Data'!AG404)),'Track Data'!U404)</f>
        <v>6.4557040289451404</v>
      </c>
    </row>
    <row r="405" spans="2:34" x14ac:dyDescent="0.25">
      <c r="B405" s="16">
        <v>208.19399999999999</v>
      </c>
      <c r="C405" s="16">
        <v>7675</v>
      </c>
      <c r="D405" s="16">
        <v>402</v>
      </c>
      <c r="E405" s="113">
        <v>111</v>
      </c>
      <c r="F405" s="113">
        <v>117.6</v>
      </c>
      <c r="G405" s="113">
        <v>117.2</v>
      </c>
      <c r="H405" s="113">
        <f t="shared" si="47"/>
        <v>32.555555555555557</v>
      </c>
      <c r="I405" s="113">
        <v>7.5</v>
      </c>
      <c r="J405" s="113">
        <v>55.22</v>
      </c>
      <c r="K405" s="113">
        <v>3.1</v>
      </c>
      <c r="L405" s="189"/>
      <c r="M405" s="16">
        <v>402</v>
      </c>
      <c r="N405" s="16">
        <f t="shared" si="49"/>
        <v>3.4922197749993902E-2</v>
      </c>
      <c r="O405" s="16">
        <v>2</v>
      </c>
      <c r="P405" s="16">
        <f t="shared" si="45"/>
        <v>12.715447154471546</v>
      </c>
      <c r="Q405" s="16">
        <f t="shared" si="50"/>
        <v>28.635082109062697</v>
      </c>
      <c r="R405" s="113">
        <f t="shared" si="46"/>
        <v>373.41300000000001</v>
      </c>
      <c r="S405" s="16">
        <f>IF(S404=15800,15800,ROUND((((Q405*60)/'Gearing Calculator'!$C$14)*'Track Data'!P405),-2))</f>
        <v>11000</v>
      </c>
      <c r="T405" s="16">
        <f t="shared" si="48"/>
        <v>6.4557040289451404</v>
      </c>
      <c r="U405" s="16">
        <f>IF(AC405=100,Braking!$AG$2354,IF(AC405=50,Braking!$AG$1179,IF(AC405=75,Braking!$AG$1767,0)))</f>
        <v>0</v>
      </c>
      <c r="V405" s="16">
        <f>0.5*'Gearing Calculator'!$C$15*'Gearing Calculator'!$C$20*'Gearing Calculator'!$W$20*('Track Data'!Q405^2)</f>
        <v>86.785405435249984</v>
      </c>
      <c r="W405" s="16">
        <f>('Gearing Calculator'!$U$9*'Track Data'!T405)+'Track Data'!V405</f>
        <v>1805.2938179404462</v>
      </c>
      <c r="X405" s="16">
        <f>('Gearing Calculator'!$U$9*9.81)*('Gearing Calculator'!$U$16/'Gearing Calculator'!$C$7)-(('Track Data'!W405)*('Gearing Calculator'!$U$17/'Gearing Calculator'!$C$7))</f>
        <v>417.1538789682163</v>
      </c>
      <c r="Y405" s="16">
        <f>('Gearing Calculator'!$U$9*9.81)*(('Gearing Calculator'!$C$7-'Gearing Calculator'!$U$16)/'Gearing Calculator'!$C$7)+(('Track Data'!W405)*('Gearing Calculator'!$U$17/'Gearing Calculator'!$C$7))</f>
        <v>2194.2681210317837</v>
      </c>
      <c r="Z405" s="16">
        <f>((X405*COS('Gearing Calculator'!$C$21))/'Gearing Calculator'!$C$22)/2</f>
        <v>12.897078592384529</v>
      </c>
      <c r="AA405" s="16">
        <f>Y405/'Gearing Calculator'!$C$24</f>
        <v>30.639342646232194</v>
      </c>
      <c r="AB405" s="16">
        <f t="shared" si="44"/>
        <v>99.696813493140269</v>
      </c>
      <c r="AC405" s="16">
        <v>0</v>
      </c>
      <c r="AD405" s="16">
        <v>0</v>
      </c>
      <c r="AE405" s="16">
        <v>402</v>
      </c>
      <c r="AF405" s="16">
        <f>IF(AC405=0,IF(O405=6,INDEX(Acceleration!$V$4:$V$110,MATCH('Track Data'!S405,Acceleration!$K$4:$K$110,0)),IF('Track Data'!O405=5,INDEX(Acceleration!$U$4:$U$110,MATCH('Track Data'!S405,Acceleration!$K$4:$K$110,0)),1)),U405)</f>
        <v>1</v>
      </c>
      <c r="AG405" s="16">
        <f>IF(AC405=0,IF(O405=4,INDEX(Acceleration!$T$4:$T$110,MATCH('Track Data'!S405,Acceleration!$K$4:$K$110,0)),IF('Track Data'!O405=3,INDEX(Acceleration!$S$4:$S$110,MATCH('Track Data'!S405,Acceleration!$K$4:$K$110,0)),'Track Data'!AF405)),'Track Data'!U405)</f>
        <v>1</v>
      </c>
      <c r="AH405" s="16">
        <f>IF(AC405=0,IF(O405=2,INDEX(Acceleration!$R$4:$R$110,MATCH('Track Data'!S405,Acceleration!$K$4:$K$110,0)),IF('Track Data'!O405=1,INDEX(Acceleration!$Q$4:$Q$110,MATCH('Track Data'!S405,Acceleration!$K$4:$K$110,0)),'Track Data'!AG405)),'Track Data'!U405)</f>
        <v>6.4557040289451404</v>
      </c>
    </row>
    <row r="406" spans="2:34" x14ac:dyDescent="0.25">
      <c r="B406" s="16">
        <v>208.22499999999999</v>
      </c>
      <c r="C406" s="16">
        <v>7676</v>
      </c>
      <c r="D406" s="16">
        <v>403</v>
      </c>
      <c r="E406" s="113">
        <v>111</v>
      </c>
      <c r="F406" s="113">
        <v>117.5</v>
      </c>
      <c r="G406" s="113">
        <v>117.4</v>
      </c>
      <c r="H406" s="113">
        <f t="shared" si="47"/>
        <v>32.611111111111114</v>
      </c>
      <c r="I406" s="113">
        <v>7.5</v>
      </c>
      <c r="J406" s="113">
        <v>56.42</v>
      </c>
      <c r="K406" s="113">
        <v>3.1</v>
      </c>
      <c r="L406" s="189"/>
      <c r="M406" s="16">
        <v>403</v>
      </c>
      <c r="N406" s="16">
        <f t="shared" si="49"/>
        <v>3.4650456177521376E-2</v>
      </c>
      <c r="O406" s="16">
        <v>2</v>
      </c>
      <c r="P406" s="16">
        <f t="shared" si="45"/>
        <v>12.715447154471546</v>
      </c>
      <c r="Q406" s="16">
        <f t="shared" si="50"/>
        <v>28.859648914195976</v>
      </c>
      <c r="R406" s="113">
        <f t="shared" si="46"/>
        <v>373.41300000000001</v>
      </c>
      <c r="S406" s="16">
        <f>IF(S405=15800,15800,ROUND((((Q406*60)/'Gearing Calculator'!$C$14)*'Track Data'!P406),-2))</f>
        <v>11100</v>
      </c>
      <c r="T406" s="16">
        <f t="shared" si="48"/>
        <v>6.3925263812470741</v>
      </c>
      <c r="U406" s="16">
        <f>IF(AC406=100,Braking!$AG$2354,IF(AC406=50,Braking!$AG$1179,IF(AC406=75,Braking!$AG$1767,0)))</f>
        <v>0</v>
      </c>
      <c r="V406" s="16">
        <f>0.5*'Gearing Calculator'!$C$15*'Gearing Calculator'!$C$20*'Gearing Calculator'!$W$20*('Track Data'!Q406^2)</f>
        <v>88.151948864097108</v>
      </c>
      <c r="W406" s="16">
        <f>('Gearing Calculator'!$U$9*'Track Data'!T406)+'Track Data'!V406</f>
        <v>1789.8424715520682</v>
      </c>
      <c r="X406" s="16">
        <f>('Gearing Calculator'!$U$9*9.81)*('Gearing Calculator'!$U$16/'Gearing Calculator'!$C$7)-(('Track Data'!W406)*('Gearing Calculator'!$U$17/'Gearing Calculator'!$C$7))</f>
        <v>425.57591798000908</v>
      </c>
      <c r="Y406" s="16">
        <f>('Gearing Calculator'!$U$9*9.81)*(('Gearing Calculator'!$C$7-'Gearing Calculator'!$U$16)/'Gearing Calculator'!$C$7)+(('Track Data'!W406)*('Gearing Calculator'!$U$17/'Gearing Calculator'!$C$7))</f>
        <v>2185.8460820199907</v>
      </c>
      <c r="Z406" s="16">
        <f>((X406*COS('Gearing Calculator'!$C$21))/'Gearing Calculator'!$C$22)/2</f>
        <v>13.157461401989176</v>
      </c>
      <c r="AA406" s="16">
        <f>Y406/'Gearing Calculator'!$C$24</f>
        <v>30.521742733719712</v>
      </c>
      <c r="AB406" s="16">
        <f t="shared" si="44"/>
        <v>100.93700162659125</v>
      </c>
      <c r="AC406" s="16">
        <v>0</v>
      </c>
      <c r="AD406" s="16">
        <v>0</v>
      </c>
      <c r="AE406" s="16">
        <v>403</v>
      </c>
      <c r="AF406" s="16">
        <f>IF(AC406=0,IF(O406=6,INDEX(Acceleration!$V$4:$V$110,MATCH('Track Data'!S406,Acceleration!$K$4:$K$110,0)),IF('Track Data'!O406=5,INDEX(Acceleration!$U$4:$U$110,MATCH('Track Data'!S406,Acceleration!$K$4:$K$110,0)),1)),U406)</f>
        <v>1</v>
      </c>
      <c r="AG406" s="16">
        <f>IF(AC406=0,IF(O406=4,INDEX(Acceleration!$T$4:$T$110,MATCH('Track Data'!S406,Acceleration!$K$4:$K$110,0)),IF('Track Data'!O406=3,INDEX(Acceleration!$S$4:$S$110,MATCH('Track Data'!S406,Acceleration!$K$4:$K$110,0)),'Track Data'!AF406)),'Track Data'!U406)</f>
        <v>1</v>
      </c>
      <c r="AH406" s="16">
        <f>IF(AC406=0,IF(O406=2,INDEX(Acceleration!$R$4:$R$110,MATCH('Track Data'!S406,Acceleration!$K$4:$K$110,0)),IF('Track Data'!O406=1,INDEX(Acceleration!$Q$4:$Q$110,MATCH('Track Data'!S406,Acceleration!$K$4:$K$110,0)),'Track Data'!AG406)),'Track Data'!U406)</f>
        <v>6.3925263812470741</v>
      </c>
    </row>
    <row r="407" spans="2:34" x14ac:dyDescent="0.25">
      <c r="B407" s="16">
        <v>208.256</v>
      </c>
      <c r="C407" s="16">
        <v>7677</v>
      </c>
      <c r="D407" s="16">
        <v>404</v>
      </c>
      <c r="E407" s="113">
        <v>111</v>
      </c>
      <c r="F407" s="113">
        <v>117.5</v>
      </c>
      <c r="G407" s="113">
        <v>117.5</v>
      </c>
      <c r="H407" s="113">
        <f t="shared" si="47"/>
        <v>32.638888888888886</v>
      </c>
      <c r="I407" s="113">
        <v>7.4</v>
      </c>
      <c r="J407" s="113">
        <v>56.65</v>
      </c>
      <c r="K407" s="113">
        <v>2</v>
      </c>
      <c r="L407" s="189"/>
      <c r="M407" s="16">
        <v>404</v>
      </c>
      <c r="N407" s="16">
        <f t="shared" si="49"/>
        <v>3.4387529724643276E-2</v>
      </c>
      <c r="O407" s="16">
        <v>2</v>
      </c>
      <c r="P407" s="16">
        <f t="shared" si="45"/>
        <v>12.715447154471546</v>
      </c>
      <c r="Q407" s="16">
        <f t="shared" si="50"/>
        <v>29.080309286751874</v>
      </c>
      <c r="R407" s="113">
        <f t="shared" si="46"/>
        <v>373.41300000000001</v>
      </c>
      <c r="S407" s="16">
        <f>IF(S406=15800,15800,ROUND((((Q407*60)/'Gearing Calculator'!$C$14)*'Track Data'!P407),-2))</f>
        <v>11200</v>
      </c>
      <c r="T407" s="16">
        <f t="shared" si="48"/>
        <v>6.3303864838066932</v>
      </c>
      <c r="U407" s="16">
        <f>IF(AC407=100,Braking!$AG$2354,IF(AC407=50,Braking!$AG$1179,IF(AC407=75,Braking!$AG$1767,0)))</f>
        <v>0</v>
      </c>
      <c r="V407" s="16">
        <f>0.5*'Gearing Calculator'!$C$15*'Gearing Calculator'!$C$20*'Gearing Calculator'!$W$20*('Track Data'!Q407^2)</f>
        <v>89.505118848479498</v>
      </c>
      <c r="W407" s="16">
        <f>('Gearing Calculator'!$U$9*'Track Data'!T407)+'Track Data'!V407</f>
        <v>1774.6540008378211</v>
      </c>
      <c r="X407" s="16">
        <f>('Gearing Calculator'!$U$9*9.81)*('Gearing Calculator'!$U$16/'Gearing Calculator'!$C$7)-(('Track Data'!W407)*('Gearing Calculator'!$U$17/'Gearing Calculator'!$C$7))</f>
        <v>433.85467179663954</v>
      </c>
      <c r="Y407" s="16">
        <f>('Gearing Calculator'!$U$9*9.81)*(('Gearing Calculator'!$C$7-'Gearing Calculator'!$U$16)/'Gearing Calculator'!$C$7)+(('Track Data'!W407)*('Gearing Calculator'!$U$17/'Gearing Calculator'!$C$7))</f>
        <v>2177.5673282033604</v>
      </c>
      <c r="Z407" s="16">
        <f>((X407*COS('Gearing Calculator'!$C$21))/'Gearing Calculator'!$C$22)/2</f>
        <v>13.413414286531864</v>
      </c>
      <c r="AA407" s="16">
        <f>Y407/'Gearing Calculator'!$C$24</f>
        <v>30.406143563116867</v>
      </c>
      <c r="AB407" s="16">
        <f t="shared" si="44"/>
        <v>102.16589181609288</v>
      </c>
      <c r="AC407" s="16">
        <v>0</v>
      </c>
      <c r="AD407" s="16">
        <v>0</v>
      </c>
      <c r="AE407" s="16">
        <v>404</v>
      </c>
      <c r="AF407" s="16">
        <f>IF(AC407=0,IF(O407=6,INDEX(Acceleration!$V$4:$V$110,MATCH('Track Data'!S407,Acceleration!$K$4:$K$110,0)),IF('Track Data'!O407=5,INDEX(Acceleration!$U$4:$U$110,MATCH('Track Data'!S407,Acceleration!$K$4:$K$110,0)),1)),U407)</f>
        <v>1</v>
      </c>
      <c r="AG407" s="16">
        <f>IF(AC407=0,IF(O407=4,INDEX(Acceleration!$T$4:$T$110,MATCH('Track Data'!S407,Acceleration!$K$4:$K$110,0)),IF('Track Data'!O407=3,INDEX(Acceleration!$S$4:$S$110,MATCH('Track Data'!S407,Acceleration!$K$4:$K$110,0)),'Track Data'!AF407)),'Track Data'!U407)</f>
        <v>1</v>
      </c>
      <c r="AH407" s="16">
        <f>IF(AC407=0,IF(O407=2,INDEX(Acceleration!$R$4:$R$110,MATCH('Track Data'!S407,Acceleration!$K$4:$K$110,0)),IF('Track Data'!O407=1,INDEX(Acceleration!$Q$4:$Q$110,MATCH('Track Data'!S407,Acceleration!$K$4:$K$110,0)),'Track Data'!AG407)),'Track Data'!U407)</f>
        <v>6.3303864838066932</v>
      </c>
    </row>
    <row r="408" spans="2:34" x14ac:dyDescent="0.25">
      <c r="B408" s="16">
        <v>208.286</v>
      </c>
      <c r="C408" s="16">
        <v>7678</v>
      </c>
      <c r="D408" s="16">
        <v>405</v>
      </c>
      <c r="E408" s="113">
        <v>112</v>
      </c>
      <c r="F408" s="113">
        <v>117.5</v>
      </c>
      <c r="G408" s="113">
        <v>117.5</v>
      </c>
      <c r="H408" s="113">
        <f t="shared" si="47"/>
        <v>32.638888888888886</v>
      </c>
      <c r="I408" s="113">
        <v>6.3</v>
      </c>
      <c r="J408" s="113">
        <v>56.91</v>
      </c>
      <c r="K408" s="113">
        <v>-0.3</v>
      </c>
      <c r="L408" s="189"/>
      <c r="M408" s="16">
        <v>405</v>
      </c>
      <c r="N408" s="16">
        <f t="shared" si="49"/>
        <v>3.4132969928927254E-2</v>
      </c>
      <c r="O408" s="16">
        <v>2</v>
      </c>
      <c r="P408" s="16">
        <f t="shared" si="45"/>
        <v>12.715447154471546</v>
      </c>
      <c r="Q408" s="16">
        <f t="shared" si="50"/>
        <v>29.29718691582454</v>
      </c>
      <c r="R408" s="113">
        <f t="shared" si="46"/>
        <v>373.41300000000001</v>
      </c>
      <c r="S408" s="16">
        <f>IF(S407=15800,15800,ROUND((((Q408*60)/'Gearing Calculator'!$C$14)*'Track Data'!P408),-2))</f>
        <v>11300</v>
      </c>
      <c r="T408" s="16">
        <f t="shared" si="48"/>
        <v>6.269255978328351</v>
      </c>
      <c r="U408" s="16">
        <f>IF(AC408=100,Braking!$AG$2354,IF(AC408=50,Braking!$AG$1179,IF(AC408=75,Braking!$AG$1767,0)))</f>
        <v>0</v>
      </c>
      <c r="V408" s="16">
        <f>0.5*'Gearing Calculator'!$C$15*'Gearing Calculator'!$C$20*'Gearing Calculator'!$W$20*('Track Data'!Q408^2)</f>
        <v>90.845135059371685</v>
      </c>
      <c r="W408" s="16">
        <f>('Gearing Calculator'!$U$9*'Track Data'!T408)+'Track Data'!V408</f>
        <v>1759.7210764903787</v>
      </c>
      <c r="X408" s="16">
        <f>('Gearing Calculator'!$U$9*9.81)*('Gearing Calculator'!$U$16/'Gearing Calculator'!$C$7)-(('Track Data'!W408)*('Gearing Calculator'!$U$17/'Gearing Calculator'!$C$7))</f>
        <v>441.99413539114607</v>
      </c>
      <c r="Y408" s="16">
        <f>('Gearing Calculator'!$U$9*9.81)*(('Gearing Calculator'!$C$7-'Gearing Calculator'!$U$16)/'Gearing Calculator'!$C$7)+(('Track Data'!W408)*('Gearing Calculator'!$U$17/'Gearing Calculator'!$C$7))</f>
        <v>2169.4278646088542</v>
      </c>
      <c r="Z408" s="16">
        <f>((X408*COS('Gearing Calculator'!$C$21))/'Gearing Calculator'!$C$22)/2</f>
        <v>13.665060757943921</v>
      </c>
      <c r="AA408" s="16">
        <f>Y408/'Gearing Calculator'!$C$24</f>
        <v>30.292489351200711</v>
      </c>
      <c r="AB408" s="16">
        <f t="shared" si="44"/>
        <v>103.38364701602839</v>
      </c>
      <c r="AC408" s="16">
        <v>0</v>
      </c>
      <c r="AD408" s="16">
        <v>0</v>
      </c>
      <c r="AE408" s="16">
        <v>405</v>
      </c>
      <c r="AF408" s="16">
        <f>IF(AC408=0,IF(O408=6,INDEX(Acceleration!$V$4:$V$110,MATCH('Track Data'!S408,Acceleration!$K$4:$K$110,0)),IF('Track Data'!O408=5,INDEX(Acceleration!$U$4:$U$110,MATCH('Track Data'!S408,Acceleration!$K$4:$K$110,0)),1)),U408)</f>
        <v>1</v>
      </c>
      <c r="AG408" s="16">
        <f>IF(AC408=0,IF(O408=4,INDEX(Acceleration!$T$4:$T$110,MATCH('Track Data'!S408,Acceleration!$K$4:$K$110,0)),IF('Track Data'!O408=3,INDEX(Acceleration!$S$4:$S$110,MATCH('Track Data'!S408,Acceleration!$K$4:$K$110,0)),'Track Data'!AF408)),'Track Data'!U408)</f>
        <v>1</v>
      </c>
      <c r="AH408" s="16">
        <f>IF(AC408=0,IF(O408=2,INDEX(Acceleration!$R$4:$R$110,MATCH('Track Data'!S408,Acceleration!$K$4:$K$110,0)),IF('Track Data'!O408=1,INDEX(Acceleration!$Q$4:$Q$110,MATCH('Track Data'!S408,Acceleration!$K$4:$K$110,0)),'Track Data'!AG408)),'Track Data'!U408)</f>
        <v>6.269255978328351</v>
      </c>
    </row>
    <row r="409" spans="2:34" x14ac:dyDescent="0.25">
      <c r="B409" s="16">
        <v>208.316</v>
      </c>
      <c r="C409" s="16">
        <v>7679</v>
      </c>
      <c r="D409" s="16">
        <v>406</v>
      </c>
      <c r="E409" s="113">
        <v>112</v>
      </c>
      <c r="F409" s="113">
        <v>117.3</v>
      </c>
      <c r="G409" s="113">
        <v>117.4</v>
      </c>
      <c r="H409" s="113">
        <f t="shared" si="47"/>
        <v>32.611111111111114</v>
      </c>
      <c r="I409" s="113">
        <v>6</v>
      </c>
      <c r="J409" s="113">
        <v>56.74</v>
      </c>
      <c r="K409" s="113">
        <v>-2.6</v>
      </c>
      <c r="L409" s="189"/>
      <c r="M409" s="16">
        <v>406</v>
      </c>
      <c r="N409" s="16">
        <f t="shared" si="49"/>
        <v>3.3886359388824248E-2</v>
      </c>
      <c r="O409" s="16">
        <v>2</v>
      </c>
      <c r="P409" s="16">
        <f t="shared" si="45"/>
        <v>12.715447154471546</v>
      </c>
      <c r="Q409" s="16">
        <f t="shared" si="50"/>
        <v>29.510399406606094</v>
      </c>
      <c r="R409" s="113">
        <f t="shared" si="46"/>
        <v>373.41300000000001</v>
      </c>
      <c r="S409" s="16">
        <f>IF(S408=15800,15800,ROUND((((Q409*60)/'Gearing Calculator'!$C$14)*'Track Data'!P409),-2))</f>
        <v>11400</v>
      </c>
      <c r="T409" s="16">
        <f t="shared" si="48"/>
        <v>6.2091075015443105</v>
      </c>
      <c r="U409" s="16">
        <f>IF(AC409=100,Braking!$AG$2354,IF(AC409=50,Braking!$AG$1179,IF(AC409=75,Braking!$AG$1767,0)))</f>
        <v>0</v>
      </c>
      <c r="V409" s="16">
        <f>0.5*'Gearing Calculator'!$C$15*'Gearing Calculator'!$C$20*'Gearing Calculator'!$W$20*('Track Data'!Q409^2)</f>
        <v>92.172211164864237</v>
      </c>
      <c r="W409" s="16">
        <f>('Gearing Calculator'!$U$9*'Track Data'!T409)+'Track Data'!V409</f>
        <v>1745.0366280759595</v>
      </c>
      <c r="X409" s="16">
        <f>('Gearing Calculator'!$U$9*9.81)*('Gearing Calculator'!$U$16/'Gearing Calculator'!$C$7)-(('Track Data'!W409)*('Gearing Calculator'!$U$17/'Gearing Calculator'!$C$7))</f>
        <v>449.99816263280582</v>
      </c>
      <c r="Y409" s="16">
        <f>('Gearing Calculator'!$U$9*9.81)*(('Gearing Calculator'!$C$7-'Gearing Calculator'!$U$16)/'Gearing Calculator'!$C$7)+(('Track Data'!W409)*('Gearing Calculator'!$U$17/'Gearing Calculator'!$C$7))</f>
        <v>2161.4238373671942</v>
      </c>
      <c r="Z409" s="16">
        <f>((X409*COS('Gearing Calculator'!$C$21))/'Gearing Calculator'!$C$22)/2</f>
        <v>13.91251996567464</v>
      </c>
      <c r="AA409" s="16">
        <f>Y409/'Gearing Calculator'!$C$24</f>
        <v>30.180726285030076</v>
      </c>
      <c r="AB409" s="16">
        <f t="shared" si="44"/>
        <v>104.59042616795286</v>
      </c>
      <c r="AC409" s="16">
        <v>0</v>
      </c>
      <c r="AD409" s="16">
        <v>0</v>
      </c>
      <c r="AE409" s="16">
        <v>406</v>
      </c>
      <c r="AF409" s="16">
        <f>IF(AC409=0,IF(O409=6,INDEX(Acceleration!$V$4:$V$110,MATCH('Track Data'!S409,Acceleration!$K$4:$K$110,0)),IF('Track Data'!O409=5,INDEX(Acceleration!$U$4:$U$110,MATCH('Track Data'!S409,Acceleration!$K$4:$K$110,0)),1)),U409)</f>
        <v>1</v>
      </c>
      <c r="AG409" s="16">
        <f>IF(AC409=0,IF(O409=4,INDEX(Acceleration!$T$4:$T$110,MATCH('Track Data'!S409,Acceleration!$K$4:$K$110,0)),IF('Track Data'!O409=3,INDEX(Acceleration!$S$4:$S$110,MATCH('Track Data'!S409,Acceleration!$K$4:$K$110,0)),'Track Data'!AF409)),'Track Data'!U409)</f>
        <v>1</v>
      </c>
      <c r="AH409" s="16">
        <f>IF(AC409=0,IF(O409=2,INDEX(Acceleration!$R$4:$R$110,MATCH('Track Data'!S409,Acceleration!$K$4:$K$110,0)),IF('Track Data'!O409=1,INDEX(Acceleration!$Q$4:$Q$110,MATCH('Track Data'!S409,Acceleration!$K$4:$K$110,0)),'Track Data'!AG409)),'Track Data'!U409)</f>
        <v>6.2091075015443105</v>
      </c>
    </row>
    <row r="410" spans="2:34" x14ac:dyDescent="0.25">
      <c r="B410" s="16">
        <v>208.34700000000001</v>
      </c>
      <c r="C410" s="16">
        <v>7680</v>
      </c>
      <c r="D410" s="16">
        <v>407</v>
      </c>
      <c r="E410" s="113">
        <v>112</v>
      </c>
      <c r="F410" s="113">
        <v>117.1</v>
      </c>
      <c r="G410" s="113">
        <v>117.3</v>
      </c>
      <c r="H410" s="113">
        <f t="shared" si="47"/>
        <v>32.583333333333329</v>
      </c>
      <c r="I410" s="113">
        <v>6</v>
      </c>
      <c r="J410" s="113">
        <v>56.7</v>
      </c>
      <c r="K410" s="113">
        <v>-6.4</v>
      </c>
      <c r="L410" s="189"/>
      <c r="M410" s="16">
        <v>407</v>
      </c>
      <c r="N410" s="16">
        <f t="shared" si="49"/>
        <v>3.364730906675302E-2</v>
      </c>
      <c r="O410" s="16">
        <v>2</v>
      </c>
      <c r="P410" s="16">
        <f t="shared" si="45"/>
        <v>12.715447154471546</v>
      </c>
      <c r="Q410" s="16">
        <f t="shared" si="50"/>
        <v>29.720058683328773</v>
      </c>
      <c r="R410" s="113">
        <f t="shared" si="46"/>
        <v>373.41300000000001</v>
      </c>
      <c r="S410" s="16">
        <f>IF(S409=15800,15800,ROUND((((Q410*60)/'Gearing Calculator'!$C$14)*'Track Data'!P410),-2))</f>
        <v>11500</v>
      </c>
      <c r="T410" s="16">
        <f t="shared" si="48"/>
        <v>6.1499146419526767</v>
      </c>
      <c r="U410" s="16">
        <f>IF(AC410=100,Braking!$AG$2354,IF(AC410=50,Braking!$AG$1179,IF(AC410=75,Braking!$AG$1767,0)))</f>
        <v>0</v>
      </c>
      <c r="V410" s="16">
        <f>0.5*'Gearing Calculator'!$C$15*'Gearing Calculator'!$C$20*'Gearing Calculator'!$W$20*('Track Data'!Q410^2)</f>
        <v>93.486555040791146</v>
      </c>
      <c r="W410" s="16">
        <f>('Gearing Calculator'!$U$9*'Track Data'!T410)+'Track Data'!V410</f>
        <v>1730.5938327285937</v>
      </c>
      <c r="X410" s="16">
        <f>('Gearing Calculator'!$U$9*9.81)*('Gearing Calculator'!$U$16/'Gearing Calculator'!$C$7)-(('Track Data'!W410)*('Gearing Calculator'!$U$17/'Gearing Calculator'!$C$7))</f>
        <v>457.87047244953146</v>
      </c>
      <c r="Y410" s="16">
        <f>('Gearing Calculator'!$U$9*9.81)*(('Gearing Calculator'!$C$7-'Gearing Calculator'!$U$16)/'Gearing Calculator'!$C$7)+(('Track Data'!W410)*('Gearing Calculator'!$U$17/'Gearing Calculator'!$C$7))</f>
        <v>2153.5515275504686</v>
      </c>
      <c r="Z410" s="16">
        <f>((X410*COS('Gearing Calculator'!$C$21))/'Gearing Calculator'!$C$22)/2</f>
        <v>14.155906887213126</v>
      </c>
      <c r="AA410" s="16">
        <f>Y410/'Gearing Calculator'!$C$24</f>
        <v>30.070802435897846</v>
      </c>
      <c r="AB410" s="16">
        <f t="shared" si="44"/>
        <v>105.7863843246965</v>
      </c>
      <c r="AC410" s="16">
        <v>0</v>
      </c>
      <c r="AD410" s="16">
        <v>0</v>
      </c>
      <c r="AE410" s="16">
        <v>407</v>
      </c>
      <c r="AF410" s="16">
        <f>IF(AC410=0,IF(O410=6,INDEX(Acceleration!$V$4:$V$110,MATCH('Track Data'!S410,Acceleration!$K$4:$K$110,0)),IF('Track Data'!O410=5,INDEX(Acceleration!$U$4:$U$110,MATCH('Track Data'!S410,Acceleration!$K$4:$K$110,0)),1)),U410)</f>
        <v>1</v>
      </c>
      <c r="AG410" s="16">
        <f>IF(AC410=0,IF(O410=4,INDEX(Acceleration!$T$4:$T$110,MATCH('Track Data'!S410,Acceleration!$K$4:$K$110,0)),IF('Track Data'!O410=3,INDEX(Acceleration!$S$4:$S$110,MATCH('Track Data'!S410,Acceleration!$K$4:$K$110,0)),'Track Data'!AF410)),'Track Data'!U410)</f>
        <v>1</v>
      </c>
      <c r="AH410" s="16">
        <f>IF(AC410=0,IF(O410=2,INDEX(Acceleration!$R$4:$R$110,MATCH('Track Data'!S410,Acceleration!$K$4:$K$110,0)),IF('Track Data'!O410=1,INDEX(Acceleration!$Q$4:$Q$110,MATCH('Track Data'!S410,Acceleration!$K$4:$K$110,0)),'Track Data'!AG410)),'Track Data'!U410)</f>
        <v>6.1499146419526767</v>
      </c>
    </row>
    <row r="411" spans="2:34" x14ac:dyDescent="0.25">
      <c r="B411" s="16">
        <v>208.37700000000001</v>
      </c>
      <c r="C411" s="16">
        <v>7681</v>
      </c>
      <c r="D411" s="16">
        <v>408</v>
      </c>
      <c r="E411" s="113">
        <v>112</v>
      </c>
      <c r="F411" s="113">
        <v>117</v>
      </c>
      <c r="G411" s="113">
        <v>117.1</v>
      </c>
      <c r="H411" s="113">
        <f t="shared" si="47"/>
        <v>32.527777777777779</v>
      </c>
      <c r="I411" s="113">
        <v>6</v>
      </c>
      <c r="J411" s="113">
        <v>56.71</v>
      </c>
      <c r="K411" s="113">
        <v>-10.6</v>
      </c>
      <c r="L411" s="189"/>
      <c r="M411" s="16">
        <v>408</v>
      </c>
      <c r="N411" s="16">
        <f t="shared" si="49"/>
        <v>3.3415455872184516E-2</v>
      </c>
      <c r="O411" s="16">
        <v>2</v>
      </c>
      <c r="P411" s="16">
        <f t="shared" si="45"/>
        <v>12.715447154471546</v>
      </c>
      <c r="Q411" s="16">
        <f t="shared" si="50"/>
        <v>29.926271358530641</v>
      </c>
      <c r="R411" s="113">
        <f t="shared" si="46"/>
        <v>373.41300000000001</v>
      </c>
      <c r="S411" s="16">
        <f>IF(S410=15800,15800,ROUND((((Q411*60)/'Gearing Calculator'!$C$14)*'Track Data'!P411),-2))</f>
        <v>11500</v>
      </c>
      <c r="T411" s="16">
        <f t="shared" si="48"/>
        <v>6.1499146419526767</v>
      </c>
      <c r="U411" s="16">
        <f>IF(AC411=100,Braking!$AG$2354,IF(AC411=50,Braking!$AG$1179,IF(AC411=75,Braking!$AG$1767,0)))</f>
        <v>0</v>
      </c>
      <c r="V411" s="16">
        <f>0.5*'Gearing Calculator'!$C$15*'Gearing Calculator'!$C$20*'Gearing Calculator'!$W$20*('Track Data'!Q411^2)</f>
        <v>94.788368972199692</v>
      </c>
      <c r="W411" s="16">
        <f>('Gearing Calculator'!$U$9*'Track Data'!T411)+'Track Data'!V411</f>
        <v>1731.8956466600021</v>
      </c>
      <c r="X411" s="16">
        <f>('Gearing Calculator'!$U$9*9.81)*('Gearing Calculator'!$U$16/'Gearing Calculator'!$C$7)-(('Track Data'!W411)*('Gearing Calculator'!$U$17/'Gearing Calculator'!$C$7))</f>
        <v>457.16089495118069</v>
      </c>
      <c r="Y411" s="16">
        <f>('Gearing Calculator'!$U$9*9.81)*(('Gearing Calculator'!$C$7-'Gearing Calculator'!$U$16)/'Gearing Calculator'!$C$7)+(('Track Data'!W411)*('Gearing Calculator'!$U$17/'Gearing Calculator'!$C$7))</f>
        <v>2154.2611050488194</v>
      </c>
      <c r="Z411" s="16">
        <f>((X411*COS('Gearing Calculator'!$C$21))/'Gearing Calculator'!$C$22)/2</f>
        <v>14.133968995166542</v>
      </c>
      <c r="AA411" s="16">
        <f>Y411/'Gearing Calculator'!$C$24</f>
        <v>30.08071051773053</v>
      </c>
      <c r="AB411" s="16">
        <f t="shared" si="44"/>
        <v>107.08819825610504</v>
      </c>
      <c r="AC411" s="16">
        <v>0</v>
      </c>
      <c r="AD411" s="16">
        <v>0</v>
      </c>
      <c r="AE411" s="16">
        <v>408</v>
      </c>
      <c r="AF411" s="16">
        <f>IF(AC411=0,IF(O411=6,INDEX(Acceleration!$V$4:$V$110,MATCH('Track Data'!S411,Acceleration!$K$4:$K$110,0)),IF('Track Data'!O411=5,INDEX(Acceleration!$U$4:$U$110,MATCH('Track Data'!S411,Acceleration!$K$4:$K$110,0)),1)),U411)</f>
        <v>1</v>
      </c>
      <c r="AG411" s="16">
        <f>IF(AC411=0,IF(O411=4,INDEX(Acceleration!$T$4:$T$110,MATCH('Track Data'!S411,Acceleration!$K$4:$K$110,0)),IF('Track Data'!O411=3,INDEX(Acceleration!$S$4:$S$110,MATCH('Track Data'!S411,Acceleration!$K$4:$K$110,0)),'Track Data'!AF411)),'Track Data'!U411)</f>
        <v>1</v>
      </c>
      <c r="AH411" s="16">
        <f>IF(AC411=0,IF(O411=2,INDEX(Acceleration!$R$4:$R$110,MATCH('Track Data'!S411,Acceleration!$K$4:$K$110,0)),IF('Track Data'!O411=1,INDEX(Acceleration!$Q$4:$Q$110,MATCH('Track Data'!S411,Acceleration!$K$4:$K$110,0)),'Track Data'!AG411)),'Track Data'!U411)</f>
        <v>6.1499146419526767</v>
      </c>
    </row>
    <row r="412" spans="2:34" x14ac:dyDescent="0.25">
      <c r="B412" s="16">
        <v>208.40899999999999</v>
      </c>
      <c r="C412" s="16">
        <v>7682</v>
      </c>
      <c r="D412" s="16">
        <v>409</v>
      </c>
      <c r="E412" s="113">
        <v>112</v>
      </c>
      <c r="F412" s="113">
        <v>116.9</v>
      </c>
      <c r="G412" s="113">
        <v>116.9</v>
      </c>
      <c r="H412" s="113">
        <f t="shared" si="47"/>
        <v>32.472222222222221</v>
      </c>
      <c r="I412" s="113">
        <v>6.2</v>
      </c>
      <c r="J412" s="113">
        <v>56.7</v>
      </c>
      <c r="K412" s="113">
        <v>-14.3</v>
      </c>
      <c r="L412" s="189"/>
      <c r="M412" s="16">
        <v>409</v>
      </c>
      <c r="N412" s="16">
        <f t="shared" si="49"/>
        <v>3.3188330445201565E-2</v>
      </c>
      <c r="O412" s="16">
        <v>2</v>
      </c>
      <c r="P412" s="16">
        <f t="shared" si="45"/>
        <v>12.715447154471546</v>
      </c>
      <c r="Q412" s="16">
        <f t="shared" si="50"/>
        <v>30.131072777256318</v>
      </c>
      <c r="R412" s="113">
        <f t="shared" si="46"/>
        <v>373.41300000000001</v>
      </c>
      <c r="S412" s="16">
        <f>IF(S411=15800,15800,ROUND((((Q412*60)/'Gearing Calculator'!$C$14)*'Track Data'!P412),-2))</f>
        <v>11600</v>
      </c>
      <c r="T412" s="16">
        <f t="shared" si="48"/>
        <v>6.1579283752129923</v>
      </c>
      <c r="U412" s="16">
        <f>IF(AC412=100,Braking!$AG$2354,IF(AC412=50,Braking!$AG$1179,IF(AC412=75,Braking!$AG$1767,0)))</f>
        <v>0</v>
      </c>
      <c r="V412" s="16">
        <f>0.5*'Gearing Calculator'!$C$15*'Gearing Calculator'!$C$20*'Gearing Calculator'!$W$20*('Track Data'!Q412^2)</f>
        <v>96.090182903608238</v>
      </c>
      <c r="W412" s="16">
        <f>('Gearing Calculator'!$U$9*'Track Data'!T412)+'Track Data'!V412</f>
        <v>1735.3307163853067</v>
      </c>
      <c r="X412" s="16">
        <f>('Gearing Calculator'!$U$9*9.81)*('Gearing Calculator'!$U$16/'Gearing Calculator'!$C$7)-(('Track Data'!W412)*('Gearing Calculator'!$U$17/'Gearing Calculator'!$C$7))</f>
        <v>455.28854735715447</v>
      </c>
      <c r="Y412" s="16">
        <f>('Gearing Calculator'!$U$9*9.81)*(('Gearing Calculator'!$C$7-'Gearing Calculator'!$U$16)/'Gearing Calculator'!$C$7)+(('Track Data'!W412)*('Gearing Calculator'!$U$17/'Gearing Calculator'!$C$7))</f>
        <v>2156.1334526428454</v>
      </c>
      <c r="Z412" s="16">
        <f>((X412*COS('Gearing Calculator'!$C$21))/'Gearing Calculator'!$C$22)/2</f>
        <v>14.076081929290169</v>
      </c>
      <c r="AA412" s="16">
        <f>Y412/'Gearing Calculator'!$C$24</f>
        <v>30.106854770083444</v>
      </c>
      <c r="AB412" s="16">
        <f t="shared" si="44"/>
        <v>108.40603965403422</v>
      </c>
      <c r="AC412" s="16">
        <v>0</v>
      </c>
      <c r="AD412" s="16">
        <v>0</v>
      </c>
      <c r="AE412" s="16">
        <v>409</v>
      </c>
      <c r="AF412" s="16">
        <f>IF(AC412=0,IF(O412=6,INDEX(Acceleration!$V$4:$V$110,MATCH('Track Data'!S412,Acceleration!$K$4:$K$110,0)),IF('Track Data'!O412=5,INDEX(Acceleration!$U$4:$U$110,MATCH('Track Data'!S412,Acceleration!$K$4:$K$110,0)),1)),U412)</f>
        <v>1</v>
      </c>
      <c r="AG412" s="16">
        <f>IF(AC412=0,IF(O412=4,INDEX(Acceleration!$T$4:$T$110,MATCH('Track Data'!S412,Acceleration!$K$4:$K$110,0)),IF('Track Data'!O412=3,INDEX(Acceleration!$S$4:$S$110,MATCH('Track Data'!S412,Acceleration!$K$4:$K$110,0)),'Track Data'!AF412)),'Track Data'!U412)</f>
        <v>1</v>
      </c>
      <c r="AH412" s="16">
        <f>IF(AC412=0,IF(O412=2,INDEX(Acceleration!$R$4:$R$110,MATCH('Track Data'!S412,Acceleration!$K$4:$K$110,0)),IF('Track Data'!O412=1,INDEX(Acceleration!$Q$4:$Q$110,MATCH('Track Data'!S412,Acceleration!$K$4:$K$110,0)),'Track Data'!AG412)),'Track Data'!U412)</f>
        <v>6.1579283752129923</v>
      </c>
    </row>
    <row r="413" spans="2:34" x14ac:dyDescent="0.25">
      <c r="B413" s="16">
        <v>208.43899999999999</v>
      </c>
      <c r="C413" s="16">
        <v>7683</v>
      </c>
      <c r="D413" s="16">
        <v>410</v>
      </c>
      <c r="E413" s="113">
        <v>112</v>
      </c>
      <c r="F413" s="113">
        <v>116.6</v>
      </c>
      <c r="G413" s="113">
        <v>116.6</v>
      </c>
      <c r="H413" s="113">
        <f t="shared" si="47"/>
        <v>32.388888888888886</v>
      </c>
      <c r="I413" s="113">
        <v>6.9</v>
      </c>
      <c r="J413" s="113">
        <v>56.1</v>
      </c>
      <c r="K413" s="113">
        <v>-13.7</v>
      </c>
      <c r="L413" s="189"/>
      <c r="M413" s="16">
        <v>410</v>
      </c>
      <c r="N413" s="16">
        <f t="shared" si="49"/>
        <v>3.2965487174056868E-2</v>
      </c>
      <c r="O413" s="16">
        <v>2</v>
      </c>
      <c r="P413" s="16">
        <f t="shared" si="45"/>
        <v>12.715447154471546</v>
      </c>
      <c r="Q413" s="16">
        <f t="shared" si="50"/>
        <v>30.334755701319612</v>
      </c>
      <c r="R413" s="113">
        <f t="shared" si="46"/>
        <v>373.41300000000001</v>
      </c>
      <c r="S413" s="16">
        <f>IF(S412=15800,15800,ROUND((((Q413*60)/'Gearing Calculator'!$C$14)*'Track Data'!P413),-2))</f>
        <v>11700</v>
      </c>
      <c r="T413" s="16">
        <f t="shared" si="48"/>
        <v>6.1657146647448222</v>
      </c>
      <c r="U413" s="16">
        <f>IF(AC413=100,Braking!$AG$2354,IF(AC413=50,Braking!$AG$1179,IF(AC413=75,Braking!$AG$1767,0)))</f>
        <v>0</v>
      </c>
      <c r="V413" s="16">
        <f>0.5*'Gearing Calculator'!$C$15*'Gearing Calculator'!$C$20*'Gearing Calculator'!$W$20*('Track Data'!Q413^2)</f>
        <v>97.393693182073307</v>
      </c>
      <c r="W413" s="16">
        <f>('Gearing Calculator'!$U$9*'Track Data'!T413)+'Track Data'!V413</f>
        <v>1738.706936937145</v>
      </c>
      <c r="X413" s="16">
        <f>('Gearing Calculator'!$U$9*9.81)*('Gearing Calculator'!$U$16/'Gearing Calculator'!$C$7)-(('Track Data'!W413)*('Gearing Calculator'!$U$17/'Gearing Calculator'!$C$7))</f>
        <v>453.4482765816972</v>
      </c>
      <c r="Y413" s="16">
        <f>('Gearing Calculator'!$U$9*9.81)*(('Gearing Calculator'!$C$7-'Gearing Calculator'!$U$16)/'Gearing Calculator'!$C$7)+(('Track Data'!W413)*('Gearing Calculator'!$U$17/'Gearing Calculator'!$C$7))</f>
        <v>2157.9737234183031</v>
      </c>
      <c r="Z413" s="16">
        <f>((X413*COS('Gearing Calculator'!$C$21))/'Gearing Calculator'!$C$22)/2</f>
        <v>14.019186577193613</v>
      </c>
      <c r="AA413" s="16">
        <f>Y413/'Gearing Calculator'!$C$24</f>
        <v>30.132551122462012</v>
      </c>
      <c r="AB413" s="16">
        <f t="shared" si="44"/>
        <v>109.72512251156294</v>
      </c>
      <c r="AC413" s="16">
        <v>0</v>
      </c>
      <c r="AD413" s="16">
        <v>0</v>
      </c>
      <c r="AE413" s="16">
        <v>410</v>
      </c>
      <c r="AF413" s="16">
        <f>IF(AC413=0,IF(O413=6,INDEX(Acceleration!$V$4:$V$110,MATCH('Track Data'!S413,Acceleration!$K$4:$K$110,0)),IF('Track Data'!O413=5,INDEX(Acceleration!$U$4:$U$110,MATCH('Track Data'!S413,Acceleration!$K$4:$K$110,0)),1)),U413)</f>
        <v>1</v>
      </c>
      <c r="AG413" s="16">
        <f>IF(AC413=0,IF(O413=4,INDEX(Acceleration!$T$4:$T$110,MATCH('Track Data'!S413,Acceleration!$K$4:$K$110,0)),IF('Track Data'!O413=3,INDEX(Acceleration!$S$4:$S$110,MATCH('Track Data'!S413,Acceleration!$K$4:$K$110,0)),'Track Data'!AF413)),'Track Data'!U413)</f>
        <v>1</v>
      </c>
      <c r="AH413" s="16">
        <f>IF(AC413=0,IF(O413=2,INDEX(Acceleration!$R$4:$R$110,MATCH('Track Data'!S413,Acceleration!$K$4:$K$110,0)),IF('Track Data'!O413=1,INDEX(Acceleration!$Q$4:$Q$110,MATCH('Track Data'!S413,Acceleration!$K$4:$K$110,0)),'Track Data'!AG413)),'Track Data'!U413)</f>
        <v>6.1657146647448222</v>
      </c>
    </row>
    <row r="414" spans="2:34" x14ac:dyDescent="0.25">
      <c r="B414" s="16">
        <v>208.47</v>
      </c>
      <c r="C414" s="16">
        <v>7684</v>
      </c>
      <c r="D414" s="16">
        <v>411</v>
      </c>
      <c r="E414" s="113">
        <v>112</v>
      </c>
      <c r="F414" s="113">
        <v>116.2</v>
      </c>
      <c r="G414" s="113">
        <v>116</v>
      </c>
      <c r="H414" s="113">
        <f t="shared" si="47"/>
        <v>32.222222222222221</v>
      </c>
      <c r="I414" s="113">
        <v>8.3000000000000007</v>
      </c>
      <c r="J414" s="113">
        <v>57.2</v>
      </c>
      <c r="K414" s="113">
        <v>-13.1</v>
      </c>
      <c r="L414" s="189"/>
      <c r="M414" s="16">
        <v>411</v>
      </c>
      <c r="N414" s="16">
        <f t="shared" si="49"/>
        <v>3.274679987354543E-2</v>
      </c>
      <c r="O414" s="16">
        <v>2</v>
      </c>
      <c r="P414" s="16">
        <f t="shared" si="45"/>
        <v>12.715447154471546</v>
      </c>
      <c r="Q414" s="16">
        <f t="shared" si="50"/>
        <v>30.53733506362715</v>
      </c>
      <c r="R414" s="113">
        <f t="shared" si="46"/>
        <v>373.41300000000001</v>
      </c>
      <c r="S414" s="16">
        <f>IF(S413=15800,15800,ROUND((((Q414*60)/'Gearing Calculator'!$C$14)*'Track Data'!P414),-2))</f>
        <v>11800</v>
      </c>
      <c r="T414" s="16">
        <f t="shared" si="48"/>
        <v>6.1732785198240103</v>
      </c>
      <c r="U414" s="16">
        <f>IF(AC414=100,Braking!$AG$2354,IF(AC414=50,Braking!$AG$1179,IF(AC414=75,Braking!$AG$1767,0)))</f>
        <v>0</v>
      </c>
      <c r="V414" s="16">
        <f>0.5*'Gearing Calculator'!$C$15*'Gearing Calculator'!$C$20*'Gearing Calculator'!$W$20*('Track Data'!Q414^2)</f>
        <v>98.698851662306481</v>
      </c>
      <c r="W414" s="16">
        <f>('Gearing Calculator'!$U$9*'Track Data'!T414)+'Track Data'!V414</f>
        <v>1742.0255936394578</v>
      </c>
      <c r="X414" s="16">
        <f>('Gearing Calculator'!$U$9*9.81)*('Gearing Calculator'!$U$16/'Gearing Calculator'!$C$7)-(('Track Data'!W414)*('Gearing Calculator'!$U$17/'Gearing Calculator'!$C$7))</f>
        <v>451.6393820354815</v>
      </c>
      <c r="Y414" s="16">
        <f>('Gearing Calculator'!$U$9*9.81)*(('Gearing Calculator'!$C$7-'Gearing Calculator'!$U$16)/'Gearing Calculator'!$C$7)+(('Track Data'!W414)*('Gearing Calculator'!$U$17/'Gearing Calculator'!$C$7))</f>
        <v>2159.7826179645185</v>
      </c>
      <c r="Z414" s="16">
        <f>((X414*COS('Gearing Calculator'!$C$21))/'Gearing Calculator'!$C$22)/2</f>
        <v>13.963261278870647</v>
      </c>
      <c r="AA414" s="16">
        <f>Y414/'Gearing Calculator'!$C$24</f>
        <v>30.157809357443039</v>
      </c>
      <c r="AB414" s="16">
        <f t="shared" si="44"/>
        <v>111.0454087019545</v>
      </c>
      <c r="AC414" s="16">
        <v>0</v>
      </c>
      <c r="AD414" s="16">
        <v>0</v>
      </c>
      <c r="AE414" s="16">
        <v>411</v>
      </c>
      <c r="AF414" s="16">
        <f>IF(AC414=0,IF(O414=6,INDEX(Acceleration!$V$4:$V$110,MATCH('Track Data'!S414,Acceleration!$K$4:$K$110,0)),IF('Track Data'!O414=5,INDEX(Acceleration!$U$4:$U$110,MATCH('Track Data'!S414,Acceleration!$K$4:$K$110,0)),1)),U414)</f>
        <v>1</v>
      </c>
      <c r="AG414" s="16">
        <f>IF(AC414=0,IF(O414=4,INDEX(Acceleration!$T$4:$T$110,MATCH('Track Data'!S414,Acceleration!$K$4:$K$110,0)),IF('Track Data'!O414=3,INDEX(Acceleration!$S$4:$S$110,MATCH('Track Data'!S414,Acceleration!$K$4:$K$110,0)),'Track Data'!AF414)),'Track Data'!U414)</f>
        <v>1</v>
      </c>
      <c r="AH414" s="16">
        <f>IF(AC414=0,IF(O414=2,INDEX(Acceleration!$R$4:$R$110,MATCH('Track Data'!S414,Acceleration!$K$4:$K$110,0)),IF('Track Data'!O414=1,INDEX(Acceleration!$Q$4:$Q$110,MATCH('Track Data'!S414,Acceleration!$K$4:$K$110,0)),'Track Data'!AG414)),'Track Data'!U414)</f>
        <v>6.1732785198240103</v>
      </c>
    </row>
    <row r="415" spans="2:34" x14ac:dyDescent="0.25">
      <c r="B415" s="16">
        <v>208.501</v>
      </c>
      <c r="C415" s="16">
        <v>7685</v>
      </c>
      <c r="D415" s="16">
        <v>412</v>
      </c>
      <c r="E415" s="113">
        <v>112</v>
      </c>
      <c r="F415" s="113">
        <v>115.9</v>
      </c>
      <c r="G415" s="113">
        <v>115.6</v>
      </c>
      <c r="H415" s="113">
        <f t="shared" si="47"/>
        <v>32.111111111111107</v>
      </c>
      <c r="I415" s="113">
        <v>9.6999999999999993</v>
      </c>
      <c r="J415" s="113">
        <v>57.21</v>
      </c>
      <c r="K415" s="113">
        <v>-15.9</v>
      </c>
      <c r="L415" s="189"/>
      <c r="M415" s="16">
        <v>412</v>
      </c>
      <c r="N415" s="16">
        <f t="shared" si="49"/>
        <v>3.2532147389359466E-2</v>
      </c>
      <c r="O415" s="16">
        <v>2</v>
      </c>
      <c r="P415" s="16">
        <f t="shared" si="45"/>
        <v>12.715447154471546</v>
      </c>
      <c r="Q415" s="16">
        <f t="shared" si="50"/>
        <v>30.738825446459078</v>
      </c>
      <c r="R415" s="113">
        <f t="shared" si="46"/>
        <v>373.41300000000001</v>
      </c>
      <c r="S415" s="16">
        <f>IF(S414=15800,15800,ROUND((((Q415*60)/'Gearing Calculator'!$C$14)*'Track Data'!P415),-2))</f>
        <v>11900</v>
      </c>
      <c r="T415" s="16">
        <f t="shared" si="48"/>
        <v>6.180624781347384</v>
      </c>
      <c r="U415" s="16">
        <f>IF(AC415=100,Braking!$AG$2354,IF(AC415=50,Braking!$AG$1179,IF(AC415=75,Braking!$AG$1767,0)))</f>
        <v>0</v>
      </c>
      <c r="V415" s="16">
        <f>0.5*'Gearing Calculator'!$C$15*'Gearing Calculator'!$C$20*'Gearing Calculator'!$W$20*('Track Data'!Q415^2)</f>
        <v>100.00561125938282</v>
      </c>
      <c r="W415" s="16">
        <f>('Gearing Calculator'!$U$9*'Track Data'!T415)+'Track Data'!V415</f>
        <v>1745.2879280540565</v>
      </c>
      <c r="X415" s="16">
        <f>('Gearing Calculator'!$U$9*9.81)*('Gearing Calculator'!$U$16/'Gearing Calculator'!$C$7)-(('Track Data'!W415)*('Gearing Calculator'!$U$17/'Gearing Calculator'!$C$7))</f>
        <v>449.86118698252938</v>
      </c>
      <c r="Y415" s="16">
        <f>('Gearing Calculator'!$U$9*9.81)*(('Gearing Calculator'!$C$7-'Gearing Calculator'!$U$16)/'Gearing Calculator'!$C$7)+(('Track Data'!W415)*('Gearing Calculator'!$U$17/'Gearing Calculator'!$C$7))</f>
        <v>2161.5608130174705</v>
      </c>
      <c r="Z415" s="16">
        <f>((X415*COS('Gearing Calculator'!$C$21))/'Gearing Calculator'!$C$22)/2</f>
        <v>13.908285111785167</v>
      </c>
      <c r="AA415" s="16">
        <f>Y415/'Gearing Calculator'!$C$24</f>
        <v>30.18263892453059</v>
      </c>
      <c r="AB415" s="16">
        <f t="shared" si="44"/>
        <v>112.36686082207758</v>
      </c>
      <c r="AC415" s="16">
        <v>0</v>
      </c>
      <c r="AD415" s="16">
        <v>0</v>
      </c>
      <c r="AE415" s="16">
        <v>412</v>
      </c>
      <c r="AF415" s="16">
        <f>IF(AC415=0,IF(O415=6,INDEX(Acceleration!$V$4:$V$110,MATCH('Track Data'!S415,Acceleration!$K$4:$K$110,0)),IF('Track Data'!O415=5,INDEX(Acceleration!$U$4:$U$110,MATCH('Track Data'!S415,Acceleration!$K$4:$K$110,0)),1)),U415)</f>
        <v>1</v>
      </c>
      <c r="AG415" s="16">
        <f>IF(AC415=0,IF(O415=4,INDEX(Acceleration!$T$4:$T$110,MATCH('Track Data'!S415,Acceleration!$K$4:$K$110,0)),IF('Track Data'!O415=3,INDEX(Acceleration!$S$4:$S$110,MATCH('Track Data'!S415,Acceleration!$K$4:$K$110,0)),'Track Data'!AF415)),'Track Data'!U415)</f>
        <v>1</v>
      </c>
      <c r="AH415" s="16">
        <f>IF(AC415=0,IF(O415=2,INDEX(Acceleration!$R$4:$R$110,MATCH('Track Data'!S415,Acceleration!$K$4:$K$110,0)),IF('Track Data'!O415=1,INDEX(Acceleration!$Q$4:$Q$110,MATCH('Track Data'!S415,Acceleration!$K$4:$K$110,0)),'Track Data'!AG415)),'Track Data'!U415)</f>
        <v>6.180624781347384</v>
      </c>
    </row>
    <row r="416" spans="2:34" x14ac:dyDescent="0.25">
      <c r="B416" s="16">
        <v>208.53200000000001</v>
      </c>
      <c r="C416" s="16">
        <v>7686</v>
      </c>
      <c r="D416" s="16">
        <v>413</v>
      </c>
      <c r="E416" s="113">
        <v>112</v>
      </c>
      <c r="F416" s="113">
        <v>115.5</v>
      </c>
      <c r="G416" s="113">
        <v>115.1</v>
      </c>
      <c r="H416" s="113">
        <f t="shared" si="47"/>
        <v>31.972222222222221</v>
      </c>
      <c r="I416" s="113">
        <v>10.9</v>
      </c>
      <c r="J416" s="113">
        <v>57.69</v>
      </c>
      <c r="K416" s="113">
        <v>-19.5</v>
      </c>
      <c r="L416" s="189"/>
      <c r="M416" s="16">
        <v>413</v>
      </c>
      <c r="N416" s="16">
        <f t="shared" si="49"/>
        <v>3.2321413347039196E-2</v>
      </c>
      <c r="O416" s="16">
        <v>2</v>
      </c>
      <c r="P416" s="16">
        <f t="shared" si="45"/>
        <v>12.715447154471546</v>
      </c>
      <c r="Q416" s="16">
        <f t="shared" si="50"/>
        <v>30.939241092673473</v>
      </c>
      <c r="R416" s="113">
        <f t="shared" si="46"/>
        <v>373.41300000000001</v>
      </c>
      <c r="S416" s="16">
        <f>IF(S415=15800,15800,ROUND((((Q416*60)/'Gearing Calculator'!$C$14)*'Track Data'!P416),-2))</f>
        <v>11900</v>
      </c>
      <c r="T416" s="16">
        <f t="shared" si="48"/>
        <v>6.180624781347384</v>
      </c>
      <c r="U416" s="16">
        <f>IF(AC416=100,Braking!$AG$2354,IF(AC416=50,Braking!$AG$1179,IF(AC416=75,Braking!$AG$1767,0)))</f>
        <v>0</v>
      </c>
      <c r="V416" s="16">
        <f>0.5*'Gearing Calculator'!$C$15*'Gearing Calculator'!$C$20*'Gearing Calculator'!$W$20*('Track Data'!Q416^2)</f>
        <v>101.31392591309843</v>
      </c>
      <c r="W416" s="16">
        <f>('Gearing Calculator'!$U$9*'Track Data'!T416)+'Track Data'!V416</f>
        <v>1746.596242707772</v>
      </c>
      <c r="X416" s="16">
        <f>('Gearing Calculator'!$U$9*9.81)*('Gearing Calculator'!$U$16/'Gearing Calculator'!$C$7)-(('Track Data'!W416)*('Gearing Calculator'!$U$17/'Gearing Calculator'!$C$7))</f>
        <v>449.14806614656254</v>
      </c>
      <c r="Y416" s="16">
        <f>('Gearing Calculator'!$U$9*9.81)*(('Gearing Calculator'!$C$7-'Gearing Calculator'!$U$16)/'Gearing Calculator'!$C$7)+(('Track Data'!W416)*('Gearing Calculator'!$U$17/'Gearing Calculator'!$C$7))</f>
        <v>2162.2739338534375</v>
      </c>
      <c r="Z416" s="16">
        <f>((X416*COS('Gearing Calculator'!$C$21))/'Gearing Calculator'!$C$22)/2</f>
        <v>13.886237670946119</v>
      </c>
      <c r="AA416" s="16">
        <f>Y416/'Gearing Calculator'!$C$24</f>
        <v>30.192596483240912</v>
      </c>
      <c r="AB416" s="16">
        <f t="shared" si="44"/>
        <v>113.6751754757932</v>
      </c>
      <c r="AC416" s="16">
        <v>0</v>
      </c>
      <c r="AD416" s="16">
        <v>0</v>
      </c>
      <c r="AE416" s="16">
        <v>413</v>
      </c>
      <c r="AF416" s="16">
        <f>IF(AC416=0,IF(O416=6,INDEX(Acceleration!$V$4:$V$110,MATCH('Track Data'!S416,Acceleration!$K$4:$K$110,0)),IF('Track Data'!O416=5,INDEX(Acceleration!$U$4:$U$110,MATCH('Track Data'!S416,Acceleration!$K$4:$K$110,0)),1)),U416)</f>
        <v>1</v>
      </c>
      <c r="AG416" s="16">
        <f>IF(AC416=0,IF(O416=4,INDEX(Acceleration!$T$4:$T$110,MATCH('Track Data'!S416,Acceleration!$K$4:$K$110,0)),IF('Track Data'!O416=3,INDEX(Acceleration!$S$4:$S$110,MATCH('Track Data'!S416,Acceleration!$K$4:$K$110,0)),'Track Data'!AF416)),'Track Data'!U416)</f>
        <v>1</v>
      </c>
      <c r="AH416" s="16">
        <f>IF(AC416=0,IF(O416=2,INDEX(Acceleration!$R$4:$R$110,MATCH('Track Data'!S416,Acceleration!$K$4:$K$110,0)),IF('Track Data'!O416=1,INDEX(Acceleration!$Q$4:$Q$110,MATCH('Track Data'!S416,Acceleration!$K$4:$K$110,0)),'Track Data'!AG416)),'Track Data'!U416)</f>
        <v>6.180624781347384</v>
      </c>
    </row>
    <row r="417" spans="2:34" x14ac:dyDescent="0.25">
      <c r="B417" s="16">
        <v>208.56299999999999</v>
      </c>
      <c r="C417" s="16">
        <v>7687</v>
      </c>
      <c r="D417" s="16">
        <v>414</v>
      </c>
      <c r="E417" s="113">
        <v>112</v>
      </c>
      <c r="F417" s="113">
        <v>115</v>
      </c>
      <c r="G417" s="113">
        <v>114.6</v>
      </c>
      <c r="H417" s="113">
        <f t="shared" si="47"/>
        <v>31.833333333333332</v>
      </c>
      <c r="I417" s="113">
        <v>11</v>
      </c>
      <c r="J417" s="113">
        <v>58.13</v>
      </c>
      <c r="K417" s="113">
        <v>-22.8</v>
      </c>
      <c r="L417" s="189"/>
      <c r="M417" s="16">
        <v>414</v>
      </c>
      <c r="N417" s="16">
        <f t="shared" si="49"/>
        <v>3.2114722181831458E-2</v>
      </c>
      <c r="O417" s="16">
        <v>2</v>
      </c>
      <c r="P417" s="16">
        <f t="shared" si="45"/>
        <v>12.715447154471546</v>
      </c>
      <c r="Q417" s="16">
        <f t="shared" si="50"/>
        <v>31.138366831824523</v>
      </c>
      <c r="R417" s="113">
        <f t="shared" si="46"/>
        <v>373.41300000000001</v>
      </c>
      <c r="S417" s="16">
        <f>IF(S416=15800,15800,ROUND((((Q417*60)/'Gearing Calculator'!$C$14)*'Track Data'!P417),-2))</f>
        <v>12000</v>
      </c>
      <c r="T417" s="16">
        <f t="shared" si="48"/>
        <v>6.1877581288485493</v>
      </c>
      <c r="U417" s="16">
        <f>IF(AC417=100,Braking!$AG$2354,IF(AC417=50,Braking!$AG$1179,IF(AC417=75,Braking!$AG$1767,0)))</f>
        <v>0</v>
      </c>
      <c r="V417" s="16">
        <f>0.5*'Gearing Calculator'!$C$15*'Gearing Calculator'!$C$20*'Gearing Calculator'!$W$20*('Track Data'!Q417^2)</f>
        <v>102.62224056681404</v>
      </c>
      <c r="W417" s="16">
        <f>('Gearing Calculator'!$U$9*'Track Data'!T417)+'Track Data'!V417</f>
        <v>1749.8034544662978</v>
      </c>
      <c r="X417" s="16">
        <f>('Gearing Calculator'!$U$9*9.81)*('Gearing Calculator'!$U$16/'Gearing Calculator'!$C$7)-(('Track Data'!W417)*('Gearing Calculator'!$U$17/'Gearing Calculator'!$C$7))</f>
        <v>447.39991670570203</v>
      </c>
      <c r="Y417" s="16">
        <f>('Gearing Calculator'!$U$9*9.81)*(('Gearing Calculator'!$C$7-'Gearing Calculator'!$U$16)/'Gearing Calculator'!$C$7)+(('Track Data'!W417)*('Gearing Calculator'!$U$17/'Gearing Calculator'!$C$7))</f>
        <v>2164.0220832942978</v>
      </c>
      <c r="Z417" s="16">
        <f>((X417*COS('Gearing Calculator'!$C$21))/'Gearing Calculator'!$C$22)/2</f>
        <v>13.832190419160336</v>
      </c>
      <c r="AA417" s="16">
        <f>Y417/'Gearing Calculator'!$C$24</f>
        <v>30.217006512809292</v>
      </c>
      <c r="AB417" s="16">
        <f t="shared" si="44"/>
        <v>114.99775682451114</v>
      </c>
      <c r="AC417" s="16">
        <v>0</v>
      </c>
      <c r="AD417" s="16">
        <v>0</v>
      </c>
      <c r="AE417" s="16">
        <v>414</v>
      </c>
      <c r="AF417" s="16">
        <f>IF(AC417=0,IF(O417=6,INDEX(Acceleration!$V$4:$V$110,MATCH('Track Data'!S417,Acceleration!$K$4:$K$110,0)),IF('Track Data'!O417=5,INDEX(Acceleration!$U$4:$U$110,MATCH('Track Data'!S417,Acceleration!$K$4:$K$110,0)),1)),U417)</f>
        <v>1</v>
      </c>
      <c r="AG417" s="16">
        <f>IF(AC417=0,IF(O417=4,INDEX(Acceleration!$T$4:$T$110,MATCH('Track Data'!S417,Acceleration!$K$4:$K$110,0)),IF('Track Data'!O417=3,INDEX(Acceleration!$S$4:$S$110,MATCH('Track Data'!S417,Acceleration!$K$4:$K$110,0)),'Track Data'!AF417)),'Track Data'!U417)</f>
        <v>1</v>
      </c>
      <c r="AH417" s="16">
        <f>IF(AC417=0,IF(O417=2,INDEX(Acceleration!$R$4:$R$110,MATCH('Track Data'!S417,Acceleration!$K$4:$K$110,0)),IF('Track Data'!O417=1,INDEX(Acceleration!$Q$4:$Q$110,MATCH('Track Data'!S417,Acceleration!$K$4:$K$110,0)),'Track Data'!AG417)),'Track Data'!U417)</f>
        <v>6.1877581288485493</v>
      </c>
    </row>
    <row r="418" spans="2:34" x14ac:dyDescent="0.25">
      <c r="B418" s="16">
        <v>208.59399999999999</v>
      </c>
      <c r="C418" s="16">
        <v>7688</v>
      </c>
      <c r="D418" s="16">
        <v>415</v>
      </c>
      <c r="E418" s="113">
        <v>112</v>
      </c>
      <c r="F418" s="113">
        <v>114.5</v>
      </c>
      <c r="G418" s="113">
        <v>114</v>
      </c>
      <c r="H418" s="113">
        <f t="shared" si="47"/>
        <v>31.666666666666664</v>
      </c>
      <c r="I418" s="113">
        <v>11.5</v>
      </c>
      <c r="J418" s="113">
        <v>58</v>
      </c>
      <c r="K418" s="113">
        <v>-22.8</v>
      </c>
      <c r="L418" s="189"/>
      <c r="M418" s="16">
        <v>415</v>
      </c>
      <c r="N418" s="16">
        <f t="shared" si="49"/>
        <v>3.1911714437387426E-2</v>
      </c>
      <c r="O418" s="16">
        <v>2</v>
      </c>
      <c r="P418" s="16">
        <f t="shared" si="45"/>
        <v>12.715447154471546</v>
      </c>
      <c r="Q418" s="16">
        <f t="shared" si="50"/>
        <v>31.336454892201299</v>
      </c>
      <c r="R418" s="113">
        <f t="shared" si="46"/>
        <v>373.41300000000001</v>
      </c>
      <c r="S418" s="16">
        <f>IF(S417=15800,15800,ROUND((((Q418*60)/'Gearing Calculator'!$C$14)*'Track Data'!P418),-2))</f>
        <v>12100</v>
      </c>
      <c r="T418" s="16">
        <f t="shared" si="48"/>
        <v>6.2582208662130441</v>
      </c>
      <c r="U418" s="16">
        <f>IF(AC418=100,Braking!$AG$2354,IF(AC418=50,Braking!$AG$1179,IF(AC418=75,Braking!$AG$1767,0)))</f>
        <v>0</v>
      </c>
      <c r="V418" s="16">
        <f>0.5*'Gearing Calculator'!$C$15*'Gearing Calculator'!$C$20*'Gearing Calculator'!$W$20*('Track Data'!Q418^2)</f>
        <v>103.93206520752871</v>
      </c>
      <c r="W418" s="16">
        <f>('Gearing Calculator'!$U$9*'Track Data'!T418)+'Track Data'!V418</f>
        <v>1769.8704597934409</v>
      </c>
      <c r="X418" s="16">
        <f>('Gearing Calculator'!$U$9*9.81)*('Gearing Calculator'!$U$16/'Gearing Calculator'!$C$7)-(('Track Data'!W418)*('Gearing Calculator'!$U$17/'Gearing Calculator'!$C$7))</f>
        <v>436.46202835170232</v>
      </c>
      <c r="Y418" s="16">
        <f>('Gearing Calculator'!$U$9*9.81)*(('Gearing Calculator'!$C$7-'Gearing Calculator'!$U$16)/'Gearing Calculator'!$C$7)+(('Track Data'!W418)*('Gearing Calculator'!$U$17/'Gearing Calculator'!$C$7))</f>
        <v>2174.9599716482976</v>
      </c>
      <c r="Z418" s="16">
        <f>((X418*COS('Gearing Calculator'!$C$21))/'Gearing Calculator'!$C$22)/2</f>
        <v>13.494025504848201</v>
      </c>
      <c r="AA418" s="16">
        <f>Y418/'Gearing Calculator'!$C$24</f>
        <v>30.369736120413876</v>
      </c>
      <c r="AB418" s="16">
        <f t="shared" si="44"/>
        <v>116.4485069399548</v>
      </c>
      <c r="AC418" s="16">
        <v>0</v>
      </c>
      <c r="AD418" s="16">
        <v>0</v>
      </c>
      <c r="AE418" s="16">
        <v>415</v>
      </c>
      <c r="AF418" s="16">
        <f>IF(AC418=0,IF(O418=6,INDEX(Acceleration!$V$4:$V$110,MATCH('Track Data'!S418,Acceleration!$K$4:$K$110,0)),IF('Track Data'!O418=5,INDEX(Acceleration!$U$4:$U$110,MATCH('Track Data'!S418,Acceleration!$K$4:$K$110,0)),1)),U418)</f>
        <v>1</v>
      </c>
      <c r="AG418" s="16">
        <f>IF(AC418=0,IF(O418=4,INDEX(Acceleration!$T$4:$T$110,MATCH('Track Data'!S418,Acceleration!$K$4:$K$110,0)),IF('Track Data'!O418=3,INDEX(Acceleration!$S$4:$S$110,MATCH('Track Data'!S418,Acceleration!$K$4:$K$110,0)),'Track Data'!AF418)),'Track Data'!U418)</f>
        <v>1</v>
      </c>
      <c r="AH418" s="16">
        <f>IF(AC418=0,IF(O418=2,INDEX(Acceleration!$R$4:$R$110,MATCH('Track Data'!S418,Acceleration!$K$4:$K$110,0)),IF('Track Data'!O418=1,INDEX(Acceleration!$Q$4:$Q$110,MATCH('Track Data'!S418,Acceleration!$K$4:$K$110,0)),'Track Data'!AG418)),'Track Data'!U418)</f>
        <v>6.2582208662130441</v>
      </c>
    </row>
    <row r="419" spans="2:34" x14ac:dyDescent="0.25">
      <c r="B419" s="16">
        <v>208.626</v>
      </c>
      <c r="C419" s="16">
        <v>7689</v>
      </c>
      <c r="D419" s="16">
        <v>416</v>
      </c>
      <c r="E419" s="113">
        <v>112</v>
      </c>
      <c r="F419" s="113">
        <v>114.4</v>
      </c>
      <c r="G419" s="113">
        <v>113.5</v>
      </c>
      <c r="H419" s="113">
        <f t="shared" si="47"/>
        <v>31.527777777777779</v>
      </c>
      <c r="I419" s="113">
        <v>11.6</v>
      </c>
      <c r="J419" s="113">
        <v>57.52</v>
      </c>
      <c r="K419" s="113">
        <v>-22.8</v>
      </c>
      <c r="L419" s="189"/>
      <c r="M419" s="16">
        <v>416</v>
      </c>
      <c r="N419" s="16">
        <f t="shared" si="49"/>
        <v>3.1710261479028397E-2</v>
      </c>
      <c r="O419" s="16">
        <v>2</v>
      </c>
      <c r="P419" s="16">
        <f t="shared" si="45"/>
        <v>12.715447154471546</v>
      </c>
      <c r="Q419" s="16">
        <f t="shared" si="50"/>
        <v>31.53553308481391</v>
      </c>
      <c r="R419" s="113">
        <f t="shared" si="46"/>
        <v>373.41300000000001</v>
      </c>
      <c r="S419" s="16">
        <f>IF(S418=15800,15800,ROUND((((Q419*60)/'Gearing Calculator'!$C$14)*'Track Data'!P419),-2))</f>
        <v>12200</v>
      </c>
      <c r="T419" s="16">
        <f t="shared" si="48"/>
        <v>6.2644210103616498</v>
      </c>
      <c r="U419" s="16">
        <f>IF(AC419=100,Braking!$AG$2354,IF(AC419=50,Braking!$AG$1179,IF(AC419=75,Braking!$AG$1767,0)))</f>
        <v>0</v>
      </c>
      <c r="V419" s="16">
        <f>0.5*'Gearing Calculator'!$C$15*'Gearing Calculator'!$C$20*'Gearing Calculator'!$W$20*('Track Data'!Q419^2)</f>
        <v>105.25680540048867</v>
      </c>
      <c r="W419" s="16">
        <f>('Gearing Calculator'!$U$9*'Track Data'!T419)+'Track Data'!V419</f>
        <v>1772.8456783587599</v>
      </c>
      <c r="X419" s="16">
        <f>('Gearing Calculator'!$U$9*9.81)*('Gearing Calculator'!$U$16/'Gearing Calculator'!$C$7)-(('Track Data'!W419)*('Gearing Calculator'!$U$17/'Gearing Calculator'!$C$7))</f>
        <v>434.8403310448208</v>
      </c>
      <c r="Y419" s="16">
        <f>('Gearing Calculator'!$U$9*9.81)*(('Gearing Calculator'!$C$7-'Gearing Calculator'!$U$16)/'Gearing Calculator'!$C$7)+(('Track Data'!W419)*('Gearing Calculator'!$U$17/'Gearing Calculator'!$C$7))</f>
        <v>2176.5816689551793</v>
      </c>
      <c r="Z419" s="16">
        <f>((X419*COS('Gearing Calculator'!$C$21))/'Gearing Calculator'!$C$22)/2</f>
        <v>13.443887753111023</v>
      </c>
      <c r="AA419" s="16">
        <f>Y419/'Gearing Calculator'!$C$24</f>
        <v>30.392380454065616</v>
      </c>
      <c r="AB419" s="16">
        <f t="shared" si="44"/>
        <v>117.78564742121198</v>
      </c>
      <c r="AC419" s="16">
        <v>0</v>
      </c>
      <c r="AD419" s="16">
        <v>0</v>
      </c>
      <c r="AE419" s="16">
        <v>416</v>
      </c>
      <c r="AF419" s="16">
        <f>IF(AC419=0,IF(O419=6,INDEX(Acceleration!$V$4:$V$110,MATCH('Track Data'!S419,Acceleration!$K$4:$K$110,0)),IF('Track Data'!O419=5,INDEX(Acceleration!$U$4:$U$110,MATCH('Track Data'!S419,Acceleration!$K$4:$K$110,0)),1)),U419)</f>
        <v>1</v>
      </c>
      <c r="AG419" s="16">
        <f>IF(AC419=0,IF(O419=4,INDEX(Acceleration!$T$4:$T$110,MATCH('Track Data'!S419,Acceleration!$K$4:$K$110,0)),IF('Track Data'!O419=3,INDEX(Acceleration!$S$4:$S$110,MATCH('Track Data'!S419,Acceleration!$K$4:$K$110,0)),'Track Data'!AF419)),'Track Data'!U419)</f>
        <v>1</v>
      </c>
      <c r="AH419" s="16">
        <f>IF(AC419=0,IF(O419=2,INDEX(Acceleration!$R$4:$R$110,MATCH('Track Data'!S419,Acceleration!$K$4:$K$110,0)),IF('Track Data'!O419=1,INDEX(Acceleration!$Q$4:$Q$110,MATCH('Track Data'!S419,Acceleration!$K$4:$K$110,0)),'Track Data'!AG419)),'Track Data'!U419)</f>
        <v>6.2644210103616498</v>
      </c>
    </row>
    <row r="420" spans="2:34" x14ac:dyDescent="0.25">
      <c r="B420" s="16">
        <v>208.65700000000001</v>
      </c>
      <c r="C420" s="16">
        <v>7690</v>
      </c>
      <c r="D420" s="16">
        <v>417</v>
      </c>
      <c r="E420" s="113">
        <v>112</v>
      </c>
      <c r="F420" s="113">
        <v>114.2</v>
      </c>
      <c r="G420" s="113">
        <v>112.9</v>
      </c>
      <c r="H420" s="113">
        <f t="shared" si="47"/>
        <v>31.361111111111111</v>
      </c>
      <c r="I420" s="113">
        <v>10.8</v>
      </c>
      <c r="J420" s="113">
        <v>57.25</v>
      </c>
      <c r="K420" s="113">
        <v>-24.1</v>
      </c>
      <c r="L420" s="189"/>
      <c r="M420" s="16">
        <v>417</v>
      </c>
      <c r="N420" s="16">
        <f t="shared" si="49"/>
        <v>3.1512382164569377E-2</v>
      </c>
      <c r="O420" s="16">
        <v>2</v>
      </c>
      <c r="P420" s="16">
        <f t="shared" si="45"/>
        <v>12.715447154471546</v>
      </c>
      <c r="Q420" s="16">
        <f t="shared" si="50"/>
        <v>31.733557773500845</v>
      </c>
      <c r="R420" s="113">
        <f t="shared" si="46"/>
        <v>373.41300000000001</v>
      </c>
      <c r="S420" s="16">
        <f>IF(S419=15800,15800,ROUND((((Q420*60)/'Gearing Calculator'!$C$14)*'Track Data'!P420),-2))</f>
        <v>12200</v>
      </c>
      <c r="T420" s="16">
        <f t="shared" si="48"/>
        <v>6.2644210103616498</v>
      </c>
      <c r="U420" s="16">
        <f>IF(AC420=100,Braking!$AG$2354,IF(AC420=50,Braking!$AG$1179,IF(AC420=75,Braking!$AG$1767,0)))</f>
        <v>0</v>
      </c>
      <c r="V420" s="16">
        <f>0.5*'Gearing Calculator'!$C$15*'Gearing Calculator'!$C$20*'Gearing Calculator'!$W$20*('Track Data'!Q420^2)</f>
        <v>106.58285803996202</v>
      </c>
      <c r="W420" s="16">
        <f>('Gearing Calculator'!$U$9*'Track Data'!T420)+'Track Data'!V420</f>
        <v>1774.1717309982332</v>
      </c>
      <c r="X420" s="16">
        <f>('Gearing Calculator'!$U$9*9.81)*('Gearing Calculator'!$U$16/'Gearing Calculator'!$C$7)-(('Track Data'!W420)*('Gearing Calculator'!$U$17/'Gearing Calculator'!$C$7))</f>
        <v>434.11754179522268</v>
      </c>
      <c r="Y420" s="16">
        <f>('Gearing Calculator'!$U$9*9.81)*(('Gearing Calculator'!$C$7-'Gearing Calculator'!$U$16)/'Gearing Calculator'!$C$7)+(('Track Data'!W420)*('Gearing Calculator'!$U$17/'Gearing Calculator'!$C$7))</f>
        <v>2177.3044582047773</v>
      </c>
      <c r="Z420" s="16">
        <f>((X420*COS('Gearing Calculator'!$C$21))/'Gearing Calculator'!$C$22)/2</f>
        <v>13.421541395501082</v>
      </c>
      <c r="AA420" s="16">
        <f>Y420/'Gearing Calculator'!$C$24</f>
        <v>30.402473016258529</v>
      </c>
      <c r="AB420" s="16">
        <f t="shared" si="44"/>
        <v>119.11170006068532</v>
      </c>
      <c r="AC420" s="16">
        <v>0</v>
      </c>
      <c r="AD420" s="16">
        <v>0</v>
      </c>
      <c r="AE420" s="16">
        <v>417</v>
      </c>
      <c r="AF420" s="16">
        <f>IF(AC420=0,IF(O420=6,INDEX(Acceleration!$V$4:$V$110,MATCH('Track Data'!S420,Acceleration!$K$4:$K$110,0)),IF('Track Data'!O420=5,INDEX(Acceleration!$U$4:$U$110,MATCH('Track Data'!S420,Acceleration!$K$4:$K$110,0)),1)),U420)</f>
        <v>1</v>
      </c>
      <c r="AG420" s="16">
        <f>IF(AC420=0,IF(O420=4,INDEX(Acceleration!$T$4:$T$110,MATCH('Track Data'!S420,Acceleration!$K$4:$K$110,0)),IF('Track Data'!O420=3,INDEX(Acceleration!$S$4:$S$110,MATCH('Track Data'!S420,Acceleration!$K$4:$K$110,0)),'Track Data'!AF420)),'Track Data'!U420)</f>
        <v>1</v>
      </c>
      <c r="AH420" s="16">
        <f>IF(AC420=0,IF(O420=2,INDEX(Acceleration!$R$4:$R$110,MATCH('Track Data'!S420,Acceleration!$K$4:$K$110,0)),IF('Track Data'!O420=1,INDEX(Acceleration!$Q$4:$Q$110,MATCH('Track Data'!S420,Acceleration!$K$4:$K$110,0)),'Track Data'!AG420)),'Track Data'!U420)</f>
        <v>6.2644210103616498</v>
      </c>
    </row>
    <row r="421" spans="2:34" x14ac:dyDescent="0.25">
      <c r="B421" s="16">
        <v>208.68799999999999</v>
      </c>
      <c r="C421" s="16">
        <v>7691</v>
      </c>
      <c r="D421" s="16">
        <v>418</v>
      </c>
      <c r="E421" s="113">
        <v>112</v>
      </c>
      <c r="F421" s="113">
        <v>114</v>
      </c>
      <c r="G421" s="113">
        <v>112.3</v>
      </c>
      <c r="H421" s="113">
        <f t="shared" si="47"/>
        <v>31.194444444444443</v>
      </c>
      <c r="I421" s="113">
        <v>10.3</v>
      </c>
      <c r="J421" s="113">
        <v>57.03</v>
      </c>
      <c r="K421" s="113">
        <v>-27.1</v>
      </c>
      <c r="L421" s="189"/>
      <c r="M421" s="16">
        <v>418</v>
      </c>
      <c r="N421" s="16">
        <f t="shared" si="49"/>
        <v>3.1318161647200436E-2</v>
      </c>
      <c r="O421" s="16">
        <v>2</v>
      </c>
      <c r="P421" s="16">
        <f t="shared" si="45"/>
        <v>12.715447154471546</v>
      </c>
      <c r="Q421" s="16">
        <f t="shared" si="50"/>
        <v>31.930354382387289</v>
      </c>
      <c r="R421" s="113">
        <f t="shared" si="46"/>
        <v>373.41300000000001</v>
      </c>
      <c r="S421" s="16">
        <f>IF(S420=15800,15800,ROUND((((Q421*60)/'Gearing Calculator'!$C$14)*'Track Data'!P421),-2))</f>
        <v>12300</v>
      </c>
      <c r="T421" s="16">
        <f t="shared" si="48"/>
        <v>6.2704298442840569</v>
      </c>
      <c r="U421" s="16">
        <f>IF(AC421=100,Braking!$AG$2354,IF(AC421=50,Braking!$AG$1179,IF(AC421=75,Braking!$AG$1767,0)))</f>
        <v>0</v>
      </c>
      <c r="V421" s="16">
        <f>0.5*'Gearing Calculator'!$C$15*'Gearing Calculator'!$C$20*'Gearing Calculator'!$W$20*('Track Data'!Q421^2)</f>
        <v>107.90891067943538</v>
      </c>
      <c r="W421" s="16">
        <f>('Gearing Calculator'!$U$9*'Track Data'!T421)+'Track Data'!V421</f>
        <v>1777.0973352278513</v>
      </c>
      <c r="X421" s="16">
        <f>('Gearing Calculator'!$U$9*9.81)*('Gearing Calculator'!$U$16/'Gearing Calculator'!$C$7)-(('Track Data'!W421)*('Gearing Calculator'!$U$17/'Gearing Calculator'!$C$7))</f>
        <v>432.52288768964627</v>
      </c>
      <c r="Y421" s="16">
        <f>('Gearing Calculator'!$U$9*9.81)*(('Gearing Calculator'!$C$7-'Gearing Calculator'!$U$16)/'Gearing Calculator'!$C$7)+(('Track Data'!W421)*('Gearing Calculator'!$U$17/'Gearing Calculator'!$C$7))</f>
        <v>2178.8991123103538</v>
      </c>
      <c r="Z421" s="16">
        <f>((X421*COS('Gearing Calculator'!$C$21))/'Gearing Calculator'!$C$22)/2</f>
        <v>13.372239734017899</v>
      </c>
      <c r="AA421" s="16">
        <f>Y421/'Gearing Calculator'!$C$24</f>
        <v>30.424739736115903</v>
      </c>
      <c r="AB421" s="16">
        <f t="shared" si="44"/>
        <v>120.4497703680035</v>
      </c>
      <c r="AC421" s="16">
        <v>0</v>
      </c>
      <c r="AD421" s="16">
        <v>0</v>
      </c>
      <c r="AE421" s="16">
        <v>418</v>
      </c>
      <c r="AF421" s="16">
        <f>IF(AC421=0,IF(O421=6,INDEX(Acceleration!$V$4:$V$110,MATCH('Track Data'!S421,Acceleration!$K$4:$K$110,0)),IF('Track Data'!O421=5,INDEX(Acceleration!$U$4:$U$110,MATCH('Track Data'!S421,Acceleration!$K$4:$K$110,0)),1)),U421)</f>
        <v>1</v>
      </c>
      <c r="AG421" s="16">
        <f>IF(AC421=0,IF(O421=4,INDEX(Acceleration!$T$4:$T$110,MATCH('Track Data'!S421,Acceleration!$K$4:$K$110,0)),IF('Track Data'!O421=3,INDEX(Acceleration!$S$4:$S$110,MATCH('Track Data'!S421,Acceleration!$K$4:$K$110,0)),'Track Data'!AF421)),'Track Data'!U421)</f>
        <v>1</v>
      </c>
      <c r="AH421" s="16">
        <f>IF(AC421=0,IF(O421=2,INDEX(Acceleration!$R$4:$R$110,MATCH('Track Data'!S421,Acceleration!$K$4:$K$110,0)),IF('Track Data'!O421=1,INDEX(Acceleration!$Q$4:$Q$110,MATCH('Track Data'!S421,Acceleration!$K$4:$K$110,0)),'Track Data'!AG421)),'Track Data'!U421)</f>
        <v>6.2704298442840569</v>
      </c>
    </row>
    <row r="422" spans="2:34" x14ac:dyDescent="0.25">
      <c r="B422" s="16">
        <v>208.71899999999999</v>
      </c>
      <c r="C422" s="16">
        <v>7692</v>
      </c>
      <c r="D422" s="16">
        <v>419</v>
      </c>
      <c r="E422" s="113">
        <v>111</v>
      </c>
      <c r="F422" s="113">
        <v>113.7</v>
      </c>
      <c r="G422" s="113">
        <v>111.7</v>
      </c>
      <c r="H422" s="113">
        <f t="shared" si="47"/>
        <v>31.027777777777779</v>
      </c>
      <c r="I422" s="113">
        <v>9.5</v>
      </c>
      <c r="J422" s="113">
        <v>57.08</v>
      </c>
      <c r="K422" s="113">
        <v>-30</v>
      </c>
      <c r="L422" s="189"/>
      <c r="M422" s="16">
        <v>419</v>
      </c>
      <c r="N422" s="16">
        <f t="shared" si="49"/>
        <v>3.1127307321749752E-2</v>
      </c>
      <c r="O422" s="16">
        <v>2</v>
      </c>
      <c r="P422" s="16">
        <f t="shared" si="45"/>
        <v>12.715447154471546</v>
      </c>
      <c r="Q422" s="16">
        <f t="shared" si="50"/>
        <v>32.126132519701265</v>
      </c>
      <c r="R422" s="113">
        <f t="shared" si="46"/>
        <v>373.41300000000001</v>
      </c>
      <c r="S422" s="16">
        <f>IF(S421=15800,15800,ROUND((((Q422*60)/'Gearing Calculator'!$C$14)*'Track Data'!P422),-2))</f>
        <v>12400</v>
      </c>
      <c r="T422" s="16">
        <f t="shared" si="48"/>
        <v>6.2762512606741625</v>
      </c>
      <c r="U422" s="16">
        <f>IF(AC422=100,Braking!$AG$2354,IF(AC422=50,Braking!$AG$1179,IF(AC422=75,Braking!$AG$1767,0)))</f>
        <v>0</v>
      </c>
      <c r="V422" s="16">
        <f>0.5*'Gearing Calculator'!$C$15*'Gearing Calculator'!$C$20*'Gearing Calculator'!$W$20*('Track Data'!Q422^2)</f>
        <v>109.23623526887341</v>
      </c>
      <c r="W422" s="16">
        <f>('Gearing Calculator'!$U$9*'Track Data'!T422)+'Track Data'!V422</f>
        <v>1779.9743208603354</v>
      </c>
      <c r="X422" s="16">
        <f>('Gearing Calculator'!$U$9*9.81)*('Gearing Calculator'!$U$16/'Gearing Calculator'!$C$7)-(('Track Data'!W422)*('Gearing Calculator'!$U$17/'Gearing Calculator'!$C$7))</f>
        <v>430.95473403985341</v>
      </c>
      <c r="Y422" s="16">
        <f>('Gearing Calculator'!$U$9*9.81)*(('Gearing Calculator'!$C$7-'Gearing Calculator'!$U$16)/'Gearing Calculator'!$C$7)+(('Track Data'!W422)*('Gearing Calculator'!$U$17/'Gearing Calculator'!$C$7))</f>
        <v>2180.4672659601465</v>
      </c>
      <c r="Z422" s="16">
        <f>((X422*COS('Gearing Calculator'!$C$21))/'Gearing Calculator'!$C$22)/2</f>
        <v>13.323757382813744</v>
      </c>
      <c r="AA422" s="16">
        <f>Y422/'Gearing Calculator'!$C$24</f>
        <v>30.446636420726783</v>
      </c>
      <c r="AB422" s="16">
        <f t="shared" si="44"/>
        <v>121.78873779022175</v>
      </c>
      <c r="AC422" s="16">
        <v>0</v>
      </c>
      <c r="AD422" s="16">
        <v>0</v>
      </c>
      <c r="AE422" s="16">
        <v>419</v>
      </c>
      <c r="AF422" s="16">
        <f>IF(AC422=0,IF(O422=6,INDEX(Acceleration!$V$4:$V$110,MATCH('Track Data'!S422,Acceleration!$K$4:$K$110,0)),IF('Track Data'!O422=5,INDEX(Acceleration!$U$4:$U$110,MATCH('Track Data'!S422,Acceleration!$K$4:$K$110,0)),1)),U422)</f>
        <v>1</v>
      </c>
      <c r="AG422" s="16">
        <f>IF(AC422=0,IF(O422=4,INDEX(Acceleration!$T$4:$T$110,MATCH('Track Data'!S422,Acceleration!$K$4:$K$110,0)),IF('Track Data'!O422=3,INDEX(Acceleration!$S$4:$S$110,MATCH('Track Data'!S422,Acceleration!$K$4:$K$110,0)),'Track Data'!AF422)),'Track Data'!U422)</f>
        <v>1</v>
      </c>
      <c r="AH422" s="16">
        <f>IF(AC422=0,IF(O422=2,INDEX(Acceleration!$R$4:$R$110,MATCH('Track Data'!S422,Acceleration!$K$4:$K$110,0)),IF('Track Data'!O422=1,INDEX(Acceleration!$Q$4:$Q$110,MATCH('Track Data'!S422,Acceleration!$K$4:$K$110,0)),'Track Data'!AG422)),'Track Data'!U422)</f>
        <v>6.2762512606741625</v>
      </c>
    </row>
    <row r="423" spans="2:34" x14ac:dyDescent="0.25">
      <c r="B423" s="16">
        <v>208.751</v>
      </c>
      <c r="C423" s="16">
        <v>7693</v>
      </c>
      <c r="D423" s="16">
        <v>420</v>
      </c>
      <c r="E423" s="113">
        <v>111</v>
      </c>
      <c r="F423" s="113">
        <v>113.6</v>
      </c>
      <c r="G423" s="113">
        <v>110.9</v>
      </c>
      <c r="H423" s="113">
        <f t="shared" si="47"/>
        <v>30.805555555555557</v>
      </c>
      <c r="I423" s="113">
        <v>9.3000000000000007</v>
      </c>
      <c r="J423" s="113">
        <v>56.79</v>
      </c>
      <c r="K423" s="113">
        <v>-33.299999999999997</v>
      </c>
      <c r="L423" s="189"/>
      <c r="M423" s="16">
        <v>420</v>
      </c>
      <c r="N423" s="16">
        <f t="shared" si="49"/>
        <v>3.09397278097975E-2</v>
      </c>
      <c r="O423" s="16">
        <v>2</v>
      </c>
      <c r="P423" s="16">
        <f t="shared" si="45"/>
        <v>12.715447154471546</v>
      </c>
      <c r="Q423" s="16">
        <f t="shared" si="50"/>
        <v>32.320904894429482</v>
      </c>
      <c r="R423" s="113">
        <f t="shared" si="46"/>
        <v>373.41300000000001</v>
      </c>
      <c r="S423" s="16">
        <f>IF(S422=15800,15800,ROUND((((Q423*60)/'Gearing Calculator'!$C$14)*'Track Data'!P423),-2))</f>
        <v>12500</v>
      </c>
      <c r="T423" s="16">
        <f t="shared" si="48"/>
        <v>6.2818890276596582</v>
      </c>
      <c r="U423" s="16">
        <f>IF(AC423=100,Braking!$AG$2354,IF(AC423=50,Braking!$AG$1179,IF(AC423=75,Braking!$AG$1767,0)))</f>
        <v>0</v>
      </c>
      <c r="V423" s="16">
        <f>0.5*'Gearing Calculator'!$C$15*'Gearing Calculator'!$C$20*'Gearing Calculator'!$W$20*('Track Data'!Q423^2)</f>
        <v>110.56479213573292</v>
      </c>
      <c r="W423" s="16">
        <f>('Gearing Calculator'!$U$9*'Track Data'!T423)+'Track Data'!V423</f>
        <v>1782.8036512987337</v>
      </c>
      <c r="X423" s="16">
        <f>('Gearing Calculator'!$U$9*9.81)*('Gearing Calculator'!$U$16/'Gearing Calculator'!$C$7)-(('Track Data'!W423)*('Gearing Calculator'!$U$17/'Gearing Calculator'!$C$7))</f>
        <v>429.41255572538842</v>
      </c>
      <c r="Y423" s="16">
        <f>('Gearing Calculator'!$U$9*9.81)*(('Gearing Calculator'!$C$7-'Gearing Calculator'!$U$16)/'Gearing Calculator'!$C$7)+(('Track Data'!W423)*('Gearing Calculator'!$U$17/'Gearing Calculator'!$C$7))</f>
        <v>2182.0094442746117</v>
      </c>
      <c r="Z423" s="16">
        <f>((X423*COS('Gearing Calculator'!$C$21))/'Gearing Calculator'!$C$22)/2</f>
        <v>13.276078106824936</v>
      </c>
      <c r="AA423" s="16">
        <f>Y423/'Gearing Calculator'!$C$24</f>
        <v>30.468170402534014</v>
      </c>
      <c r="AB423" s="16">
        <f t="shared" si="44"/>
        <v>123.12857019105223</v>
      </c>
      <c r="AC423" s="16">
        <v>0</v>
      </c>
      <c r="AD423" s="16">
        <v>0</v>
      </c>
      <c r="AE423" s="16">
        <v>420</v>
      </c>
      <c r="AF423" s="16">
        <f>IF(AC423=0,IF(O423=6,INDEX(Acceleration!$V$4:$V$110,MATCH('Track Data'!S423,Acceleration!$K$4:$K$110,0)),IF('Track Data'!O423=5,INDEX(Acceleration!$U$4:$U$110,MATCH('Track Data'!S423,Acceleration!$K$4:$K$110,0)),1)),U423)</f>
        <v>1</v>
      </c>
      <c r="AG423" s="16">
        <f>IF(AC423=0,IF(O423=4,INDEX(Acceleration!$T$4:$T$110,MATCH('Track Data'!S423,Acceleration!$K$4:$K$110,0)),IF('Track Data'!O423=3,INDEX(Acceleration!$S$4:$S$110,MATCH('Track Data'!S423,Acceleration!$K$4:$K$110,0)),'Track Data'!AF423)),'Track Data'!U423)</f>
        <v>1</v>
      </c>
      <c r="AH423" s="16">
        <f>IF(AC423=0,IF(O423=2,INDEX(Acceleration!$R$4:$R$110,MATCH('Track Data'!S423,Acceleration!$K$4:$K$110,0)),IF('Track Data'!O423=1,INDEX(Acceleration!$Q$4:$Q$110,MATCH('Track Data'!S423,Acceleration!$K$4:$K$110,0)),'Track Data'!AG423)),'Track Data'!U423)</f>
        <v>6.2818890276596582</v>
      </c>
    </row>
    <row r="424" spans="2:34" ht="15.75" thickBot="1" x14ac:dyDescent="0.3">
      <c r="B424" s="16">
        <v>208.78299999999999</v>
      </c>
      <c r="C424" s="16">
        <v>7694</v>
      </c>
      <c r="D424" s="16">
        <v>421</v>
      </c>
      <c r="E424" s="113">
        <v>111</v>
      </c>
      <c r="F424" s="113">
        <v>113.4</v>
      </c>
      <c r="G424" s="113">
        <v>110.3</v>
      </c>
      <c r="H424" s="113">
        <f t="shared" si="47"/>
        <v>30.638888888888886</v>
      </c>
      <c r="I424" s="113">
        <v>8.6999999999999993</v>
      </c>
      <c r="J424" s="113">
        <v>56.82</v>
      </c>
      <c r="K424" s="113">
        <v>-35.799999999999997</v>
      </c>
      <c r="L424" s="190"/>
      <c r="M424" s="16">
        <v>421</v>
      </c>
      <c r="N424" s="16">
        <f t="shared" si="49"/>
        <v>3.0755335099263689E-2</v>
      </c>
      <c r="O424" s="16">
        <v>2</v>
      </c>
      <c r="P424" s="16">
        <f t="shared" si="45"/>
        <v>12.715447154471546</v>
      </c>
      <c r="Q424" s="16">
        <f t="shared" si="50"/>
        <v>32.51468393280296</v>
      </c>
      <c r="R424" s="113">
        <f t="shared" si="46"/>
        <v>373.41300000000001</v>
      </c>
      <c r="S424" s="16">
        <f>IF(S423=15800,15800,ROUND((((Q424*60)/'Gearing Calculator'!$C$14)*'Track Data'!P424),-2))</f>
        <v>12500</v>
      </c>
      <c r="T424" s="16">
        <f t="shared" si="48"/>
        <v>6.2818890276596582</v>
      </c>
      <c r="U424" s="16">
        <f>IF(AC424=100,Braking!$AG$2354,IF(AC424=50,Braking!$AG$1179,IF(AC424=75,Braking!$AG$1767,0)))</f>
        <v>0</v>
      </c>
      <c r="V424" s="16">
        <f>0.5*'Gearing Calculator'!$C$15*'Gearing Calculator'!$C$20*'Gearing Calculator'!$W$20*('Track Data'!Q424^2)</f>
        <v>111.89454240510791</v>
      </c>
      <c r="W424" s="16">
        <f>('Gearing Calculator'!$U$9*'Track Data'!T424)+'Track Data'!V424</f>
        <v>1784.1334015681086</v>
      </c>
      <c r="X424" s="16">
        <f>('Gearing Calculator'!$U$9*9.81)*('Gearing Calculator'!$U$16/'Gearing Calculator'!$C$7)-(('Track Data'!W424)*('Gearing Calculator'!$U$17/'Gearing Calculator'!$C$7))</f>
        <v>428.68775101496908</v>
      </c>
      <c r="Y424" s="16">
        <f>('Gearing Calculator'!$U$9*9.81)*(('Gearing Calculator'!$C$7-'Gearing Calculator'!$U$16)/'Gearing Calculator'!$C$7)+(('Track Data'!W424)*('Gearing Calculator'!$U$17/'Gearing Calculator'!$C$7))</f>
        <v>2182.7342489850307</v>
      </c>
      <c r="Z424" s="16">
        <f>((X424*COS('Gearing Calculator'!$C$21))/'Gearing Calculator'!$C$22)/2</f>
        <v>13.253669437540765</v>
      </c>
      <c r="AA424" s="16">
        <f>Y424/'Gearing Calculator'!$C$24</f>
        <v>30.47829110731994</v>
      </c>
      <c r="AB424" s="16">
        <f t="shared" si="44"/>
        <v>124.45832046042723</v>
      </c>
      <c r="AC424" s="16">
        <v>0</v>
      </c>
      <c r="AD424" s="16">
        <v>0</v>
      </c>
      <c r="AE424" s="16">
        <v>421</v>
      </c>
      <c r="AF424" s="16">
        <f>IF(AC424=0,IF(O424=6,INDEX(Acceleration!$V$4:$V$110,MATCH('Track Data'!S424,Acceleration!$K$4:$K$110,0)),IF('Track Data'!O424=5,INDEX(Acceleration!$U$4:$U$110,MATCH('Track Data'!S424,Acceleration!$K$4:$K$110,0)),1)),U424)</f>
        <v>1</v>
      </c>
      <c r="AG424" s="16">
        <f>IF(AC424=0,IF(O424=4,INDEX(Acceleration!$T$4:$T$110,MATCH('Track Data'!S424,Acceleration!$K$4:$K$110,0)),IF('Track Data'!O424=3,INDEX(Acceleration!$S$4:$S$110,MATCH('Track Data'!S424,Acceleration!$K$4:$K$110,0)),'Track Data'!AF424)),'Track Data'!U424)</f>
        <v>1</v>
      </c>
      <c r="AH424" s="16">
        <f>IF(AC424=0,IF(O424=2,INDEX(Acceleration!$R$4:$R$110,MATCH('Track Data'!S424,Acceleration!$K$4:$K$110,0)),IF('Track Data'!O424=1,INDEX(Acceleration!$Q$4:$Q$110,MATCH('Track Data'!S424,Acceleration!$K$4:$K$110,0)),'Track Data'!AG424)),'Track Data'!U424)</f>
        <v>6.2818890276596582</v>
      </c>
    </row>
    <row r="425" spans="2:34" x14ac:dyDescent="0.25">
      <c r="B425" s="16">
        <v>208.81399999999999</v>
      </c>
      <c r="C425" s="16">
        <v>7695</v>
      </c>
      <c r="D425" s="16">
        <v>422</v>
      </c>
      <c r="E425" s="113">
        <v>111</v>
      </c>
      <c r="F425" s="113">
        <v>113.2</v>
      </c>
      <c r="G425" s="113">
        <v>109.7</v>
      </c>
      <c r="H425" s="113">
        <f t="shared" si="47"/>
        <v>30.472222222222221</v>
      </c>
      <c r="I425" s="113">
        <v>8.1999999999999993</v>
      </c>
      <c r="J425" s="113">
        <v>56.82</v>
      </c>
      <c r="K425" s="113">
        <v>-37.9</v>
      </c>
      <c r="L425" s="182" t="s">
        <v>186</v>
      </c>
      <c r="M425" s="16">
        <v>422</v>
      </c>
      <c r="N425" s="16">
        <f t="shared" si="49"/>
        <v>3.0574200371758519E-2</v>
      </c>
      <c r="O425" s="16">
        <v>2</v>
      </c>
      <c r="P425" s="16">
        <f t="shared" si="45"/>
        <v>12.715447154471546</v>
      </c>
      <c r="Q425" s="134">
        <f t="shared" si="50"/>
        <v>32.707314920448518</v>
      </c>
      <c r="R425" s="113">
        <f t="shared" si="46"/>
        <v>373.41300000000001</v>
      </c>
      <c r="S425" s="16">
        <f>IF(S424=15800,15800,ROUND((((Q425*60)/'Gearing Calculator'!$C$14)*'Track Data'!P425),-2))</f>
        <v>12600</v>
      </c>
      <c r="T425" s="16">
        <f t="shared" si="48"/>
        <v>6.2873467937451366</v>
      </c>
      <c r="U425" s="16">
        <f>IF(AC425=100,Braking!$AG$2354,IF(AC425=50,Braking!$AG$1179,IF(AC425=75,Braking!$AG$1767,0)))</f>
        <v>0</v>
      </c>
      <c r="V425" s="16">
        <f>0.5*'Gearing Calculator'!$C$15*'Gearing Calculator'!$C$20*'Gearing Calculator'!$W$20*('Track Data'!Q425^2)</f>
        <v>113.22429267448291</v>
      </c>
      <c r="W425" s="16">
        <f>('Gearing Calculator'!$U$9*'Track Data'!T425)+'Track Data'!V425</f>
        <v>1786.9160091694382</v>
      </c>
      <c r="X425" s="16">
        <f>('Gearing Calculator'!$U$9*9.81)*('Gearing Calculator'!$U$16/'Gearing Calculator'!$C$7)-(('Track Data'!W425)*('Gearing Calculator'!$U$17/'Gearing Calculator'!$C$7))</f>
        <v>427.17103983758352</v>
      </c>
      <c r="Y425" s="16">
        <f>('Gearing Calculator'!$U$9*9.81)*(('Gearing Calculator'!$C$7-'Gearing Calculator'!$U$16)/'Gearing Calculator'!$C$7)+(('Track Data'!W425)*('Gearing Calculator'!$U$17/'Gearing Calculator'!$C$7))</f>
        <v>2184.2509601624165</v>
      </c>
      <c r="Z425" s="16">
        <f>((X425*COS('Gearing Calculator'!$C$21))/'Gearing Calculator'!$C$22)/2</f>
        <v>13.206777524884764</v>
      </c>
      <c r="AA425" s="16">
        <f>Y425/'Gearing Calculator'!$C$24</f>
        <v>30.49946948247559</v>
      </c>
      <c r="AB425" s="16">
        <f t="shared" si="44"/>
        <v>125.79898626197318</v>
      </c>
      <c r="AC425" s="16">
        <v>0</v>
      </c>
      <c r="AD425" s="16">
        <v>-50.419976243670298</v>
      </c>
      <c r="AE425" s="16">
        <v>422</v>
      </c>
      <c r="AF425" s="16">
        <f>IF(AC425=0,IF(O425=6,INDEX(Acceleration!$V$4:$V$110,MATCH('Track Data'!S425,Acceleration!$K$4:$K$110,0)),IF('Track Data'!O425=5,INDEX(Acceleration!$U$4:$U$110,MATCH('Track Data'!S425,Acceleration!$K$4:$K$110,0)),1)),U425)</f>
        <v>1</v>
      </c>
      <c r="AG425" s="16">
        <f>IF(AC425=0,IF(O425=4,INDEX(Acceleration!$T$4:$T$110,MATCH('Track Data'!S425,Acceleration!$K$4:$K$110,0)),IF('Track Data'!O425=3,INDEX(Acceleration!$S$4:$S$110,MATCH('Track Data'!S425,Acceleration!$K$4:$K$110,0)),'Track Data'!AF425)),'Track Data'!U425)</f>
        <v>1</v>
      </c>
      <c r="AH425" s="16">
        <f>IF(AC425=0,IF(O425=2,INDEX(Acceleration!$R$4:$R$110,MATCH('Track Data'!S425,Acceleration!$K$4:$K$110,0)),IF('Track Data'!O425=1,INDEX(Acceleration!$Q$4:$Q$110,MATCH('Track Data'!S425,Acceleration!$K$4:$K$110,0)),'Track Data'!AG425)),'Track Data'!U425)</f>
        <v>6.2873467937451366</v>
      </c>
    </row>
    <row r="426" spans="2:34" x14ac:dyDescent="0.25">
      <c r="B426" s="16">
        <v>208.846</v>
      </c>
      <c r="C426" s="16">
        <v>7696</v>
      </c>
      <c r="D426" s="16">
        <v>423</v>
      </c>
      <c r="E426" s="113">
        <v>111</v>
      </c>
      <c r="F426" s="113">
        <v>113</v>
      </c>
      <c r="G426" s="113">
        <v>109.1</v>
      </c>
      <c r="H426" s="113">
        <f t="shared" si="47"/>
        <v>30.305555555555554</v>
      </c>
      <c r="I426" s="113">
        <v>8.1999999999999993</v>
      </c>
      <c r="J426" s="113">
        <v>57.17</v>
      </c>
      <c r="K426" s="113">
        <v>-39.9</v>
      </c>
      <c r="L426" s="183"/>
      <c r="M426" s="16">
        <v>423</v>
      </c>
      <c r="N426" s="16">
        <f t="shared" si="49"/>
        <v>3.0574200371758519E-2</v>
      </c>
      <c r="O426" s="16">
        <v>2</v>
      </c>
      <c r="P426" s="16">
        <f t="shared" si="45"/>
        <v>12.715447154471546</v>
      </c>
      <c r="Q426" s="16">
        <f t="shared" si="50"/>
        <v>32.707314920448518</v>
      </c>
      <c r="R426" s="113">
        <f t="shared" si="46"/>
        <v>373.41300000000001</v>
      </c>
      <c r="S426" s="16">
        <f>IF(S425=15800,15800,ROUND((((Q426*60)/'Gearing Calculator'!$C$14)*'Track Data'!P426),-2))</f>
        <v>12600</v>
      </c>
      <c r="T426" s="16">
        <f t="shared" si="48"/>
        <v>6.2873467937451366</v>
      </c>
      <c r="U426" s="16">
        <f>IF(AC426=100,Braking!$AG$2354,IF(AC426=50,Braking!$AG$1179,IF(AC426=75,Braking!$AG$1767,0)))</f>
        <v>0</v>
      </c>
      <c r="V426" s="16">
        <f>0.5*'Gearing Calculator'!$C$15*'Gearing Calculator'!$C$20*'Gearing Calculator'!$W$20*('Track Data'!Q426^2)</f>
        <v>113.22429267448291</v>
      </c>
      <c r="W426" s="16">
        <f>('Gearing Calculator'!$U$9*'Track Data'!T426)+'Track Data'!V426</f>
        <v>1786.9160091694382</v>
      </c>
      <c r="X426" s="16">
        <f>('Gearing Calculator'!$U$9*9.81)*('Gearing Calculator'!$U$16/'Gearing Calculator'!$C$7)-(('Track Data'!W426)*('Gearing Calculator'!$U$17/'Gearing Calculator'!$C$7))</f>
        <v>427.17103983758352</v>
      </c>
      <c r="Y426" s="16">
        <f>('Gearing Calculator'!$U$9*9.81)*(('Gearing Calculator'!$C$7-'Gearing Calculator'!$U$16)/'Gearing Calculator'!$C$7)+(('Track Data'!W426)*('Gearing Calculator'!$U$17/'Gearing Calculator'!$C$7))</f>
        <v>2184.2509601624165</v>
      </c>
      <c r="Z426" s="16">
        <f>((X426*COS('Gearing Calculator'!$C$21))/'Gearing Calculator'!$C$22)/2</f>
        <v>13.206777524884764</v>
      </c>
      <c r="AA426" s="16">
        <f>Y426/'Gearing Calculator'!$C$24</f>
        <v>30.49946948247559</v>
      </c>
      <c r="AB426" s="16">
        <f t="shared" si="44"/>
        <v>125.79898626197318</v>
      </c>
      <c r="AC426" s="16">
        <v>0</v>
      </c>
      <c r="AD426" s="16">
        <v>-50.419976243670298</v>
      </c>
      <c r="AE426" s="16">
        <v>423</v>
      </c>
      <c r="AF426" s="16">
        <f>IF(AC426=0,IF(O426=6,INDEX(Acceleration!$V$4:$V$110,MATCH('Track Data'!S426,Acceleration!$K$4:$K$110,0)),IF('Track Data'!O426=5,INDEX(Acceleration!$U$4:$U$110,MATCH('Track Data'!S426,Acceleration!$K$4:$K$110,0)),1)),U426)</f>
        <v>1</v>
      </c>
      <c r="AG426" s="16">
        <f>IF(AC426=0,IF(O426=4,INDEX(Acceleration!$T$4:$T$110,MATCH('Track Data'!S426,Acceleration!$K$4:$K$110,0)),IF('Track Data'!O426=3,INDEX(Acceleration!$S$4:$S$110,MATCH('Track Data'!S426,Acceleration!$K$4:$K$110,0)),'Track Data'!AF426)),'Track Data'!U426)</f>
        <v>1</v>
      </c>
      <c r="AH426" s="16">
        <f>IF(AC426=0,IF(O426=2,INDEX(Acceleration!$R$4:$R$110,MATCH('Track Data'!S426,Acceleration!$K$4:$K$110,0)),IF('Track Data'!O426=1,INDEX(Acceleration!$Q$4:$Q$110,MATCH('Track Data'!S426,Acceleration!$K$4:$K$110,0)),'Track Data'!AG426)),'Track Data'!U426)</f>
        <v>6.2873467937451366</v>
      </c>
    </row>
    <row r="427" spans="2:34" x14ac:dyDescent="0.25">
      <c r="B427" s="16">
        <v>208.87799999999999</v>
      </c>
      <c r="C427" s="16">
        <v>7697</v>
      </c>
      <c r="D427" s="16">
        <v>424</v>
      </c>
      <c r="E427" s="113">
        <v>110</v>
      </c>
      <c r="F427" s="113">
        <v>112.6</v>
      </c>
      <c r="G427" s="113">
        <v>108.5</v>
      </c>
      <c r="H427" s="113">
        <f t="shared" si="47"/>
        <v>30.138888888888889</v>
      </c>
      <c r="I427" s="113">
        <v>8.1999999999999993</v>
      </c>
      <c r="J427" s="113">
        <v>59.32</v>
      </c>
      <c r="K427" s="113">
        <v>-41.7</v>
      </c>
      <c r="L427" s="183"/>
      <c r="M427" s="16">
        <v>424</v>
      </c>
      <c r="N427" s="16">
        <f t="shared" si="49"/>
        <v>3.0574200371758519E-2</v>
      </c>
      <c r="O427" s="16">
        <v>2</v>
      </c>
      <c r="P427" s="16">
        <f t="shared" si="45"/>
        <v>12.715447154471546</v>
      </c>
      <c r="Q427" s="16">
        <f t="shared" si="50"/>
        <v>32.707314920448518</v>
      </c>
      <c r="R427" s="113">
        <f t="shared" si="46"/>
        <v>373.41300000000001</v>
      </c>
      <c r="S427" s="16">
        <f>IF(S426=15800,15800,ROUND((((Q427*60)/'Gearing Calculator'!$C$14)*'Track Data'!P427),-2))</f>
        <v>12600</v>
      </c>
      <c r="T427" s="16">
        <f t="shared" si="48"/>
        <v>6.2873467937451366</v>
      </c>
      <c r="U427" s="16">
        <f>IF(AC427=100,Braking!$AG$2354,IF(AC427=50,Braking!$AG$1179,IF(AC427=75,Braking!$AG$1767,0)))</f>
        <v>0</v>
      </c>
      <c r="V427" s="16">
        <f>0.5*'Gearing Calculator'!$C$15*'Gearing Calculator'!$C$20*'Gearing Calculator'!$W$20*('Track Data'!Q427^2)</f>
        <v>113.22429267448291</v>
      </c>
      <c r="W427" s="16">
        <f>('Gearing Calculator'!$U$9*'Track Data'!T427)+'Track Data'!V427</f>
        <v>1786.9160091694382</v>
      </c>
      <c r="X427" s="16">
        <f>('Gearing Calculator'!$U$9*9.81)*('Gearing Calculator'!$U$16/'Gearing Calculator'!$C$7)-(('Track Data'!W427)*('Gearing Calculator'!$U$17/'Gearing Calculator'!$C$7))</f>
        <v>427.17103983758352</v>
      </c>
      <c r="Y427" s="16">
        <f>('Gearing Calculator'!$U$9*9.81)*(('Gearing Calculator'!$C$7-'Gearing Calculator'!$U$16)/'Gearing Calculator'!$C$7)+(('Track Data'!W427)*('Gearing Calculator'!$U$17/'Gearing Calculator'!$C$7))</f>
        <v>2184.2509601624165</v>
      </c>
      <c r="Z427" s="16">
        <f>((X427*COS('Gearing Calculator'!$C$21))/'Gearing Calculator'!$C$22)/2</f>
        <v>13.206777524884764</v>
      </c>
      <c r="AA427" s="16">
        <f>Y427/'Gearing Calculator'!$C$24</f>
        <v>30.49946948247559</v>
      </c>
      <c r="AB427" s="16">
        <f t="shared" si="44"/>
        <v>125.79898626197318</v>
      </c>
      <c r="AC427" s="16">
        <v>0</v>
      </c>
      <c r="AD427" s="16">
        <v>-50.419976243670298</v>
      </c>
      <c r="AE427" s="16">
        <v>424</v>
      </c>
      <c r="AF427" s="16">
        <f>IF(AC427=0,IF(O427=6,INDEX(Acceleration!$V$4:$V$110,MATCH('Track Data'!S427,Acceleration!$K$4:$K$110,0)),IF('Track Data'!O427=5,INDEX(Acceleration!$U$4:$U$110,MATCH('Track Data'!S427,Acceleration!$K$4:$K$110,0)),1)),U427)</f>
        <v>1</v>
      </c>
      <c r="AG427" s="16">
        <f>IF(AC427=0,IF(O427=4,INDEX(Acceleration!$T$4:$T$110,MATCH('Track Data'!S427,Acceleration!$K$4:$K$110,0)),IF('Track Data'!O427=3,INDEX(Acceleration!$S$4:$S$110,MATCH('Track Data'!S427,Acceleration!$K$4:$K$110,0)),'Track Data'!AF427)),'Track Data'!U427)</f>
        <v>1</v>
      </c>
      <c r="AH427" s="16">
        <f>IF(AC427=0,IF(O427=2,INDEX(Acceleration!$R$4:$R$110,MATCH('Track Data'!S427,Acceleration!$K$4:$K$110,0)),IF('Track Data'!O427=1,INDEX(Acceleration!$Q$4:$Q$110,MATCH('Track Data'!S427,Acceleration!$K$4:$K$110,0)),'Track Data'!AG427)),'Track Data'!U427)</f>
        <v>6.2873467937451366</v>
      </c>
    </row>
    <row r="428" spans="2:34" x14ac:dyDescent="0.25">
      <c r="B428" s="16">
        <v>208.91</v>
      </c>
      <c r="C428" s="16">
        <v>7698</v>
      </c>
      <c r="D428" s="16">
        <v>425</v>
      </c>
      <c r="E428" s="113">
        <v>111</v>
      </c>
      <c r="F428" s="113">
        <v>112.2</v>
      </c>
      <c r="G428" s="113">
        <v>107.6</v>
      </c>
      <c r="H428" s="113">
        <f t="shared" si="47"/>
        <v>29.888888888888886</v>
      </c>
      <c r="I428" s="113">
        <v>9.1</v>
      </c>
      <c r="J428" s="113">
        <v>64.84</v>
      </c>
      <c r="K428" s="113">
        <v>-42.6</v>
      </c>
      <c r="L428" s="183"/>
      <c r="M428" s="16">
        <v>425</v>
      </c>
      <c r="N428" s="16">
        <f t="shared" si="49"/>
        <v>3.0574200371758519E-2</v>
      </c>
      <c r="O428" s="16">
        <v>2</v>
      </c>
      <c r="P428" s="16">
        <f t="shared" si="45"/>
        <v>12.715447154471546</v>
      </c>
      <c r="Q428" s="16">
        <f t="shared" si="50"/>
        <v>32.707314920448518</v>
      </c>
      <c r="R428" s="113">
        <f t="shared" si="46"/>
        <v>373.41300000000001</v>
      </c>
      <c r="S428" s="16">
        <f>IF(S427=15800,15800,ROUND((((Q428*60)/'Gearing Calculator'!$C$14)*'Track Data'!P428),-2))</f>
        <v>12600</v>
      </c>
      <c r="T428" s="16">
        <f t="shared" si="48"/>
        <v>6.2873467937451366</v>
      </c>
      <c r="U428" s="16">
        <f>IF(AC428=100,Braking!$AG$2354,IF(AC428=50,Braking!$AG$1179,IF(AC428=75,Braking!$AG$1767,0)))</f>
        <v>0</v>
      </c>
      <c r="V428" s="16">
        <f>0.5*'Gearing Calculator'!$C$15*'Gearing Calculator'!$C$20*'Gearing Calculator'!$W$20*('Track Data'!Q428^2)</f>
        <v>113.22429267448291</v>
      </c>
      <c r="W428" s="16">
        <f>('Gearing Calculator'!$U$9*'Track Data'!T428)+'Track Data'!V428</f>
        <v>1786.9160091694382</v>
      </c>
      <c r="X428" s="16">
        <f>('Gearing Calculator'!$U$9*9.81)*('Gearing Calculator'!$U$16/'Gearing Calculator'!$C$7)-(('Track Data'!W428)*('Gearing Calculator'!$U$17/'Gearing Calculator'!$C$7))</f>
        <v>427.17103983758352</v>
      </c>
      <c r="Y428" s="16">
        <f>('Gearing Calculator'!$U$9*9.81)*(('Gearing Calculator'!$C$7-'Gearing Calculator'!$U$16)/'Gearing Calculator'!$C$7)+(('Track Data'!W428)*('Gearing Calculator'!$U$17/'Gearing Calculator'!$C$7))</f>
        <v>2184.2509601624165</v>
      </c>
      <c r="Z428" s="16">
        <f>((X428*COS('Gearing Calculator'!$C$21))/'Gearing Calculator'!$C$22)/2</f>
        <v>13.206777524884764</v>
      </c>
      <c r="AA428" s="16">
        <f>Y428/'Gearing Calculator'!$C$24</f>
        <v>30.49946948247559</v>
      </c>
      <c r="AB428" s="16">
        <f t="shared" si="44"/>
        <v>125.79898626197318</v>
      </c>
      <c r="AC428" s="16">
        <v>0</v>
      </c>
      <c r="AD428" s="16">
        <v>-50.419976243670298</v>
      </c>
      <c r="AE428" s="16">
        <v>425</v>
      </c>
      <c r="AF428" s="16">
        <f>IF(AC428=0,IF(O428=6,INDEX(Acceleration!$V$4:$V$110,MATCH('Track Data'!S428,Acceleration!$K$4:$K$110,0)),IF('Track Data'!O428=5,INDEX(Acceleration!$U$4:$U$110,MATCH('Track Data'!S428,Acceleration!$K$4:$K$110,0)),1)),U428)</f>
        <v>1</v>
      </c>
      <c r="AG428" s="16">
        <f>IF(AC428=0,IF(O428=4,INDEX(Acceleration!$T$4:$T$110,MATCH('Track Data'!S428,Acceleration!$K$4:$K$110,0)),IF('Track Data'!O428=3,INDEX(Acceleration!$S$4:$S$110,MATCH('Track Data'!S428,Acceleration!$K$4:$K$110,0)),'Track Data'!AF428)),'Track Data'!U428)</f>
        <v>1</v>
      </c>
      <c r="AH428" s="16">
        <f>IF(AC428=0,IF(O428=2,INDEX(Acceleration!$R$4:$R$110,MATCH('Track Data'!S428,Acceleration!$K$4:$K$110,0)),IF('Track Data'!O428=1,INDEX(Acceleration!$Q$4:$Q$110,MATCH('Track Data'!S428,Acceleration!$K$4:$K$110,0)),'Track Data'!AG428)),'Track Data'!U428)</f>
        <v>6.2873467937451366</v>
      </c>
    </row>
    <row r="429" spans="2:34" x14ac:dyDescent="0.25">
      <c r="B429" s="16">
        <v>208.94200000000001</v>
      </c>
      <c r="C429" s="16">
        <v>7699</v>
      </c>
      <c r="D429" s="16">
        <v>426</v>
      </c>
      <c r="E429" s="113">
        <v>110</v>
      </c>
      <c r="F429" s="113">
        <v>112.1</v>
      </c>
      <c r="G429" s="113">
        <v>107</v>
      </c>
      <c r="H429" s="113">
        <f t="shared" si="47"/>
        <v>29.722222222222221</v>
      </c>
      <c r="I429" s="113">
        <v>10.4</v>
      </c>
      <c r="J429" s="113">
        <v>70.02</v>
      </c>
      <c r="K429" s="113">
        <v>-43.1</v>
      </c>
      <c r="L429" s="183"/>
      <c r="M429" s="16">
        <v>426</v>
      </c>
      <c r="N429" s="16">
        <f t="shared" si="49"/>
        <v>3.0574200371758519E-2</v>
      </c>
      <c r="O429" s="16">
        <v>2</v>
      </c>
      <c r="P429" s="16">
        <f t="shared" si="45"/>
        <v>12.715447154471546</v>
      </c>
      <c r="Q429" s="16">
        <f t="shared" si="50"/>
        <v>32.707314920448518</v>
      </c>
      <c r="R429" s="113">
        <f t="shared" si="46"/>
        <v>373.41300000000001</v>
      </c>
      <c r="S429" s="16">
        <f>IF(S428=15800,15800,ROUND((((Q429*60)/'Gearing Calculator'!$C$14)*'Track Data'!P429),-2))</f>
        <v>12600</v>
      </c>
      <c r="T429" s="16">
        <f t="shared" si="48"/>
        <v>6.2873467937451366</v>
      </c>
      <c r="U429" s="16">
        <f>IF(AC429=100,Braking!$AG$2354,IF(AC429=50,Braking!$AG$1179,IF(AC429=75,Braking!$AG$1767,0)))</f>
        <v>0</v>
      </c>
      <c r="V429" s="16">
        <f>0.5*'Gearing Calculator'!$C$15*'Gearing Calculator'!$C$20*'Gearing Calculator'!$W$20*('Track Data'!Q429^2)</f>
        <v>113.22429267448291</v>
      </c>
      <c r="W429" s="16">
        <f>('Gearing Calculator'!$U$9*'Track Data'!T429)+'Track Data'!V429</f>
        <v>1786.9160091694382</v>
      </c>
      <c r="X429" s="16">
        <f>('Gearing Calculator'!$U$9*9.81)*('Gearing Calculator'!$U$16/'Gearing Calculator'!$C$7)-(('Track Data'!W429)*('Gearing Calculator'!$U$17/'Gearing Calculator'!$C$7))</f>
        <v>427.17103983758352</v>
      </c>
      <c r="Y429" s="16">
        <f>('Gearing Calculator'!$U$9*9.81)*(('Gearing Calculator'!$C$7-'Gearing Calculator'!$U$16)/'Gearing Calculator'!$C$7)+(('Track Data'!W429)*('Gearing Calculator'!$U$17/'Gearing Calculator'!$C$7))</f>
        <v>2184.2509601624165</v>
      </c>
      <c r="Z429" s="16">
        <f>((X429*COS('Gearing Calculator'!$C$21))/'Gearing Calculator'!$C$22)/2</f>
        <v>13.206777524884764</v>
      </c>
      <c r="AA429" s="16">
        <f>Y429/'Gearing Calculator'!$C$24</f>
        <v>30.49946948247559</v>
      </c>
      <c r="AB429" s="16">
        <f t="shared" si="44"/>
        <v>125.79898626197318</v>
      </c>
      <c r="AC429" s="16">
        <v>0</v>
      </c>
      <c r="AD429" s="16">
        <v>-50.419976243670298</v>
      </c>
      <c r="AE429" s="16">
        <v>426</v>
      </c>
      <c r="AF429" s="16">
        <f>IF(AC429=0,IF(O429=6,INDEX(Acceleration!$V$4:$V$110,MATCH('Track Data'!S429,Acceleration!$K$4:$K$110,0)),IF('Track Data'!O429=5,INDEX(Acceleration!$U$4:$U$110,MATCH('Track Data'!S429,Acceleration!$K$4:$K$110,0)),1)),U429)</f>
        <v>1</v>
      </c>
      <c r="AG429" s="16">
        <f>IF(AC429=0,IF(O429=4,INDEX(Acceleration!$T$4:$T$110,MATCH('Track Data'!S429,Acceleration!$K$4:$K$110,0)),IF('Track Data'!O429=3,INDEX(Acceleration!$S$4:$S$110,MATCH('Track Data'!S429,Acceleration!$K$4:$K$110,0)),'Track Data'!AF429)),'Track Data'!U429)</f>
        <v>1</v>
      </c>
      <c r="AH429" s="16">
        <f>IF(AC429=0,IF(O429=2,INDEX(Acceleration!$R$4:$R$110,MATCH('Track Data'!S429,Acceleration!$K$4:$K$110,0)),IF('Track Data'!O429=1,INDEX(Acceleration!$Q$4:$Q$110,MATCH('Track Data'!S429,Acceleration!$K$4:$K$110,0)),'Track Data'!AG429)),'Track Data'!U429)</f>
        <v>6.2873467937451366</v>
      </c>
    </row>
    <row r="430" spans="2:34" x14ac:dyDescent="0.25">
      <c r="B430" s="16">
        <v>208.97399999999999</v>
      </c>
      <c r="C430" s="16">
        <v>7700</v>
      </c>
      <c r="D430" s="16">
        <v>427</v>
      </c>
      <c r="E430" s="113">
        <v>110</v>
      </c>
      <c r="F430" s="113">
        <v>112</v>
      </c>
      <c r="G430" s="113">
        <v>106.5</v>
      </c>
      <c r="H430" s="113">
        <f t="shared" si="47"/>
        <v>29.583333333333332</v>
      </c>
      <c r="I430" s="113">
        <v>11.7</v>
      </c>
      <c r="J430" s="113">
        <v>73.540000000000006</v>
      </c>
      <c r="K430" s="113">
        <v>-43.3</v>
      </c>
      <c r="L430" s="183"/>
      <c r="M430" s="16">
        <v>427</v>
      </c>
      <c r="N430" s="16">
        <f t="shared" si="49"/>
        <v>3.0574200371758519E-2</v>
      </c>
      <c r="O430" s="16">
        <v>2</v>
      </c>
      <c r="P430" s="16">
        <f t="shared" si="45"/>
        <v>12.715447154471546</v>
      </c>
      <c r="Q430" s="16">
        <f t="shared" si="50"/>
        <v>32.707314920448518</v>
      </c>
      <c r="R430" s="113">
        <f t="shared" si="46"/>
        <v>373.41300000000001</v>
      </c>
      <c r="S430" s="16">
        <f>IF(S429=15800,15800,ROUND((((Q430*60)/'Gearing Calculator'!$C$14)*'Track Data'!P430),-2))</f>
        <v>12600</v>
      </c>
      <c r="T430" s="16">
        <f t="shared" si="48"/>
        <v>6.2873467937451366</v>
      </c>
      <c r="U430" s="16">
        <f>IF(AC430=100,Braking!$AG$2354,IF(AC430=50,Braking!$AG$1179,IF(AC430=75,Braking!$AG$1767,0)))</f>
        <v>0</v>
      </c>
      <c r="V430" s="16">
        <f>0.5*'Gearing Calculator'!$C$15*'Gearing Calculator'!$C$20*'Gearing Calculator'!$W$20*('Track Data'!Q430^2)</f>
        <v>113.22429267448291</v>
      </c>
      <c r="W430" s="16">
        <f>('Gearing Calculator'!$U$9*'Track Data'!T430)+'Track Data'!V430</f>
        <v>1786.9160091694382</v>
      </c>
      <c r="X430" s="16">
        <f>('Gearing Calculator'!$U$9*9.81)*('Gearing Calculator'!$U$16/'Gearing Calculator'!$C$7)-(('Track Data'!W430)*('Gearing Calculator'!$U$17/'Gearing Calculator'!$C$7))</f>
        <v>427.17103983758352</v>
      </c>
      <c r="Y430" s="16">
        <f>('Gearing Calculator'!$U$9*9.81)*(('Gearing Calculator'!$C$7-'Gearing Calculator'!$U$16)/'Gearing Calculator'!$C$7)+(('Track Data'!W430)*('Gearing Calculator'!$U$17/'Gearing Calculator'!$C$7))</f>
        <v>2184.2509601624165</v>
      </c>
      <c r="Z430" s="16">
        <f>((X430*COS('Gearing Calculator'!$C$21))/'Gearing Calculator'!$C$22)/2</f>
        <v>13.206777524884764</v>
      </c>
      <c r="AA430" s="16">
        <f>Y430/'Gearing Calculator'!$C$24</f>
        <v>30.49946948247559</v>
      </c>
      <c r="AB430" s="16">
        <f t="shared" si="44"/>
        <v>125.79898626197318</v>
      </c>
      <c r="AC430" s="16">
        <v>0</v>
      </c>
      <c r="AD430" s="16">
        <v>-50.419976243670298</v>
      </c>
      <c r="AE430" s="16">
        <v>427</v>
      </c>
      <c r="AF430" s="16">
        <f>IF(AC430=0,IF(O430=6,INDEX(Acceleration!$V$4:$V$110,MATCH('Track Data'!S430,Acceleration!$K$4:$K$110,0)),IF('Track Data'!O430=5,INDEX(Acceleration!$U$4:$U$110,MATCH('Track Data'!S430,Acceleration!$K$4:$K$110,0)),1)),U430)</f>
        <v>1</v>
      </c>
      <c r="AG430" s="16">
        <f>IF(AC430=0,IF(O430=4,INDEX(Acceleration!$T$4:$T$110,MATCH('Track Data'!S430,Acceleration!$K$4:$K$110,0)),IF('Track Data'!O430=3,INDEX(Acceleration!$S$4:$S$110,MATCH('Track Data'!S430,Acceleration!$K$4:$K$110,0)),'Track Data'!AF430)),'Track Data'!U430)</f>
        <v>1</v>
      </c>
      <c r="AH430" s="16">
        <f>IF(AC430=0,IF(O430=2,INDEX(Acceleration!$R$4:$R$110,MATCH('Track Data'!S430,Acceleration!$K$4:$K$110,0)),IF('Track Data'!O430=1,INDEX(Acceleration!$Q$4:$Q$110,MATCH('Track Data'!S430,Acceleration!$K$4:$K$110,0)),'Track Data'!AG430)),'Track Data'!U430)</f>
        <v>6.2873467937451366</v>
      </c>
    </row>
    <row r="431" spans="2:34" x14ac:dyDescent="0.25">
      <c r="B431" s="16">
        <v>209.006</v>
      </c>
      <c r="C431" s="16">
        <v>7701</v>
      </c>
      <c r="D431" s="16">
        <v>428</v>
      </c>
      <c r="E431" s="113">
        <v>110</v>
      </c>
      <c r="F431" s="113">
        <v>111.8</v>
      </c>
      <c r="G431" s="113">
        <v>106</v>
      </c>
      <c r="H431" s="113">
        <f t="shared" si="47"/>
        <v>29.444444444444443</v>
      </c>
      <c r="I431" s="113">
        <v>13.9</v>
      </c>
      <c r="J431" s="113">
        <v>78.13</v>
      </c>
      <c r="K431" s="113">
        <v>-43.3</v>
      </c>
      <c r="L431" s="183"/>
      <c r="M431" s="16">
        <v>428</v>
      </c>
      <c r="N431" s="16">
        <f t="shared" si="49"/>
        <v>3.0574200371758519E-2</v>
      </c>
      <c r="O431" s="16">
        <v>2</v>
      </c>
      <c r="P431" s="16">
        <f t="shared" si="45"/>
        <v>12.715447154471546</v>
      </c>
      <c r="Q431" s="16">
        <f t="shared" si="50"/>
        <v>32.707314920448518</v>
      </c>
      <c r="R431" s="113">
        <f t="shared" si="46"/>
        <v>373.41300000000001</v>
      </c>
      <c r="S431" s="16">
        <f>IF(S430=15800,15800,ROUND((((Q431*60)/'Gearing Calculator'!$C$14)*'Track Data'!P431),-2))</f>
        <v>12600</v>
      </c>
      <c r="T431" s="16">
        <f t="shared" si="48"/>
        <v>6.2873467937451366</v>
      </c>
      <c r="U431" s="16">
        <f>IF(AC431=100,Braking!$AG$2354,IF(AC431=50,Braking!$AG$1179,IF(AC431=75,Braking!$AG$1767,0)))</f>
        <v>0</v>
      </c>
      <c r="V431" s="16">
        <f>0.5*'Gearing Calculator'!$C$15*'Gearing Calculator'!$C$20*'Gearing Calculator'!$W$20*('Track Data'!Q431^2)</f>
        <v>113.22429267448291</v>
      </c>
      <c r="W431" s="16">
        <f>('Gearing Calculator'!$U$9*'Track Data'!T431)+'Track Data'!V431</f>
        <v>1786.9160091694382</v>
      </c>
      <c r="X431" s="16">
        <f>('Gearing Calculator'!$U$9*9.81)*('Gearing Calculator'!$U$16/'Gearing Calculator'!$C$7)-(('Track Data'!W431)*('Gearing Calculator'!$U$17/'Gearing Calculator'!$C$7))</f>
        <v>427.17103983758352</v>
      </c>
      <c r="Y431" s="16">
        <f>('Gearing Calculator'!$U$9*9.81)*(('Gearing Calculator'!$C$7-'Gearing Calculator'!$U$16)/'Gearing Calculator'!$C$7)+(('Track Data'!W431)*('Gearing Calculator'!$U$17/'Gearing Calculator'!$C$7))</f>
        <v>2184.2509601624165</v>
      </c>
      <c r="Z431" s="16">
        <f>((X431*COS('Gearing Calculator'!$C$21))/'Gearing Calculator'!$C$22)/2</f>
        <v>13.206777524884764</v>
      </c>
      <c r="AA431" s="16">
        <f>Y431/'Gearing Calculator'!$C$24</f>
        <v>30.49946948247559</v>
      </c>
      <c r="AB431" s="16">
        <f t="shared" si="44"/>
        <v>125.79898626197318</v>
      </c>
      <c r="AC431" s="16">
        <v>0</v>
      </c>
      <c r="AD431" s="16">
        <v>-50.419976243670298</v>
      </c>
      <c r="AE431" s="16">
        <v>428</v>
      </c>
      <c r="AF431" s="16">
        <f>IF(AC431=0,IF(O431=6,INDEX(Acceleration!$V$4:$V$110,MATCH('Track Data'!S431,Acceleration!$K$4:$K$110,0)),IF('Track Data'!O431=5,INDEX(Acceleration!$U$4:$U$110,MATCH('Track Data'!S431,Acceleration!$K$4:$K$110,0)),1)),U431)</f>
        <v>1</v>
      </c>
      <c r="AG431" s="16">
        <f>IF(AC431=0,IF(O431=4,INDEX(Acceleration!$T$4:$T$110,MATCH('Track Data'!S431,Acceleration!$K$4:$K$110,0)),IF('Track Data'!O431=3,INDEX(Acceleration!$S$4:$S$110,MATCH('Track Data'!S431,Acceleration!$K$4:$K$110,0)),'Track Data'!AF431)),'Track Data'!U431)</f>
        <v>1</v>
      </c>
      <c r="AH431" s="16">
        <f>IF(AC431=0,IF(O431=2,INDEX(Acceleration!$R$4:$R$110,MATCH('Track Data'!S431,Acceleration!$K$4:$K$110,0)),IF('Track Data'!O431=1,INDEX(Acceleration!$Q$4:$Q$110,MATCH('Track Data'!S431,Acceleration!$K$4:$K$110,0)),'Track Data'!AG431)),'Track Data'!U431)</f>
        <v>6.2873467937451366</v>
      </c>
    </row>
    <row r="432" spans="2:34" x14ac:dyDescent="0.25">
      <c r="B432" s="16">
        <v>209.03800000000001</v>
      </c>
      <c r="C432" s="16">
        <v>7702</v>
      </c>
      <c r="D432" s="16">
        <v>429</v>
      </c>
      <c r="E432" s="113">
        <v>110</v>
      </c>
      <c r="F432" s="113">
        <v>111.4</v>
      </c>
      <c r="G432" s="113">
        <v>105.5</v>
      </c>
      <c r="H432" s="113">
        <f t="shared" si="47"/>
        <v>29.305555555555554</v>
      </c>
      <c r="I432" s="113">
        <v>15.6</v>
      </c>
      <c r="J432" s="113">
        <v>77.95</v>
      </c>
      <c r="K432" s="113">
        <v>-43.3</v>
      </c>
      <c r="L432" s="183"/>
      <c r="M432" s="16">
        <v>429</v>
      </c>
      <c r="N432" s="16">
        <f t="shared" si="49"/>
        <v>3.0574200371758519E-2</v>
      </c>
      <c r="O432" s="16">
        <v>2</v>
      </c>
      <c r="P432" s="16">
        <f t="shared" si="45"/>
        <v>12.715447154471546</v>
      </c>
      <c r="Q432" s="16">
        <f t="shared" si="50"/>
        <v>32.707314920448518</v>
      </c>
      <c r="R432" s="113">
        <f t="shared" si="46"/>
        <v>373.41300000000001</v>
      </c>
      <c r="S432" s="16">
        <f>IF(S431=15800,15800,ROUND((((Q432*60)/'Gearing Calculator'!$C$14)*'Track Data'!P432),-2))</f>
        <v>12600</v>
      </c>
      <c r="T432" s="16">
        <f t="shared" si="48"/>
        <v>6.2873467937451366</v>
      </c>
      <c r="U432" s="16">
        <f>IF(AC432=100,Braking!$AG$2354,IF(AC432=50,Braking!$AG$1179,IF(AC432=75,Braking!$AG$1767,0)))</f>
        <v>0</v>
      </c>
      <c r="V432" s="16">
        <f>0.5*'Gearing Calculator'!$C$15*'Gearing Calculator'!$C$20*'Gearing Calculator'!$W$20*('Track Data'!Q432^2)</f>
        <v>113.22429267448291</v>
      </c>
      <c r="W432" s="16">
        <f>('Gearing Calculator'!$U$9*'Track Data'!T432)+'Track Data'!V432</f>
        <v>1786.9160091694382</v>
      </c>
      <c r="X432" s="16">
        <f>('Gearing Calculator'!$U$9*9.81)*('Gearing Calculator'!$U$16/'Gearing Calculator'!$C$7)-(('Track Data'!W432)*('Gearing Calculator'!$U$17/'Gearing Calculator'!$C$7))</f>
        <v>427.17103983758352</v>
      </c>
      <c r="Y432" s="16">
        <f>('Gearing Calculator'!$U$9*9.81)*(('Gearing Calculator'!$C$7-'Gearing Calculator'!$U$16)/'Gearing Calculator'!$C$7)+(('Track Data'!W432)*('Gearing Calculator'!$U$17/'Gearing Calculator'!$C$7))</f>
        <v>2184.2509601624165</v>
      </c>
      <c r="Z432" s="16">
        <f>((X432*COS('Gearing Calculator'!$C$21))/'Gearing Calculator'!$C$22)/2</f>
        <v>13.206777524884764</v>
      </c>
      <c r="AA432" s="16">
        <f>Y432/'Gearing Calculator'!$C$24</f>
        <v>30.49946948247559</v>
      </c>
      <c r="AB432" s="16">
        <f t="shared" si="44"/>
        <v>125.79898626197318</v>
      </c>
      <c r="AC432" s="16">
        <v>0</v>
      </c>
      <c r="AD432" s="16">
        <v>-50.419976243670298</v>
      </c>
      <c r="AE432" s="16">
        <v>429</v>
      </c>
      <c r="AF432" s="16">
        <f>IF(AC432=0,IF(O432=6,INDEX(Acceleration!$V$4:$V$110,MATCH('Track Data'!S432,Acceleration!$K$4:$K$110,0)),IF('Track Data'!O432=5,INDEX(Acceleration!$U$4:$U$110,MATCH('Track Data'!S432,Acceleration!$K$4:$K$110,0)),1)),U432)</f>
        <v>1</v>
      </c>
      <c r="AG432" s="16">
        <f>IF(AC432=0,IF(O432=4,INDEX(Acceleration!$T$4:$T$110,MATCH('Track Data'!S432,Acceleration!$K$4:$K$110,0)),IF('Track Data'!O432=3,INDEX(Acceleration!$S$4:$S$110,MATCH('Track Data'!S432,Acceleration!$K$4:$K$110,0)),'Track Data'!AF432)),'Track Data'!U432)</f>
        <v>1</v>
      </c>
      <c r="AH432" s="16">
        <f>IF(AC432=0,IF(O432=2,INDEX(Acceleration!$R$4:$R$110,MATCH('Track Data'!S432,Acceleration!$K$4:$K$110,0)),IF('Track Data'!O432=1,INDEX(Acceleration!$Q$4:$Q$110,MATCH('Track Data'!S432,Acceleration!$K$4:$K$110,0)),'Track Data'!AG432)),'Track Data'!U432)</f>
        <v>6.2873467937451366</v>
      </c>
    </row>
    <row r="433" spans="2:34" x14ac:dyDescent="0.25">
      <c r="B433" s="16">
        <v>209.07</v>
      </c>
      <c r="C433" s="16">
        <v>7703</v>
      </c>
      <c r="D433" s="16">
        <v>430</v>
      </c>
      <c r="E433" s="113">
        <v>110</v>
      </c>
      <c r="F433" s="113">
        <v>110.9</v>
      </c>
      <c r="G433" s="113">
        <v>104.8</v>
      </c>
      <c r="H433" s="113">
        <f t="shared" si="47"/>
        <v>29.111111111111111</v>
      </c>
      <c r="I433" s="113">
        <v>17.8</v>
      </c>
      <c r="J433" s="113">
        <v>79.53</v>
      </c>
      <c r="K433" s="113">
        <v>-42.3</v>
      </c>
      <c r="L433" s="183"/>
      <c r="M433" s="16">
        <v>430</v>
      </c>
      <c r="N433" s="16">
        <f t="shared" si="49"/>
        <v>3.0574200371758519E-2</v>
      </c>
      <c r="O433" s="16">
        <v>2</v>
      </c>
      <c r="P433" s="16">
        <f t="shared" si="45"/>
        <v>12.715447154471546</v>
      </c>
      <c r="Q433" s="16">
        <f t="shared" si="50"/>
        <v>32.707314920448518</v>
      </c>
      <c r="R433" s="113">
        <f t="shared" si="46"/>
        <v>373.41300000000001</v>
      </c>
      <c r="S433" s="16">
        <f>IF(S432=15800,15800,ROUND((((Q433*60)/'Gearing Calculator'!$C$14)*'Track Data'!P433),-2))</f>
        <v>12600</v>
      </c>
      <c r="T433" s="16">
        <f t="shared" si="48"/>
        <v>6.2873467937451366</v>
      </c>
      <c r="U433" s="16">
        <f>IF(AC433=100,Braking!$AG$2354,IF(AC433=50,Braking!$AG$1179,IF(AC433=75,Braking!$AG$1767,0)))</f>
        <v>0</v>
      </c>
      <c r="V433" s="16">
        <f>0.5*'Gearing Calculator'!$C$15*'Gearing Calculator'!$C$20*'Gearing Calculator'!$W$20*('Track Data'!Q433^2)</f>
        <v>113.22429267448291</v>
      </c>
      <c r="W433" s="16">
        <f>('Gearing Calculator'!$U$9*'Track Data'!T433)+'Track Data'!V433</f>
        <v>1786.9160091694382</v>
      </c>
      <c r="X433" s="16">
        <f>('Gearing Calculator'!$U$9*9.81)*('Gearing Calculator'!$U$16/'Gearing Calculator'!$C$7)-(('Track Data'!W433)*('Gearing Calculator'!$U$17/'Gearing Calculator'!$C$7))</f>
        <v>427.17103983758352</v>
      </c>
      <c r="Y433" s="16">
        <f>('Gearing Calculator'!$U$9*9.81)*(('Gearing Calculator'!$C$7-'Gearing Calculator'!$U$16)/'Gearing Calculator'!$C$7)+(('Track Data'!W433)*('Gearing Calculator'!$U$17/'Gearing Calculator'!$C$7))</f>
        <v>2184.2509601624165</v>
      </c>
      <c r="Z433" s="16">
        <f>((X433*COS('Gearing Calculator'!$C$21))/'Gearing Calculator'!$C$22)/2</f>
        <v>13.206777524884764</v>
      </c>
      <c r="AA433" s="16">
        <f>Y433/'Gearing Calculator'!$C$24</f>
        <v>30.49946948247559</v>
      </c>
      <c r="AB433" s="16">
        <f t="shared" si="44"/>
        <v>125.79898626197318</v>
      </c>
      <c r="AC433" s="16">
        <v>0</v>
      </c>
      <c r="AD433" s="16">
        <v>-50.419976243670298</v>
      </c>
      <c r="AE433" s="16">
        <v>430</v>
      </c>
      <c r="AF433" s="16">
        <f>IF(AC433=0,IF(O433=6,INDEX(Acceleration!$V$4:$V$110,MATCH('Track Data'!S433,Acceleration!$K$4:$K$110,0)),IF('Track Data'!O433=5,INDEX(Acceleration!$U$4:$U$110,MATCH('Track Data'!S433,Acceleration!$K$4:$K$110,0)),1)),U433)</f>
        <v>1</v>
      </c>
      <c r="AG433" s="16">
        <f>IF(AC433=0,IF(O433=4,INDEX(Acceleration!$T$4:$T$110,MATCH('Track Data'!S433,Acceleration!$K$4:$K$110,0)),IF('Track Data'!O433=3,INDEX(Acceleration!$S$4:$S$110,MATCH('Track Data'!S433,Acceleration!$K$4:$K$110,0)),'Track Data'!AF433)),'Track Data'!U433)</f>
        <v>1</v>
      </c>
      <c r="AH433" s="16">
        <f>IF(AC433=0,IF(O433=2,INDEX(Acceleration!$R$4:$R$110,MATCH('Track Data'!S433,Acceleration!$K$4:$K$110,0)),IF('Track Data'!O433=1,INDEX(Acceleration!$Q$4:$Q$110,MATCH('Track Data'!S433,Acceleration!$K$4:$K$110,0)),'Track Data'!AG433)),'Track Data'!U433)</f>
        <v>6.2873467937451366</v>
      </c>
    </row>
    <row r="434" spans="2:34" x14ac:dyDescent="0.25">
      <c r="B434" s="16">
        <v>209.102</v>
      </c>
      <c r="C434" s="16">
        <v>7704</v>
      </c>
      <c r="D434" s="16">
        <v>431</v>
      </c>
      <c r="E434" s="113">
        <v>110</v>
      </c>
      <c r="F434" s="113">
        <v>110.7</v>
      </c>
      <c r="G434" s="113">
        <v>104.4</v>
      </c>
      <c r="H434" s="113">
        <f t="shared" si="47"/>
        <v>29</v>
      </c>
      <c r="I434" s="113">
        <v>17.899999999999999</v>
      </c>
      <c r="J434" s="113">
        <v>76.86</v>
      </c>
      <c r="K434" s="113">
        <v>-41.5</v>
      </c>
      <c r="L434" s="183"/>
      <c r="M434" s="16">
        <v>431</v>
      </c>
      <c r="N434" s="16">
        <f t="shared" si="49"/>
        <v>3.0574200371758519E-2</v>
      </c>
      <c r="O434" s="16">
        <v>2</v>
      </c>
      <c r="P434" s="16">
        <f t="shared" si="45"/>
        <v>12.715447154471546</v>
      </c>
      <c r="Q434" s="16">
        <f t="shared" si="50"/>
        <v>32.707314920448518</v>
      </c>
      <c r="R434" s="113">
        <f t="shared" si="46"/>
        <v>373.41300000000001</v>
      </c>
      <c r="S434" s="16">
        <f>IF(S433=15800,15800,ROUND((((Q434*60)/'Gearing Calculator'!$C$14)*'Track Data'!P434),-2))</f>
        <v>12600</v>
      </c>
      <c r="T434" s="16">
        <f t="shared" si="48"/>
        <v>6.2873467937451366</v>
      </c>
      <c r="U434" s="16">
        <f>IF(AC434=100,Braking!$AG$2354,IF(AC434=50,Braking!$AG$1179,IF(AC434=75,Braking!$AG$1767,0)))</f>
        <v>0</v>
      </c>
      <c r="V434" s="16">
        <f>0.5*'Gearing Calculator'!$C$15*'Gearing Calculator'!$C$20*'Gearing Calculator'!$W$20*('Track Data'!Q434^2)</f>
        <v>113.22429267448291</v>
      </c>
      <c r="W434" s="16">
        <f>('Gearing Calculator'!$U$9*'Track Data'!T434)+'Track Data'!V434</f>
        <v>1786.9160091694382</v>
      </c>
      <c r="X434" s="16">
        <f>('Gearing Calculator'!$U$9*9.81)*('Gearing Calculator'!$U$16/'Gearing Calculator'!$C$7)-(('Track Data'!W434)*('Gearing Calculator'!$U$17/'Gearing Calculator'!$C$7))</f>
        <v>427.17103983758352</v>
      </c>
      <c r="Y434" s="16">
        <f>('Gearing Calculator'!$U$9*9.81)*(('Gearing Calculator'!$C$7-'Gearing Calculator'!$U$16)/'Gearing Calculator'!$C$7)+(('Track Data'!W434)*('Gearing Calculator'!$U$17/'Gearing Calculator'!$C$7))</f>
        <v>2184.2509601624165</v>
      </c>
      <c r="Z434" s="16">
        <f>((X434*COS('Gearing Calculator'!$C$21))/'Gearing Calculator'!$C$22)/2</f>
        <v>13.206777524884764</v>
      </c>
      <c r="AA434" s="16">
        <f>Y434/'Gearing Calculator'!$C$24</f>
        <v>30.49946948247559</v>
      </c>
      <c r="AB434" s="16">
        <f t="shared" si="44"/>
        <v>125.79898626197318</v>
      </c>
      <c r="AC434" s="16">
        <v>0</v>
      </c>
      <c r="AD434" s="16">
        <v>-50.419976243670298</v>
      </c>
      <c r="AE434" s="16">
        <v>431</v>
      </c>
      <c r="AF434" s="16">
        <f>IF(AC434=0,IF(O434=6,INDEX(Acceleration!$V$4:$V$110,MATCH('Track Data'!S434,Acceleration!$K$4:$K$110,0)),IF('Track Data'!O434=5,INDEX(Acceleration!$U$4:$U$110,MATCH('Track Data'!S434,Acceleration!$K$4:$K$110,0)),1)),U434)</f>
        <v>1</v>
      </c>
      <c r="AG434" s="16">
        <f>IF(AC434=0,IF(O434=4,INDEX(Acceleration!$T$4:$T$110,MATCH('Track Data'!S434,Acceleration!$K$4:$K$110,0)),IF('Track Data'!O434=3,INDEX(Acceleration!$S$4:$S$110,MATCH('Track Data'!S434,Acceleration!$K$4:$K$110,0)),'Track Data'!AF434)),'Track Data'!U434)</f>
        <v>1</v>
      </c>
      <c r="AH434" s="16">
        <f>IF(AC434=0,IF(O434=2,INDEX(Acceleration!$R$4:$R$110,MATCH('Track Data'!S434,Acceleration!$K$4:$K$110,0)),IF('Track Data'!O434=1,INDEX(Acceleration!$Q$4:$Q$110,MATCH('Track Data'!S434,Acceleration!$K$4:$K$110,0)),'Track Data'!AG434)),'Track Data'!U434)</f>
        <v>6.2873467937451366</v>
      </c>
    </row>
    <row r="435" spans="2:34" x14ac:dyDescent="0.25">
      <c r="B435" s="16">
        <v>209.13499999999999</v>
      </c>
      <c r="C435" s="16">
        <v>7705</v>
      </c>
      <c r="D435" s="16">
        <v>432</v>
      </c>
      <c r="E435" s="113">
        <v>110</v>
      </c>
      <c r="F435" s="113">
        <v>110.5</v>
      </c>
      <c r="G435" s="113">
        <v>103.9</v>
      </c>
      <c r="H435" s="113">
        <f t="shared" si="47"/>
        <v>28.861111111111111</v>
      </c>
      <c r="I435" s="113">
        <v>18</v>
      </c>
      <c r="J435" s="113">
        <v>77.02</v>
      </c>
      <c r="K435" s="113">
        <v>-37.6</v>
      </c>
      <c r="L435" s="183"/>
      <c r="M435" s="16">
        <v>432</v>
      </c>
      <c r="N435" s="16">
        <f t="shared" si="49"/>
        <v>3.0574200371758519E-2</v>
      </c>
      <c r="O435" s="16">
        <v>2</v>
      </c>
      <c r="P435" s="16">
        <f t="shared" si="45"/>
        <v>12.715447154471546</v>
      </c>
      <c r="Q435" s="16">
        <f t="shared" si="50"/>
        <v>32.707314920448518</v>
      </c>
      <c r="R435" s="113">
        <f t="shared" si="46"/>
        <v>373.41300000000001</v>
      </c>
      <c r="S435" s="16">
        <f>IF(S434=15800,15800,ROUND((((Q435*60)/'Gearing Calculator'!$C$14)*'Track Data'!P435),-2))</f>
        <v>12600</v>
      </c>
      <c r="T435" s="16">
        <f t="shared" si="48"/>
        <v>6.2873467937451366</v>
      </c>
      <c r="U435" s="16">
        <f>IF(AC435=100,Braking!$AG$2354,IF(AC435=50,Braking!$AG$1179,IF(AC435=75,Braking!$AG$1767,0)))</f>
        <v>0</v>
      </c>
      <c r="V435" s="16">
        <f>0.5*'Gearing Calculator'!$C$15*'Gearing Calculator'!$C$20*'Gearing Calculator'!$W$20*('Track Data'!Q435^2)</f>
        <v>113.22429267448291</v>
      </c>
      <c r="W435" s="16">
        <f>('Gearing Calculator'!$U$9*'Track Data'!T435)+'Track Data'!V435</f>
        <v>1786.9160091694382</v>
      </c>
      <c r="X435" s="16">
        <f>('Gearing Calculator'!$U$9*9.81)*('Gearing Calculator'!$U$16/'Gearing Calculator'!$C$7)-(('Track Data'!W435)*('Gearing Calculator'!$U$17/'Gearing Calculator'!$C$7))</f>
        <v>427.17103983758352</v>
      </c>
      <c r="Y435" s="16">
        <f>('Gearing Calculator'!$U$9*9.81)*(('Gearing Calculator'!$C$7-'Gearing Calculator'!$U$16)/'Gearing Calculator'!$C$7)+(('Track Data'!W435)*('Gearing Calculator'!$U$17/'Gearing Calculator'!$C$7))</f>
        <v>2184.2509601624165</v>
      </c>
      <c r="Z435" s="16">
        <f>((X435*COS('Gearing Calculator'!$C$21))/'Gearing Calculator'!$C$22)/2</f>
        <v>13.206777524884764</v>
      </c>
      <c r="AA435" s="16">
        <f>Y435/'Gearing Calculator'!$C$24</f>
        <v>30.49946948247559</v>
      </c>
      <c r="AB435" s="16">
        <f t="shared" si="44"/>
        <v>125.79898626197318</v>
      </c>
      <c r="AC435" s="16">
        <v>0</v>
      </c>
      <c r="AD435" s="16">
        <v>-50.419976243670298</v>
      </c>
      <c r="AE435" s="16">
        <v>432</v>
      </c>
      <c r="AF435" s="16">
        <f>IF(AC435=0,IF(O435=6,INDEX(Acceleration!$V$4:$V$110,MATCH('Track Data'!S435,Acceleration!$K$4:$K$110,0)),IF('Track Data'!O435=5,INDEX(Acceleration!$U$4:$U$110,MATCH('Track Data'!S435,Acceleration!$K$4:$K$110,0)),1)),U435)</f>
        <v>1</v>
      </c>
      <c r="AG435" s="16">
        <f>IF(AC435=0,IF(O435=4,INDEX(Acceleration!$T$4:$T$110,MATCH('Track Data'!S435,Acceleration!$K$4:$K$110,0)),IF('Track Data'!O435=3,INDEX(Acceleration!$S$4:$S$110,MATCH('Track Data'!S435,Acceleration!$K$4:$K$110,0)),'Track Data'!AF435)),'Track Data'!U435)</f>
        <v>1</v>
      </c>
      <c r="AH435" s="16">
        <f>IF(AC435=0,IF(O435=2,INDEX(Acceleration!$R$4:$R$110,MATCH('Track Data'!S435,Acceleration!$K$4:$K$110,0)),IF('Track Data'!O435=1,INDEX(Acceleration!$Q$4:$Q$110,MATCH('Track Data'!S435,Acceleration!$K$4:$K$110,0)),'Track Data'!AG435)),'Track Data'!U435)</f>
        <v>6.2873467937451366</v>
      </c>
    </row>
    <row r="436" spans="2:34" x14ac:dyDescent="0.25">
      <c r="B436" s="16">
        <v>209.167</v>
      </c>
      <c r="C436" s="16">
        <v>7706</v>
      </c>
      <c r="D436" s="16">
        <v>433</v>
      </c>
      <c r="E436" s="113">
        <v>109</v>
      </c>
      <c r="F436" s="113">
        <v>110.2</v>
      </c>
      <c r="G436" s="113">
        <v>103.3</v>
      </c>
      <c r="H436" s="113">
        <f t="shared" si="47"/>
        <v>28.694444444444443</v>
      </c>
      <c r="I436" s="113">
        <v>17.2</v>
      </c>
      <c r="J436" s="113">
        <v>76.64</v>
      </c>
      <c r="K436" s="113">
        <v>-30.2</v>
      </c>
      <c r="L436" s="183"/>
      <c r="M436" s="16">
        <v>433</v>
      </c>
      <c r="N436" s="16">
        <f t="shared" si="49"/>
        <v>3.0574200371758519E-2</v>
      </c>
      <c r="O436" s="16">
        <v>2</v>
      </c>
      <c r="P436" s="16">
        <f t="shared" si="45"/>
        <v>12.715447154471546</v>
      </c>
      <c r="Q436" s="16">
        <f t="shared" si="50"/>
        <v>32.707314920448518</v>
      </c>
      <c r="R436" s="113">
        <f t="shared" si="46"/>
        <v>373.41300000000001</v>
      </c>
      <c r="S436" s="16">
        <f>IF(S435=15800,15800,ROUND((((Q436*60)/'Gearing Calculator'!$C$14)*'Track Data'!P436),-2))</f>
        <v>12600</v>
      </c>
      <c r="T436" s="16">
        <f t="shared" si="48"/>
        <v>6.2873467937451366</v>
      </c>
      <c r="U436" s="16">
        <f>IF(AC436=100,Braking!$AG$2354,IF(AC436=50,Braking!$AG$1179,IF(AC436=75,Braking!$AG$1767,0)))</f>
        <v>0</v>
      </c>
      <c r="V436" s="16">
        <f>0.5*'Gearing Calculator'!$C$15*'Gearing Calculator'!$C$20*'Gearing Calculator'!$W$20*('Track Data'!Q436^2)</f>
        <v>113.22429267448291</v>
      </c>
      <c r="W436" s="16">
        <f>('Gearing Calculator'!$U$9*'Track Data'!T436)+'Track Data'!V436</f>
        <v>1786.9160091694382</v>
      </c>
      <c r="X436" s="16">
        <f>('Gearing Calculator'!$U$9*9.81)*('Gearing Calculator'!$U$16/'Gearing Calculator'!$C$7)-(('Track Data'!W436)*('Gearing Calculator'!$U$17/'Gearing Calculator'!$C$7))</f>
        <v>427.17103983758352</v>
      </c>
      <c r="Y436" s="16">
        <f>('Gearing Calculator'!$U$9*9.81)*(('Gearing Calculator'!$C$7-'Gearing Calculator'!$U$16)/'Gearing Calculator'!$C$7)+(('Track Data'!W436)*('Gearing Calculator'!$U$17/'Gearing Calculator'!$C$7))</f>
        <v>2184.2509601624165</v>
      </c>
      <c r="Z436" s="16">
        <f>((X436*COS('Gearing Calculator'!$C$21))/'Gearing Calculator'!$C$22)/2</f>
        <v>13.206777524884764</v>
      </c>
      <c r="AA436" s="16">
        <f>Y436/'Gearing Calculator'!$C$24</f>
        <v>30.49946948247559</v>
      </c>
      <c r="AB436" s="16">
        <f t="shared" si="44"/>
        <v>125.79898626197318</v>
      </c>
      <c r="AC436" s="16">
        <v>0</v>
      </c>
      <c r="AD436" s="16">
        <v>-50.419976243670298</v>
      </c>
      <c r="AE436" s="16">
        <v>433</v>
      </c>
      <c r="AF436" s="16">
        <f>IF(AC436=0,IF(O436=6,INDEX(Acceleration!$V$4:$V$110,MATCH('Track Data'!S436,Acceleration!$K$4:$K$110,0)),IF('Track Data'!O436=5,INDEX(Acceleration!$U$4:$U$110,MATCH('Track Data'!S436,Acceleration!$K$4:$K$110,0)),1)),U436)</f>
        <v>1</v>
      </c>
      <c r="AG436" s="16">
        <f>IF(AC436=0,IF(O436=4,INDEX(Acceleration!$T$4:$T$110,MATCH('Track Data'!S436,Acceleration!$K$4:$K$110,0)),IF('Track Data'!O436=3,INDEX(Acceleration!$S$4:$S$110,MATCH('Track Data'!S436,Acceleration!$K$4:$K$110,0)),'Track Data'!AF436)),'Track Data'!U436)</f>
        <v>1</v>
      </c>
      <c r="AH436" s="16">
        <f>IF(AC436=0,IF(O436=2,INDEX(Acceleration!$R$4:$R$110,MATCH('Track Data'!S436,Acceleration!$K$4:$K$110,0)),IF('Track Data'!O436=1,INDEX(Acceleration!$Q$4:$Q$110,MATCH('Track Data'!S436,Acceleration!$K$4:$K$110,0)),'Track Data'!AG436)),'Track Data'!U436)</f>
        <v>6.2873467937451366</v>
      </c>
    </row>
    <row r="437" spans="2:34" x14ac:dyDescent="0.25">
      <c r="B437" s="16">
        <v>209.2</v>
      </c>
      <c r="C437" s="16">
        <v>7707</v>
      </c>
      <c r="D437" s="16">
        <v>434</v>
      </c>
      <c r="E437" s="113">
        <v>109</v>
      </c>
      <c r="F437" s="113">
        <v>109.6</v>
      </c>
      <c r="G437" s="113">
        <v>102.6</v>
      </c>
      <c r="H437" s="113">
        <f t="shared" si="47"/>
        <v>28.499999999999996</v>
      </c>
      <c r="I437" s="113">
        <v>17.7</v>
      </c>
      <c r="J437" s="113">
        <v>76.75</v>
      </c>
      <c r="K437" s="113">
        <v>-22.5</v>
      </c>
      <c r="L437" s="183"/>
      <c r="M437" s="16">
        <v>434</v>
      </c>
      <c r="N437" s="16">
        <f t="shared" si="49"/>
        <v>3.0574200371758519E-2</v>
      </c>
      <c r="O437" s="16">
        <v>2</v>
      </c>
      <c r="P437" s="16">
        <f t="shared" si="45"/>
        <v>12.715447154471546</v>
      </c>
      <c r="Q437" s="16">
        <f t="shared" si="50"/>
        <v>32.707314920448518</v>
      </c>
      <c r="R437" s="113">
        <f t="shared" si="46"/>
        <v>373.41300000000001</v>
      </c>
      <c r="S437" s="16">
        <f>IF(S436=15800,15800,ROUND((((Q437*60)/'Gearing Calculator'!$C$14)*'Track Data'!P437),-2))</f>
        <v>12600</v>
      </c>
      <c r="T437" s="16">
        <f t="shared" si="48"/>
        <v>6.2873467937451366</v>
      </c>
      <c r="U437" s="16">
        <f>IF(AC437=100,Braking!$AG$2354,IF(AC437=50,Braking!$AG$1179,IF(AC437=75,Braking!$AG$1767,0)))</f>
        <v>0</v>
      </c>
      <c r="V437" s="16">
        <f>0.5*'Gearing Calculator'!$C$15*'Gearing Calculator'!$C$20*'Gearing Calculator'!$W$20*('Track Data'!Q437^2)</f>
        <v>113.22429267448291</v>
      </c>
      <c r="W437" s="16">
        <f>('Gearing Calculator'!$U$9*'Track Data'!T437)+'Track Data'!V437</f>
        <v>1786.9160091694382</v>
      </c>
      <c r="X437" s="16">
        <f>('Gearing Calculator'!$U$9*9.81)*('Gearing Calculator'!$U$16/'Gearing Calculator'!$C$7)-(('Track Data'!W437)*('Gearing Calculator'!$U$17/'Gearing Calculator'!$C$7))</f>
        <v>427.17103983758352</v>
      </c>
      <c r="Y437" s="16">
        <f>('Gearing Calculator'!$U$9*9.81)*(('Gearing Calculator'!$C$7-'Gearing Calculator'!$U$16)/'Gearing Calculator'!$C$7)+(('Track Data'!W437)*('Gearing Calculator'!$U$17/'Gearing Calculator'!$C$7))</f>
        <v>2184.2509601624165</v>
      </c>
      <c r="Z437" s="16">
        <f>((X437*COS('Gearing Calculator'!$C$21))/'Gearing Calculator'!$C$22)/2</f>
        <v>13.206777524884764</v>
      </c>
      <c r="AA437" s="16">
        <f>Y437/'Gearing Calculator'!$C$24</f>
        <v>30.49946948247559</v>
      </c>
      <c r="AB437" s="16">
        <f t="shared" si="44"/>
        <v>125.79898626197318</v>
      </c>
      <c r="AC437" s="16">
        <v>0</v>
      </c>
      <c r="AD437" s="16">
        <v>-50.419976243670298</v>
      </c>
      <c r="AE437" s="16">
        <v>434</v>
      </c>
      <c r="AF437" s="16">
        <f>IF(AC437=0,IF(O437=6,INDEX(Acceleration!$V$4:$V$110,MATCH('Track Data'!S437,Acceleration!$K$4:$K$110,0)),IF('Track Data'!O437=5,INDEX(Acceleration!$U$4:$U$110,MATCH('Track Data'!S437,Acceleration!$K$4:$K$110,0)),1)),U437)</f>
        <v>1</v>
      </c>
      <c r="AG437" s="16">
        <f>IF(AC437=0,IF(O437=4,INDEX(Acceleration!$T$4:$T$110,MATCH('Track Data'!S437,Acceleration!$K$4:$K$110,0)),IF('Track Data'!O437=3,INDEX(Acceleration!$S$4:$S$110,MATCH('Track Data'!S437,Acceleration!$K$4:$K$110,0)),'Track Data'!AF437)),'Track Data'!U437)</f>
        <v>1</v>
      </c>
      <c r="AH437" s="16">
        <f>IF(AC437=0,IF(O437=2,INDEX(Acceleration!$R$4:$R$110,MATCH('Track Data'!S437,Acceleration!$K$4:$K$110,0)),IF('Track Data'!O437=1,INDEX(Acceleration!$Q$4:$Q$110,MATCH('Track Data'!S437,Acceleration!$K$4:$K$110,0)),'Track Data'!AG437)),'Track Data'!U437)</f>
        <v>6.2873467937451366</v>
      </c>
    </row>
    <row r="438" spans="2:34" x14ac:dyDescent="0.25">
      <c r="B438" s="16">
        <v>209.232</v>
      </c>
      <c r="C438" s="16">
        <v>7708</v>
      </c>
      <c r="D438" s="16">
        <v>435</v>
      </c>
      <c r="E438" s="113">
        <v>109</v>
      </c>
      <c r="F438" s="113">
        <v>108.7</v>
      </c>
      <c r="G438" s="113">
        <v>102.1</v>
      </c>
      <c r="H438" s="113">
        <f t="shared" si="47"/>
        <v>28.361111111111107</v>
      </c>
      <c r="I438" s="113">
        <v>18.100000000000001</v>
      </c>
      <c r="J438" s="113">
        <v>76.37</v>
      </c>
      <c r="K438" s="113">
        <v>-32.299999999999997</v>
      </c>
      <c r="L438" s="183"/>
      <c r="M438" s="16">
        <v>435</v>
      </c>
      <c r="N438" s="16">
        <f t="shared" si="49"/>
        <v>3.0574200371758519E-2</v>
      </c>
      <c r="O438" s="16">
        <v>2</v>
      </c>
      <c r="P438" s="16">
        <f t="shared" si="45"/>
        <v>12.715447154471546</v>
      </c>
      <c r="Q438" s="16">
        <f t="shared" si="50"/>
        <v>32.707314920448518</v>
      </c>
      <c r="R438" s="113">
        <f t="shared" si="46"/>
        <v>373.41300000000001</v>
      </c>
      <c r="S438" s="16">
        <f>IF(S437=15800,15800,ROUND((((Q438*60)/'Gearing Calculator'!$C$14)*'Track Data'!P438),-2))</f>
        <v>12600</v>
      </c>
      <c r="T438" s="16">
        <f t="shared" si="48"/>
        <v>6.2873467937451366</v>
      </c>
      <c r="U438" s="16">
        <f>IF(AC438=100,Braking!$AG$2354,IF(AC438=50,Braking!$AG$1179,IF(AC438=75,Braking!$AG$1767,0)))</f>
        <v>0</v>
      </c>
      <c r="V438" s="16">
        <f>0.5*'Gearing Calculator'!$C$15*'Gearing Calculator'!$C$20*'Gearing Calculator'!$W$20*('Track Data'!Q438^2)</f>
        <v>113.22429267448291</v>
      </c>
      <c r="W438" s="16">
        <f>('Gearing Calculator'!$U$9*'Track Data'!T438)+'Track Data'!V438</f>
        <v>1786.9160091694382</v>
      </c>
      <c r="X438" s="16">
        <f>('Gearing Calculator'!$U$9*9.81)*('Gearing Calculator'!$U$16/'Gearing Calculator'!$C$7)-(('Track Data'!W438)*('Gearing Calculator'!$U$17/'Gearing Calculator'!$C$7))</f>
        <v>427.17103983758352</v>
      </c>
      <c r="Y438" s="16">
        <f>('Gearing Calculator'!$U$9*9.81)*(('Gearing Calculator'!$C$7-'Gearing Calculator'!$U$16)/'Gearing Calculator'!$C$7)+(('Track Data'!W438)*('Gearing Calculator'!$U$17/'Gearing Calculator'!$C$7))</f>
        <v>2184.2509601624165</v>
      </c>
      <c r="Z438" s="16">
        <f>((X438*COS('Gearing Calculator'!$C$21))/'Gearing Calculator'!$C$22)/2</f>
        <v>13.206777524884764</v>
      </c>
      <c r="AA438" s="16">
        <f>Y438/'Gearing Calculator'!$C$24</f>
        <v>30.49946948247559</v>
      </c>
      <c r="AB438" s="16">
        <f t="shared" ref="AB438:AB501" si="51">(T438*O438)+V438</f>
        <v>125.79898626197318</v>
      </c>
      <c r="AC438" s="16">
        <v>0</v>
      </c>
      <c r="AD438" s="16">
        <v>-50.419976243670298</v>
      </c>
      <c r="AE438" s="16">
        <v>435</v>
      </c>
      <c r="AF438" s="16">
        <f>IF(AC438=0,IF(O438=6,INDEX(Acceleration!$V$4:$V$110,MATCH('Track Data'!S438,Acceleration!$K$4:$K$110,0)),IF('Track Data'!O438=5,INDEX(Acceleration!$U$4:$U$110,MATCH('Track Data'!S438,Acceleration!$K$4:$K$110,0)),1)),U438)</f>
        <v>1</v>
      </c>
      <c r="AG438" s="16">
        <f>IF(AC438=0,IF(O438=4,INDEX(Acceleration!$T$4:$T$110,MATCH('Track Data'!S438,Acceleration!$K$4:$K$110,0)),IF('Track Data'!O438=3,INDEX(Acceleration!$S$4:$S$110,MATCH('Track Data'!S438,Acceleration!$K$4:$K$110,0)),'Track Data'!AF438)),'Track Data'!U438)</f>
        <v>1</v>
      </c>
      <c r="AH438" s="16">
        <f>IF(AC438=0,IF(O438=2,INDEX(Acceleration!$R$4:$R$110,MATCH('Track Data'!S438,Acceleration!$K$4:$K$110,0)),IF('Track Data'!O438=1,INDEX(Acceleration!$Q$4:$Q$110,MATCH('Track Data'!S438,Acceleration!$K$4:$K$110,0)),'Track Data'!AG438)),'Track Data'!U438)</f>
        <v>6.2873467937451366</v>
      </c>
    </row>
    <row r="439" spans="2:34" x14ac:dyDescent="0.25">
      <c r="B439" s="16">
        <v>209.26599999999999</v>
      </c>
      <c r="C439" s="16">
        <v>7709</v>
      </c>
      <c r="D439" s="16">
        <v>436</v>
      </c>
      <c r="E439" s="113">
        <v>108</v>
      </c>
      <c r="F439" s="113">
        <v>107.9</v>
      </c>
      <c r="G439" s="113">
        <v>101.6</v>
      </c>
      <c r="H439" s="113">
        <f t="shared" si="47"/>
        <v>28.222222222222221</v>
      </c>
      <c r="I439" s="113">
        <v>18.100000000000001</v>
      </c>
      <c r="J439" s="113">
        <v>73.849999999999994</v>
      </c>
      <c r="K439" s="113">
        <v>-42.3</v>
      </c>
      <c r="L439" s="183"/>
      <c r="M439" s="16">
        <v>436</v>
      </c>
      <c r="N439" s="16">
        <f t="shared" si="49"/>
        <v>3.0574200371758519E-2</v>
      </c>
      <c r="O439" s="16">
        <v>2</v>
      </c>
      <c r="P439" s="16">
        <f t="shared" si="45"/>
        <v>12.715447154471546</v>
      </c>
      <c r="Q439" s="16">
        <f t="shared" si="50"/>
        <v>32.707314920448518</v>
      </c>
      <c r="R439" s="113">
        <f t="shared" si="46"/>
        <v>373.41300000000001</v>
      </c>
      <c r="S439" s="16">
        <f>IF(S438=15800,15800,ROUND((((Q439*60)/'Gearing Calculator'!$C$14)*'Track Data'!P439),-2))</f>
        <v>12600</v>
      </c>
      <c r="T439" s="16">
        <f t="shared" si="48"/>
        <v>6.2873467937451366</v>
      </c>
      <c r="U439" s="16">
        <f>IF(AC439=100,Braking!$AG$2354,IF(AC439=50,Braking!$AG$1179,IF(AC439=75,Braking!$AG$1767,0)))</f>
        <v>0</v>
      </c>
      <c r="V439" s="16">
        <f>0.5*'Gearing Calculator'!$C$15*'Gearing Calculator'!$C$20*'Gearing Calculator'!$W$20*('Track Data'!Q439^2)</f>
        <v>113.22429267448291</v>
      </c>
      <c r="W439" s="16">
        <f>('Gearing Calculator'!$U$9*'Track Data'!T439)+'Track Data'!V439</f>
        <v>1786.9160091694382</v>
      </c>
      <c r="X439" s="16">
        <f>('Gearing Calculator'!$U$9*9.81)*('Gearing Calculator'!$U$16/'Gearing Calculator'!$C$7)-(('Track Data'!W439)*('Gearing Calculator'!$U$17/'Gearing Calculator'!$C$7))</f>
        <v>427.17103983758352</v>
      </c>
      <c r="Y439" s="16">
        <f>('Gearing Calculator'!$U$9*9.81)*(('Gearing Calculator'!$C$7-'Gearing Calculator'!$U$16)/'Gearing Calculator'!$C$7)+(('Track Data'!W439)*('Gearing Calculator'!$U$17/'Gearing Calculator'!$C$7))</f>
        <v>2184.2509601624165</v>
      </c>
      <c r="Z439" s="16">
        <f>((X439*COS('Gearing Calculator'!$C$21))/'Gearing Calculator'!$C$22)/2</f>
        <v>13.206777524884764</v>
      </c>
      <c r="AA439" s="16">
        <f>Y439/'Gearing Calculator'!$C$24</f>
        <v>30.49946948247559</v>
      </c>
      <c r="AB439" s="16">
        <f t="shared" si="51"/>
        <v>125.79898626197318</v>
      </c>
      <c r="AC439" s="16">
        <v>0</v>
      </c>
      <c r="AD439" s="16">
        <v>-50.419976243670298</v>
      </c>
      <c r="AE439" s="16">
        <v>436</v>
      </c>
      <c r="AF439" s="16">
        <f>IF(AC439=0,IF(O439=6,INDEX(Acceleration!$V$4:$V$110,MATCH('Track Data'!S439,Acceleration!$K$4:$K$110,0)),IF('Track Data'!O439=5,INDEX(Acceleration!$U$4:$U$110,MATCH('Track Data'!S439,Acceleration!$K$4:$K$110,0)),1)),U439)</f>
        <v>1</v>
      </c>
      <c r="AG439" s="16">
        <f>IF(AC439=0,IF(O439=4,INDEX(Acceleration!$T$4:$T$110,MATCH('Track Data'!S439,Acceleration!$K$4:$K$110,0)),IF('Track Data'!O439=3,INDEX(Acceleration!$S$4:$S$110,MATCH('Track Data'!S439,Acceleration!$K$4:$K$110,0)),'Track Data'!AF439)),'Track Data'!U439)</f>
        <v>1</v>
      </c>
      <c r="AH439" s="16">
        <f>IF(AC439=0,IF(O439=2,INDEX(Acceleration!$R$4:$R$110,MATCH('Track Data'!S439,Acceleration!$K$4:$K$110,0)),IF('Track Data'!O439=1,INDEX(Acceleration!$Q$4:$Q$110,MATCH('Track Data'!S439,Acceleration!$K$4:$K$110,0)),'Track Data'!AG439)),'Track Data'!U439)</f>
        <v>6.2873467937451366</v>
      </c>
    </row>
    <row r="440" spans="2:34" x14ac:dyDescent="0.25">
      <c r="B440" s="16">
        <v>209.29900000000001</v>
      </c>
      <c r="C440" s="16">
        <v>7710</v>
      </c>
      <c r="D440" s="16">
        <v>437</v>
      </c>
      <c r="E440" s="113">
        <v>108</v>
      </c>
      <c r="F440" s="113">
        <v>107.4</v>
      </c>
      <c r="G440" s="113">
        <v>101.1</v>
      </c>
      <c r="H440" s="113">
        <f t="shared" si="47"/>
        <v>28.083333333333332</v>
      </c>
      <c r="I440" s="113">
        <v>16.899999999999999</v>
      </c>
      <c r="J440" s="113">
        <v>70.69</v>
      </c>
      <c r="K440" s="113">
        <v>-50.9</v>
      </c>
      <c r="L440" s="183"/>
      <c r="M440" s="16">
        <v>437</v>
      </c>
      <c r="N440" s="16">
        <f t="shared" si="49"/>
        <v>3.0574200371758519E-2</v>
      </c>
      <c r="O440" s="16">
        <v>2</v>
      </c>
      <c r="P440" s="16">
        <f t="shared" si="45"/>
        <v>12.715447154471546</v>
      </c>
      <c r="Q440" s="16">
        <f t="shared" si="50"/>
        <v>32.707314920448518</v>
      </c>
      <c r="R440" s="113">
        <f t="shared" si="46"/>
        <v>373.41300000000001</v>
      </c>
      <c r="S440" s="16">
        <f>IF(S439=15800,15800,ROUND((((Q440*60)/'Gearing Calculator'!$C$14)*'Track Data'!P440),-2))</f>
        <v>12600</v>
      </c>
      <c r="T440" s="16">
        <f t="shared" si="48"/>
        <v>6.2873467937451366</v>
      </c>
      <c r="U440" s="16">
        <f>IF(AC440=100,Braking!$AG$2354,IF(AC440=50,Braking!$AG$1179,IF(AC440=75,Braking!$AG$1767,0)))</f>
        <v>0</v>
      </c>
      <c r="V440" s="16">
        <f>0.5*'Gearing Calculator'!$C$15*'Gearing Calculator'!$C$20*'Gearing Calculator'!$W$20*('Track Data'!Q440^2)</f>
        <v>113.22429267448291</v>
      </c>
      <c r="W440" s="16">
        <f>('Gearing Calculator'!$U$9*'Track Data'!T440)+'Track Data'!V440</f>
        <v>1786.9160091694382</v>
      </c>
      <c r="X440" s="16">
        <f>('Gearing Calculator'!$U$9*9.81)*('Gearing Calculator'!$U$16/'Gearing Calculator'!$C$7)-(('Track Data'!W440)*('Gearing Calculator'!$U$17/'Gearing Calculator'!$C$7))</f>
        <v>427.17103983758352</v>
      </c>
      <c r="Y440" s="16">
        <f>('Gearing Calculator'!$U$9*9.81)*(('Gearing Calculator'!$C$7-'Gearing Calculator'!$U$16)/'Gearing Calculator'!$C$7)+(('Track Data'!W440)*('Gearing Calculator'!$U$17/'Gearing Calculator'!$C$7))</f>
        <v>2184.2509601624165</v>
      </c>
      <c r="Z440" s="16">
        <f>((X440*COS('Gearing Calculator'!$C$21))/'Gearing Calculator'!$C$22)/2</f>
        <v>13.206777524884764</v>
      </c>
      <c r="AA440" s="16">
        <f>Y440/'Gearing Calculator'!$C$24</f>
        <v>30.49946948247559</v>
      </c>
      <c r="AB440" s="16">
        <f t="shared" si="51"/>
        <v>125.79898626197318</v>
      </c>
      <c r="AC440" s="16">
        <v>0</v>
      </c>
      <c r="AD440" s="16">
        <v>-50.419976243670298</v>
      </c>
      <c r="AE440" s="16">
        <v>437</v>
      </c>
      <c r="AF440" s="16">
        <f>IF(AC440=0,IF(O440=6,INDEX(Acceleration!$V$4:$V$110,MATCH('Track Data'!S440,Acceleration!$K$4:$K$110,0)),IF('Track Data'!O440=5,INDEX(Acceleration!$U$4:$U$110,MATCH('Track Data'!S440,Acceleration!$K$4:$K$110,0)),1)),U440)</f>
        <v>1</v>
      </c>
      <c r="AG440" s="16">
        <f>IF(AC440=0,IF(O440=4,INDEX(Acceleration!$T$4:$T$110,MATCH('Track Data'!S440,Acceleration!$K$4:$K$110,0)),IF('Track Data'!O440=3,INDEX(Acceleration!$S$4:$S$110,MATCH('Track Data'!S440,Acceleration!$K$4:$K$110,0)),'Track Data'!AF440)),'Track Data'!U440)</f>
        <v>1</v>
      </c>
      <c r="AH440" s="16">
        <f>IF(AC440=0,IF(O440=2,INDEX(Acceleration!$R$4:$R$110,MATCH('Track Data'!S440,Acceleration!$K$4:$K$110,0)),IF('Track Data'!O440=1,INDEX(Acceleration!$Q$4:$Q$110,MATCH('Track Data'!S440,Acceleration!$K$4:$K$110,0)),'Track Data'!AG440)),'Track Data'!U440)</f>
        <v>6.2873467937451366</v>
      </c>
    </row>
    <row r="441" spans="2:34" x14ac:dyDescent="0.25">
      <c r="B441" s="16">
        <v>209.333</v>
      </c>
      <c r="C441" s="16">
        <v>7711</v>
      </c>
      <c r="D441" s="16">
        <v>438</v>
      </c>
      <c r="E441" s="113">
        <v>107</v>
      </c>
      <c r="F441" s="113">
        <v>107.2</v>
      </c>
      <c r="G441" s="113">
        <v>100.5</v>
      </c>
      <c r="H441" s="113">
        <f t="shared" si="47"/>
        <v>27.916666666666664</v>
      </c>
      <c r="I441" s="113">
        <v>14.2</v>
      </c>
      <c r="J441" s="113">
        <v>66.099999999999994</v>
      </c>
      <c r="K441" s="113">
        <v>-60.7</v>
      </c>
      <c r="L441" s="183"/>
      <c r="M441" s="16">
        <v>438</v>
      </c>
      <c r="N441" s="16">
        <f t="shared" si="49"/>
        <v>3.0574200371758519E-2</v>
      </c>
      <c r="O441" s="16">
        <v>2</v>
      </c>
      <c r="P441" s="16">
        <f t="shared" si="45"/>
        <v>12.715447154471546</v>
      </c>
      <c r="Q441" s="16">
        <f t="shared" si="50"/>
        <v>32.707314920448518</v>
      </c>
      <c r="R441" s="113">
        <f t="shared" si="46"/>
        <v>373.41300000000001</v>
      </c>
      <c r="S441" s="16">
        <f>IF(S440=15800,15800,ROUND((((Q441*60)/'Gearing Calculator'!$C$14)*'Track Data'!P441),-2))</f>
        <v>12600</v>
      </c>
      <c r="T441" s="16">
        <f t="shared" si="48"/>
        <v>6.2873467937451366</v>
      </c>
      <c r="U441" s="16">
        <f>IF(AC441=100,Braking!$AG$2354,IF(AC441=50,Braking!$AG$1179,IF(AC441=75,Braking!$AG$1767,0)))</f>
        <v>0</v>
      </c>
      <c r="V441" s="16">
        <f>0.5*'Gearing Calculator'!$C$15*'Gearing Calculator'!$C$20*'Gearing Calculator'!$W$20*('Track Data'!Q441^2)</f>
        <v>113.22429267448291</v>
      </c>
      <c r="W441" s="16">
        <f>('Gearing Calculator'!$U$9*'Track Data'!T441)+'Track Data'!V441</f>
        <v>1786.9160091694382</v>
      </c>
      <c r="X441" s="16">
        <f>('Gearing Calculator'!$U$9*9.81)*('Gearing Calculator'!$U$16/'Gearing Calculator'!$C$7)-(('Track Data'!W441)*('Gearing Calculator'!$U$17/'Gearing Calculator'!$C$7))</f>
        <v>427.17103983758352</v>
      </c>
      <c r="Y441" s="16">
        <f>('Gearing Calculator'!$U$9*9.81)*(('Gearing Calculator'!$C$7-'Gearing Calculator'!$U$16)/'Gearing Calculator'!$C$7)+(('Track Data'!W441)*('Gearing Calculator'!$U$17/'Gearing Calculator'!$C$7))</f>
        <v>2184.2509601624165</v>
      </c>
      <c r="Z441" s="16">
        <f>((X441*COS('Gearing Calculator'!$C$21))/'Gearing Calculator'!$C$22)/2</f>
        <v>13.206777524884764</v>
      </c>
      <c r="AA441" s="16">
        <f>Y441/'Gearing Calculator'!$C$24</f>
        <v>30.49946948247559</v>
      </c>
      <c r="AB441" s="16">
        <f t="shared" si="51"/>
        <v>125.79898626197318</v>
      </c>
      <c r="AC441" s="16">
        <v>0</v>
      </c>
      <c r="AD441" s="16">
        <v>-50.419976243670298</v>
      </c>
      <c r="AE441" s="16">
        <v>438</v>
      </c>
      <c r="AF441" s="16">
        <f>IF(AC441=0,IF(O441=6,INDEX(Acceleration!$V$4:$V$110,MATCH('Track Data'!S441,Acceleration!$K$4:$K$110,0)),IF('Track Data'!O441=5,INDEX(Acceleration!$U$4:$U$110,MATCH('Track Data'!S441,Acceleration!$K$4:$K$110,0)),1)),U441)</f>
        <v>1</v>
      </c>
      <c r="AG441" s="16">
        <f>IF(AC441=0,IF(O441=4,INDEX(Acceleration!$T$4:$T$110,MATCH('Track Data'!S441,Acceleration!$K$4:$K$110,0)),IF('Track Data'!O441=3,INDEX(Acceleration!$S$4:$S$110,MATCH('Track Data'!S441,Acceleration!$K$4:$K$110,0)),'Track Data'!AF441)),'Track Data'!U441)</f>
        <v>1</v>
      </c>
      <c r="AH441" s="16">
        <f>IF(AC441=0,IF(O441=2,INDEX(Acceleration!$R$4:$R$110,MATCH('Track Data'!S441,Acceleration!$K$4:$K$110,0)),IF('Track Data'!O441=1,INDEX(Acceleration!$Q$4:$Q$110,MATCH('Track Data'!S441,Acceleration!$K$4:$K$110,0)),'Track Data'!AG441)),'Track Data'!U441)</f>
        <v>6.2873467937451366</v>
      </c>
    </row>
    <row r="442" spans="2:34" x14ac:dyDescent="0.25">
      <c r="B442" s="16">
        <v>209.36600000000001</v>
      </c>
      <c r="C442" s="16">
        <v>7712</v>
      </c>
      <c r="D442" s="16">
        <v>439</v>
      </c>
      <c r="E442" s="113">
        <v>106</v>
      </c>
      <c r="F442" s="113">
        <v>107.1</v>
      </c>
      <c r="G442" s="113">
        <v>100</v>
      </c>
      <c r="H442" s="113">
        <f t="shared" si="47"/>
        <v>27.777777777777779</v>
      </c>
      <c r="I442" s="113">
        <v>11.8</v>
      </c>
      <c r="J442" s="113">
        <v>65.87</v>
      </c>
      <c r="K442" s="113">
        <v>-67.099999999999994</v>
      </c>
      <c r="L442" s="183"/>
      <c r="M442" s="16">
        <v>439</v>
      </c>
      <c r="N442" s="16">
        <f t="shared" si="49"/>
        <v>3.0574200371758519E-2</v>
      </c>
      <c r="O442" s="16">
        <v>2</v>
      </c>
      <c r="P442" s="16">
        <f t="shared" si="45"/>
        <v>12.715447154471546</v>
      </c>
      <c r="Q442" s="16">
        <f t="shared" si="50"/>
        <v>32.707314920448518</v>
      </c>
      <c r="R442" s="113">
        <f t="shared" si="46"/>
        <v>373.41300000000001</v>
      </c>
      <c r="S442" s="16">
        <f>IF(S441=15800,15800,ROUND((((Q442*60)/'Gearing Calculator'!$C$14)*'Track Data'!P442),-2))</f>
        <v>12600</v>
      </c>
      <c r="T442" s="16">
        <f t="shared" si="48"/>
        <v>6.2873467937451366</v>
      </c>
      <c r="U442" s="16">
        <f>IF(AC442=100,Braking!$AG$2354,IF(AC442=50,Braking!$AG$1179,IF(AC442=75,Braking!$AG$1767,0)))</f>
        <v>0</v>
      </c>
      <c r="V442" s="16">
        <f>0.5*'Gearing Calculator'!$C$15*'Gearing Calculator'!$C$20*'Gearing Calculator'!$W$20*('Track Data'!Q442^2)</f>
        <v>113.22429267448291</v>
      </c>
      <c r="W442" s="16">
        <f>('Gearing Calculator'!$U$9*'Track Data'!T442)+'Track Data'!V442</f>
        <v>1786.9160091694382</v>
      </c>
      <c r="X442" s="16">
        <f>('Gearing Calculator'!$U$9*9.81)*('Gearing Calculator'!$U$16/'Gearing Calculator'!$C$7)-(('Track Data'!W442)*('Gearing Calculator'!$U$17/'Gearing Calculator'!$C$7))</f>
        <v>427.17103983758352</v>
      </c>
      <c r="Y442" s="16">
        <f>('Gearing Calculator'!$U$9*9.81)*(('Gearing Calculator'!$C$7-'Gearing Calculator'!$U$16)/'Gearing Calculator'!$C$7)+(('Track Data'!W442)*('Gearing Calculator'!$U$17/'Gearing Calculator'!$C$7))</f>
        <v>2184.2509601624165</v>
      </c>
      <c r="Z442" s="16">
        <f>((X442*COS('Gearing Calculator'!$C$21))/'Gearing Calculator'!$C$22)/2</f>
        <v>13.206777524884764</v>
      </c>
      <c r="AA442" s="16">
        <f>Y442/'Gearing Calculator'!$C$24</f>
        <v>30.49946948247559</v>
      </c>
      <c r="AB442" s="16">
        <f t="shared" si="51"/>
        <v>125.79898626197318</v>
      </c>
      <c r="AC442" s="16">
        <v>0</v>
      </c>
      <c r="AD442" s="16">
        <v>-50.419976243670298</v>
      </c>
      <c r="AE442" s="16">
        <v>439</v>
      </c>
      <c r="AF442" s="16">
        <f>IF(AC442=0,IF(O442=6,INDEX(Acceleration!$V$4:$V$110,MATCH('Track Data'!S442,Acceleration!$K$4:$K$110,0)),IF('Track Data'!O442=5,INDEX(Acceleration!$U$4:$U$110,MATCH('Track Data'!S442,Acceleration!$K$4:$K$110,0)),1)),U442)</f>
        <v>1</v>
      </c>
      <c r="AG442" s="16">
        <f>IF(AC442=0,IF(O442=4,INDEX(Acceleration!$T$4:$T$110,MATCH('Track Data'!S442,Acceleration!$K$4:$K$110,0)),IF('Track Data'!O442=3,INDEX(Acceleration!$S$4:$S$110,MATCH('Track Data'!S442,Acceleration!$K$4:$K$110,0)),'Track Data'!AF442)),'Track Data'!U442)</f>
        <v>1</v>
      </c>
      <c r="AH442" s="16">
        <f>IF(AC442=0,IF(O442=2,INDEX(Acceleration!$R$4:$R$110,MATCH('Track Data'!S442,Acceleration!$K$4:$K$110,0)),IF('Track Data'!O442=1,INDEX(Acceleration!$Q$4:$Q$110,MATCH('Track Data'!S442,Acceleration!$K$4:$K$110,0)),'Track Data'!AG442)),'Track Data'!U442)</f>
        <v>6.2873467937451366</v>
      </c>
    </row>
    <row r="443" spans="2:34" x14ac:dyDescent="0.25">
      <c r="B443" s="16">
        <v>209.399</v>
      </c>
      <c r="C443" s="16">
        <v>7713</v>
      </c>
      <c r="D443" s="16">
        <v>440</v>
      </c>
      <c r="E443" s="113">
        <v>106</v>
      </c>
      <c r="F443" s="113">
        <v>107</v>
      </c>
      <c r="G443" s="113">
        <v>99.5</v>
      </c>
      <c r="H443" s="113">
        <f t="shared" si="47"/>
        <v>27.638888888888889</v>
      </c>
      <c r="I443" s="113">
        <v>11.1</v>
      </c>
      <c r="J443" s="113">
        <v>66.06</v>
      </c>
      <c r="K443" s="113">
        <v>-67.099999999999994</v>
      </c>
      <c r="L443" s="183"/>
      <c r="M443" s="16">
        <v>440</v>
      </c>
      <c r="N443" s="16">
        <f t="shared" si="49"/>
        <v>3.0574200371758519E-2</v>
      </c>
      <c r="O443" s="16">
        <v>2</v>
      </c>
      <c r="P443" s="16">
        <f t="shared" si="45"/>
        <v>12.715447154471546</v>
      </c>
      <c r="Q443" s="16">
        <f t="shared" si="50"/>
        <v>32.707314920448518</v>
      </c>
      <c r="R443" s="113">
        <f t="shared" si="46"/>
        <v>373.41300000000001</v>
      </c>
      <c r="S443" s="16">
        <f>IF(S442=15800,15800,ROUND((((Q443*60)/'Gearing Calculator'!$C$14)*'Track Data'!P443),-2))</f>
        <v>12600</v>
      </c>
      <c r="T443" s="16">
        <f t="shared" si="48"/>
        <v>6.2873467937451366</v>
      </c>
      <c r="U443" s="16">
        <f>IF(AC443=100,Braking!$AG$2354,IF(AC443=50,Braking!$AG$1179,IF(AC443=75,Braking!$AG$1767,0)))</f>
        <v>0</v>
      </c>
      <c r="V443" s="16">
        <f>0.5*'Gearing Calculator'!$C$15*'Gearing Calculator'!$C$20*'Gearing Calculator'!$W$20*('Track Data'!Q443^2)</f>
        <v>113.22429267448291</v>
      </c>
      <c r="W443" s="16">
        <f>('Gearing Calculator'!$U$9*'Track Data'!T443)+'Track Data'!V443</f>
        <v>1786.9160091694382</v>
      </c>
      <c r="X443" s="16">
        <f>('Gearing Calculator'!$U$9*9.81)*('Gearing Calculator'!$U$16/'Gearing Calculator'!$C$7)-(('Track Data'!W443)*('Gearing Calculator'!$U$17/'Gearing Calculator'!$C$7))</f>
        <v>427.17103983758352</v>
      </c>
      <c r="Y443" s="16">
        <f>('Gearing Calculator'!$U$9*9.81)*(('Gearing Calculator'!$C$7-'Gearing Calculator'!$U$16)/'Gearing Calculator'!$C$7)+(('Track Data'!W443)*('Gearing Calculator'!$U$17/'Gearing Calculator'!$C$7))</f>
        <v>2184.2509601624165</v>
      </c>
      <c r="Z443" s="16">
        <f>((X443*COS('Gearing Calculator'!$C$21))/'Gearing Calculator'!$C$22)/2</f>
        <v>13.206777524884764</v>
      </c>
      <c r="AA443" s="16">
        <f>Y443/'Gearing Calculator'!$C$24</f>
        <v>30.49946948247559</v>
      </c>
      <c r="AB443" s="16">
        <f t="shared" si="51"/>
        <v>125.79898626197318</v>
      </c>
      <c r="AC443" s="16">
        <v>0</v>
      </c>
      <c r="AD443" s="16">
        <v>-50.419976243670298</v>
      </c>
      <c r="AE443" s="16">
        <v>440</v>
      </c>
      <c r="AF443" s="16">
        <f>IF(AC443=0,IF(O443=6,INDEX(Acceleration!$V$4:$V$110,MATCH('Track Data'!S443,Acceleration!$K$4:$K$110,0)),IF('Track Data'!O443=5,INDEX(Acceleration!$U$4:$U$110,MATCH('Track Data'!S443,Acceleration!$K$4:$K$110,0)),1)),U443)</f>
        <v>1</v>
      </c>
      <c r="AG443" s="16">
        <f>IF(AC443=0,IF(O443=4,INDEX(Acceleration!$T$4:$T$110,MATCH('Track Data'!S443,Acceleration!$K$4:$K$110,0)),IF('Track Data'!O443=3,INDEX(Acceleration!$S$4:$S$110,MATCH('Track Data'!S443,Acceleration!$K$4:$K$110,0)),'Track Data'!AF443)),'Track Data'!U443)</f>
        <v>1</v>
      </c>
      <c r="AH443" s="16">
        <f>IF(AC443=0,IF(O443=2,INDEX(Acceleration!$R$4:$R$110,MATCH('Track Data'!S443,Acceleration!$K$4:$K$110,0)),IF('Track Data'!O443=1,INDEX(Acceleration!$Q$4:$Q$110,MATCH('Track Data'!S443,Acceleration!$K$4:$K$110,0)),'Track Data'!AG443)),'Track Data'!U443)</f>
        <v>6.2873467937451366</v>
      </c>
    </row>
    <row r="444" spans="2:34" x14ac:dyDescent="0.25">
      <c r="B444" s="16">
        <v>209.43299999999999</v>
      </c>
      <c r="C444" s="16">
        <v>7714</v>
      </c>
      <c r="D444" s="16">
        <v>441</v>
      </c>
      <c r="E444" s="113">
        <v>107</v>
      </c>
      <c r="F444" s="113">
        <v>106.6</v>
      </c>
      <c r="G444" s="113">
        <v>98.8</v>
      </c>
      <c r="H444" s="113">
        <f t="shared" si="47"/>
        <v>27.444444444444443</v>
      </c>
      <c r="I444" s="113">
        <v>11.5</v>
      </c>
      <c r="J444" s="113">
        <v>69.400000000000006</v>
      </c>
      <c r="K444" s="113">
        <v>-67.099999999999994</v>
      </c>
      <c r="L444" s="183"/>
      <c r="M444" s="16">
        <v>441</v>
      </c>
      <c r="N444" s="16">
        <f t="shared" si="49"/>
        <v>3.0574200371758519E-2</v>
      </c>
      <c r="O444" s="16">
        <v>2</v>
      </c>
      <c r="P444" s="16">
        <f t="shared" si="45"/>
        <v>12.715447154471546</v>
      </c>
      <c r="Q444" s="16">
        <f t="shared" si="50"/>
        <v>32.707314920448518</v>
      </c>
      <c r="R444" s="113">
        <f t="shared" si="46"/>
        <v>373.41300000000001</v>
      </c>
      <c r="S444" s="16">
        <f>IF(S443=15800,15800,ROUND((((Q444*60)/'Gearing Calculator'!$C$14)*'Track Data'!P444),-2))</f>
        <v>12600</v>
      </c>
      <c r="T444" s="16">
        <f t="shared" si="48"/>
        <v>6.2873467937451366</v>
      </c>
      <c r="U444" s="16">
        <f>IF(AC444=100,Braking!$AG$2354,IF(AC444=50,Braking!$AG$1179,IF(AC444=75,Braking!$AG$1767,0)))</f>
        <v>0</v>
      </c>
      <c r="V444" s="16">
        <f>0.5*'Gearing Calculator'!$C$15*'Gearing Calculator'!$C$20*'Gearing Calculator'!$W$20*('Track Data'!Q444^2)</f>
        <v>113.22429267448291</v>
      </c>
      <c r="W444" s="16">
        <f>('Gearing Calculator'!$U$9*'Track Data'!T444)+'Track Data'!V444</f>
        <v>1786.9160091694382</v>
      </c>
      <c r="X444" s="16">
        <f>('Gearing Calculator'!$U$9*9.81)*('Gearing Calculator'!$U$16/'Gearing Calculator'!$C$7)-(('Track Data'!W444)*('Gearing Calculator'!$U$17/'Gearing Calculator'!$C$7))</f>
        <v>427.17103983758352</v>
      </c>
      <c r="Y444" s="16">
        <f>('Gearing Calculator'!$U$9*9.81)*(('Gearing Calculator'!$C$7-'Gearing Calculator'!$U$16)/'Gearing Calculator'!$C$7)+(('Track Data'!W444)*('Gearing Calculator'!$U$17/'Gearing Calculator'!$C$7))</f>
        <v>2184.2509601624165</v>
      </c>
      <c r="Z444" s="16">
        <f>((X444*COS('Gearing Calculator'!$C$21))/'Gearing Calculator'!$C$22)/2</f>
        <v>13.206777524884764</v>
      </c>
      <c r="AA444" s="16">
        <f>Y444/'Gearing Calculator'!$C$24</f>
        <v>30.49946948247559</v>
      </c>
      <c r="AB444" s="16">
        <f t="shared" si="51"/>
        <v>125.79898626197318</v>
      </c>
      <c r="AC444" s="16">
        <v>0</v>
      </c>
      <c r="AD444" s="16">
        <v>-50.419976243670298</v>
      </c>
      <c r="AE444" s="16">
        <v>441</v>
      </c>
      <c r="AF444" s="16">
        <f>IF(AC444=0,IF(O444=6,INDEX(Acceleration!$V$4:$V$110,MATCH('Track Data'!S444,Acceleration!$K$4:$K$110,0)),IF('Track Data'!O444=5,INDEX(Acceleration!$U$4:$U$110,MATCH('Track Data'!S444,Acceleration!$K$4:$K$110,0)),1)),U444)</f>
        <v>1</v>
      </c>
      <c r="AG444" s="16">
        <f>IF(AC444=0,IF(O444=4,INDEX(Acceleration!$T$4:$T$110,MATCH('Track Data'!S444,Acceleration!$K$4:$K$110,0)),IF('Track Data'!O444=3,INDEX(Acceleration!$S$4:$S$110,MATCH('Track Data'!S444,Acceleration!$K$4:$K$110,0)),'Track Data'!AF444)),'Track Data'!U444)</f>
        <v>1</v>
      </c>
      <c r="AH444" s="16">
        <f>IF(AC444=0,IF(O444=2,INDEX(Acceleration!$R$4:$R$110,MATCH('Track Data'!S444,Acceleration!$K$4:$K$110,0)),IF('Track Data'!O444=1,INDEX(Acceleration!$Q$4:$Q$110,MATCH('Track Data'!S444,Acceleration!$K$4:$K$110,0)),'Track Data'!AG444)),'Track Data'!U444)</f>
        <v>6.2873467937451366</v>
      </c>
    </row>
    <row r="445" spans="2:34" x14ac:dyDescent="0.25">
      <c r="B445" s="16">
        <v>209.46600000000001</v>
      </c>
      <c r="C445" s="16">
        <v>7715</v>
      </c>
      <c r="D445" s="16">
        <v>442</v>
      </c>
      <c r="E445" s="113">
        <v>106</v>
      </c>
      <c r="F445" s="113">
        <v>106.1</v>
      </c>
      <c r="G445" s="113">
        <v>98.3</v>
      </c>
      <c r="H445" s="113">
        <f t="shared" si="47"/>
        <v>27.305555555555554</v>
      </c>
      <c r="I445" s="113">
        <v>13</v>
      </c>
      <c r="J445" s="113">
        <v>69.790000000000006</v>
      </c>
      <c r="K445" s="113">
        <v>-64.3</v>
      </c>
      <c r="L445" s="183"/>
      <c r="M445" s="16">
        <v>442</v>
      </c>
      <c r="N445" s="16">
        <f t="shared" si="49"/>
        <v>3.0574200371758519E-2</v>
      </c>
      <c r="O445" s="16">
        <v>2</v>
      </c>
      <c r="P445" s="16">
        <f t="shared" si="45"/>
        <v>12.715447154471546</v>
      </c>
      <c r="Q445" s="16">
        <f t="shared" si="50"/>
        <v>32.707314920448518</v>
      </c>
      <c r="R445" s="113">
        <f t="shared" si="46"/>
        <v>373.41300000000001</v>
      </c>
      <c r="S445" s="16">
        <f>IF(S444=15800,15800,ROUND((((Q445*60)/'Gearing Calculator'!$C$14)*'Track Data'!P445),-2))</f>
        <v>12600</v>
      </c>
      <c r="T445" s="16">
        <f t="shared" si="48"/>
        <v>6.2873467937451366</v>
      </c>
      <c r="U445" s="16">
        <f>IF(AC445=100,Braking!$AG$2354,IF(AC445=50,Braking!$AG$1179,IF(AC445=75,Braking!$AG$1767,0)))</f>
        <v>0</v>
      </c>
      <c r="V445" s="16">
        <f>0.5*'Gearing Calculator'!$C$15*'Gearing Calculator'!$C$20*'Gearing Calculator'!$W$20*('Track Data'!Q445^2)</f>
        <v>113.22429267448291</v>
      </c>
      <c r="W445" s="16">
        <f>('Gearing Calculator'!$U$9*'Track Data'!T445)+'Track Data'!V445</f>
        <v>1786.9160091694382</v>
      </c>
      <c r="X445" s="16">
        <f>('Gearing Calculator'!$U$9*9.81)*('Gearing Calculator'!$U$16/'Gearing Calculator'!$C$7)-(('Track Data'!W445)*('Gearing Calculator'!$U$17/'Gearing Calculator'!$C$7))</f>
        <v>427.17103983758352</v>
      </c>
      <c r="Y445" s="16">
        <f>('Gearing Calculator'!$U$9*9.81)*(('Gearing Calculator'!$C$7-'Gearing Calculator'!$U$16)/'Gearing Calculator'!$C$7)+(('Track Data'!W445)*('Gearing Calculator'!$U$17/'Gearing Calculator'!$C$7))</f>
        <v>2184.2509601624165</v>
      </c>
      <c r="Z445" s="16">
        <f>((X445*COS('Gearing Calculator'!$C$21))/'Gearing Calculator'!$C$22)/2</f>
        <v>13.206777524884764</v>
      </c>
      <c r="AA445" s="16">
        <f>Y445/'Gearing Calculator'!$C$24</f>
        <v>30.49946948247559</v>
      </c>
      <c r="AB445" s="16">
        <f t="shared" si="51"/>
        <v>125.79898626197318</v>
      </c>
      <c r="AC445" s="16">
        <v>0</v>
      </c>
      <c r="AD445" s="16">
        <v>-50.419976243670298</v>
      </c>
      <c r="AE445" s="16">
        <v>442</v>
      </c>
      <c r="AF445" s="16">
        <f>IF(AC445=0,IF(O445=6,INDEX(Acceleration!$V$4:$V$110,MATCH('Track Data'!S445,Acceleration!$K$4:$K$110,0)),IF('Track Data'!O445=5,INDEX(Acceleration!$U$4:$U$110,MATCH('Track Data'!S445,Acceleration!$K$4:$K$110,0)),1)),U445)</f>
        <v>1</v>
      </c>
      <c r="AG445" s="16">
        <f>IF(AC445=0,IF(O445=4,INDEX(Acceleration!$T$4:$T$110,MATCH('Track Data'!S445,Acceleration!$K$4:$K$110,0)),IF('Track Data'!O445=3,INDEX(Acceleration!$S$4:$S$110,MATCH('Track Data'!S445,Acceleration!$K$4:$K$110,0)),'Track Data'!AF445)),'Track Data'!U445)</f>
        <v>1</v>
      </c>
      <c r="AH445" s="16">
        <f>IF(AC445=0,IF(O445=2,INDEX(Acceleration!$R$4:$R$110,MATCH('Track Data'!S445,Acceleration!$K$4:$K$110,0)),IF('Track Data'!O445=1,INDEX(Acceleration!$Q$4:$Q$110,MATCH('Track Data'!S445,Acceleration!$K$4:$K$110,0)),'Track Data'!AG445)),'Track Data'!U445)</f>
        <v>6.2873467937451366</v>
      </c>
    </row>
    <row r="446" spans="2:34" x14ac:dyDescent="0.25">
      <c r="B446" s="16">
        <v>209.501</v>
      </c>
      <c r="C446" s="16">
        <v>7716</v>
      </c>
      <c r="D446" s="16">
        <v>443</v>
      </c>
      <c r="E446" s="113">
        <v>106</v>
      </c>
      <c r="F446" s="113">
        <v>105.6</v>
      </c>
      <c r="G446" s="113">
        <v>97.6</v>
      </c>
      <c r="H446" s="113">
        <f t="shared" si="47"/>
        <v>27.111111111111107</v>
      </c>
      <c r="I446" s="113">
        <v>14.2</v>
      </c>
      <c r="J446" s="113">
        <v>68.819999999999993</v>
      </c>
      <c r="K446" s="113">
        <v>-59.3</v>
      </c>
      <c r="L446" s="183"/>
      <c r="M446" s="16">
        <v>443</v>
      </c>
      <c r="N446" s="16">
        <f t="shared" si="49"/>
        <v>3.0574200371758519E-2</v>
      </c>
      <c r="O446" s="16">
        <v>2</v>
      </c>
      <c r="P446" s="16">
        <f t="shared" si="45"/>
        <v>12.715447154471546</v>
      </c>
      <c r="Q446" s="16">
        <f t="shared" si="50"/>
        <v>32.707314920448518</v>
      </c>
      <c r="R446" s="113">
        <f t="shared" si="46"/>
        <v>373.41300000000001</v>
      </c>
      <c r="S446" s="16">
        <f>IF(S445=15800,15800,ROUND((((Q446*60)/'Gearing Calculator'!$C$14)*'Track Data'!P446),-2))</f>
        <v>12600</v>
      </c>
      <c r="T446" s="16">
        <f t="shared" si="48"/>
        <v>6.2873467937451366</v>
      </c>
      <c r="U446" s="16">
        <f>IF(AC446=100,Braking!$AG$2354,IF(AC446=50,Braking!$AG$1179,IF(AC446=75,Braking!$AG$1767,0)))</f>
        <v>0</v>
      </c>
      <c r="V446" s="16">
        <f>0.5*'Gearing Calculator'!$C$15*'Gearing Calculator'!$C$20*'Gearing Calculator'!$W$20*('Track Data'!Q446^2)</f>
        <v>113.22429267448291</v>
      </c>
      <c r="W446" s="16">
        <f>('Gearing Calculator'!$U$9*'Track Data'!T446)+'Track Data'!V446</f>
        <v>1786.9160091694382</v>
      </c>
      <c r="X446" s="16">
        <f>('Gearing Calculator'!$U$9*9.81)*('Gearing Calculator'!$U$16/'Gearing Calculator'!$C$7)-(('Track Data'!W446)*('Gearing Calculator'!$U$17/'Gearing Calculator'!$C$7))</f>
        <v>427.17103983758352</v>
      </c>
      <c r="Y446" s="16">
        <f>('Gearing Calculator'!$U$9*9.81)*(('Gearing Calculator'!$C$7-'Gearing Calculator'!$U$16)/'Gearing Calculator'!$C$7)+(('Track Data'!W446)*('Gearing Calculator'!$U$17/'Gearing Calculator'!$C$7))</f>
        <v>2184.2509601624165</v>
      </c>
      <c r="Z446" s="16">
        <f>((X446*COS('Gearing Calculator'!$C$21))/'Gearing Calculator'!$C$22)/2</f>
        <v>13.206777524884764</v>
      </c>
      <c r="AA446" s="16">
        <f>Y446/'Gearing Calculator'!$C$24</f>
        <v>30.49946948247559</v>
      </c>
      <c r="AB446" s="16">
        <f t="shared" si="51"/>
        <v>125.79898626197318</v>
      </c>
      <c r="AC446" s="16">
        <v>0</v>
      </c>
      <c r="AD446" s="16">
        <v>-50.419976243670298</v>
      </c>
      <c r="AE446" s="16">
        <v>443</v>
      </c>
      <c r="AF446" s="16">
        <f>IF(AC446=0,IF(O446=6,INDEX(Acceleration!$V$4:$V$110,MATCH('Track Data'!S446,Acceleration!$K$4:$K$110,0)),IF('Track Data'!O446=5,INDEX(Acceleration!$U$4:$U$110,MATCH('Track Data'!S446,Acceleration!$K$4:$K$110,0)),1)),U446)</f>
        <v>1</v>
      </c>
      <c r="AG446" s="16">
        <f>IF(AC446=0,IF(O446=4,INDEX(Acceleration!$T$4:$T$110,MATCH('Track Data'!S446,Acceleration!$K$4:$K$110,0)),IF('Track Data'!O446=3,INDEX(Acceleration!$S$4:$S$110,MATCH('Track Data'!S446,Acceleration!$K$4:$K$110,0)),'Track Data'!AF446)),'Track Data'!U446)</f>
        <v>1</v>
      </c>
      <c r="AH446" s="16">
        <f>IF(AC446=0,IF(O446=2,INDEX(Acceleration!$R$4:$R$110,MATCH('Track Data'!S446,Acceleration!$K$4:$K$110,0)),IF('Track Data'!O446=1,INDEX(Acceleration!$Q$4:$Q$110,MATCH('Track Data'!S446,Acceleration!$K$4:$K$110,0)),'Track Data'!AG446)),'Track Data'!U446)</f>
        <v>6.2873467937451366</v>
      </c>
    </row>
    <row r="447" spans="2:34" x14ac:dyDescent="0.25">
      <c r="B447" s="16">
        <v>209.53399999999999</v>
      </c>
      <c r="C447" s="16">
        <v>7717</v>
      </c>
      <c r="D447" s="16">
        <v>444</v>
      </c>
      <c r="E447" s="113">
        <v>106</v>
      </c>
      <c r="F447" s="113">
        <v>105.6</v>
      </c>
      <c r="G447" s="113">
        <v>97.1</v>
      </c>
      <c r="H447" s="113">
        <f t="shared" si="47"/>
        <v>26.972222222222221</v>
      </c>
      <c r="I447" s="113">
        <v>14.9</v>
      </c>
      <c r="J447" s="113">
        <v>67.989999999999995</v>
      </c>
      <c r="K447" s="113">
        <v>-57.1</v>
      </c>
      <c r="L447" s="183"/>
      <c r="M447" s="16">
        <v>444</v>
      </c>
      <c r="N447" s="16">
        <f t="shared" si="49"/>
        <v>3.0574200371758519E-2</v>
      </c>
      <c r="O447" s="16">
        <v>2</v>
      </c>
      <c r="P447" s="16">
        <f t="shared" si="45"/>
        <v>12.715447154471546</v>
      </c>
      <c r="Q447" s="16">
        <f t="shared" si="50"/>
        <v>32.707314920448518</v>
      </c>
      <c r="R447" s="113">
        <f t="shared" si="46"/>
        <v>373.41300000000001</v>
      </c>
      <c r="S447" s="16">
        <f>IF(S446=15800,15800,ROUND((((Q447*60)/'Gearing Calculator'!$C$14)*'Track Data'!P447),-2))</f>
        <v>12600</v>
      </c>
      <c r="T447" s="16">
        <f t="shared" si="48"/>
        <v>6.2873467937451366</v>
      </c>
      <c r="U447" s="16">
        <f>IF(AC447=100,Braking!$AG$2354,IF(AC447=50,Braking!$AG$1179,IF(AC447=75,Braking!$AG$1767,0)))</f>
        <v>0</v>
      </c>
      <c r="V447" s="16">
        <f>0.5*'Gearing Calculator'!$C$15*'Gearing Calculator'!$C$20*'Gearing Calculator'!$W$20*('Track Data'!Q447^2)</f>
        <v>113.22429267448291</v>
      </c>
      <c r="W447" s="16">
        <f>('Gearing Calculator'!$U$9*'Track Data'!T447)+'Track Data'!V447</f>
        <v>1786.9160091694382</v>
      </c>
      <c r="X447" s="16">
        <f>('Gearing Calculator'!$U$9*9.81)*('Gearing Calculator'!$U$16/'Gearing Calculator'!$C$7)-(('Track Data'!W447)*('Gearing Calculator'!$U$17/'Gearing Calculator'!$C$7))</f>
        <v>427.17103983758352</v>
      </c>
      <c r="Y447" s="16">
        <f>('Gearing Calculator'!$U$9*9.81)*(('Gearing Calculator'!$C$7-'Gearing Calculator'!$U$16)/'Gearing Calculator'!$C$7)+(('Track Data'!W447)*('Gearing Calculator'!$U$17/'Gearing Calculator'!$C$7))</f>
        <v>2184.2509601624165</v>
      </c>
      <c r="Z447" s="16">
        <f>((X447*COS('Gearing Calculator'!$C$21))/'Gearing Calculator'!$C$22)/2</f>
        <v>13.206777524884764</v>
      </c>
      <c r="AA447" s="16">
        <f>Y447/'Gearing Calculator'!$C$24</f>
        <v>30.49946948247559</v>
      </c>
      <c r="AB447" s="16">
        <f t="shared" si="51"/>
        <v>125.79898626197318</v>
      </c>
      <c r="AC447" s="16">
        <v>0</v>
      </c>
      <c r="AD447" s="16">
        <v>-50.419976243670298</v>
      </c>
      <c r="AE447" s="16">
        <v>444</v>
      </c>
      <c r="AF447" s="16">
        <f>IF(AC447=0,IF(O447=6,INDEX(Acceleration!$V$4:$V$110,MATCH('Track Data'!S447,Acceleration!$K$4:$K$110,0)),IF('Track Data'!O447=5,INDEX(Acceleration!$U$4:$U$110,MATCH('Track Data'!S447,Acceleration!$K$4:$K$110,0)),1)),U447)</f>
        <v>1</v>
      </c>
      <c r="AG447" s="16">
        <f>IF(AC447=0,IF(O447=4,INDEX(Acceleration!$T$4:$T$110,MATCH('Track Data'!S447,Acceleration!$K$4:$K$110,0)),IF('Track Data'!O447=3,INDEX(Acceleration!$S$4:$S$110,MATCH('Track Data'!S447,Acceleration!$K$4:$K$110,0)),'Track Data'!AF447)),'Track Data'!U447)</f>
        <v>1</v>
      </c>
      <c r="AH447" s="16">
        <f>IF(AC447=0,IF(O447=2,INDEX(Acceleration!$R$4:$R$110,MATCH('Track Data'!S447,Acceleration!$K$4:$K$110,0)),IF('Track Data'!O447=1,INDEX(Acceleration!$Q$4:$Q$110,MATCH('Track Data'!S447,Acceleration!$K$4:$K$110,0)),'Track Data'!AG447)),'Track Data'!U447)</f>
        <v>6.2873467937451366</v>
      </c>
    </row>
    <row r="448" spans="2:34" x14ac:dyDescent="0.25">
      <c r="B448" s="16">
        <v>209.56800000000001</v>
      </c>
      <c r="C448" s="16">
        <v>7718</v>
      </c>
      <c r="D448" s="16">
        <v>445</v>
      </c>
      <c r="E448" s="113">
        <v>106</v>
      </c>
      <c r="F448" s="113">
        <v>105.4</v>
      </c>
      <c r="G448" s="113">
        <v>96.7</v>
      </c>
      <c r="H448" s="113">
        <f t="shared" si="47"/>
        <v>26.861111111111111</v>
      </c>
      <c r="I448" s="113">
        <v>14.8</v>
      </c>
      <c r="J448" s="113">
        <v>69.680000000000007</v>
      </c>
      <c r="K448" s="113">
        <v>-56.5</v>
      </c>
      <c r="L448" s="183"/>
      <c r="M448" s="16">
        <v>445</v>
      </c>
      <c r="N448" s="16">
        <f t="shared" si="49"/>
        <v>3.0574200371758519E-2</v>
      </c>
      <c r="O448" s="16">
        <v>2</v>
      </c>
      <c r="P448" s="16">
        <f t="shared" si="45"/>
        <v>12.715447154471546</v>
      </c>
      <c r="Q448" s="16">
        <f t="shared" si="50"/>
        <v>32.707314920448518</v>
      </c>
      <c r="R448" s="113">
        <f t="shared" si="46"/>
        <v>373.41300000000001</v>
      </c>
      <c r="S448" s="16">
        <f>IF(S447=15800,15800,ROUND((((Q448*60)/'Gearing Calculator'!$C$14)*'Track Data'!P448),-2))</f>
        <v>12600</v>
      </c>
      <c r="T448" s="16">
        <f t="shared" si="48"/>
        <v>6.2873467937451366</v>
      </c>
      <c r="U448" s="16">
        <f>IF(AC448=100,Braking!$AG$2354,IF(AC448=50,Braking!$AG$1179,IF(AC448=75,Braking!$AG$1767,0)))</f>
        <v>0</v>
      </c>
      <c r="V448" s="16">
        <f>0.5*'Gearing Calculator'!$C$15*'Gearing Calculator'!$C$20*'Gearing Calculator'!$W$20*('Track Data'!Q448^2)</f>
        <v>113.22429267448291</v>
      </c>
      <c r="W448" s="16">
        <f>('Gearing Calculator'!$U$9*'Track Data'!T448)+'Track Data'!V448</f>
        <v>1786.9160091694382</v>
      </c>
      <c r="X448" s="16">
        <f>('Gearing Calculator'!$U$9*9.81)*('Gearing Calculator'!$U$16/'Gearing Calculator'!$C$7)-(('Track Data'!W448)*('Gearing Calculator'!$U$17/'Gearing Calculator'!$C$7))</f>
        <v>427.17103983758352</v>
      </c>
      <c r="Y448" s="16">
        <f>('Gearing Calculator'!$U$9*9.81)*(('Gearing Calculator'!$C$7-'Gearing Calculator'!$U$16)/'Gearing Calculator'!$C$7)+(('Track Data'!W448)*('Gearing Calculator'!$U$17/'Gearing Calculator'!$C$7))</f>
        <v>2184.2509601624165</v>
      </c>
      <c r="Z448" s="16">
        <f>((X448*COS('Gearing Calculator'!$C$21))/'Gearing Calculator'!$C$22)/2</f>
        <v>13.206777524884764</v>
      </c>
      <c r="AA448" s="16">
        <f>Y448/'Gearing Calculator'!$C$24</f>
        <v>30.49946948247559</v>
      </c>
      <c r="AB448" s="16">
        <f t="shared" si="51"/>
        <v>125.79898626197318</v>
      </c>
      <c r="AC448" s="16">
        <v>0</v>
      </c>
      <c r="AD448" s="16">
        <v>-50.419976243670298</v>
      </c>
      <c r="AE448" s="16">
        <v>445</v>
      </c>
      <c r="AF448" s="16">
        <f>IF(AC448=0,IF(O448=6,INDEX(Acceleration!$V$4:$V$110,MATCH('Track Data'!S448,Acceleration!$K$4:$K$110,0)),IF('Track Data'!O448=5,INDEX(Acceleration!$U$4:$U$110,MATCH('Track Data'!S448,Acceleration!$K$4:$K$110,0)),1)),U448)</f>
        <v>1</v>
      </c>
      <c r="AG448" s="16">
        <f>IF(AC448=0,IF(O448=4,INDEX(Acceleration!$T$4:$T$110,MATCH('Track Data'!S448,Acceleration!$K$4:$K$110,0)),IF('Track Data'!O448=3,INDEX(Acceleration!$S$4:$S$110,MATCH('Track Data'!S448,Acceleration!$K$4:$K$110,0)),'Track Data'!AF448)),'Track Data'!U448)</f>
        <v>1</v>
      </c>
      <c r="AH448" s="16">
        <f>IF(AC448=0,IF(O448=2,INDEX(Acceleration!$R$4:$R$110,MATCH('Track Data'!S448,Acceleration!$K$4:$K$110,0)),IF('Track Data'!O448=1,INDEX(Acceleration!$Q$4:$Q$110,MATCH('Track Data'!S448,Acceleration!$K$4:$K$110,0)),'Track Data'!AG448)),'Track Data'!U448)</f>
        <v>6.2873467937451366</v>
      </c>
    </row>
    <row r="449" spans="2:34" x14ac:dyDescent="0.25">
      <c r="B449" s="16">
        <v>209.602</v>
      </c>
      <c r="C449" s="16">
        <v>7719</v>
      </c>
      <c r="D449" s="16">
        <v>446</v>
      </c>
      <c r="E449" s="113">
        <v>107</v>
      </c>
      <c r="F449" s="113">
        <v>104.9</v>
      </c>
      <c r="G449" s="113">
        <v>96.2</v>
      </c>
      <c r="H449" s="113">
        <f t="shared" si="47"/>
        <v>26.722222222222221</v>
      </c>
      <c r="I449" s="113">
        <v>15.7</v>
      </c>
      <c r="J449" s="113">
        <v>71.23</v>
      </c>
      <c r="K449" s="113">
        <v>-55.5</v>
      </c>
      <c r="L449" s="183"/>
      <c r="M449" s="16">
        <v>446</v>
      </c>
      <c r="N449" s="16">
        <f t="shared" si="49"/>
        <v>3.0574200371758519E-2</v>
      </c>
      <c r="O449" s="16">
        <v>2</v>
      </c>
      <c r="P449" s="16">
        <f t="shared" si="45"/>
        <v>12.715447154471546</v>
      </c>
      <c r="Q449" s="16">
        <f t="shared" si="50"/>
        <v>32.707314920448518</v>
      </c>
      <c r="R449" s="113">
        <f t="shared" si="46"/>
        <v>373.41300000000001</v>
      </c>
      <c r="S449" s="16">
        <f>IF(S448=15800,15800,ROUND((((Q449*60)/'Gearing Calculator'!$C$14)*'Track Data'!P449),-2))</f>
        <v>12600</v>
      </c>
      <c r="T449" s="16">
        <f t="shared" si="48"/>
        <v>6.2873467937451366</v>
      </c>
      <c r="U449" s="16">
        <f>IF(AC449=100,Braking!$AG$2354,IF(AC449=50,Braking!$AG$1179,IF(AC449=75,Braking!$AG$1767,0)))</f>
        <v>0</v>
      </c>
      <c r="V449" s="16">
        <f>0.5*'Gearing Calculator'!$C$15*'Gearing Calculator'!$C$20*'Gearing Calculator'!$W$20*('Track Data'!Q449^2)</f>
        <v>113.22429267448291</v>
      </c>
      <c r="W449" s="16">
        <f>('Gearing Calculator'!$U$9*'Track Data'!T449)+'Track Data'!V449</f>
        <v>1786.9160091694382</v>
      </c>
      <c r="X449" s="16">
        <f>('Gearing Calculator'!$U$9*9.81)*('Gearing Calculator'!$U$16/'Gearing Calculator'!$C$7)-(('Track Data'!W449)*('Gearing Calculator'!$U$17/'Gearing Calculator'!$C$7))</f>
        <v>427.17103983758352</v>
      </c>
      <c r="Y449" s="16">
        <f>('Gearing Calculator'!$U$9*9.81)*(('Gearing Calculator'!$C$7-'Gearing Calculator'!$U$16)/'Gearing Calculator'!$C$7)+(('Track Data'!W449)*('Gearing Calculator'!$U$17/'Gearing Calculator'!$C$7))</f>
        <v>2184.2509601624165</v>
      </c>
      <c r="Z449" s="16">
        <f>((X449*COS('Gearing Calculator'!$C$21))/'Gearing Calculator'!$C$22)/2</f>
        <v>13.206777524884764</v>
      </c>
      <c r="AA449" s="16">
        <f>Y449/'Gearing Calculator'!$C$24</f>
        <v>30.49946948247559</v>
      </c>
      <c r="AB449" s="16">
        <f t="shared" si="51"/>
        <v>125.79898626197318</v>
      </c>
      <c r="AC449" s="16">
        <v>0</v>
      </c>
      <c r="AD449" s="16">
        <v>-50.419976243670298</v>
      </c>
      <c r="AE449" s="16">
        <v>446</v>
      </c>
      <c r="AF449" s="16">
        <f>IF(AC449=0,IF(O449=6,INDEX(Acceleration!$V$4:$V$110,MATCH('Track Data'!S449,Acceleration!$K$4:$K$110,0)),IF('Track Data'!O449=5,INDEX(Acceleration!$U$4:$U$110,MATCH('Track Data'!S449,Acceleration!$K$4:$K$110,0)),1)),U449)</f>
        <v>1</v>
      </c>
      <c r="AG449" s="16">
        <f>IF(AC449=0,IF(O449=4,INDEX(Acceleration!$T$4:$T$110,MATCH('Track Data'!S449,Acceleration!$K$4:$K$110,0)),IF('Track Data'!O449=3,INDEX(Acceleration!$S$4:$S$110,MATCH('Track Data'!S449,Acceleration!$K$4:$K$110,0)),'Track Data'!AF449)),'Track Data'!U449)</f>
        <v>1</v>
      </c>
      <c r="AH449" s="16">
        <f>IF(AC449=0,IF(O449=2,INDEX(Acceleration!$R$4:$R$110,MATCH('Track Data'!S449,Acceleration!$K$4:$K$110,0)),IF('Track Data'!O449=1,INDEX(Acceleration!$Q$4:$Q$110,MATCH('Track Data'!S449,Acceleration!$K$4:$K$110,0)),'Track Data'!AG449)),'Track Data'!U449)</f>
        <v>6.2873467937451366</v>
      </c>
    </row>
    <row r="450" spans="2:34" x14ac:dyDescent="0.25">
      <c r="B450" s="16">
        <v>209.637</v>
      </c>
      <c r="C450" s="16">
        <v>7720</v>
      </c>
      <c r="D450" s="16">
        <v>447</v>
      </c>
      <c r="E450" s="113">
        <v>107</v>
      </c>
      <c r="F450" s="113">
        <v>105</v>
      </c>
      <c r="G450" s="113">
        <v>95.8</v>
      </c>
      <c r="H450" s="113">
        <f t="shared" si="47"/>
        <v>26.611111111111111</v>
      </c>
      <c r="I450" s="113">
        <v>17.5</v>
      </c>
      <c r="J450" s="113">
        <v>74.290000000000006</v>
      </c>
      <c r="K450" s="113">
        <v>-54.3</v>
      </c>
      <c r="L450" s="183"/>
      <c r="M450" s="16">
        <v>447</v>
      </c>
      <c r="N450" s="16">
        <f t="shared" si="49"/>
        <v>3.0574200371758519E-2</v>
      </c>
      <c r="O450" s="16">
        <v>2</v>
      </c>
      <c r="P450" s="16">
        <f t="shared" si="45"/>
        <v>12.715447154471546</v>
      </c>
      <c r="Q450" s="16">
        <f t="shared" si="50"/>
        <v>32.707314920448518</v>
      </c>
      <c r="R450" s="113">
        <f t="shared" si="46"/>
        <v>373.41300000000001</v>
      </c>
      <c r="S450" s="16">
        <f>IF(S449=15800,15800,ROUND((((Q450*60)/'Gearing Calculator'!$C$14)*'Track Data'!P450),-2))</f>
        <v>12600</v>
      </c>
      <c r="T450" s="16">
        <f t="shared" si="48"/>
        <v>6.2873467937451366</v>
      </c>
      <c r="U450" s="16">
        <f>IF(AC450=100,Braking!$AG$2354,IF(AC450=50,Braking!$AG$1179,IF(AC450=75,Braking!$AG$1767,0)))</f>
        <v>0</v>
      </c>
      <c r="V450" s="16">
        <f>0.5*'Gearing Calculator'!$C$15*'Gearing Calculator'!$C$20*'Gearing Calculator'!$W$20*('Track Data'!Q450^2)</f>
        <v>113.22429267448291</v>
      </c>
      <c r="W450" s="16">
        <f>('Gearing Calculator'!$U$9*'Track Data'!T450)+'Track Data'!V450</f>
        <v>1786.9160091694382</v>
      </c>
      <c r="X450" s="16">
        <f>('Gearing Calculator'!$U$9*9.81)*('Gearing Calculator'!$U$16/'Gearing Calculator'!$C$7)-(('Track Data'!W450)*('Gearing Calculator'!$U$17/'Gearing Calculator'!$C$7))</f>
        <v>427.17103983758352</v>
      </c>
      <c r="Y450" s="16">
        <f>('Gearing Calculator'!$U$9*9.81)*(('Gearing Calculator'!$C$7-'Gearing Calculator'!$U$16)/'Gearing Calculator'!$C$7)+(('Track Data'!W450)*('Gearing Calculator'!$U$17/'Gearing Calculator'!$C$7))</f>
        <v>2184.2509601624165</v>
      </c>
      <c r="Z450" s="16">
        <f>((X450*COS('Gearing Calculator'!$C$21))/'Gearing Calculator'!$C$22)/2</f>
        <v>13.206777524884764</v>
      </c>
      <c r="AA450" s="16">
        <f>Y450/'Gearing Calculator'!$C$24</f>
        <v>30.49946948247559</v>
      </c>
      <c r="AB450" s="16">
        <f t="shared" si="51"/>
        <v>125.79898626197318</v>
      </c>
      <c r="AC450" s="16">
        <v>0</v>
      </c>
      <c r="AD450" s="16">
        <v>-50.419976243670298</v>
      </c>
      <c r="AE450" s="16">
        <v>447</v>
      </c>
      <c r="AF450" s="16">
        <f>IF(AC450=0,IF(O450=6,INDEX(Acceleration!$V$4:$V$110,MATCH('Track Data'!S450,Acceleration!$K$4:$K$110,0)),IF('Track Data'!O450=5,INDEX(Acceleration!$U$4:$U$110,MATCH('Track Data'!S450,Acceleration!$K$4:$K$110,0)),1)),U450)</f>
        <v>1</v>
      </c>
      <c r="AG450" s="16">
        <f>IF(AC450=0,IF(O450=4,INDEX(Acceleration!$T$4:$T$110,MATCH('Track Data'!S450,Acceleration!$K$4:$K$110,0)),IF('Track Data'!O450=3,INDEX(Acceleration!$S$4:$S$110,MATCH('Track Data'!S450,Acceleration!$K$4:$K$110,0)),'Track Data'!AF450)),'Track Data'!U450)</f>
        <v>1</v>
      </c>
      <c r="AH450" s="16">
        <f>IF(AC450=0,IF(O450=2,INDEX(Acceleration!$R$4:$R$110,MATCH('Track Data'!S450,Acceleration!$K$4:$K$110,0)),IF('Track Data'!O450=1,INDEX(Acceleration!$Q$4:$Q$110,MATCH('Track Data'!S450,Acceleration!$K$4:$K$110,0)),'Track Data'!AG450)),'Track Data'!U450)</f>
        <v>6.2873467937451366</v>
      </c>
    </row>
    <row r="451" spans="2:34" x14ac:dyDescent="0.25">
      <c r="B451" s="16">
        <v>209.67099999999999</v>
      </c>
      <c r="C451" s="16">
        <v>7721</v>
      </c>
      <c r="D451" s="16">
        <v>448</v>
      </c>
      <c r="E451" s="113">
        <v>107</v>
      </c>
      <c r="F451" s="113">
        <v>104.4</v>
      </c>
      <c r="G451" s="113">
        <v>95.5</v>
      </c>
      <c r="H451" s="113">
        <f t="shared" si="47"/>
        <v>26.527777777777779</v>
      </c>
      <c r="I451" s="113">
        <v>19.8</v>
      </c>
      <c r="J451" s="113">
        <v>72.150000000000006</v>
      </c>
      <c r="K451" s="113">
        <v>-52.5</v>
      </c>
      <c r="L451" s="183"/>
      <c r="M451" s="16">
        <v>448</v>
      </c>
      <c r="N451" s="16">
        <f t="shared" si="49"/>
        <v>3.0574200371758519E-2</v>
      </c>
      <c r="O451" s="16">
        <v>2</v>
      </c>
      <c r="P451" s="16">
        <f t="shared" si="45"/>
        <v>12.715447154471546</v>
      </c>
      <c r="Q451" s="16">
        <f t="shared" si="50"/>
        <v>32.707314920448518</v>
      </c>
      <c r="R451" s="113">
        <f t="shared" si="46"/>
        <v>373.41300000000001</v>
      </c>
      <c r="S451" s="16">
        <f>IF(S450=15800,15800,ROUND((((Q451*60)/'Gearing Calculator'!$C$14)*'Track Data'!P451),-2))</f>
        <v>12600</v>
      </c>
      <c r="T451" s="16">
        <f t="shared" si="48"/>
        <v>6.2873467937451366</v>
      </c>
      <c r="U451" s="16">
        <f>IF(AC451=100,Braking!$AG$2354,IF(AC451=50,Braking!$AG$1179,IF(AC451=75,Braking!$AG$1767,0)))</f>
        <v>0</v>
      </c>
      <c r="V451" s="16">
        <f>0.5*'Gearing Calculator'!$C$15*'Gearing Calculator'!$C$20*'Gearing Calculator'!$W$20*('Track Data'!Q451^2)</f>
        <v>113.22429267448291</v>
      </c>
      <c r="W451" s="16">
        <f>('Gearing Calculator'!$U$9*'Track Data'!T451)+'Track Data'!V451</f>
        <v>1786.9160091694382</v>
      </c>
      <c r="X451" s="16">
        <f>('Gearing Calculator'!$U$9*9.81)*('Gearing Calculator'!$U$16/'Gearing Calculator'!$C$7)-(('Track Data'!W451)*('Gearing Calculator'!$U$17/'Gearing Calculator'!$C$7))</f>
        <v>427.17103983758352</v>
      </c>
      <c r="Y451" s="16">
        <f>('Gearing Calculator'!$U$9*9.81)*(('Gearing Calculator'!$C$7-'Gearing Calculator'!$U$16)/'Gearing Calculator'!$C$7)+(('Track Data'!W451)*('Gearing Calculator'!$U$17/'Gearing Calculator'!$C$7))</f>
        <v>2184.2509601624165</v>
      </c>
      <c r="Z451" s="16">
        <f>((X451*COS('Gearing Calculator'!$C$21))/'Gearing Calculator'!$C$22)/2</f>
        <v>13.206777524884764</v>
      </c>
      <c r="AA451" s="16">
        <f>Y451/'Gearing Calculator'!$C$24</f>
        <v>30.49946948247559</v>
      </c>
      <c r="AB451" s="16">
        <f t="shared" si="51"/>
        <v>125.79898626197318</v>
      </c>
      <c r="AC451" s="16">
        <v>0</v>
      </c>
      <c r="AD451" s="16">
        <v>-50.419976243670298</v>
      </c>
      <c r="AE451" s="16">
        <v>448</v>
      </c>
      <c r="AF451" s="16">
        <f>IF(AC451=0,IF(O451=6,INDEX(Acceleration!$V$4:$V$110,MATCH('Track Data'!S451,Acceleration!$K$4:$K$110,0)),IF('Track Data'!O451=5,INDEX(Acceleration!$U$4:$U$110,MATCH('Track Data'!S451,Acceleration!$K$4:$K$110,0)),1)),U451)</f>
        <v>1</v>
      </c>
      <c r="AG451" s="16">
        <f>IF(AC451=0,IF(O451=4,INDEX(Acceleration!$T$4:$T$110,MATCH('Track Data'!S451,Acceleration!$K$4:$K$110,0)),IF('Track Data'!O451=3,INDEX(Acceleration!$S$4:$S$110,MATCH('Track Data'!S451,Acceleration!$K$4:$K$110,0)),'Track Data'!AF451)),'Track Data'!U451)</f>
        <v>1</v>
      </c>
      <c r="AH451" s="16">
        <f>IF(AC451=0,IF(O451=2,INDEX(Acceleration!$R$4:$R$110,MATCH('Track Data'!S451,Acceleration!$K$4:$K$110,0)),IF('Track Data'!O451=1,INDEX(Acceleration!$Q$4:$Q$110,MATCH('Track Data'!S451,Acceleration!$K$4:$K$110,0)),'Track Data'!AG451)),'Track Data'!U451)</f>
        <v>6.2873467937451366</v>
      </c>
    </row>
    <row r="452" spans="2:34" x14ac:dyDescent="0.25">
      <c r="B452" s="16">
        <v>209.70500000000001</v>
      </c>
      <c r="C452" s="16">
        <v>7722</v>
      </c>
      <c r="D452" s="16">
        <v>449</v>
      </c>
      <c r="E452" s="113">
        <v>108</v>
      </c>
      <c r="F452" s="113">
        <v>104.4</v>
      </c>
      <c r="G452" s="113">
        <v>95.2</v>
      </c>
      <c r="H452" s="113">
        <f t="shared" si="47"/>
        <v>26.444444444444443</v>
      </c>
      <c r="I452" s="113">
        <v>19.3</v>
      </c>
      <c r="J452" s="113">
        <v>70.56</v>
      </c>
      <c r="K452" s="113">
        <v>-53.6</v>
      </c>
      <c r="L452" s="183"/>
      <c r="M452" s="16">
        <v>449</v>
      </c>
      <c r="N452" s="16">
        <f t="shared" si="49"/>
        <v>3.0574200371758519E-2</v>
      </c>
      <c r="O452" s="16">
        <v>2</v>
      </c>
      <c r="P452" s="16">
        <f t="shared" ref="P452:P515" si="52">VLOOKUP(O452,$AJ$5:$AK$10,2,FALSE)</f>
        <v>12.715447154471546</v>
      </c>
      <c r="Q452" s="16">
        <f t="shared" si="50"/>
        <v>32.707314920448518</v>
      </c>
      <c r="R452" s="113">
        <f t="shared" ref="R452:R515" si="53">VLOOKUP(O452,$AJ$5:$AL$10,3,FALSE)</f>
        <v>373.41300000000001</v>
      </c>
      <c r="S452" s="16">
        <f>IF(S451=15800,15800,ROUND((((Q452*60)/'Gearing Calculator'!$C$14)*'Track Data'!P452),-2))</f>
        <v>12600</v>
      </c>
      <c r="T452" s="16">
        <f t="shared" si="48"/>
        <v>6.2873467937451366</v>
      </c>
      <c r="U452" s="16">
        <f>IF(AC452=100,Braking!$AG$2354,IF(AC452=50,Braking!$AG$1179,IF(AC452=75,Braking!$AG$1767,0)))</f>
        <v>0</v>
      </c>
      <c r="V452" s="16">
        <f>0.5*'Gearing Calculator'!$C$15*'Gearing Calculator'!$C$20*'Gearing Calculator'!$W$20*('Track Data'!Q452^2)</f>
        <v>113.22429267448291</v>
      </c>
      <c r="W452" s="16">
        <f>('Gearing Calculator'!$U$9*'Track Data'!T452)+'Track Data'!V452</f>
        <v>1786.9160091694382</v>
      </c>
      <c r="X452" s="16">
        <f>('Gearing Calculator'!$U$9*9.81)*('Gearing Calculator'!$U$16/'Gearing Calculator'!$C$7)-(('Track Data'!W452)*('Gearing Calculator'!$U$17/'Gearing Calculator'!$C$7))</f>
        <v>427.17103983758352</v>
      </c>
      <c r="Y452" s="16">
        <f>('Gearing Calculator'!$U$9*9.81)*(('Gearing Calculator'!$C$7-'Gearing Calculator'!$U$16)/'Gearing Calculator'!$C$7)+(('Track Data'!W452)*('Gearing Calculator'!$U$17/'Gearing Calculator'!$C$7))</f>
        <v>2184.2509601624165</v>
      </c>
      <c r="Z452" s="16">
        <f>((X452*COS('Gearing Calculator'!$C$21))/'Gearing Calculator'!$C$22)/2</f>
        <v>13.206777524884764</v>
      </c>
      <c r="AA452" s="16">
        <f>Y452/'Gearing Calculator'!$C$24</f>
        <v>30.49946948247559</v>
      </c>
      <c r="AB452" s="16">
        <f t="shared" si="51"/>
        <v>125.79898626197318</v>
      </c>
      <c r="AC452" s="16">
        <v>0</v>
      </c>
      <c r="AD452" s="16">
        <v>-50.419976243670298</v>
      </c>
      <c r="AE452" s="16">
        <v>449</v>
      </c>
      <c r="AF452" s="16">
        <f>IF(AC452=0,IF(O452=6,INDEX(Acceleration!$V$4:$V$110,MATCH('Track Data'!S452,Acceleration!$K$4:$K$110,0)),IF('Track Data'!O452=5,INDEX(Acceleration!$U$4:$U$110,MATCH('Track Data'!S452,Acceleration!$K$4:$K$110,0)),1)),U452)</f>
        <v>1</v>
      </c>
      <c r="AG452" s="16">
        <f>IF(AC452=0,IF(O452=4,INDEX(Acceleration!$T$4:$T$110,MATCH('Track Data'!S452,Acceleration!$K$4:$K$110,0)),IF('Track Data'!O452=3,INDEX(Acceleration!$S$4:$S$110,MATCH('Track Data'!S452,Acceleration!$K$4:$K$110,0)),'Track Data'!AF452)),'Track Data'!U452)</f>
        <v>1</v>
      </c>
      <c r="AH452" s="16">
        <f>IF(AC452=0,IF(O452=2,INDEX(Acceleration!$R$4:$R$110,MATCH('Track Data'!S452,Acceleration!$K$4:$K$110,0)),IF('Track Data'!O452=1,INDEX(Acceleration!$Q$4:$Q$110,MATCH('Track Data'!S452,Acceleration!$K$4:$K$110,0)),'Track Data'!AG452)),'Track Data'!U452)</f>
        <v>6.2873467937451366</v>
      </c>
    </row>
    <row r="453" spans="2:34" x14ac:dyDescent="0.25">
      <c r="B453" s="16">
        <v>209.739</v>
      </c>
      <c r="C453" s="16">
        <v>7723</v>
      </c>
      <c r="D453" s="16">
        <v>450</v>
      </c>
      <c r="E453" s="113">
        <v>109</v>
      </c>
      <c r="F453" s="113">
        <v>104.3</v>
      </c>
      <c r="G453" s="113">
        <v>95</v>
      </c>
      <c r="H453" s="113">
        <f t="shared" ref="H453:H516" si="54">G453/3.6</f>
        <v>26.388888888888889</v>
      </c>
      <c r="I453" s="113">
        <v>18.600000000000001</v>
      </c>
      <c r="J453" s="113">
        <v>61.52</v>
      </c>
      <c r="K453" s="113">
        <v>-55.3</v>
      </c>
      <c r="L453" s="183"/>
      <c r="M453" s="16">
        <v>450</v>
      </c>
      <c r="N453" s="16">
        <f t="shared" si="49"/>
        <v>3.0574200371758519E-2</v>
      </c>
      <c r="O453" s="16">
        <v>2</v>
      </c>
      <c r="P453" s="16">
        <f t="shared" si="52"/>
        <v>12.715447154471546</v>
      </c>
      <c r="Q453" s="16">
        <f t="shared" si="50"/>
        <v>32.707314920448518</v>
      </c>
      <c r="R453" s="113">
        <f t="shared" si="53"/>
        <v>373.41300000000001</v>
      </c>
      <c r="S453" s="16">
        <f>IF(S452=15800,15800,ROUND((((Q453*60)/'Gearing Calculator'!$C$14)*'Track Data'!P453),-2))</f>
        <v>12600</v>
      </c>
      <c r="T453" s="16">
        <f t="shared" ref="T453:T516" si="55">AH453</f>
        <v>6.2873467937451366</v>
      </c>
      <c r="U453" s="16">
        <f>IF(AC453=100,Braking!$AG$2354,IF(AC453=50,Braking!$AG$1179,IF(AC453=75,Braking!$AG$1767,0)))</f>
        <v>0</v>
      </c>
      <c r="V453" s="16">
        <f>0.5*'Gearing Calculator'!$C$15*'Gearing Calculator'!$C$20*'Gearing Calculator'!$W$20*('Track Data'!Q453^2)</f>
        <v>113.22429267448291</v>
      </c>
      <c r="W453" s="16">
        <f>('Gearing Calculator'!$U$9*'Track Data'!T453)+'Track Data'!V453</f>
        <v>1786.9160091694382</v>
      </c>
      <c r="X453" s="16">
        <f>('Gearing Calculator'!$U$9*9.81)*('Gearing Calculator'!$U$16/'Gearing Calculator'!$C$7)-(('Track Data'!W453)*('Gearing Calculator'!$U$17/'Gearing Calculator'!$C$7))</f>
        <v>427.17103983758352</v>
      </c>
      <c r="Y453" s="16">
        <f>('Gearing Calculator'!$U$9*9.81)*(('Gearing Calculator'!$C$7-'Gearing Calculator'!$U$16)/'Gearing Calculator'!$C$7)+(('Track Data'!W453)*('Gearing Calculator'!$U$17/'Gearing Calculator'!$C$7))</f>
        <v>2184.2509601624165</v>
      </c>
      <c r="Z453" s="16">
        <f>((X453*COS('Gearing Calculator'!$C$21))/'Gearing Calculator'!$C$22)/2</f>
        <v>13.206777524884764</v>
      </c>
      <c r="AA453" s="16">
        <f>Y453/'Gearing Calculator'!$C$24</f>
        <v>30.49946948247559</v>
      </c>
      <c r="AB453" s="16">
        <f t="shared" si="51"/>
        <v>125.79898626197318</v>
      </c>
      <c r="AC453" s="16">
        <v>0</v>
      </c>
      <c r="AD453" s="16">
        <v>-50.419976243670298</v>
      </c>
      <c r="AE453" s="16">
        <v>450</v>
      </c>
      <c r="AF453" s="16">
        <f>IF(AC453=0,IF(O453=6,INDEX(Acceleration!$V$4:$V$110,MATCH('Track Data'!S453,Acceleration!$K$4:$K$110,0)),IF('Track Data'!O453=5,INDEX(Acceleration!$U$4:$U$110,MATCH('Track Data'!S453,Acceleration!$K$4:$K$110,0)),1)),U453)</f>
        <v>1</v>
      </c>
      <c r="AG453" s="16">
        <f>IF(AC453=0,IF(O453=4,INDEX(Acceleration!$T$4:$T$110,MATCH('Track Data'!S453,Acceleration!$K$4:$K$110,0)),IF('Track Data'!O453=3,INDEX(Acceleration!$S$4:$S$110,MATCH('Track Data'!S453,Acceleration!$K$4:$K$110,0)),'Track Data'!AF453)),'Track Data'!U453)</f>
        <v>1</v>
      </c>
      <c r="AH453" s="16">
        <f>IF(AC453=0,IF(O453=2,INDEX(Acceleration!$R$4:$R$110,MATCH('Track Data'!S453,Acceleration!$K$4:$K$110,0)),IF('Track Data'!O453=1,INDEX(Acceleration!$Q$4:$Q$110,MATCH('Track Data'!S453,Acceleration!$K$4:$K$110,0)),'Track Data'!AG453)),'Track Data'!U453)</f>
        <v>6.2873467937451366</v>
      </c>
    </row>
    <row r="454" spans="2:34" x14ac:dyDescent="0.25">
      <c r="B454" s="16">
        <v>209.774</v>
      </c>
      <c r="C454" s="16">
        <v>7724</v>
      </c>
      <c r="D454" s="16">
        <v>451</v>
      </c>
      <c r="E454" s="113">
        <v>108</v>
      </c>
      <c r="F454" s="113">
        <v>103.8</v>
      </c>
      <c r="G454" s="113">
        <v>94.7</v>
      </c>
      <c r="H454" s="113">
        <f t="shared" si="54"/>
        <v>26.305555555555557</v>
      </c>
      <c r="I454" s="113">
        <v>17.100000000000001</v>
      </c>
      <c r="J454" s="113">
        <v>59.59</v>
      </c>
      <c r="K454" s="113">
        <v>-56.9</v>
      </c>
      <c r="L454" s="183"/>
      <c r="M454" s="16">
        <v>451</v>
      </c>
      <c r="N454" s="16">
        <f t="shared" ref="N454:N517" si="56">1/Q454</f>
        <v>3.0574200371758519E-2</v>
      </c>
      <c r="O454" s="16">
        <v>2</v>
      </c>
      <c r="P454" s="16">
        <f t="shared" si="52"/>
        <v>12.715447154471546</v>
      </c>
      <c r="Q454" s="16">
        <f t="shared" ref="Q454:Q517" si="57">IF(AD453=0,SQRT(Q453^2+(2*T453)),Q453)</f>
        <v>32.707314920448518</v>
      </c>
      <c r="R454" s="113">
        <f t="shared" si="53"/>
        <v>373.41300000000001</v>
      </c>
      <c r="S454" s="16">
        <f>IF(S453=15800,15800,ROUND((((Q454*60)/'Gearing Calculator'!$C$14)*'Track Data'!P454),-2))</f>
        <v>12600</v>
      </c>
      <c r="T454" s="16">
        <f t="shared" si="55"/>
        <v>6.2873467937451366</v>
      </c>
      <c r="U454" s="16">
        <f>IF(AC454=100,Braking!$AG$2354,IF(AC454=50,Braking!$AG$1179,IF(AC454=75,Braking!$AG$1767,0)))</f>
        <v>0</v>
      </c>
      <c r="V454" s="16">
        <f>0.5*'Gearing Calculator'!$C$15*'Gearing Calculator'!$C$20*'Gearing Calculator'!$W$20*('Track Data'!Q454^2)</f>
        <v>113.22429267448291</v>
      </c>
      <c r="W454" s="16">
        <f>('Gearing Calculator'!$U$9*'Track Data'!T454)+'Track Data'!V454</f>
        <v>1786.9160091694382</v>
      </c>
      <c r="X454" s="16">
        <f>('Gearing Calculator'!$U$9*9.81)*('Gearing Calculator'!$U$16/'Gearing Calculator'!$C$7)-(('Track Data'!W454)*('Gearing Calculator'!$U$17/'Gearing Calculator'!$C$7))</f>
        <v>427.17103983758352</v>
      </c>
      <c r="Y454" s="16">
        <f>('Gearing Calculator'!$U$9*9.81)*(('Gearing Calculator'!$C$7-'Gearing Calculator'!$U$16)/'Gearing Calculator'!$C$7)+(('Track Data'!W454)*('Gearing Calculator'!$U$17/'Gearing Calculator'!$C$7))</f>
        <v>2184.2509601624165</v>
      </c>
      <c r="Z454" s="16">
        <f>((X454*COS('Gearing Calculator'!$C$21))/'Gearing Calculator'!$C$22)/2</f>
        <v>13.206777524884764</v>
      </c>
      <c r="AA454" s="16">
        <f>Y454/'Gearing Calculator'!$C$24</f>
        <v>30.49946948247559</v>
      </c>
      <c r="AB454" s="16">
        <f t="shared" si="51"/>
        <v>125.79898626197318</v>
      </c>
      <c r="AC454" s="16">
        <v>0</v>
      </c>
      <c r="AD454" s="16">
        <v>-50.419976243670298</v>
      </c>
      <c r="AE454" s="16">
        <v>451</v>
      </c>
      <c r="AF454" s="16">
        <f>IF(AC454=0,IF(O454=6,INDEX(Acceleration!$V$4:$V$110,MATCH('Track Data'!S454,Acceleration!$K$4:$K$110,0)),IF('Track Data'!O454=5,INDEX(Acceleration!$U$4:$U$110,MATCH('Track Data'!S454,Acceleration!$K$4:$K$110,0)),1)),U454)</f>
        <v>1</v>
      </c>
      <c r="AG454" s="16">
        <f>IF(AC454=0,IF(O454=4,INDEX(Acceleration!$T$4:$T$110,MATCH('Track Data'!S454,Acceleration!$K$4:$K$110,0)),IF('Track Data'!O454=3,INDEX(Acceleration!$S$4:$S$110,MATCH('Track Data'!S454,Acceleration!$K$4:$K$110,0)),'Track Data'!AF454)),'Track Data'!U454)</f>
        <v>1</v>
      </c>
      <c r="AH454" s="16">
        <f>IF(AC454=0,IF(O454=2,INDEX(Acceleration!$R$4:$R$110,MATCH('Track Data'!S454,Acceleration!$K$4:$K$110,0)),IF('Track Data'!O454=1,INDEX(Acceleration!$Q$4:$Q$110,MATCH('Track Data'!S454,Acceleration!$K$4:$K$110,0)),'Track Data'!AG454)),'Track Data'!U454)</f>
        <v>6.2873467937451366</v>
      </c>
    </row>
    <row r="455" spans="2:34" x14ac:dyDescent="0.25">
      <c r="B455" s="16">
        <v>209.809</v>
      </c>
      <c r="C455" s="16">
        <v>7725</v>
      </c>
      <c r="D455" s="16">
        <v>452</v>
      </c>
      <c r="E455" s="113">
        <v>108</v>
      </c>
      <c r="F455" s="113">
        <v>103.5</v>
      </c>
      <c r="G455" s="113">
        <v>94.5</v>
      </c>
      <c r="H455" s="113">
        <f t="shared" si="54"/>
        <v>26.25</v>
      </c>
      <c r="I455" s="113">
        <v>15.5</v>
      </c>
      <c r="J455" s="113">
        <v>52.37</v>
      </c>
      <c r="K455" s="113">
        <v>-56.9</v>
      </c>
      <c r="L455" s="183"/>
      <c r="M455" s="16">
        <v>452</v>
      </c>
      <c r="N455" s="16">
        <f t="shared" si="56"/>
        <v>3.0574200371758519E-2</v>
      </c>
      <c r="O455" s="16">
        <v>2</v>
      </c>
      <c r="P455" s="16">
        <f t="shared" si="52"/>
        <v>12.715447154471546</v>
      </c>
      <c r="Q455" s="16">
        <f t="shared" si="57"/>
        <v>32.707314920448518</v>
      </c>
      <c r="R455" s="113">
        <f t="shared" si="53"/>
        <v>373.41300000000001</v>
      </c>
      <c r="S455" s="16">
        <f>IF(S454=15800,15800,ROUND((((Q455*60)/'Gearing Calculator'!$C$14)*'Track Data'!P455),-2))</f>
        <v>12600</v>
      </c>
      <c r="T455" s="16">
        <f t="shared" si="55"/>
        <v>6.2873467937451366</v>
      </c>
      <c r="U455" s="16">
        <f>IF(AC455=100,Braking!$AG$2354,IF(AC455=50,Braking!$AG$1179,IF(AC455=75,Braking!$AG$1767,0)))</f>
        <v>0</v>
      </c>
      <c r="V455" s="16">
        <f>0.5*'Gearing Calculator'!$C$15*'Gearing Calculator'!$C$20*'Gearing Calculator'!$W$20*('Track Data'!Q455^2)</f>
        <v>113.22429267448291</v>
      </c>
      <c r="W455" s="16">
        <f>('Gearing Calculator'!$U$9*'Track Data'!T455)+'Track Data'!V455</f>
        <v>1786.9160091694382</v>
      </c>
      <c r="X455" s="16">
        <f>('Gearing Calculator'!$U$9*9.81)*('Gearing Calculator'!$U$16/'Gearing Calculator'!$C$7)-(('Track Data'!W455)*('Gearing Calculator'!$U$17/'Gearing Calculator'!$C$7))</f>
        <v>427.17103983758352</v>
      </c>
      <c r="Y455" s="16">
        <f>('Gearing Calculator'!$U$9*9.81)*(('Gearing Calculator'!$C$7-'Gearing Calculator'!$U$16)/'Gearing Calculator'!$C$7)+(('Track Data'!W455)*('Gearing Calculator'!$U$17/'Gearing Calculator'!$C$7))</f>
        <v>2184.2509601624165</v>
      </c>
      <c r="Z455" s="16">
        <f>((X455*COS('Gearing Calculator'!$C$21))/'Gearing Calculator'!$C$22)/2</f>
        <v>13.206777524884764</v>
      </c>
      <c r="AA455" s="16">
        <f>Y455/'Gearing Calculator'!$C$24</f>
        <v>30.49946948247559</v>
      </c>
      <c r="AB455" s="16">
        <f t="shared" si="51"/>
        <v>125.79898626197318</v>
      </c>
      <c r="AC455" s="16">
        <v>0</v>
      </c>
      <c r="AD455" s="16">
        <v>-50.419976243670298</v>
      </c>
      <c r="AE455" s="16">
        <v>452</v>
      </c>
      <c r="AF455" s="16">
        <f>IF(AC455=0,IF(O455=6,INDEX(Acceleration!$V$4:$V$110,MATCH('Track Data'!S455,Acceleration!$K$4:$K$110,0)),IF('Track Data'!O455=5,INDEX(Acceleration!$U$4:$U$110,MATCH('Track Data'!S455,Acceleration!$K$4:$K$110,0)),1)),U455)</f>
        <v>1</v>
      </c>
      <c r="AG455" s="16">
        <f>IF(AC455=0,IF(O455=4,INDEX(Acceleration!$T$4:$T$110,MATCH('Track Data'!S455,Acceleration!$K$4:$K$110,0)),IF('Track Data'!O455=3,INDEX(Acceleration!$S$4:$S$110,MATCH('Track Data'!S455,Acceleration!$K$4:$K$110,0)),'Track Data'!AF455)),'Track Data'!U455)</f>
        <v>1</v>
      </c>
      <c r="AH455" s="16">
        <f>IF(AC455=0,IF(O455=2,INDEX(Acceleration!$R$4:$R$110,MATCH('Track Data'!S455,Acceleration!$K$4:$K$110,0)),IF('Track Data'!O455=1,INDEX(Acceleration!$Q$4:$Q$110,MATCH('Track Data'!S455,Acceleration!$K$4:$K$110,0)),'Track Data'!AG455)),'Track Data'!U455)</f>
        <v>6.2873467937451366</v>
      </c>
    </row>
    <row r="456" spans="2:34" x14ac:dyDescent="0.25">
      <c r="B456" s="16">
        <v>209.84299999999999</v>
      </c>
      <c r="C456" s="16">
        <v>7726</v>
      </c>
      <c r="D456" s="16">
        <v>453</v>
      </c>
      <c r="E456" s="113">
        <v>108</v>
      </c>
      <c r="F456" s="113">
        <v>103.3</v>
      </c>
      <c r="G456" s="113">
        <v>94.3</v>
      </c>
      <c r="H456" s="113">
        <f t="shared" si="54"/>
        <v>26.194444444444443</v>
      </c>
      <c r="I456" s="113">
        <v>13.3</v>
      </c>
      <c r="J456" s="113">
        <v>48.18</v>
      </c>
      <c r="K456" s="113">
        <v>-56.8</v>
      </c>
      <c r="L456" s="183"/>
      <c r="M456" s="16">
        <v>453</v>
      </c>
      <c r="N456" s="16">
        <f t="shared" si="56"/>
        <v>3.0574200371758519E-2</v>
      </c>
      <c r="O456" s="16">
        <v>2</v>
      </c>
      <c r="P456" s="16">
        <f t="shared" si="52"/>
        <v>12.715447154471546</v>
      </c>
      <c r="Q456" s="16">
        <f t="shared" si="57"/>
        <v>32.707314920448518</v>
      </c>
      <c r="R456" s="113">
        <f t="shared" si="53"/>
        <v>373.41300000000001</v>
      </c>
      <c r="S456" s="16">
        <f>IF(S455=15800,15800,ROUND((((Q456*60)/'Gearing Calculator'!$C$14)*'Track Data'!P456),-2))</f>
        <v>12600</v>
      </c>
      <c r="T456" s="16">
        <f t="shared" si="55"/>
        <v>6.2873467937451366</v>
      </c>
      <c r="U456" s="16">
        <f>IF(AC456=100,Braking!$AG$2354,IF(AC456=50,Braking!$AG$1179,IF(AC456=75,Braking!$AG$1767,0)))</f>
        <v>0</v>
      </c>
      <c r="V456" s="16">
        <f>0.5*'Gearing Calculator'!$C$15*'Gearing Calculator'!$C$20*'Gearing Calculator'!$W$20*('Track Data'!Q456^2)</f>
        <v>113.22429267448291</v>
      </c>
      <c r="W456" s="16">
        <f>('Gearing Calculator'!$U$9*'Track Data'!T456)+'Track Data'!V456</f>
        <v>1786.9160091694382</v>
      </c>
      <c r="X456" s="16">
        <f>('Gearing Calculator'!$U$9*9.81)*('Gearing Calculator'!$U$16/'Gearing Calculator'!$C$7)-(('Track Data'!W456)*('Gearing Calculator'!$U$17/'Gearing Calculator'!$C$7))</f>
        <v>427.17103983758352</v>
      </c>
      <c r="Y456" s="16">
        <f>('Gearing Calculator'!$U$9*9.81)*(('Gearing Calculator'!$C$7-'Gearing Calculator'!$U$16)/'Gearing Calculator'!$C$7)+(('Track Data'!W456)*('Gearing Calculator'!$U$17/'Gearing Calculator'!$C$7))</f>
        <v>2184.2509601624165</v>
      </c>
      <c r="Z456" s="16">
        <f>((X456*COS('Gearing Calculator'!$C$21))/'Gearing Calculator'!$C$22)/2</f>
        <v>13.206777524884764</v>
      </c>
      <c r="AA456" s="16">
        <f>Y456/'Gearing Calculator'!$C$24</f>
        <v>30.49946948247559</v>
      </c>
      <c r="AB456" s="16">
        <f t="shared" si="51"/>
        <v>125.79898626197318</v>
      </c>
      <c r="AC456" s="16">
        <v>0</v>
      </c>
      <c r="AD456" s="16">
        <v>-50.419976243670298</v>
      </c>
      <c r="AE456" s="16">
        <v>453</v>
      </c>
      <c r="AF456" s="16">
        <f>IF(AC456=0,IF(O456=6,INDEX(Acceleration!$V$4:$V$110,MATCH('Track Data'!S456,Acceleration!$K$4:$K$110,0)),IF('Track Data'!O456=5,INDEX(Acceleration!$U$4:$U$110,MATCH('Track Data'!S456,Acceleration!$K$4:$K$110,0)),1)),U456)</f>
        <v>1</v>
      </c>
      <c r="AG456" s="16">
        <f>IF(AC456=0,IF(O456=4,INDEX(Acceleration!$T$4:$T$110,MATCH('Track Data'!S456,Acceleration!$K$4:$K$110,0)),IF('Track Data'!O456=3,INDEX(Acceleration!$S$4:$S$110,MATCH('Track Data'!S456,Acceleration!$K$4:$K$110,0)),'Track Data'!AF456)),'Track Data'!U456)</f>
        <v>1</v>
      </c>
      <c r="AH456" s="16">
        <f>IF(AC456=0,IF(O456=2,INDEX(Acceleration!$R$4:$R$110,MATCH('Track Data'!S456,Acceleration!$K$4:$K$110,0)),IF('Track Data'!O456=1,INDEX(Acceleration!$Q$4:$Q$110,MATCH('Track Data'!S456,Acceleration!$K$4:$K$110,0)),'Track Data'!AG456)),'Track Data'!U456)</f>
        <v>6.2873467937451366</v>
      </c>
    </row>
    <row r="457" spans="2:34" x14ac:dyDescent="0.25">
      <c r="B457" s="16">
        <v>209.87799999999999</v>
      </c>
      <c r="C457" s="16">
        <v>7727</v>
      </c>
      <c r="D457" s="16">
        <v>454</v>
      </c>
      <c r="E457" s="113">
        <v>108</v>
      </c>
      <c r="F457" s="113">
        <v>103.5</v>
      </c>
      <c r="G457" s="113">
        <v>94.3</v>
      </c>
      <c r="H457" s="113">
        <f t="shared" si="54"/>
        <v>26.194444444444443</v>
      </c>
      <c r="I457" s="113">
        <v>10.6</v>
      </c>
      <c r="J457" s="113">
        <v>44.08</v>
      </c>
      <c r="K457" s="113">
        <v>-56.2</v>
      </c>
      <c r="L457" s="183"/>
      <c r="M457" s="16">
        <v>454</v>
      </c>
      <c r="N457" s="16">
        <f t="shared" si="56"/>
        <v>3.0574200371758519E-2</v>
      </c>
      <c r="O457" s="16">
        <v>2</v>
      </c>
      <c r="P457" s="16">
        <f t="shared" si="52"/>
        <v>12.715447154471546</v>
      </c>
      <c r="Q457" s="16">
        <f t="shared" si="57"/>
        <v>32.707314920448518</v>
      </c>
      <c r="R457" s="113">
        <f t="shared" si="53"/>
        <v>373.41300000000001</v>
      </c>
      <c r="S457" s="16">
        <f>IF(S456=15800,15800,ROUND((((Q457*60)/'Gearing Calculator'!$C$14)*'Track Data'!P457),-2))</f>
        <v>12600</v>
      </c>
      <c r="T457" s="16">
        <f t="shared" si="55"/>
        <v>6.2873467937451366</v>
      </c>
      <c r="U457" s="16">
        <f>IF(AC457=100,Braking!$AG$2354,IF(AC457=50,Braking!$AG$1179,IF(AC457=75,Braking!$AG$1767,0)))</f>
        <v>0</v>
      </c>
      <c r="V457" s="16">
        <f>0.5*'Gearing Calculator'!$C$15*'Gearing Calculator'!$C$20*'Gearing Calculator'!$W$20*('Track Data'!Q457^2)</f>
        <v>113.22429267448291</v>
      </c>
      <c r="W457" s="16">
        <f>('Gearing Calculator'!$U$9*'Track Data'!T457)+'Track Data'!V457</f>
        <v>1786.9160091694382</v>
      </c>
      <c r="X457" s="16">
        <f>('Gearing Calculator'!$U$9*9.81)*('Gearing Calculator'!$U$16/'Gearing Calculator'!$C$7)-(('Track Data'!W457)*('Gearing Calculator'!$U$17/'Gearing Calculator'!$C$7))</f>
        <v>427.17103983758352</v>
      </c>
      <c r="Y457" s="16">
        <f>('Gearing Calculator'!$U$9*9.81)*(('Gearing Calculator'!$C$7-'Gearing Calculator'!$U$16)/'Gearing Calculator'!$C$7)+(('Track Data'!W457)*('Gearing Calculator'!$U$17/'Gearing Calculator'!$C$7))</f>
        <v>2184.2509601624165</v>
      </c>
      <c r="Z457" s="16">
        <f>((X457*COS('Gearing Calculator'!$C$21))/'Gearing Calculator'!$C$22)/2</f>
        <v>13.206777524884764</v>
      </c>
      <c r="AA457" s="16">
        <f>Y457/'Gearing Calculator'!$C$24</f>
        <v>30.49946948247559</v>
      </c>
      <c r="AB457" s="16">
        <f t="shared" si="51"/>
        <v>125.79898626197318</v>
      </c>
      <c r="AC457" s="16">
        <v>0</v>
      </c>
      <c r="AD457" s="16">
        <v>-50.419976243670298</v>
      </c>
      <c r="AE457" s="16">
        <v>454</v>
      </c>
      <c r="AF457" s="16">
        <f>IF(AC457=0,IF(O457=6,INDEX(Acceleration!$V$4:$V$110,MATCH('Track Data'!S457,Acceleration!$K$4:$K$110,0)),IF('Track Data'!O457=5,INDEX(Acceleration!$U$4:$U$110,MATCH('Track Data'!S457,Acceleration!$K$4:$K$110,0)),1)),U457)</f>
        <v>1</v>
      </c>
      <c r="AG457" s="16">
        <f>IF(AC457=0,IF(O457=4,INDEX(Acceleration!$T$4:$T$110,MATCH('Track Data'!S457,Acceleration!$K$4:$K$110,0)),IF('Track Data'!O457=3,INDEX(Acceleration!$S$4:$S$110,MATCH('Track Data'!S457,Acceleration!$K$4:$K$110,0)),'Track Data'!AF457)),'Track Data'!U457)</f>
        <v>1</v>
      </c>
      <c r="AH457" s="16">
        <f>IF(AC457=0,IF(O457=2,INDEX(Acceleration!$R$4:$R$110,MATCH('Track Data'!S457,Acceleration!$K$4:$K$110,0)),IF('Track Data'!O457=1,INDEX(Acceleration!$Q$4:$Q$110,MATCH('Track Data'!S457,Acceleration!$K$4:$K$110,0)),'Track Data'!AG457)),'Track Data'!U457)</f>
        <v>6.2873467937451366</v>
      </c>
    </row>
    <row r="458" spans="2:34" x14ac:dyDescent="0.25">
      <c r="B458" s="16">
        <v>209.91200000000001</v>
      </c>
      <c r="C458" s="16">
        <v>7728</v>
      </c>
      <c r="D458" s="16">
        <v>455</v>
      </c>
      <c r="E458" s="113">
        <v>109</v>
      </c>
      <c r="F458" s="113">
        <v>103.6</v>
      </c>
      <c r="G458" s="113">
        <v>94.2</v>
      </c>
      <c r="H458" s="113">
        <f t="shared" si="54"/>
        <v>26.166666666666668</v>
      </c>
      <c r="I458" s="113">
        <v>8.1</v>
      </c>
      <c r="J458" s="113">
        <v>43.91</v>
      </c>
      <c r="K458" s="113">
        <v>-55.3</v>
      </c>
      <c r="L458" s="183"/>
      <c r="M458" s="16">
        <v>455</v>
      </c>
      <c r="N458" s="16">
        <f t="shared" si="56"/>
        <v>3.0574200371758519E-2</v>
      </c>
      <c r="O458" s="16">
        <v>2</v>
      </c>
      <c r="P458" s="16">
        <f t="shared" si="52"/>
        <v>12.715447154471546</v>
      </c>
      <c r="Q458" s="16">
        <f t="shared" si="57"/>
        <v>32.707314920448518</v>
      </c>
      <c r="R458" s="113">
        <f t="shared" si="53"/>
        <v>373.41300000000001</v>
      </c>
      <c r="S458" s="16">
        <f>IF(S457=15800,15800,ROUND((((Q458*60)/'Gearing Calculator'!$C$14)*'Track Data'!P458),-2))</f>
        <v>12600</v>
      </c>
      <c r="T458" s="16">
        <f t="shared" si="55"/>
        <v>6.2873467937451366</v>
      </c>
      <c r="U458" s="16">
        <f>IF(AC458=100,Braking!$AG$2354,IF(AC458=50,Braking!$AG$1179,IF(AC458=75,Braking!$AG$1767,0)))</f>
        <v>0</v>
      </c>
      <c r="V458" s="16">
        <f>0.5*'Gearing Calculator'!$C$15*'Gearing Calculator'!$C$20*'Gearing Calculator'!$W$20*('Track Data'!Q458^2)</f>
        <v>113.22429267448291</v>
      </c>
      <c r="W458" s="16">
        <f>('Gearing Calculator'!$U$9*'Track Data'!T458)+'Track Data'!V458</f>
        <v>1786.9160091694382</v>
      </c>
      <c r="X458" s="16">
        <f>('Gearing Calculator'!$U$9*9.81)*('Gearing Calculator'!$U$16/'Gearing Calculator'!$C$7)-(('Track Data'!W458)*('Gearing Calculator'!$U$17/'Gearing Calculator'!$C$7))</f>
        <v>427.17103983758352</v>
      </c>
      <c r="Y458" s="16">
        <f>('Gearing Calculator'!$U$9*9.81)*(('Gearing Calculator'!$C$7-'Gearing Calculator'!$U$16)/'Gearing Calculator'!$C$7)+(('Track Data'!W458)*('Gearing Calculator'!$U$17/'Gearing Calculator'!$C$7))</f>
        <v>2184.2509601624165</v>
      </c>
      <c r="Z458" s="16">
        <f>((X458*COS('Gearing Calculator'!$C$21))/'Gearing Calculator'!$C$22)/2</f>
        <v>13.206777524884764</v>
      </c>
      <c r="AA458" s="16">
        <f>Y458/'Gearing Calculator'!$C$24</f>
        <v>30.49946948247559</v>
      </c>
      <c r="AB458" s="16">
        <f t="shared" si="51"/>
        <v>125.79898626197318</v>
      </c>
      <c r="AC458" s="16">
        <v>0</v>
      </c>
      <c r="AD458" s="16">
        <v>-50.419976243670298</v>
      </c>
      <c r="AE458" s="16">
        <v>455</v>
      </c>
      <c r="AF458" s="16">
        <f>IF(AC458=0,IF(O458=6,INDEX(Acceleration!$V$4:$V$110,MATCH('Track Data'!S458,Acceleration!$K$4:$K$110,0)),IF('Track Data'!O458=5,INDEX(Acceleration!$U$4:$U$110,MATCH('Track Data'!S458,Acceleration!$K$4:$K$110,0)),1)),U458)</f>
        <v>1</v>
      </c>
      <c r="AG458" s="16">
        <f>IF(AC458=0,IF(O458=4,INDEX(Acceleration!$T$4:$T$110,MATCH('Track Data'!S458,Acceleration!$K$4:$K$110,0)),IF('Track Data'!O458=3,INDEX(Acceleration!$S$4:$S$110,MATCH('Track Data'!S458,Acceleration!$K$4:$K$110,0)),'Track Data'!AF458)),'Track Data'!U458)</f>
        <v>1</v>
      </c>
      <c r="AH458" s="16">
        <f>IF(AC458=0,IF(O458=2,INDEX(Acceleration!$R$4:$R$110,MATCH('Track Data'!S458,Acceleration!$K$4:$K$110,0)),IF('Track Data'!O458=1,INDEX(Acceleration!$Q$4:$Q$110,MATCH('Track Data'!S458,Acceleration!$K$4:$K$110,0)),'Track Data'!AG458)),'Track Data'!U458)</f>
        <v>6.2873467937451366</v>
      </c>
    </row>
    <row r="459" spans="2:34" x14ac:dyDescent="0.25">
      <c r="B459" s="16">
        <v>209.947</v>
      </c>
      <c r="C459" s="16">
        <v>7729</v>
      </c>
      <c r="D459" s="16">
        <v>456</v>
      </c>
      <c r="E459" s="113">
        <v>109</v>
      </c>
      <c r="F459" s="113">
        <v>103.9</v>
      </c>
      <c r="G459" s="113">
        <v>94.2</v>
      </c>
      <c r="H459" s="113">
        <f t="shared" si="54"/>
        <v>26.166666666666668</v>
      </c>
      <c r="I459" s="113">
        <v>7.7</v>
      </c>
      <c r="J459" s="113">
        <v>40.479999999999997</v>
      </c>
      <c r="K459" s="113">
        <v>-54.5</v>
      </c>
      <c r="L459" s="183"/>
      <c r="M459" s="16">
        <v>456</v>
      </c>
      <c r="N459" s="16">
        <f t="shared" si="56"/>
        <v>3.0574200371758519E-2</v>
      </c>
      <c r="O459" s="16">
        <v>2</v>
      </c>
      <c r="P459" s="16">
        <f t="shared" si="52"/>
        <v>12.715447154471546</v>
      </c>
      <c r="Q459" s="16">
        <f t="shared" si="57"/>
        <v>32.707314920448518</v>
      </c>
      <c r="R459" s="113">
        <f t="shared" si="53"/>
        <v>373.41300000000001</v>
      </c>
      <c r="S459" s="16">
        <f>IF(S458=15800,15800,ROUND((((Q459*60)/'Gearing Calculator'!$C$14)*'Track Data'!P459),-2))</f>
        <v>12600</v>
      </c>
      <c r="T459" s="16">
        <f t="shared" si="55"/>
        <v>6.2873467937451366</v>
      </c>
      <c r="U459" s="16">
        <f>IF(AC459=100,Braking!$AG$2354,IF(AC459=50,Braking!$AG$1179,IF(AC459=75,Braking!$AG$1767,0)))</f>
        <v>0</v>
      </c>
      <c r="V459" s="16">
        <f>0.5*'Gearing Calculator'!$C$15*'Gearing Calculator'!$C$20*'Gearing Calculator'!$W$20*('Track Data'!Q459^2)</f>
        <v>113.22429267448291</v>
      </c>
      <c r="W459" s="16">
        <f>('Gearing Calculator'!$U$9*'Track Data'!T459)+'Track Data'!V459</f>
        <v>1786.9160091694382</v>
      </c>
      <c r="X459" s="16">
        <f>('Gearing Calculator'!$U$9*9.81)*('Gearing Calculator'!$U$16/'Gearing Calculator'!$C$7)-(('Track Data'!W459)*('Gearing Calculator'!$U$17/'Gearing Calculator'!$C$7))</f>
        <v>427.17103983758352</v>
      </c>
      <c r="Y459" s="16">
        <f>('Gearing Calculator'!$U$9*9.81)*(('Gearing Calculator'!$C$7-'Gearing Calculator'!$U$16)/'Gearing Calculator'!$C$7)+(('Track Data'!W459)*('Gearing Calculator'!$U$17/'Gearing Calculator'!$C$7))</f>
        <v>2184.2509601624165</v>
      </c>
      <c r="Z459" s="16">
        <f>((X459*COS('Gearing Calculator'!$C$21))/'Gearing Calculator'!$C$22)/2</f>
        <v>13.206777524884764</v>
      </c>
      <c r="AA459" s="16">
        <f>Y459/'Gearing Calculator'!$C$24</f>
        <v>30.49946948247559</v>
      </c>
      <c r="AB459" s="16">
        <f t="shared" si="51"/>
        <v>125.79898626197318</v>
      </c>
      <c r="AC459" s="16">
        <v>0</v>
      </c>
      <c r="AD459" s="16">
        <v>-50.419976243670298</v>
      </c>
      <c r="AE459" s="16">
        <v>456</v>
      </c>
      <c r="AF459" s="16">
        <f>IF(AC459=0,IF(O459=6,INDEX(Acceleration!$V$4:$V$110,MATCH('Track Data'!S459,Acceleration!$K$4:$K$110,0)),IF('Track Data'!O459=5,INDEX(Acceleration!$U$4:$U$110,MATCH('Track Data'!S459,Acceleration!$K$4:$K$110,0)),1)),U459)</f>
        <v>1</v>
      </c>
      <c r="AG459" s="16">
        <f>IF(AC459=0,IF(O459=4,INDEX(Acceleration!$T$4:$T$110,MATCH('Track Data'!S459,Acceleration!$K$4:$K$110,0)),IF('Track Data'!O459=3,INDEX(Acceleration!$S$4:$S$110,MATCH('Track Data'!S459,Acceleration!$K$4:$K$110,0)),'Track Data'!AF459)),'Track Data'!U459)</f>
        <v>1</v>
      </c>
      <c r="AH459" s="16">
        <f>IF(AC459=0,IF(O459=2,INDEX(Acceleration!$R$4:$R$110,MATCH('Track Data'!S459,Acceleration!$K$4:$K$110,0)),IF('Track Data'!O459=1,INDEX(Acceleration!$Q$4:$Q$110,MATCH('Track Data'!S459,Acceleration!$K$4:$K$110,0)),'Track Data'!AG459)),'Track Data'!U459)</f>
        <v>6.2873467937451366</v>
      </c>
    </row>
    <row r="460" spans="2:34" x14ac:dyDescent="0.25">
      <c r="B460" s="16">
        <v>209.982</v>
      </c>
      <c r="C460" s="16">
        <v>7730</v>
      </c>
      <c r="D460" s="16">
        <v>457</v>
      </c>
      <c r="E460" s="113">
        <v>109</v>
      </c>
      <c r="F460" s="113">
        <v>104.5</v>
      </c>
      <c r="G460" s="113">
        <v>94.3</v>
      </c>
      <c r="H460" s="113">
        <f t="shared" si="54"/>
        <v>26.194444444444443</v>
      </c>
      <c r="I460" s="113">
        <v>8.3000000000000007</v>
      </c>
      <c r="J460" s="113">
        <v>49.34</v>
      </c>
      <c r="K460" s="113">
        <v>-53.3</v>
      </c>
      <c r="L460" s="183"/>
      <c r="M460" s="16">
        <v>457</v>
      </c>
      <c r="N460" s="16">
        <f t="shared" si="56"/>
        <v>3.0574200371758519E-2</v>
      </c>
      <c r="O460" s="16">
        <v>2</v>
      </c>
      <c r="P460" s="16">
        <f t="shared" si="52"/>
        <v>12.715447154471546</v>
      </c>
      <c r="Q460" s="16">
        <f t="shared" si="57"/>
        <v>32.707314920448518</v>
      </c>
      <c r="R460" s="113">
        <f t="shared" si="53"/>
        <v>373.41300000000001</v>
      </c>
      <c r="S460" s="16">
        <f>IF(S459=15800,15800,ROUND((((Q460*60)/'Gearing Calculator'!$C$14)*'Track Data'!P460),-2))</f>
        <v>12600</v>
      </c>
      <c r="T460" s="16">
        <f t="shared" si="55"/>
        <v>6.2873467937451366</v>
      </c>
      <c r="U460" s="16">
        <f>IF(AC460=100,Braking!$AG$2354,IF(AC460=50,Braking!$AG$1179,IF(AC460=75,Braking!$AG$1767,0)))</f>
        <v>0</v>
      </c>
      <c r="V460" s="16">
        <f>0.5*'Gearing Calculator'!$C$15*'Gearing Calculator'!$C$20*'Gearing Calculator'!$W$20*('Track Data'!Q460^2)</f>
        <v>113.22429267448291</v>
      </c>
      <c r="W460" s="16">
        <f>('Gearing Calculator'!$U$9*'Track Data'!T460)+'Track Data'!V460</f>
        <v>1786.9160091694382</v>
      </c>
      <c r="X460" s="16">
        <f>('Gearing Calculator'!$U$9*9.81)*('Gearing Calculator'!$U$16/'Gearing Calculator'!$C$7)-(('Track Data'!W460)*('Gearing Calculator'!$U$17/'Gearing Calculator'!$C$7))</f>
        <v>427.17103983758352</v>
      </c>
      <c r="Y460" s="16">
        <f>('Gearing Calculator'!$U$9*9.81)*(('Gearing Calculator'!$C$7-'Gearing Calculator'!$U$16)/'Gearing Calculator'!$C$7)+(('Track Data'!W460)*('Gearing Calculator'!$U$17/'Gearing Calculator'!$C$7))</f>
        <v>2184.2509601624165</v>
      </c>
      <c r="Z460" s="16">
        <f>((X460*COS('Gearing Calculator'!$C$21))/'Gearing Calculator'!$C$22)/2</f>
        <v>13.206777524884764</v>
      </c>
      <c r="AA460" s="16">
        <f>Y460/'Gearing Calculator'!$C$24</f>
        <v>30.49946948247559</v>
      </c>
      <c r="AB460" s="16">
        <f t="shared" si="51"/>
        <v>125.79898626197318</v>
      </c>
      <c r="AC460" s="16">
        <v>0</v>
      </c>
      <c r="AD460" s="16">
        <v>-50.419976243670298</v>
      </c>
      <c r="AE460" s="16">
        <v>457</v>
      </c>
      <c r="AF460" s="16">
        <f>IF(AC460=0,IF(O460=6,INDEX(Acceleration!$V$4:$V$110,MATCH('Track Data'!S460,Acceleration!$K$4:$K$110,0)),IF('Track Data'!O460=5,INDEX(Acceleration!$U$4:$U$110,MATCH('Track Data'!S460,Acceleration!$K$4:$K$110,0)),1)),U460)</f>
        <v>1</v>
      </c>
      <c r="AG460" s="16">
        <f>IF(AC460=0,IF(O460=4,INDEX(Acceleration!$T$4:$T$110,MATCH('Track Data'!S460,Acceleration!$K$4:$K$110,0)),IF('Track Data'!O460=3,INDEX(Acceleration!$S$4:$S$110,MATCH('Track Data'!S460,Acceleration!$K$4:$K$110,0)),'Track Data'!AF460)),'Track Data'!U460)</f>
        <v>1</v>
      </c>
      <c r="AH460" s="16">
        <f>IF(AC460=0,IF(O460=2,INDEX(Acceleration!$R$4:$R$110,MATCH('Track Data'!S460,Acceleration!$K$4:$K$110,0)),IF('Track Data'!O460=1,INDEX(Acceleration!$Q$4:$Q$110,MATCH('Track Data'!S460,Acceleration!$K$4:$K$110,0)),'Track Data'!AG460)),'Track Data'!U460)</f>
        <v>6.2873467937451366</v>
      </c>
    </row>
    <row r="461" spans="2:34" x14ac:dyDescent="0.25">
      <c r="B461" s="16">
        <v>210.01599999999999</v>
      </c>
      <c r="C461" s="16">
        <v>7731</v>
      </c>
      <c r="D461" s="16">
        <v>458</v>
      </c>
      <c r="E461" s="113">
        <v>109</v>
      </c>
      <c r="F461" s="113">
        <v>104.9</v>
      </c>
      <c r="G461" s="113">
        <v>94.3</v>
      </c>
      <c r="H461" s="113">
        <f t="shared" si="54"/>
        <v>26.194444444444443</v>
      </c>
      <c r="I461" s="113">
        <v>9.1999999999999993</v>
      </c>
      <c r="J461" s="113">
        <v>52</v>
      </c>
      <c r="K461" s="113">
        <v>-52.4</v>
      </c>
      <c r="L461" s="183"/>
      <c r="M461" s="16">
        <v>458</v>
      </c>
      <c r="N461" s="16">
        <f t="shared" si="56"/>
        <v>3.0574200371758519E-2</v>
      </c>
      <c r="O461" s="16">
        <v>2</v>
      </c>
      <c r="P461" s="16">
        <f t="shared" si="52"/>
        <v>12.715447154471546</v>
      </c>
      <c r="Q461" s="16">
        <f t="shared" si="57"/>
        <v>32.707314920448518</v>
      </c>
      <c r="R461" s="113">
        <f t="shared" si="53"/>
        <v>373.41300000000001</v>
      </c>
      <c r="S461" s="16">
        <f>IF(S460=15800,15800,ROUND((((Q461*60)/'Gearing Calculator'!$C$14)*'Track Data'!P461),-2))</f>
        <v>12600</v>
      </c>
      <c r="T461" s="16">
        <f t="shared" si="55"/>
        <v>6.2873467937451366</v>
      </c>
      <c r="U461" s="16">
        <f>IF(AC461=100,Braking!$AG$2354,IF(AC461=50,Braking!$AG$1179,IF(AC461=75,Braking!$AG$1767,0)))</f>
        <v>0</v>
      </c>
      <c r="V461" s="16">
        <f>0.5*'Gearing Calculator'!$C$15*'Gearing Calculator'!$C$20*'Gearing Calculator'!$W$20*('Track Data'!Q461^2)</f>
        <v>113.22429267448291</v>
      </c>
      <c r="W461" s="16">
        <f>('Gearing Calculator'!$U$9*'Track Data'!T461)+'Track Data'!V461</f>
        <v>1786.9160091694382</v>
      </c>
      <c r="X461" s="16">
        <f>('Gearing Calculator'!$U$9*9.81)*('Gearing Calculator'!$U$16/'Gearing Calculator'!$C$7)-(('Track Data'!W461)*('Gearing Calculator'!$U$17/'Gearing Calculator'!$C$7))</f>
        <v>427.17103983758352</v>
      </c>
      <c r="Y461" s="16">
        <f>('Gearing Calculator'!$U$9*9.81)*(('Gearing Calculator'!$C$7-'Gearing Calculator'!$U$16)/'Gearing Calculator'!$C$7)+(('Track Data'!W461)*('Gearing Calculator'!$U$17/'Gearing Calculator'!$C$7))</f>
        <v>2184.2509601624165</v>
      </c>
      <c r="Z461" s="16">
        <f>((X461*COS('Gearing Calculator'!$C$21))/'Gearing Calculator'!$C$22)/2</f>
        <v>13.206777524884764</v>
      </c>
      <c r="AA461" s="16">
        <f>Y461/'Gearing Calculator'!$C$24</f>
        <v>30.49946948247559</v>
      </c>
      <c r="AB461" s="16">
        <f t="shared" si="51"/>
        <v>125.79898626197318</v>
      </c>
      <c r="AC461" s="16">
        <v>0</v>
      </c>
      <c r="AD461" s="16">
        <v>-50.419976243670298</v>
      </c>
      <c r="AE461" s="16">
        <v>458</v>
      </c>
      <c r="AF461" s="16">
        <f>IF(AC461=0,IF(O461=6,INDEX(Acceleration!$V$4:$V$110,MATCH('Track Data'!S461,Acceleration!$K$4:$K$110,0)),IF('Track Data'!O461=5,INDEX(Acceleration!$U$4:$U$110,MATCH('Track Data'!S461,Acceleration!$K$4:$K$110,0)),1)),U461)</f>
        <v>1</v>
      </c>
      <c r="AG461" s="16">
        <f>IF(AC461=0,IF(O461=4,INDEX(Acceleration!$T$4:$T$110,MATCH('Track Data'!S461,Acceleration!$K$4:$K$110,0)),IF('Track Data'!O461=3,INDEX(Acceleration!$S$4:$S$110,MATCH('Track Data'!S461,Acceleration!$K$4:$K$110,0)),'Track Data'!AF461)),'Track Data'!U461)</f>
        <v>1</v>
      </c>
      <c r="AH461" s="16">
        <f>IF(AC461=0,IF(O461=2,INDEX(Acceleration!$R$4:$R$110,MATCH('Track Data'!S461,Acceleration!$K$4:$K$110,0)),IF('Track Data'!O461=1,INDEX(Acceleration!$Q$4:$Q$110,MATCH('Track Data'!S461,Acceleration!$K$4:$K$110,0)),'Track Data'!AG461)),'Track Data'!U461)</f>
        <v>6.2873467937451366</v>
      </c>
    </row>
    <row r="462" spans="2:34" x14ac:dyDescent="0.25">
      <c r="B462" s="16">
        <v>210.05099999999999</v>
      </c>
      <c r="C462" s="16">
        <v>7732</v>
      </c>
      <c r="D462" s="16">
        <v>459</v>
      </c>
      <c r="E462" s="113">
        <v>108</v>
      </c>
      <c r="F462" s="113">
        <v>105.2</v>
      </c>
      <c r="G462" s="113">
        <v>94.4</v>
      </c>
      <c r="H462" s="113">
        <f t="shared" si="54"/>
        <v>26.222222222222221</v>
      </c>
      <c r="I462" s="113">
        <v>14.4</v>
      </c>
      <c r="J462" s="113">
        <v>55.73</v>
      </c>
      <c r="K462" s="113">
        <v>-51.2</v>
      </c>
      <c r="L462" s="183"/>
      <c r="M462" s="16">
        <v>459</v>
      </c>
      <c r="N462" s="16">
        <f t="shared" si="56"/>
        <v>3.0574200371758519E-2</v>
      </c>
      <c r="O462" s="16">
        <v>2</v>
      </c>
      <c r="P462" s="16">
        <f t="shared" si="52"/>
        <v>12.715447154471546</v>
      </c>
      <c r="Q462" s="16">
        <f t="shared" si="57"/>
        <v>32.707314920448518</v>
      </c>
      <c r="R462" s="113">
        <f t="shared" si="53"/>
        <v>373.41300000000001</v>
      </c>
      <c r="S462" s="16">
        <f>IF(S461=15800,15800,ROUND((((Q462*60)/'Gearing Calculator'!$C$14)*'Track Data'!P462),-2))</f>
        <v>12600</v>
      </c>
      <c r="T462" s="16">
        <f t="shared" si="55"/>
        <v>6.2873467937451366</v>
      </c>
      <c r="U462" s="16">
        <f>IF(AC462=100,Braking!$AG$2354,IF(AC462=50,Braking!$AG$1179,IF(AC462=75,Braking!$AG$1767,0)))</f>
        <v>0</v>
      </c>
      <c r="V462" s="16">
        <f>0.5*'Gearing Calculator'!$C$15*'Gearing Calculator'!$C$20*'Gearing Calculator'!$W$20*('Track Data'!Q462^2)</f>
        <v>113.22429267448291</v>
      </c>
      <c r="W462" s="16">
        <f>('Gearing Calculator'!$U$9*'Track Data'!T462)+'Track Data'!V462</f>
        <v>1786.9160091694382</v>
      </c>
      <c r="X462" s="16">
        <f>('Gearing Calculator'!$U$9*9.81)*('Gearing Calculator'!$U$16/'Gearing Calculator'!$C$7)-(('Track Data'!W462)*('Gearing Calculator'!$U$17/'Gearing Calculator'!$C$7))</f>
        <v>427.17103983758352</v>
      </c>
      <c r="Y462" s="16">
        <f>('Gearing Calculator'!$U$9*9.81)*(('Gearing Calculator'!$C$7-'Gearing Calculator'!$U$16)/'Gearing Calculator'!$C$7)+(('Track Data'!W462)*('Gearing Calculator'!$U$17/'Gearing Calculator'!$C$7))</f>
        <v>2184.2509601624165</v>
      </c>
      <c r="Z462" s="16">
        <f>((X462*COS('Gearing Calculator'!$C$21))/'Gearing Calculator'!$C$22)/2</f>
        <v>13.206777524884764</v>
      </c>
      <c r="AA462" s="16">
        <f>Y462/'Gearing Calculator'!$C$24</f>
        <v>30.49946948247559</v>
      </c>
      <c r="AB462" s="16">
        <f t="shared" si="51"/>
        <v>125.79898626197318</v>
      </c>
      <c r="AC462" s="16">
        <v>0</v>
      </c>
      <c r="AD462" s="16">
        <v>-50.419976243670298</v>
      </c>
      <c r="AE462" s="16">
        <v>459</v>
      </c>
      <c r="AF462" s="16">
        <f>IF(AC462=0,IF(O462=6,INDEX(Acceleration!$V$4:$V$110,MATCH('Track Data'!S462,Acceleration!$K$4:$K$110,0)),IF('Track Data'!O462=5,INDEX(Acceleration!$U$4:$U$110,MATCH('Track Data'!S462,Acceleration!$K$4:$K$110,0)),1)),U462)</f>
        <v>1</v>
      </c>
      <c r="AG462" s="16">
        <f>IF(AC462=0,IF(O462=4,INDEX(Acceleration!$T$4:$T$110,MATCH('Track Data'!S462,Acceleration!$K$4:$K$110,0)),IF('Track Data'!O462=3,INDEX(Acceleration!$S$4:$S$110,MATCH('Track Data'!S462,Acceleration!$K$4:$K$110,0)),'Track Data'!AF462)),'Track Data'!U462)</f>
        <v>1</v>
      </c>
      <c r="AH462" s="16">
        <f>IF(AC462=0,IF(O462=2,INDEX(Acceleration!$R$4:$R$110,MATCH('Track Data'!S462,Acceleration!$K$4:$K$110,0)),IF('Track Data'!O462=1,INDEX(Acceleration!$Q$4:$Q$110,MATCH('Track Data'!S462,Acceleration!$K$4:$K$110,0)),'Track Data'!AG462)),'Track Data'!U462)</f>
        <v>6.2873467937451366</v>
      </c>
    </row>
    <row r="463" spans="2:34" x14ac:dyDescent="0.25">
      <c r="B463" s="16">
        <v>210.084</v>
      </c>
      <c r="C463" s="16">
        <v>7733</v>
      </c>
      <c r="D463" s="16">
        <v>460</v>
      </c>
      <c r="E463" s="113">
        <v>108</v>
      </c>
      <c r="F463" s="113">
        <v>105.1</v>
      </c>
      <c r="G463" s="113">
        <v>94.6</v>
      </c>
      <c r="H463" s="113">
        <f t="shared" si="54"/>
        <v>26.277777777777775</v>
      </c>
      <c r="I463" s="113">
        <v>17.899999999999999</v>
      </c>
      <c r="J463" s="113">
        <v>58.88</v>
      </c>
      <c r="K463" s="113">
        <v>-49.2</v>
      </c>
      <c r="L463" s="183"/>
      <c r="M463" s="16">
        <v>460</v>
      </c>
      <c r="N463" s="16">
        <f t="shared" si="56"/>
        <v>3.0574200371758519E-2</v>
      </c>
      <c r="O463" s="16">
        <v>2</v>
      </c>
      <c r="P463" s="16">
        <f t="shared" si="52"/>
        <v>12.715447154471546</v>
      </c>
      <c r="Q463" s="16">
        <f t="shared" si="57"/>
        <v>32.707314920448518</v>
      </c>
      <c r="R463" s="113">
        <f t="shared" si="53"/>
        <v>373.41300000000001</v>
      </c>
      <c r="S463" s="16">
        <f>IF(S462=15800,15800,ROUND((((Q463*60)/'Gearing Calculator'!$C$14)*'Track Data'!P463),-2))</f>
        <v>12600</v>
      </c>
      <c r="T463" s="16">
        <f t="shared" si="55"/>
        <v>6.2873467937451366</v>
      </c>
      <c r="U463" s="16">
        <f>IF(AC463=100,Braking!$AG$2354,IF(AC463=50,Braking!$AG$1179,IF(AC463=75,Braking!$AG$1767,0)))</f>
        <v>0</v>
      </c>
      <c r="V463" s="16">
        <f>0.5*'Gearing Calculator'!$C$15*'Gearing Calculator'!$C$20*'Gearing Calculator'!$W$20*('Track Data'!Q463^2)</f>
        <v>113.22429267448291</v>
      </c>
      <c r="W463" s="16">
        <f>('Gearing Calculator'!$U$9*'Track Data'!T463)+'Track Data'!V463</f>
        <v>1786.9160091694382</v>
      </c>
      <c r="X463" s="16">
        <f>('Gearing Calculator'!$U$9*9.81)*('Gearing Calculator'!$U$16/'Gearing Calculator'!$C$7)-(('Track Data'!W463)*('Gearing Calculator'!$U$17/'Gearing Calculator'!$C$7))</f>
        <v>427.17103983758352</v>
      </c>
      <c r="Y463" s="16">
        <f>('Gearing Calculator'!$U$9*9.81)*(('Gearing Calculator'!$C$7-'Gearing Calculator'!$U$16)/'Gearing Calculator'!$C$7)+(('Track Data'!W463)*('Gearing Calculator'!$U$17/'Gearing Calculator'!$C$7))</f>
        <v>2184.2509601624165</v>
      </c>
      <c r="Z463" s="16">
        <f>((X463*COS('Gearing Calculator'!$C$21))/'Gearing Calculator'!$C$22)/2</f>
        <v>13.206777524884764</v>
      </c>
      <c r="AA463" s="16">
        <f>Y463/'Gearing Calculator'!$C$24</f>
        <v>30.49946948247559</v>
      </c>
      <c r="AB463" s="16">
        <f t="shared" si="51"/>
        <v>125.79898626197318</v>
      </c>
      <c r="AC463" s="16">
        <v>0</v>
      </c>
      <c r="AD463" s="16">
        <v>-50.419976243670298</v>
      </c>
      <c r="AE463" s="16">
        <v>460</v>
      </c>
      <c r="AF463" s="16">
        <f>IF(AC463=0,IF(O463=6,INDEX(Acceleration!$V$4:$V$110,MATCH('Track Data'!S463,Acceleration!$K$4:$K$110,0)),IF('Track Data'!O463=5,INDEX(Acceleration!$U$4:$U$110,MATCH('Track Data'!S463,Acceleration!$K$4:$K$110,0)),1)),U463)</f>
        <v>1</v>
      </c>
      <c r="AG463" s="16">
        <f>IF(AC463=0,IF(O463=4,INDEX(Acceleration!$T$4:$T$110,MATCH('Track Data'!S463,Acceleration!$K$4:$K$110,0)),IF('Track Data'!O463=3,INDEX(Acceleration!$S$4:$S$110,MATCH('Track Data'!S463,Acceleration!$K$4:$K$110,0)),'Track Data'!AF463)),'Track Data'!U463)</f>
        <v>1</v>
      </c>
      <c r="AH463" s="16">
        <f>IF(AC463=0,IF(O463=2,INDEX(Acceleration!$R$4:$R$110,MATCH('Track Data'!S463,Acceleration!$K$4:$K$110,0)),IF('Track Data'!O463=1,INDEX(Acceleration!$Q$4:$Q$110,MATCH('Track Data'!S463,Acceleration!$K$4:$K$110,0)),'Track Data'!AG463)),'Track Data'!U463)</f>
        <v>6.2873467937451366</v>
      </c>
    </row>
    <row r="464" spans="2:34" x14ac:dyDescent="0.25">
      <c r="B464" s="16">
        <v>210.119</v>
      </c>
      <c r="C464" s="16">
        <v>7734</v>
      </c>
      <c r="D464" s="16">
        <v>461</v>
      </c>
      <c r="E464" s="113">
        <v>108</v>
      </c>
      <c r="F464" s="113">
        <v>104.9</v>
      </c>
      <c r="G464" s="113">
        <v>94.7</v>
      </c>
      <c r="H464" s="113">
        <f t="shared" si="54"/>
        <v>26.305555555555557</v>
      </c>
      <c r="I464" s="113">
        <v>19.3</v>
      </c>
      <c r="J464" s="113">
        <v>60.45</v>
      </c>
      <c r="K464" s="113">
        <v>-39.5</v>
      </c>
      <c r="L464" s="183"/>
      <c r="M464" s="16">
        <v>461</v>
      </c>
      <c r="N464" s="16">
        <f t="shared" si="56"/>
        <v>3.0574200371758519E-2</v>
      </c>
      <c r="O464" s="16">
        <v>2</v>
      </c>
      <c r="P464" s="16">
        <f t="shared" si="52"/>
        <v>12.715447154471546</v>
      </c>
      <c r="Q464" s="16">
        <f t="shared" si="57"/>
        <v>32.707314920448518</v>
      </c>
      <c r="R464" s="113">
        <f t="shared" si="53"/>
        <v>373.41300000000001</v>
      </c>
      <c r="S464" s="16">
        <f>IF(S463=15800,15800,ROUND((((Q464*60)/'Gearing Calculator'!$C$14)*'Track Data'!P464),-2))</f>
        <v>12600</v>
      </c>
      <c r="T464" s="16">
        <f t="shared" si="55"/>
        <v>6.2873467937451366</v>
      </c>
      <c r="U464" s="16">
        <f>IF(AC464=100,Braking!$AG$2354,IF(AC464=50,Braking!$AG$1179,IF(AC464=75,Braking!$AG$1767,0)))</f>
        <v>0</v>
      </c>
      <c r="V464" s="16">
        <f>0.5*'Gearing Calculator'!$C$15*'Gearing Calculator'!$C$20*'Gearing Calculator'!$W$20*('Track Data'!Q464^2)</f>
        <v>113.22429267448291</v>
      </c>
      <c r="W464" s="16">
        <f>('Gearing Calculator'!$U$9*'Track Data'!T464)+'Track Data'!V464</f>
        <v>1786.9160091694382</v>
      </c>
      <c r="X464" s="16">
        <f>('Gearing Calculator'!$U$9*9.81)*('Gearing Calculator'!$U$16/'Gearing Calculator'!$C$7)-(('Track Data'!W464)*('Gearing Calculator'!$U$17/'Gearing Calculator'!$C$7))</f>
        <v>427.17103983758352</v>
      </c>
      <c r="Y464" s="16">
        <f>('Gearing Calculator'!$U$9*9.81)*(('Gearing Calculator'!$C$7-'Gearing Calculator'!$U$16)/'Gearing Calculator'!$C$7)+(('Track Data'!W464)*('Gearing Calculator'!$U$17/'Gearing Calculator'!$C$7))</f>
        <v>2184.2509601624165</v>
      </c>
      <c r="Z464" s="16">
        <f>((X464*COS('Gearing Calculator'!$C$21))/'Gearing Calculator'!$C$22)/2</f>
        <v>13.206777524884764</v>
      </c>
      <c r="AA464" s="16">
        <f>Y464/'Gearing Calculator'!$C$24</f>
        <v>30.49946948247559</v>
      </c>
      <c r="AB464" s="16">
        <f t="shared" si="51"/>
        <v>125.79898626197318</v>
      </c>
      <c r="AC464" s="16">
        <v>0</v>
      </c>
      <c r="AD464" s="16">
        <v>-50.419976243670298</v>
      </c>
      <c r="AE464" s="16">
        <v>461</v>
      </c>
      <c r="AF464" s="16">
        <f>IF(AC464=0,IF(O464=6,INDEX(Acceleration!$V$4:$V$110,MATCH('Track Data'!S464,Acceleration!$K$4:$K$110,0)),IF('Track Data'!O464=5,INDEX(Acceleration!$U$4:$U$110,MATCH('Track Data'!S464,Acceleration!$K$4:$K$110,0)),1)),U464)</f>
        <v>1</v>
      </c>
      <c r="AG464" s="16">
        <f>IF(AC464=0,IF(O464=4,INDEX(Acceleration!$T$4:$T$110,MATCH('Track Data'!S464,Acceleration!$K$4:$K$110,0)),IF('Track Data'!O464=3,INDEX(Acceleration!$S$4:$S$110,MATCH('Track Data'!S464,Acceleration!$K$4:$K$110,0)),'Track Data'!AF464)),'Track Data'!U464)</f>
        <v>1</v>
      </c>
      <c r="AH464" s="16">
        <f>IF(AC464=0,IF(O464=2,INDEX(Acceleration!$R$4:$R$110,MATCH('Track Data'!S464,Acceleration!$K$4:$K$110,0)),IF('Track Data'!O464=1,INDEX(Acceleration!$Q$4:$Q$110,MATCH('Track Data'!S464,Acceleration!$K$4:$K$110,0)),'Track Data'!AG464)),'Track Data'!U464)</f>
        <v>6.2873467937451366</v>
      </c>
    </row>
    <row r="465" spans="2:34" x14ac:dyDescent="0.25">
      <c r="B465" s="16">
        <v>210.15299999999999</v>
      </c>
      <c r="C465" s="16">
        <v>7735</v>
      </c>
      <c r="D465" s="16">
        <v>462</v>
      </c>
      <c r="E465" s="113">
        <v>108</v>
      </c>
      <c r="F465" s="113">
        <v>104.8</v>
      </c>
      <c r="G465" s="113">
        <v>94.8</v>
      </c>
      <c r="H465" s="113">
        <f t="shared" si="54"/>
        <v>26.333333333333332</v>
      </c>
      <c r="I465" s="113">
        <v>19.3</v>
      </c>
      <c r="J465" s="113">
        <v>59.98</v>
      </c>
      <c r="K465" s="113">
        <v>-26.5</v>
      </c>
      <c r="L465" s="183"/>
      <c r="M465" s="16">
        <v>462</v>
      </c>
      <c r="N465" s="16">
        <f t="shared" si="56"/>
        <v>3.0574200371758519E-2</v>
      </c>
      <c r="O465" s="16">
        <v>2</v>
      </c>
      <c r="P465" s="16">
        <f t="shared" si="52"/>
        <v>12.715447154471546</v>
      </c>
      <c r="Q465" s="16">
        <f t="shared" si="57"/>
        <v>32.707314920448518</v>
      </c>
      <c r="R465" s="113">
        <f t="shared" si="53"/>
        <v>373.41300000000001</v>
      </c>
      <c r="S465" s="16">
        <f>IF(S464=15800,15800,ROUND((((Q465*60)/'Gearing Calculator'!$C$14)*'Track Data'!P465),-2))</f>
        <v>12600</v>
      </c>
      <c r="T465" s="16">
        <f t="shared" si="55"/>
        <v>6.2873467937451366</v>
      </c>
      <c r="U465" s="16">
        <f>IF(AC465=100,Braking!$AG$2354,IF(AC465=50,Braking!$AG$1179,IF(AC465=75,Braking!$AG$1767,0)))</f>
        <v>0</v>
      </c>
      <c r="V465" s="16">
        <f>0.5*'Gearing Calculator'!$C$15*'Gearing Calculator'!$C$20*'Gearing Calculator'!$W$20*('Track Data'!Q465^2)</f>
        <v>113.22429267448291</v>
      </c>
      <c r="W465" s="16">
        <f>('Gearing Calculator'!$U$9*'Track Data'!T465)+'Track Data'!V465</f>
        <v>1786.9160091694382</v>
      </c>
      <c r="X465" s="16">
        <f>('Gearing Calculator'!$U$9*9.81)*('Gearing Calculator'!$U$16/'Gearing Calculator'!$C$7)-(('Track Data'!W465)*('Gearing Calculator'!$U$17/'Gearing Calculator'!$C$7))</f>
        <v>427.17103983758352</v>
      </c>
      <c r="Y465" s="16">
        <f>('Gearing Calculator'!$U$9*9.81)*(('Gearing Calculator'!$C$7-'Gearing Calculator'!$U$16)/'Gearing Calculator'!$C$7)+(('Track Data'!W465)*('Gearing Calculator'!$U$17/'Gearing Calculator'!$C$7))</f>
        <v>2184.2509601624165</v>
      </c>
      <c r="Z465" s="16">
        <f>((X465*COS('Gearing Calculator'!$C$21))/'Gearing Calculator'!$C$22)/2</f>
        <v>13.206777524884764</v>
      </c>
      <c r="AA465" s="16">
        <f>Y465/'Gearing Calculator'!$C$24</f>
        <v>30.49946948247559</v>
      </c>
      <c r="AB465" s="16">
        <f t="shared" si="51"/>
        <v>125.79898626197318</v>
      </c>
      <c r="AC465" s="16">
        <v>0</v>
      </c>
      <c r="AD465" s="16">
        <v>-50.419976243670298</v>
      </c>
      <c r="AE465" s="16">
        <v>462</v>
      </c>
      <c r="AF465" s="16">
        <f>IF(AC465=0,IF(O465=6,INDEX(Acceleration!$V$4:$V$110,MATCH('Track Data'!S465,Acceleration!$K$4:$K$110,0)),IF('Track Data'!O465=5,INDEX(Acceleration!$U$4:$U$110,MATCH('Track Data'!S465,Acceleration!$K$4:$K$110,0)),1)),U465)</f>
        <v>1</v>
      </c>
      <c r="AG465" s="16">
        <f>IF(AC465=0,IF(O465=4,INDEX(Acceleration!$T$4:$T$110,MATCH('Track Data'!S465,Acceleration!$K$4:$K$110,0)),IF('Track Data'!O465=3,INDEX(Acceleration!$S$4:$S$110,MATCH('Track Data'!S465,Acceleration!$K$4:$K$110,0)),'Track Data'!AF465)),'Track Data'!U465)</f>
        <v>1</v>
      </c>
      <c r="AH465" s="16">
        <f>IF(AC465=0,IF(O465=2,INDEX(Acceleration!$R$4:$R$110,MATCH('Track Data'!S465,Acceleration!$K$4:$K$110,0)),IF('Track Data'!O465=1,INDEX(Acceleration!$Q$4:$Q$110,MATCH('Track Data'!S465,Acceleration!$K$4:$K$110,0)),'Track Data'!AG465)),'Track Data'!U465)</f>
        <v>6.2873467937451366</v>
      </c>
    </row>
    <row r="466" spans="2:34" x14ac:dyDescent="0.25">
      <c r="B466" s="16">
        <v>210.18700000000001</v>
      </c>
      <c r="C466" s="16">
        <v>7736</v>
      </c>
      <c r="D466" s="16">
        <v>463</v>
      </c>
      <c r="E466" s="113">
        <v>109</v>
      </c>
      <c r="F466" s="113">
        <v>105.1</v>
      </c>
      <c r="G466" s="113">
        <v>95</v>
      </c>
      <c r="H466" s="113">
        <f t="shared" si="54"/>
        <v>26.388888888888889</v>
      </c>
      <c r="I466" s="113">
        <v>18.8</v>
      </c>
      <c r="J466" s="113">
        <v>59.54</v>
      </c>
      <c r="K466" s="113">
        <v>-24.5</v>
      </c>
      <c r="L466" s="183"/>
      <c r="M466" s="16">
        <v>463</v>
      </c>
      <c r="N466" s="16">
        <f t="shared" si="56"/>
        <v>3.0574200371758519E-2</v>
      </c>
      <c r="O466" s="16">
        <v>2</v>
      </c>
      <c r="P466" s="16">
        <f t="shared" si="52"/>
        <v>12.715447154471546</v>
      </c>
      <c r="Q466" s="16">
        <f t="shared" si="57"/>
        <v>32.707314920448518</v>
      </c>
      <c r="R466" s="113">
        <f t="shared" si="53"/>
        <v>373.41300000000001</v>
      </c>
      <c r="S466" s="16">
        <f>IF(S465=15800,15800,ROUND((((Q466*60)/'Gearing Calculator'!$C$14)*'Track Data'!P466),-2))</f>
        <v>12600</v>
      </c>
      <c r="T466" s="16">
        <f t="shared" si="55"/>
        <v>6.2873467937451366</v>
      </c>
      <c r="U466" s="16">
        <f>IF(AC466=100,Braking!$AG$2354,IF(AC466=50,Braking!$AG$1179,IF(AC466=75,Braking!$AG$1767,0)))</f>
        <v>0</v>
      </c>
      <c r="V466" s="16">
        <f>0.5*'Gearing Calculator'!$C$15*'Gearing Calculator'!$C$20*'Gearing Calculator'!$W$20*('Track Data'!Q466^2)</f>
        <v>113.22429267448291</v>
      </c>
      <c r="W466" s="16">
        <f>('Gearing Calculator'!$U$9*'Track Data'!T466)+'Track Data'!V466</f>
        <v>1786.9160091694382</v>
      </c>
      <c r="X466" s="16">
        <f>('Gearing Calculator'!$U$9*9.81)*('Gearing Calculator'!$U$16/'Gearing Calculator'!$C$7)-(('Track Data'!W466)*('Gearing Calculator'!$U$17/'Gearing Calculator'!$C$7))</f>
        <v>427.17103983758352</v>
      </c>
      <c r="Y466" s="16">
        <f>('Gearing Calculator'!$U$9*9.81)*(('Gearing Calculator'!$C$7-'Gearing Calculator'!$U$16)/'Gearing Calculator'!$C$7)+(('Track Data'!W466)*('Gearing Calculator'!$U$17/'Gearing Calculator'!$C$7))</f>
        <v>2184.2509601624165</v>
      </c>
      <c r="Z466" s="16">
        <f>((X466*COS('Gearing Calculator'!$C$21))/'Gearing Calculator'!$C$22)/2</f>
        <v>13.206777524884764</v>
      </c>
      <c r="AA466" s="16">
        <f>Y466/'Gearing Calculator'!$C$24</f>
        <v>30.49946948247559</v>
      </c>
      <c r="AB466" s="16">
        <f t="shared" si="51"/>
        <v>125.79898626197318</v>
      </c>
      <c r="AC466" s="16">
        <v>0</v>
      </c>
      <c r="AD466" s="16">
        <v>-50.419976243670298</v>
      </c>
      <c r="AE466" s="16">
        <v>463</v>
      </c>
      <c r="AF466" s="16">
        <f>IF(AC466=0,IF(O466=6,INDEX(Acceleration!$V$4:$V$110,MATCH('Track Data'!S466,Acceleration!$K$4:$K$110,0)),IF('Track Data'!O466=5,INDEX(Acceleration!$U$4:$U$110,MATCH('Track Data'!S466,Acceleration!$K$4:$K$110,0)),1)),U466)</f>
        <v>1</v>
      </c>
      <c r="AG466" s="16">
        <f>IF(AC466=0,IF(O466=4,INDEX(Acceleration!$T$4:$T$110,MATCH('Track Data'!S466,Acceleration!$K$4:$K$110,0)),IF('Track Data'!O466=3,INDEX(Acceleration!$S$4:$S$110,MATCH('Track Data'!S466,Acceleration!$K$4:$K$110,0)),'Track Data'!AF466)),'Track Data'!U466)</f>
        <v>1</v>
      </c>
      <c r="AH466" s="16">
        <f>IF(AC466=0,IF(O466=2,INDEX(Acceleration!$R$4:$R$110,MATCH('Track Data'!S466,Acceleration!$K$4:$K$110,0)),IF('Track Data'!O466=1,INDEX(Acceleration!$Q$4:$Q$110,MATCH('Track Data'!S466,Acceleration!$K$4:$K$110,0)),'Track Data'!AG466)),'Track Data'!U466)</f>
        <v>6.2873467937451366</v>
      </c>
    </row>
    <row r="467" spans="2:34" x14ac:dyDescent="0.25">
      <c r="B467" s="16">
        <v>210.221</v>
      </c>
      <c r="C467" s="16">
        <v>7737</v>
      </c>
      <c r="D467" s="16">
        <v>464</v>
      </c>
      <c r="E467" s="113">
        <v>109</v>
      </c>
      <c r="F467" s="113">
        <v>105.3</v>
      </c>
      <c r="G467" s="113">
        <v>95.2</v>
      </c>
      <c r="H467" s="113">
        <f t="shared" si="54"/>
        <v>26.444444444444443</v>
      </c>
      <c r="I467" s="113">
        <v>17.8</v>
      </c>
      <c r="J467" s="113">
        <v>60.37</v>
      </c>
      <c r="K467" s="113">
        <v>-24.5</v>
      </c>
      <c r="L467" s="183"/>
      <c r="M467" s="16">
        <v>464</v>
      </c>
      <c r="N467" s="16">
        <f t="shared" si="56"/>
        <v>3.0574200371758519E-2</v>
      </c>
      <c r="O467" s="16">
        <v>2</v>
      </c>
      <c r="P467" s="16">
        <f t="shared" si="52"/>
        <v>12.715447154471546</v>
      </c>
      <c r="Q467" s="16">
        <f t="shared" si="57"/>
        <v>32.707314920448518</v>
      </c>
      <c r="R467" s="113">
        <f t="shared" si="53"/>
        <v>373.41300000000001</v>
      </c>
      <c r="S467" s="16">
        <f>IF(S466=15800,15800,ROUND((((Q467*60)/'Gearing Calculator'!$C$14)*'Track Data'!P467),-2))</f>
        <v>12600</v>
      </c>
      <c r="T467" s="16">
        <f t="shared" si="55"/>
        <v>6.2873467937451366</v>
      </c>
      <c r="U467" s="16">
        <f>IF(AC467=100,Braking!$AG$2354,IF(AC467=50,Braking!$AG$1179,IF(AC467=75,Braking!$AG$1767,0)))</f>
        <v>0</v>
      </c>
      <c r="V467" s="16">
        <f>0.5*'Gearing Calculator'!$C$15*'Gearing Calculator'!$C$20*'Gearing Calculator'!$W$20*('Track Data'!Q467^2)</f>
        <v>113.22429267448291</v>
      </c>
      <c r="W467" s="16">
        <f>('Gearing Calculator'!$U$9*'Track Data'!T467)+'Track Data'!V467</f>
        <v>1786.9160091694382</v>
      </c>
      <c r="X467" s="16">
        <f>('Gearing Calculator'!$U$9*9.81)*('Gearing Calculator'!$U$16/'Gearing Calculator'!$C$7)-(('Track Data'!W467)*('Gearing Calculator'!$U$17/'Gearing Calculator'!$C$7))</f>
        <v>427.17103983758352</v>
      </c>
      <c r="Y467" s="16">
        <f>('Gearing Calculator'!$U$9*9.81)*(('Gearing Calculator'!$C$7-'Gearing Calculator'!$U$16)/'Gearing Calculator'!$C$7)+(('Track Data'!W467)*('Gearing Calculator'!$U$17/'Gearing Calculator'!$C$7))</f>
        <v>2184.2509601624165</v>
      </c>
      <c r="Z467" s="16">
        <f>((X467*COS('Gearing Calculator'!$C$21))/'Gearing Calculator'!$C$22)/2</f>
        <v>13.206777524884764</v>
      </c>
      <c r="AA467" s="16">
        <f>Y467/'Gearing Calculator'!$C$24</f>
        <v>30.49946948247559</v>
      </c>
      <c r="AB467" s="16">
        <f t="shared" si="51"/>
        <v>125.79898626197318</v>
      </c>
      <c r="AC467" s="16">
        <v>0</v>
      </c>
      <c r="AD467" s="16">
        <v>-50.419976243670298</v>
      </c>
      <c r="AE467" s="16">
        <v>464</v>
      </c>
      <c r="AF467" s="16">
        <f>IF(AC467=0,IF(O467=6,INDEX(Acceleration!$V$4:$V$110,MATCH('Track Data'!S467,Acceleration!$K$4:$K$110,0)),IF('Track Data'!O467=5,INDEX(Acceleration!$U$4:$U$110,MATCH('Track Data'!S467,Acceleration!$K$4:$K$110,0)),1)),U467)</f>
        <v>1</v>
      </c>
      <c r="AG467" s="16">
        <f>IF(AC467=0,IF(O467=4,INDEX(Acceleration!$T$4:$T$110,MATCH('Track Data'!S467,Acceleration!$K$4:$K$110,0)),IF('Track Data'!O467=3,INDEX(Acceleration!$S$4:$S$110,MATCH('Track Data'!S467,Acceleration!$K$4:$K$110,0)),'Track Data'!AF467)),'Track Data'!U467)</f>
        <v>1</v>
      </c>
      <c r="AH467" s="16">
        <f>IF(AC467=0,IF(O467=2,INDEX(Acceleration!$R$4:$R$110,MATCH('Track Data'!S467,Acceleration!$K$4:$K$110,0)),IF('Track Data'!O467=1,INDEX(Acceleration!$Q$4:$Q$110,MATCH('Track Data'!S467,Acceleration!$K$4:$K$110,0)),'Track Data'!AG467)),'Track Data'!U467)</f>
        <v>6.2873467937451366</v>
      </c>
    </row>
    <row r="468" spans="2:34" x14ac:dyDescent="0.25">
      <c r="B468" s="16">
        <v>210.256</v>
      </c>
      <c r="C468" s="16">
        <v>7738</v>
      </c>
      <c r="D468" s="16">
        <v>465</v>
      </c>
      <c r="E468" s="113">
        <v>109</v>
      </c>
      <c r="F468" s="113">
        <v>105.3</v>
      </c>
      <c r="G468" s="113">
        <v>95.3</v>
      </c>
      <c r="H468" s="113">
        <f t="shared" si="54"/>
        <v>26.472222222222221</v>
      </c>
      <c r="I468" s="113">
        <v>17.100000000000001</v>
      </c>
      <c r="J468" s="113">
        <v>61.52</v>
      </c>
      <c r="K468" s="113">
        <v>-30.1</v>
      </c>
      <c r="L468" s="183"/>
      <c r="M468" s="16">
        <v>465</v>
      </c>
      <c r="N468" s="16">
        <f t="shared" si="56"/>
        <v>3.0574200371758519E-2</v>
      </c>
      <c r="O468" s="16">
        <v>2</v>
      </c>
      <c r="P468" s="16">
        <f t="shared" si="52"/>
        <v>12.715447154471546</v>
      </c>
      <c r="Q468" s="16">
        <f t="shared" si="57"/>
        <v>32.707314920448518</v>
      </c>
      <c r="R468" s="113">
        <f t="shared" si="53"/>
        <v>373.41300000000001</v>
      </c>
      <c r="S468" s="16">
        <f>IF(S467=15800,15800,ROUND((((Q468*60)/'Gearing Calculator'!$C$14)*'Track Data'!P468),-2))</f>
        <v>12600</v>
      </c>
      <c r="T468" s="16">
        <f t="shared" si="55"/>
        <v>6.2873467937451366</v>
      </c>
      <c r="U468" s="16">
        <f>IF(AC468=100,Braking!$AG$2354,IF(AC468=50,Braking!$AG$1179,IF(AC468=75,Braking!$AG$1767,0)))</f>
        <v>0</v>
      </c>
      <c r="V468" s="16">
        <f>0.5*'Gearing Calculator'!$C$15*'Gearing Calculator'!$C$20*'Gearing Calculator'!$W$20*('Track Data'!Q468^2)</f>
        <v>113.22429267448291</v>
      </c>
      <c r="W468" s="16">
        <f>('Gearing Calculator'!$U$9*'Track Data'!T468)+'Track Data'!V468</f>
        <v>1786.9160091694382</v>
      </c>
      <c r="X468" s="16">
        <f>('Gearing Calculator'!$U$9*9.81)*('Gearing Calculator'!$U$16/'Gearing Calculator'!$C$7)-(('Track Data'!W468)*('Gearing Calculator'!$U$17/'Gearing Calculator'!$C$7))</f>
        <v>427.17103983758352</v>
      </c>
      <c r="Y468" s="16">
        <f>('Gearing Calculator'!$U$9*9.81)*(('Gearing Calculator'!$C$7-'Gearing Calculator'!$U$16)/'Gearing Calculator'!$C$7)+(('Track Data'!W468)*('Gearing Calculator'!$U$17/'Gearing Calculator'!$C$7))</f>
        <v>2184.2509601624165</v>
      </c>
      <c r="Z468" s="16">
        <f>((X468*COS('Gearing Calculator'!$C$21))/'Gearing Calculator'!$C$22)/2</f>
        <v>13.206777524884764</v>
      </c>
      <c r="AA468" s="16">
        <f>Y468/'Gearing Calculator'!$C$24</f>
        <v>30.49946948247559</v>
      </c>
      <c r="AB468" s="16">
        <f t="shared" si="51"/>
        <v>125.79898626197318</v>
      </c>
      <c r="AC468" s="16">
        <v>0</v>
      </c>
      <c r="AD468" s="16">
        <v>-50.419976243670298</v>
      </c>
      <c r="AE468" s="16">
        <v>465</v>
      </c>
      <c r="AF468" s="16">
        <f>IF(AC468=0,IF(O468=6,INDEX(Acceleration!$V$4:$V$110,MATCH('Track Data'!S468,Acceleration!$K$4:$K$110,0)),IF('Track Data'!O468=5,INDEX(Acceleration!$U$4:$U$110,MATCH('Track Data'!S468,Acceleration!$K$4:$K$110,0)),1)),U468)</f>
        <v>1</v>
      </c>
      <c r="AG468" s="16">
        <f>IF(AC468=0,IF(O468=4,INDEX(Acceleration!$T$4:$T$110,MATCH('Track Data'!S468,Acceleration!$K$4:$K$110,0)),IF('Track Data'!O468=3,INDEX(Acceleration!$S$4:$S$110,MATCH('Track Data'!S468,Acceleration!$K$4:$K$110,0)),'Track Data'!AF468)),'Track Data'!U468)</f>
        <v>1</v>
      </c>
      <c r="AH468" s="16">
        <f>IF(AC468=0,IF(O468=2,INDEX(Acceleration!$R$4:$R$110,MATCH('Track Data'!S468,Acceleration!$K$4:$K$110,0)),IF('Track Data'!O468=1,INDEX(Acceleration!$Q$4:$Q$110,MATCH('Track Data'!S468,Acceleration!$K$4:$K$110,0)),'Track Data'!AG468)),'Track Data'!U468)</f>
        <v>6.2873467937451366</v>
      </c>
    </row>
    <row r="469" spans="2:34" x14ac:dyDescent="0.25">
      <c r="B469" s="16">
        <v>210.28899999999999</v>
      </c>
      <c r="C469" s="16">
        <v>7739</v>
      </c>
      <c r="D469" s="16">
        <v>466</v>
      </c>
      <c r="E469" s="113">
        <v>109</v>
      </c>
      <c r="F469" s="113">
        <v>105.3</v>
      </c>
      <c r="G469" s="113">
        <v>95.5</v>
      </c>
      <c r="H469" s="113">
        <f t="shared" si="54"/>
        <v>26.527777777777779</v>
      </c>
      <c r="I469" s="113">
        <v>17.100000000000001</v>
      </c>
      <c r="J469" s="113">
        <v>59.46</v>
      </c>
      <c r="K469" s="113">
        <v>-42.2</v>
      </c>
      <c r="L469" s="183"/>
      <c r="M469" s="16">
        <v>466</v>
      </c>
      <c r="N469" s="16">
        <f t="shared" si="56"/>
        <v>3.0574200371758519E-2</v>
      </c>
      <c r="O469" s="16">
        <v>2</v>
      </c>
      <c r="P469" s="16">
        <f t="shared" si="52"/>
        <v>12.715447154471546</v>
      </c>
      <c r="Q469" s="16">
        <f t="shared" si="57"/>
        <v>32.707314920448518</v>
      </c>
      <c r="R469" s="113">
        <f t="shared" si="53"/>
        <v>373.41300000000001</v>
      </c>
      <c r="S469" s="16">
        <f>IF(S468=15800,15800,ROUND((((Q469*60)/'Gearing Calculator'!$C$14)*'Track Data'!P469),-2))</f>
        <v>12600</v>
      </c>
      <c r="T469" s="16">
        <f t="shared" si="55"/>
        <v>6.2873467937451366</v>
      </c>
      <c r="U469" s="16">
        <f>IF(AC469=100,Braking!$AG$2354,IF(AC469=50,Braking!$AG$1179,IF(AC469=75,Braking!$AG$1767,0)))</f>
        <v>0</v>
      </c>
      <c r="V469" s="16">
        <f>0.5*'Gearing Calculator'!$C$15*'Gearing Calculator'!$C$20*'Gearing Calculator'!$W$20*('Track Data'!Q469^2)</f>
        <v>113.22429267448291</v>
      </c>
      <c r="W469" s="16">
        <f>('Gearing Calculator'!$U$9*'Track Data'!T469)+'Track Data'!V469</f>
        <v>1786.9160091694382</v>
      </c>
      <c r="X469" s="16">
        <f>('Gearing Calculator'!$U$9*9.81)*('Gearing Calculator'!$U$16/'Gearing Calculator'!$C$7)-(('Track Data'!W469)*('Gearing Calculator'!$U$17/'Gearing Calculator'!$C$7))</f>
        <v>427.17103983758352</v>
      </c>
      <c r="Y469" s="16">
        <f>('Gearing Calculator'!$U$9*9.81)*(('Gearing Calculator'!$C$7-'Gearing Calculator'!$U$16)/'Gearing Calculator'!$C$7)+(('Track Data'!W469)*('Gearing Calculator'!$U$17/'Gearing Calculator'!$C$7))</f>
        <v>2184.2509601624165</v>
      </c>
      <c r="Z469" s="16">
        <f>((X469*COS('Gearing Calculator'!$C$21))/'Gearing Calculator'!$C$22)/2</f>
        <v>13.206777524884764</v>
      </c>
      <c r="AA469" s="16">
        <f>Y469/'Gearing Calculator'!$C$24</f>
        <v>30.49946948247559</v>
      </c>
      <c r="AB469" s="16">
        <f t="shared" si="51"/>
        <v>125.79898626197318</v>
      </c>
      <c r="AC469" s="16">
        <v>0</v>
      </c>
      <c r="AD469" s="16">
        <v>-50.419976243670298</v>
      </c>
      <c r="AE469" s="16">
        <v>466</v>
      </c>
      <c r="AF469" s="16">
        <f>IF(AC469=0,IF(O469=6,INDEX(Acceleration!$V$4:$V$110,MATCH('Track Data'!S469,Acceleration!$K$4:$K$110,0)),IF('Track Data'!O469=5,INDEX(Acceleration!$U$4:$U$110,MATCH('Track Data'!S469,Acceleration!$K$4:$K$110,0)),1)),U469)</f>
        <v>1</v>
      </c>
      <c r="AG469" s="16">
        <f>IF(AC469=0,IF(O469=4,INDEX(Acceleration!$T$4:$T$110,MATCH('Track Data'!S469,Acceleration!$K$4:$K$110,0)),IF('Track Data'!O469=3,INDEX(Acceleration!$S$4:$S$110,MATCH('Track Data'!S469,Acceleration!$K$4:$K$110,0)),'Track Data'!AF469)),'Track Data'!U469)</f>
        <v>1</v>
      </c>
      <c r="AH469" s="16">
        <f>IF(AC469=0,IF(O469=2,INDEX(Acceleration!$R$4:$R$110,MATCH('Track Data'!S469,Acceleration!$K$4:$K$110,0)),IF('Track Data'!O469=1,INDEX(Acceleration!$Q$4:$Q$110,MATCH('Track Data'!S469,Acceleration!$K$4:$K$110,0)),'Track Data'!AG469)),'Track Data'!U469)</f>
        <v>6.2873467937451366</v>
      </c>
    </row>
    <row r="470" spans="2:34" x14ac:dyDescent="0.25">
      <c r="B470" s="16">
        <v>210.32400000000001</v>
      </c>
      <c r="C470" s="16">
        <v>7740</v>
      </c>
      <c r="D470" s="16">
        <v>467</v>
      </c>
      <c r="E470" s="113">
        <v>109</v>
      </c>
      <c r="F470" s="113">
        <v>105.1</v>
      </c>
      <c r="G470" s="113">
        <v>95.7</v>
      </c>
      <c r="H470" s="113">
        <f t="shared" si="54"/>
        <v>26.583333333333332</v>
      </c>
      <c r="I470" s="113">
        <v>17.399999999999999</v>
      </c>
      <c r="J470" s="113">
        <v>59.26</v>
      </c>
      <c r="K470" s="113">
        <v>-56.9</v>
      </c>
      <c r="L470" s="183"/>
      <c r="M470" s="16">
        <v>467</v>
      </c>
      <c r="N470" s="16">
        <f t="shared" si="56"/>
        <v>3.0574200371758519E-2</v>
      </c>
      <c r="O470" s="16">
        <v>2</v>
      </c>
      <c r="P470" s="16">
        <f t="shared" si="52"/>
        <v>12.715447154471546</v>
      </c>
      <c r="Q470" s="16">
        <f t="shared" si="57"/>
        <v>32.707314920448518</v>
      </c>
      <c r="R470" s="113">
        <f t="shared" si="53"/>
        <v>373.41300000000001</v>
      </c>
      <c r="S470" s="16">
        <f>IF(S469=15800,15800,ROUND((((Q470*60)/'Gearing Calculator'!$C$14)*'Track Data'!P470),-2))</f>
        <v>12600</v>
      </c>
      <c r="T470" s="16">
        <f t="shared" si="55"/>
        <v>6.2873467937451366</v>
      </c>
      <c r="U470" s="16">
        <f>IF(AC470=100,Braking!$AG$2354,IF(AC470=50,Braking!$AG$1179,IF(AC470=75,Braking!$AG$1767,0)))</f>
        <v>0</v>
      </c>
      <c r="V470" s="16">
        <f>0.5*'Gearing Calculator'!$C$15*'Gearing Calculator'!$C$20*'Gearing Calculator'!$W$20*('Track Data'!Q470^2)</f>
        <v>113.22429267448291</v>
      </c>
      <c r="W470" s="16">
        <f>('Gearing Calculator'!$U$9*'Track Data'!T470)+'Track Data'!V470</f>
        <v>1786.9160091694382</v>
      </c>
      <c r="X470" s="16">
        <f>('Gearing Calculator'!$U$9*9.81)*('Gearing Calculator'!$U$16/'Gearing Calculator'!$C$7)-(('Track Data'!W470)*('Gearing Calculator'!$U$17/'Gearing Calculator'!$C$7))</f>
        <v>427.17103983758352</v>
      </c>
      <c r="Y470" s="16">
        <f>('Gearing Calculator'!$U$9*9.81)*(('Gearing Calculator'!$C$7-'Gearing Calculator'!$U$16)/'Gearing Calculator'!$C$7)+(('Track Data'!W470)*('Gearing Calculator'!$U$17/'Gearing Calculator'!$C$7))</f>
        <v>2184.2509601624165</v>
      </c>
      <c r="Z470" s="16">
        <f>((X470*COS('Gearing Calculator'!$C$21))/'Gearing Calculator'!$C$22)/2</f>
        <v>13.206777524884764</v>
      </c>
      <c r="AA470" s="16">
        <f>Y470/'Gearing Calculator'!$C$24</f>
        <v>30.49946948247559</v>
      </c>
      <c r="AB470" s="16">
        <f t="shared" si="51"/>
        <v>125.79898626197318</v>
      </c>
      <c r="AC470" s="16">
        <v>0</v>
      </c>
      <c r="AD470" s="16">
        <v>-50.419976243670298</v>
      </c>
      <c r="AE470" s="16">
        <v>467</v>
      </c>
      <c r="AF470" s="16">
        <f>IF(AC470=0,IF(O470=6,INDEX(Acceleration!$V$4:$V$110,MATCH('Track Data'!S470,Acceleration!$K$4:$K$110,0)),IF('Track Data'!O470=5,INDEX(Acceleration!$U$4:$U$110,MATCH('Track Data'!S470,Acceleration!$K$4:$K$110,0)),1)),U470)</f>
        <v>1</v>
      </c>
      <c r="AG470" s="16">
        <f>IF(AC470=0,IF(O470=4,INDEX(Acceleration!$T$4:$T$110,MATCH('Track Data'!S470,Acceleration!$K$4:$K$110,0)),IF('Track Data'!O470=3,INDEX(Acceleration!$S$4:$S$110,MATCH('Track Data'!S470,Acceleration!$K$4:$K$110,0)),'Track Data'!AF470)),'Track Data'!U470)</f>
        <v>1</v>
      </c>
      <c r="AH470" s="16">
        <f>IF(AC470=0,IF(O470=2,INDEX(Acceleration!$R$4:$R$110,MATCH('Track Data'!S470,Acceleration!$K$4:$K$110,0)),IF('Track Data'!O470=1,INDEX(Acceleration!$Q$4:$Q$110,MATCH('Track Data'!S470,Acceleration!$K$4:$K$110,0)),'Track Data'!AG470)),'Track Data'!U470)</f>
        <v>6.2873467937451366</v>
      </c>
    </row>
    <row r="471" spans="2:34" x14ac:dyDescent="0.25">
      <c r="B471" s="16">
        <v>210.357</v>
      </c>
      <c r="C471" s="16">
        <v>7741</v>
      </c>
      <c r="D471" s="16">
        <v>468</v>
      </c>
      <c r="E471" s="113">
        <v>109</v>
      </c>
      <c r="F471" s="113">
        <v>105.3</v>
      </c>
      <c r="G471" s="113">
        <v>95.9</v>
      </c>
      <c r="H471" s="113">
        <f t="shared" si="54"/>
        <v>26.638888888888889</v>
      </c>
      <c r="I471" s="113">
        <v>16.8</v>
      </c>
      <c r="J471" s="113">
        <v>57.15</v>
      </c>
      <c r="K471" s="113">
        <v>-57.3</v>
      </c>
      <c r="L471" s="183"/>
      <c r="M471" s="16">
        <v>468</v>
      </c>
      <c r="N471" s="16">
        <f t="shared" si="56"/>
        <v>3.0574200371758519E-2</v>
      </c>
      <c r="O471" s="16">
        <v>2</v>
      </c>
      <c r="P471" s="16">
        <f t="shared" si="52"/>
        <v>12.715447154471546</v>
      </c>
      <c r="Q471" s="16">
        <f t="shared" si="57"/>
        <v>32.707314920448518</v>
      </c>
      <c r="R471" s="113">
        <f t="shared" si="53"/>
        <v>373.41300000000001</v>
      </c>
      <c r="S471" s="16">
        <f>IF(S470=15800,15800,ROUND((((Q471*60)/'Gearing Calculator'!$C$14)*'Track Data'!P471),-2))</f>
        <v>12600</v>
      </c>
      <c r="T471" s="16">
        <f t="shared" si="55"/>
        <v>6.2873467937451366</v>
      </c>
      <c r="U471" s="16">
        <f>IF(AC471=100,Braking!$AG$2354,IF(AC471=50,Braking!$AG$1179,IF(AC471=75,Braking!$AG$1767,0)))</f>
        <v>0</v>
      </c>
      <c r="V471" s="16">
        <f>0.5*'Gearing Calculator'!$C$15*'Gearing Calculator'!$C$20*'Gearing Calculator'!$W$20*('Track Data'!Q471^2)</f>
        <v>113.22429267448291</v>
      </c>
      <c r="W471" s="16">
        <f>('Gearing Calculator'!$U$9*'Track Data'!T471)+'Track Data'!V471</f>
        <v>1786.9160091694382</v>
      </c>
      <c r="X471" s="16">
        <f>('Gearing Calculator'!$U$9*9.81)*('Gearing Calculator'!$U$16/'Gearing Calculator'!$C$7)-(('Track Data'!W471)*('Gearing Calculator'!$U$17/'Gearing Calculator'!$C$7))</f>
        <v>427.17103983758352</v>
      </c>
      <c r="Y471" s="16">
        <f>('Gearing Calculator'!$U$9*9.81)*(('Gearing Calculator'!$C$7-'Gearing Calculator'!$U$16)/'Gearing Calculator'!$C$7)+(('Track Data'!W471)*('Gearing Calculator'!$U$17/'Gearing Calculator'!$C$7))</f>
        <v>2184.2509601624165</v>
      </c>
      <c r="Z471" s="16">
        <f>((X471*COS('Gearing Calculator'!$C$21))/'Gearing Calculator'!$C$22)/2</f>
        <v>13.206777524884764</v>
      </c>
      <c r="AA471" s="16">
        <f>Y471/'Gearing Calculator'!$C$24</f>
        <v>30.49946948247559</v>
      </c>
      <c r="AB471" s="16">
        <f t="shared" si="51"/>
        <v>125.79898626197318</v>
      </c>
      <c r="AC471" s="16">
        <v>0</v>
      </c>
      <c r="AD471" s="16">
        <v>-50.419976243670298</v>
      </c>
      <c r="AE471" s="16">
        <v>468</v>
      </c>
      <c r="AF471" s="16">
        <f>IF(AC471=0,IF(O471=6,INDEX(Acceleration!$V$4:$V$110,MATCH('Track Data'!S471,Acceleration!$K$4:$K$110,0)),IF('Track Data'!O471=5,INDEX(Acceleration!$U$4:$U$110,MATCH('Track Data'!S471,Acceleration!$K$4:$K$110,0)),1)),U471)</f>
        <v>1</v>
      </c>
      <c r="AG471" s="16">
        <f>IF(AC471=0,IF(O471=4,INDEX(Acceleration!$T$4:$T$110,MATCH('Track Data'!S471,Acceleration!$K$4:$K$110,0)),IF('Track Data'!O471=3,INDEX(Acceleration!$S$4:$S$110,MATCH('Track Data'!S471,Acceleration!$K$4:$K$110,0)),'Track Data'!AF471)),'Track Data'!U471)</f>
        <v>1</v>
      </c>
      <c r="AH471" s="16">
        <f>IF(AC471=0,IF(O471=2,INDEX(Acceleration!$R$4:$R$110,MATCH('Track Data'!S471,Acceleration!$K$4:$K$110,0)),IF('Track Data'!O471=1,INDEX(Acceleration!$Q$4:$Q$110,MATCH('Track Data'!S471,Acceleration!$K$4:$K$110,0)),'Track Data'!AG471)),'Track Data'!U471)</f>
        <v>6.2873467937451366</v>
      </c>
    </row>
    <row r="472" spans="2:34" x14ac:dyDescent="0.25">
      <c r="B472" s="16">
        <v>210.392</v>
      </c>
      <c r="C472" s="16">
        <v>7742</v>
      </c>
      <c r="D472" s="16">
        <v>469</v>
      </c>
      <c r="E472" s="113">
        <v>110</v>
      </c>
      <c r="F472" s="113">
        <v>105.4</v>
      </c>
      <c r="G472" s="113">
        <v>96.1</v>
      </c>
      <c r="H472" s="113">
        <f t="shared" si="54"/>
        <v>26.694444444444443</v>
      </c>
      <c r="I472" s="113">
        <v>15.9</v>
      </c>
      <c r="J472" s="113">
        <v>58.13</v>
      </c>
      <c r="K472" s="113">
        <v>-57.8</v>
      </c>
      <c r="L472" s="183"/>
      <c r="M472" s="16">
        <v>469</v>
      </c>
      <c r="N472" s="16">
        <f t="shared" si="56"/>
        <v>3.0574200371758519E-2</v>
      </c>
      <c r="O472" s="16">
        <v>2</v>
      </c>
      <c r="P472" s="16">
        <f t="shared" si="52"/>
        <v>12.715447154471546</v>
      </c>
      <c r="Q472" s="16">
        <f t="shared" si="57"/>
        <v>32.707314920448518</v>
      </c>
      <c r="R472" s="113">
        <f t="shared" si="53"/>
        <v>373.41300000000001</v>
      </c>
      <c r="S472" s="16">
        <f>IF(S471=15800,15800,ROUND((((Q472*60)/'Gearing Calculator'!$C$14)*'Track Data'!P472),-2))</f>
        <v>12600</v>
      </c>
      <c r="T472" s="16">
        <f t="shared" si="55"/>
        <v>6.2873467937451366</v>
      </c>
      <c r="U472" s="16">
        <f>IF(AC472=100,Braking!$AG$2354,IF(AC472=50,Braking!$AG$1179,IF(AC472=75,Braking!$AG$1767,0)))</f>
        <v>0</v>
      </c>
      <c r="V472" s="16">
        <f>0.5*'Gearing Calculator'!$C$15*'Gearing Calculator'!$C$20*'Gearing Calculator'!$W$20*('Track Data'!Q472^2)</f>
        <v>113.22429267448291</v>
      </c>
      <c r="W472" s="16">
        <f>('Gearing Calculator'!$U$9*'Track Data'!T472)+'Track Data'!V472</f>
        <v>1786.9160091694382</v>
      </c>
      <c r="X472" s="16">
        <f>('Gearing Calculator'!$U$9*9.81)*('Gearing Calculator'!$U$16/'Gearing Calculator'!$C$7)-(('Track Data'!W472)*('Gearing Calculator'!$U$17/'Gearing Calculator'!$C$7))</f>
        <v>427.17103983758352</v>
      </c>
      <c r="Y472" s="16">
        <f>('Gearing Calculator'!$U$9*9.81)*(('Gearing Calculator'!$C$7-'Gearing Calculator'!$U$16)/'Gearing Calculator'!$C$7)+(('Track Data'!W472)*('Gearing Calculator'!$U$17/'Gearing Calculator'!$C$7))</f>
        <v>2184.2509601624165</v>
      </c>
      <c r="Z472" s="16">
        <f>((X472*COS('Gearing Calculator'!$C$21))/'Gearing Calculator'!$C$22)/2</f>
        <v>13.206777524884764</v>
      </c>
      <c r="AA472" s="16">
        <f>Y472/'Gearing Calculator'!$C$24</f>
        <v>30.49946948247559</v>
      </c>
      <c r="AB472" s="16">
        <f t="shared" si="51"/>
        <v>125.79898626197318</v>
      </c>
      <c r="AC472" s="16">
        <v>0</v>
      </c>
      <c r="AD472" s="16">
        <v>-50.419976243670298</v>
      </c>
      <c r="AE472" s="16">
        <v>469</v>
      </c>
      <c r="AF472" s="16">
        <f>IF(AC472=0,IF(O472=6,INDEX(Acceleration!$V$4:$V$110,MATCH('Track Data'!S472,Acceleration!$K$4:$K$110,0)),IF('Track Data'!O472=5,INDEX(Acceleration!$U$4:$U$110,MATCH('Track Data'!S472,Acceleration!$K$4:$K$110,0)),1)),U472)</f>
        <v>1</v>
      </c>
      <c r="AG472" s="16">
        <f>IF(AC472=0,IF(O472=4,INDEX(Acceleration!$T$4:$T$110,MATCH('Track Data'!S472,Acceleration!$K$4:$K$110,0)),IF('Track Data'!O472=3,INDEX(Acceleration!$S$4:$S$110,MATCH('Track Data'!S472,Acceleration!$K$4:$K$110,0)),'Track Data'!AF472)),'Track Data'!U472)</f>
        <v>1</v>
      </c>
      <c r="AH472" s="16">
        <f>IF(AC472=0,IF(O472=2,INDEX(Acceleration!$R$4:$R$110,MATCH('Track Data'!S472,Acceleration!$K$4:$K$110,0)),IF('Track Data'!O472=1,INDEX(Acceleration!$Q$4:$Q$110,MATCH('Track Data'!S472,Acceleration!$K$4:$K$110,0)),'Track Data'!AG472)),'Track Data'!U472)</f>
        <v>6.2873467937451366</v>
      </c>
    </row>
    <row r="473" spans="2:34" x14ac:dyDescent="0.25">
      <c r="B473" s="16">
        <v>210.42599999999999</v>
      </c>
      <c r="C473" s="16">
        <v>7743</v>
      </c>
      <c r="D473" s="16">
        <v>470</v>
      </c>
      <c r="E473" s="113">
        <v>110</v>
      </c>
      <c r="F473" s="113">
        <v>105.7</v>
      </c>
      <c r="G473" s="113">
        <v>96.3</v>
      </c>
      <c r="H473" s="113">
        <f t="shared" si="54"/>
        <v>26.75</v>
      </c>
      <c r="I473" s="113">
        <v>15.9</v>
      </c>
      <c r="J473" s="113">
        <v>57.26</v>
      </c>
      <c r="K473" s="113">
        <v>-57.1</v>
      </c>
      <c r="L473" s="183"/>
      <c r="M473" s="16">
        <v>470</v>
      </c>
      <c r="N473" s="16">
        <f t="shared" si="56"/>
        <v>3.0574200371758519E-2</v>
      </c>
      <c r="O473" s="16">
        <v>2</v>
      </c>
      <c r="P473" s="16">
        <f t="shared" si="52"/>
        <v>12.715447154471546</v>
      </c>
      <c r="Q473" s="16">
        <f t="shared" si="57"/>
        <v>32.707314920448518</v>
      </c>
      <c r="R473" s="113">
        <f t="shared" si="53"/>
        <v>373.41300000000001</v>
      </c>
      <c r="S473" s="16">
        <f>IF(S472=15800,15800,ROUND((((Q473*60)/'Gearing Calculator'!$C$14)*'Track Data'!P473),-2))</f>
        <v>12600</v>
      </c>
      <c r="T473" s="16">
        <f t="shared" si="55"/>
        <v>6.2873467937451366</v>
      </c>
      <c r="U473" s="16">
        <f>IF(AC473=100,Braking!$AG$2354,IF(AC473=50,Braking!$AG$1179,IF(AC473=75,Braking!$AG$1767,0)))</f>
        <v>0</v>
      </c>
      <c r="V473" s="16">
        <f>0.5*'Gearing Calculator'!$C$15*'Gearing Calculator'!$C$20*'Gearing Calculator'!$W$20*('Track Data'!Q473^2)</f>
        <v>113.22429267448291</v>
      </c>
      <c r="W473" s="16">
        <f>('Gearing Calculator'!$U$9*'Track Data'!T473)+'Track Data'!V473</f>
        <v>1786.9160091694382</v>
      </c>
      <c r="X473" s="16">
        <f>('Gearing Calculator'!$U$9*9.81)*('Gearing Calculator'!$U$16/'Gearing Calculator'!$C$7)-(('Track Data'!W473)*('Gearing Calculator'!$U$17/'Gearing Calculator'!$C$7))</f>
        <v>427.17103983758352</v>
      </c>
      <c r="Y473" s="16">
        <f>('Gearing Calculator'!$U$9*9.81)*(('Gearing Calculator'!$C$7-'Gearing Calculator'!$U$16)/'Gearing Calculator'!$C$7)+(('Track Data'!W473)*('Gearing Calculator'!$U$17/'Gearing Calculator'!$C$7))</f>
        <v>2184.2509601624165</v>
      </c>
      <c r="Z473" s="16">
        <f>((X473*COS('Gearing Calculator'!$C$21))/'Gearing Calculator'!$C$22)/2</f>
        <v>13.206777524884764</v>
      </c>
      <c r="AA473" s="16">
        <f>Y473/'Gearing Calculator'!$C$24</f>
        <v>30.49946948247559</v>
      </c>
      <c r="AB473" s="16">
        <f t="shared" si="51"/>
        <v>125.79898626197318</v>
      </c>
      <c r="AC473" s="16">
        <v>0</v>
      </c>
      <c r="AD473" s="16">
        <v>-50.419976243670298</v>
      </c>
      <c r="AE473" s="16">
        <v>470</v>
      </c>
      <c r="AF473" s="16">
        <f>IF(AC473=0,IF(O473=6,INDEX(Acceleration!$V$4:$V$110,MATCH('Track Data'!S473,Acceleration!$K$4:$K$110,0)),IF('Track Data'!O473=5,INDEX(Acceleration!$U$4:$U$110,MATCH('Track Data'!S473,Acceleration!$K$4:$K$110,0)),1)),U473)</f>
        <v>1</v>
      </c>
      <c r="AG473" s="16">
        <f>IF(AC473=0,IF(O473=4,INDEX(Acceleration!$T$4:$T$110,MATCH('Track Data'!S473,Acceleration!$K$4:$K$110,0)),IF('Track Data'!O473=3,INDEX(Acceleration!$S$4:$S$110,MATCH('Track Data'!S473,Acceleration!$K$4:$K$110,0)),'Track Data'!AF473)),'Track Data'!U473)</f>
        <v>1</v>
      </c>
      <c r="AH473" s="16">
        <f>IF(AC473=0,IF(O473=2,INDEX(Acceleration!$R$4:$R$110,MATCH('Track Data'!S473,Acceleration!$K$4:$K$110,0)),IF('Track Data'!O473=1,INDEX(Acceleration!$Q$4:$Q$110,MATCH('Track Data'!S473,Acceleration!$K$4:$K$110,0)),'Track Data'!AG473)),'Track Data'!U473)</f>
        <v>6.2873467937451366</v>
      </c>
    </row>
    <row r="474" spans="2:34" x14ac:dyDescent="0.25">
      <c r="B474" s="16">
        <v>210.46</v>
      </c>
      <c r="C474" s="16">
        <v>7744</v>
      </c>
      <c r="D474" s="16">
        <v>471</v>
      </c>
      <c r="E474" s="113">
        <v>109</v>
      </c>
      <c r="F474" s="113">
        <v>105.8</v>
      </c>
      <c r="G474" s="113">
        <v>96.5</v>
      </c>
      <c r="H474" s="113">
        <f t="shared" si="54"/>
        <v>26.805555555555554</v>
      </c>
      <c r="I474" s="113">
        <v>16.5</v>
      </c>
      <c r="J474" s="113">
        <v>58.08</v>
      </c>
      <c r="K474" s="113">
        <v>-55.7</v>
      </c>
      <c r="L474" s="183"/>
      <c r="M474" s="16">
        <v>471</v>
      </c>
      <c r="N474" s="16">
        <f t="shared" si="56"/>
        <v>3.0574200371758519E-2</v>
      </c>
      <c r="O474" s="16">
        <v>2</v>
      </c>
      <c r="P474" s="16">
        <f t="shared" si="52"/>
        <v>12.715447154471546</v>
      </c>
      <c r="Q474" s="16">
        <f t="shared" si="57"/>
        <v>32.707314920448518</v>
      </c>
      <c r="R474" s="113">
        <f t="shared" si="53"/>
        <v>373.41300000000001</v>
      </c>
      <c r="S474" s="16">
        <f>IF(S473=15800,15800,ROUND((((Q474*60)/'Gearing Calculator'!$C$14)*'Track Data'!P474),-2))</f>
        <v>12600</v>
      </c>
      <c r="T474" s="16">
        <f t="shared" si="55"/>
        <v>6.2873467937451366</v>
      </c>
      <c r="U474" s="16">
        <f>IF(AC474=100,Braking!$AG$2354,IF(AC474=50,Braking!$AG$1179,IF(AC474=75,Braking!$AG$1767,0)))</f>
        <v>0</v>
      </c>
      <c r="V474" s="16">
        <f>0.5*'Gearing Calculator'!$C$15*'Gearing Calculator'!$C$20*'Gearing Calculator'!$W$20*('Track Data'!Q474^2)</f>
        <v>113.22429267448291</v>
      </c>
      <c r="W474" s="16">
        <f>('Gearing Calculator'!$U$9*'Track Data'!T474)+'Track Data'!V474</f>
        <v>1786.9160091694382</v>
      </c>
      <c r="X474" s="16">
        <f>('Gearing Calculator'!$U$9*9.81)*('Gearing Calculator'!$U$16/'Gearing Calculator'!$C$7)-(('Track Data'!W474)*('Gearing Calculator'!$U$17/'Gearing Calculator'!$C$7))</f>
        <v>427.17103983758352</v>
      </c>
      <c r="Y474" s="16">
        <f>('Gearing Calculator'!$U$9*9.81)*(('Gearing Calculator'!$C$7-'Gearing Calculator'!$U$16)/'Gearing Calculator'!$C$7)+(('Track Data'!W474)*('Gearing Calculator'!$U$17/'Gearing Calculator'!$C$7))</f>
        <v>2184.2509601624165</v>
      </c>
      <c r="Z474" s="16">
        <f>((X474*COS('Gearing Calculator'!$C$21))/'Gearing Calculator'!$C$22)/2</f>
        <v>13.206777524884764</v>
      </c>
      <c r="AA474" s="16">
        <f>Y474/'Gearing Calculator'!$C$24</f>
        <v>30.49946948247559</v>
      </c>
      <c r="AB474" s="16">
        <f t="shared" si="51"/>
        <v>125.79898626197318</v>
      </c>
      <c r="AC474" s="16">
        <v>0</v>
      </c>
      <c r="AD474" s="16">
        <v>-50.419976243670298</v>
      </c>
      <c r="AE474" s="16">
        <v>471</v>
      </c>
      <c r="AF474" s="16">
        <f>IF(AC474=0,IF(O474=6,INDEX(Acceleration!$V$4:$V$110,MATCH('Track Data'!S474,Acceleration!$K$4:$K$110,0)),IF('Track Data'!O474=5,INDEX(Acceleration!$U$4:$U$110,MATCH('Track Data'!S474,Acceleration!$K$4:$K$110,0)),1)),U474)</f>
        <v>1</v>
      </c>
      <c r="AG474" s="16">
        <f>IF(AC474=0,IF(O474=4,INDEX(Acceleration!$T$4:$T$110,MATCH('Track Data'!S474,Acceleration!$K$4:$K$110,0)),IF('Track Data'!O474=3,INDEX(Acceleration!$S$4:$S$110,MATCH('Track Data'!S474,Acceleration!$K$4:$K$110,0)),'Track Data'!AF474)),'Track Data'!U474)</f>
        <v>1</v>
      </c>
      <c r="AH474" s="16">
        <f>IF(AC474=0,IF(O474=2,INDEX(Acceleration!$R$4:$R$110,MATCH('Track Data'!S474,Acceleration!$K$4:$K$110,0)),IF('Track Data'!O474=1,INDEX(Acceleration!$Q$4:$Q$110,MATCH('Track Data'!S474,Acceleration!$K$4:$K$110,0)),'Track Data'!AG474)),'Track Data'!U474)</f>
        <v>6.2873467937451366</v>
      </c>
    </row>
    <row r="475" spans="2:34" x14ac:dyDescent="0.25">
      <c r="B475" s="16">
        <v>210.494</v>
      </c>
      <c r="C475" s="16">
        <v>7745</v>
      </c>
      <c r="D475" s="16">
        <v>472</v>
      </c>
      <c r="E475" s="113">
        <v>109</v>
      </c>
      <c r="F475" s="113">
        <v>105.7</v>
      </c>
      <c r="G475" s="113">
        <v>96.7</v>
      </c>
      <c r="H475" s="113">
        <f t="shared" si="54"/>
        <v>26.861111111111111</v>
      </c>
      <c r="I475" s="113">
        <v>17.100000000000001</v>
      </c>
      <c r="J475" s="113">
        <v>57.55</v>
      </c>
      <c r="K475" s="113">
        <v>-55.2</v>
      </c>
      <c r="L475" s="183"/>
      <c r="M475" s="16">
        <v>472</v>
      </c>
      <c r="N475" s="16">
        <f t="shared" si="56"/>
        <v>3.0574200371758519E-2</v>
      </c>
      <c r="O475" s="16">
        <v>2</v>
      </c>
      <c r="P475" s="16">
        <f t="shared" si="52"/>
        <v>12.715447154471546</v>
      </c>
      <c r="Q475" s="16">
        <f t="shared" si="57"/>
        <v>32.707314920448518</v>
      </c>
      <c r="R475" s="113">
        <f t="shared" si="53"/>
        <v>373.41300000000001</v>
      </c>
      <c r="S475" s="16">
        <f>IF(S474=15800,15800,ROUND((((Q475*60)/'Gearing Calculator'!$C$14)*'Track Data'!P475),-2))</f>
        <v>12600</v>
      </c>
      <c r="T475" s="16">
        <f t="shared" si="55"/>
        <v>6.2873467937451366</v>
      </c>
      <c r="U475" s="16">
        <f>IF(AC475=100,Braking!$AG$2354,IF(AC475=50,Braking!$AG$1179,IF(AC475=75,Braking!$AG$1767,0)))</f>
        <v>0</v>
      </c>
      <c r="V475" s="16">
        <f>0.5*'Gearing Calculator'!$C$15*'Gearing Calculator'!$C$20*'Gearing Calculator'!$W$20*('Track Data'!Q475^2)</f>
        <v>113.22429267448291</v>
      </c>
      <c r="W475" s="16">
        <f>('Gearing Calculator'!$U$9*'Track Data'!T475)+'Track Data'!V475</f>
        <v>1786.9160091694382</v>
      </c>
      <c r="X475" s="16">
        <f>('Gearing Calculator'!$U$9*9.81)*('Gearing Calculator'!$U$16/'Gearing Calculator'!$C$7)-(('Track Data'!W475)*('Gearing Calculator'!$U$17/'Gearing Calculator'!$C$7))</f>
        <v>427.17103983758352</v>
      </c>
      <c r="Y475" s="16">
        <f>('Gearing Calculator'!$U$9*9.81)*(('Gearing Calculator'!$C$7-'Gearing Calculator'!$U$16)/'Gearing Calculator'!$C$7)+(('Track Data'!W475)*('Gearing Calculator'!$U$17/'Gearing Calculator'!$C$7))</f>
        <v>2184.2509601624165</v>
      </c>
      <c r="Z475" s="16">
        <f>((X475*COS('Gearing Calculator'!$C$21))/'Gearing Calculator'!$C$22)/2</f>
        <v>13.206777524884764</v>
      </c>
      <c r="AA475" s="16">
        <f>Y475/'Gearing Calculator'!$C$24</f>
        <v>30.49946948247559</v>
      </c>
      <c r="AB475" s="16">
        <f t="shared" si="51"/>
        <v>125.79898626197318</v>
      </c>
      <c r="AC475" s="16">
        <v>0</v>
      </c>
      <c r="AD475" s="16">
        <v>-50.419976243670298</v>
      </c>
      <c r="AE475" s="16">
        <v>472</v>
      </c>
      <c r="AF475" s="16">
        <f>IF(AC475=0,IF(O475=6,INDEX(Acceleration!$V$4:$V$110,MATCH('Track Data'!S475,Acceleration!$K$4:$K$110,0)),IF('Track Data'!O475=5,INDEX(Acceleration!$U$4:$U$110,MATCH('Track Data'!S475,Acceleration!$K$4:$K$110,0)),1)),U475)</f>
        <v>1</v>
      </c>
      <c r="AG475" s="16">
        <f>IF(AC475=0,IF(O475=4,INDEX(Acceleration!$T$4:$T$110,MATCH('Track Data'!S475,Acceleration!$K$4:$K$110,0)),IF('Track Data'!O475=3,INDEX(Acceleration!$S$4:$S$110,MATCH('Track Data'!S475,Acceleration!$K$4:$K$110,0)),'Track Data'!AF475)),'Track Data'!U475)</f>
        <v>1</v>
      </c>
      <c r="AH475" s="16">
        <f>IF(AC475=0,IF(O475=2,INDEX(Acceleration!$R$4:$R$110,MATCH('Track Data'!S475,Acceleration!$K$4:$K$110,0)),IF('Track Data'!O475=1,INDEX(Acceleration!$Q$4:$Q$110,MATCH('Track Data'!S475,Acceleration!$K$4:$K$110,0)),'Track Data'!AG475)),'Track Data'!U475)</f>
        <v>6.2873467937451366</v>
      </c>
    </row>
    <row r="476" spans="2:34" x14ac:dyDescent="0.25">
      <c r="B476" s="16">
        <v>210.52799999999999</v>
      </c>
      <c r="C476" s="16">
        <v>7746</v>
      </c>
      <c r="D476" s="16">
        <v>473</v>
      </c>
      <c r="E476" s="113">
        <v>110</v>
      </c>
      <c r="F476" s="113">
        <v>105.8</v>
      </c>
      <c r="G476" s="113">
        <v>96.9</v>
      </c>
      <c r="H476" s="113">
        <f t="shared" si="54"/>
        <v>26.916666666666668</v>
      </c>
      <c r="I476" s="113">
        <v>17.100000000000001</v>
      </c>
      <c r="J476" s="113">
        <v>56.13</v>
      </c>
      <c r="K476" s="113">
        <v>-55.1</v>
      </c>
      <c r="L476" s="183"/>
      <c r="M476" s="16">
        <v>473</v>
      </c>
      <c r="N476" s="16">
        <f t="shared" si="56"/>
        <v>3.0574200371758519E-2</v>
      </c>
      <c r="O476" s="16">
        <v>2</v>
      </c>
      <c r="P476" s="16">
        <f t="shared" si="52"/>
        <v>12.715447154471546</v>
      </c>
      <c r="Q476" s="16">
        <f t="shared" si="57"/>
        <v>32.707314920448518</v>
      </c>
      <c r="R476" s="113">
        <f t="shared" si="53"/>
        <v>373.41300000000001</v>
      </c>
      <c r="S476" s="16">
        <f>IF(S475=15800,15800,ROUND((((Q476*60)/'Gearing Calculator'!$C$14)*'Track Data'!P476),-2))</f>
        <v>12600</v>
      </c>
      <c r="T476" s="16">
        <f t="shared" si="55"/>
        <v>6.2873467937451366</v>
      </c>
      <c r="U476" s="16">
        <f>IF(AC476=100,Braking!$AG$2354,IF(AC476=50,Braking!$AG$1179,IF(AC476=75,Braking!$AG$1767,0)))</f>
        <v>0</v>
      </c>
      <c r="V476" s="16">
        <f>0.5*'Gearing Calculator'!$C$15*'Gearing Calculator'!$C$20*'Gearing Calculator'!$W$20*('Track Data'!Q476^2)</f>
        <v>113.22429267448291</v>
      </c>
      <c r="W476" s="16">
        <f>('Gearing Calculator'!$U$9*'Track Data'!T476)+'Track Data'!V476</f>
        <v>1786.9160091694382</v>
      </c>
      <c r="X476" s="16">
        <f>('Gearing Calculator'!$U$9*9.81)*('Gearing Calculator'!$U$16/'Gearing Calculator'!$C$7)-(('Track Data'!W476)*('Gearing Calculator'!$U$17/'Gearing Calculator'!$C$7))</f>
        <v>427.17103983758352</v>
      </c>
      <c r="Y476" s="16">
        <f>('Gearing Calculator'!$U$9*9.81)*(('Gearing Calculator'!$C$7-'Gearing Calculator'!$U$16)/'Gearing Calculator'!$C$7)+(('Track Data'!W476)*('Gearing Calculator'!$U$17/'Gearing Calculator'!$C$7))</f>
        <v>2184.2509601624165</v>
      </c>
      <c r="Z476" s="16">
        <f>((X476*COS('Gearing Calculator'!$C$21))/'Gearing Calculator'!$C$22)/2</f>
        <v>13.206777524884764</v>
      </c>
      <c r="AA476" s="16">
        <f>Y476/'Gearing Calculator'!$C$24</f>
        <v>30.49946948247559</v>
      </c>
      <c r="AB476" s="16">
        <f t="shared" si="51"/>
        <v>125.79898626197318</v>
      </c>
      <c r="AC476" s="16">
        <v>0</v>
      </c>
      <c r="AD476" s="16">
        <v>-50.419976243670298</v>
      </c>
      <c r="AE476" s="16">
        <v>473</v>
      </c>
      <c r="AF476" s="16">
        <f>IF(AC476=0,IF(O476=6,INDEX(Acceleration!$V$4:$V$110,MATCH('Track Data'!S476,Acceleration!$K$4:$K$110,0)),IF('Track Data'!O476=5,INDEX(Acceleration!$U$4:$U$110,MATCH('Track Data'!S476,Acceleration!$K$4:$K$110,0)),1)),U476)</f>
        <v>1</v>
      </c>
      <c r="AG476" s="16">
        <f>IF(AC476=0,IF(O476=4,INDEX(Acceleration!$T$4:$T$110,MATCH('Track Data'!S476,Acceleration!$K$4:$K$110,0)),IF('Track Data'!O476=3,INDEX(Acceleration!$S$4:$S$110,MATCH('Track Data'!S476,Acceleration!$K$4:$K$110,0)),'Track Data'!AF476)),'Track Data'!U476)</f>
        <v>1</v>
      </c>
      <c r="AH476" s="16">
        <f>IF(AC476=0,IF(O476=2,INDEX(Acceleration!$R$4:$R$110,MATCH('Track Data'!S476,Acceleration!$K$4:$K$110,0)),IF('Track Data'!O476=1,INDEX(Acceleration!$Q$4:$Q$110,MATCH('Track Data'!S476,Acceleration!$K$4:$K$110,0)),'Track Data'!AG476)),'Track Data'!U476)</f>
        <v>6.2873467937451366</v>
      </c>
    </row>
    <row r="477" spans="2:34" x14ac:dyDescent="0.25">
      <c r="B477" s="16">
        <v>210.56200000000001</v>
      </c>
      <c r="C477" s="16">
        <v>7747</v>
      </c>
      <c r="D477" s="16">
        <v>474</v>
      </c>
      <c r="E477" s="113">
        <v>110</v>
      </c>
      <c r="F477" s="113">
        <v>106</v>
      </c>
      <c r="G477" s="113">
        <v>97.2</v>
      </c>
      <c r="H477" s="113">
        <f t="shared" si="54"/>
        <v>27</v>
      </c>
      <c r="I477" s="113">
        <v>17.100000000000001</v>
      </c>
      <c r="J477" s="113">
        <v>57.34</v>
      </c>
      <c r="K477" s="113">
        <v>-55</v>
      </c>
      <c r="L477" s="183"/>
      <c r="M477" s="16">
        <v>474</v>
      </c>
      <c r="N477" s="16">
        <f t="shared" si="56"/>
        <v>3.0574200371758519E-2</v>
      </c>
      <c r="O477" s="16">
        <v>2</v>
      </c>
      <c r="P477" s="16">
        <f t="shared" si="52"/>
        <v>12.715447154471546</v>
      </c>
      <c r="Q477" s="16">
        <f t="shared" si="57"/>
        <v>32.707314920448518</v>
      </c>
      <c r="R477" s="113">
        <f t="shared" si="53"/>
        <v>373.41300000000001</v>
      </c>
      <c r="S477" s="16">
        <f>IF(S476=15800,15800,ROUND((((Q477*60)/'Gearing Calculator'!$C$14)*'Track Data'!P477),-2))</f>
        <v>12600</v>
      </c>
      <c r="T477" s="16">
        <f t="shared" si="55"/>
        <v>6.2873467937451366</v>
      </c>
      <c r="U477" s="16">
        <f>IF(AC477=100,Braking!$AG$2354,IF(AC477=50,Braking!$AG$1179,IF(AC477=75,Braking!$AG$1767,0)))</f>
        <v>0</v>
      </c>
      <c r="V477" s="16">
        <f>0.5*'Gearing Calculator'!$C$15*'Gearing Calculator'!$C$20*'Gearing Calculator'!$W$20*('Track Data'!Q477^2)</f>
        <v>113.22429267448291</v>
      </c>
      <c r="W477" s="16">
        <f>('Gearing Calculator'!$U$9*'Track Data'!T477)+'Track Data'!V477</f>
        <v>1786.9160091694382</v>
      </c>
      <c r="X477" s="16">
        <f>('Gearing Calculator'!$U$9*9.81)*('Gearing Calculator'!$U$16/'Gearing Calculator'!$C$7)-(('Track Data'!W477)*('Gearing Calculator'!$U$17/'Gearing Calculator'!$C$7))</f>
        <v>427.17103983758352</v>
      </c>
      <c r="Y477" s="16">
        <f>('Gearing Calculator'!$U$9*9.81)*(('Gearing Calculator'!$C$7-'Gearing Calculator'!$U$16)/'Gearing Calculator'!$C$7)+(('Track Data'!W477)*('Gearing Calculator'!$U$17/'Gearing Calculator'!$C$7))</f>
        <v>2184.2509601624165</v>
      </c>
      <c r="Z477" s="16">
        <f>((X477*COS('Gearing Calculator'!$C$21))/'Gearing Calculator'!$C$22)/2</f>
        <v>13.206777524884764</v>
      </c>
      <c r="AA477" s="16">
        <f>Y477/'Gearing Calculator'!$C$24</f>
        <v>30.49946948247559</v>
      </c>
      <c r="AB477" s="16">
        <f t="shared" si="51"/>
        <v>125.79898626197318</v>
      </c>
      <c r="AC477" s="16">
        <v>0</v>
      </c>
      <c r="AD477" s="16">
        <v>-50.419976243670298</v>
      </c>
      <c r="AE477" s="16">
        <v>474</v>
      </c>
      <c r="AF477" s="16">
        <f>IF(AC477=0,IF(O477=6,INDEX(Acceleration!$V$4:$V$110,MATCH('Track Data'!S477,Acceleration!$K$4:$K$110,0)),IF('Track Data'!O477=5,INDEX(Acceleration!$U$4:$U$110,MATCH('Track Data'!S477,Acceleration!$K$4:$K$110,0)),1)),U477)</f>
        <v>1</v>
      </c>
      <c r="AG477" s="16">
        <f>IF(AC477=0,IF(O477=4,INDEX(Acceleration!$T$4:$T$110,MATCH('Track Data'!S477,Acceleration!$K$4:$K$110,0)),IF('Track Data'!O477=3,INDEX(Acceleration!$S$4:$S$110,MATCH('Track Data'!S477,Acceleration!$K$4:$K$110,0)),'Track Data'!AF477)),'Track Data'!U477)</f>
        <v>1</v>
      </c>
      <c r="AH477" s="16">
        <f>IF(AC477=0,IF(O477=2,INDEX(Acceleration!$R$4:$R$110,MATCH('Track Data'!S477,Acceleration!$K$4:$K$110,0)),IF('Track Data'!O477=1,INDEX(Acceleration!$Q$4:$Q$110,MATCH('Track Data'!S477,Acceleration!$K$4:$K$110,0)),'Track Data'!AG477)),'Track Data'!U477)</f>
        <v>6.2873467937451366</v>
      </c>
    </row>
    <row r="478" spans="2:34" x14ac:dyDescent="0.25">
      <c r="B478" s="16">
        <v>210.596</v>
      </c>
      <c r="C478" s="16">
        <v>7748</v>
      </c>
      <c r="D478" s="16">
        <v>475</v>
      </c>
      <c r="E478" s="113">
        <v>111</v>
      </c>
      <c r="F478" s="113">
        <v>106.1</v>
      </c>
      <c r="G478" s="113">
        <v>97.4</v>
      </c>
      <c r="H478" s="113">
        <f t="shared" si="54"/>
        <v>27.055555555555557</v>
      </c>
      <c r="I478" s="113">
        <v>16.5</v>
      </c>
      <c r="J478" s="113">
        <v>54.47</v>
      </c>
      <c r="K478" s="113">
        <v>-55</v>
      </c>
      <c r="L478" s="183"/>
      <c r="M478" s="16">
        <v>475</v>
      </c>
      <c r="N478" s="16">
        <f t="shared" si="56"/>
        <v>3.0574200371758519E-2</v>
      </c>
      <c r="O478" s="16">
        <v>2</v>
      </c>
      <c r="P478" s="16">
        <f t="shared" si="52"/>
        <v>12.715447154471546</v>
      </c>
      <c r="Q478" s="16">
        <f t="shared" si="57"/>
        <v>32.707314920448518</v>
      </c>
      <c r="R478" s="113">
        <f t="shared" si="53"/>
        <v>373.41300000000001</v>
      </c>
      <c r="S478" s="16">
        <f>IF(S477=15800,15800,ROUND((((Q478*60)/'Gearing Calculator'!$C$14)*'Track Data'!P478),-2))</f>
        <v>12600</v>
      </c>
      <c r="T478" s="16">
        <f t="shared" si="55"/>
        <v>6.2873467937451366</v>
      </c>
      <c r="U478" s="16">
        <f>IF(AC478=100,Braking!$AG$2354,IF(AC478=50,Braking!$AG$1179,IF(AC478=75,Braking!$AG$1767,0)))</f>
        <v>0</v>
      </c>
      <c r="V478" s="16">
        <f>0.5*'Gearing Calculator'!$C$15*'Gearing Calculator'!$C$20*'Gearing Calculator'!$W$20*('Track Data'!Q478^2)</f>
        <v>113.22429267448291</v>
      </c>
      <c r="W478" s="16">
        <f>('Gearing Calculator'!$U$9*'Track Data'!T478)+'Track Data'!V478</f>
        <v>1786.9160091694382</v>
      </c>
      <c r="X478" s="16">
        <f>('Gearing Calculator'!$U$9*9.81)*('Gearing Calculator'!$U$16/'Gearing Calculator'!$C$7)-(('Track Data'!W478)*('Gearing Calculator'!$U$17/'Gearing Calculator'!$C$7))</f>
        <v>427.17103983758352</v>
      </c>
      <c r="Y478" s="16">
        <f>('Gearing Calculator'!$U$9*9.81)*(('Gearing Calculator'!$C$7-'Gearing Calculator'!$U$16)/'Gearing Calculator'!$C$7)+(('Track Data'!W478)*('Gearing Calculator'!$U$17/'Gearing Calculator'!$C$7))</f>
        <v>2184.2509601624165</v>
      </c>
      <c r="Z478" s="16">
        <f>((X478*COS('Gearing Calculator'!$C$21))/'Gearing Calculator'!$C$22)/2</f>
        <v>13.206777524884764</v>
      </c>
      <c r="AA478" s="16">
        <f>Y478/'Gearing Calculator'!$C$24</f>
        <v>30.49946948247559</v>
      </c>
      <c r="AB478" s="16">
        <f t="shared" si="51"/>
        <v>125.79898626197318</v>
      </c>
      <c r="AC478" s="16">
        <v>0</v>
      </c>
      <c r="AD478" s="16">
        <v>-50.419976243670298</v>
      </c>
      <c r="AE478" s="16">
        <v>475</v>
      </c>
      <c r="AF478" s="16">
        <f>IF(AC478=0,IF(O478=6,INDEX(Acceleration!$V$4:$V$110,MATCH('Track Data'!S478,Acceleration!$K$4:$K$110,0)),IF('Track Data'!O478=5,INDEX(Acceleration!$U$4:$U$110,MATCH('Track Data'!S478,Acceleration!$K$4:$K$110,0)),1)),U478)</f>
        <v>1</v>
      </c>
      <c r="AG478" s="16">
        <f>IF(AC478=0,IF(O478=4,INDEX(Acceleration!$T$4:$T$110,MATCH('Track Data'!S478,Acceleration!$K$4:$K$110,0)),IF('Track Data'!O478=3,INDEX(Acceleration!$S$4:$S$110,MATCH('Track Data'!S478,Acceleration!$K$4:$K$110,0)),'Track Data'!AF478)),'Track Data'!U478)</f>
        <v>1</v>
      </c>
      <c r="AH478" s="16">
        <f>IF(AC478=0,IF(O478=2,INDEX(Acceleration!$R$4:$R$110,MATCH('Track Data'!S478,Acceleration!$K$4:$K$110,0)),IF('Track Data'!O478=1,INDEX(Acceleration!$Q$4:$Q$110,MATCH('Track Data'!S478,Acceleration!$K$4:$K$110,0)),'Track Data'!AG478)),'Track Data'!U478)</f>
        <v>6.2873467937451366</v>
      </c>
    </row>
    <row r="479" spans="2:34" x14ac:dyDescent="0.25">
      <c r="B479" s="16">
        <v>210.62899999999999</v>
      </c>
      <c r="C479" s="16">
        <v>7749</v>
      </c>
      <c r="D479" s="16">
        <v>476</v>
      </c>
      <c r="E479" s="113">
        <v>112</v>
      </c>
      <c r="F479" s="113">
        <v>106.4</v>
      </c>
      <c r="G479" s="113">
        <v>97.6</v>
      </c>
      <c r="H479" s="113">
        <f t="shared" si="54"/>
        <v>27.111111111111107</v>
      </c>
      <c r="I479" s="113">
        <v>16.3</v>
      </c>
      <c r="J479" s="113">
        <v>54.66</v>
      </c>
      <c r="K479" s="113">
        <v>-55</v>
      </c>
      <c r="L479" s="183"/>
      <c r="M479" s="16">
        <v>476</v>
      </c>
      <c r="N479" s="16">
        <f t="shared" si="56"/>
        <v>3.0574200371758519E-2</v>
      </c>
      <c r="O479" s="16">
        <v>2</v>
      </c>
      <c r="P479" s="16">
        <f t="shared" si="52"/>
        <v>12.715447154471546</v>
      </c>
      <c r="Q479" s="16">
        <f t="shared" si="57"/>
        <v>32.707314920448518</v>
      </c>
      <c r="R479" s="113">
        <f t="shared" si="53"/>
        <v>373.41300000000001</v>
      </c>
      <c r="S479" s="16">
        <f>IF(S478=15800,15800,ROUND((((Q479*60)/'Gearing Calculator'!$C$14)*'Track Data'!P479),-2))</f>
        <v>12600</v>
      </c>
      <c r="T479" s="16">
        <f t="shared" si="55"/>
        <v>6.2873467937451366</v>
      </c>
      <c r="U479" s="16">
        <f>IF(AC479=100,Braking!$AG$2354,IF(AC479=50,Braking!$AG$1179,IF(AC479=75,Braking!$AG$1767,0)))</f>
        <v>0</v>
      </c>
      <c r="V479" s="16">
        <f>0.5*'Gearing Calculator'!$C$15*'Gearing Calculator'!$C$20*'Gearing Calculator'!$W$20*('Track Data'!Q479^2)</f>
        <v>113.22429267448291</v>
      </c>
      <c r="W479" s="16">
        <f>('Gearing Calculator'!$U$9*'Track Data'!T479)+'Track Data'!V479</f>
        <v>1786.9160091694382</v>
      </c>
      <c r="X479" s="16">
        <f>('Gearing Calculator'!$U$9*9.81)*('Gearing Calculator'!$U$16/'Gearing Calculator'!$C$7)-(('Track Data'!W479)*('Gearing Calculator'!$U$17/'Gearing Calculator'!$C$7))</f>
        <v>427.17103983758352</v>
      </c>
      <c r="Y479" s="16">
        <f>('Gearing Calculator'!$U$9*9.81)*(('Gearing Calculator'!$C$7-'Gearing Calculator'!$U$16)/'Gearing Calculator'!$C$7)+(('Track Data'!W479)*('Gearing Calculator'!$U$17/'Gearing Calculator'!$C$7))</f>
        <v>2184.2509601624165</v>
      </c>
      <c r="Z479" s="16">
        <f>((X479*COS('Gearing Calculator'!$C$21))/'Gearing Calculator'!$C$22)/2</f>
        <v>13.206777524884764</v>
      </c>
      <c r="AA479" s="16">
        <f>Y479/'Gearing Calculator'!$C$24</f>
        <v>30.49946948247559</v>
      </c>
      <c r="AB479" s="16">
        <f t="shared" si="51"/>
        <v>125.79898626197318</v>
      </c>
      <c r="AC479" s="16">
        <v>0</v>
      </c>
      <c r="AD479" s="16">
        <v>-50.419976243670298</v>
      </c>
      <c r="AE479" s="16">
        <v>476</v>
      </c>
      <c r="AF479" s="16">
        <f>IF(AC479=0,IF(O479=6,INDEX(Acceleration!$V$4:$V$110,MATCH('Track Data'!S479,Acceleration!$K$4:$K$110,0)),IF('Track Data'!O479=5,INDEX(Acceleration!$U$4:$U$110,MATCH('Track Data'!S479,Acceleration!$K$4:$K$110,0)),1)),U479)</f>
        <v>1</v>
      </c>
      <c r="AG479" s="16">
        <f>IF(AC479=0,IF(O479=4,INDEX(Acceleration!$T$4:$T$110,MATCH('Track Data'!S479,Acceleration!$K$4:$K$110,0)),IF('Track Data'!O479=3,INDEX(Acceleration!$S$4:$S$110,MATCH('Track Data'!S479,Acceleration!$K$4:$K$110,0)),'Track Data'!AF479)),'Track Data'!U479)</f>
        <v>1</v>
      </c>
      <c r="AH479" s="16">
        <f>IF(AC479=0,IF(O479=2,INDEX(Acceleration!$R$4:$R$110,MATCH('Track Data'!S479,Acceleration!$K$4:$K$110,0)),IF('Track Data'!O479=1,INDEX(Acceleration!$Q$4:$Q$110,MATCH('Track Data'!S479,Acceleration!$K$4:$K$110,0)),'Track Data'!AG479)),'Track Data'!U479)</f>
        <v>6.2873467937451366</v>
      </c>
    </row>
    <row r="480" spans="2:34" x14ac:dyDescent="0.25">
      <c r="B480" s="16">
        <v>210.66300000000001</v>
      </c>
      <c r="C480" s="16">
        <v>7750</v>
      </c>
      <c r="D480" s="16">
        <v>477</v>
      </c>
      <c r="E480" s="113">
        <v>112</v>
      </c>
      <c r="F480" s="113">
        <v>106.6</v>
      </c>
      <c r="G480" s="113">
        <v>97.9</v>
      </c>
      <c r="H480" s="113">
        <f t="shared" si="54"/>
        <v>27.194444444444446</v>
      </c>
      <c r="I480" s="113">
        <v>16.3</v>
      </c>
      <c r="J480" s="113">
        <v>51.68</v>
      </c>
      <c r="K480" s="113">
        <v>-54.3</v>
      </c>
      <c r="L480" s="183"/>
      <c r="M480" s="16">
        <v>477</v>
      </c>
      <c r="N480" s="16">
        <f t="shared" si="56"/>
        <v>3.0574200371758519E-2</v>
      </c>
      <c r="O480" s="16">
        <v>2</v>
      </c>
      <c r="P480" s="16">
        <f t="shared" si="52"/>
        <v>12.715447154471546</v>
      </c>
      <c r="Q480" s="16">
        <f t="shared" si="57"/>
        <v>32.707314920448518</v>
      </c>
      <c r="R480" s="113">
        <f t="shared" si="53"/>
        <v>373.41300000000001</v>
      </c>
      <c r="S480" s="16">
        <f>IF(S479=15800,15800,ROUND((((Q480*60)/'Gearing Calculator'!$C$14)*'Track Data'!P480),-2))</f>
        <v>12600</v>
      </c>
      <c r="T480" s="16">
        <f t="shared" si="55"/>
        <v>6.2873467937451366</v>
      </c>
      <c r="U480" s="16">
        <f>IF(AC480=100,Braking!$AG$2354,IF(AC480=50,Braking!$AG$1179,IF(AC480=75,Braking!$AG$1767,0)))</f>
        <v>0</v>
      </c>
      <c r="V480" s="16">
        <f>0.5*'Gearing Calculator'!$C$15*'Gearing Calculator'!$C$20*'Gearing Calculator'!$W$20*('Track Data'!Q480^2)</f>
        <v>113.22429267448291</v>
      </c>
      <c r="W480" s="16">
        <f>('Gearing Calculator'!$U$9*'Track Data'!T480)+'Track Data'!V480</f>
        <v>1786.9160091694382</v>
      </c>
      <c r="X480" s="16">
        <f>('Gearing Calculator'!$U$9*9.81)*('Gearing Calculator'!$U$16/'Gearing Calculator'!$C$7)-(('Track Data'!W480)*('Gearing Calculator'!$U$17/'Gearing Calculator'!$C$7))</f>
        <v>427.17103983758352</v>
      </c>
      <c r="Y480" s="16">
        <f>('Gearing Calculator'!$U$9*9.81)*(('Gearing Calculator'!$C$7-'Gearing Calculator'!$U$16)/'Gearing Calculator'!$C$7)+(('Track Data'!W480)*('Gearing Calculator'!$U$17/'Gearing Calculator'!$C$7))</f>
        <v>2184.2509601624165</v>
      </c>
      <c r="Z480" s="16">
        <f>((X480*COS('Gearing Calculator'!$C$21))/'Gearing Calculator'!$C$22)/2</f>
        <v>13.206777524884764</v>
      </c>
      <c r="AA480" s="16">
        <f>Y480/'Gearing Calculator'!$C$24</f>
        <v>30.49946948247559</v>
      </c>
      <c r="AB480" s="16">
        <f t="shared" si="51"/>
        <v>125.79898626197318</v>
      </c>
      <c r="AC480" s="16">
        <v>0</v>
      </c>
      <c r="AD480" s="16">
        <v>-50.419976243670298</v>
      </c>
      <c r="AE480" s="16">
        <v>477</v>
      </c>
      <c r="AF480" s="16">
        <f>IF(AC480=0,IF(O480=6,INDEX(Acceleration!$V$4:$V$110,MATCH('Track Data'!S480,Acceleration!$K$4:$K$110,0)),IF('Track Data'!O480=5,INDEX(Acceleration!$U$4:$U$110,MATCH('Track Data'!S480,Acceleration!$K$4:$K$110,0)),1)),U480)</f>
        <v>1</v>
      </c>
      <c r="AG480" s="16">
        <f>IF(AC480=0,IF(O480=4,INDEX(Acceleration!$T$4:$T$110,MATCH('Track Data'!S480,Acceleration!$K$4:$K$110,0)),IF('Track Data'!O480=3,INDEX(Acceleration!$S$4:$S$110,MATCH('Track Data'!S480,Acceleration!$K$4:$K$110,0)),'Track Data'!AF480)),'Track Data'!U480)</f>
        <v>1</v>
      </c>
      <c r="AH480" s="16">
        <f>IF(AC480=0,IF(O480=2,INDEX(Acceleration!$R$4:$R$110,MATCH('Track Data'!S480,Acceleration!$K$4:$K$110,0)),IF('Track Data'!O480=1,INDEX(Acceleration!$Q$4:$Q$110,MATCH('Track Data'!S480,Acceleration!$K$4:$K$110,0)),'Track Data'!AG480)),'Track Data'!U480)</f>
        <v>6.2873467937451366</v>
      </c>
    </row>
    <row r="481" spans="2:34" x14ac:dyDescent="0.25">
      <c r="B481" s="16">
        <v>210.697</v>
      </c>
      <c r="C481" s="16">
        <v>7751</v>
      </c>
      <c r="D481" s="16">
        <v>478</v>
      </c>
      <c r="E481" s="113">
        <v>112</v>
      </c>
      <c r="F481" s="113">
        <v>106.9</v>
      </c>
      <c r="G481" s="113">
        <v>98.1</v>
      </c>
      <c r="H481" s="113">
        <f t="shared" si="54"/>
        <v>27.249999999999996</v>
      </c>
      <c r="I481" s="113">
        <v>16.3</v>
      </c>
      <c r="J481" s="113">
        <v>51.38</v>
      </c>
      <c r="K481" s="113">
        <v>-53.5</v>
      </c>
      <c r="L481" s="183"/>
      <c r="M481" s="16">
        <v>478</v>
      </c>
      <c r="N481" s="16">
        <f t="shared" si="56"/>
        <v>3.0574200371758519E-2</v>
      </c>
      <c r="O481" s="16">
        <v>2</v>
      </c>
      <c r="P481" s="16">
        <f t="shared" si="52"/>
        <v>12.715447154471546</v>
      </c>
      <c r="Q481" s="16">
        <f t="shared" si="57"/>
        <v>32.707314920448518</v>
      </c>
      <c r="R481" s="113">
        <f t="shared" si="53"/>
        <v>373.41300000000001</v>
      </c>
      <c r="S481" s="16">
        <f>IF(S480=15800,15800,ROUND((((Q481*60)/'Gearing Calculator'!$C$14)*'Track Data'!P481),-2))</f>
        <v>12600</v>
      </c>
      <c r="T481" s="16">
        <f t="shared" si="55"/>
        <v>6.2873467937451366</v>
      </c>
      <c r="U481" s="16">
        <f>IF(AC481=100,Braking!$AG$2354,IF(AC481=50,Braking!$AG$1179,IF(AC481=75,Braking!$AG$1767,0)))</f>
        <v>0</v>
      </c>
      <c r="V481" s="16">
        <f>0.5*'Gearing Calculator'!$C$15*'Gearing Calculator'!$C$20*'Gearing Calculator'!$W$20*('Track Data'!Q481^2)</f>
        <v>113.22429267448291</v>
      </c>
      <c r="W481" s="16">
        <f>('Gearing Calculator'!$U$9*'Track Data'!T481)+'Track Data'!V481</f>
        <v>1786.9160091694382</v>
      </c>
      <c r="X481" s="16">
        <f>('Gearing Calculator'!$U$9*9.81)*('Gearing Calculator'!$U$16/'Gearing Calculator'!$C$7)-(('Track Data'!W481)*('Gearing Calculator'!$U$17/'Gearing Calculator'!$C$7))</f>
        <v>427.17103983758352</v>
      </c>
      <c r="Y481" s="16">
        <f>('Gearing Calculator'!$U$9*9.81)*(('Gearing Calculator'!$C$7-'Gearing Calculator'!$U$16)/'Gearing Calculator'!$C$7)+(('Track Data'!W481)*('Gearing Calculator'!$U$17/'Gearing Calculator'!$C$7))</f>
        <v>2184.2509601624165</v>
      </c>
      <c r="Z481" s="16">
        <f>((X481*COS('Gearing Calculator'!$C$21))/'Gearing Calculator'!$C$22)/2</f>
        <v>13.206777524884764</v>
      </c>
      <c r="AA481" s="16">
        <f>Y481/'Gearing Calculator'!$C$24</f>
        <v>30.49946948247559</v>
      </c>
      <c r="AB481" s="16">
        <f t="shared" si="51"/>
        <v>125.79898626197318</v>
      </c>
      <c r="AC481" s="16">
        <v>0</v>
      </c>
      <c r="AD481" s="16">
        <v>-50.419976243670298</v>
      </c>
      <c r="AE481" s="16">
        <v>478</v>
      </c>
      <c r="AF481" s="16">
        <f>IF(AC481=0,IF(O481=6,INDEX(Acceleration!$V$4:$V$110,MATCH('Track Data'!S481,Acceleration!$K$4:$K$110,0)),IF('Track Data'!O481=5,INDEX(Acceleration!$U$4:$U$110,MATCH('Track Data'!S481,Acceleration!$K$4:$K$110,0)),1)),U481)</f>
        <v>1</v>
      </c>
      <c r="AG481" s="16">
        <f>IF(AC481=0,IF(O481=4,INDEX(Acceleration!$T$4:$T$110,MATCH('Track Data'!S481,Acceleration!$K$4:$K$110,0)),IF('Track Data'!O481=3,INDEX(Acceleration!$S$4:$S$110,MATCH('Track Data'!S481,Acceleration!$K$4:$K$110,0)),'Track Data'!AF481)),'Track Data'!U481)</f>
        <v>1</v>
      </c>
      <c r="AH481" s="16">
        <f>IF(AC481=0,IF(O481=2,INDEX(Acceleration!$R$4:$R$110,MATCH('Track Data'!S481,Acceleration!$K$4:$K$110,0)),IF('Track Data'!O481=1,INDEX(Acceleration!$Q$4:$Q$110,MATCH('Track Data'!S481,Acceleration!$K$4:$K$110,0)),'Track Data'!AG481)),'Track Data'!U481)</f>
        <v>6.2873467937451366</v>
      </c>
    </row>
    <row r="482" spans="2:34" x14ac:dyDescent="0.25">
      <c r="B482" s="16">
        <v>210.73</v>
      </c>
      <c r="C482" s="16">
        <v>7752</v>
      </c>
      <c r="D482" s="16">
        <v>479</v>
      </c>
      <c r="E482" s="113">
        <v>113</v>
      </c>
      <c r="F482" s="113">
        <v>107.4</v>
      </c>
      <c r="G482" s="113">
        <v>98.5</v>
      </c>
      <c r="H482" s="113">
        <f t="shared" si="54"/>
        <v>27.361111111111111</v>
      </c>
      <c r="I482" s="113">
        <v>16.3</v>
      </c>
      <c r="J482" s="113">
        <v>50.65</v>
      </c>
      <c r="K482" s="113">
        <v>-52.5</v>
      </c>
      <c r="L482" s="183"/>
      <c r="M482" s="16">
        <v>479</v>
      </c>
      <c r="N482" s="16">
        <f t="shared" si="56"/>
        <v>3.0574200371758519E-2</v>
      </c>
      <c r="O482" s="16">
        <v>2</v>
      </c>
      <c r="P482" s="16">
        <f t="shared" si="52"/>
        <v>12.715447154471546</v>
      </c>
      <c r="Q482" s="16">
        <f t="shared" si="57"/>
        <v>32.707314920448518</v>
      </c>
      <c r="R482" s="113">
        <f t="shared" si="53"/>
        <v>373.41300000000001</v>
      </c>
      <c r="S482" s="16">
        <f>IF(S481=15800,15800,ROUND((((Q482*60)/'Gearing Calculator'!$C$14)*'Track Data'!P482),-2))</f>
        <v>12600</v>
      </c>
      <c r="T482" s="16">
        <f t="shared" si="55"/>
        <v>6.2873467937451366</v>
      </c>
      <c r="U482" s="16">
        <f>IF(AC482=100,Braking!$AG$2354,IF(AC482=50,Braking!$AG$1179,IF(AC482=75,Braking!$AG$1767,0)))</f>
        <v>0</v>
      </c>
      <c r="V482" s="16">
        <f>0.5*'Gearing Calculator'!$C$15*'Gearing Calculator'!$C$20*'Gearing Calculator'!$W$20*('Track Data'!Q482^2)</f>
        <v>113.22429267448291</v>
      </c>
      <c r="W482" s="16">
        <f>('Gearing Calculator'!$U$9*'Track Data'!T482)+'Track Data'!V482</f>
        <v>1786.9160091694382</v>
      </c>
      <c r="X482" s="16">
        <f>('Gearing Calculator'!$U$9*9.81)*('Gearing Calculator'!$U$16/'Gearing Calculator'!$C$7)-(('Track Data'!W482)*('Gearing Calculator'!$U$17/'Gearing Calculator'!$C$7))</f>
        <v>427.17103983758352</v>
      </c>
      <c r="Y482" s="16">
        <f>('Gearing Calculator'!$U$9*9.81)*(('Gearing Calculator'!$C$7-'Gearing Calculator'!$U$16)/'Gearing Calculator'!$C$7)+(('Track Data'!W482)*('Gearing Calculator'!$U$17/'Gearing Calculator'!$C$7))</f>
        <v>2184.2509601624165</v>
      </c>
      <c r="Z482" s="16">
        <f>((X482*COS('Gearing Calculator'!$C$21))/'Gearing Calculator'!$C$22)/2</f>
        <v>13.206777524884764</v>
      </c>
      <c r="AA482" s="16">
        <f>Y482/'Gearing Calculator'!$C$24</f>
        <v>30.49946948247559</v>
      </c>
      <c r="AB482" s="16">
        <f t="shared" si="51"/>
        <v>125.79898626197318</v>
      </c>
      <c r="AC482" s="16">
        <v>0</v>
      </c>
      <c r="AD482" s="16">
        <v>-50.419976243670298</v>
      </c>
      <c r="AE482" s="16">
        <v>479</v>
      </c>
      <c r="AF482" s="16">
        <f>IF(AC482=0,IF(O482=6,INDEX(Acceleration!$V$4:$V$110,MATCH('Track Data'!S482,Acceleration!$K$4:$K$110,0)),IF('Track Data'!O482=5,INDEX(Acceleration!$U$4:$U$110,MATCH('Track Data'!S482,Acceleration!$K$4:$K$110,0)),1)),U482)</f>
        <v>1</v>
      </c>
      <c r="AG482" s="16">
        <f>IF(AC482=0,IF(O482=4,INDEX(Acceleration!$T$4:$T$110,MATCH('Track Data'!S482,Acceleration!$K$4:$K$110,0)),IF('Track Data'!O482=3,INDEX(Acceleration!$S$4:$S$110,MATCH('Track Data'!S482,Acceleration!$K$4:$K$110,0)),'Track Data'!AF482)),'Track Data'!U482)</f>
        <v>1</v>
      </c>
      <c r="AH482" s="16">
        <f>IF(AC482=0,IF(O482=2,INDEX(Acceleration!$R$4:$R$110,MATCH('Track Data'!S482,Acceleration!$K$4:$K$110,0)),IF('Track Data'!O482=1,INDEX(Acceleration!$Q$4:$Q$110,MATCH('Track Data'!S482,Acceleration!$K$4:$K$110,0)),'Track Data'!AG482)),'Track Data'!U482)</f>
        <v>6.2873467937451366</v>
      </c>
    </row>
    <row r="483" spans="2:34" x14ac:dyDescent="0.25">
      <c r="B483" s="16">
        <v>210.76400000000001</v>
      </c>
      <c r="C483" s="16">
        <v>7753</v>
      </c>
      <c r="D483" s="16">
        <v>480</v>
      </c>
      <c r="E483" s="113">
        <v>112</v>
      </c>
      <c r="F483" s="113">
        <v>107.6</v>
      </c>
      <c r="G483" s="113">
        <v>98.8</v>
      </c>
      <c r="H483" s="113">
        <f t="shared" si="54"/>
        <v>27.444444444444443</v>
      </c>
      <c r="I483" s="113">
        <v>17.100000000000001</v>
      </c>
      <c r="J483" s="113">
        <v>50.53</v>
      </c>
      <c r="K483" s="113">
        <v>-51.8</v>
      </c>
      <c r="L483" s="183"/>
      <c r="M483" s="16">
        <v>480</v>
      </c>
      <c r="N483" s="16">
        <f t="shared" si="56"/>
        <v>3.0574200371758519E-2</v>
      </c>
      <c r="O483" s="16">
        <v>2</v>
      </c>
      <c r="P483" s="16">
        <f t="shared" si="52"/>
        <v>12.715447154471546</v>
      </c>
      <c r="Q483" s="16">
        <f t="shared" si="57"/>
        <v>32.707314920448518</v>
      </c>
      <c r="R483" s="113">
        <f t="shared" si="53"/>
        <v>373.41300000000001</v>
      </c>
      <c r="S483" s="16">
        <f>IF(S482=15800,15800,ROUND((((Q483*60)/'Gearing Calculator'!$C$14)*'Track Data'!P483),-2))</f>
        <v>12600</v>
      </c>
      <c r="T483" s="16">
        <f t="shared" si="55"/>
        <v>6.2873467937451366</v>
      </c>
      <c r="U483" s="16">
        <f>IF(AC483=100,Braking!$AG$2354,IF(AC483=50,Braking!$AG$1179,IF(AC483=75,Braking!$AG$1767,0)))</f>
        <v>0</v>
      </c>
      <c r="V483" s="16">
        <f>0.5*'Gearing Calculator'!$C$15*'Gearing Calculator'!$C$20*'Gearing Calculator'!$W$20*('Track Data'!Q483^2)</f>
        <v>113.22429267448291</v>
      </c>
      <c r="W483" s="16">
        <f>('Gearing Calculator'!$U$9*'Track Data'!T483)+'Track Data'!V483</f>
        <v>1786.9160091694382</v>
      </c>
      <c r="X483" s="16">
        <f>('Gearing Calculator'!$U$9*9.81)*('Gearing Calculator'!$U$16/'Gearing Calculator'!$C$7)-(('Track Data'!W483)*('Gearing Calculator'!$U$17/'Gearing Calculator'!$C$7))</f>
        <v>427.17103983758352</v>
      </c>
      <c r="Y483" s="16">
        <f>('Gearing Calculator'!$U$9*9.81)*(('Gearing Calculator'!$C$7-'Gearing Calculator'!$U$16)/'Gearing Calculator'!$C$7)+(('Track Data'!W483)*('Gearing Calculator'!$U$17/'Gearing Calculator'!$C$7))</f>
        <v>2184.2509601624165</v>
      </c>
      <c r="Z483" s="16">
        <f>((X483*COS('Gearing Calculator'!$C$21))/'Gearing Calculator'!$C$22)/2</f>
        <v>13.206777524884764</v>
      </c>
      <c r="AA483" s="16">
        <f>Y483/'Gearing Calculator'!$C$24</f>
        <v>30.49946948247559</v>
      </c>
      <c r="AB483" s="16">
        <f t="shared" si="51"/>
        <v>125.79898626197318</v>
      </c>
      <c r="AC483" s="16">
        <v>0</v>
      </c>
      <c r="AD483" s="16">
        <v>-50.419976243670298</v>
      </c>
      <c r="AE483" s="16">
        <v>480</v>
      </c>
      <c r="AF483" s="16">
        <f>IF(AC483=0,IF(O483=6,INDEX(Acceleration!$V$4:$V$110,MATCH('Track Data'!S483,Acceleration!$K$4:$K$110,0)),IF('Track Data'!O483=5,INDEX(Acceleration!$U$4:$U$110,MATCH('Track Data'!S483,Acceleration!$K$4:$K$110,0)),1)),U483)</f>
        <v>1</v>
      </c>
      <c r="AG483" s="16">
        <f>IF(AC483=0,IF(O483=4,INDEX(Acceleration!$T$4:$T$110,MATCH('Track Data'!S483,Acceleration!$K$4:$K$110,0)),IF('Track Data'!O483=3,INDEX(Acceleration!$S$4:$S$110,MATCH('Track Data'!S483,Acceleration!$K$4:$K$110,0)),'Track Data'!AF483)),'Track Data'!U483)</f>
        <v>1</v>
      </c>
      <c r="AH483" s="16">
        <f>IF(AC483=0,IF(O483=2,INDEX(Acceleration!$R$4:$R$110,MATCH('Track Data'!S483,Acceleration!$K$4:$K$110,0)),IF('Track Data'!O483=1,INDEX(Acceleration!$Q$4:$Q$110,MATCH('Track Data'!S483,Acceleration!$K$4:$K$110,0)),'Track Data'!AG483)),'Track Data'!U483)</f>
        <v>6.2873467937451366</v>
      </c>
    </row>
    <row r="484" spans="2:34" x14ac:dyDescent="0.25">
      <c r="B484" s="16">
        <v>210.797</v>
      </c>
      <c r="C484" s="16">
        <v>7754</v>
      </c>
      <c r="D484" s="16">
        <v>481</v>
      </c>
      <c r="E484" s="113">
        <v>112</v>
      </c>
      <c r="F484" s="113">
        <v>107.2</v>
      </c>
      <c r="G484" s="113">
        <v>99.2</v>
      </c>
      <c r="H484" s="113">
        <f t="shared" si="54"/>
        <v>27.555555555555557</v>
      </c>
      <c r="I484" s="113">
        <v>18.5</v>
      </c>
      <c r="J484" s="113">
        <v>50.49</v>
      </c>
      <c r="K484" s="113">
        <v>-51.1</v>
      </c>
      <c r="L484" s="183"/>
      <c r="M484" s="16">
        <v>481</v>
      </c>
      <c r="N484" s="16">
        <f t="shared" si="56"/>
        <v>3.0574200371758519E-2</v>
      </c>
      <c r="O484" s="16">
        <v>2</v>
      </c>
      <c r="P484" s="16">
        <f t="shared" si="52"/>
        <v>12.715447154471546</v>
      </c>
      <c r="Q484" s="16">
        <f t="shared" si="57"/>
        <v>32.707314920448518</v>
      </c>
      <c r="R484" s="113">
        <f t="shared" si="53"/>
        <v>373.41300000000001</v>
      </c>
      <c r="S484" s="16">
        <f>IF(S483=15800,15800,ROUND((((Q484*60)/'Gearing Calculator'!$C$14)*'Track Data'!P484),-2))</f>
        <v>12600</v>
      </c>
      <c r="T484" s="16">
        <f t="shared" si="55"/>
        <v>6.2873467937451366</v>
      </c>
      <c r="U484" s="16">
        <f>IF(AC484=100,Braking!$AG$2354,IF(AC484=50,Braking!$AG$1179,IF(AC484=75,Braking!$AG$1767,0)))</f>
        <v>0</v>
      </c>
      <c r="V484" s="16">
        <f>0.5*'Gearing Calculator'!$C$15*'Gearing Calculator'!$C$20*'Gearing Calculator'!$W$20*('Track Data'!Q484^2)</f>
        <v>113.22429267448291</v>
      </c>
      <c r="W484" s="16">
        <f>('Gearing Calculator'!$U$9*'Track Data'!T484)+'Track Data'!V484</f>
        <v>1786.9160091694382</v>
      </c>
      <c r="X484" s="16">
        <f>('Gearing Calculator'!$U$9*9.81)*('Gearing Calculator'!$U$16/'Gearing Calculator'!$C$7)-(('Track Data'!W484)*('Gearing Calculator'!$U$17/'Gearing Calculator'!$C$7))</f>
        <v>427.17103983758352</v>
      </c>
      <c r="Y484" s="16">
        <f>('Gearing Calculator'!$U$9*9.81)*(('Gearing Calculator'!$C$7-'Gearing Calculator'!$U$16)/'Gearing Calculator'!$C$7)+(('Track Data'!W484)*('Gearing Calculator'!$U$17/'Gearing Calculator'!$C$7))</f>
        <v>2184.2509601624165</v>
      </c>
      <c r="Z484" s="16">
        <f>((X484*COS('Gearing Calculator'!$C$21))/'Gearing Calculator'!$C$22)/2</f>
        <v>13.206777524884764</v>
      </c>
      <c r="AA484" s="16">
        <f>Y484/'Gearing Calculator'!$C$24</f>
        <v>30.49946948247559</v>
      </c>
      <c r="AB484" s="16">
        <f t="shared" si="51"/>
        <v>125.79898626197318</v>
      </c>
      <c r="AC484" s="16">
        <v>0</v>
      </c>
      <c r="AD484" s="16">
        <v>-50.419976243670298</v>
      </c>
      <c r="AE484" s="16">
        <v>481</v>
      </c>
      <c r="AF484" s="16">
        <f>IF(AC484=0,IF(O484=6,INDEX(Acceleration!$V$4:$V$110,MATCH('Track Data'!S484,Acceleration!$K$4:$K$110,0)),IF('Track Data'!O484=5,INDEX(Acceleration!$U$4:$U$110,MATCH('Track Data'!S484,Acceleration!$K$4:$K$110,0)),1)),U484)</f>
        <v>1</v>
      </c>
      <c r="AG484" s="16">
        <f>IF(AC484=0,IF(O484=4,INDEX(Acceleration!$T$4:$T$110,MATCH('Track Data'!S484,Acceleration!$K$4:$K$110,0)),IF('Track Data'!O484=3,INDEX(Acceleration!$S$4:$S$110,MATCH('Track Data'!S484,Acceleration!$K$4:$K$110,0)),'Track Data'!AF484)),'Track Data'!U484)</f>
        <v>1</v>
      </c>
      <c r="AH484" s="16">
        <f>IF(AC484=0,IF(O484=2,INDEX(Acceleration!$R$4:$R$110,MATCH('Track Data'!S484,Acceleration!$K$4:$K$110,0)),IF('Track Data'!O484=1,INDEX(Acceleration!$Q$4:$Q$110,MATCH('Track Data'!S484,Acceleration!$K$4:$K$110,0)),'Track Data'!AG484)),'Track Data'!U484)</f>
        <v>6.2873467937451366</v>
      </c>
    </row>
    <row r="485" spans="2:34" x14ac:dyDescent="0.25">
      <c r="B485" s="16">
        <v>210.83099999999999</v>
      </c>
      <c r="C485" s="16">
        <v>7755</v>
      </c>
      <c r="D485" s="16">
        <v>482</v>
      </c>
      <c r="E485" s="113">
        <v>113</v>
      </c>
      <c r="F485" s="113">
        <v>107.4</v>
      </c>
      <c r="G485" s="113">
        <v>99.6</v>
      </c>
      <c r="H485" s="113">
        <f t="shared" si="54"/>
        <v>27.666666666666664</v>
      </c>
      <c r="I485" s="113">
        <v>18.5</v>
      </c>
      <c r="J485" s="113">
        <v>44.18</v>
      </c>
      <c r="K485" s="113">
        <v>-52.5</v>
      </c>
      <c r="L485" s="183"/>
      <c r="M485" s="16">
        <v>482</v>
      </c>
      <c r="N485" s="16">
        <f t="shared" si="56"/>
        <v>3.0574200371758519E-2</v>
      </c>
      <c r="O485" s="16">
        <v>2</v>
      </c>
      <c r="P485" s="16">
        <f t="shared" si="52"/>
        <v>12.715447154471546</v>
      </c>
      <c r="Q485" s="16">
        <f t="shared" si="57"/>
        <v>32.707314920448518</v>
      </c>
      <c r="R485" s="113">
        <f t="shared" si="53"/>
        <v>373.41300000000001</v>
      </c>
      <c r="S485" s="16">
        <f>IF(S484=15800,15800,ROUND((((Q485*60)/'Gearing Calculator'!$C$14)*'Track Data'!P485),-2))</f>
        <v>12600</v>
      </c>
      <c r="T485" s="16">
        <f t="shared" si="55"/>
        <v>6.2873467937451366</v>
      </c>
      <c r="U485" s="16">
        <f>IF(AC485=100,Braking!$AG$2354,IF(AC485=50,Braking!$AG$1179,IF(AC485=75,Braking!$AG$1767,0)))</f>
        <v>0</v>
      </c>
      <c r="V485" s="16">
        <f>0.5*'Gearing Calculator'!$C$15*'Gearing Calculator'!$C$20*'Gearing Calculator'!$W$20*('Track Data'!Q485^2)</f>
        <v>113.22429267448291</v>
      </c>
      <c r="W485" s="16">
        <f>('Gearing Calculator'!$U$9*'Track Data'!T485)+'Track Data'!V485</f>
        <v>1786.9160091694382</v>
      </c>
      <c r="X485" s="16">
        <f>('Gearing Calculator'!$U$9*9.81)*('Gearing Calculator'!$U$16/'Gearing Calculator'!$C$7)-(('Track Data'!W485)*('Gearing Calculator'!$U$17/'Gearing Calculator'!$C$7))</f>
        <v>427.17103983758352</v>
      </c>
      <c r="Y485" s="16">
        <f>('Gearing Calculator'!$U$9*9.81)*(('Gearing Calculator'!$C$7-'Gearing Calculator'!$U$16)/'Gearing Calculator'!$C$7)+(('Track Data'!W485)*('Gearing Calculator'!$U$17/'Gearing Calculator'!$C$7))</f>
        <v>2184.2509601624165</v>
      </c>
      <c r="Z485" s="16">
        <f>((X485*COS('Gearing Calculator'!$C$21))/'Gearing Calculator'!$C$22)/2</f>
        <v>13.206777524884764</v>
      </c>
      <c r="AA485" s="16">
        <f>Y485/'Gearing Calculator'!$C$24</f>
        <v>30.49946948247559</v>
      </c>
      <c r="AB485" s="16">
        <f t="shared" si="51"/>
        <v>125.79898626197318</v>
      </c>
      <c r="AC485" s="16">
        <v>0</v>
      </c>
      <c r="AD485" s="16">
        <v>-50.419976243670298</v>
      </c>
      <c r="AE485" s="16">
        <v>482</v>
      </c>
      <c r="AF485" s="16">
        <f>IF(AC485=0,IF(O485=6,INDEX(Acceleration!$V$4:$V$110,MATCH('Track Data'!S485,Acceleration!$K$4:$K$110,0)),IF('Track Data'!O485=5,INDEX(Acceleration!$U$4:$U$110,MATCH('Track Data'!S485,Acceleration!$K$4:$K$110,0)),1)),U485)</f>
        <v>1</v>
      </c>
      <c r="AG485" s="16">
        <f>IF(AC485=0,IF(O485=4,INDEX(Acceleration!$T$4:$T$110,MATCH('Track Data'!S485,Acceleration!$K$4:$K$110,0)),IF('Track Data'!O485=3,INDEX(Acceleration!$S$4:$S$110,MATCH('Track Data'!S485,Acceleration!$K$4:$K$110,0)),'Track Data'!AF485)),'Track Data'!U485)</f>
        <v>1</v>
      </c>
      <c r="AH485" s="16">
        <f>IF(AC485=0,IF(O485=2,INDEX(Acceleration!$R$4:$R$110,MATCH('Track Data'!S485,Acceleration!$K$4:$K$110,0)),IF('Track Data'!O485=1,INDEX(Acceleration!$Q$4:$Q$110,MATCH('Track Data'!S485,Acceleration!$K$4:$K$110,0)),'Track Data'!AG485)),'Track Data'!U485)</f>
        <v>6.2873467937451366</v>
      </c>
    </row>
    <row r="486" spans="2:34" x14ac:dyDescent="0.25">
      <c r="B486" s="16">
        <v>210.864</v>
      </c>
      <c r="C486" s="16">
        <v>7756</v>
      </c>
      <c r="D486" s="16">
        <v>483</v>
      </c>
      <c r="E486" s="113">
        <v>114</v>
      </c>
      <c r="F486" s="113">
        <v>107.9</v>
      </c>
      <c r="G486" s="113">
        <v>99.9</v>
      </c>
      <c r="H486" s="113">
        <f t="shared" si="54"/>
        <v>27.75</v>
      </c>
      <c r="I486" s="113">
        <v>16.8</v>
      </c>
      <c r="J486" s="113">
        <v>43.44</v>
      </c>
      <c r="K486" s="113">
        <v>-53.9</v>
      </c>
      <c r="L486" s="183"/>
      <c r="M486" s="16">
        <v>483</v>
      </c>
      <c r="N486" s="16">
        <f t="shared" si="56"/>
        <v>3.0574200371758519E-2</v>
      </c>
      <c r="O486" s="16">
        <v>2</v>
      </c>
      <c r="P486" s="16">
        <f t="shared" si="52"/>
        <v>12.715447154471546</v>
      </c>
      <c r="Q486" s="16">
        <f t="shared" si="57"/>
        <v>32.707314920448518</v>
      </c>
      <c r="R486" s="113">
        <f t="shared" si="53"/>
        <v>373.41300000000001</v>
      </c>
      <c r="S486" s="16">
        <f>IF(S485=15800,15800,ROUND((((Q486*60)/'Gearing Calculator'!$C$14)*'Track Data'!P486),-2))</f>
        <v>12600</v>
      </c>
      <c r="T486" s="16">
        <f t="shared" si="55"/>
        <v>6.2873467937451366</v>
      </c>
      <c r="U486" s="16">
        <f>IF(AC486=100,Braking!$AG$2354,IF(AC486=50,Braking!$AG$1179,IF(AC486=75,Braking!$AG$1767,0)))</f>
        <v>0</v>
      </c>
      <c r="V486" s="16">
        <f>0.5*'Gearing Calculator'!$C$15*'Gearing Calculator'!$C$20*'Gearing Calculator'!$W$20*('Track Data'!Q486^2)</f>
        <v>113.22429267448291</v>
      </c>
      <c r="W486" s="16">
        <f>('Gearing Calculator'!$U$9*'Track Data'!T486)+'Track Data'!V486</f>
        <v>1786.9160091694382</v>
      </c>
      <c r="X486" s="16">
        <f>('Gearing Calculator'!$U$9*9.81)*('Gearing Calculator'!$U$16/'Gearing Calculator'!$C$7)-(('Track Data'!W486)*('Gearing Calculator'!$U$17/'Gearing Calculator'!$C$7))</f>
        <v>427.17103983758352</v>
      </c>
      <c r="Y486" s="16">
        <f>('Gearing Calculator'!$U$9*9.81)*(('Gearing Calculator'!$C$7-'Gearing Calculator'!$U$16)/'Gearing Calculator'!$C$7)+(('Track Data'!W486)*('Gearing Calculator'!$U$17/'Gearing Calculator'!$C$7))</f>
        <v>2184.2509601624165</v>
      </c>
      <c r="Z486" s="16">
        <f>((X486*COS('Gearing Calculator'!$C$21))/'Gearing Calculator'!$C$22)/2</f>
        <v>13.206777524884764</v>
      </c>
      <c r="AA486" s="16">
        <f>Y486/'Gearing Calculator'!$C$24</f>
        <v>30.49946948247559</v>
      </c>
      <c r="AB486" s="16">
        <f t="shared" si="51"/>
        <v>125.79898626197318</v>
      </c>
      <c r="AC486" s="16">
        <v>0</v>
      </c>
      <c r="AD486" s="16">
        <v>-50.419976243670298</v>
      </c>
      <c r="AE486" s="16">
        <v>483</v>
      </c>
      <c r="AF486" s="16">
        <f>IF(AC486=0,IF(O486=6,INDEX(Acceleration!$V$4:$V$110,MATCH('Track Data'!S486,Acceleration!$K$4:$K$110,0)),IF('Track Data'!O486=5,INDEX(Acceleration!$U$4:$U$110,MATCH('Track Data'!S486,Acceleration!$K$4:$K$110,0)),1)),U486)</f>
        <v>1</v>
      </c>
      <c r="AG486" s="16">
        <f>IF(AC486=0,IF(O486=4,INDEX(Acceleration!$T$4:$T$110,MATCH('Track Data'!S486,Acceleration!$K$4:$K$110,0)),IF('Track Data'!O486=3,INDEX(Acceleration!$S$4:$S$110,MATCH('Track Data'!S486,Acceleration!$K$4:$K$110,0)),'Track Data'!AF486)),'Track Data'!U486)</f>
        <v>1</v>
      </c>
      <c r="AH486" s="16">
        <f>IF(AC486=0,IF(O486=2,INDEX(Acceleration!$R$4:$R$110,MATCH('Track Data'!S486,Acceleration!$K$4:$K$110,0)),IF('Track Data'!O486=1,INDEX(Acceleration!$Q$4:$Q$110,MATCH('Track Data'!S486,Acceleration!$K$4:$K$110,0)),'Track Data'!AG486)),'Track Data'!U486)</f>
        <v>6.2873467937451366</v>
      </c>
    </row>
    <row r="487" spans="2:34" x14ac:dyDescent="0.25">
      <c r="B487" s="16">
        <v>210.898</v>
      </c>
      <c r="C487" s="16">
        <v>7757</v>
      </c>
      <c r="D487" s="16">
        <v>484</v>
      </c>
      <c r="E487" s="113">
        <v>115</v>
      </c>
      <c r="F487" s="113">
        <v>108.4</v>
      </c>
      <c r="G487" s="113">
        <v>100.2</v>
      </c>
      <c r="H487" s="113">
        <f t="shared" si="54"/>
        <v>27.833333333333332</v>
      </c>
      <c r="I487" s="113">
        <v>14.6</v>
      </c>
      <c r="J487" s="113">
        <v>42.52</v>
      </c>
      <c r="K487" s="113">
        <v>-54.3</v>
      </c>
      <c r="L487" s="183"/>
      <c r="M487" s="16">
        <v>484</v>
      </c>
      <c r="N487" s="16">
        <f t="shared" si="56"/>
        <v>3.0574200371758519E-2</v>
      </c>
      <c r="O487" s="16">
        <v>2</v>
      </c>
      <c r="P487" s="16">
        <f t="shared" si="52"/>
        <v>12.715447154471546</v>
      </c>
      <c r="Q487" s="16">
        <f t="shared" si="57"/>
        <v>32.707314920448518</v>
      </c>
      <c r="R487" s="113">
        <f t="shared" si="53"/>
        <v>373.41300000000001</v>
      </c>
      <c r="S487" s="16">
        <f>IF(S486=15800,15800,ROUND((((Q487*60)/'Gearing Calculator'!$C$14)*'Track Data'!P487),-2))</f>
        <v>12600</v>
      </c>
      <c r="T487" s="16">
        <f t="shared" si="55"/>
        <v>6.2873467937451366</v>
      </c>
      <c r="U487" s="16">
        <f>IF(AC487=100,Braking!$AG$2354,IF(AC487=50,Braking!$AG$1179,IF(AC487=75,Braking!$AG$1767,0)))</f>
        <v>0</v>
      </c>
      <c r="V487" s="16">
        <f>0.5*'Gearing Calculator'!$C$15*'Gearing Calculator'!$C$20*'Gearing Calculator'!$W$20*('Track Data'!Q487^2)</f>
        <v>113.22429267448291</v>
      </c>
      <c r="W487" s="16">
        <f>('Gearing Calculator'!$U$9*'Track Data'!T487)+'Track Data'!V487</f>
        <v>1786.9160091694382</v>
      </c>
      <c r="X487" s="16">
        <f>('Gearing Calculator'!$U$9*9.81)*('Gearing Calculator'!$U$16/'Gearing Calculator'!$C$7)-(('Track Data'!W487)*('Gearing Calculator'!$U$17/'Gearing Calculator'!$C$7))</f>
        <v>427.17103983758352</v>
      </c>
      <c r="Y487" s="16">
        <f>('Gearing Calculator'!$U$9*9.81)*(('Gearing Calculator'!$C$7-'Gearing Calculator'!$U$16)/'Gearing Calculator'!$C$7)+(('Track Data'!W487)*('Gearing Calculator'!$U$17/'Gearing Calculator'!$C$7))</f>
        <v>2184.2509601624165</v>
      </c>
      <c r="Z487" s="16">
        <f>((X487*COS('Gearing Calculator'!$C$21))/'Gearing Calculator'!$C$22)/2</f>
        <v>13.206777524884764</v>
      </c>
      <c r="AA487" s="16">
        <f>Y487/'Gearing Calculator'!$C$24</f>
        <v>30.49946948247559</v>
      </c>
      <c r="AB487" s="16">
        <f t="shared" si="51"/>
        <v>125.79898626197318</v>
      </c>
      <c r="AC487" s="16">
        <v>0</v>
      </c>
      <c r="AD487" s="16">
        <v>-50.419976243670298</v>
      </c>
      <c r="AE487" s="16">
        <v>484</v>
      </c>
      <c r="AF487" s="16">
        <f>IF(AC487=0,IF(O487=6,INDEX(Acceleration!$V$4:$V$110,MATCH('Track Data'!S487,Acceleration!$K$4:$K$110,0)),IF('Track Data'!O487=5,INDEX(Acceleration!$U$4:$U$110,MATCH('Track Data'!S487,Acceleration!$K$4:$K$110,0)),1)),U487)</f>
        <v>1</v>
      </c>
      <c r="AG487" s="16">
        <f>IF(AC487=0,IF(O487=4,INDEX(Acceleration!$T$4:$T$110,MATCH('Track Data'!S487,Acceleration!$K$4:$K$110,0)),IF('Track Data'!O487=3,INDEX(Acceleration!$S$4:$S$110,MATCH('Track Data'!S487,Acceleration!$K$4:$K$110,0)),'Track Data'!AF487)),'Track Data'!U487)</f>
        <v>1</v>
      </c>
      <c r="AH487" s="16">
        <f>IF(AC487=0,IF(O487=2,INDEX(Acceleration!$R$4:$R$110,MATCH('Track Data'!S487,Acceleration!$K$4:$K$110,0)),IF('Track Data'!O487=1,INDEX(Acceleration!$Q$4:$Q$110,MATCH('Track Data'!S487,Acceleration!$K$4:$K$110,0)),'Track Data'!AG487)),'Track Data'!U487)</f>
        <v>6.2873467937451366</v>
      </c>
    </row>
    <row r="488" spans="2:34" x14ac:dyDescent="0.25">
      <c r="B488" s="16">
        <v>210.93100000000001</v>
      </c>
      <c r="C488" s="16">
        <v>7758</v>
      </c>
      <c r="D488" s="16">
        <v>485</v>
      </c>
      <c r="E488" s="113">
        <v>115</v>
      </c>
      <c r="F488" s="113">
        <v>108.9</v>
      </c>
      <c r="G488" s="113">
        <v>100.6</v>
      </c>
      <c r="H488" s="113">
        <f t="shared" si="54"/>
        <v>27.944444444444443</v>
      </c>
      <c r="I488" s="113">
        <v>13.9</v>
      </c>
      <c r="J488" s="113">
        <v>42.44</v>
      </c>
      <c r="K488" s="113">
        <v>-53.6</v>
      </c>
      <c r="L488" s="183"/>
      <c r="M488" s="16">
        <v>485</v>
      </c>
      <c r="N488" s="16">
        <f t="shared" si="56"/>
        <v>3.0574200371758519E-2</v>
      </c>
      <c r="O488" s="16">
        <v>2</v>
      </c>
      <c r="P488" s="16">
        <f t="shared" si="52"/>
        <v>12.715447154471546</v>
      </c>
      <c r="Q488" s="16">
        <f t="shared" si="57"/>
        <v>32.707314920448518</v>
      </c>
      <c r="R488" s="113">
        <f t="shared" si="53"/>
        <v>373.41300000000001</v>
      </c>
      <c r="S488" s="16">
        <f>IF(S487=15800,15800,ROUND((((Q488*60)/'Gearing Calculator'!$C$14)*'Track Data'!P488),-2))</f>
        <v>12600</v>
      </c>
      <c r="T488" s="16">
        <f t="shared" si="55"/>
        <v>6.2873467937451366</v>
      </c>
      <c r="U488" s="16">
        <f>IF(AC488=100,Braking!$AG$2354,IF(AC488=50,Braking!$AG$1179,IF(AC488=75,Braking!$AG$1767,0)))</f>
        <v>0</v>
      </c>
      <c r="V488" s="16">
        <f>0.5*'Gearing Calculator'!$C$15*'Gearing Calculator'!$C$20*'Gearing Calculator'!$W$20*('Track Data'!Q488^2)</f>
        <v>113.22429267448291</v>
      </c>
      <c r="W488" s="16">
        <f>('Gearing Calculator'!$U$9*'Track Data'!T488)+'Track Data'!V488</f>
        <v>1786.9160091694382</v>
      </c>
      <c r="X488" s="16">
        <f>('Gearing Calculator'!$U$9*9.81)*('Gearing Calculator'!$U$16/'Gearing Calculator'!$C$7)-(('Track Data'!W488)*('Gearing Calculator'!$U$17/'Gearing Calculator'!$C$7))</f>
        <v>427.17103983758352</v>
      </c>
      <c r="Y488" s="16">
        <f>('Gearing Calculator'!$U$9*9.81)*(('Gearing Calculator'!$C$7-'Gearing Calculator'!$U$16)/'Gearing Calculator'!$C$7)+(('Track Data'!W488)*('Gearing Calculator'!$U$17/'Gearing Calculator'!$C$7))</f>
        <v>2184.2509601624165</v>
      </c>
      <c r="Z488" s="16">
        <f>((X488*COS('Gearing Calculator'!$C$21))/'Gearing Calculator'!$C$22)/2</f>
        <v>13.206777524884764</v>
      </c>
      <c r="AA488" s="16">
        <f>Y488/'Gearing Calculator'!$C$24</f>
        <v>30.49946948247559</v>
      </c>
      <c r="AB488" s="16">
        <f t="shared" si="51"/>
        <v>125.79898626197318</v>
      </c>
      <c r="AC488" s="16">
        <v>0</v>
      </c>
      <c r="AD488" s="16">
        <v>-50.419976243670298</v>
      </c>
      <c r="AE488" s="16">
        <v>485</v>
      </c>
      <c r="AF488" s="16">
        <f>IF(AC488=0,IF(O488=6,INDEX(Acceleration!$V$4:$V$110,MATCH('Track Data'!S488,Acceleration!$K$4:$K$110,0)),IF('Track Data'!O488=5,INDEX(Acceleration!$U$4:$U$110,MATCH('Track Data'!S488,Acceleration!$K$4:$K$110,0)),1)),U488)</f>
        <v>1</v>
      </c>
      <c r="AG488" s="16">
        <f>IF(AC488=0,IF(O488=4,INDEX(Acceleration!$T$4:$T$110,MATCH('Track Data'!S488,Acceleration!$K$4:$K$110,0)),IF('Track Data'!O488=3,INDEX(Acceleration!$S$4:$S$110,MATCH('Track Data'!S488,Acceleration!$K$4:$K$110,0)),'Track Data'!AF488)),'Track Data'!U488)</f>
        <v>1</v>
      </c>
      <c r="AH488" s="16">
        <f>IF(AC488=0,IF(O488=2,INDEX(Acceleration!$R$4:$R$110,MATCH('Track Data'!S488,Acceleration!$K$4:$K$110,0)),IF('Track Data'!O488=1,INDEX(Acceleration!$Q$4:$Q$110,MATCH('Track Data'!S488,Acceleration!$K$4:$K$110,0)),'Track Data'!AG488)),'Track Data'!U488)</f>
        <v>6.2873467937451366</v>
      </c>
    </row>
    <row r="489" spans="2:34" x14ac:dyDescent="0.25">
      <c r="B489" s="16">
        <v>210.96299999999999</v>
      </c>
      <c r="C489" s="16">
        <v>7759</v>
      </c>
      <c r="D489" s="16">
        <v>486</v>
      </c>
      <c r="E489" s="113">
        <v>115</v>
      </c>
      <c r="F489" s="113">
        <v>109.1</v>
      </c>
      <c r="G489" s="113">
        <v>101</v>
      </c>
      <c r="H489" s="113">
        <f t="shared" si="54"/>
        <v>28.055555555555554</v>
      </c>
      <c r="I489" s="113">
        <v>14.7</v>
      </c>
      <c r="J489" s="113">
        <v>41.42</v>
      </c>
      <c r="K489" s="113">
        <v>-53.1</v>
      </c>
      <c r="L489" s="183"/>
      <c r="M489" s="16">
        <v>486</v>
      </c>
      <c r="N489" s="16">
        <f t="shared" si="56"/>
        <v>3.0574200371758519E-2</v>
      </c>
      <c r="O489" s="16">
        <v>2</v>
      </c>
      <c r="P489" s="16">
        <f t="shared" si="52"/>
        <v>12.715447154471546</v>
      </c>
      <c r="Q489" s="16">
        <f t="shared" si="57"/>
        <v>32.707314920448518</v>
      </c>
      <c r="R489" s="113">
        <f t="shared" si="53"/>
        <v>373.41300000000001</v>
      </c>
      <c r="S489" s="16">
        <f>IF(S488=15800,15800,ROUND((((Q489*60)/'Gearing Calculator'!$C$14)*'Track Data'!P489),-2))</f>
        <v>12600</v>
      </c>
      <c r="T489" s="16">
        <f t="shared" si="55"/>
        <v>6.2873467937451366</v>
      </c>
      <c r="U489" s="16">
        <f>IF(AC489=100,Braking!$AG$2354,IF(AC489=50,Braking!$AG$1179,IF(AC489=75,Braking!$AG$1767,0)))</f>
        <v>0</v>
      </c>
      <c r="V489" s="16">
        <f>0.5*'Gearing Calculator'!$C$15*'Gearing Calculator'!$C$20*'Gearing Calculator'!$W$20*('Track Data'!Q489^2)</f>
        <v>113.22429267448291</v>
      </c>
      <c r="W489" s="16">
        <f>('Gearing Calculator'!$U$9*'Track Data'!T489)+'Track Data'!V489</f>
        <v>1786.9160091694382</v>
      </c>
      <c r="X489" s="16">
        <f>('Gearing Calculator'!$U$9*9.81)*('Gearing Calculator'!$U$16/'Gearing Calculator'!$C$7)-(('Track Data'!W489)*('Gearing Calculator'!$U$17/'Gearing Calculator'!$C$7))</f>
        <v>427.17103983758352</v>
      </c>
      <c r="Y489" s="16">
        <f>('Gearing Calculator'!$U$9*9.81)*(('Gearing Calculator'!$C$7-'Gearing Calculator'!$U$16)/'Gearing Calculator'!$C$7)+(('Track Data'!W489)*('Gearing Calculator'!$U$17/'Gearing Calculator'!$C$7))</f>
        <v>2184.2509601624165</v>
      </c>
      <c r="Z489" s="16">
        <f>((X489*COS('Gearing Calculator'!$C$21))/'Gearing Calculator'!$C$22)/2</f>
        <v>13.206777524884764</v>
      </c>
      <c r="AA489" s="16">
        <f>Y489/'Gearing Calculator'!$C$24</f>
        <v>30.49946948247559</v>
      </c>
      <c r="AB489" s="16">
        <f t="shared" si="51"/>
        <v>125.79898626197318</v>
      </c>
      <c r="AC489" s="16">
        <v>0</v>
      </c>
      <c r="AD489" s="16">
        <v>-50.419976243670298</v>
      </c>
      <c r="AE489" s="16">
        <v>486</v>
      </c>
      <c r="AF489" s="16">
        <f>IF(AC489=0,IF(O489=6,INDEX(Acceleration!$V$4:$V$110,MATCH('Track Data'!S489,Acceleration!$K$4:$K$110,0)),IF('Track Data'!O489=5,INDEX(Acceleration!$U$4:$U$110,MATCH('Track Data'!S489,Acceleration!$K$4:$K$110,0)),1)),U489)</f>
        <v>1</v>
      </c>
      <c r="AG489" s="16">
        <f>IF(AC489=0,IF(O489=4,INDEX(Acceleration!$T$4:$T$110,MATCH('Track Data'!S489,Acceleration!$K$4:$K$110,0)),IF('Track Data'!O489=3,INDEX(Acceleration!$S$4:$S$110,MATCH('Track Data'!S489,Acceleration!$K$4:$K$110,0)),'Track Data'!AF489)),'Track Data'!U489)</f>
        <v>1</v>
      </c>
      <c r="AH489" s="16">
        <f>IF(AC489=0,IF(O489=2,INDEX(Acceleration!$R$4:$R$110,MATCH('Track Data'!S489,Acceleration!$K$4:$K$110,0)),IF('Track Data'!O489=1,INDEX(Acceleration!$Q$4:$Q$110,MATCH('Track Data'!S489,Acceleration!$K$4:$K$110,0)),'Track Data'!AG489)),'Track Data'!U489)</f>
        <v>6.2873467937451366</v>
      </c>
    </row>
    <row r="490" spans="2:34" x14ac:dyDescent="0.25">
      <c r="B490" s="16">
        <v>210.99600000000001</v>
      </c>
      <c r="C490" s="16">
        <v>7760</v>
      </c>
      <c r="D490" s="16">
        <v>487</v>
      </c>
      <c r="E490" s="113">
        <v>116</v>
      </c>
      <c r="F490" s="113">
        <v>109.3</v>
      </c>
      <c r="G490" s="113">
        <v>101.4</v>
      </c>
      <c r="H490" s="113">
        <f t="shared" si="54"/>
        <v>28.166666666666668</v>
      </c>
      <c r="I490" s="113">
        <v>15.7</v>
      </c>
      <c r="J490" s="113">
        <v>37.880000000000003</v>
      </c>
      <c r="K490" s="113">
        <v>-53.1</v>
      </c>
      <c r="L490" s="183"/>
      <c r="M490" s="16">
        <v>487</v>
      </c>
      <c r="N490" s="16">
        <f t="shared" si="56"/>
        <v>3.0574200371758519E-2</v>
      </c>
      <c r="O490" s="16">
        <v>2</v>
      </c>
      <c r="P490" s="16">
        <f t="shared" si="52"/>
        <v>12.715447154471546</v>
      </c>
      <c r="Q490" s="16">
        <f t="shared" si="57"/>
        <v>32.707314920448518</v>
      </c>
      <c r="R490" s="113">
        <f t="shared" si="53"/>
        <v>373.41300000000001</v>
      </c>
      <c r="S490" s="16">
        <f>IF(S489=15800,15800,ROUND((((Q490*60)/'Gearing Calculator'!$C$14)*'Track Data'!P490),-2))</f>
        <v>12600</v>
      </c>
      <c r="T490" s="16">
        <f t="shared" si="55"/>
        <v>6.2873467937451366</v>
      </c>
      <c r="U490" s="16">
        <f>IF(AC490=100,Braking!$AG$2354,IF(AC490=50,Braking!$AG$1179,IF(AC490=75,Braking!$AG$1767,0)))</f>
        <v>0</v>
      </c>
      <c r="V490" s="16">
        <f>0.5*'Gearing Calculator'!$C$15*'Gearing Calculator'!$C$20*'Gearing Calculator'!$W$20*('Track Data'!Q490^2)</f>
        <v>113.22429267448291</v>
      </c>
      <c r="W490" s="16">
        <f>('Gearing Calculator'!$U$9*'Track Data'!T490)+'Track Data'!V490</f>
        <v>1786.9160091694382</v>
      </c>
      <c r="X490" s="16">
        <f>('Gearing Calculator'!$U$9*9.81)*('Gearing Calculator'!$U$16/'Gearing Calculator'!$C$7)-(('Track Data'!W490)*('Gearing Calculator'!$U$17/'Gearing Calculator'!$C$7))</f>
        <v>427.17103983758352</v>
      </c>
      <c r="Y490" s="16">
        <f>('Gearing Calculator'!$U$9*9.81)*(('Gearing Calculator'!$C$7-'Gearing Calculator'!$U$16)/'Gearing Calculator'!$C$7)+(('Track Data'!W490)*('Gearing Calculator'!$U$17/'Gearing Calculator'!$C$7))</f>
        <v>2184.2509601624165</v>
      </c>
      <c r="Z490" s="16">
        <f>((X490*COS('Gearing Calculator'!$C$21))/'Gearing Calculator'!$C$22)/2</f>
        <v>13.206777524884764</v>
      </c>
      <c r="AA490" s="16">
        <f>Y490/'Gearing Calculator'!$C$24</f>
        <v>30.49946948247559</v>
      </c>
      <c r="AB490" s="16">
        <f t="shared" si="51"/>
        <v>125.79898626197318</v>
      </c>
      <c r="AC490" s="16">
        <v>0</v>
      </c>
      <c r="AD490" s="16">
        <v>-50.419976243670298</v>
      </c>
      <c r="AE490" s="16">
        <v>487</v>
      </c>
      <c r="AF490" s="16">
        <f>IF(AC490=0,IF(O490=6,INDEX(Acceleration!$V$4:$V$110,MATCH('Track Data'!S490,Acceleration!$K$4:$K$110,0)),IF('Track Data'!O490=5,INDEX(Acceleration!$U$4:$U$110,MATCH('Track Data'!S490,Acceleration!$K$4:$K$110,0)),1)),U490)</f>
        <v>1</v>
      </c>
      <c r="AG490" s="16">
        <f>IF(AC490=0,IF(O490=4,INDEX(Acceleration!$T$4:$T$110,MATCH('Track Data'!S490,Acceleration!$K$4:$K$110,0)),IF('Track Data'!O490=3,INDEX(Acceleration!$S$4:$S$110,MATCH('Track Data'!S490,Acceleration!$K$4:$K$110,0)),'Track Data'!AF490)),'Track Data'!U490)</f>
        <v>1</v>
      </c>
      <c r="AH490" s="16">
        <f>IF(AC490=0,IF(O490=2,INDEX(Acceleration!$R$4:$R$110,MATCH('Track Data'!S490,Acceleration!$K$4:$K$110,0)),IF('Track Data'!O490=1,INDEX(Acceleration!$Q$4:$Q$110,MATCH('Track Data'!S490,Acceleration!$K$4:$K$110,0)),'Track Data'!AG490)),'Track Data'!U490)</f>
        <v>6.2873467937451366</v>
      </c>
    </row>
    <row r="491" spans="2:34" x14ac:dyDescent="0.25">
      <c r="B491" s="16">
        <v>211.029</v>
      </c>
      <c r="C491" s="16">
        <v>7761</v>
      </c>
      <c r="D491" s="16">
        <v>488</v>
      </c>
      <c r="E491" s="113">
        <v>117</v>
      </c>
      <c r="F491" s="113">
        <v>109.5</v>
      </c>
      <c r="G491" s="113">
        <v>101.8</v>
      </c>
      <c r="H491" s="113">
        <f t="shared" si="54"/>
        <v>28.277777777777775</v>
      </c>
      <c r="I491" s="113">
        <v>15.1</v>
      </c>
      <c r="J491" s="113">
        <v>34.28</v>
      </c>
      <c r="K491" s="113">
        <v>-53.1</v>
      </c>
      <c r="L491" s="183"/>
      <c r="M491" s="16">
        <v>488</v>
      </c>
      <c r="N491" s="16">
        <f t="shared" si="56"/>
        <v>3.0574200371758519E-2</v>
      </c>
      <c r="O491" s="16">
        <v>2</v>
      </c>
      <c r="P491" s="16">
        <f t="shared" si="52"/>
        <v>12.715447154471546</v>
      </c>
      <c r="Q491" s="16">
        <f t="shared" si="57"/>
        <v>32.707314920448518</v>
      </c>
      <c r="R491" s="113">
        <f t="shared" si="53"/>
        <v>373.41300000000001</v>
      </c>
      <c r="S491" s="16">
        <f>IF(S490=15800,15800,ROUND((((Q491*60)/'Gearing Calculator'!$C$14)*'Track Data'!P491),-2))</f>
        <v>12600</v>
      </c>
      <c r="T491" s="16">
        <f t="shared" si="55"/>
        <v>6.2873467937451366</v>
      </c>
      <c r="U491" s="16">
        <f>IF(AC491=100,Braking!$AG$2354,IF(AC491=50,Braking!$AG$1179,IF(AC491=75,Braking!$AG$1767,0)))</f>
        <v>0</v>
      </c>
      <c r="V491" s="16">
        <f>0.5*'Gearing Calculator'!$C$15*'Gearing Calculator'!$C$20*'Gearing Calculator'!$W$20*('Track Data'!Q491^2)</f>
        <v>113.22429267448291</v>
      </c>
      <c r="W491" s="16">
        <f>('Gearing Calculator'!$U$9*'Track Data'!T491)+'Track Data'!V491</f>
        <v>1786.9160091694382</v>
      </c>
      <c r="X491" s="16">
        <f>('Gearing Calculator'!$U$9*9.81)*('Gearing Calculator'!$U$16/'Gearing Calculator'!$C$7)-(('Track Data'!W491)*('Gearing Calculator'!$U$17/'Gearing Calculator'!$C$7))</f>
        <v>427.17103983758352</v>
      </c>
      <c r="Y491" s="16">
        <f>('Gearing Calculator'!$U$9*9.81)*(('Gearing Calculator'!$C$7-'Gearing Calculator'!$U$16)/'Gearing Calculator'!$C$7)+(('Track Data'!W491)*('Gearing Calculator'!$U$17/'Gearing Calculator'!$C$7))</f>
        <v>2184.2509601624165</v>
      </c>
      <c r="Z491" s="16">
        <f>((X491*COS('Gearing Calculator'!$C$21))/'Gearing Calculator'!$C$22)/2</f>
        <v>13.206777524884764</v>
      </c>
      <c r="AA491" s="16">
        <f>Y491/'Gearing Calculator'!$C$24</f>
        <v>30.49946948247559</v>
      </c>
      <c r="AB491" s="16">
        <f t="shared" si="51"/>
        <v>125.79898626197318</v>
      </c>
      <c r="AC491" s="16">
        <v>0</v>
      </c>
      <c r="AD491" s="16">
        <v>-50.419976243670298</v>
      </c>
      <c r="AE491" s="16">
        <v>488</v>
      </c>
      <c r="AF491" s="16">
        <f>IF(AC491=0,IF(O491=6,INDEX(Acceleration!$V$4:$V$110,MATCH('Track Data'!S491,Acceleration!$K$4:$K$110,0)),IF('Track Data'!O491=5,INDEX(Acceleration!$U$4:$U$110,MATCH('Track Data'!S491,Acceleration!$K$4:$K$110,0)),1)),U491)</f>
        <v>1</v>
      </c>
      <c r="AG491" s="16">
        <f>IF(AC491=0,IF(O491=4,INDEX(Acceleration!$T$4:$T$110,MATCH('Track Data'!S491,Acceleration!$K$4:$K$110,0)),IF('Track Data'!O491=3,INDEX(Acceleration!$S$4:$S$110,MATCH('Track Data'!S491,Acceleration!$K$4:$K$110,0)),'Track Data'!AF491)),'Track Data'!U491)</f>
        <v>1</v>
      </c>
      <c r="AH491" s="16">
        <f>IF(AC491=0,IF(O491=2,INDEX(Acceleration!$R$4:$R$110,MATCH('Track Data'!S491,Acceleration!$K$4:$K$110,0)),IF('Track Data'!O491=1,INDEX(Acceleration!$Q$4:$Q$110,MATCH('Track Data'!S491,Acceleration!$K$4:$K$110,0)),'Track Data'!AG491)),'Track Data'!U491)</f>
        <v>6.2873467937451366</v>
      </c>
    </row>
    <row r="492" spans="2:34" x14ac:dyDescent="0.25">
      <c r="B492" s="16">
        <v>211.06200000000001</v>
      </c>
      <c r="C492" s="16">
        <v>7762</v>
      </c>
      <c r="D492" s="16">
        <v>489</v>
      </c>
      <c r="E492" s="113">
        <v>118</v>
      </c>
      <c r="F492" s="113">
        <v>110.2</v>
      </c>
      <c r="G492" s="113">
        <v>102.3</v>
      </c>
      <c r="H492" s="113">
        <f t="shared" si="54"/>
        <v>28.416666666666664</v>
      </c>
      <c r="I492" s="113">
        <v>11.5</v>
      </c>
      <c r="J492" s="113">
        <v>35.89</v>
      </c>
      <c r="K492" s="113">
        <v>-53.3</v>
      </c>
      <c r="L492" s="183"/>
      <c r="M492" s="16">
        <v>489</v>
      </c>
      <c r="N492" s="16">
        <f t="shared" si="56"/>
        <v>3.0574200371758519E-2</v>
      </c>
      <c r="O492" s="16">
        <v>2</v>
      </c>
      <c r="P492" s="16">
        <f t="shared" si="52"/>
        <v>12.715447154471546</v>
      </c>
      <c r="Q492" s="16">
        <f t="shared" si="57"/>
        <v>32.707314920448518</v>
      </c>
      <c r="R492" s="113">
        <f t="shared" si="53"/>
        <v>373.41300000000001</v>
      </c>
      <c r="S492" s="16">
        <f>IF(S491=15800,15800,ROUND((((Q492*60)/'Gearing Calculator'!$C$14)*'Track Data'!P492),-2))</f>
        <v>12600</v>
      </c>
      <c r="T492" s="16">
        <f t="shared" si="55"/>
        <v>6.2873467937451366</v>
      </c>
      <c r="U492" s="16">
        <f>IF(AC492=100,Braking!$AG$2354,IF(AC492=50,Braking!$AG$1179,IF(AC492=75,Braking!$AG$1767,0)))</f>
        <v>0</v>
      </c>
      <c r="V492" s="16">
        <f>0.5*'Gearing Calculator'!$C$15*'Gearing Calculator'!$C$20*'Gearing Calculator'!$W$20*('Track Data'!Q492^2)</f>
        <v>113.22429267448291</v>
      </c>
      <c r="W492" s="16">
        <f>('Gearing Calculator'!$U$9*'Track Data'!T492)+'Track Data'!V492</f>
        <v>1786.9160091694382</v>
      </c>
      <c r="X492" s="16">
        <f>('Gearing Calculator'!$U$9*9.81)*('Gearing Calculator'!$U$16/'Gearing Calculator'!$C$7)-(('Track Data'!W492)*('Gearing Calculator'!$U$17/'Gearing Calculator'!$C$7))</f>
        <v>427.17103983758352</v>
      </c>
      <c r="Y492" s="16">
        <f>('Gearing Calculator'!$U$9*9.81)*(('Gearing Calculator'!$C$7-'Gearing Calculator'!$U$16)/'Gearing Calculator'!$C$7)+(('Track Data'!W492)*('Gearing Calculator'!$U$17/'Gearing Calculator'!$C$7))</f>
        <v>2184.2509601624165</v>
      </c>
      <c r="Z492" s="16">
        <f>((X492*COS('Gearing Calculator'!$C$21))/'Gearing Calculator'!$C$22)/2</f>
        <v>13.206777524884764</v>
      </c>
      <c r="AA492" s="16">
        <f>Y492/'Gearing Calculator'!$C$24</f>
        <v>30.49946948247559</v>
      </c>
      <c r="AB492" s="16">
        <f t="shared" si="51"/>
        <v>125.79898626197318</v>
      </c>
      <c r="AC492" s="16">
        <v>0</v>
      </c>
      <c r="AD492" s="16">
        <v>-50.419976243670298</v>
      </c>
      <c r="AE492" s="16">
        <v>489</v>
      </c>
      <c r="AF492" s="16">
        <f>IF(AC492=0,IF(O492=6,INDEX(Acceleration!$V$4:$V$110,MATCH('Track Data'!S492,Acceleration!$K$4:$K$110,0)),IF('Track Data'!O492=5,INDEX(Acceleration!$U$4:$U$110,MATCH('Track Data'!S492,Acceleration!$K$4:$K$110,0)),1)),U492)</f>
        <v>1</v>
      </c>
      <c r="AG492" s="16">
        <f>IF(AC492=0,IF(O492=4,INDEX(Acceleration!$T$4:$T$110,MATCH('Track Data'!S492,Acceleration!$K$4:$K$110,0)),IF('Track Data'!O492=3,INDEX(Acceleration!$S$4:$S$110,MATCH('Track Data'!S492,Acceleration!$K$4:$K$110,0)),'Track Data'!AF492)),'Track Data'!U492)</f>
        <v>1</v>
      </c>
      <c r="AH492" s="16">
        <f>IF(AC492=0,IF(O492=2,INDEX(Acceleration!$R$4:$R$110,MATCH('Track Data'!S492,Acceleration!$K$4:$K$110,0)),IF('Track Data'!O492=1,INDEX(Acceleration!$Q$4:$Q$110,MATCH('Track Data'!S492,Acceleration!$K$4:$K$110,0)),'Track Data'!AG492)),'Track Data'!U492)</f>
        <v>6.2873467937451366</v>
      </c>
    </row>
    <row r="493" spans="2:34" x14ac:dyDescent="0.25">
      <c r="B493" s="16">
        <v>211.09399999999999</v>
      </c>
      <c r="C493" s="16">
        <v>7763</v>
      </c>
      <c r="D493" s="16">
        <v>490</v>
      </c>
      <c r="E493" s="113">
        <v>118</v>
      </c>
      <c r="F493" s="113">
        <v>110.8</v>
      </c>
      <c r="G493" s="113">
        <v>102.8</v>
      </c>
      <c r="H493" s="113">
        <f t="shared" si="54"/>
        <v>28.555555555555554</v>
      </c>
      <c r="I493" s="113">
        <v>10.7</v>
      </c>
      <c r="J493" s="113">
        <v>32.869999999999997</v>
      </c>
      <c r="K493" s="113">
        <v>-53.7</v>
      </c>
      <c r="L493" s="183"/>
      <c r="M493" s="16">
        <v>490</v>
      </c>
      <c r="N493" s="16">
        <f t="shared" si="56"/>
        <v>3.0574200371758519E-2</v>
      </c>
      <c r="O493" s="16">
        <v>2</v>
      </c>
      <c r="P493" s="16">
        <f t="shared" si="52"/>
        <v>12.715447154471546</v>
      </c>
      <c r="Q493" s="16">
        <f t="shared" si="57"/>
        <v>32.707314920448518</v>
      </c>
      <c r="R493" s="113">
        <f t="shared" si="53"/>
        <v>373.41300000000001</v>
      </c>
      <c r="S493" s="16">
        <f>IF(S492=15800,15800,ROUND((((Q493*60)/'Gearing Calculator'!$C$14)*'Track Data'!P493),-2))</f>
        <v>12600</v>
      </c>
      <c r="T493" s="16">
        <f t="shared" si="55"/>
        <v>6.2873467937451366</v>
      </c>
      <c r="U493" s="16">
        <f>IF(AC493=100,Braking!$AG$2354,IF(AC493=50,Braking!$AG$1179,IF(AC493=75,Braking!$AG$1767,0)))</f>
        <v>0</v>
      </c>
      <c r="V493" s="16">
        <f>0.5*'Gearing Calculator'!$C$15*'Gearing Calculator'!$C$20*'Gearing Calculator'!$W$20*('Track Data'!Q493^2)</f>
        <v>113.22429267448291</v>
      </c>
      <c r="W493" s="16">
        <f>('Gearing Calculator'!$U$9*'Track Data'!T493)+'Track Data'!V493</f>
        <v>1786.9160091694382</v>
      </c>
      <c r="X493" s="16">
        <f>('Gearing Calculator'!$U$9*9.81)*('Gearing Calculator'!$U$16/'Gearing Calculator'!$C$7)-(('Track Data'!W493)*('Gearing Calculator'!$U$17/'Gearing Calculator'!$C$7))</f>
        <v>427.17103983758352</v>
      </c>
      <c r="Y493" s="16">
        <f>('Gearing Calculator'!$U$9*9.81)*(('Gearing Calculator'!$C$7-'Gearing Calculator'!$U$16)/'Gearing Calculator'!$C$7)+(('Track Data'!W493)*('Gearing Calculator'!$U$17/'Gearing Calculator'!$C$7))</f>
        <v>2184.2509601624165</v>
      </c>
      <c r="Z493" s="16">
        <f>((X493*COS('Gearing Calculator'!$C$21))/'Gearing Calculator'!$C$22)/2</f>
        <v>13.206777524884764</v>
      </c>
      <c r="AA493" s="16">
        <f>Y493/'Gearing Calculator'!$C$24</f>
        <v>30.49946948247559</v>
      </c>
      <c r="AB493" s="16">
        <f t="shared" si="51"/>
        <v>125.79898626197318</v>
      </c>
      <c r="AC493" s="16">
        <v>0</v>
      </c>
      <c r="AD493" s="16">
        <v>-50.419976243670298</v>
      </c>
      <c r="AE493" s="16">
        <v>490</v>
      </c>
      <c r="AF493" s="16">
        <f>IF(AC493=0,IF(O493=6,INDEX(Acceleration!$V$4:$V$110,MATCH('Track Data'!S493,Acceleration!$K$4:$K$110,0)),IF('Track Data'!O493=5,INDEX(Acceleration!$U$4:$U$110,MATCH('Track Data'!S493,Acceleration!$K$4:$K$110,0)),1)),U493)</f>
        <v>1</v>
      </c>
      <c r="AG493" s="16">
        <f>IF(AC493=0,IF(O493=4,INDEX(Acceleration!$T$4:$T$110,MATCH('Track Data'!S493,Acceleration!$K$4:$K$110,0)),IF('Track Data'!O493=3,INDEX(Acceleration!$S$4:$S$110,MATCH('Track Data'!S493,Acceleration!$K$4:$K$110,0)),'Track Data'!AF493)),'Track Data'!U493)</f>
        <v>1</v>
      </c>
      <c r="AH493" s="16">
        <f>IF(AC493=0,IF(O493=2,INDEX(Acceleration!$R$4:$R$110,MATCH('Track Data'!S493,Acceleration!$K$4:$K$110,0)),IF('Track Data'!O493=1,INDEX(Acceleration!$Q$4:$Q$110,MATCH('Track Data'!S493,Acceleration!$K$4:$K$110,0)),'Track Data'!AG493)),'Track Data'!U493)</f>
        <v>6.2873467937451366</v>
      </c>
    </row>
    <row r="494" spans="2:34" x14ac:dyDescent="0.25">
      <c r="B494" s="16">
        <v>211.12700000000001</v>
      </c>
      <c r="C494" s="16">
        <v>7764</v>
      </c>
      <c r="D494" s="16">
        <v>491</v>
      </c>
      <c r="E494" s="113">
        <v>118</v>
      </c>
      <c r="F494" s="113">
        <v>111.4</v>
      </c>
      <c r="G494" s="113">
        <v>103.3</v>
      </c>
      <c r="H494" s="113">
        <f t="shared" si="54"/>
        <v>28.694444444444443</v>
      </c>
      <c r="I494" s="113">
        <v>11.1</v>
      </c>
      <c r="J494" s="113">
        <v>35.32</v>
      </c>
      <c r="K494" s="113">
        <v>-52.3</v>
      </c>
      <c r="L494" s="183"/>
      <c r="M494" s="16">
        <v>491</v>
      </c>
      <c r="N494" s="16">
        <f t="shared" si="56"/>
        <v>3.0574200371758519E-2</v>
      </c>
      <c r="O494" s="16">
        <v>2</v>
      </c>
      <c r="P494" s="16">
        <f t="shared" si="52"/>
        <v>12.715447154471546</v>
      </c>
      <c r="Q494" s="16">
        <f t="shared" si="57"/>
        <v>32.707314920448518</v>
      </c>
      <c r="R494" s="113">
        <f t="shared" si="53"/>
        <v>373.41300000000001</v>
      </c>
      <c r="S494" s="16">
        <f>IF(S493=15800,15800,ROUND((((Q494*60)/'Gearing Calculator'!$C$14)*'Track Data'!P494),-2))</f>
        <v>12600</v>
      </c>
      <c r="T494" s="16">
        <f t="shared" si="55"/>
        <v>6.2873467937451366</v>
      </c>
      <c r="U494" s="16">
        <f>IF(AC494=100,Braking!$AG$2354,IF(AC494=50,Braking!$AG$1179,IF(AC494=75,Braking!$AG$1767,0)))</f>
        <v>0</v>
      </c>
      <c r="V494" s="16">
        <f>0.5*'Gearing Calculator'!$C$15*'Gearing Calculator'!$C$20*'Gearing Calculator'!$W$20*('Track Data'!Q494^2)</f>
        <v>113.22429267448291</v>
      </c>
      <c r="W494" s="16">
        <f>('Gearing Calculator'!$U$9*'Track Data'!T494)+'Track Data'!V494</f>
        <v>1786.9160091694382</v>
      </c>
      <c r="X494" s="16">
        <f>('Gearing Calculator'!$U$9*9.81)*('Gearing Calculator'!$U$16/'Gearing Calculator'!$C$7)-(('Track Data'!W494)*('Gearing Calculator'!$U$17/'Gearing Calculator'!$C$7))</f>
        <v>427.17103983758352</v>
      </c>
      <c r="Y494" s="16">
        <f>('Gearing Calculator'!$U$9*9.81)*(('Gearing Calculator'!$C$7-'Gearing Calculator'!$U$16)/'Gearing Calculator'!$C$7)+(('Track Data'!W494)*('Gearing Calculator'!$U$17/'Gearing Calculator'!$C$7))</f>
        <v>2184.2509601624165</v>
      </c>
      <c r="Z494" s="16">
        <f>((X494*COS('Gearing Calculator'!$C$21))/'Gearing Calculator'!$C$22)/2</f>
        <v>13.206777524884764</v>
      </c>
      <c r="AA494" s="16">
        <f>Y494/'Gearing Calculator'!$C$24</f>
        <v>30.49946948247559</v>
      </c>
      <c r="AB494" s="16">
        <f t="shared" si="51"/>
        <v>125.79898626197318</v>
      </c>
      <c r="AC494" s="16">
        <v>0</v>
      </c>
      <c r="AD494" s="16">
        <v>-50.419976243670298</v>
      </c>
      <c r="AE494" s="16">
        <v>491</v>
      </c>
      <c r="AF494" s="16">
        <f>IF(AC494=0,IF(O494=6,INDEX(Acceleration!$V$4:$V$110,MATCH('Track Data'!S494,Acceleration!$K$4:$K$110,0)),IF('Track Data'!O494=5,INDEX(Acceleration!$U$4:$U$110,MATCH('Track Data'!S494,Acceleration!$K$4:$K$110,0)),1)),U494)</f>
        <v>1</v>
      </c>
      <c r="AG494" s="16">
        <f>IF(AC494=0,IF(O494=4,INDEX(Acceleration!$T$4:$T$110,MATCH('Track Data'!S494,Acceleration!$K$4:$K$110,0)),IF('Track Data'!O494=3,INDEX(Acceleration!$S$4:$S$110,MATCH('Track Data'!S494,Acceleration!$K$4:$K$110,0)),'Track Data'!AF494)),'Track Data'!U494)</f>
        <v>1</v>
      </c>
      <c r="AH494" s="16">
        <f>IF(AC494=0,IF(O494=2,INDEX(Acceleration!$R$4:$R$110,MATCH('Track Data'!S494,Acceleration!$K$4:$K$110,0)),IF('Track Data'!O494=1,INDEX(Acceleration!$Q$4:$Q$110,MATCH('Track Data'!S494,Acceleration!$K$4:$K$110,0)),'Track Data'!AG494)),'Track Data'!U494)</f>
        <v>6.2873467937451366</v>
      </c>
    </row>
    <row r="495" spans="2:34" x14ac:dyDescent="0.25">
      <c r="B495" s="16">
        <v>211.15899999999999</v>
      </c>
      <c r="C495" s="16">
        <v>7765</v>
      </c>
      <c r="D495" s="16">
        <v>492</v>
      </c>
      <c r="E495" s="113">
        <v>119</v>
      </c>
      <c r="F495" s="113">
        <v>111.5</v>
      </c>
      <c r="G495" s="113">
        <v>103.7</v>
      </c>
      <c r="H495" s="113">
        <f t="shared" si="54"/>
        <v>28.805555555555557</v>
      </c>
      <c r="I495" s="113">
        <v>11.7</v>
      </c>
      <c r="J495" s="113">
        <v>38.21</v>
      </c>
      <c r="K495" s="113">
        <v>-39.4</v>
      </c>
      <c r="L495" s="183"/>
      <c r="M495" s="16">
        <v>492</v>
      </c>
      <c r="N495" s="16">
        <f t="shared" si="56"/>
        <v>3.0574200371758519E-2</v>
      </c>
      <c r="O495" s="16">
        <v>2</v>
      </c>
      <c r="P495" s="16">
        <f t="shared" si="52"/>
        <v>12.715447154471546</v>
      </c>
      <c r="Q495" s="16">
        <f t="shared" si="57"/>
        <v>32.707314920448518</v>
      </c>
      <c r="R495" s="113">
        <f t="shared" si="53"/>
        <v>373.41300000000001</v>
      </c>
      <c r="S495" s="16">
        <f>IF(S494=15800,15800,ROUND((((Q495*60)/'Gearing Calculator'!$C$14)*'Track Data'!P495),-2))</f>
        <v>12600</v>
      </c>
      <c r="T495" s="16">
        <f t="shared" si="55"/>
        <v>6.2873467937451366</v>
      </c>
      <c r="U495" s="16">
        <f>IF(AC495=100,Braking!$AG$2354,IF(AC495=50,Braking!$AG$1179,IF(AC495=75,Braking!$AG$1767,0)))</f>
        <v>0</v>
      </c>
      <c r="V495" s="16">
        <f>0.5*'Gearing Calculator'!$C$15*'Gearing Calculator'!$C$20*'Gearing Calculator'!$W$20*('Track Data'!Q495^2)</f>
        <v>113.22429267448291</v>
      </c>
      <c r="W495" s="16">
        <f>('Gearing Calculator'!$U$9*'Track Data'!T495)+'Track Data'!V495</f>
        <v>1786.9160091694382</v>
      </c>
      <c r="X495" s="16">
        <f>('Gearing Calculator'!$U$9*9.81)*('Gearing Calculator'!$U$16/'Gearing Calculator'!$C$7)-(('Track Data'!W495)*('Gearing Calculator'!$U$17/'Gearing Calculator'!$C$7))</f>
        <v>427.17103983758352</v>
      </c>
      <c r="Y495" s="16">
        <f>('Gearing Calculator'!$U$9*9.81)*(('Gearing Calculator'!$C$7-'Gearing Calculator'!$U$16)/'Gearing Calculator'!$C$7)+(('Track Data'!W495)*('Gearing Calculator'!$U$17/'Gearing Calculator'!$C$7))</f>
        <v>2184.2509601624165</v>
      </c>
      <c r="Z495" s="16">
        <f>((X495*COS('Gearing Calculator'!$C$21))/'Gearing Calculator'!$C$22)/2</f>
        <v>13.206777524884764</v>
      </c>
      <c r="AA495" s="16">
        <f>Y495/'Gearing Calculator'!$C$24</f>
        <v>30.49946948247559</v>
      </c>
      <c r="AB495" s="16">
        <f t="shared" si="51"/>
        <v>125.79898626197318</v>
      </c>
      <c r="AC495" s="16">
        <v>0</v>
      </c>
      <c r="AD495" s="16">
        <v>-50.419976243670298</v>
      </c>
      <c r="AE495" s="16">
        <v>492</v>
      </c>
      <c r="AF495" s="16">
        <f>IF(AC495=0,IF(O495=6,INDEX(Acceleration!$V$4:$V$110,MATCH('Track Data'!S495,Acceleration!$K$4:$K$110,0)),IF('Track Data'!O495=5,INDEX(Acceleration!$U$4:$U$110,MATCH('Track Data'!S495,Acceleration!$K$4:$K$110,0)),1)),U495)</f>
        <v>1</v>
      </c>
      <c r="AG495" s="16">
        <f>IF(AC495=0,IF(O495=4,INDEX(Acceleration!$T$4:$T$110,MATCH('Track Data'!S495,Acceleration!$K$4:$K$110,0)),IF('Track Data'!O495=3,INDEX(Acceleration!$S$4:$S$110,MATCH('Track Data'!S495,Acceleration!$K$4:$K$110,0)),'Track Data'!AF495)),'Track Data'!U495)</f>
        <v>1</v>
      </c>
      <c r="AH495" s="16">
        <f>IF(AC495=0,IF(O495=2,INDEX(Acceleration!$R$4:$R$110,MATCH('Track Data'!S495,Acceleration!$K$4:$K$110,0)),IF('Track Data'!O495=1,INDEX(Acceleration!$Q$4:$Q$110,MATCH('Track Data'!S495,Acceleration!$K$4:$K$110,0)),'Track Data'!AG495)),'Track Data'!U495)</f>
        <v>6.2873467937451366</v>
      </c>
    </row>
    <row r="496" spans="2:34" x14ac:dyDescent="0.25">
      <c r="B496" s="16">
        <v>211.191</v>
      </c>
      <c r="C496" s="16">
        <v>7766</v>
      </c>
      <c r="D496" s="16">
        <v>493</v>
      </c>
      <c r="E496" s="113">
        <v>120</v>
      </c>
      <c r="F496" s="113">
        <v>112.1</v>
      </c>
      <c r="G496" s="113">
        <v>104.4</v>
      </c>
      <c r="H496" s="113">
        <f t="shared" si="54"/>
        <v>29</v>
      </c>
      <c r="I496" s="113">
        <v>12.6</v>
      </c>
      <c r="J496" s="113">
        <v>33.01</v>
      </c>
      <c r="K496" s="113">
        <v>-22.2</v>
      </c>
      <c r="L496" s="183"/>
      <c r="M496" s="16">
        <v>493</v>
      </c>
      <c r="N496" s="16">
        <f t="shared" si="56"/>
        <v>3.0574200371758519E-2</v>
      </c>
      <c r="O496" s="16">
        <v>2</v>
      </c>
      <c r="P496" s="16">
        <f t="shared" si="52"/>
        <v>12.715447154471546</v>
      </c>
      <c r="Q496" s="16">
        <f t="shared" si="57"/>
        <v>32.707314920448518</v>
      </c>
      <c r="R496" s="113">
        <f t="shared" si="53"/>
        <v>373.41300000000001</v>
      </c>
      <c r="S496" s="16">
        <f>IF(S495=15800,15800,ROUND((((Q496*60)/'Gearing Calculator'!$C$14)*'Track Data'!P496),-2))</f>
        <v>12600</v>
      </c>
      <c r="T496" s="16">
        <f t="shared" si="55"/>
        <v>6.2873467937451366</v>
      </c>
      <c r="U496" s="16">
        <f>IF(AC496=100,Braking!$AG$2354,IF(AC496=50,Braking!$AG$1179,IF(AC496=75,Braking!$AG$1767,0)))</f>
        <v>0</v>
      </c>
      <c r="V496" s="16">
        <f>0.5*'Gearing Calculator'!$C$15*'Gearing Calculator'!$C$20*'Gearing Calculator'!$W$20*('Track Data'!Q496^2)</f>
        <v>113.22429267448291</v>
      </c>
      <c r="W496" s="16">
        <f>('Gearing Calculator'!$U$9*'Track Data'!T496)+'Track Data'!V496</f>
        <v>1786.9160091694382</v>
      </c>
      <c r="X496" s="16">
        <f>('Gearing Calculator'!$U$9*9.81)*('Gearing Calculator'!$U$16/'Gearing Calculator'!$C$7)-(('Track Data'!W496)*('Gearing Calculator'!$U$17/'Gearing Calculator'!$C$7))</f>
        <v>427.17103983758352</v>
      </c>
      <c r="Y496" s="16">
        <f>('Gearing Calculator'!$U$9*9.81)*(('Gearing Calculator'!$C$7-'Gearing Calculator'!$U$16)/'Gearing Calculator'!$C$7)+(('Track Data'!W496)*('Gearing Calculator'!$U$17/'Gearing Calculator'!$C$7))</f>
        <v>2184.2509601624165</v>
      </c>
      <c r="Z496" s="16">
        <f>((X496*COS('Gearing Calculator'!$C$21))/'Gearing Calculator'!$C$22)/2</f>
        <v>13.206777524884764</v>
      </c>
      <c r="AA496" s="16">
        <f>Y496/'Gearing Calculator'!$C$24</f>
        <v>30.49946948247559</v>
      </c>
      <c r="AB496" s="16">
        <f t="shared" si="51"/>
        <v>125.79898626197318</v>
      </c>
      <c r="AC496" s="16">
        <v>0</v>
      </c>
      <c r="AD496" s="16">
        <v>-50.419976243670298</v>
      </c>
      <c r="AE496" s="16">
        <v>493</v>
      </c>
      <c r="AF496" s="16">
        <f>IF(AC496=0,IF(O496=6,INDEX(Acceleration!$V$4:$V$110,MATCH('Track Data'!S496,Acceleration!$K$4:$K$110,0)),IF('Track Data'!O496=5,INDEX(Acceleration!$U$4:$U$110,MATCH('Track Data'!S496,Acceleration!$K$4:$K$110,0)),1)),U496)</f>
        <v>1</v>
      </c>
      <c r="AG496" s="16">
        <f>IF(AC496=0,IF(O496=4,INDEX(Acceleration!$T$4:$T$110,MATCH('Track Data'!S496,Acceleration!$K$4:$K$110,0)),IF('Track Data'!O496=3,INDEX(Acceleration!$S$4:$S$110,MATCH('Track Data'!S496,Acceleration!$K$4:$K$110,0)),'Track Data'!AF496)),'Track Data'!U496)</f>
        <v>1</v>
      </c>
      <c r="AH496" s="16">
        <f>IF(AC496=0,IF(O496=2,INDEX(Acceleration!$R$4:$R$110,MATCH('Track Data'!S496,Acceleration!$K$4:$K$110,0)),IF('Track Data'!O496=1,INDEX(Acceleration!$Q$4:$Q$110,MATCH('Track Data'!S496,Acceleration!$K$4:$K$110,0)),'Track Data'!AG496)),'Track Data'!U496)</f>
        <v>6.2873467937451366</v>
      </c>
    </row>
    <row r="497" spans="2:34" x14ac:dyDescent="0.25">
      <c r="B497" s="16">
        <v>211.22300000000001</v>
      </c>
      <c r="C497" s="16">
        <v>7767</v>
      </c>
      <c r="D497" s="16">
        <v>494</v>
      </c>
      <c r="E497" s="113">
        <v>121</v>
      </c>
      <c r="F497" s="113">
        <v>112.5</v>
      </c>
      <c r="G497" s="113">
        <v>104.9</v>
      </c>
      <c r="H497" s="113">
        <f t="shared" si="54"/>
        <v>29.138888888888889</v>
      </c>
      <c r="I497" s="113">
        <v>12.7</v>
      </c>
      <c r="J497" s="113">
        <v>32.049999999999997</v>
      </c>
      <c r="K497" s="113">
        <v>-30.3</v>
      </c>
      <c r="L497" s="183"/>
      <c r="M497" s="16">
        <v>494</v>
      </c>
      <c r="N497" s="16">
        <f t="shared" si="56"/>
        <v>3.0574200371758519E-2</v>
      </c>
      <c r="O497" s="16">
        <v>2</v>
      </c>
      <c r="P497" s="16">
        <f t="shared" si="52"/>
        <v>12.715447154471546</v>
      </c>
      <c r="Q497" s="16">
        <f t="shared" si="57"/>
        <v>32.707314920448518</v>
      </c>
      <c r="R497" s="113">
        <f t="shared" si="53"/>
        <v>373.41300000000001</v>
      </c>
      <c r="S497" s="16">
        <f>IF(S496=15800,15800,ROUND((((Q497*60)/'Gearing Calculator'!$C$14)*'Track Data'!P497),-2))</f>
        <v>12600</v>
      </c>
      <c r="T497" s="16">
        <f t="shared" si="55"/>
        <v>6.2873467937451366</v>
      </c>
      <c r="U497" s="16">
        <f>IF(AC497=100,Braking!$AG$2354,IF(AC497=50,Braking!$AG$1179,IF(AC497=75,Braking!$AG$1767,0)))</f>
        <v>0</v>
      </c>
      <c r="V497" s="16">
        <f>0.5*'Gearing Calculator'!$C$15*'Gearing Calculator'!$C$20*'Gearing Calculator'!$W$20*('Track Data'!Q497^2)</f>
        <v>113.22429267448291</v>
      </c>
      <c r="W497" s="16">
        <f>('Gearing Calculator'!$U$9*'Track Data'!T497)+'Track Data'!V497</f>
        <v>1786.9160091694382</v>
      </c>
      <c r="X497" s="16">
        <f>('Gearing Calculator'!$U$9*9.81)*('Gearing Calculator'!$U$16/'Gearing Calculator'!$C$7)-(('Track Data'!W497)*('Gearing Calculator'!$U$17/'Gearing Calculator'!$C$7))</f>
        <v>427.17103983758352</v>
      </c>
      <c r="Y497" s="16">
        <f>('Gearing Calculator'!$U$9*9.81)*(('Gearing Calculator'!$C$7-'Gearing Calculator'!$U$16)/'Gearing Calculator'!$C$7)+(('Track Data'!W497)*('Gearing Calculator'!$U$17/'Gearing Calculator'!$C$7))</f>
        <v>2184.2509601624165</v>
      </c>
      <c r="Z497" s="16">
        <f>((X497*COS('Gearing Calculator'!$C$21))/'Gearing Calculator'!$C$22)/2</f>
        <v>13.206777524884764</v>
      </c>
      <c r="AA497" s="16">
        <f>Y497/'Gearing Calculator'!$C$24</f>
        <v>30.49946948247559</v>
      </c>
      <c r="AB497" s="16">
        <f t="shared" si="51"/>
        <v>125.79898626197318</v>
      </c>
      <c r="AC497" s="16">
        <v>0</v>
      </c>
      <c r="AD497" s="16">
        <v>-50.419976243670298</v>
      </c>
      <c r="AE497" s="16">
        <v>494</v>
      </c>
      <c r="AF497" s="16">
        <f>IF(AC497=0,IF(O497=6,INDEX(Acceleration!$V$4:$V$110,MATCH('Track Data'!S497,Acceleration!$K$4:$K$110,0)),IF('Track Data'!O497=5,INDEX(Acceleration!$U$4:$U$110,MATCH('Track Data'!S497,Acceleration!$K$4:$K$110,0)),1)),U497)</f>
        <v>1</v>
      </c>
      <c r="AG497" s="16">
        <f>IF(AC497=0,IF(O497=4,INDEX(Acceleration!$T$4:$T$110,MATCH('Track Data'!S497,Acceleration!$K$4:$K$110,0)),IF('Track Data'!O497=3,INDEX(Acceleration!$S$4:$S$110,MATCH('Track Data'!S497,Acceleration!$K$4:$K$110,0)),'Track Data'!AF497)),'Track Data'!U497)</f>
        <v>1</v>
      </c>
      <c r="AH497" s="16">
        <f>IF(AC497=0,IF(O497=2,INDEX(Acceleration!$R$4:$R$110,MATCH('Track Data'!S497,Acceleration!$K$4:$K$110,0)),IF('Track Data'!O497=1,INDEX(Acceleration!$Q$4:$Q$110,MATCH('Track Data'!S497,Acceleration!$K$4:$K$110,0)),'Track Data'!AG497)),'Track Data'!U497)</f>
        <v>6.2873467937451366</v>
      </c>
    </row>
    <row r="498" spans="2:34" x14ac:dyDescent="0.25">
      <c r="B498" s="16">
        <v>211.256</v>
      </c>
      <c r="C498" s="16">
        <v>7768</v>
      </c>
      <c r="D498" s="16">
        <v>495</v>
      </c>
      <c r="E498" s="113">
        <v>121</v>
      </c>
      <c r="F498" s="113">
        <v>113</v>
      </c>
      <c r="G498" s="113">
        <v>105.4</v>
      </c>
      <c r="H498" s="113">
        <f t="shared" si="54"/>
        <v>29.277777777777779</v>
      </c>
      <c r="I498" s="113">
        <v>12.3</v>
      </c>
      <c r="J498" s="113">
        <v>30.38</v>
      </c>
      <c r="K498" s="113">
        <v>-44</v>
      </c>
      <c r="L498" s="183"/>
      <c r="M498" s="16">
        <v>495</v>
      </c>
      <c r="N498" s="16">
        <f t="shared" si="56"/>
        <v>3.0574200371758519E-2</v>
      </c>
      <c r="O498" s="16">
        <v>2</v>
      </c>
      <c r="P498" s="16">
        <f t="shared" si="52"/>
        <v>12.715447154471546</v>
      </c>
      <c r="Q498" s="16">
        <f t="shared" si="57"/>
        <v>32.707314920448518</v>
      </c>
      <c r="R498" s="113">
        <f t="shared" si="53"/>
        <v>373.41300000000001</v>
      </c>
      <c r="S498" s="16">
        <f>IF(S497=15800,15800,ROUND((((Q498*60)/'Gearing Calculator'!$C$14)*'Track Data'!P498),-2))</f>
        <v>12600</v>
      </c>
      <c r="T498" s="16">
        <f t="shared" si="55"/>
        <v>6.2873467937451366</v>
      </c>
      <c r="U498" s="16">
        <f>IF(AC498=100,Braking!$AG$2354,IF(AC498=50,Braking!$AG$1179,IF(AC498=75,Braking!$AG$1767,0)))</f>
        <v>0</v>
      </c>
      <c r="V498" s="16">
        <f>0.5*'Gearing Calculator'!$C$15*'Gearing Calculator'!$C$20*'Gearing Calculator'!$W$20*('Track Data'!Q498^2)</f>
        <v>113.22429267448291</v>
      </c>
      <c r="W498" s="16">
        <f>('Gearing Calculator'!$U$9*'Track Data'!T498)+'Track Data'!V498</f>
        <v>1786.9160091694382</v>
      </c>
      <c r="X498" s="16">
        <f>('Gearing Calculator'!$U$9*9.81)*('Gearing Calculator'!$U$16/'Gearing Calculator'!$C$7)-(('Track Data'!W498)*('Gearing Calculator'!$U$17/'Gearing Calculator'!$C$7))</f>
        <v>427.17103983758352</v>
      </c>
      <c r="Y498" s="16">
        <f>('Gearing Calculator'!$U$9*9.81)*(('Gearing Calculator'!$C$7-'Gearing Calculator'!$U$16)/'Gearing Calculator'!$C$7)+(('Track Data'!W498)*('Gearing Calculator'!$U$17/'Gearing Calculator'!$C$7))</f>
        <v>2184.2509601624165</v>
      </c>
      <c r="Z498" s="16">
        <f>((X498*COS('Gearing Calculator'!$C$21))/'Gearing Calculator'!$C$22)/2</f>
        <v>13.206777524884764</v>
      </c>
      <c r="AA498" s="16">
        <f>Y498/'Gearing Calculator'!$C$24</f>
        <v>30.49946948247559</v>
      </c>
      <c r="AB498" s="16">
        <f t="shared" si="51"/>
        <v>125.79898626197318</v>
      </c>
      <c r="AC498" s="16">
        <v>0</v>
      </c>
      <c r="AD498" s="16">
        <v>-50.419976243670298</v>
      </c>
      <c r="AE498" s="16">
        <v>495</v>
      </c>
      <c r="AF498" s="16">
        <f>IF(AC498=0,IF(O498=6,INDEX(Acceleration!$V$4:$V$110,MATCH('Track Data'!S498,Acceleration!$K$4:$K$110,0)),IF('Track Data'!O498=5,INDEX(Acceleration!$U$4:$U$110,MATCH('Track Data'!S498,Acceleration!$K$4:$K$110,0)),1)),U498)</f>
        <v>1</v>
      </c>
      <c r="AG498" s="16">
        <f>IF(AC498=0,IF(O498=4,INDEX(Acceleration!$T$4:$T$110,MATCH('Track Data'!S498,Acceleration!$K$4:$K$110,0)),IF('Track Data'!O498=3,INDEX(Acceleration!$S$4:$S$110,MATCH('Track Data'!S498,Acceleration!$K$4:$K$110,0)),'Track Data'!AF498)),'Track Data'!U498)</f>
        <v>1</v>
      </c>
      <c r="AH498" s="16">
        <f>IF(AC498=0,IF(O498=2,INDEX(Acceleration!$R$4:$R$110,MATCH('Track Data'!S498,Acceleration!$K$4:$K$110,0)),IF('Track Data'!O498=1,INDEX(Acceleration!$Q$4:$Q$110,MATCH('Track Data'!S498,Acceleration!$K$4:$K$110,0)),'Track Data'!AG498)),'Track Data'!U498)</f>
        <v>6.2873467937451366</v>
      </c>
    </row>
    <row r="499" spans="2:34" x14ac:dyDescent="0.25">
      <c r="B499" s="16">
        <v>211.28700000000001</v>
      </c>
      <c r="C499" s="16">
        <v>7769</v>
      </c>
      <c r="D499" s="16">
        <v>496</v>
      </c>
      <c r="E499" s="113">
        <v>121</v>
      </c>
      <c r="F499" s="113">
        <v>113.7</v>
      </c>
      <c r="G499" s="113">
        <v>106.1</v>
      </c>
      <c r="H499" s="113">
        <f t="shared" si="54"/>
        <v>29.472222222222221</v>
      </c>
      <c r="I499" s="113">
        <v>12</v>
      </c>
      <c r="J499" s="113">
        <v>28.5</v>
      </c>
      <c r="K499" s="113">
        <v>-55.8</v>
      </c>
      <c r="L499" s="183"/>
      <c r="M499" s="16">
        <v>496</v>
      </c>
      <c r="N499" s="16">
        <f t="shared" si="56"/>
        <v>3.0574200371758519E-2</v>
      </c>
      <c r="O499" s="16">
        <v>2</v>
      </c>
      <c r="P499" s="16">
        <f t="shared" si="52"/>
        <v>12.715447154471546</v>
      </c>
      <c r="Q499" s="16">
        <f t="shared" si="57"/>
        <v>32.707314920448518</v>
      </c>
      <c r="R499" s="113">
        <f t="shared" si="53"/>
        <v>373.41300000000001</v>
      </c>
      <c r="S499" s="16">
        <f>IF(S498=15800,15800,ROUND((((Q499*60)/'Gearing Calculator'!$C$14)*'Track Data'!P499),-2))</f>
        <v>12600</v>
      </c>
      <c r="T499" s="16">
        <f t="shared" si="55"/>
        <v>6.2873467937451366</v>
      </c>
      <c r="U499" s="16">
        <f>IF(AC499=100,Braking!$AG$2354,IF(AC499=50,Braking!$AG$1179,IF(AC499=75,Braking!$AG$1767,0)))</f>
        <v>0</v>
      </c>
      <c r="V499" s="16">
        <f>0.5*'Gearing Calculator'!$C$15*'Gearing Calculator'!$C$20*'Gearing Calculator'!$W$20*('Track Data'!Q499^2)</f>
        <v>113.22429267448291</v>
      </c>
      <c r="W499" s="16">
        <f>('Gearing Calculator'!$U$9*'Track Data'!T499)+'Track Data'!V499</f>
        <v>1786.9160091694382</v>
      </c>
      <c r="X499" s="16">
        <f>('Gearing Calculator'!$U$9*9.81)*('Gearing Calculator'!$U$16/'Gearing Calculator'!$C$7)-(('Track Data'!W499)*('Gearing Calculator'!$U$17/'Gearing Calculator'!$C$7))</f>
        <v>427.17103983758352</v>
      </c>
      <c r="Y499" s="16">
        <f>('Gearing Calculator'!$U$9*9.81)*(('Gearing Calculator'!$C$7-'Gearing Calculator'!$U$16)/'Gearing Calculator'!$C$7)+(('Track Data'!W499)*('Gearing Calculator'!$U$17/'Gearing Calculator'!$C$7))</f>
        <v>2184.2509601624165</v>
      </c>
      <c r="Z499" s="16">
        <f>((X499*COS('Gearing Calculator'!$C$21))/'Gearing Calculator'!$C$22)/2</f>
        <v>13.206777524884764</v>
      </c>
      <c r="AA499" s="16">
        <f>Y499/'Gearing Calculator'!$C$24</f>
        <v>30.49946948247559</v>
      </c>
      <c r="AB499" s="16">
        <f t="shared" si="51"/>
        <v>125.79898626197318</v>
      </c>
      <c r="AC499" s="16">
        <v>0</v>
      </c>
      <c r="AD499" s="16">
        <v>-50.419976243670298</v>
      </c>
      <c r="AE499" s="16">
        <v>496</v>
      </c>
      <c r="AF499" s="16">
        <f>IF(AC499=0,IF(O499=6,INDEX(Acceleration!$V$4:$V$110,MATCH('Track Data'!S499,Acceleration!$K$4:$K$110,0)),IF('Track Data'!O499=5,INDEX(Acceleration!$U$4:$U$110,MATCH('Track Data'!S499,Acceleration!$K$4:$K$110,0)),1)),U499)</f>
        <v>1</v>
      </c>
      <c r="AG499" s="16">
        <f>IF(AC499=0,IF(O499=4,INDEX(Acceleration!$T$4:$T$110,MATCH('Track Data'!S499,Acceleration!$K$4:$K$110,0)),IF('Track Data'!O499=3,INDEX(Acceleration!$S$4:$S$110,MATCH('Track Data'!S499,Acceleration!$K$4:$K$110,0)),'Track Data'!AF499)),'Track Data'!U499)</f>
        <v>1</v>
      </c>
      <c r="AH499" s="16">
        <f>IF(AC499=0,IF(O499=2,INDEX(Acceleration!$R$4:$R$110,MATCH('Track Data'!S499,Acceleration!$K$4:$K$110,0)),IF('Track Data'!O499=1,INDEX(Acceleration!$Q$4:$Q$110,MATCH('Track Data'!S499,Acceleration!$K$4:$K$110,0)),'Track Data'!AG499)),'Track Data'!U499)</f>
        <v>6.2873467937451366</v>
      </c>
    </row>
    <row r="500" spans="2:34" x14ac:dyDescent="0.25">
      <c r="B500" s="16">
        <v>211.31899999999999</v>
      </c>
      <c r="C500" s="16">
        <v>7770</v>
      </c>
      <c r="D500" s="16">
        <v>497</v>
      </c>
      <c r="E500" s="113">
        <v>123</v>
      </c>
      <c r="F500" s="113">
        <v>114.3</v>
      </c>
      <c r="G500" s="113">
        <v>106.7</v>
      </c>
      <c r="H500" s="113">
        <f t="shared" si="54"/>
        <v>29.638888888888889</v>
      </c>
      <c r="I500" s="113">
        <v>11.6</v>
      </c>
      <c r="J500" s="113">
        <v>29.09</v>
      </c>
      <c r="K500" s="113">
        <v>-55.2</v>
      </c>
      <c r="L500" s="183"/>
      <c r="M500" s="16">
        <v>497</v>
      </c>
      <c r="N500" s="16">
        <f t="shared" si="56"/>
        <v>3.0574200371758519E-2</v>
      </c>
      <c r="O500" s="16">
        <v>2</v>
      </c>
      <c r="P500" s="16">
        <f t="shared" si="52"/>
        <v>12.715447154471546</v>
      </c>
      <c r="Q500" s="16">
        <f t="shared" si="57"/>
        <v>32.707314920448518</v>
      </c>
      <c r="R500" s="113">
        <f t="shared" si="53"/>
        <v>373.41300000000001</v>
      </c>
      <c r="S500" s="16">
        <f>IF(S499=15800,15800,ROUND((((Q500*60)/'Gearing Calculator'!$C$14)*'Track Data'!P500),-2))</f>
        <v>12600</v>
      </c>
      <c r="T500" s="16">
        <f t="shared" si="55"/>
        <v>6.2873467937451366</v>
      </c>
      <c r="U500" s="16">
        <f>IF(AC500=100,Braking!$AG$2354,IF(AC500=50,Braking!$AG$1179,IF(AC500=75,Braking!$AG$1767,0)))</f>
        <v>0</v>
      </c>
      <c r="V500" s="16">
        <f>0.5*'Gearing Calculator'!$C$15*'Gearing Calculator'!$C$20*'Gearing Calculator'!$W$20*('Track Data'!Q500^2)</f>
        <v>113.22429267448291</v>
      </c>
      <c r="W500" s="16">
        <f>('Gearing Calculator'!$U$9*'Track Data'!T500)+'Track Data'!V500</f>
        <v>1786.9160091694382</v>
      </c>
      <c r="X500" s="16">
        <f>('Gearing Calculator'!$U$9*9.81)*('Gearing Calculator'!$U$16/'Gearing Calculator'!$C$7)-(('Track Data'!W500)*('Gearing Calculator'!$U$17/'Gearing Calculator'!$C$7))</f>
        <v>427.17103983758352</v>
      </c>
      <c r="Y500" s="16">
        <f>('Gearing Calculator'!$U$9*9.81)*(('Gearing Calculator'!$C$7-'Gearing Calculator'!$U$16)/'Gearing Calculator'!$C$7)+(('Track Data'!W500)*('Gearing Calculator'!$U$17/'Gearing Calculator'!$C$7))</f>
        <v>2184.2509601624165</v>
      </c>
      <c r="Z500" s="16">
        <f>((X500*COS('Gearing Calculator'!$C$21))/'Gearing Calculator'!$C$22)/2</f>
        <v>13.206777524884764</v>
      </c>
      <c r="AA500" s="16">
        <f>Y500/'Gearing Calculator'!$C$24</f>
        <v>30.49946948247559</v>
      </c>
      <c r="AB500" s="16">
        <f t="shared" si="51"/>
        <v>125.79898626197318</v>
      </c>
      <c r="AC500" s="16">
        <v>0</v>
      </c>
      <c r="AD500" s="16">
        <v>-50.419976243670298</v>
      </c>
      <c r="AE500" s="16">
        <v>497</v>
      </c>
      <c r="AF500" s="16">
        <f>IF(AC500=0,IF(O500=6,INDEX(Acceleration!$V$4:$V$110,MATCH('Track Data'!S500,Acceleration!$K$4:$K$110,0)),IF('Track Data'!O500=5,INDEX(Acceleration!$U$4:$U$110,MATCH('Track Data'!S500,Acceleration!$K$4:$K$110,0)),1)),U500)</f>
        <v>1</v>
      </c>
      <c r="AG500" s="16">
        <f>IF(AC500=0,IF(O500=4,INDEX(Acceleration!$T$4:$T$110,MATCH('Track Data'!S500,Acceleration!$K$4:$K$110,0)),IF('Track Data'!O500=3,INDEX(Acceleration!$S$4:$S$110,MATCH('Track Data'!S500,Acceleration!$K$4:$K$110,0)),'Track Data'!AF500)),'Track Data'!U500)</f>
        <v>1</v>
      </c>
      <c r="AH500" s="16">
        <f>IF(AC500=0,IF(O500=2,INDEX(Acceleration!$R$4:$R$110,MATCH('Track Data'!S500,Acceleration!$K$4:$K$110,0)),IF('Track Data'!O500=1,INDEX(Acceleration!$Q$4:$Q$110,MATCH('Track Data'!S500,Acceleration!$K$4:$K$110,0)),'Track Data'!AG500)),'Track Data'!U500)</f>
        <v>6.2873467937451366</v>
      </c>
    </row>
    <row r="501" spans="2:34" x14ac:dyDescent="0.25">
      <c r="B501" s="16">
        <v>211.35</v>
      </c>
      <c r="C501" s="16">
        <v>7771</v>
      </c>
      <c r="D501" s="16">
        <v>498</v>
      </c>
      <c r="E501" s="113">
        <v>123</v>
      </c>
      <c r="F501" s="113">
        <v>115</v>
      </c>
      <c r="G501" s="113">
        <v>107.6</v>
      </c>
      <c r="H501" s="113">
        <f t="shared" si="54"/>
        <v>29.888888888888886</v>
      </c>
      <c r="I501" s="113">
        <v>12</v>
      </c>
      <c r="J501" s="113">
        <v>29.44</v>
      </c>
      <c r="K501" s="113">
        <v>-54.3</v>
      </c>
      <c r="L501" s="183"/>
      <c r="M501" s="16">
        <v>498</v>
      </c>
      <c r="N501" s="16">
        <f t="shared" si="56"/>
        <v>3.0574200371758519E-2</v>
      </c>
      <c r="O501" s="16">
        <v>2</v>
      </c>
      <c r="P501" s="16">
        <f t="shared" si="52"/>
        <v>12.715447154471546</v>
      </c>
      <c r="Q501" s="16">
        <f t="shared" si="57"/>
        <v>32.707314920448518</v>
      </c>
      <c r="R501" s="113">
        <f t="shared" si="53"/>
        <v>373.41300000000001</v>
      </c>
      <c r="S501" s="16">
        <f>IF(S500=15800,15800,ROUND((((Q501*60)/'Gearing Calculator'!$C$14)*'Track Data'!P501),-2))</f>
        <v>12600</v>
      </c>
      <c r="T501" s="16">
        <f t="shared" si="55"/>
        <v>6.2873467937451366</v>
      </c>
      <c r="U501" s="16">
        <f>IF(AC501=100,Braking!$AG$2354,IF(AC501=50,Braking!$AG$1179,IF(AC501=75,Braking!$AG$1767,0)))</f>
        <v>0</v>
      </c>
      <c r="V501" s="16">
        <f>0.5*'Gearing Calculator'!$C$15*'Gearing Calculator'!$C$20*'Gearing Calculator'!$W$20*('Track Data'!Q501^2)</f>
        <v>113.22429267448291</v>
      </c>
      <c r="W501" s="16">
        <f>('Gearing Calculator'!$U$9*'Track Data'!T501)+'Track Data'!V501</f>
        <v>1786.9160091694382</v>
      </c>
      <c r="X501" s="16">
        <f>('Gearing Calculator'!$U$9*9.81)*('Gearing Calculator'!$U$16/'Gearing Calculator'!$C$7)-(('Track Data'!W501)*('Gearing Calculator'!$U$17/'Gearing Calculator'!$C$7))</f>
        <v>427.17103983758352</v>
      </c>
      <c r="Y501" s="16">
        <f>('Gearing Calculator'!$U$9*9.81)*(('Gearing Calculator'!$C$7-'Gearing Calculator'!$U$16)/'Gearing Calculator'!$C$7)+(('Track Data'!W501)*('Gearing Calculator'!$U$17/'Gearing Calculator'!$C$7))</f>
        <v>2184.2509601624165</v>
      </c>
      <c r="Z501" s="16">
        <f>((X501*COS('Gearing Calculator'!$C$21))/'Gearing Calculator'!$C$22)/2</f>
        <v>13.206777524884764</v>
      </c>
      <c r="AA501" s="16">
        <f>Y501/'Gearing Calculator'!$C$24</f>
        <v>30.49946948247559</v>
      </c>
      <c r="AB501" s="16">
        <f t="shared" si="51"/>
        <v>125.79898626197318</v>
      </c>
      <c r="AC501" s="16">
        <v>0</v>
      </c>
      <c r="AD501" s="16">
        <v>-50.419976243670298</v>
      </c>
      <c r="AE501" s="16">
        <v>498</v>
      </c>
      <c r="AF501" s="16">
        <f>IF(AC501=0,IF(O501=6,INDEX(Acceleration!$V$4:$V$110,MATCH('Track Data'!S501,Acceleration!$K$4:$K$110,0)),IF('Track Data'!O501=5,INDEX(Acceleration!$U$4:$U$110,MATCH('Track Data'!S501,Acceleration!$K$4:$K$110,0)),1)),U501)</f>
        <v>1</v>
      </c>
      <c r="AG501" s="16">
        <f>IF(AC501=0,IF(O501=4,INDEX(Acceleration!$T$4:$T$110,MATCH('Track Data'!S501,Acceleration!$K$4:$K$110,0)),IF('Track Data'!O501=3,INDEX(Acceleration!$S$4:$S$110,MATCH('Track Data'!S501,Acceleration!$K$4:$K$110,0)),'Track Data'!AF501)),'Track Data'!U501)</f>
        <v>1</v>
      </c>
      <c r="AH501" s="16">
        <f>IF(AC501=0,IF(O501=2,INDEX(Acceleration!$R$4:$R$110,MATCH('Track Data'!S501,Acceleration!$K$4:$K$110,0)),IF('Track Data'!O501=1,INDEX(Acceleration!$Q$4:$Q$110,MATCH('Track Data'!S501,Acceleration!$K$4:$K$110,0)),'Track Data'!AG501)),'Track Data'!U501)</f>
        <v>6.2873467937451366</v>
      </c>
    </row>
    <row r="502" spans="2:34" x14ac:dyDescent="0.25">
      <c r="B502" s="16">
        <v>211.381</v>
      </c>
      <c r="C502" s="16">
        <v>7772</v>
      </c>
      <c r="D502" s="16">
        <v>499</v>
      </c>
      <c r="E502" s="113">
        <v>123</v>
      </c>
      <c r="F502" s="113">
        <v>115.5</v>
      </c>
      <c r="G502" s="113">
        <v>108.2</v>
      </c>
      <c r="H502" s="113">
        <f t="shared" si="54"/>
        <v>30.055555555555557</v>
      </c>
      <c r="I502" s="113">
        <v>13.6</v>
      </c>
      <c r="J502" s="113">
        <v>26.57</v>
      </c>
      <c r="K502" s="113">
        <v>-54.2</v>
      </c>
      <c r="L502" s="183"/>
      <c r="M502" s="16">
        <v>499</v>
      </c>
      <c r="N502" s="16">
        <f t="shared" si="56"/>
        <v>3.0574200371758519E-2</v>
      </c>
      <c r="O502" s="16">
        <v>2</v>
      </c>
      <c r="P502" s="16">
        <f t="shared" si="52"/>
        <v>12.715447154471546</v>
      </c>
      <c r="Q502" s="16">
        <f t="shared" si="57"/>
        <v>32.707314920448518</v>
      </c>
      <c r="R502" s="113">
        <f t="shared" si="53"/>
        <v>373.41300000000001</v>
      </c>
      <c r="S502" s="16">
        <f>IF(S501=15800,15800,ROUND((((Q502*60)/'Gearing Calculator'!$C$14)*'Track Data'!P502),-2))</f>
        <v>12600</v>
      </c>
      <c r="T502" s="16">
        <f t="shared" si="55"/>
        <v>6.2873467937451366</v>
      </c>
      <c r="U502" s="16">
        <f>IF(AC502=100,Braking!$AG$2354,IF(AC502=50,Braking!$AG$1179,IF(AC502=75,Braking!$AG$1767,0)))</f>
        <v>0</v>
      </c>
      <c r="V502" s="16">
        <f>0.5*'Gearing Calculator'!$C$15*'Gearing Calculator'!$C$20*'Gearing Calculator'!$W$20*('Track Data'!Q502^2)</f>
        <v>113.22429267448291</v>
      </c>
      <c r="W502" s="16">
        <f>('Gearing Calculator'!$U$9*'Track Data'!T502)+'Track Data'!V502</f>
        <v>1786.9160091694382</v>
      </c>
      <c r="X502" s="16">
        <f>('Gearing Calculator'!$U$9*9.81)*('Gearing Calculator'!$U$16/'Gearing Calculator'!$C$7)-(('Track Data'!W502)*('Gearing Calculator'!$U$17/'Gearing Calculator'!$C$7))</f>
        <v>427.17103983758352</v>
      </c>
      <c r="Y502" s="16">
        <f>('Gearing Calculator'!$U$9*9.81)*(('Gearing Calculator'!$C$7-'Gearing Calculator'!$U$16)/'Gearing Calculator'!$C$7)+(('Track Data'!W502)*('Gearing Calculator'!$U$17/'Gearing Calculator'!$C$7))</f>
        <v>2184.2509601624165</v>
      </c>
      <c r="Z502" s="16">
        <f>((X502*COS('Gearing Calculator'!$C$21))/'Gearing Calculator'!$C$22)/2</f>
        <v>13.206777524884764</v>
      </c>
      <c r="AA502" s="16">
        <f>Y502/'Gearing Calculator'!$C$24</f>
        <v>30.49946948247559</v>
      </c>
      <c r="AB502" s="16">
        <f t="shared" ref="AB502:AB565" si="58">(T502*O502)+V502</f>
        <v>125.79898626197318</v>
      </c>
      <c r="AC502" s="16">
        <v>0</v>
      </c>
      <c r="AD502" s="16">
        <v>-50.419976243670298</v>
      </c>
      <c r="AE502" s="16">
        <v>499</v>
      </c>
      <c r="AF502" s="16">
        <f>IF(AC502=0,IF(O502=6,INDEX(Acceleration!$V$4:$V$110,MATCH('Track Data'!S502,Acceleration!$K$4:$K$110,0)),IF('Track Data'!O502=5,INDEX(Acceleration!$U$4:$U$110,MATCH('Track Data'!S502,Acceleration!$K$4:$K$110,0)),1)),U502)</f>
        <v>1</v>
      </c>
      <c r="AG502" s="16">
        <f>IF(AC502=0,IF(O502=4,INDEX(Acceleration!$T$4:$T$110,MATCH('Track Data'!S502,Acceleration!$K$4:$K$110,0)),IF('Track Data'!O502=3,INDEX(Acceleration!$S$4:$S$110,MATCH('Track Data'!S502,Acceleration!$K$4:$K$110,0)),'Track Data'!AF502)),'Track Data'!U502)</f>
        <v>1</v>
      </c>
      <c r="AH502" s="16">
        <f>IF(AC502=0,IF(O502=2,INDEX(Acceleration!$R$4:$R$110,MATCH('Track Data'!S502,Acceleration!$K$4:$K$110,0)),IF('Track Data'!O502=1,INDEX(Acceleration!$Q$4:$Q$110,MATCH('Track Data'!S502,Acceleration!$K$4:$K$110,0)),'Track Data'!AG502)),'Track Data'!U502)</f>
        <v>6.2873467937451366</v>
      </c>
    </row>
    <row r="503" spans="2:34" x14ac:dyDescent="0.25">
      <c r="B503" s="16">
        <v>211.41200000000001</v>
      </c>
      <c r="C503" s="16">
        <v>7773</v>
      </c>
      <c r="D503" s="16">
        <v>500</v>
      </c>
      <c r="E503" s="113">
        <v>124</v>
      </c>
      <c r="F503" s="113">
        <v>116</v>
      </c>
      <c r="G503" s="113">
        <v>108.9</v>
      </c>
      <c r="H503" s="113">
        <f t="shared" si="54"/>
        <v>30.25</v>
      </c>
      <c r="I503" s="113">
        <v>14.6</v>
      </c>
      <c r="J503" s="113">
        <v>26.6</v>
      </c>
      <c r="K503" s="113">
        <v>-54.2</v>
      </c>
      <c r="L503" s="183"/>
      <c r="M503" s="16">
        <v>500</v>
      </c>
      <c r="N503" s="16">
        <f t="shared" si="56"/>
        <v>3.0574200371758519E-2</v>
      </c>
      <c r="O503" s="16">
        <v>2</v>
      </c>
      <c r="P503" s="16">
        <f t="shared" si="52"/>
        <v>12.715447154471546</v>
      </c>
      <c r="Q503" s="16">
        <f t="shared" si="57"/>
        <v>32.707314920448518</v>
      </c>
      <c r="R503" s="113">
        <f t="shared" si="53"/>
        <v>373.41300000000001</v>
      </c>
      <c r="S503" s="16">
        <f>IF(S502=15800,15800,ROUND((((Q503*60)/'Gearing Calculator'!$C$14)*'Track Data'!P503),-2))</f>
        <v>12600</v>
      </c>
      <c r="T503" s="16">
        <f t="shared" si="55"/>
        <v>6.2873467937451366</v>
      </c>
      <c r="U503" s="16">
        <f>IF(AC503=100,Braking!$AG$2354,IF(AC503=50,Braking!$AG$1179,IF(AC503=75,Braking!$AG$1767,0)))</f>
        <v>0</v>
      </c>
      <c r="V503" s="16">
        <f>0.5*'Gearing Calculator'!$C$15*'Gearing Calculator'!$C$20*'Gearing Calculator'!$W$20*('Track Data'!Q503^2)</f>
        <v>113.22429267448291</v>
      </c>
      <c r="W503" s="16">
        <f>('Gearing Calculator'!$U$9*'Track Data'!T503)+'Track Data'!V503</f>
        <v>1786.9160091694382</v>
      </c>
      <c r="X503" s="16">
        <f>('Gearing Calculator'!$U$9*9.81)*('Gearing Calculator'!$U$16/'Gearing Calculator'!$C$7)-(('Track Data'!W503)*('Gearing Calculator'!$U$17/'Gearing Calculator'!$C$7))</f>
        <v>427.17103983758352</v>
      </c>
      <c r="Y503" s="16">
        <f>('Gearing Calculator'!$U$9*9.81)*(('Gearing Calculator'!$C$7-'Gearing Calculator'!$U$16)/'Gearing Calculator'!$C$7)+(('Track Data'!W503)*('Gearing Calculator'!$U$17/'Gearing Calculator'!$C$7))</f>
        <v>2184.2509601624165</v>
      </c>
      <c r="Z503" s="16">
        <f>((X503*COS('Gearing Calculator'!$C$21))/'Gearing Calculator'!$C$22)/2</f>
        <v>13.206777524884764</v>
      </c>
      <c r="AA503" s="16">
        <f>Y503/'Gearing Calculator'!$C$24</f>
        <v>30.49946948247559</v>
      </c>
      <c r="AB503" s="16">
        <f t="shared" si="58"/>
        <v>125.79898626197318</v>
      </c>
      <c r="AC503" s="16">
        <v>0</v>
      </c>
      <c r="AD503" s="16">
        <v>-50.419976243670298</v>
      </c>
      <c r="AE503" s="16">
        <v>500</v>
      </c>
      <c r="AF503" s="16">
        <f>IF(AC503=0,IF(O503=6,INDEX(Acceleration!$V$4:$V$110,MATCH('Track Data'!S503,Acceleration!$K$4:$K$110,0)),IF('Track Data'!O503=5,INDEX(Acceleration!$U$4:$U$110,MATCH('Track Data'!S503,Acceleration!$K$4:$K$110,0)),1)),U503)</f>
        <v>1</v>
      </c>
      <c r="AG503" s="16">
        <f>IF(AC503=0,IF(O503=4,INDEX(Acceleration!$T$4:$T$110,MATCH('Track Data'!S503,Acceleration!$K$4:$K$110,0)),IF('Track Data'!O503=3,INDEX(Acceleration!$S$4:$S$110,MATCH('Track Data'!S503,Acceleration!$K$4:$K$110,0)),'Track Data'!AF503)),'Track Data'!U503)</f>
        <v>1</v>
      </c>
      <c r="AH503" s="16">
        <f>IF(AC503=0,IF(O503=2,INDEX(Acceleration!$R$4:$R$110,MATCH('Track Data'!S503,Acceleration!$K$4:$K$110,0)),IF('Track Data'!O503=1,INDEX(Acceleration!$Q$4:$Q$110,MATCH('Track Data'!S503,Acceleration!$K$4:$K$110,0)),'Track Data'!AG503)),'Track Data'!U503)</f>
        <v>6.2873467937451366</v>
      </c>
    </row>
    <row r="504" spans="2:34" x14ac:dyDescent="0.25">
      <c r="B504" s="16">
        <v>211.44399999999999</v>
      </c>
      <c r="C504" s="16">
        <v>7774</v>
      </c>
      <c r="D504" s="16">
        <v>501</v>
      </c>
      <c r="E504" s="113">
        <v>125</v>
      </c>
      <c r="F504" s="113">
        <v>116.4</v>
      </c>
      <c r="G504" s="113">
        <v>109.5</v>
      </c>
      <c r="H504" s="113">
        <f t="shared" si="54"/>
        <v>30.416666666666664</v>
      </c>
      <c r="I504" s="113">
        <v>14.3</v>
      </c>
      <c r="J504" s="113">
        <v>26.55</v>
      </c>
      <c r="K504" s="113">
        <v>-54.1</v>
      </c>
      <c r="L504" s="183"/>
      <c r="M504" s="16">
        <v>501</v>
      </c>
      <c r="N504" s="16">
        <f t="shared" si="56"/>
        <v>3.0574200371758519E-2</v>
      </c>
      <c r="O504" s="16">
        <v>2</v>
      </c>
      <c r="P504" s="16">
        <f t="shared" si="52"/>
        <v>12.715447154471546</v>
      </c>
      <c r="Q504" s="16">
        <f t="shared" si="57"/>
        <v>32.707314920448518</v>
      </c>
      <c r="R504" s="113">
        <f t="shared" si="53"/>
        <v>373.41300000000001</v>
      </c>
      <c r="S504" s="16">
        <f>IF(S503=15800,15800,ROUND((((Q504*60)/'Gearing Calculator'!$C$14)*'Track Data'!P504),-2))</f>
        <v>12600</v>
      </c>
      <c r="T504" s="16">
        <f t="shared" si="55"/>
        <v>6.2873467937451366</v>
      </c>
      <c r="U504" s="16">
        <f>IF(AC504=100,Braking!$AG$2354,IF(AC504=50,Braking!$AG$1179,IF(AC504=75,Braking!$AG$1767,0)))</f>
        <v>0</v>
      </c>
      <c r="V504" s="16">
        <f>0.5*'Gearing Calculator'!$C$15*'Gearing Calculator'!$C$20*'Gearing Calculator'!$W$20*('Track Data'!Q504^2)</f>
        <v>113.22429267448291</v>
      </c>
      <c r="W504" s="16">
        <f>('Gearing Calculator'!$U$9*'Track Data'!T504)+'Track Data'!V504</f>
        <v>1786.9160091694382</v>
      </c>
      <c r="X504" s="16">
        <f>('Gearing Calculator'!$U$9*9.81)*('Gearing Calculator'!$U$16/'Gearing Calculator'!$C$7)-(('Track Data'!W504)*('Gearing Calculator'!$U$17/'Gearing Calculator'!$C$7))</f>
        <v>427.17103983758352</v>
      </c>
      <c r="Y504" s="16">
        <f>('Gearing Calculator'!$U$9*9.81)*(('Gearing Calculator'!$C$7-'Gearing Calculator'!$U$16)/'Gearing Calculator'!$C$7)+(('Track Data'!W504)*('Gearing Calculator'!$U$17/'Gearing Calculator'!$C$7))</f>
        <v>2184.2509601624165</v>
      </c>
      <c r="Z504" s="16">
        <f>((X504*COS('Gearing Calculator'!$C$21))/'Gearing Calculator'!$C$22)/2</f>
        <v>13.206777524884764</v>
      </c>
      <c r="AA504" s="16">
        <f>Y504/'Gearing Calculator'!$C$24</f>
        <v>30.49946948247559</v>
      </c>
      <c r="AB504" s="16">
        <f t="shared" si="58"/>
        <v>125.79898626197318</v>
      </c>
      <c r="AC504" s="16">
        <v>0</v>
      </c>
      <c r="AD504" s="16">
        <v>-50.419976243670298</v>
      </c>
      <c r="AE504" s="16">
        <v>501</v>
      </c>
      <c r="AF504" s="16">
        <f>IF(AC504=0,IF(O504=6,INDEX(Acceleration!$V$4:$V$110,MATCH('Track Data'!S504,Acceleration!$K$4:$K$110,0)),IF('Track Data'!O504=5,INDEX(Acceleration!$U$4:$U$110,MATCH('Track Data'!S504,Acceleration!$K$4:$K$110,0)),1)),U504)</f>
        <v>1</v>
      </c>
      <c r="AG504" s="16">
        <f>IF(AC504=0,IF(O504=4,INDEX(Acceleration!$T$4:$T$110,MATCH('Track Data'!S504,Acceleration!$K$4:$K$110,0)),IF('Track Data'!O504=3,INDEX(Acceleration!$S$4:$S$110,MATCH('Track Data'!S504,Acceleration!$K$4:$K$110,0)),'Track Data'!AF504)),'Track Data'!U504)</f>
        <v>1</v>
      </c>
      <c r="AH504" s="16">
        <f>IF(AC504=0,IF(O504=2,INDEX(Acceleration!$R$4:$R$110,MATCH('Track Data'!S504,Acceleration!$K$4:$K$110,0)),IF('Track Data'!O504=1,INDEX(Acceleration!$Q$4:$Q$110,MATCH('Track Data'!S504,Acceleration!$K$4:$K$110,0)),'Track Data'!AG504)),'Track Data'!U504)</f>
        <v>6.2873467937451366</v>
      </c>
    </row>
    <row r="505" spans="2:34" x14ac:dyDescent="0.25">
      <c r="B505" s="16">
        <v>211.47399999999999</v>
      </c>
      <c r="C505" s="16">
        <v>7775</v>
      </c>
      <c r="D505" s="16">
        <v>502</v>
      </c>
      <c r="E505" s="113">
        <v>126</v>
      </c>
      <c r="F505" s="113">
        <v>117</v>
      </c>
      <c r="G505" s="113">
        <v>110.2</v>
      </c>
      <c r="H505" s="113">
        <f t="shared" si="54"/>
        <v>30.611111111111111</v>
      </c>
      <c r="I505" s="113">
        <v>13.9</v>
      </c>
      <c r="J505" s="113">
        <v>24.6</v>
      </c>
      <c r="K505" s="113">
        <v>-53.5</v>
      </c>
      <c r="L505" s="183"/>
      <c r="M505" s="16">
        <v>502</v>
      </c>
      <c r="N505" s="16">
        <f t="shared" si="56"/>
        <v>3.0574200371758519E-2</v>
      </c>
      <c r="O505" s="16">
        <v>2</v>
      </c>
      <c r="P505" s="16">
        <f t="shared" si="52"/>
        <v>12.715447154471546</v>
      </c>
      <c r="Q505" s="16">
        <f t="shared" si="57"/>
        <v>32.707314920448518</v>
      </c>
      <c r="R505" s="113">
        <f t="shared" si="53"/>
        <v>373.41300000000001</v>
      </c>
      <c r="S505" s="16">
        <f>IF(S504=15800,15800,ROUND((((Q505*60)/'Gearing Calculator'!$C$14)*'Track Data'!P505),-2))</f>
        <v>12600</v>
      </c>
      <c r="T505" s="16">
        <f t="shared" si="55"/>
        <v>6.2873467937451366</v>
      </c>
      <c r="U505" s="16">
        <f>IF(AC505=100,Braking!$AG$2354,IF(AC505=50,Braking!$AG$1179,IF(AC505=75,Braking!$AG$1767,0)))</f>
        <v>0</v>
      </c>
      <c r="V505" s="16">
        <f>0.5*'Gearing Calculator'!$C$15*'Gearing Calculator'!$C$20*'Gearing Calculator'!$W$20*('Track Data'!Q505^2)</f>
        <v>113.22429267448291</v>
      </c>
      <c r="W505" s="16">
        <f>('Gearing Calculator'!$U$9*'Track Data'!T505)+'Track Data'!V505</f>
        <v>1786.9160091694382</v>
      </c>
      <c r="X505" s="16">
        <f>('Gearing Calculator'!$U$9*9.81)*('Gearing Calculator'!$U$16/'Gearing Calculator'!$C$7)-(('Track Data'!W505)*('Gearing Calculator'!$U$17/'Gearing Calculator'!$C$7))</f>
        <v>427.17103983758352</v>
      </c>
      <c r="Y505" s="16">
        <f>('Gearing Calculator'!$U$9*9.81)*(('Gearing Calculator'!$C$7-'Gearing Calculator'!$U$16)/'Gearing Calculator'!$C$7)+(('Track Data'!W505)*('Gearing Calculator'!$U$17/'Gearing Calculator'!$C$7))</f>
        <v>2184.2509601624165</v>
      </c>
      <c r="Z505" s="16">
        <f>((X505*COS('Gearing Calculator'!$C$21))/'Gearing Calculator'!$C$22)/2</f>
        <v>13.206777524884764</v>
      </c>
      <c r="AA505" s="16">
        <f>Y505/'Gearing Calculator'!$C$24</f>
        <v>30.49946948247559</v>
      </c>
      <c r="AB505" s="16">
        <f t="shared" si="58"/>
        <v>125.79898626197318</v>
      </c>
      <c r="AC505" s="16">
        <v>0</v>
      </c>
      <c r="AD505" s="16">
        <v>-50.419976243670298</v>
      </c>
      <c r="AE505" s="16">
        <v>502</v>
      </c>
      <c r="AF505" s="16">
        <f>IF(AC505=0,IF(O505=6,INDEX(Acceleration!$V$4:$V$110,MATCH('Track Data'!S505,Acceleration!$K$4:$K$110,0)),IF('Track Data'!O505=5,INDEX(Acceleration!$U$4:$U$110,MATCH('Track Data'!S505,Acceleration!$K$4:$K$110,0)),1)),U505)</f>
        <v>1</v>
      </c>
      <c r="AG505" s="16">
        <f>IF(AC505=0,IF(O505=4,INDEX(Acceleration!$T$4:$T$110,MATCH('Track Data'!S505,Acceleration!$K$4:$K$110,0)),IF('Track Data'!O505=3,INDEX(Acceleration!$S$4:$S$110,MATCH('Track Data'!S505,Acceleration!$K$4:$K$110,0)),'Track Data'!AF505)),'Track Data'!U505)</f>
        <v>1</v>
      </c>
      <c r="AH505" s="16">
        <f>IF(AC505=0,IF(O505=2,INDEX(Acceleration!$R$4:$R$110,MATCH('Track Data'!S505,Acceleration!$K$4:$K$110,0)),IF('Track Data'!O505=1,INDEX(Acceleration!$Q$4:$Q$110,MATCH('Track Data'!S505,Acceleration!$K$4:$K$110,0)),'Track Data'!AG505)),'Track Data'!U505)</f>
        <v>6.2873467937451366</v>
      </c>
    </row>
    <row r="506" spans="2:34" x14ac:dyDescent="0.25">
      <c r="B506" s="16">
        <v>211.505</v>
      </c>
      <c r="C506" s="16">
        <v>7776</v>
      </c>
      <c r="D506" s="16">
        <v>503</v>
      </c>
      <c r="E506" s="113">
        <v>127</v>
      </c>
      <c r="F506" s="113">
        <v>117.8</v>
      </c>
      <c r="G506" s="113">
        <v>110.9</v>
      </c>
      <c r="H506" s="113">
        <f t="shared" si="54"/>
        <v>30.805555555555557</v>
      </c>
      <c r="I506" s="113">
        <v>13.3</v>
      </c>
      <c r="J506" s="113">
        <v>25.04</v>
      </c>
      <c r="K506" s="113">
        <v>-52.9</v>
      </c>
      <c r="L506" s="183"/>
      <c r="M506" s="16">
        <v>503</v>
      </c>
      <c r="N506" s="16">
        <f t="shared" si="56"/>
        <v>3.0574200371758519E-2</v>
      </c>
      <c r="O506" s="16">
        <v>2</v>
      </c>
      <c r="P506" s="16">
        <f t="shared" si="52"/>
        <v>12.715447154471546</v>
      </c>
      <c r="Q506" s="16">
        <f t="shared" si="57"/>
        <v>32.707314920448518</v>
      </c>
      <c r="R506" s="113">
        <f t="shared" si="53"/>
        <v>373.41300000000001</v>
      </c>
      <c r="S506" s="16">
        <f>IF(S505=15800,15800,ROUND((((Q506*60)/'Gearing Calculator'!$C$14)*'Track Data'!P506),-2))</f>
        <v>12600</v>
      </c>
      <c r="T506" s="16">
        <f t="shared" si="55"/>
        <v>6.2873467937451366</v>
      </c>
      <c r="U506" s="16">
        <f>IF(AC506=100,Braking!$AG$2354,IF(AC506=50,Braking!$AG$1179,IF(AC506=75,Braking!$AG$1767,0)))</f>
        <v>0</v>
      </c>
      <c r="V506" s="16">
        <f>0.5*'Gearing Calculator'!$C$15*'Gearing Calculator'!$C$20*'Gearing Calculator'!$W$20*('Track Data'!Q506^2)</f>
        <v>113.22429267448291</v>
      </c>
      <c r="W506" s="16">
        <f>('Gearing Calculator'!$U$9*'Track Data'!T506)+'Track Data'!V506</f>
        <v>1786.9160091694382</v>
      </c>
      <c r="X506" s="16">
        <f>('Gearing Calculator'!$U$9*9.81)*('Gearing Calculator'!$U$16/'Gearing Calculator'!$C$7)-(('Track Data'!W506)*('Gearing Calculator'!$U$17/'Gearing Calculator'!$C$7))</f>
        <v>427.17103983758352</v>
      </c>
      <c r="Y506" s="16">
        <f>('Gearing Calculator'!$U$9*9.81)*(('Gearing Calculator'!$C$7-'Gearing Calculator'!$U$16)/'Gearing Calculator'!$C$7)+(('Track Data'!W506)*('Gearing Calculator'!$U$17/'Gearing Calculator'!$C$7))</f>
        <v>2184.2509601624165</v>
      </c>
      <c r="Z506" s="16">
        <f>((X506*COS('Gearing Calculator'!$C$21))/'Gearing Calculator'!$C$22)/2</f>
        <v>13.206777524884764</v>
      </c>
      <c r="AA506" s="16">
        <f>Y506/'Gearing Calculator'!$C$24</f>
        <v>30.49946948247559</v>
      </c>
      <c r="AB506" s="16">
        <f t="shared" si="58"/>
        <v>125.79898626197318</v>
      </c>
      <c r="AC506" s="16">
        <v>0</v>
      </c>
      <c r="AD506" s="16">
        <v>-50.419976243670298</v>
      </c>
      <c r="AE506" s="16">
        <v>503</v>
      </c>
      <c r="AF506" s="16">
        <f>IF(AC506=0,IF(O506=6,INDEX(Acceleration!$V$4:$V$110,MATCH('Track Data'!S506,Acceleration!$K$4:$K$110,0)),IF('Track Data'!O506=5,INDEX(Acceleration!$U$4:$U$110,MATCH('Track Data'!S506,Acceleration!$K$4:$K$110,0)),1)),U506)</f>
        <v>1</v>
      </c>
      <c r="AG506" s="16">
        <f>IF(AC506=0,IF(O506=4,INDEX(Acceleration!$T$4:$T$110,MATCH('Track Data'!S506,Acceleration!$K$4:$K$110,0)),IF('Track Data'!O506=3,INDEX(Acceleration!$S$4:$S$110,MATCH('Track Data'!S506,Acceleration!$K$4:$K$110,0)),'Track Data'!AF506)),'Track Data'!U506)</f>
        <v>1</v>
      </c>
      <c r="AH506" s="16">
        <f>IF(AC506=0,IF(O506=2,INDEX(Acceleration!$R$4:$R$110,MATCH('Track Data'!S506,Acceleration!$K$4:$K$110,0)),IF('Track Data'!O506=1,INDEX(Acceleration!$Q$4:$Q$110,MATCH('Track Data'!S506,Acceleration!$K$4:$K$110,0)),'Track Data'!AG506)),'Track Data'!U506)</f>
        <v>6.2873467937451366</v>
      </c>
    </row>
    <row r="507" spans="2:34" x14ac:dyDescent="0.25">
      <c r="B507" s="16">
        <v>211.536</v>
      </c>
      <c r="C507" s="16">
        <v>7777</v>
      </c>
      <c r="D507" s="16">
        <v>504</v>
      </c>
      <c r="E507" s="113">
        <v>127</v>
      </c>
      <c r="F507" s="113">
        <v>118.4</v>
      </c>
      <c r="G507" s="113">
        <v>111.6</v>
      </c>
      <c r="H507" s="113">
        <f t="shared" si="54"/>
        <v>30.999999999999996</v>
      </c>
      <c r="I507" s="113">
        <v>12.8</v>
      </c>
      <c r="J507" s="113">
        <v>25.01</v>
      </c>
      <c r="K507" s="113">
        <v>-51.9</v>
      </c>
      <c r="L507" s="183"/>
      <c r="M507" s="16">
        <v>504</v>
      </c>
      <c r="N507" s="16">
        <f t="shared" si="56"/>
        <v>3.0574200371758519E-2</v>
      </c>
      <c r="O507" s="16">
        <v>2</v>
      </c>
      <c r="P507" s="16">
        <f t="shared" si="52"/>
        <v>12.715447154471546</v>
      </c>
      <c r="Q507" s="16">
        <f t="shared" si="57"/>
        <v>32.707314920448518</v>
      </c>
      <c r="R507" s="113">
        <f t="shared" si="53"/>
        <v>373.41300000000001</v>
      </c>
      <c r="S507" s="16">
        <f>IF(S506=15800,15800,ROUND((((Q507*60)/'Gearing Calculator'!$C$14)*'Track Data'!P507),-2))</f>
        <v>12600</v>
      </c>
      <c r="T507" s="16">
        <f t="shared" si="55"/>
        <v>6.2873467937451366</v>
      </c>
      <c r="U507" s="16">
        <f>IF(AC507=100,Braking!$AG$2354,IF(AC507=50,Braking!$AG$1179,IF(AC507=75,Braking!$AG$1767,0)))</f>
        <v>0</v>
      </c>
      <c r="V507" s="16">
        <f>0.5*'Gearing Calculator'!$C$15*'Gearing Calculator'!$C$20*'Gearing Calculator'!$W$20*('Track Data'!Q507^2)</f>
        <v>113.22429267448291</v>
      </c>
      <c r="W507" s="16">
        <f>('Gearing Calculator'!$U$9*'Track Data'!T507)+'Track Data'!V507</f>
        <v>1786.9160091694382</v>
      </c>
      <c r="X507" s="16">
        <f>('Gearing Calculator'!$U$9*9.81)*('Gearing Calculator'!$U$16/'Gearing Calculator'!$C$7)-(('Track Data'!W507)*('Gearing Calculator'!$U$17/'Gearing Calculator'!$C$7))</f>
        <v>427.17103983758352</v>
      </c>
      <c r="Y507" s="16">
        <f>('Gearing Calculator'!$U$9*9.81)*(('Gearing Calculator'!$C$7-'Gearing Calculator'!$U$16)/'Gearing Calculator'!$C$7)+(('Track Data'!W507)*('Gearing Calculator'!$U$17/'Gearing Calculator'!$C$7))</f>
        <v>2184.2509601624165</v>
      </c>
      <c r="Z507" s="16">
        <f>((X507*COS('Gearing Calculator'!$C$21))/'Gearing Calculator'!$C$22)/2</f>
        <v>13.206777524884764</v>
      </c>
      <c r="AA507" s="16">
        <f>Y507/'Gearing Calculator'!$C$24</f>
        <v>30.49946948247559</v>
      </c>
      <c r="AB507" s="16">
        <f t="shared" si="58"/>
        <v>125.79898626197318</v>
      </c>
      <c r="AC507" s="16">
        <v>0</v>
      </c>
      <c r="AD507" s="16">
        <v>-50.419976243670298</v>
      </c>
      <c r="AE507" s="16">
        <v>504</v>
      </c>
      <c r="AF507" s="16">
        <f>IF(AC507=0,IF(O507=6,INDEX(Acceleration!$V$4:$V$110,MATCH('Track Data'!S507,Acceleration!$K$4:$K$110,0)),IF('Track Data'!O507=5,INDEX(Acceleration!$U$4:$U$110,MATCH('Track Data'!S507,Acceleration!$K$4:$K$110,0)),1)),U507)</f>
        <v>1</v>
      </c>
      <c r="AG507" s="16">
        <f>IF(AC507=0,IF(O507=4,INDEX(Acceleration!$T$4:$T$110,MATCH('Track Data'!S507,Acceleration!$K$4:$K$110,0)),IF('Track Data'!O507=3,INDEX(Acceleration!$S$4:$S$110,MATCH('Track Data'!S507,Acceleration!$K$4:$K$110,0)),'Track Data'!AF507)),'Track Data'!U507)</f>
        <v>1</v>
      </c>
      <c r="AH507" s="16">
        <f>IF(AC507=0,IF(O507=2,INDEX(Acceleration!$R$4:$R$110,MATCH('Track Data'!S507,Acceleration!$K$4:$K$110,0)),IF('Track Data'!O507=1,INDEX(Acceleration!$Q$4:$Q$110,MATCH('Track Data'!S507,Acceleration!$K$4:$K$110,0)),'Track Data'!AG507)),'Track Data'!U507)</f>
        <v>6.2873467937451366</v>
      </c>
    </row>
    <row r="508" spans="2:34" x14ac:dyDescent="0.25">
      <c r="B508" s="16">
        <v>211.566</v>
      </c>
      <c r="C508" s="16">
        <v>7778</v>
      </c>
      <c r="D508" s="16">
        <v>505</v>
      </c>
      <c r="E508" s="113">
        <v>127</v>
      </c>
      <c r="F508" s="113">
        <v>119</v>
      </c>
      <c r="G508" s="113">
        <v>112.3</v>
      </c>
      <c r="H508" s="113">
        <f t="shared" si="54"/>
        <v>31.194444444444443</v>
      </c>
      <c r="I508" s="113">
        <v>12.8</v>
      </c>
      <c r="J508" s="113">
        <v>24.66</v>
      </c>
      <c r="K508" s="113">
        <v>-50.5</v>
      </c>
      <c r="L508" s="183"/>
      <c r="M508" s="16">
        <v>505</v>
      </c>
      <c r="N508" s="16">
        <f t="shared" si="56"/>
        <v>3.0574200371758519E-2</v>
      </c>
      <c r="O508" s="16">
        <v>2</v>
      </c>
      <c r="P508" s="16">
        <f t="shared" si="52"/>
        <v>12.715447154471546</v>
      </c>
      <c r="Q508" s="16">
        <f t="shared" si="57"/>
        <v>32.707314920448518</v>
      </c>
      <c r="R508" s="113">
        <f t="shared" si="53"/>
        <v>373.41300000000001</v>
      </c>
      <c r="S508" s="16">
        <f>IF(S507=15800,15800,ROUND((((Q508*60)/'Gearing Calculator'!$C$14)*'Track Data'!P508),-2))</f>
        <v>12600</v>
      </c>
      <c r="T508" s="16">
        <f t="shared" si="55"/>
        <v>6.2873467937451366</v>
      </c>
      <c r="U508" s="16">
        <f>IF(AC508=100,Braking!$AG$2354,IF(AC508=50,Braking!$AG$1179,IF(AC508=75,Braking!$AG$1767,0)))</f>
        <v>0</v>
      </c>
      <c r="V508" s="16">
        <f>0.5*'Gearing Calculator'!$C$15*'Gearing Calculator'!$C$20*'Gearing Calculator'!$W$20*('Track Data'!Q508^2)</f>
        <v>113.22429267448291</v>
      </c>
      <c r="W508" s="16">
        <f>('Gearing Calculator'!$U$9*'Track Data'!T508)+'Track Data'!V508</f>
        <v>1786.9160091694382</v>
      </c>
      <c r="X508" s="16">
        <f>('Gearing Calculator'!$U$9*9.81)*('Gearing Calculator'!$U$16/'Gearing Calculator'!$C$7)-(('Track Data'!W508)*('Gearing Calculator'!$U$17/'Gearing Calculator'!$C$7))</f>
        <v>427.17103983758352</v>
      </c>
      <c r="Y508" s="16">
        <f>('Gearing Calculator'!$U$9*9.81)*(('Gearing Calculator'!$C$7-'Gearing Calculator'!$U$16)/'Gearing Calculator'!$C$7)+(('Track Data'!W508)*('Gearing Calculator'!$U$17/'Gearing Calculator'!$C$7))</f>
        <v>2184.2509601624165</v>
      </c>
      <c r="Z508" s="16">
        <f>((X508*COS('Gearing Calculator'!$C$21))/'Gearing Calculator'!$C$22)/2</f>
        <v>13.206777524884764</v>
      </c>
      <c r="AA508" s="16">
        <f>Y508/'Gearing Calculator'!$C$24</f>
        <v>30.49946948247559</v>
      </c>
      <c r="AB508" s="16">
        <f t="shared" si="58"/>
        <v>125.79898626197318</v>
      </c>
      <c r="AC508" s="16">
        <v>0</v>
      </c>
      <c r="AD508" s="16">
        <v>-50.419976243670298</v>
      </c>
      <c r="AE508" s="16">
        <v>505</v>
      </c>
      <c r="AF508" s="16">
        <f>IF(AC508=0,IF(O508=6,INDEX(Acceleration!$V$4:$V$110,MATCH('Track Data'!S508,Acceleration!$K$4:$K$110,0)),IF('Track Data'!O508=5,INDEX(Acceleration!$U$4:$U$110,MATCH('Track Data'!S508,Acceleration!$K$4:$K$110,0)),1)),U508)</f>
        <v>1</v>
      </c>
      <c r="AG508" s="16">
        <f>IF(AC508=0,IF(O508=4,INDEX(Acceleration!$T$4:$T$110,MATCH('Track Data'!S508,Acceleration!$K$4:$K$110,0)),IF('Track Data'!O508=3,INDEX(Acceleration!$S$4:$S$110,MATCH('Track Data'!S508,Acceleration!$K$4:$K$110,0)),'Track Data'!AF508)),'Track Data'!U508)</f>
        <v>1</v>
      </c>
      <c r="AH508" s="16">
        <f>IF(AC508=0,IF(O508=2,INDEX(Acceleration!$R$4:$R$110,MATCH('Track Data'!S508,Acceleration!$K$4:$K$110,0)),IF('Track Data'!O508=1,INDEX(Acceleration!$Q$4:$Q$110,MATCH('Track Data'!S508,Acceleration!$K$4:$K$110,0)),'Track Data'!AG508)),'Track Data'!U508)</f>
        <v>6.2873467937451366</v>
      </c>
    </row>
    <row r="509" spans="2:34" x14ac:dyDescent="0.25">
      <c r="B509" s="16">
        <v>211.596</v>
      </c>
      <c r="C509" s="16">
        <v>7779</v>
      </c>
      <c r="D509" s="16">
        <v>506</v>
      </c>
      <c r="E509" s="113">
        <v>128</v>
      </c>
      <c r="F509" s="113">
        <v>119.6</v>
      </c>
      <c r="G509" s="113">
        <v>113</v>
      </c>
      <c r="H509" s="113">
        <f t="shared" si="54"/>
        <v>31.388888888888889</v>
      </c>
      <c r="I509" s="113">
        <v>12.9</v>
      </c>
      <c r="J509" s="113">
        <v>21.61</v>
      </c>
      <c r="K509" s="113">
        <v>-49.1</v>
      </c>
      <c r="L509" s="183"/>
      <c r="M509" s="16">
        <v>506</v>
      </c>
      <c r="N509" s="16">
        <f t="shared" si="56"/>
        <v>3.0574200371758519E-2</v>
      </c>
      <c r="O509" s="16">
        <v>2</v>
      </c>
      <c r="P509" s="16">
        <f t="shared" si="52"/>
        <v>12.715447154471546</v>
      </c>
      <c r="Q509" s="16">
        <f t="shared" si="57"/>
        <v>32.707314920448518</v>
      </c>
      <c r="R509" s="113">
        <f t="shared" si="53"/>
        <v>373.41300000000001</v>
      </c>
      <c r="S509" s="16">
        <f>IF(S508=15800,15800,ROUND((((Q509*60)/'Gearing Calculator'!$C$14)*'Track Data'!P509),-2))</f>
        <v>12600</v>
      </c>
      <c r="T509" s="16">
        <f t="shared" si="55"/>
        <v>6.2873467937451366</v>
      </c>
      <c r="U509" s="16">
        <f>IF(AC509=100,Braking!$AG$2354,IF(AC509=50,Braking!$AG$1179,IF(AC509=75,Braking!$AG$1767,0)))</f>
        <v>0</v>
      </c>
      <c r="V509" s="16">
        <f>0.5*'Gearing Calculator'!$C$15*'Gearing Calculator'!$C$20*'Gearing Calculator'!$W$20*('Track Data'!Q509^2)</f>
        <v>113.22429267448291</v>
      </c>
      <c r="W509" s="16">
        <f>('Gearing Calculator'!$U$9*'Track Data'!T509)+'Track Data'!V509</f>
        <v>1786.9160091694382</v>
      </c>
      <c r="X509" s="16">
        <f>('Gearing Calculator'!$U$9*9.81)*('Gearing Calculator'!$U$16/'Gearing Calculator'!$C$7)-(('Track Data'!W509)*('Gearing Calculator'!$U$17/'Gearing Calculator'!$C$7))</f>
        <v>427.17103983758352</v>
      </c>
      <c r="Y509" s="16">
        <f>('Gearing Calculator'!$U$9*9.81)*(('Gearing Calculator'!$C$7-'Gearing Calculator'!$U$16)/'Gearing Calculator'!$C$7)+(('Track Data'!W509)*('Gearing Calculator'!$U$17/'Gearing Calculator'!$C$7))</f>
        <v>2184.2509601624165</v>
      </c>
      <c r="Z509" s="16">
        <f>((X509*COS('Gearing Calculator'!$C$21))/'Gearing Calculator'!$C$22)/2</f>
        <v>13.206777524884764</v>
      </c>
      <c r="AA509" s="16">
        <f>Y509/'Gearing Calculator'!$C$24</f>
        <v>30.49946948247559</v>
      </c>
      <c r="AB509" s="16">
        <f t="shared" si="58"/>
        <v>125.79898626197318</v>
      </c>
      <c r="AC509" s="16">
        <v>0</v>
      </c>
      <c r="AD509" s="16">
        <v>-50.419976243670298</v>
      </c>
      <c r="AE509" s="16">
        <v>506</v>
      </c>
      <c r="AF509" s="16">
        <f>IF(AC509=0,IF(O509=6,INDEX(Acceleration!$V$4:$V$110,MATCH('Track Data'!S509,Acceleration!$K$4:$K$110,0)),IF('Track Data'!O509=5,INDEX(Acceleration!$U$4:$U$110,MATCH('Track Data'!S509,Acceleration!$K$4:$K$110,0)),1)),U509)</f>
        <v>1</v>
      </c>
      <c r="AG509" s="16">
        <f>IF(AC509=0,IF(O509=4,INDEX(Acceleration!$T$4:$T$110,MATCH('Track Data'!S509,Acceleration!$K$4:$K$110,0)),IF('Track Data'!O509=3,INDEX(Acceleration!$S$4:$S$110,MATCH('Track Data'!S509,Acceleration!$K$4:$K$110,0)),'Track Data'!AF509)),'Track Data'!U509)</f>
        <v>1</v>
      </c>
      <c r="AH509" s="16">
        <f>IF(AC509=0,IF(O509=2,INDEX(Acceleration!$R$4:$R$110,MATCH('Track Data'!S509,Acceleration!$K$4:$K$110,0)),IF('Track Data'!O509=1,INDEX(Acceleration!$Q$4:$Q$110,MATCH('Track Data'!S509,Acceleration!$K$4:$K$110,0)),'Track Data'!AG509)),'Track Data'!U509)</f>
        <v>6.2873467937451366</v>
      </c>
    </row>
    <row r="510" spans="2:34" x14ac:dyDescent="0.25">
      <c r="B510" s="16">
        <v>211.626</v>
      </c>
      <c r="C510" s="16">
        <v>7780</v>
      </c>
      <c r="D510" s="16">
        <v>507</v>
      </c>
      <c r="E510" s="113">
        <v>128</v>
      </c>
      <c r="F510" s="113">
        <v>120.1</v>
      </c>
      <c r="G510" s="113">
        <v>113.8</v>
      </c>
      <c r="H510" s="113">
        <f t="shared" si="54"/>
        <v>31.611111111111111</v>
      </c>
      <c r="I510" s="113">
        <v>13.3</v>
      </c>
      <c r="J510" s="113">
        <v>21.41</v>
      </c>
      <c r="K510" s="113">
        <v>-48.2</v>
      </c>
      <c r="L510" s="183"/>
      <c r="M510" s="16">
        <v>507</v>
      </c>
      <c r="N510" s="16">
        <f t="shared" si="56"/>
        <v>3.0574200371758519E-2</v>
      </c>
      <c r="O510" s="16">
        <v>2</v>
      </c>
      <c r="P510" s="16">
        <f t="shared" si="52"/>
        <v>12.715447154471546</v>
      </c>
      <c r="Q510" s="16">
        <f t="shared" si="57"/>
        <v>32.707314920448518</v>
      </c>
      <c r="R510" s="113">
        <f t="shared" si="53"/>
        <v>373.41300000000001</v>
      </c>
      <c r="S510" s="16">
        <f>IF(S509=15800,15800,ROUND((((Q510*60)/'Gearing Calculator'!$C$14)*'Track Data'!P510),-2))</f>
        <v>12600</v>
      </c>
      <c r="T510" s="16">
        <f t="shared" si="55"/>
        <v>6.2873467937451366</v>
      </c>
      <c r="U510" s="16">
        <f>IF(AC510=100,Braking!$AG$2354,IF(AC510=50,Braking!$AG$1179,IF(AC510=75,Braking!$AG$1767,0)))</f>
        <v>0</v>
      </c>
      <c r="V510" s="16">
        <f>0.5*'Gearing Calculator'!$C$15*'Gearing Calculator'!$C$20*'Gearing Calculator'!$W$20*('Track Data'!Q510^2)</f>
        <v>113.22429267448291</v>
      </c>
      <c r="W510" s="16">
        <f>('Gearing Calculator'!$U$9*'Track Data'!T510)+'Track Data'!V510</f>
        <v>1786.9160091694382</v>
      </c>
      <c r="X510" s="16">
        <f>('Gearing Calculator'!$U$9*9.81)*('Gearing Calculator'!$U$16/'Gearing Calculator'!$C$7)-(('Track Data'!W510)*('Gearing Calculator'!$U$17/'Gearing Calculator'!$C$7))</f>
        <v>427.17103983758352</v>
      </c>
      <c r="Y510" s="16">
        <f>('Gearing Calculator'!$U$9*9.81)*(('Gearing Calculator'!$C$7-'Gearing Calculator'!$U$16)/'Gearing Calculator'!$C$7)+(('Track Data'!W510)*('Gearing Calculator'!$U$17/'Gearing Calculator'!$C$7))</f>
        <v>2184.2509601624165</v>
      </c>
      <c r="Z510" s="16">
        <f>((X510*COS('Gearing Calculator'!$C$21))/'Gearing Calculator'!$C$22)/2</f>
        <v>13.206777524884764</v>
      </c>
      <c r="AA510" s="16">
        <f>Y510/'Gearing Calculator'!$C$24</f>
        <v>30.49946948247559</v>
      </c>
      <c r="AB510" s="16">
        <f t="shared" si="58"/>
        <v>125.79898626197318</v>
      </c>
      <c r="AC510" s="16">
        <v>0</v>
      </c>
      <c r="AD510" s="16">
        <v>-50.419976243670298</v>
      </c>
      <c r="AE510" s="16">
        <v>507</v>
      </c>
      <c r="AF510" s="16">
        <f>IF(AC510=0,IF(O510=6,INDEX(Acceleration!$V$4:$V$110,MATCH('Track Data'!S510,Acceleration!$K$4:$K$110,0)),IF('Track Data'!O510=5,INDEX(Acceleration!$U$4:$U$110,MATCH('Track Data'!S510,Acceleration!$K$4:$K$110,0)),1)),U510)</f>
        <v>1</v>
      </c>
      <c r="AG510" s="16">
        <f>IF(AC510=0,IF(O510=4,INDEX(Acceleration!$T$4:$T$110,MATCH('Track Data'!S510,Acceleration!$K$4:$K$110,0)),IF('Track Data'!O510=3,INDEX(Acceleration!$S$4:$S$110,MATCH('Track Data'!S510,Acceleration!$K$4:$K$110,0)),'Track Data'!AF510)),'Track Data'!U510)</f>
        <v>1</v>
      </c>
      <c r="AH510" s="16">
        <f>IF(AC510=0,IF(O510=2,INDEX(Acceleration!$R$4:$R$110,MATCH('Track Data'!S510,Acceleration!$K$4:$K$110,0)),IF('Track Data'!O510=1,INDEX(Acceleration!$Q$4:$Q$110,MATCH('Track Data'!S510,Acceleration!$K$4:$K$110,0)),'Track Data'!AG510)),'Track Data'!U510)</f>
        <v>6.2873467937451366</v>
      </c>
    </row>
    <row r="511" spans="2:34" x14ac:dyDescent="0.25">
      <c r="B511" s="16">
        <v>211.65600000000001</v>
      </c>
      <c r="C511" s="16">
        <v>7781</v>
      </c>
      <c r="D511" s="16">
        <v>508</v>
      </c>
      <c r="E511" s="113">
        <v>128</v>
      </c>
      <c r="F511" s="113">
        <v>120.6</v>
      </c>
      <c r="G511" s="113">
        <v>114.5</v>
      </c>
      <c r="H511" s="113">
        <f t="shared" si="54"/>
        <v>31.805555555555554</v>
      </c>
      <c r="I511" s="113">
        <v>14.5</v>
      </c>
      <c r="J511" s="113">
        <v>21.26</v>
      </c>
      <c r="K511" s="113">
        <v>-47.5</v>
      </c>
      <c r="L511" s="183"/>
      <c r="M511" s="16">
        <v>508</v>
      </c>
      <c r="N511" s="16">
        <f t="shared" si="56"/>
        <v>3.0574200371758519E-2</v>
      </c>
      <c r="O511" s="16">
        <v>2</v>
      </c>
      <c r="P511" s="16">
        <f t="shared" si="52"/>
        <v>12.715447154471546</v>
      </c>
      <c r="Q511" s="16">
        <f t="shared" si="57"/>
        <v>32.707314920448518</v>
      </c>
      <c r="R511" s="113">
        <f t="shared" si="53"/>
        <v>373.41300000000001</v>
      </c>
      <c r="S511" s="16">
        <f>IF(S510=15800,15800,ROUND((((Q511*60)/'Gearing Calculator'!$C$14)*'Track Data'!P511),-2))</f>
        <v>12600</v>
      </c>
      <c r="T511" s="16">
        <f t="shared" si="55"/>
        <v>6.2873467937451366</v>
      </c>
      <c r="U511" s="16">
        <f>IF(AC511=100,Braking!$AG$2354,IF(AC511=50,Braking!$AG$1179,IF(AC511=75,Braking!$AG$1767,0)))</f>
        <v>0</v>
      </c>
      <c r="V511" s="16">
        <f>0.5*'Gearing Calculator'!$C$15*'Gearing Calculator'!$C$20*'Gearing Calculator'!$W$20*('Track Data'!Q511^2)</f>
        <v>113.22429267448291</v>
      </c>
      <c r="W511" s="16">
        <f>('Gearing Calculator'!$U$9*'Track Data'!T511)+'Track Data'!V511</f>
        <v>1786.9160091694382</v>
      </c>
      <c r="X511" s="16">
        <f>('Gearing Calculator'!$U$9*9.81)*('Gearing Calculator'!$U$16/'Gearing Calculator'!$C$7)-(('Track Data'!W511)*('Gearing Calculator'!$U$17/'Gearing Calculator'!$C$7))</f>
        <v>427.17103983758352</v>
      </c>
      <c r="Y511" s="16">
        <f>('Gearing Calculator'!$U$9*9.81)*(('Gearing Calculator'!$C$7-'Gearing Calculator'!$U$16)/'Gearing Calculator'!$C$7)+(('Track Data'!W511)*('Gearing Calculator'!$U$17/'Gearing Calculator'!$C$7))</f>
        <v>2184.2509601624165</v>
      </c>
      <c r="Z511" s="16">
        <f>((X511*COS('Gearing Calculator'!$C$21))/'Gearing Calculator'!$C$22)/2</f>
        <v>13.206777524884764</v>
      </c>
      <c r="AA511" s="16">
        <f>Y511/'Gearing Calculator'!$C$24</f>
        <v>30.49946948247559</v>
      </c>
      <c r="AB511" s="16">
        <f t="shared" si="58"/>
        <v>125.79898626197318</v>
      </c>
      <c r="AC511" s="16">
        <v>0</v>
      </c>
      <c r="AD511" s="16">
        <v>-50.419976243670298</v>
      </c>
      <c r="AE511" s="16">
        <v>508</v>
      </c>
      <c r="AF511" s="16">
        <f>IF(AC511=0,IF(O511=6,INDEX(Acceleration!$V$4:$V$110,MATCH('Track Data'!S511,Acceleration!$K$4:$K$110,0)),IF('Track Data'!O511=5,INDEX(Acceleration!$U$4:$U$110,MATCH('Track Data'!S511,Acceleration!$K$4:$K$110,0)),1)),U511)</f>
        <v>1</v>
      </c>
      <c r="AG511" s="16">
        <f>IF(AC511=0,IF(O511=4,INDEX(Acceleration!$T$4:$T$110,MATCH('Track Data'!S511,Acceleration!$K$4:$K$110,0)),IF('Track Data'!O511=3,INDEX(Acceleration!$S$4:$S$110,MATCH('Track Data'!S511,Acceleration!$K$4:$K$110,0)),'Track Data'!AF511)),'Track Data'!U511)</f>
        <v>1</v>
      </c>
      <c r="AH511" s="16">
        <f>IF(AC511=0,IF(O511=2,INDEX(Acceleration!$R$4:$R$110,MATCH('Track Data'!S511,Acceleration!$K$4:$K$110,0)),IF('Track Data'!O511=1,INDEX(Acceleration!$Q$4:$Q$110,MATCH('Track Data'!S511,Acceleration!$K$4:$K$110,0)),'Track Data'!AG511)),'Track Data'!U511)</f>
        <v>6.2873467937451366</v>
      </c>
    </row>
    <row r="512" spans="2:34" x14ac:dyDescent="0.25">
      <c r="B512" s="16">
        <v>211.68600000000001</v>
      </c>
      <c r="C512" s="16">
        <v>7782</v>
      </c>
      <c r="D512" s="16">
        <v>509</v>
      </c>
      <c r="E512" s="113">
        <v>128</v>
      </c>
      <c r="F512" s="113">
        <v>121.1</v>
      </c>
      <c r="G512" s="113">
        <v>115.2</v>
      </c>
      <c r="H512" s="113">
        <f t="shared" si="54"/>
        <v>32</v>
      </c>
      <c r="I512" s="113">
        <v>16.5</v>
      </c>
      <c r="J512" s="113">
        <v>21.07</v>
      </c>
      <c r="K512" s="113">
        <v>-46.9</v>
      </c>
      <c r="L512" s="183"/>
      <c r="M512" s="16">
        <v>509</v>
      </c>
      <c r="N512" s="16">
        <f t="shared" si="56"/>
        <v>3.0574200371758519E-2</v>
      </c>
      <c r="O512" s="16">
        <v>2</v>
      </c>
      <c r="P512" s="16">
        <f t="shared" si="52"/>
        <v>12.715447154471546</v>
      </c>
      <c r="Q512" s="16">
        <f t="shared" si="57"/>
        <v>32.707314920448518</v>
      </c>
      <c r="R512" s="113">
        <f t="shared" si="53"/>
        <v>373.41300000000001</v>
      </c>
      <c r="S512" s="16">
        <f>IF(S511=15800,15800,ROUND((((Q512*60)/'Gearing Calculator'!$C$14)*'Track Data'!P512),-2))</f>
        <v>12600</v>
      </c>
      <c r="T512" s="16">
        <f t="shared" si="55"/>
        <v>6.2873467937451366</v>
      </c>
      <c r="U512" s="16">
        <f>IF(AC512=100,Braking!$AG$2354,IF(AC512=50,Braking!$AG$1179,IF(AC512=75,Braking!$AG$1767,0)))</f>
        <v>0</v>
      </c>
      <c r="V512" s="16">
        <f>0.5*'Gearing Calculator'!$C$15*'Gearing Calculator'!$C$20*'Gearing Calculator'!$W$20*('Track Data'!Q512^2)</f>
        <v>113.22429267448291</v>
      </c>
      <c r="W512" s="16">
        <f>('Gearing Calculator'!$U$9*'Track Data'!T512)+'Track Data'!V512</f>
        <v>1786.9160091694382</v>
      </c>
      <c r="X512" s="16">
        <f>('Gearing Calculator'!$U$9*9.81)*('Gearing Calculator'!$U$16/'Gearing Calculator'!$C$7)-(('Track Data'!W512)*('Gearing Calculator'!$U$17/'Gearing Calculator'!$C$7))</f>
        <v>427.17103983758352</v>
      </c>
      <c r="Y512" s="16">
        <f>('Gearing Calculator'!$U$9*9.81)*(('Gearing Calculator'!$C$7-'Gearing Calculator'!$U$16)/'Gearing Calculator'!$C$7)+(('Track Data'!W512)*('Gearing Calculator'!$U$17/'Gearing Calculator'!$C$7))</f>
        <v>2184.2509601624165</v>
      </c>
      <c r="Z512" s="16">
        <f>((X512*COS('Gearing Calculator'!$C$21))/'Gearing Calculator'!$C$22)/2</f>
        <v>13.206777524884764</v>
      </c>
      <c r="AA512" s="16">
        <f>Y512/'Gearing Calculator'!$C$24</f>
        <v>30.49946948247559</v>
      </c>
      <c r="AB512" s="16">
        <f t="shared" si="58"/>
        <v>125.79898626197318</v>
      </c>
      <c r="AC512" s="16">
        <v>0</v>
      </c>
      <c r="AD512" s="16">
        <v>-50.419976243670298</v>
      </c>
      <c r="AE512" s="16">
        <v>509</v>
      </c>
      <c r="AF512" s="16">
        <f>IF(AC512=0,IF(O512=6,INDEX(Acceleration!$V$4:$V$110,MATCH('Track Data'!S512,Acceleration!$K$4:$K$110,0)),IF('Track Data'!O512=5,INDEX(Acceleration!$U$4:$U$110,MATCH('Track Data'!S512,Acceleration!$K$4:$K$110,0)),1)),U512)</f>
        <v>1</v>
      </c>
      <c r="AG512" s="16">
        <f>IF(AC512=0,IF(O512=4,INDEX(Acceleration!$T$4:$T$110,MATCH('Track Data'!S512,Acceleration!$K$4:$K$110,0)),IF('Track Data'!O512=3,INDEX(Acceleration!$S$4:$S$110,MATCH('Track Data'!S512,Acceleration!$K$4:$K$110,0)),'Track Data'!AF512)),'Track Data'!U512)</f>
        <v>1</v>
      </c>
      <c r="AH512" s="16">
        <f>IF(AC512=0,IF(O512=2,INDEX(Acceleration!$R$4:$R$110,MATCH('Track Data'!S512,Acceleration!$K$4:$K$110,0)),IF('Track Data'!O512=1,INDEX(Acceleration!$Q$4:$Q$110,MATCH('Track Data'!S512,Acceleration!$K$4:$K$110,0)),'Track Data'!AG512)),'Track Data'!U512)</f>
        <v>6.2873467937451366</v>
      </c>
    </row>
    <row r="513" spans="2:34" x14ac:dyDescent="0.25">
      <c r="B513" s="16">
        <v>211.71600000000001</v>
      </c>
      <c r="C513" s="16">
        <v>7783</v>
      </c>
      <c r="D513" s="16">
        <v>510</v>
      </c>
      <c r="E513" s="113">
        <v>128</v>
      </c>
      <c r="F513" s="113">
        <v>121.2</v>
      </c>
      <c r="G513" s="113">
        <v>116</v>
      </c>
      <c r="H513" s="113">
        <f t="shared" si="54"/>
        <v>32.222222222222221</v>
      </c>
      <c r="I513" s="113">
        <v>17.8</v>
      </c>
      <c r="J513" s="113">
        <v>21.69</v>
      </c>
      <c r="K513" s="113">
        <v>-47.8</v>
      </c>
      <c r="L513" s="183"/>
      <c r="M513" s="16">
        <v>510</v>
      </c>
      <c r="N513" s="16">
        <f t="shared" si="56"/>
        <v>3.0574200371758519E-2</v>
      </c>
      <c r="O513" s="16">
        <v>2</v>
      </c>
      <c r="P513" s="16">
        <f t="shared" si="52"/>
        <v>12.715447154471546</v>
      </c>
      <c r="Q513" s="16">
        <f t="shared" si="57"/>
        <v>32.707314920448518</v>
      </c>
      <c r="R513" s="113">
        <f t="shared" si="53"/>
        <v>373.41300000000001</v>
      </c>
      <c r="S513" s="16">
        <f>IF(S512=15800,15800,ROUND((((Q513*60)/'Gearing Calculator'!$C$14)*'Track Data'!P513),-2))</f>
        <v>12600</v>
      </c>
      <c r="T513" s="16">
        <f t="shared" si="55"/>
        <v>6.2873467937451366</v>
      </c>
      <c r="U513" s="16">
        <f>IF(AC513=100,Braking!$AG$2354,IF(AC513=50,Braking!$AG$1179,IF(AC513=75,Braking!$AG$1767,0)))</f>
        <v>0</v>
      </c>
      <c r="V513" s="16">
        <f>0.5*'Gearing Calculator'!$C$15*'Gearing Calculator'!$C$20*'Gearing Calculator'!$W$20*('Track Data'!Q513^2)</f>
        <v>113.22429267448291</v>
      </c>
      <c r="W513" s="16">
        <f>('Gearing Calculator'!$U$9*'Track Data'!T513)+'Track Data'!V513</f>
        <v>1786.9160091694382</v>
      </c>
      <c r="X513" s="16">
        <f>('Gearing Calculator'!$U$9*9.81)*('Gearing Calculator'!$U$16/'Gearing Calculator'!$C$7)-(('Track Data'!W513)*('Gearing Calculator'!$U$17/'Gearing Calculator'!$C$7))</f>
        <v>427.17103983758352</v>
      </c>
      <c r="Y513" s="16">
        <f>('Gearing Calculator'!$U$9*9.81)*(('Gearing Calculator'!$C$7-'Gearing Calculator'!$U$16)/'Gearing Calculator'!$C$7)+(('Track Data'!W513)*('Gearing Calculator'!$U$17/'Gearing Calculator'!$C$7))</f>
        <v>2184.2509601624165</v>
      </c>
      <c r="Z513" s="16">
        <f>((X513*COS('Gearing Calculator'!$C$21))/'Gearing Calculator'!$C$22)/2</f>
        <v>13.206777524884764</v>
      </c>
      <c r="AA513" s="16">
        <f>Y513/'Gearing Calculator'!$C$24</f>
        <v>30.49946948247559</v>
      </c>
      <c r="AB513" s="16">
        <f t="shared" si="58"/>
        <v>125.79898626197318</v>
      </c>
      <c r="AC513" s="16">
        <v>0</v>
      </c>
      <c r="AD513" s="16">
        <v>-50.419976243670298</v>
      </c>
      <c r="AE513" s="16">
        <v>510</v>
      </c>
      <c r="AF513" s="16">
        <f>IF(AC513=0,IF(O513=6,INDEX(Acceleration!$V$4:$V$110,MATCH('Track Data'!S513,Acceleration!$K$4:$K$110,0)),IF('Track Data'!O513=5,INDEX(Acceleration!$U$4:$U$110,MATCH('Track Data'!S513,Acceleration!$K$4:$K$110,0)),1)),U513)</f>
        <v>1</v>
      </c>
      <c r="AG513" s="16">
        <f>IF(AC513=0,IF(O513=4,INDEX(Acceleration!$T$4:$T$110,MATCH('Track Data'!S513,Acceleration!$K$4:$K$110,0)),IF('Track Data'!O513=3,INDEX(Acceleration!$S$4:$S$110,MATCH('Track Data'!S513,Acceleration!$K$4:$K$110,0)),'Track Data'!AF513)),'Track Data'!U513)</f>
        <v>1</v>
      </c>
      <c r="AH513" s="16">
        <f>IF(AC513=0,IF(O513=2,INDEX(Acceleration!$R$4:$R$110,MATCH('Track Data'!S513,Acceleration!$K$4:$K$110,0)),IF('Track Data'!O513=1,INDEX(Acceleration!$Q$4:$Q$110,MATCH('Track Data'!S513,Acceleration!$K$4:$K$110,0)),'Track Data'!AG513)),'Track Data'!U513)</f>
        <v>6.2873467937451366</v>
      </c>
    </row>
    <row r="514" spans="2:34" x14ac:dyDescent="0.25">
      <c r="B514" s="16">
        <v>211.745</v>
      </c>
      <c r="C514" s="16">
        <v>7784</v>
      </c>
      <c r="D514" s="16">
        <v>511</v>
      </c>
      <c r="E514" s="113">
        <v>128</v>
      </c>
      <c r="F514" s="113">
        <v>121.1</v>
      </c>
      <c r="G514" s="113">
        <v>116.7</v>
      </c>
      <c r="H514" s="113">
        <f t="shared" si="54"/>
        <v>32.416666666666664</v>
      </c>
      <c r="I514" s="113">
        <v>18.399999999999999</v>
      </c>
      <c r="J514" s="113">
        <v>23.26</v>
      </c>
      <c r="K514" s="113">
        <v>-48.6</v>
      </c>
      <c r="L514" s="183"/>
      <c r="M514" s="16">
        <v>511</v>
      </c>
      <c r="N514" s="16">
        <f t="shared" si="56"/>
        <v>3.0574200371758519E-2</v>
      </c>
      <c r="O514" s="16">
        <v>2</v>
      </c>
      <c r="P514" s="16">
        <f t="shared" si="52"/>
        <v>12.715447154471546</v>
      </c>
      <c r="Q514" s="16">
        <f t="shared" si="57"/>
        <v>32.707314920448518</v>
      </c>
      <c r="R514" s="113">
        <f t="shared" si="53"/>
        <v>373.41300000000001</v>
      </c>
      <c r="S514" s="16">
        <f>IF(S513=15800,15800,ROUND((((Q514*60)/'Gearing Calculator'!$C$14)*'Track Data'!P514),-2))</f>
        <v>12600</v>
      </c>
      <c r="T514" s="16">
        <f t="shared" si="55"/>
        <v>6.2873467937451366</v>
      </c>
      <c r="U514" s="16">
        <f>IF(AC514=100,Braking!$AG$2354,IF(AC514=50,Braking!$AG$1179,IF(AC514=75,Braking!$AG$1767,0)))</f>
        <v>0</v>
      </c>
      <c r="V514" s="16">
        <f>0.5*'Gearing Calculator'!$C$15*'Gearing Calculator'!$C$20*'Gearing Calculator'!$W$20*('Track Data'!Q514^2)</f>
        <v>113.22429267448291</v>
      </c>
      <c r="W514" s="16">
        <f>('Gearing Calculator'!$U$9*'Track Data'!T514)+'Track Data'!V514</f>
        <v>1786.9160091694382</v>
      </c>
      <c r="X514" s="16">
        <f>('Gearing Calculator'!$U$9*9.81)*('Gearing Calculator'!$U$16/'Gearing Calculator'!$C$7)-(('Track Data'!W514)*('Gearing Calculator'!$U$17/'Gearing Calculator'!$C$7))</f>
        <v>427.17103983758352</v>
      </c>
      <c r="Y514" s="16">
        <f>('Gearing Calculator'!$U$9*9.81)*(('Gearing Calculator'!$C$7-'Gearing Calculator'!$U$16)/'Gearing Calculator'!$C$7)+(('Track Data'!W514)*('Gearing Calculator'!$U$17/'Gearing Calculator'!$C$7))</f>
        <v>2184.2509601624165</v>
      </c>
      <c r="Z514" s="16">
        <f>((X514*COS('Gearing Calculator'!$C$21))/'Gearing Calculator'!$C$22)/2</f>
        <v>13.206777524884764</v>
      </c>
      <c r="AA514" s="16">
        <f>Y514/'Gearing Calculator'!$C$24</f>
        <v>30.49946948247559</v>
      </c>
      <c r="AB514" s="16">
        <f t="shared" si="58"/>
        <v>125.79898626197318</v>
      </c>
      <c r="AC514" s="16">
        <v>0</v>
      </c>
      <c r="AD514" s="16">
        <v>-50.419976243670298</v>
      </c>
      <c r="AE514" s="16">
        <v>511</v>
      </c>
      <c r="AF514" s="16">
        <f>IF(AC514=0,IF(O514=6,INDEX(Acceleration!$V$4:$V$110,MATCH('Track Data'!S514,Acceleration!$K$4:$K$110,0)),IF('Track Data'!O514=5,INDEX(Acceleration!$U$4:$U$110,MATCH('Track Data'!S514,Acceleration!$K$4:$K$110,0)),1)),U514)</f>
        <v>1</v>
      </c>
      <c r="AG514" s="16">
        <f>IF(AC514=0,IF(O514=4,INDEX(Acceleration!$T$4:$T$110,MATCH('Track Data'!S514,Acceleration!$K$4:$K$110,0)),IF('Track Data'!O514=3,INDEX(Acceleration!$S$4:$S$110,MATCH('Track Data'!S514,Acceleration!$K$4:$K$110,0)),'Track Data'!AF514)),'Track Data'!U514)</f>
        <v>1</v>
      </c>
      <c r="AH514" s="16">
        <f>IF(AC514=0,IF(O514=2,INDEX(Acceleration!$R$4:$R$110,MATCH('Track Data'!S514,Acceleration!$K$4:$K$110,0)),IF('Track Data'!O514=1,INDEX(Acceleration!$Q$4:$Q$110,MATCH('Track Data'!S514,Acceleration!$K$4:$K$110,0)),'Track Data'!AG514)),'Track Data'!U514)</f>
        <v>6.2873467937451366</v>
      </c>
    </row>
    <row r="515" spans="2:34" x14ac:dyDescent="0.25">
      <c r="B515" s="16">
        <v>211.774</v>
      </c>
      <c r="C515" s="16">
        <v>7785</v>
      </c>
      <c r="D515" s="16">
        <v>512</v>
      </c>
      <c r="E515" s="113">
        <v>128</v>
      </c>
      <c r="F515" s="113">
        <v>121.1</v>
      </c>
      <c r="G515" s="113">
        <v>117.4</v>
      </c>
      <c r="H515" s="113">
        <f t="shared" si="54"/>
        <v>32.611111111111114</v>
      </c>
      <c r="I515" s="113">
        <v>18</v>
      </c>
      <c r="J515" s="113">
        <v>20.53</v>
      </c>
      <c r="K515" s="113">
        <v>-49.1</v>
      </c>
      <c r="L515" s="183"/>
      <c r="M515" s="16">
        <v>512</v>
      </c>
      <c r="N515" s="16">
        <f t="shared" si="56"/>
        <v>3.0574200371758519E-2</v>
      </c>
      <c r="O515" s="16">
        <v>2</v>
      </c>
      <c r="P515" s="16">
        <f t="shared" si="52"/>
        <v>12.715447154471546</v>
      </c>
      <c r="Q515" s="16">
        <f t="shared" si="57"/>
        <v>32.707314920448518</v>
      </c>
      <c r="R515" s="113">
        <f t="shared" si="53"/>
        <v>373.41300000000001</v>
      </c>
      <c r="S515" s="16">
        <f>IF(S514=15800,15800,ROUND((((Q515*60)/'Gearing Calculator'!$C$14)*'Track Data'!P515),-2))</f>
        <v>12600</v>
      </c>
      <c r="T515" s="16">
        <f t="shared" si="55"/>
        <v>6.2873467937451366</v>
      </c>
      <c r="U515" s="16">
        <f>IF(AC515=100,Braking!$AG$2354,IF(AC515=50,Braking!$AG$1179,IF(AC515=75,Braking!$AG$1767,0)))</f>
        <v>0</v>
      </c>
      <c r="V515" s="16">
        <f>0.5*'Gearing Calculator'!$C$15*'Gearing Calculator'!$C$20*'Gearing Calculator'!$W$20*('Track Data'!Q515^2)</f>
        <v>113.22429267448291</v>
      </c>
      <c r="W515" s="16">
        <f>('Gearing Calculator'!$U$9*'Track Data'!T515)+'Track Data'!V515</f>
        <v>1786.9160091694382</v>
      </c>
      <c r="X515" s="16">
        <f>('Gearing Calculator'!$U$9*9.81)*('Gearing Calculator'!$U$16/'Gearing Calculator'!$C$7)-(('Track Data'!W515)*('Gearing Calculator'!$U$17/'Gearing Calculator'!$C$7))</f>
        <v>427.17103983758352</v>
      </c>
      <c r="Y515" s="16">
        <f>('Gearing Calculator'!$U$9*9.81)*(('Gearing Calculator'!$C$7-'Gearing Calculator'!$U$16)/'Gearing Calculator'!$C$7)+(('Track Data'!W515)*('Gearing Calculator'!$U$17/'Gearing Calculator'!$C$7))</f>
        <v>2184.2509601624165</v>
      </c>
      <c r="Z515" s="16">
        <f>((X515*COS('Gearing Calculator'!$C$21))/'Gearing Calculator'!$C$22)/2</f>
        <v>13.206777524884764</v>
      </c>
      <c r="AA515" s="16">
        <f>Y515/'Gearing Calculator'!$C$24</f>
        <v>30.49946948247559</v>
      </c>
      <c r="AB515" s="16">
        <f t="shared" si="58"/>
        <v>125.79898626197318</v>
      </c>
      <c r="AC515" s="16">
        <v>0</v>
      </c>
      <c r="AD515" s="16">
        <v>-50.419976243670298</v>
      </c>
      <c r="AE515" s="16">
        <v>512</v>
      </c>
      <c r="AF515" s="16">
        <f>IF(AC515=0,IF(O515=6,INDEX(Acceleration!$V$4:$V$110,MATCH('Track Data'!S515,Acceleration!$K$4:$K$110,0)),IF('Track Data'!O515=5,INDEX(Acceleration!$U$4:$U$110,MATCH('Track Data'!S515,Acceleration!$K$4:$K$110,0)),1)),U515)</f>
        <v>1</v>
      </c>
      <c r="AG515" s="16">
        <f>IF(AC515=0,IF(O515=4,INDEX(Acceleration!$T$4:$T$110,MATCH('Track Data'!S515,Acceleration!$K$4:$K$110,0)),IF('Track Data'!O515=3,INDEX(Acceleration!$S$4:$S$110,MATCH('Track Data'!S515,Acceleration!$K$4:$K$110,0)),'Track Data'!AF515)),'Track Data'!U515)</f>
        <v>1</v>
      </c>
      <c r="AH515" s="16">
        <f>IF(AC515=0,IF(O515=2,INDEX(Acceleration!$R$4:$R$110,MATCH('Track Data'!S515,Acceleration!$K$4:$K$110,0)),IF('Track Data'!O515=1,INDEX(Acceleration!$Q$4:$Q$110,MATCH('Track Data'!S515,Acceleration!$K$4:$K$110,0)),'Track Data'!AG515)),'Track Data'!U515)</f>
        <v>6.2873467937451366</v>
      </c>
    </row>
    <row r="516" spans="2:34" x14ac:dyDescent="0.25">
      <c r="B516" s="16">
        <v>211.804</v>
      </c>
      <c r="C516" s="16">
        <v>7786</v>
      </c>
      <c r="D516" s="16">
        <v>513</v>
      </c>
      <c r="E516" s="113">
        <v>128</v>
      </c>
      <c r="F516" s="113">
        <v>121.2</v>
      </c>
      <c r="G516" s="113">
        <v>118.1</v>
      </c>
      <c r="H516" s="113">
        <f t="shared" si="54"/>
        <v>32.80555555555555</v>
      </c>
      <c r="I516" s="113">
        <v>15.2</v>
      </c>
      <c r="J516" s="113">
        <v>18.89</v>
      </c>
      <c r="K516" s="113">
        <v>-49.1</v>
      </c>
      <c r="L516" s="183"/>
      <c r="M516" s="16">
        <v>513</v>
      </c>
      <c r="N516" s="16">
        <f t="shared" si="56"/>
        <v>3.0574200371758519E-2</v>
      </c>
      <c r="O516" s="16">
        <v>2</v>
      </c>
      <c r="P516" s="16">
        <f t="shared" ref="P516:P579" si="59">VLOOKUP(O516,$AJ$5:$AK$10,2,FALSE)</f>
        <v>12.715447154471546</v>
      </c>
      <c r="Q516" s="16">
        <f t="shared" si="57"/>
        <v>32.707314920448518</v>
      </c>
      <c r="R516" s="113">
        <f t="shared" ref="R516:R579" si="60">VLOOKUP(O516,$AJ$5:$AL$10,3,FALSE)</f>
        <v>373.41300000000001</v>
      </c>
      <c r="S516" s="16">
        <f>IF(S515=15800,15800,ROUND((((Q516*60)/'Gearing Calculator'!$C$14)*'Track Data'!P516),-2))</f>
        <v>12600</v>
      </c>
      <c r="T516" s="16">
        <f t="shared" si="55"/>
        <v>6.2873467937451366</v>
      </c>
      <c r="U516" s="16">
        <f>IF(AC516=100,Braking!$AG$2354,IF(AC516=50,Braking!$AG$1179,IF(AC516=75,Braking!$AG$1767,0)))</f>
        <v>0</v>
      </c>
      <c r="V516" s="16">
        <f>0.5*'Gearing Calculator'!$C$15*'Gearing Calculator'!$C$20*'Gearing Calculator'!$W$20*('Track Data'!Q516^2)</f>
        <v>113.22429267448291</v>
      </c>
      <c r="W516" s="16">
        <f>('Gearing Calculator'!$U$9*'Track Data'!T516)+'Track Data'!V516</f>
        <v>1786.9160091694382</v>
      </c>
      <c r="X516" s="16">
        <f>('Gearing Calculator'!$U$9*9.81)*('Gearing Calculator'!$U$16/'Gearing Calculator'!$C$7)-(('Track Data'!W516)*('Gearing Calculator'!$U$17/'Gearing Calculator'!$C$7))</f>
        <v>427.17103983758352</v>
      </c>
      <c r="Y516" s="16">
        <f>('Gearing Calculator'!$U$9*9.81)*(('Gearing Calculator'!$C$7-'Gearing Calculator'!$U$16)/'Gearing Calculator'!$C$7)+(('Track Data'!W516)*('Gearing Calculator'!$U$17/'Gearing Calculator'!$C$7))</f>
        <v>2184.2509601624165</v>
      </c>
      <c r="Z516" s="16">
        <f>((X516*COS('Gearing Calculator'!$C$21))/'Gearing Calculator'!$C$22)/2</f>
        <v>13.206777524884764</v>
      </c>
      <c r="AA516" s="16">
        <f>Y516/'Gearing Calculator'!$C$24</f>
        <v>30.49946948247559</v>
      </c>
      <c r="AB516" s="16">
        <f t="shared" si="58"/>
        <v>125.79898626197318</v>
      </c>
      <c r="AC516" s="16">
        <v>0</v>
      </c>
      <c r="AD516" s="16">
        <v>-50.419976243670298</v>
      </c>
      <c r="AE516" s="16">
        <v>513</v>
      </c>
      <c r="AF516" s="16">
        <f>IF(AC516=0,IF(O516=6,INDEX(Acceleration!$V$4:$V$110,MATCH('Track Data'!S516,Acceleration!$K$4:$K$110,0)),IF('Track Data'!O516=5,INDEX(Acceleration!$U$4:$U$110,MATCH('Track Data'!S516,Acceleration!$K$4:$K$110,0)),1)),U516)</f>
        <v>1</v>
      </c>
      <c r="AG516" s="16">
        <f>IF(AC516=0,IF(O516=4,INDEX(Acceleration!$T$4:$T$110,MATCH('Track Data'!S516,Acceleration!$K$4:$K$110,0)),IF('Track Data'!O516=3,INDEX(Acceleration!$S$4:$S$110,MATCH('Track Data'!S516,Acceleration!$K$4:$K$110,0)),'Track Data'!AF516)),'Track Data'!U516)</f>
        <v>1</v>
      </c>
      <c r="AH516" s="16">
        <f>IF(AC516=0,IF(O516=2,INDEX(Acceleration!$R$4:$R$110,MATCH('Track Data'!S516,Acceleration!$K$4:$K$110,0)),IF('Track Data'!O516=1,INDEX(Acceleration!$Q$4:$Q$110,MATCH('Track Data'!S516,Acceleration!$K$4:$K$110,0)),'Track Data'!AG516)),'Track Data'!U516)</f>
        <v>6.2873467937451366</v>
      </c>
    </row>
    <row r="517" spans="2:34" x14ac:dyDescent="0.25">
      <c r="B517" s="16">
        <v>211.834</v>
      </c>
      <c r="C517" s="16">
        <v>7787</v>
      </c>
      <c r="D517" s="16">
        <v>514</v>
      </c>
      <c r="E517" s="113">
        <v>129</v>
      </c>
      <c r="F517" s="113">
        <v>121</v>
      </c>
      <c r="G517" s="113">
        <v>118.8</v>
      </c>
      <c r="H517" s="113">
        <f t="shared" ref="H517:H580" si="61">G517/3.6</f>
        <v>33</v>
      </c>
      <c r="I517" s="113">
        <v>10.7</v>
      </c>
      <c r="J517" s="113">
        <v>16.39</v>
      </c>
      <c r="K517" s="113">
        <v>-49.1</v>
      </c>
      <c r="L517" s="183"/>
      <c r="M517" s="16">
        <v>514</v>
      </c>
      <c r="N517" s="16">
        <f t="shared" si="56"/>
        <v>3.0574200371758519E-2</v>
      </c>
      <c r="O517" s="16">
        <v>2</v>
      </c>
      <c r="P517" s="16">
        <f t="shared" si="59"/>
        <v>12.715447154471546</v>
      </c>
      <c r="Q517" s="16">
        <f t="shared" si="57"/>
        <v>32.707314920448518</v>
      </c>
      <c r="R517" s="113">
        <f t="shared" si="60"/>
        <v>373.41300000000001</v>
      </c>
      <c r="S517" s="16">
        <f>IF(S516=15800,15800,ROUND((((Q517*60)/'Gearing Calculator'!$C$14)*'Track Data'!P517),-2))</f>
        <v>12600</v>
      </c>
      <c r="T517" s="16">
        <f t="shared" ref="T517:T580" si="62">AH517</f>
        <v>6.2873467937451366</v>
      </c>
      <c r="U517" s="16">
        <f>IF(AC517=100,Braking!$AG$2354,IF(AC517=50,Braking!$AG$1179,IF(AC517=75,Braking!$AG$1767,0)))</f>
        <v>0</v>
      </c>
      <c r="V517" s="16">
        <f>0.5*'Gearing Calculator'!$C$15*'Gearing Calculator'!$C$20*'Gearing Calculator'!$W$20*('Track Data'!Q517^2)</f>
        <v>113.22429267448291</v>
      </c>
      <c r="W517" s="16">
        <f>('Gearing Calculator'!$U$9*'Track Data'!T517)+'Track Data'!V517</f>
        <v>1786.9160091694382</v>
      </c>
      <c r="X517" s="16">
        <f>('Gearing Calculator'!$U$9*9.81)*('Gearing Calculator'!$U$16/'Gearing Calculator'!$C$7)-(('Track Data'!W517)*('Gearing Calculator'!$U$17/'Gearing Calculator'!$C$7))</f>
        <v>427.17103983758352</v>
      </c>
      <c r="Y517" s="16">
        <f>('Gearing Calculator'!$U$9*9.81)*(('Gearing Calculator'!$C$7-'Gearing Calculator'!$U$16)/'Gearing Calculator'!$C$7)+(('Track Data'!W517)*('Gearing Calculator'!$U$17/'Gearing Calculator'!$C$7))</f>
        <v>2184.2509601624165</v>
      </c>
      <c r="Z517" s="16">
        <f>((X517*COS('Gearing Calculator'!$C$21))/'Gearing Calculator'!$C$22)/2</f>
        <v>13.206777524884764</v>
      </c>
      <c r="AA517" s="16">
        <f>Y517/'Gearing Calculator'!$C$24</f>
        <v>30.49946948247559</v>
      </c>
      <c r="AB517" s="16">
        <f t="shared" si="58"/>
        <v>125.79898626197318</v>
      </c>
      <c r="AC517" s="16">
        <v>0</v>
      </c>
      <c r="AD517" s="16">
        <v>-50.419976243670298</v>
      </c>
      <c r="AE517" s="16">
        <v>514</v>
      </c>
      <c r="AF517" s="16">
        <f>IF(AC517=0,IF(O517=6,INDEX(Acceleration!$V$4:$V$110,MATCH('Track Data'!S517,Acceleration!$K$4:$K$110,0)),IF('Track Data'!O517=5,INDEX(Acceleration!$U$4:$U$110,MATCH('Track Data'!S517,Acceleration!$K$4:$K$110,0)),1)),U517)</f>
        <v>1</v>
      </c>
      <c r="AG517" s="16">
        <f>IF(AC517=0,IF(O517=4,INDEX(Acceleration!$T$4:$T$110,MATCH('Track Data'!S517,Acceleration!$K$4:$K$110,0)),IF('Track Data'!O517=3,INDEX(Acceleration!$S$4:$S$110,MATCH('Track Data'!S517,Acceleration!$K$4:$K$110,0)),'Track Data'!AF517)),'Track Data'!U517)</f>
        <v>1</v>
      </c>
      <c r="AH517" s="16">
        <f>IF(AC517=0,IF(O517=2,INDEX(Acceleration!$R$4:$R$110,MATCH('Track Data'!S517,Acceleration!$K$4:$K$110,0)),IF('Track Data'!O517=1,INDEX(Acceleration!$Q$4:$Q$110,MATCH('Track Data'!S517,Acceleration!$K$4:$K$110,0)),'Track Data'!AG517)),'Track Data'!U517)</f>
        <v>6.2873467937451366</v>
      </c>
    </row>
    <row r="518" spans="2:34" x14ac:dyDescent="0.25">
      <c r="B518" s="16">
        <v>211.864</v>
      </c>
      <c r="C518" s="16">
        <v>7788</v>
      </c>
      <c r="D518" s="16">
        <v>515</v>
      </c>
      <c r="E518" s="113">
        <v>129</v>
      </c>
      <c r="F518" s="113">
        <v>120.9</v>
      </c>
      <c r="G518" s="113">
        <v>119.4</v>
      </c>
      <c r="H518" s="113">
        <f t="shared" si="61"/>
        <v>33.166666666666664</v>
      </c>
      <c r="I518" s="113">
        <v>7.1</v>
      </c>
      <c r="J518" s="113">
        <v>11.72</v>
      </c>
      <c r="K518" s="113">
        <v>-49.5</v>
      </c>
      <c r="L518" s="183"/>
      <c r="M518" s="16">
        <v>515</v>
      </c>
      <c r="N518" s="16">
        <f t="shared" ref="N518:N581" si="63">1/Q518</f>
        <v>3.0574200371758519E-2</v>
      </c>
      <c r="O518" s="16">
        <v>2</v>
      </c>
      <c r="P518" s="16">
        <f t="shared" si="59"/>
        <v>12.715447154471546</v>
      </c>
      <c r="Q518" s="16">
        <f t="shared" ref="Q518:Q581" si="64">IF(AD517=0,SQRT(Q517^2+(2*T517)),Q517)</f>
        <v>32.707314920448518</v>
      </c>
      <c r="R518" s="113">
        <f t="shared" si="60"/>
        <v>373.41300000000001</v>
      </c>
      <c r="S518" s="16">
        <f>IF(S517=15800,15800,ROUND((((Q518*60)/'Gearing Calculator'!$C$14)*'Track Data'!P518),-2))</f>
        <v>12600</v>
      </c>
      <c r="T518" s="16">
        <f t="shared" si="62"/>
        <v>6.2873467937451366</v>
      </c>
      <c r="U518" s="16">
        <f>IF(AC518=100,Braking!$AG$2354,IF(AC518=50,Braking!$AG$1179,IF(AC518=75,Braking!$AG$1767,0)))</f>
        <v>0</v>
      </c>
      <c r="V518" s="16">
        <f>0.5*'Gearing Calculator'!$C$15*'Gearing Calculator'!$C$20*'Gearing Calculator'!$W$20*('Track Data'!Q518^2)</f>
        <v>113.22429267448291</v>
      </c>
      <c r="W518" s="16">
        <f>('Gearing Calculator'!$U$9*'Track Data'!T518)+'Track Data'!V518</f>
        <v>1786.9160091694382</v>
      </c>
      <c r="X518" s="16">
        <f>('Gearing Calculator'!$U$9*9.81)*('Gearing Calculator'!$U$16/'Gearing Calculator'!$C$7)-(('Track Data'!W518)*('Gearing Calculator'!$U$17/'Gearing Calculator'!$C$7))</f>
        <v>427.17103983758352</v>
      </c>
      <c r="Y518" s="16">
        <f>('Gearing Calculator'!$U$9*9.81)*(('Gearing Calculator'!$C$7-'Gearing Calculator'!$U$16)/'Gearing Calculator'!$C$7)+(('Track Data'!W518)*('Gearing Calculator'!$U$17/'Gearing Calculator'!$C$7))</f>
        <v>2184.2509601624165</v>
      </c>
      <c r="Z518" s="16">
        <f>((X518*COS('Gearing Calculator'!$C$21))/'Gearing Calculator'!$C$22)/2</f>
        <v>13.206777524884764</v>
      </c>
      <c r="AA518" s="16">
        <f>Y518/'Gearing Calculator'!$C$24</f>
        <v>30.49946948247559</v>
      </c>
      <c r="AB518" s="16">
        <f t="shared" si="58"/>
        <v>125.79898626197318</v>
      </c>
      <c r="AC518" s="16">
        <v>0</v>
      </c>
      <c r="AD518" s="16">
        <v>-50.419976243670298</v>
      </c>
      <c r="AE518" s="16">
        <v>515</v>
      </c>
      <c r="AF518" s="16">
        <f>IF(AC518=0,IF(O518=6,INDEX(Acceleration!$V$4:$V$110,MATCH('Track Data'!S518,Acceleration!$K$4:$K$110,0)),IF('Track Data'!O518=5,INDEX(Acceleration!$U$4:$U$110,MATCH('Track Data'!S518,Acceleration!$K$4:$K$110,0)),1)),U518)</f>
        <v>1</v>
      </c>
      <c r="AG518" s="16">
        <f>IF(AC518=0,IF(O518=4,INDEX(Acceleration!$T$4:$T$110,MATCH('Track Data'!S518,Acceleration!$K$4:$K$110,0)),IF('Track Data'!O518=3,INDEX(Acceleration!$S$4:$S$110,MATCH('Track Data'!S518,Acceleration!$K$4:$K$110,0)),'Track Data'!AF518)),'Track Data'!U518)</f>
        <v>1</v>
      </c>
      <c r="AH518" s="16">
        <f>IF(AC518=0,IF(O518=2,INDEX(Acceleration!$R$4:$R$110,MATCH('Track Data'!S518,Acceleration!$K$4:$K$110,0)),IF('Track Data'!O518=1,INDEX(Acceleration!$Q$4:$Q$110,MATCH('Track Data'!S518,Acceleration!$K$4:$K$110,0)),'Track Data'!AG518)),'Track Data'!U518)</f>
        <v>6.2873467937451366</v>
      </c>
    </row>
    <row r="519" spans="2:34" x14ac:dyDescent="0.25">
      <c r="B519" s="16">
        <v>211.893</v>
      </c>
      <c r="C519" s="16">
        <v>7789</v>
      </c>
      <c r="D519" s="16">
        <v>516</v>
      </c>
      <c r="E519" s="113">
        <v>129</v>
      </c>
      <c r="F519" s="113">
        <v>121</v>
      </c>
      <c r="G519" s="113">
        <v>120</v>
      </c>
      <c r="H519" s="113">
        <f t="shared" si="61"/>
        <v>33.333333333333336</v>
      </c>
      <c r="I519" s="113">
        <v>2.9</v>
      </c>
      <c r="J519" s="113">
        <v>7.22</v>
      </c>
      <c r="K519" s="113">
        <v>-50</v>
      </c>
      <c r="L519" s="183"/>
      <c r="M519" s="16">
        <v>516</v>
      </c>
      <c r="N519" s="16">
        <f t="shared" si="63"/>
        <v>3.0574200371758519E-2</v>
      </c>
      <c r="O519" s="16">
        <v>2</v>
      </c>
      <c r="P519" s="16">
        <f t="shared" si="59"/>
        <v>12.715447154471546</v>
      </c>
      <c r="Q519" s="16">
        <f t="shared" si="64"/>
        <v>32.707314920448518</v>
      </c>
      <c r="R519" s="113">
        <f t="shared" si="60"/>
        <v>373.41300000000001</v>
      </c>
      <c r="S519" s="16">
        <f>IF(S518=15800,15800,ROUND((((Q519*60)/'Gearing Calculator'!$C$14)*'Track Data'!P519),-2))</f>
        <v>12600</v>
      </c>
      <c r="T519" s="16">
        <f t="shared" si="62"/>
        <v>6.2873467937451366</v>
      </c>
      <c r="U519" s="16">
        <f>IF(AC519=100,Braking!$AG$2354,IF(AC519=50,Braking!$AG$1179,IF(AC519=75,Braking!$AG$1767,0)))</f>
        <v>0</v>
      </c>
      <c r="V519" s="16">
        <f>0.5*'Gearing Calculator'!$C$15*'Gearing Calculator'!$C$20*'Gearing Calculator'!$W$20*('Track Data'!Q519^2)</f>
        <v>113.22429267448291</v>
      </c>
      <c r="W519" s="16">
        <f>('Gearing Calculator'!$U$9*'Track Data'!T519)+'Track Data'!V519</f>
        <v>1786.9160091694382</v>
      </c>
      <c r="X519" s="16">
        <f>('Gearing Calculator'!$U$9*9.81)*('Gearing Calculator'!$U$16/'Gearing Calculator'!$C$7)-(('Track Data'!W519)*('Gearing Calculator'!$U$17/'Gearing Calculator'!$C$7))</f>
        <v>427.17103983758352</v>
      </c>
      <c r="Y519" s="16">
        <f>('Gearing Calculator'!$U$9*9.81)*(('Gearing Calculator'!$C$7-'Gearing Calculator'!$U$16)/'Gearing Calculator'!$C$7)+(('Track Data'!W519)*('Gearing Calculator'!$U$17/'Gearing Calculator'!$C$7))</f>
        <v>2184.2509601624165</v>
      </c>
      <c r="Z519" s="16">
        <f>((X519*COS('Gearing Calculator'!$C$21))/'Gearing Calculator'!$C$22)/2</f>
        <v>13.206777524884764</v>
      </c>
      <c r="AA519" s="16">
        <f>Y519/'Gearing Calculator'!$C$24</f>
        <v>30.49946948247559</v>
      </c>
      <c r="AB519" s="16">
        <f t="shared" si="58"/>
        <v>125.79898626197318</v>
      </c>
      <c r="AC519" s="16">
        <v>0</v>
      </c>
      <c r="AD519" s="16">
        <v>-50.419976243670298</v>
      </c>
      <c r="AE519" s="16">
        <v>516</v>
      </c>
      <c r="AF519" s="16">
        <f>IF(AC519=0,IF(O519=6,INDEX(Acceleration!$V$4:$V$110,MATCH('Track Data'!S519,Acceleration!$K$4:$K$110,0)),IF('Track Data'!O519=5,INDEX(Acceleration!$U$4:$U$110,MATCH('Track Data'!S519,Acceleration!$K$4:$K$110,0)),1)),U519)</f>
        <v>1</v>
      </c>
      <c r="AG519" s="16">
        <f>IF(AC519=0,IF(O519=4,INDEX(Acceleration!$T$4:$T$110,MATCH('Track Data'!S519,Acceleration!$K$4:$K$110,0)),IF('Track Data'!O519=3,INDEX(Acceleration!$S$4:$S$110,MATCH('Track Data'!S519,Acceleration!$K$4:$K$110,0)),'Track Data'!AF519)),'Track Data'!U519)</f>
        <v>1</v>
      </c>
      <c r="AH519" s="16">
        <f>IF(AC519=0,IF(O519=2,INDEX(Acceleration!$R$4:$R$110,MATCH('Track Data'!S519,Acceleration!$K$4:$K$110,0)),IF('Track Data'!O519=1,INDEX(Acceleration!$Q$4:$Q$110,MATCH('Track Data'!S519,Acceleration!$K$4:$K$110,0)),'Track Data'!AG519)),'Track Data'!U519)</f>
        <v>6.2873467937451366</v>
      </c>
    </row>
    <row r="520" spans="2:34" x14ac:dyDescent="0.25">
      <c r="B520" s="16">
        <v>211.923</v>
      </c>
      <c r="C520" s="16">
        <v>7790</v>
      </c>
      <c r="D520" s="16">
        <v>517</v>
      </c>
      <c r="E520" s="113">
        <v>130</v>
      </c>
      <c r="F520" s="113">
        <v>121.2</v>
      </c>
      <c r="G520" s="113">
        <v>120.6</v>
      </c>
      <c r="H520" s="113">
        <f t="shared" si="61"/>
        <v>33.5</v>
      </c>
      <c r="I520" s="113">
        <v>0.2</v>
      </c>
      <c r="J520" s="113">
        <v>4.96</v>
      </c>
      <c r="K520" s="113">
        <v>-50.3</v>
      </c>
      <c r="L520" s="183"/>
      <c r="M520" s="16">
        <v>517</v>
      </c>
      <c r="N520" s="16">
        <f t="shared" si="63"/>
        <v>3.0574200371758519E-2</v>
      </c>
      <c r="O520" s="16">
        <v>2</v>
      </c>
      <c r="P520" s="16">
        <f t="shared" si="59"/>
        <v>12.715447154471546</v>
      </c>
      <c r="Q520" s="16">
        <f t="shared" si="64"/>
        <v>32.707314920448518</v>
      </c>
      <c r="R520" s="113">
        <f t="shared" si="60"/>
        <v>373.41300000000001</v>
      </c>
      <c r="S520" s="16">
        <f>IF(S519=15800,15800,ROUND((((Q520*60)/'Gearing Calculator'!$C$14)*'Track Data'!P520),-2))</f>
        <v>12600</v>
      </c>
      <c r="T520" s="16">
        <f t="shared" si="62"/>
        <v>6.2873467937451366</v>
      </c>
      <c r="U520" s="16">
        <f>IF(AC520=100,Braking!$AG$2354,IF(AC520=50,Braking!$AG$1179,IF(AC520=75,Braking!$AG$1767,0)))</f>
        <v>0</v>
      </c>
      <c r="V520" s="16">
        <f>0.5*'Gearing Calculator'!$C$15*'Gearing Calculator'!$C$20*'Gearing Calculator'!$W$20*('Track Data'!Q520^2)</f>
        <v>113.22429267448291</v>
      </c>
      <c r="W520" s="16">
        <f>('Gearing Calculator'!$U$9*'Track Data'!T520)+'Track Data'!V520</f>
        <v>1786.9160091694382</v>
      </c>
      <c r="X520" s="16">
        <f>('Gearing Calculator'!$U$9*9.81)*('Gearing Calculator'!$U$16/'Gearing Calculator'!$C$7)-(('Track Data'!W520)*('Gearing Calculator'!$U$17/'Gearing Calculator'!$C$7))</f>
        <v>427.17103983758352</v>
      </c>
      <c r="Y520" s="16">
        <f>('Gearing Calculator'!$U$9*9.81)*(('Gearing Calculator'!$C$7-'Gearing Calculator'!$U$16)/'Gearing Calculator'!$C$7)+(('Track Data'!W520)*('Gearing Calculator'!$U$17/'Gearing Calculator'!$C$7))</f>
        <v>2184.2509601624165</v>
      </c>
      <c r="Z520" s="16">
        <f>((X520*COS('Gearing Calculator'!$C$21))/'Gearing Calculator'!$C$22)/2</f>
        <v>13.206777524884764</v>
      </c>
      <c r="AA520" s="16">
        <f>Y520/'Gearing Calculator'!$C$24</f>
        <v>30.49946948247559</v>
      </c>
      <c r="AB520" s="16">
        <f t="shared" si="58"/>
        <v>125.79898626197318</v>
      </c>
      <c r="AC520" s="16">
        <v>0</v>
      </c>
      <c r="AD520" s="16">
        <v>-50.419976243670298</v>
      </c>
      <c r="AE520" s="16">
        <v>517</v>
      </c>
      <c r="AF520" s="16">
        <f>IF(AC520=0,IF(O520=6,INDEX(Acceleration!$V$4:$V$110,MATCH('Track Data'!S520,Acceleration!$K$4:$K$110,0)),IF('Track Data'!O520=5,INDEX(Acceleration!$U$4:$U$110,MATCH('Track Data'!S520,Acceleration!$K$4:$K$110,0)),1)),U520)</f>
        <v>1</v>
      </c>
      <c r="AG520" s="16">
        <f>IF(AC520=0,IF(O520=4,INDEX(Acceleration!$T$4:$T$110,MATCH('Track Data'!S520,Acceleration!$K$4:$K$110,0)),IF('Track Data'!O520=3,INDEX(Acceleration!$S$4:$S$110,MATCH('Track Data'!S520,Acceleration!$K$4:$K$110,0)),'Track Data'!AF520)),'Track Data'!U520)</f>
        <v>1</v>
      </c>
      <c r="AH520" s="16">
        <f>IF(AC520=0,IF(O520=2,INDEX(Acceleration!$R$4:$R$110,MATCH('Track Data'!S520,Acceleration!$K$4:$K$110,0)),IF('Track Data'!O520=1,INDEX(Acceleration!$Q$4:$Q$110,MATCH('Track Data'!S520,Acceleration!$K$4:$K$110,0)),'Track Data'!AG520)),'Track Data'!U520)</f>
        <v>6.2873467937451366</v>
      </c>
    </row>
    <row r="521" spans="2:34" x14ac:dyDescent="0.25">
      <c r="B521" s="16">
        <v>211.952</v>
      </c>
      <c r="C521" s="16">
        <v>7791</v>
      </c>
      <c r="D521" s="16">
        <v>518</v>
      </c>
      <c r="E521" s="113">
        <v>131</v>
      </c>
      <c r="F521" s="113">
        <v>121.1</v>
      </c>
      <c r="G521" s="113">
        <v>121.2</v>
      </c>
      <c r="H521" s="113">
        <f t="shared" si="61"/>
        <v>33.666666666666664</v>
      </c>
      <c r="I521" s="113">
        <v>-0.9</v>
      </c>
      <c r="J521" s="113">
        <v>2.5</v>
      </c>
      <c r="K521" s="113">
        <v>-49.6</v>
      </c>
      <c r="L521" s="183"/>
      <c r="M521" s="16">
        <v>518</v>
      </c>
      <c r="N521" s="16">
        <f t="shared" si="63"/>
        <v>3.0574200371758519E-2</v>
      </c>
      <c r="O521" s="16">
        <v>2</v>
      </c>
      <c r="P521" s="16">
        <f t="shared" si="59"/>
        <v>12.715447154471546</v>
      </c>
      <c r="Q521" s="16">
        <f t="shared" si="64"/>
        <v>32.707314920448518</v>
      </c>
      <c r="R521" s="113">
        <f t="shared" si="60"/>
        <v>373.41300000000001</v>
      </c>
      <c r="S521" s="16">
        <f>IF(S520=15800,15800,ROUND((((Q521*60)/'Gearing Calculator'!$C$14)*'Track Data'!P521),-2))</f>
        <v>12600</v>
      </c>
      <c r="T521" s="16">
        <f t="shared" si="62"/>
        <v>6.2873467937451366</v>
      </c>
      <c r="U521" s="16">
        <f>IF(AC521=100,Braking!$AG$2354,IF(AC521=50,Braking!$AG$1179,IF(AC521=75,Braking!$AG$1767,0)))</f>
        <v>0</v>
      </c>
      <c r="V521" s="16">
        <f>0.5*'Gearing Calculator'!$C$15*'Gearing Calculator'!$C$20*'Gearing Calculator'!$W$20*('Track Data'!Q521^2)</f>
        <v>113.22429267448291</v>
      </c>
      <c r="W521" s="16">
        <f>('Gearing Calculator'!$U$9*'Track Data'!T521)+'Track Data'!V521</f>
        <v>1786.9160091694382</v>
      </c>
      <c r="X521" s="16">
        <f>('Gearing Calculator'!$U$9*9.81)*('Gearing Calculator'!$U$16/'Gearing Calculator'!$C$7)-(('Track Data'!W521)*('Gearing Calculator'!$U$17/'Gearing Calculator'!$C$7))</f>
        <v>427.17103983758352</v>
      </c>
      <c r="Y521" s="16">
        <f>('Gearing Calculator'!$U$9*9.81)*(('Gearing Calculator'!$C$7-'Gearing Calculator'!$U$16)/'Gearing Calculator'!$C$7)+(('Track Data'!W521)*('Gearing Calculator'!$U$17/'Gearing Calculator'!$C$7))</f>
        <v>2184.2509601624165</v>
      </c>
      <c r="Z521" s="16">
        <f>((X521*COS('Gearing Calculator'!$C$21))/'Gearing Calculator'!$C$22)/2</f>
        <v>13.206777524884764</v>
      </c>
      <c r="AA521" s="16">
        <f>Y521/'Gearing Calculator'!$C$24</f>
        <v>30.49946948247559</v>
      </c>
      <c r="AB521" s="16">
        <f t="shared" si="58"/>
        <v>125.79898626197318</v>
      </c>
      <c r="AC521" s="16">
        <v>0</v>
      </c>
      <c r="AD521" s="16">
        <v>-50.419976243670298</v>
      </c>
      <c r="AE521" s="16">
        <v>518</v>
      </c>
      <c r="AF521" s="16">
        <f>IF(AC521=0,IF(O521=6,INDEX(Acceleration!$V$4:$V$110,MATCH('Track Data'!S521,Acceleration!$K$4:$K$110,0)),IF('Track Data'!O521=5,INDEX(Acceleration!$U$4:$U$110,MATCH('Track Data'!S521,Acceleration!$K$4:$K$110,0)),1)),U521)</f>
        <v>1</v>
      </c>
      <c r="AG521" s="16">
        <f>IF(AC521=0,IF(O521=4,INDEX(Acceleration!$T$4:$T$110,MATCH('Track Data'!S521,Acceleration!$K$4:$K$110,0)),IF('Track Data'!O521=3,INDEX(Acceleration!$S$4:$S$110,MATCH('Track Data'!S521,Acceleration!$K$4:$K$110,0)),'Track Data'!AF521)),'Track Data'!U521)</f>
        <v>1</v>
      </c>
      <c r="AH521" s="16">
        <f>IF(AC521=0,IF(O521=2,INDEX(Acceleration!$R$4:$R$110,MATCH('Track Data'!S521,Acceleration!$K$4:$K$110,0)),IF('Track Data'!O521=1,INDEX(Acceleration!$Q$4:$Q$110,MATCH('Track Data'!S521,Acceleration!$K$4:$K$110,0)),'Track Data'!AG521)),'Track Data'!U521)</f>
        <v>6.2873467937451366</v>
      </c>
    </row>
    <row r="522" spans="2:34" x14ac:dyDescent="0.25">
      <c r="B522" s="16">
        <v>211.982</v>
      </c>
      <c r="C522" s="16">
        <v>7792</v>
      </c>
      <c r="D522" s="16">
        <v>519</v>
      </c>
      <c r="E522" s="113">
        <v>130</v>
      </c>
      <c r="F522" s="113">
        <v>122.9</v>
      </c>
      <c r="G522" s="113">
        <v>121.8</v>
      </c>
      <c r="H522" s="113">
        <f t="shared" si="61"/>
        <v>33.833333333333329</v>
      </c>
      <c r="I522" s="113">
        <v>-0.6</v>
      </c>
      <c r="J522" s="113">
        <v>1.19</v>
      </c>
      <c r="K522" s="113">
        <v>-48.9</v>
      </c>
      <c r="L522" s="183"/>
      <c r="M522" s="16">
        <v>519</v>
      </c>
      <c r="N522" s="16">
        <f t="shared" si="63"/>
        <v>3.0574200371758519E-2</v>
      </c>
      <c r="O522" s="16">
        <v>2</v>
      </c>
      <c r="P522" s="16">
        <f t="shared" si="59"/>
        <v>12.715447154471546</v>
      </c>
      <c r="Q522" s="16">
        <f t="shared" si="64"/>
        <v>32.707314920448518</v>
      </c>
      <c r="R522" s="113">
        <f t="shared" si="60"/>
        <v>373.41300000000001</v>
      </c>
      <c r="S522" s="16">
        <f>IF(S521=15800,15800,ROUND((((Q522*60)/'Gearing Calculator'!$C$14)*'Track Data'!P522),-2))</f>
        <v>12600</v>
      </c>
      <c r="T522" s="16">
        <f t="shared" si="62"/>
        <v>6.2873467937451366</v>
      </c>
      <c r="U522" s="16">
        <f>IF(AC522=100,Braking!$AG$2354,IF(AC522=50,Braking!$AG$1179,IF(AC522=75,Braking!$AG$1767,0)))</f>
        <v>0</v>
      </c>
      <c r="V522" s="16">
        <f>0.5*'Gearing Calculator'!$C$15*'Gearing Calculator'!$C$20*'Gearing Calculator'!$W$20*('Track Data'!Q522^2)</f>
        <v>113.22429267448291</v>
      </c>
      <c r="W522" s="16">
        <f>('Gearing Calculator'!$U$9*'Track Data'!T522)+'Track Data'!V522</f>
        <v>1786.9160091694382</v>
      </c>
      <c r="X522" s="16">
        <f>('Gearing Calculator'!$U$9*9.81)*('Gearing Calculator'!$U$16/'Gearing Calculator'!$C$7)-(('Track Data'!W522)*('Gearing Calculator'!$U$17/'Gearing Calculator'!$C$7))</f>
        <v>427.17103983758352</v>
      </c>
      <c r="Y522" s="16">
        <f>('Gearing Calculator'!$U$9*9.81)*(('Gearing Calculator'!$C$7-'Gearing Calculator'!$U$16)/'Gearing Calculator'!$C$7)+(('Track Data'!W522)*('Gearing Calculator'!$U$17/'Gearing Calculator'!$C$7))</f>
        <v>2184.2509601624165</v>
      </c>
      <c r="Z522" s="16">
        <f>((X522*COS('Gearing Calculator'!$C$21))/'Gearing Calculator'!$C$22)/2</f>
        <v>13.206777524884764</v>
      </c>
      <c r="AA522" s="16">
        <f>Y522/'Gearing Calculator'!$C$24</f>
        <v>30.49946948247559</v>
      </c>
      <c r="AB522" s="16">
        <f t="shared" si="58"/>
        <v>125.79898626197318</v>
      </c>
      <c r="AC522" s="16">
        <v>0</v>
      </c>
      <c r="AD522" s="16">
        <v>-50.419976243670298</v>
      </c>
      <c r="AE522" s="16">
        <v>519</v>
      </c>
      <c r="AF522" s="16">
        <f>IF(AC522=0,IF(O522=6,INDEX(Acceleration!$V$4:$V$110,MATCH('Track Data'!S522,Acceleration!$K$4:$K$110,0)),IF('Track Data'!O522=5,INDEX(Acceleration!$U$4:$U$110,MATCH('Track Data'!S522,Acceleration!$K$4:$K$110,0)),1)),U522)</f>
        <v>1</v>
      </c>
      <c r="AG522" s="16">
        <f>IF(AC522=0,IF(O522=4,INDEX(Acceleration!$T$4:$T$110,MATCH('Track Data'!S522,Acceleration!$K$4:$K$110,0)),IF('Track Data'!O522=3,INDEX(Acceleration!$S$4:$S$110,MATCH('Track Data'!S522,Acceleration!$K$4:$K$110,0)),'Track Data'!AF522)),'Track Data'!U522)</f>
        <v>1</v>
      </c>
      <c r="AH522" s="16">
        <f>IF(AC522=0,IF(O522=2,INDEX(Acceleration!$R$4:$R$110,MATCH('Track Data'!S522,Acceleration!$K$4:$K$110,0)),IF('Track Data'!O522=1,INDEX(Acceleration!$Q$4:$Q$110,MATCH('Track Data'!S522,Acceleration!$K$4:$K$110,0)),'Track Data'!AG522)),'Track Data'!U522)</f>
        <v>6.2873467937451366</v>
      </c>
    </row>
    <row r="523" spans="2:34" x14ac:dyDescent="0.25">
      <c r="B523" s="16">
        <v>212.011</v>
      </c>
      <c r="C523" s="16">
        <v>7793</v>
      </c>
      <c r="D523" s="16">
        <v>520</v>
      </c>
      <c r="E523" s="113">
        <v>130</v>
      </c>
      <c r="F523" s="113">
        <v>124.8</v>
      </c>
      <c r="G523" s="113">
        <v>122.4</v>
      </c>
      <c r="H523" s="113">
        <f t="shared" si="61"/>
        <v>34</v>
      </c>
      <c r="I523" s="113">
        <v>0.5</v>
      </c>
      <c r="J523" s="113">
        <v>3.67</v>
      </c>
      <c r="K523" s="113">
        <v>-42.6</v>
      </c>
      <c r="L523" s="183"/>
      <c r="M523" s="16">
        <v>520</v>
      </c>
      <c r="N523" s="16">
        <f t="shared" si="63"/>
        <v>3.0574200371758519E-2</v>
      </c>
      <c r="O523" s="16">
        <v>2</v>
      </c>
      <c r="P523" s="16">
        <f t="shared" si="59"/>
        <v>12.715447154471546</v>
      </c>
      <c r="Q523" s="16">
        <f t="shared" si="64"/>
        <v>32.707314920448518</v>
      </c>
      <c r="R523" s="113">
        <f t="shared" si="60"/>
        <v>373.41300000000001</v>
      </c>
      <c r="S523" s="16">
        <f>IF(S522=15800,15800,ROUND((((Q523*60)/'Gearing Calculator'!$C$14)*'Track Data'!P523),-2))</f>
        <v>12600</v>
      </c>
      <c r="T523" s="16">
        <f t="shared" si="62"/>
        <v>6.2873467937451366</v>
      </c>
      <c r="U523" s="16">
        <f>IF(AC523=100,Braking!$AG$2354,IF(AC523=50,Braking!$AG$1179,IF(AC523=75,Braking!$AG$1767,0)))</f>
        <v>0</v>
      </c>
      <c r="V523" s="16">
        <f>0.5*'Gearing Calculator'!$C$15*'Gearing Calculator'!$C$20*'Gearing Calculator'!$W$20*('Track Data'!Q523^2)</f>
        <v>113.22429267448291</v>
      </c>
      <c r="W523" s="16">
        <f>('Gearing Calculator'!$U$9*'Track Data'!T523)+'Track Data'!V523</f>
        <v>1786.9160091694382</v>
      </c>
      <c r="X523" s="16">
        <f>('Gearing Calculator'!$U$9*9.81)*('Gearing Calculator'!$U$16/'Gearing Calculator'!$C$7)-(('Track Data'!W523)*('Gearing Calculator'!$U$17/'Gearing Calculator'!$C$7))</f>
        <v>427.17103983758352</v>
      </c>
      <c r="Y523" s="16">
        <f>('Gearing Calculator'!$U$9*9.81)*(('Gearing Calculator'!$C$7-'Gearing Calculator'!$U$16)/'Gearing Calculator'!$C$7)+(('Track Data'!W523)*('Gearing Calculator'!$U$17/'Gearing Calculator'!$C$7))</f>
        <v>2184.2509601624165</v>
      </c>
      <c r="Z523" s="16">
        <f>((X523*COS('Gearing Calculator'!$C$21))/'Gearing Calculator'!$C$22)/2</f>
        <v>13.206777524884764</v>
      </c>
      <c r="AA523" s="16">
        <f>Y523/'Gearing Calculator'!$C$24</f>
        <v>30.49946948247559</v>
      </c>
      <c r="AB523" s="16">
        <f t="shared" si="58"/>
        <v>125.79898626197318</v>
      </c>
      <c r="AC523" s="16">
        <v>0</v>
      </c>
      <c r="AD523" s="16">
        <v>-50.419976243670298</v>
      </c>
      <c r="AE523" s="16">
        <v>520</v>
      </c>
      <c r="AF523" s="16">
        <f>IF(AC523=0,IF(O523=6,INDEX(Acceleration!$V$4:$V$110,MATCH('Track Data'!S523,Acceleration!$K$4:$K$110,0)),IF('Track Data'!O523=5,INDEX(Acceleration!$U$4:$U$110,MATCH('Track Data'!S523,Acceleration!$K$4:$K$110,0)),1)),U523)</f>
        <v>1</v>
      </c>
      <c r="AG523" s="16">
        <f>IF(AC523=0,IF(O523=4,INDEX(Acceleration!$T$4:$T$110,MATCH('Track Data'!S523,Acceleration!$K$4:$K$110,0)),IF('Track Data'!O523=3,INDEX(Acceleration!$S$4:$S$110,MATCH('Track Data'!S523,Acceleration!$K$4:$K$110,0)),'Track Data'!AF523)),'Track Data'!U523)</f>
        <v>1</v>
      </c>
      <c r="AH523" s="16">
        <f>IF(AC523=0,IF(O523=2,INDEX(Acceleration!$R$4:$R$110,MATCH('Track Data'!S523,Acceleration!$K$4:$K$110,0)),IF('Track Data'!O523=1,INDEX(Acceleration!$Q$4:$Q$110,MATCH('Track Data'!S523,Acceleration!$K$4:$K$110,0)),'Track Data'!AG523)),'Track Data'!U523)</f>
        <v>6.2873467937451366</v>
      </c>
    </row>
    <row r="524" spans="2:34" ht="15.75" thickBot="1" x14ac:dyDescent="0.3">
      <c r="B524" s="16">
        <v>212.041</v>
      </c>
      <c r="C524" s="16">
        <v>7794</v>
      </c>
      <c r="D524" s="16">
        <v>521</v>
      </c>
      <c r="E524" s="113">
        <v>129</v>
      </c>
      <c r="F524" s="113">
        <v>126.1</v>
      </c>
      <c r="G524" s="113">
        <v>123</v>
      </c>
      <c r="H524" s="113">
        <f t="shared" si="61"/>
        <v>34.166666666666664</v>
      </c>
      <c r="I524" s="113">
        <v>2.9</v>
      </c>
      <c r="J524" s="113">
        <v>17.66</v>
      </c>
      <c r="K524" s="113">
        <v>-29.8</v>
      </c>
      <c r="L524" s="194"/>
      <c r="M524" s="16">
        <v>521</v>
      </c>
      <c r="N524" s="16">
        <f t="shared" si="63"/>
        <v>3.0574200371758519E-2</v>
      </c>
      <c r="O524" s="16">
        <v>2</v>
      </c>
      <c r="P524" s="16">
        <f t="shared" si="59"/>
        <v>12.715447154471546</v>
      </c>
      <c r="Q524" s="16">
        <f t="shared" si="64"/>
        <v>32.707314920448518</v>
      </c>
      <c r="R524" s="113">
        <f t="shared" si="60"/>
        <v>373.41300000000001</v>
      </c>
      <c r="S524" s="16">
        <f>IF(S523=15800,15800,ROUND((((Q524*60)/'Gearing Calculator'!$C$14)*'Track Data'!P524),-2))</f>
        <v>12600</v>
      </c>
      <c r="T524" s="16">
        <f t="shared" si="62"/>
        <v>6.2873467937451366</v>
      </c>
      <c r="U524" s="16">
        <f>IF(AC524=100,Braking!$AG$2354,IF(AC524=50,Braking!$AG$1179,IF(AC524=75,Braking!$AG$1767,0)))</f>
        <v>0</v>
      </c>
      <c r="V524" s="16">
        <f>0.5*'Gearing Calculator'!$C$15*'Gearing Calculator'!$C$20*'Gearing Calculator'!$W$20*('Track Data'!Q524^2)</f>
        <v>113.22429267448291</v>
      </c>
      <c r="W524" s="16">
        <f>('Gearing Calculator'!$U$9*'Track Data'!T524)+'Track Data'!V524</f>
        <v>1786.9160091694382</v>
      </c>
      <c r="X524" s="16">
        <f>('Gearing Calculator'!$U$9*9.81)*('Gearing Calculator'!$U$16/'Gearing Calculator'!$C$7)-(('Track Data'!W524)*('Gearing Calculator'!$U$17/'Gearing Calculator'!$C$7))</f>
        <v>427.17103983758352</v>
      </c>
      <c r="Y524" s="16">
        <f>('Gearing Calculator'!$U$9*9.81)*(('Gearing Calculator'!$C$7-'Gearing Calculator'!$U$16)/'Gearing Calculator'!$C$7)+(('Track Data'!W524)*('Gearing Calculator'!$U$17/'Gearing Calculator'!$C$7))</f>
        <v>2184.2509601624165</v>
      </c>
      <c r="Z524" s="16">
        <f>((X524*COS('Gearing Calculator'!$C$21))/'Gearing Calculator'!$C$22)/2</f>
        <v>13.206777524884764</v>
      </c>
      <c r="AA524" s="16">
        <f>Y524/'Gearing Calculator'!$C$24</f>
        <v>30.49946948247559</v>
      </c>
      <c r="AB524" s="16">
        <f t="shared" si="58"/>
        <v>125.79898626197318</v>
      </c>
      <c r="AC524" s="16">
        <v>0</v>
      </c>
      <c r="AD524" s="16">
        <v>-50.419976243670298</v>
      </c>
      <c r="AE524" s="16">
        <v>521</v>
      </c>
      <c r="AF524" s="16">
        <f>IF(AC524=0,IF(O524=6,INDEX(Acceleration!$V$4:$V$110,MATCH('Track Data'!S524,Acceleration!$K$4:$K$110,0)),IF('Track Data'!O524=5,INDEX(Acceleration!$U$4:$U$110,MATCH('Track Data'!S524,Acceleration!$K$4:$K$110,0)),1)),U524)</f>
        <v>1</v>
      </c>
      <c r="AG524" s="16">
        <f>IF(AC524=0,IF(O524=4,INDEX(Acceleration!$T$4:$T$110,MATCH('Track Data'!S524,Acceleration!$K$4:$K$110,0)),IF('Track Data'!O524=3,INDEX(Acceleration!$S$4:$S$110,MATCH('Track Data'!S524,Acceleration!$K$4:$K$110,0)),'Track Data'!AF524)),'Track Data'!U524)</f>
        <v>1</v>
      </c>
      <c r="AH524" s="16">
        <f>IF(AC524=0,IF(O524=2,INDEX(Acceleration!$R$4:$R$110,MATCH('Track Data'!S524,Acceleration!$K$4:$K$110,0)),IF('Track Data'!O524=1,INDEX(Acceleration!$Q$4:$Q$110,MATCH('Track Data'!S524,Acceleration!$K$4:$K$110,0)),'Track Data'!AG524)),'Track Data'!U524)</f>
        <v>6.2873467937451366</v>
      </c>
    </row>
    <row r="525" spans="2:34" x14ac:dyDescent="0.25">
      <c r="B525" s="16">
        <v>212.06899999999999</v>
      </c>
      <c r="C525" s="16">
        <v>7795</v>
      </c>
      <c r="D525" s="16">
        <v>522</v>
      </c>
      <c r="E525" s="113">
        <v>128</v>
      </c>
      <c r="F525" s="113">
        <v>125.8</v>
      </c>
      <c r="G525" s="113">
        <v>123.3</v>
      </c>
      <c r="H525" s="113">
        <f t="shared" si="61"/>
        <v>34.25</v>
      </c>
      <c r="I525" s="113">
        <v>5.0999999999999996</v>
      </c>
      <c r="J525" s="113">
        <v>22.03</v>
      </c>
      <c r="K525" s="113">
        <v>-21.3</v>
      </c>
      <c r="L525" s="184" t="s">
        <v>187</v>
      </c>
      <c r="M525" s="16">
        <v>522</v>
      </c>
      <c r="N525" s="16">
        <f t="shared" si="63"/>
        <v>3.0574200371758519E-2</v>
      </c>
      <c r="O525" s="16">
        <v>2</v>
      </c>
      <c r="P525" s="16">
        <f t="shared" si="59"/>
        <v>12.715447154471546</v>
      </c>
      <c r="Q525" s="16">
        <f t="shared" si="64"/>
        <v>32.707314920448518</v>
      </c>
      <c r="R525" s="113">
        <f t="shared" si="60"/>
        <v>373.41300000000001</v>
      </c>
      <c r="S525" s="16">
        <f>IF(S524=15800,15800,ROUND((((Q525*60)/'Gearing Calculator'!$C$14)*'Track Data'!P525),-2))</f>
        <v>12600</v>
      </c>
      <c r="T525" s="16">
        <f t="shared" si="62"/>
        <v>6.2873467937451366</v>
      </c>
      <c r="U525" s="16">
        <f>IF(AC525=100,Braking!$AG$2354,IF(AC525=50,Braking!$AG$1179,IF(AC525=75,Braking!$AG$1767,0)))</f>
        <v>0</v>
      </c>
      <c r="V525" s="16">
        <f>0.5*'Gearing Calculator'!$C$15*'Gearing Calculator'!$C$20*'Gearing Calculator'!$W$20*('Track Data'!Q525^2)</f>
        <v>113.22429267448291</v>
      </c>
      <c r="W525" s="16">
        <f>('Gearing Calculator'!$U$9*'Track Data'!T525)+'Track Data'!V525</f>
        <v>1786.9160091694382</v>
      </c>
      <c r="X525" s="16">
        <f>('Gearing Calculator'!$U$9*9.81)*('Gearing Calculator'!$U$16/'Gearing Calculator'!$C$7)-(('Track Data'!W525)*('Gearing Calculator'!$U$17/'Gearing Calculator'!$C$7))</f>
        <v>427.17103983758352</v>
      </c>
      <c r="Y525" s="16">
        <f>('Gearing Calculator'!$U$9*9.81)*(('Gearing Calculator'!$C$7-'Gearing Calculator'!$U$16)/'Gearing Calculator'!$C$7)+(('Track Data'!W525)*('Gearing Calculator'!$U$17/'Gearing Calculator'!$C$7))</f>
        <v>2184.2509601624165</v>
      </c>
      <c r="Z525" s="16">
        <f>((X525*COS('Gearing Calculator'!$C$21))/'Gearing Calculator'!$C$22)/2</f>
        <v>13.206777524884764</v>
      </c>
      <c r="AA525" s="16">
        <f>Y525/'Gearing Calculator'!$C$24</f>
        <v>30.49946948247559</v>
      </c>
      <c r="AB525" s="16">
        <f t="shared" si="58"/>
        <v>125.79898626197318</v>
      </c>
      <c r="AC525" s="16">
        <v>0</v>
      </c>
      <c r="AD525" s="16">
        <v>0</v>
      </c>
      <c r="AE525" s="16">
        <v>522</v>
      </c>
      <c r="AF525" s="16">
        <f>IF(AC525=0,IF(O525=6,INDEX(Acceleration!$V$4:$V$110,MATCH('Track Data'!S525,Acceleration!$K$4:$K$110,0)),IF('Track Data'!O525=5,INDEX(Acceleration!$U$4:$U$110,MATCH('Track Data'!S525,Acceleration!$K$4:$K$110,0)),1)),U525)</f>
        <v>1</v>
      </c>
      <c r="AG525" s="16">
        <f>IF(AC525=0,IF(O525=4,INDEX(Acceleration!$T$4:$T$110,MATCH('Track Data'!S525,Acceleration!$K$4:$K$110,0)),IF('Track Data'!O525=3,INDEX(Acceleration!$S$4:$S$110,MATCH('Track Data'!S525,Acceleration!$K$4:$K$110,0)),'Track Data'!AF525)),'Track Data'!U525)</f>
        <v>1</v>
      </c>
      <c r="AH525" s="16">
        <f>IF(AC525=0,IF(O525=2,INDEX(Acceleration!$R$4:$R$110,MATCH('Track Data'!S525,Acceleration!$K$4:$K$110,0)),IF('Track Data'!O525=1,INDEX(Acceleration!$Q$4:$Q$110,MATCH('Track Data'!S525,Acceleration!$K$4:$K$110,0)),'Track Data'!AG525)),'Track Data'!U525)</f>
        <v>6.2873467937451366</v>
      </c>
    </row>
    <row r="526" spans="2:34" x14ac:dyDescent="0.25">
      <c r="B526" s="16">
        <v>212.09700000000001</v>
      </c>
      <c r="C526" s="16">
        <v>7796</v>
      </c>
      <c r="D526" s="16">
        <v>523</v>
      </c>
      <c r="E526" s="113">
        <v>128</v>
      </c>
      <c r="F526" s="113">
        <v>125.5</v>
      </c>
      <c r="G526" s="113">
        <v>123.8</v>
      </c>
      <c r="H526" s="113">
        <f t="shared" si="61"/>
        <v>34.388888888888886</v>
      </c>
      <c r="I526" s="113">
        <v>7.8</v>
      </c>
      <c r="J526" s="113">
        <v>20.41</v>
      </c>
      <c r="K526" s="113">
        <v>-13.2</v>
      </c>
      <c r="L526" s="185"/>
      <c r="M526" s="16">
        <v>523</v>
      </c>
      <c r="N526" s="16">
        <f t="shared" si="63"/>
        <v>3.0396075528246708E-2</v>
      </c>
      <c r="O526" s="16">
        <v>2</v>
      </c>
      <c r="P526" s="16">
        <f t="shared" si="59"/>
        <v>12.715447154471546</v>
      </c>
      <c r="Q526" s="16">
        <f t="shared" si="64"/>
        <v>32.898983918852025</v>
      </c>
      <c r="R526" s="113">
        <f t="shared" si="60"/>
        <v>373.41300000000001</v>
      </c>
      <c r="S526" s="16">
        <f>IF(S525=15800,15800,ROUND((((Q526*60)/'Gearing Calculator'!$C$14)*'Track Data'!P526),-2))</f>
        <v>12700</v>
      </c>
      <c r="T526" s="16">
        <f t="shared" si="62"/>
        <v>6.2926280925216531</v>
      </c>
      <c r="U526" s="16">
        <f>IF(AC526=100,Braking!$AG$2354,IF(AC526=50,Braking!$AG$1179,IF(AC526=75,Braking!$AG$1767,0)))</f>
        <v>0</v>
      </c>
      <c r="V526" s="16">
        <f>0.5*'Gearing Calculator'!$C$15*'Gearing Calculator'!$C$20*'Gearing Calculator'!$W$20*('Track Data'!Q526^2)</f>
        <v>114.55519824378284</v>
      </c>
      <c r="W526" s="16">
        <f>('Gearing Calculator'!$U$9*'Track Data'!T526)+'Track Data'!V526</f>
        <v>1789.6527964730467</v>
      </c>
      <c r="X526" s="16">
        <f>('Gearing Calculator'!$U$9*9.81)*('Gearing Calculator'!$U$16/'Gearing Calculator'!$C$7)-(('Track Data'!W526)*('Gearing Calculator'!$U$17/'Gearing Calculator'!$C$7))</f>
        <v>425.67930385169507</v>
      </c>
      <c r="Y526" s="16">
        <f>('Gearing Calculator'!$U$9*9.81)*(('Gearing Calculator'!$C$7-'Gearing Calculator'!$U$16)/'Gearing Calculator'!$C$7)+(('Track Data'!W526)*('Gearing Calculator'!$U$17/'Gearing Calculator'!$C$7))</f>
        <v>2185.7426961483052</v>
      </c>
      <c r="Z526" s="16">
        <f>((X526*COS('Gearing Calculator'!$C$21))/'Gearing Calculator'!$C$22)/2</f>
        <v>13.160657766160053</v>
      </c>
      <c r="AA526" s="16">
        <f>Y526/'Gearing Calculator'!$C$24</f>
        <v>30.520299120189993</v>
      </c>
      <c r="AB526" s="16">
        <f t="shared" si="58"/>
        <v>127.14045442882615</v>
      </c>
      <c r="AC526" s="16">
        <v>0</v>
      </c>
      <c r="AD526" s="16">
        <v>0</v>
      </c>
      <c r="AE526" s="16">
        <v>523</v>
      </c>
      <c r="AF526" s="16">
        <f>IF(AC526=0,IF(O526=6,INDEX(Acceleration!$V$4:$V$110,MATCH('Track Data'!S526,Acceleration!$K$4:$K$110,0)),IF('Track Data'!O526=5,INDEX(Acceleration!$U$4:$U$110,MATCH('Track Data'!S526,Acceleration!$K$4:$K$110,0)),1)),U526)</f>
        <v>1</v>
      </c>
      <c r="AG526" s="16">
        <f>IF(AC526=0,IF(O526=4,INDEX(Acceleration!$T$4:$T$110,MATCH('Track Data'!S526,Acceleration!$K$4:$K$110,0)),IF('Track Data'!O526=3,INDEX(Acceleration!$S$4:$S$110,MATCH('Track Data'!S526,Acceleration!$K$4:$K$110,0)),'Track Data'!AF526)),'Track Data'!U526)</f>
        <v>1</v>
      </c>
      <c r="AH526" s="16">
        <f>IF(AC526=0,IF(O526=2,INDEX(Acceleration!$R$4:$R$110,MATCH('Track Data'!S526,Acceleration!$K$4:$K$110,0)),IF('Track Data'!O526=1,INDEX(Acceleration!$Q$4:$Q$110,MATCH('Track Data'!S526,Acceleration!$K$4:$K$110,0)),'Track Data'!AG526)),'Track Data'!U526)</f>
        <v>6.2926280925216531</v>
      </c>
    </row>
    <row r="527" spans="2:34" x14ac:dyDescent="0.25">
      <c r="B527" s="16">
        <v>212.126</v>
      </c>
      <c r="C527" s="16">
        <v>7797</v>
      </c>
      <c r="D527" s="16">
        <v>524</v>
      </c>
      <c r="E527" s="113">
        <v>127</v>
      </c>
      <c r="F527" s="113">
        <v>125.6</v>
      </c>
      <c r="G527" s="113">
        <v>124.4</v>
      </c>
      <c r="H527" s="113">
        <f t="shared" si="61"/>
        <v>34.555555555555557</v>
      </c>
      <c r="I527" s="113">
        <v>7.5</v>
      </c>
      <c r="J527" s="113">
        <v>17.21</v>
      </c>
      <c r="K527" s="113">
        <v>-10.9</v>
      </c>
      <c r="L527" s="185"/>
      <c r="M527" s="16">
        <v>524</v>
      </c>
      <c r="N527" s="16">
        <f t="shared" si="63"/>
        <v>3.0220882333110551E-2</v>
      </c>
      <c r="O527" s="16">
        <v>2</v>
      </c>
      <c r="P527" s="16">
        <f t="shared" si="59"/>
        <v>12.715447154471546</v>
      </c>
      <c r="Q527" s="16">
        <f t="shared" si="64"/>
        <v>33.089702311715158</v>
      </c>
      <c r="R527" s="113">
        <f t="shared" si="60"/>
        <v>373.41300000000001</v>
      </c>
      <c r="S527" s="16">
        <f>IF(S526=15800,15800,ROUND((((Q527*60)/'Gearing Calculator'!$C$14)*'Track Data'!P527),-2))</f>
        <v>12800</v>
      </c>
      <c r="T527" s="16">
        <f t="shared" si="62"/>
        <v>6.2677048187777347</v>
      </c>
      <c r="U527" s="16">
        <f>IF(AC527=100,Braking!$AG$2354,IF(AC527=50,Braking!$AG$1179,IF(AC527=75,Braking!$AG$1767,0)))</f>
        <v>0</v>
      </c>
      <c r="V527" s="16">
        <f>0.5*'Gearing Calculator'!$C$15*'Gearing Calculator'!$C$20*'Gearing Calculator'!$W$20*('Track Data'!Q527^2)</f>
        <v>115.88722175840783</v>
      </c>
      <c r="W527" s="16">
        <f>('Gearing Calculator'!$U$9*'Track Data'!T527)+'Track Data'!V527</f>
        <v>1784.3502445170407</v>
      </c>
      <c r="X527" s="16">
        <f>('Gearing Calculator'!$U$9*9.81)*('Gearing Calculator'!$U$16/'Gearing Calculator'!$C$7)-(('Track Data'!W527)*('Gearing Calculator'!$U$17/'Gearing Calculator'!$C$7))</f>
        <v>428.56955679878661</v>
      </c>
      <c r="Y527" s="16">
        <f>('Gearing Calculator'!$U$9*9.81)*(('Gearing Calculator'!$C$7-'Gearing Calculator'!$U$16)/'Gearing Calculator'!$C$7)+(('Track Data'!W527)*('Gearing Calculator'!$U$17/'Gearing Calculator'!$C$7))</f>
        <v>2182.8524432012136</v>
      </c>
      <c r="Z527" s="16">
        <f>((X527*COS('Gearing Calculator'!$C$21))/'Gearing Calculator'!$C$22)/2</f>
        <v>13.250015246192861</v>
      </c>
      <c r="AA527" s="16">
        <f>Y527/'Gearing Calculator'!$C$24</f>
        <v>30.479941495006713</v>
      </c>
      <c r="AB527" s="16">
        <f t="shared" si="58"/>
        <v>128.42263139596329</v>
      </c>
      <c r="AC527" s="16">
        <v>0</v>
      </c>
      <c r="AD527" s="16">
        <v>0</v>
      </c>
      <c r="AE527" s="16">
        <v>524</v>
      </c>
      <c r="AF527" s="16">
        <f>IF(AC527=0,IF(O527=6,INDEX(Acceleration!$V$4:$V$110,MATCH('Track Data'!S527,Acceleration!$K$4:$K$110,0)),IF('Track Data'!O527=5,INDEX(Acceleration!$U$4:$U$110,MATCH('Track Data'!S527,Acceleration!$K$4:$K$110,0)),1)),U527)</f>
        <v>1</v>
      </c>
      <c r="AG527" s="16">
        <f>IF(AC527=0,IF(O527=4,INDEX(Acceleration!$T$4:$T$110,MATCH('Track Data'!S527,Acceleration!$K$4:$K$110,0)),IF('Track Data'!O527=3,INDEX(Acceleration!$S$4:$S$110,MATCH('Track Data'!S527,Acceleration!$K$4:$K$110,0)),'Track Data'!AF527)),'Track Data'!U527)</f>
        <v>1</v>
      </c>
      <c r="AH527" s="16">
        <f>IF(AC527=0,IF(O527=2,INDEX(Acceleration!$R$4:$R$110,MATCH('Track Data'!S527,Acceleration!$K$4:$K$110,0)),IF('Track Data'!O527=1,INDEX(Acceleration!$Q$4:$Q$110,MATCH('Track Data'!S527,Acceleration!$K$4:$K$110,0)),'Track Data'!AG527)),'Track Data'!U527)</f>
        <v>6.2677048187777347</v>
      </c>
    </row>
    <row r="528" spans="2:34" x14ac:dyDescent="0.25">
      <c r="B528" s="16">
        <v>212.154</v>
      </c>
      <c r="C528" s="16">
        <v>7798</v>
      </c>
      <c r="D528" s="16">
        <v>525</v>
      </c>
      <c r="E528" s="113">
        <v>129</v>
      </c>
      <c r="F528" s="113">
        <v>125.8</v>
      </c>
      <c r="G528" s="113">
        <v>124.8</v>
      </c>
      <c r="H528" s="113">
        <f t="shared" si="61"/>
        <v>34.666666666666664</v>
      </c>
      <c r="I528" s="113">
        <v>4.5999999999999996</v>
      </c>
      <c r="J528" s="113">
        <v>13.61</v>
      </c>
      <c r="K528" s="113">
        <v>-8.6</v>
      </c>
      <c r="L528" s="185"/>
      <c r="M528" s="16">
        <v>525</v>
      </c>
      <c r="N528" s="16">
        <f t="shared" si="63"/>
        <v>3.0049360136795482E-2</v>
      </c>
      <c r="O528" s="16">
        <v>2</v>
      </c>
      <c r="P528" s="16">
        <f t="shared" si="59"/>
        <v>12.715447154471546</v>
      </c>
      <c r="Q528" s="16">
        <f t="shared" si="64"/>
        <v>33.278578826558729</v>
      </c>
      <c r="R528" s="113">
        <f t="shared" si="60"/>
        <v>373.41300000000001</v>
      </c>
      <c r="S528" s="16">
        <f>IF(S527=15800,15800,ROUND((((Q528*60)/'Gearing Calculator'!$C$14)*'Track Data'!P528),-2))</f>
        <v>12800</v>
      </c>
      <c r="T528" s="16">
        <f t="shared" si="62"/>
        <v>6.2677048187777347</v>
      </c>
      <c r="U528" s="16">
        <f>IF(AC528=100,Braking!$AG$2354,IF(AC528=50,Braking!$AG$1179,IF(AC528=75,Braking!$AG$1767,0)))</f>
        <v>0</v>
      </c>
      <c r="V528" s="16">
        <f>0.5*'Gearing Calculator'!$C$15*'Gearing Calculator'!$C$20*'Gearing Calculator'!$W$20*('Track Data'!Q528^2)</f>
        <v>117.21396951444669</v>
      </c>
      <c r="W528" s="16">
        <f>('Gearing Calculator'!$U$9*'Track Data'!T528)+'Track Data'!V528</f>
        <v>1785.6769922730796</v>
      </c>
      <c r="X528" s="16">
        <f>('Gearing Calculator'!$U$9*9.81)*('Gearing Calculator'!$U$16/'Gearing Calculator'!$C$7)-(('Track Data'!W528)*('Gearing Calculator'!$U$17/'Gearing Calculator'!$C$7))</f>
        <v>427.84638866318824</v>
      </c>
      <c r="Y528" s="16">
        <f>('Gearing Calculator'!$U$9*9.81)*(('Gearing Calculator'!$C$7-'Gearing Calculator'!$U$16)/'Gearing Calculator'!$C$7)+(('Track Data'!W528)*('Gearing Calculator'!$U$17/'Gearing Calculator'!$C$7))</f>
        <v>2183.5756113368116</v>
      </c>
      <c r="Z528" s="16">
        <f>((X528*COS('Gearing Calculator'!$C$21))/'Gearing Calculator'!$C$22)/2</f>
        <v>13.227657174626106</v>
      </c>
      <c r="AA528" s="16">
        <f>Y528/'Gearing Calculator'!$C$24</f>
        <v>30.490039347718991</v>
      </c>
      <c r="AB528" s="16">
        <f t="shared" si="58"/>
        <v>129.74937915200215</v>
      </c>
      <c r="AC528" s="16">
        <v>0</v>
      </c>
      <c r="AD528" s="16">
        <v>0</v>
      </c>
      <c r="AE528" s="16">
        <v>525</v>
      </c>
      <c r="AF528" s="16">
        <f>IF(AC528=0,IF(O528=6,INDEX(Acceleration!$V$4:$V$110,MATCH('Track Data'!S528,Acceleration!$K$4:$K$110,0)),IF('Track Data'!O528=5,INDEX(Acceleration!$U$4:$U$110,MATCH('Track Data'!S528,Acceleration!$K$4:$K$110,0)),1)),U528)</f>
        <v>1</v>
      </c>
      <c r="AG528" s="16">
        <f>IF(AC528=0,IF(O528=4,INDEX(Acceleration!$T$4:$T$110,MATCH('Track Data'!S528,Acceleration!$K$4:$K$110,0)),IF('Track Data'!O528=3,INDEX(Acceleration!$S$4:$S$110,MATCH('Track Data'!S528,Acceleration!$K$4:$K$110,0)),'Track Data'!AF528)),'Track Data'!U528)</f>
        <v>1</v>
      </c>
      <c r="AH528" s="16">
        <f>IF(AC528=0,IF(O528=2,INDEX(Acceleration!$R$4:$R$110,MATCH('Track Data'!S528,Acceleration!$K$4:$K$110,0)),IF('Track Data'!O528=1,INDEX(Acceleration!$Q$4:$Q$110,MATCH('Track Data'!S528,Acceleration!$K$4:$K$110,0)),'Track Data'!AG528)),'Track Data'!U528)</f>
        <v>6.2677048187777347</v>
      </c>
    </row>
    <row r="529" spans="2:34" x14ac:dyDescent="0.25">
      <c r="B529" s="16">
        <v>212.18299999999999</v>
      </c>
      <c r="C529" s="16">
        <v>7799</v>
      </c>
      <c r="D529" s="16">
        <v>526</v>
      </c>
      <c r="E529" s="113">
        <v>129</v>
      </c>
      <c r="F529" s="113">
        <v>125.6</v>
      </c>
      <c r="G529" s="113">
        <v>125.3</v>
      </c>
      <c r="H529" s="113">
        <f t="shared" si="61"/>
        <v>34.805555555555557</v>
      </c>
      <c r="I529" s="113">
        <v>3</v>
      </c>
      <c r="J529" s="113">
        <v>11.06</v>
      </c>
      <c r="K529" s="113">
        <v>-8.1</v>
      </c>
      <c r="L529" s="185"/>
      <c r="M529" s="16">
        <v>526</v>
      </c>
      <c r="N529" s="16">
        <f t="shared" si="63"/>
        <v>2.988072566022703E-2</v>
      </c>
      <c r="O529" s="16">
        <v>2</v>
      </c>
      <c r="P529" s="16">
        <f t="shared" si="59"/>
        <v>12.715447154471546</v>
      </c>
      <c r="Q529" s="16">
        <f t="shared" si="64"/>
        <v>33.466389383275846</v>
      </c>
      <c r="R529" s="113">
        <f t="shared" si="60"/>
        <v>373.41300000000001</v>
      </c>
      <c r="S529" s="16">
        <f>IF(S528=15800,15800,ROUND((((Q529*60)/'Gearing Calculator'!$C$14)*'Track Data'!P529),-2))</f>
        <v>12900</v>
      </c>
      <c r="T529" s="16">
        <f t="shared" si="62"/>
        <v>6.2430774230039754</v>
      </c>
      <c r="U529" s="16">
        <f>IF(AC529=100,Braking!$AG$2354,IF(AC529=50,Braking!$AG$1179,IF(AC529=75,Braking!$AG$1767,0)))</f>
        <v>0</v>
      </c>
      <c r="V529" s="16">
        <f>0.5*'Gearing Calculator'!$C$15*'Gearing Calculator'!$C$20*'Gearing Calculator'!$W$20*('Track Data'!Q529^2)</f>
        <v>118.54071727048556</v>
      </c>
      <c r="W529" s="16">
        <f>('Gearing Calculator'!$U$9*'Track Data'!T529)+'Track Data'!V529</f>
        <v>1780.4479272741437</v>
      </c>
      <c r="X529" s="16">
        <f>('Gearing Calculator'!$U$9*9.81)*('Gearing Calculator'!$U$16/'Gearing Calculator'!$C$7)-(('Track Data'!W529)*('Gearing Calculator'!$U$17/'Gearing Calculator'!$C$7))</f>
        <v>430.6965861999779</v>
      </c>
      <c r="Y529" s="16">
        <f>('Gearing Calculator'!$U$9*9.81)*(('Gearing Calculator'!$C$7-'Gearing Calculator'!$U$16)/'Gearing Calculator'!$C$7)+(('Track Data'!W529)*('Gearing Calculator'!$U$17/'Gearing Calculator'!$C$7))</f>
        <v>2180.7254138000221</v>
      </c>
      <c r="Z529" s="16">
        <f>((X529*COS('Gearing Calculator'!$C$21))/'Gearing Calculator'!$C$22)/2</f>
        <v>13.315776268056849</v>
      </c>
      <c r="AA529" s="16">
        <f>Y529/'Gearing Calculator'!$C$24</f>
        <v>30.450241030411224</v>
      </c>
      <c r="AB529" s="16">
        <f t="shared" si="58"/>
        <v>131.02687211649351</v>
      </c>
      <c r="AC529" s="16">
        <v>0</v>
      </c>
      <c r="AD529" s="16">
        <v>0</v>
      </c>
      <c r="AE529" s="16">
        <v>526</v>
      </c>
      <c r="AF529" s="16">
        <f>IF(AC529=0,IF(O529=6,INDEX(Acceleration!$V$4:$V$110,MATCH('Track Data'!S529,Acceleration!$K$4:$K$110,0)),IF('Track Data'!O529=5,INDEX(Acceleration!$U$4:$U$110,MATCH('Track Data'!S529,Acceleration!$K$4:$K$110,0)),1)),U529)</f>
        <v>1</v>
      </c>
      <c r="AG529" s="16">
        <f>IF(AC529=0,IF(O529=4,INDEX(Acceleration!$T$4:$T$110,MATCH('Track Data'!S529,Acceleration!$K$4:$K$110,0)),IF('Track Data'!O529=3,INDEX(Acceleration!$S$4:$S$110,MATCH('Track Data'!S529,Acceleration!$K$4:$K$110,0)),'Track Data'!AF529)),'Track Data'!U529)</f>
        <v>1</v>
      </c>
      <c r="AH529" s="16">
        <f>IF(AC529=0,IF(O529=2,INDEX(Acceleration!$R$4:$R$110,MATCH('Track Data'!S529,Acceleration!$K$4:$K$110,0)),IF('Track Data'!O529=1,INDEX(Acceleration!$Q$4:$Q$110,MATCH('Track Data'!S529,Acceleration!$K$4:$K$110,0)),'Track Data'!AG529)),'Track Data'!U529)</f>
        <v>6.2430774230039754</v>
      </c>
    </row>
    <row r="530" spans="2:34" x14ac:dyDescent="0.25">
      <c r="B530" s="16">
        <v>212.21199999999999</v>
      </c>
      <c r="C530" s="16">
        <v>7800</v>
      </c>
      <c r="D530" s="16">
        <v>527</v>
      </c>
      <c r="E530" s="113">
        <v>129</v>
      </c>
      <c r="F530" s="113">
        <v>125.8</v>
      </c>
      <c r="G530" s="113">
        <v>125.8</v>
      </c>
      <c r="H530" s="113">
        <f t="shared" si="61"/>
        <v>34.944444444444443</v>
      </c>
      <c r="I530" s="113">
        <v>2.9</v>
      </c>
      <c r="J530" s="113">
        <v>7.23</v>
      </c>
      <c r="K530" s="113">
        <v>-8.1</v>
      </c>
      <c r="L530" s="185"/>
      <c r="M530" s="16">
        <v>527</v>
      </c>
      <c r="N530" s="16">
        <f t="shared" si="63"/>
        <v>2.9715544956565157E-2</v>
      </c>
      <c r="O530" s="16">
        <v>2</v>
      </c>
      <c r="P530" s="16">
        <f t="shared" si="59"/>
        <v>12.715447154471546</v>
      </c>
      <c r="Q530" s="16">
        <f t="shared" si="64"/>
        <v>33.652420019948735</v>
      </c>
      <c r="R530" s="113">
        <f t="shared" si="60"/>
        <v>373.41300000000001</v>
      </c>
      <c r="S530" s="16">
        <f>IF(S529=15800,15800,ROUND((((Q530*60)/'Gearing Calculator'!$C$14)*'Track Data'!P530),-2))</f>
        <v>13000</v>
      </c>
      <c r="T530" s="16">
        <f t="shared" si="62"/>
        <v>6.1891688705626295</v>
      </c>
      <c r="U530" s="16">
        <f>IF(AC530=100,Braking!$AG$2354,IF(AC530=50,Braking!$AG$1179,IF(AC530=75,Braking!$AG$1767,0)))</f>
        <v>0</v>
      </c>
      <c r="V530" s="16">
        <f>0.5*'Gearing Calculator'!$C$15*'Gearing Calculator'!$C$20*'Gearing Calculator'!$W$20*('Track Data'!Q530^2)</f>
        <v>119.86225189938708</v>
      </c>
      <c r="W530" s="16">
        <f>('Gearing Calculator'!$U$9*'Track Data'!T530)+'Track Data'!V530</f>
        <v>1767.4190052431591</v>
      </c>
      <c r="X530" s="16">
        <f>('Gearing Calculator'!$U$9*9.81)*('Gearing Calculator'!$U$16/'Gearing Calculator'!$C$7)-(('Track Data'!W530)*('Gearing Calculator'!$U$17/'Gearing Calculator'!$C$7))</f>
        <v>437.79823850058881</v>
      </c>
      <c r="Y530" s="16">
        <f>('Gearing Calculator'!$U$9*9.81)*(('Gearing Calculator'!$C$7-'Gearing Calculator'!$U$16)/'Gearing Calculator'!$C$7)+(('Track Data'!W530)*('Gearing Calculator'!$U$17/'Gearing Calculator'!$C$7))</f>
        <v>2173.6237614994111</v>
      </c>
      <c r="Z530" s="16">
        <f>((X530*COS('Gearing Calculator'!$C$21))/'Gearing Calculator'!$C$22)/2</f>
        <v>13.535336896579127</v>
      </c>
      <c r="AA530" s="16">
        <f>Y530/'Gearing Calculator'!$C$24</f>
        <v>30.351078145024861</v>
      </c>
      <c r="AB530" s="16">
        <f t="shared" si="58"/>
        <v>132.24058964051233</v>
      </c>
      <c r="AC530" s="16">
        <v>0</v>
      </c>
      <c r="AD530" s="16">
        <v>0</v>
      </c>
      <c r="AE530" s="16">
        <v>527</v>
      </c>
      <c r="AF530" s="16">
        <f>IF(AC530=0,IF(O530=6,INDEX(Acceleration!$V$4:$V$110,MATCH('Track Data'!S530,Acceleration!$K$4:$K$110,0)),IF('Track Data'!O530=5,INDEX(Acceleration!$U$4:$U$110,MATCH('Track Data'!S530,Acceleration!$K$4:$K$110,0)),1)),U530)</f>
        <v>1</v>
      </c>
      <c r="AG530" s="16">
        <f>IF(AC530=0,IF(O530=4,INDEX(Acceleration!$T$4:$T$110,MATCH('Track Data'!S530,Acceleration!$K$4:$K$110,0)),IF('Track Data'!O530=3,INDEX(Acceleration!$S$4:$S$110,MATCH('Track Data'!S530,Acceleration!$K$4:$K$110,0)),'Track Data'!AF530)),'Track Data'!U530)</f>
        <v>1</v>
      </c>
      <c r="AH530" s="16">
        <f>IF(AC530=0,IF(O530=2,INDEX(Acceleration!$R$4:$R$110,MATCH('Track Data'!S530,Acceleration!$K$4:$K$110,0)),IF('Track Data'!O530=1,INDEX(Acceleration!$Q$4:$Q$110,MATCH('Track Data'!S530,Acceleration!$K$4:$K$110,0)),'Track Data'!AG530)),'Track Data'!U530)</f>
        <v>6.1891688705626295</v>
      </c>
    </row>
    <row r="531" spans="2:34" x14ac:dyDescent="0.25">
      <c r="B531" s="16">
        <v>212.24</v>
      </c>
      <c r="C531" s="16">
        <v>7801</v>
      </c>
      <c r="D531" s="16">
        <v>528</v>
      </c>
      <c r="E531" s="113">
        <v>128</v>
      </c>
      <c r="F531" s="113">
        <v>126.5</v>
      </c>
      <c r="G531" s="113">
        <v>126.2</v>
      </c>
      <c r="H531" s="113">
        <f t="shared" si="61"/>
        <v>35.055555555555557</v>
      </c>
      <c r="I531" s="113">
        <v>3.8</v>
      </c>
      <c r="J531" s="113">
        <v>6.58</v>
      </c>
      <c r="K531" s="113">
        <v>-8.6999999999999993</v>
      </c>
      <c r="L531" s="185"/>
      <c r="M531" s="16">
        <v>528</v>
      </c>
      <c r="N531" s="16">
        <f t="shared" si="63"/>
        <v>2.9554465210873557E-2</v>
      </c>
      <c r="O531" s="16">
        <v>2</v>
      </c>
      <c r="P531" s="16">
        <f t="shared" si="59"/>
        <v>12.715447154471546</v>
      </c>
      <c r="Q531" s="16">
        <f t="shared" si="64"/>
        <v>33.835834716172911</v>
      </c>
      <c r="R531" s="113">
        <f t="shared" si="60"/>
        <v>373.41300000000001</v>
      </c>
      <c r="S531" s="16">
        <f>IF(S530=15800,15800,ROUND((((Q531*60)/'Gearing Calculator'!$C$14)*'Track Data'!P531),-2))</f>
        <v>13000</v>
      </c>
      <c r="T531" s="16">
        <f t="shared" si="62"/>
        <v>6.1891688705626295</v>
      </c>
      <c r="U531" s="16">
        <f>IF(AC531=100,Braking!$AG$2354,IF(AC531=50,Braking!$AG$1179,IF(AC531=75,Braking!$AG$1767,0)))</f>
        <v>0</v>
      </c>
      <c r="V531" s="16">
        <f>0.5*'Gearing Calculator'!$C$15*'Gearing Calculator'!$C$20*'Gearing Calculator'!$W$20*('Track Data'!Q531^2)</f>
        <v>121.17237516590779</v>
      </c>
      <c r="W531" s="16">
        <f>('Gearing Calculator'!$U$9*'Track Data'!T531)+'Track Data'!V531</f>
        <v>1768.7291285096799</v>
      </c>
      <c r="X531" s="16">
        <f>('Gearing Calculator'!$U$9*9.81)*('Gearing Calculator'!$U$16/'Gearing Calculator'!$C$7)-(('Track Data'!W531)*('Gearing Calculator'!$U$17/'Gearing Calculator'!$C$7))</f>
        <v>437.08413184712617</v>
      </c>
      <c r="Y531" s="16">
        <f>('Gearing Calculator'!$U$9*9.81)*(('Gearing Calculator'!$C$7-'Gearing Calculator'!$U$16)/'Gearing Calculator'!$C$7)+(('Track Data'!W531)*('Gearing Calculator'!$U$17/'Gearing Calculator'!$C$7))</f>
        <v>2174.3378681528739</v>
      </c>
      <c r="Z531" s="16">
        <f>((X531*COS('Gearing Calculator'!$C$21))/'Gearing Calculator'!$C$22)/2</f>
        <v>13.513258977380984</v>
      </c>
      <c r="AA531" s="16">
        <f>Y531/'Gearing Calculator'!$C$24</f>
        <v>30.361049469053899</v>
      </c>
      <c r="AB531" s="16">
        <f t="shared" si="58"/>
        <v>133.55071290703304</v>
      </c>
      <c r="AC531" s="16">
        <v>0</v>
      </c>
      <c r="AD531" s="16">
        <v>0</v>
      </c>
      <c r="AE531" s="16">
        <v>528</v>
      </c>
      <c r="AF531" s="16">
        <f>IF(AC531=0,IF(O531=6,INDEX(Acceleration!$V$4:$V$110,MATCH('Track Data'!S531,Acceleration!$K$4:$K$110,0)),IF('Track Data'!O531=5,INDEX(Acceleration!$U$4:$U$110,MATCH('Track Data'!S531,Acceleration!$K$4:$K$110,0)),1)),U531)</f>
        <v>1</v>
      </c>
      <c r="AG531" s="16">
        <f>IF(AC531=0,IF(O531=4,INDEX(Acceleration!$T$4:$T$110,MATCH('Track Data'!S531,Acceleration!$K$4:$K$110,0)),IF('Track Data'!O531=3,INDEX(Acceleration!$S$4:$S$110,MATCH('Track Data'!S531,Acceleration!$K$4:$K$110,0)),'Track Data'!AF531)),'Track Data'!U531)</f>
        <v>1</v>
      </c>
      <c r="AH531" s="16">
        <f>IF(AC531=0,IF(O531=2,INDEX(Acceleration!$R$4:$R$110,MATCH('Track Data'!S531,Acceleration!$K$4:$K$110,0)),IF('Track Data'!O531=1,INDEX(Acceleration!$Q$4:$Q$110,MATCH('Track Data'!S531,Acceleration!$K$4:$K$110,0)),'Track Data'!AG531)),'Track Data'!U531)</f>
        <v>6.1891688705626295</v>
      </c>
    </row>
    <row r="532" spans="2:34" x14ac:dyDescent="0.25">
      <c r="B532" s="16">
        <v>212.26900000000001</v>
      </c>
      <c r="C532" s="16">
        <v>7802</v>
      </c>
      <c r="D532" s="16">
        <v>529</v>
      </c>
      <c r="E532" s="113">
        <v>126</v>
      </c>
      <c r="F532" s="113">
        <v>126.9</v>
      </c>
      <c r="G532" s="113">
        <v>126.5</v>
      </c>
      <c r="H532" s="113">
        <f t="shared" si="61"/>
        <v>35.138888888888886</v>
      </c>
      <c r="I532" s="113">
        <v>4.5</v>
      </c>
      <c r="J532" s="113">
        <v>8.7799999999999994</v>
      </c>
      <c r="K532" s="113">
        <v>-11.8</v>
      </c>
      <c r="L532" s="185"/>
      <c r="M532" s="16">
        <v>529</v>
      </c>
      <c r="N532" s="16">
        <f t="shared" si="63"/>
        <v>2.9395976889124441E-2</v>
      </c>
      <c r="O532" s="16">
        <v>2</v>
      </c>
      <c r="P532" s="16">
        <f t="shared" si="59"/>
        <v>12.715447154471546</v>
      </c>
      <c r="Q532" s="16">
        <f t="shared" si="64"/>
        <v>34.018260518158442</v>
      </c>
      <c r="R532" s="113">
        <f t="shared" si="60"/>
        <v>373.41300000000001</v>
      </c>
      <c r="S532" s="16">
        <f>IF(S531=15800,15800,ROUND((((Q532*60)/'Gearing Calculator'!$C$14)*'Track Data'!P532),-2))</f>
        <v>13100</v>
      </c>
      <c r="T532" s="16">
        <f t="shared" si="62"/>
        <v>6.1359928092836835</v>
      </c>
      <c r="U532" s="16">
        <f>IF(AC532=100,Braking!$AG$2354,IF(AC532=50,Braking!$AG$1179,IF(AC532=75,Braking!$AG$1767,0)))</f>
        <v>0</v>
      </c>
      <c r="V532" s="16">
        <f>0.5*'Gearing Calculator'!$C$15*'Gearing Calculator'!$C$20*'Gearing Calculator'!$W$20*('Track Data'!Q532^2)</f>
        <v>122.48249843242851</v>
      </c>
      <c r="W532" s="16">
        <f>('Gearing Calculator'!$U$9*'Track Data'!T532)+'Track Data'!V532</f>
        <v>1755.8837842637449</v>
      </c>
      <c r="X532" s="16">
        <f>('Gearing Calculator'!$U$9*9.81)*('Gearing Calculator'!$U$16/'Gearing Calculator'!$C$7)-(('Track Data'!W532)*('Gearing Calculator'!$U$17/'Gearing Calculator'!$C$7))</f>
        <v>444.08572171767275</v>
      </c>
      <c r="Y532" s="16">
        <f>('Gearing Calculator'!$U$9*9.81)*(('Gearing Calculator'!$C$7-'Gearing Calculator'!$U$16)/'Gearing Calculator'!$C$7)+(('Track Data'!W532)*('Gearing Calculator'!$U$17/'Gearing Calculator'!$C$7))</f>
        <v>2167.3362782823274</v>
      </c>
      <c r="Z532" s="16">
        <f>((X532*COS('Gearing Calculator'!$C$21))/'Gearing Calculator'!$C$22)/2</f>
        <v>13.729725992036174</v>
      </c>
      <c r="AA532" s="16">
        <f>Y532/'Gearing Calculator'!$C$24</f>
        <v>30.26328379080525</v>
      </c>
      <c r="AB532" s="16">
        <f t="shared" si="58"/>
        <v>134.75448405099587</v>
      </c>
      <c r="AC532" s="16">
        <v>0</v>
      </c>
      <c r="AD532" s="16">
        <v>0</v>
      </c>
      <c r="AE532" s="16">
        <v>529</v>
      </c>
      <c r="AF532" s="16">
        <f>IF(AC532=0,IF(O532=6,INDEX(Acceleration!$V$4:$V$110,MATCH('Track Data'!S532,Acceleration!$K$4:$K$110,0)),IF('Track Data'!O532=5,INDEX(Acceleration!$U$4:$U$110,MATCH('Track Data'!S532,Acceleration!$K$4:$K$110,0)),1)),U532)</f>
        <v>1</v>
      </c>
      <c r="AG532" s="16">
        <f>IF(AC532=0,IF(O532=4,INDEX(Acceleration!$T$4:$T$110,MATCH('Track Data'!S532,Acceleration!$K$4:$K$110,0)),IF('Track Data'!O532=3,INDEX(Acceleration!$S$4:$S$110,MATCH('Track Data'!S532,Acceleration!$K$4:$K$110,0)),'Track Data'!AF532)),'Track Data'!U532)</f>
        <v>1</v>
      </c>
      <c r="AH532" s="16">
        <f>IF(AC532=0,IF(O532=2,INDEX(Acceleration!$R$4:$R$110,MATCH('Track Data'!S532,Acceleration!$K$4:$K$110,0)),IF('Track Data'!O532=1,INDEX(Acceleration!$Q$4:$Q$110,MATCH('Track Data'!S532,Acceleration!$K$4:$K$110,0)),'Track Data'!AG532)),'Track Data'!U532)</f>
        <v>6.1359928092836835</v>
      </c>
    </row>
    <row r="533" spans="2:34" x14ac:dyDescent="0.25">
      <c r="B533" s="16">
        <v>212.297</v>
      </c>
      <c r="C533" s="16">
        <v>7803</v>
      </c>
      <c r="D533" s="16">
        <v>530</v>
      </c>
      <c r="E533" s="113">
        <v>127</v>
      </c>
      <c r="F533" s="113">
        <v>127.7</v>
      </c>
      <c r="G533" s="113">
        <v>126.9</v>
      </c>
      <c r="H533" s="113">
        <f t="shared" si="61"/>
        <v>35.25</v>
      </c>
      <c r="I533" s="113">
        <v>4.5</v>
      </c>
      <c r="J533" s="113">
        <v>19.84</v>
      </c>
      <c r="K533" s="113">
        <v>-16.5</v>
      </c>
      <c r="L533" s="185"/>
      <c r="M533" s="16">
        <v>530</v>
      </c>
      <c r="N533" s="16">
        <f t="shared" si="63"/>
        <v>2.9241340713866398E-2</v>
      </c>
      <c r="O533" s="16">
        <v>2</v>
      </c>
      <c r="P533" s="16">
        <f t="shared" si="59"/>
        <v>12.715447154471546</v>
      </c>
      <c r="Q533" s="16">
        <f t="shared" si="64"/>
        <v>34.198158346610789</v>
      </c>
      <c r="R533" s="113">
        <f t="shared" si="60"/>
        <v>373.41300000000001</v>
      </c>
      <c r="S533" s="16">
        <f>IF(S532=15800,15800,ROUND((((Q533*60)/'Gearing Calculator'!$C$14)*'Track Data'!P533),-2))</f>
        <v>13200</v>
      </c>
      <c r="T533" s="16">
        <f t="shared" si="62"/>
        <v>6.0835319004540818</v>
      </c>
      <c r="U533" s="16">
        <f>IF(AC533=100,Braking!$AG$2354,IF(AC533=50,Braking!$AG$1179,IF(AC533=75,Braking!$AG$1767,0)))</f>
        <v>0</v>
      </c>
      <c r="V533" s="16">
        <f>0.5*'Gearing Calculator'!$C$15*'Gearing Calculator'!$C$20*'Gearing Calculator'!$W$20*('Track Data'!Q533^2)</f>
        <v>123.78136539029772</v>
      </c>
      <c r="W533" s="16">
        <f>('Gearing Calculator'!$U$9*'Track Data'!T533)+'Track Data'!V533</f>
        <v>1743.2175572911742</v>
      </c>
      <c r="X533" s="16">
        <f>('Gearing Calculator'!$U$9*9.81)*('Gearing Calculator'!$U$16/'Gearing Calculator'!$C$7)-(('Track Data'!W533)*('Gearing Calculator'!$U$17/'Gearing Calculator'!$C$7))</f>
        <v>450.9896804416486</v>
      </c>
      <c r="Y533" s="16">
        <f>('Gearing Calculator'!$U$9*9.81)*(('Gearing Calculator'!$C$7-'Gearing Calculator'!$U$16)/'Gearing Calculator'!$C$7)+(('Track Data'!W533)*('Gearing Calculator'!$U$17/'Gearing Calculator'!$C$7))</f>
        <v>2160.4323195583515</v>
      </c>
      <c r="Z533" s="16">
        <f>((X533*COS('Gearing Calculator'!$C$21))/'Gearing Calculator'!$C$22)/2</f>
        <v>13.943174560420406</v>
      </c>
      <c r="AA533" s="16">
        <f>Y533/'Gearing Calculator'!$C$24</f>
        <v>30.166881370822104</v>
      </c>
      <c r="AB533" s="16">
        <f t="shared" si="58"/>
        <v>135.94842919120589</v>
      </c>
      <c r="AC533" s="16">
        <v>0</v>
      </c>
      <c r="AD533" s="16">
        <v>0</v>
      </c>
      <c r="AE533" s="16">
        <v>530</v>
      </c>
      <c r="AF533" s="16">
        <f>IF(AC533=0,IF(O533=6,INDEX(Acceleration!$V$4:$V$110,MATCH('Track Data'!S533,Acceleration!$K$4:$K$110,0)),IF('Track Data'!O533=5,INDEX(Acceleration!$U$4:$U$110,MATCH('Track Data'!S533,Acceleration!$K$4:$K$110,0)),1)),U533)</f>
        <v>1</v>
      </c>
      <c r="AG533" s="16">
        <f>IF(AC533=0,IF(O533=4,INDEX(Acceleration!$T$4:$T$110,MATCH('Track Data'!S533,Acceleration!$K$4:$K$110,0)),IF('Track Data'!O533=3,INDEX(Acceleration!$S$4:$S$110,MATCH('Track Data'!S533,Acceleration!$K$4:$K$110,0)),'Track Data'!AF533)),'Track Data'!U533)</f>
        <v>1</v>
      </c>
      <c r="AH533" s="16">
        <f>IF(AC533=0,IF(O533=2,INDEX(Acceleration!$R$4:$R$110,MATCH('Track Data'!S533,Acceleration!$K$4:$K$110,0)),IF('Track Data'!O533=1,INDEX(Acceleration!$Q$4:$Q$110,MATCH('Track Data'!S533,Acceleration!$K$4:$K$110,0)),'Track Data'!AG533)),'Track Data'!U533)</f>
        <v>6.0835319004540818</v>
      </c>
    </row>
    <row r="534" spans="2:34" x14ac:dyDescent="0.25">
      <c r="B534" s="16">
        <v>212.32499999999999</v>
      </c>
      <c r="C534" s="16">
        <v>7804</v>
      </c>
      <c r="D534" s="16">
        <v>531</v>
      </c>
      <c r="E534" s="113">
        <v>130</v>
      </c>
      <c r="F534" s="113">
        <v>128.9</v>
      </c>
      <c r="G534" s="113">
        <v>127.4</v>
      </c>
      <c r="H534" s="113">
        <f t="shared" si="61"/>
        <v>35.388888888888893</v>
      </c>
      <c r="I534" s="113">
        <v>1.2</v>
      </c>
      <c r="J534" s="113">
        <v>25.79</v>
      </c>
      <c r="K534" s="113">
        <v>-19.899999999999999</v>
      </c>
      <c r="L534" s="185"/>
      <c r="M534" s="16">
        <v>531</v>
      </c>
      <c r="N534" s="16">
        <f t="shared" si="63"/>
        <v>2.9090410898385363E-2</v>
      </c>
      <c r="O534" s="16">
        <v>2</v>
      </c>
      <c r="P534" s="16">
        <f t="shared" si="59"/>
        <v>12.715447154471546</v>
      </c>
      <c r="Q534" s="16">
        <f t="shared" si="64"/>
        <v>34.375588694606719</v>
      </c>
      <c r="R534" s="113">
        <f t="shared" si="60"/>
        <v>373.41300000000001</v>
      </c>
      <c r="S534" s="16">
        <f>IF(S533=15800,15800,ROUND((((Q534*60)/'Gearing Calculator'!$C$14)*'Track Data'!P534),-2))</f>
        <v>13300</v>
      </c>
      <c r="T534" s="16">
        <f t="shared" si="62"/>
        <v>6.0317693268258283</v>
      </c>
      <c r="U534" s="16">
        <f>IF(AC534=100,Braking!$AG$2354,IF(AC534=50,Braking!$AG$1179,IF(AC534=75,Braking!$AG$1767,0)))</f>
        <v>0</v>
      </c>
      <c r="V534" s="16">
        <f>0.5*'Gearing Calculator'!$C$15*'Gearing Calculator'!$C$20*'Gearing Calculator'!$W$20*('Track Data'!Q534^2)</f>
        <v>125.06912742298584</v>
      </c>
      <c r="W534" s="16">
        <f>('Gearing Calculator'!$U$9*'Track Data'!T534)+'Track Data'!V534</f>
        <v>1730.7261222240213</v>
      </c>
      <c r="X534" s="16">
        <f>('Gearing Calculator'!$U$9*9.81)*('Gearing Calculator'!$U$16/'Gearing Calculator'!$C$7)-(('Track Data'!W534)*('Gearing Calculator'!$U$17/'Gearing Calculator'!$C$7))</f>
        <v>457.79836563997992</v>
      </c>
      <c r="Y534" s="16">
        <f>('Gearing Calculator'!$U$9*9.81)*(('Gearing Calculator'!$C$7-'Gearing Calculator'!$U$16)/'Gearing Calculator'!$C$7)+(('Track Data'!W534)*('Gearing Calculator'!$U$17/'Gearing Calculator'!$C$7))</f>
        <v>2153.6236343600203</v>
      </c>
      <c r="Z534" s="16">
        <f>((X534*COS('Gearing Calculator'!$C$21))/'Gearing Calculator'!$C$22)/2</f>
        <v>14.1536775727162</v>
      </c>
      <c r="AA534" s="16">
        <f>Y534/'Gearing Calculator'!$C$24</f>
        <v>30.071809288808758</v>
      </c>
      <c r="AB534" s="16">
        <f t="shared" si="58"/>
        <v>137.13266607663749</v>
      </c>
      <c r="AC534" s="16">
        <v>0</v>
      </c>
      <c r="AD534" s="16">
        <v>0</v>
      </c>
      <c r="AE534" s="16">
        <v>531</v>
      </c>
      <c r="AF534" s="16">
        <f>IF(AC534=0,IF(O534=6,INDEX(Acceleration!$V$4:$V$110,MATCH('Track Data'!S534,Acceleration!$K$4:$K$110,0)),IF('Track Data'!O534=5,INDEX(Acceleration!$U$4:$U$110,MATCH('Track Data'!S534,Acceleration!$K$4:$K$110,0)),1)),U534)</f>
        <v>1</v>
      </c>
      <c r="AG534" s="16">
        <f>IF(AC534=0,IF(O534=4,INDEX(Acceleration!$T$4:$T$110,MATCH('Track Data'!S534,Acceleration!$K$4:$K$110,0)),IF('Track Data'!O534=3,INDEX(Acceleration!$S$4:$S$110,MATCH('Track Data'!S534,Acceleration!$K$4:$K$110,0)),'Track Data'!AF534)),'Track Data'!U534)</f>
        <v>1</v>
      </c>
      <c r="AH534" s="16">
        <f>IF(AC534=0,IF(O534=2,INDEX(Acceleration!$R$4:$R$110,MATCH('Track Data'!S534,Acceleration!$K$4:$K$110,0)),IF('Track Data'!O534=1,INDEX(Acceleration!$Q$4:$Q$110,MATCH('Track Data'!S534,Acceleration!$K$4:$K$110,0)),'Track Data'!AG534)),'Track Data'!U534)</f>
        <v>6.0317693268258283</v>
      </c>
    </row>
    <row r="535" spans="2:34" x14ac:dyDescent="0.25">
      <c r="B535" s="16">
        <v>212.35300000000001</v>
      </c>
      <c r="C535" s="16">
        <v>7805</v>
      </c>
      <c r="D535" s="16">
        <v>532</v>
      </c>
      <c r="E535" s="113">
        <v>126</v>
      </c>
      <c r="F535" s="113">
        <v>128.80000000000001</v>
      </c>
      <c r="G535" s="113">
        <v>127.8</v>
      </c>
      <c r="H535" s="113">
        <f t="shared" si="61"/>
        <v>35.5</v>
      </c>
      <c r="I535" s="113">
        <v>5</v>
      </c>
      <c r="J535" s="113">
        <v>25.37</v>
      </c>
      <c r="K535" s="113">
        <v>-13.7</v>
      </c>
      <c r="L535" s="185"/>
      <c r="M535" s="16">
        <v>532</v>
      </c>
      <c r="N535" s="16">
        <f t="shared" si="63"/>
        <v>2.8943049229018355E-2</v>
      </c>
      <c r="O535" s="16">
        <v>2</v>
      </c>
      <c r="P535" s="16">
        <f t="shared" si="59"/>
        <v>12.715447154471546</v>
      </c>
      <c r="Q535" s="16">
        <f t="shared" si="64"/>
        <v>34.550609788459958</v>
      </c>
      <c r="R535" s="113">
        <f t="shared" si="60"/>
        <v>373.41300000000001</v>
      </c>
      <c r="S535" s="16">
        <f>IF(S534=15800,15800,ROUND((((Q535*60)/'Gearing Calculator'!$C$14)*'Track Data'!P535),-2))</f>
        <v>13300</v>
      </c>
      <c r="T535" s="16">
        <f t="shared" si="62"/>
        <v>6.0317693268258283</v>
      </c>
      <c r="U535" s="16">
        <f>IF(AC535=100,Braking!$AG$2354,IF(AC535=50,Braking!$AG$1179,IF(AC535=75,Braking!$AG$1767,0)))</f>
        <v>0</v>
      </c>
      <c r="V535" s="16">
        <f>0.5*'Gearing Calculator'!$C$15*'Gearing Calculator'!$C$20*'Gearing Calculator'!$W$20*('Track Data'!Q535^2)</f>
        <v>126.34593235408833</v>
      </c>
      <c r="W535" s="16">
        <f>('Gearing Calculator'!$U$9*'Track Data'!T535)+'Track Data'!V535</f>
        <v>1732.0029271551236</v>
      </c>
      <c r="X535" s="16">
        <f>('Gearing Calculator'!$U$9*9.81)*('Gearing Calculator'!$U$16/'Gearing Calculator'!$C$7)-(('Track Data'!W535)*('Gearing Calculator'!$U$17/'Gearing Calculator'!$C$7))</f>
        <v>457.1024197547539</v>
      </c>
      <c r="Y535" s="16">
        <f>('Gearing Calculator'!$U$9*9.81)*(('Gearing Calculator'!$C$7-'Gearing Calculator'!$U$16)/'Gearing Calculator'!$C$7)+(('Track Data'!W535)*('Gearing Calculator'!$U$17/'Gearing Calculator'!$C$7))</f>
        <v>2154.319580245246</v>
      </c>
      <c r="Z535" s="16">
        <f>((X535*COS('Gearing Calculator'!$C$21))/'Gearing Calculator'!$C$22)/2</f>
        <v>14.132161127034315</v>
      </c>
      <c r="AA535" s="16">
        <f>Y535/'Gearing Calculator'!$C$24</f>
        <v>30.081527027601155</v>
      </c>
      <c r="AB535" s="16">
        <f t="shared" si="58"/>
        <v>138.40947100774</v>
      </c>
      <c r="AC535" s="16">
        <v>0</v>
      </c>
      <c r="AD535" s="16">
        <v>0</v>
      </c>
      <c r="AE535" s="16">
        <v>532</v>
      </c>
      <c r="AF535" s="16">
        <f>IF(AC535=0,IF(O535=6,INDEX(Acceleration!$V$4:$V$110,MATCH('Track Data'!S535,Acceleration!$K$4:$K$110,0)),IF('Track Data'!O535=5,INDEX(Acceleration!$U$4:$U$110,MATCH('Track Data'!S535,Acceleration!$K$4:$K$110,0)),1)),U535)</f>
        <v>1</v>
      </c>
      <c r="AG535" s="16">
        <f>IF(AC535=0,IF(O535=4,INDEX(Acceleration!$T$4:$T$110,MATCH('Track Data'!S535,Acceleration!$K$4:$K$110,0)),IF('Track Data'!O535=3,INDEX(Acceleration!$S$4:$S$110,MATCH('Track Data'!S535,Acceleration!$K$4:$K$110,0)),'Track Data'!AF535)),'Track Data'!U535)</f>
        <v>1</v>
      </c>
      <c r="AH535" s="16">
        <f>IF(AC535=0,IF(O535=2,INDEX(Acceleration!$R$4:$R$110,MATCH('Track Data'!S535,Acceleration!$K$4:$K$110,0)),IF('Track Data'!O535=1,INDEX(Acceleration!$Q$4:$Q$110,MATCH('Track Data'!S535,Acceleration!$K$4:$K$110,0)),'Track Data'!AG535)),'Track Data'!U535)</f>
        <v>6.0317693268258283</v>
      </c>
    </row>
    <row r="536" spans="2:34" x14ac:dyDescent="0.25">
      <c r="B536" s="16">
        <v>212.381</v>
      </c>
      <c r="C536" s="16">
        <v>7806</v>
      </c>
      <c r="D536" s="16">
        <v>533</v>
      </c>
      <c r="E536" s="113">
        <v>128</v>
      </c>
      <c r="F536" s="113">
        <v>129</v>
      </c>
      <c r="G536" s="113">
        <v>128.1</v>
      </c>
      <c r="H536" s="113">
        <f t="shared" si="61"/>
        <v>35.583333333333329</v>
      </c>
      <c r="I536" s="113">
        <v>4.7</v>
      </c>
      <c r="J536" s="113">
        <v>25.72</v>
      </c>
      <c r="K536" s="113">
        <v>-7.7</v>
      </c>
      <c r="L536" s="185"/>
      <c r="M536" s="16">
        <v>533</v>
      </c>
      <c r="N536" s="16">
        <f t="shared" si="63"/>
        <v>2.8797904553363875E-2</v>
      </c>
      <c r="O536" s="16">
        <v>2</v>
      </c>
      <c r="P536" s="16">
        <f t="shared" si="59"/>
        <v>12.715447154471546</v>
      </c>
      <c r="Q536" s="16">
        <f t="shared" si="64"/>
        <v>34.724748745067643</v>
      </c>
      <c r="R536" s="113">
        <f t="shared" si="60"/>
        <v>373.41300000000001</v>
      </c>
      <c r="S536" s="16">
        <f>IF(S535=15800,15800,ROUND((((Q536*60)/'Gearing Calculator'!$C$14)*'Track Data'!P536),-2))</f>
        <v>13400</v>
      </c>
      <c r="T536" s="16">
        <f t="shared" si="62"/>
        <v>5.9806887731583336</v>
      </c>
      <c r="U536" s="16">
        <f>IF(AC536=100,Braking!$AG$2354,IF(AC536=50,Braking!$AG$1179,IF(AC536=75,Braking!$AG$1767,0)))</f>
        <v>0</v>
      </c>
      <c r="V536" s="16">
        <f>0.5*'Gearing Calculator'!$C$15*'Gearing Calculator'!$C$20*'Gearing Calculator'!$W$20*('Track Data'!Q536^2)</f>
        <v>127.62273728519084</v>
      </c>
      <c r="W536" s="16">
        <f>('Gearing Calculator'!$U$9*'Track Data'!T536)+'Track Data'!V536</f>
        <v>1719.6820886999392</v>
      </c>
      <c r="X536" s="16">
        <f>('Gearing Calculator'!$U$9*9.81)*('Gearing Calculator'!$U$16/'Gearing Calculator'!$C$7)-(('Track Data'!W536)*('Gearing Calculator'!$U$17/'Gearing Calculator'!$C$7))</f>
        <v>463.81811814888295</v>
      </c>
      <c r="Y536" s="16">
        <f>('Gearing Calculator'!$U$9*9.81)*(('Gearing Calculator'!$C$7-'Gearing Calculator'!$U$16)/'Gearing Calculator'!$C$7)+(('Track Data'!W536)*('Gearing Calculator'!$U$17/'Gearing Calculator'!$C$7))</f>
        <v>2147.603881851117</v>
      </c>
      <c r="Z536" s="16">
        <f>((X536*COS('Gearing Calculator'!$C$21))/'Gearing Calculator'!$C$22)/2</f>
        <v>14.33978928143638</v>
      </c>
      <c r="AA536" s="16">
        <f>Y536/'Gearing Calculator'!$C$24</f>
        <v>29.987753353256508</v>
      </c>
      <c r="AB536" s="16">
        <f t="shared" si="58"/>
        <v>139.58411483150749</v>
      </c>
      <c r="AC536" s="16">
        <v>0</v>
      </c>
      <c r="AD536" s="16">
        <v>0</v>
      </c>
      <c r="AE536" s="16">
        <v>533</v>
      </c>
      <c r="AF536" s="16">
        <f>IF(AC536=0,IF(O536=6,INDEX(Acceleration!$V$4:$V$110,MATCH('Track Data'!S536,Acceleration!$K$4:$K$110,0)),IF('Track Data'!O536=5,INDEX(Acceleration!$U$4:$U$110,MATCH('Track Data'!S536,Acceleration!$K$4:$K$110,0)),1)),U536)</f>
        <v>1</v>
      </c>
      <c r="AG536" s="16">
        <f>IF(AC536=0,IF(O536=4,INDEX(Acceleration!$T$4:$T$110,MATCH('Track Data'!S536,Acceleration!$K$4:$K$110,0)),IF('Track Data'!O536=3,INDEX(Acceleration!$S$4:$S$110,MATCH('Track Data'!S536,Acceleration!$K$4:$K$110,0)),'Track Data'!AF536)),'Track Data'!U536)</f>
        <v>1</v>
      </c>
      <c r="AH536" s="16">
        <f>IF(AC536=0,IF(O536=2,INDEX(Acceleration!$R$4:$R$110,MATCH('Track Data'!S536,Acceleration!$K$4:$K$110,0)),IF('Track Data'!O536=1,INDEX(Acceleration!$Q$4:$Q$110,MATCH('Track Data'!S536,Acceleration!$K$4:$K$110,0)),'Track Data'!AG536)),'Track Data'!U536)</f>
        <v>5.9806887731583336</v>
      </c>
    </row>
    <row r="537" spans="2:34" x14ac:dyDescent="0.25">
      <c r="B537" s="16">
        <v>212.40899999999999</v>
      </c>
      <c r="C537" s="16">
        <v>7807</v>
      </c>
      <c r="D537" s="16">
        <v>534</v>
      </c>
      <c r="E537" s="113">
        <v>130</v>
      </c>
      <c r="F537" s="113">
        <v>129.19999999999999</v>
      </c>
      <c r="G537" s="113">
        <v>128.30000000000001</v>
      </c>
      <c r="H537" s="113">
        <f t="shared" si="61"/>
        <v>35.638888888888893</v>
      </c>
      <c r="I537" s="113">
        <v>3</v>
      </c>
      <c r="J537" s="113">
        <v>26.25</v>
      </c>
      <c r="K537" s="113">
        <v>-3.8</v>
      </c>
      <c r="L537" s="185"/>
      <c r="M537" s="16">
        <v>534</v>
      </c>
      <c r="N537" s="16">
        <f t="shared" si="63"/>
        <v>2.8656123767614446E-2</v>
      </c>
      <c r="O537" s="16">
        <v>2</v>
      </c>
      <c r="P537" s="16">
        <f t="shared" si="59"/>
        <v>12.715447154471546</v>
      </c>
      <c r="Q537" s="16">
        <f t="shared" si="64"/>
        <v>34.896555029893619</v>
      </c>
      <c r="R537" s="113">
        <f t="shared" si="60"/>
        <v>373.41300000000001</v>
      </c>
      <c r="S537" s="16">
        <f>IF(S536=15800,15800,ROUND((((Q537*60)/'Gearing Calculator'!$C$14)*'Track Data'!P537),-2))</f>
        <v>13500</v>
      </c>
      <c r="T537" s="16">
        <f t="shared" si="62"/>
        <v>5.9302744076255376</v>
      </c>
      <c r="U537" s="16">
        <f>IF(AC537=100,Braking!$AG$2354,IF(AC537=50,Braking!$AG$1179,IF(AC537=75,Braking!$AG$1767,0)))</f>
        <v>0</v>
      </c>
      <c r="V537" s="16">
        <f>0.5*'Gearing Calculator'!$C$15*'Gearing Calculator'!$C$20*'Gearing Calculator'!$W$20*('Track Data'!Q537^2)</f>
        <v>128.88872948469302</v>
      </c>
      <c r="W537" s="16">
        <f>('Gearing Calculator'!$U$9*'Track Data'!T537)+'Track Data'!V537</f>
        <v>1707.5277767946109</v>
      </c>
      <c r="X537" s="16">
        <f>('Gearing Calculator'!$U$9*9.81)*('Gearing Calculator'!$U$16/'Gearing Calculator'!$C$7)-(('Track Data'!W537)*('Gearing Calculator'!$U$17/'Gearing Calculator'!$C$7))</f>
        <v>470.44304820062064</v>
      </c>
      <c r="Y537" s="16">
        <f>('Gearing Calculator'!$U$9*9.81)*(('Gearing Calculator'!$C$7-'Gearing Calculator'!$U$16)/'Gearing Calculator'!$C$7)+(('Track Data'!W537)*('Gearing Calculator'!$U$17/'Gearing Calculator'!$C$7))</f>
        <v>2140.9789517993795</v>
      </c>
      <c r="Z537" s="16">
        <f>((X537*COS('Gearing Calculator'!$C$21))/'Gearing Calculator'!$C$22)/2</f>
        <v>14.544611165767513</v>
      </c>
      <c r="AA537" s="16">
        <f>Y537/'Gearing Calculator'!$C$24</f>
        <v>29.895247109412864</v>
      </c>
      <c r="AB537" s="16">
        <f t="shared" si="58"/>
        <v>140.74927829994408</v>
      </c>
      <c r="AC537" s="16">
        <v>0</v>
      </c>
      <c r="AD537" s="16">
        <v>0</v>
      </c>
      <c r="AE537" s="16">
        <v>534</v>
      </c>
      <c r="AF537" s="16">
        <f>IF(AC537=0,IF(O537=6,INDEX(Acceleration!$V$4:$V$110,MATCH('Track Data'!S537,Acceleration!$K$4:$K$110,0)),IF('Track Data'!O537=5,INDEX(Acceleration!$U$4:$U$110,MATCH('Track Data'!S537,Acceleration!$K$4:$K$110,0)),1)),U537)</f>
        <v>1</v>
      </c>
      <c r="AG537" s="16">
        <f>IF(AC537=0,IF(O537=4,INDEX(Acceleration!$T$4:$T$110,MATCH('Track Data'!S537,Acceleration!$K$4:$K$110,0)),IF('Track Data'!O537=3,INDEX(Acceleration!$S$4:$S$110,MATCH('Track Data'!S537,Acceleration!$K$4:$K$110,0)),'Track Data'!AF537)),'Track Data'!U537)</f>
        <v>1</v>
      </c>
      <c r="AH537" s="16">
        <f>IF(AC537=0,IF(O537=2,INDEX(Acceleration!$R$4:$R$110,MATCH('Track Data'!S537,Acceleration!$K$4:$K$110,0)),IF('Track Data'!O537=1,INDEX(Acceleration!$Q$4:$Q$110,MATCH('Track Data'!S537,Acceleration!$K$4:$K$110,0)),'Track Data'!AG537)),'Track Data'!U537)</f>
        <v>5.9302744076255376</v>
      </c>
    </row>
    <row r="538" spans="2:34" x14ac:dyDescent="0.25">
      <c r="B538" s="16">
        <v>212.43600000000001</v>
      </c>
      <c r="C538" s="16">
        <v>7808</v>
      </c>
      <c r="D538" s="16">
        <v>535</v>
      </c>
      <c r="E538" s="113">
        <v>130</v>
      </c>
      <c r="F538" s="113">
        <v>129.19999999999999</v>
      </c>
      <c r="G538" s="113">
        <v>128.6</v>
      </c>
      <c r="H538" s="113">
        <f t="shared" si="61"/>
        <v>35.722222222222221</v>
      </c>
      <c r="I538" s="113">
        <v>3.1</v>
      </c>
      <c r="J538" s="113">
        <v>19.760000000000002</v>
      </c>
      <c r="K538" s="113">
        <v>1.2</v>
      </c>
      <c r="L538" s="185"/>
      <c r="M538" s="16">
        <v>535</v>
      </c>
      <c r="N538" s="16">
        <f t="shared" si="63"/>
        <v>2.8517585798663453E-2</v>
      </c>
      <c r="O538" s="16">
        <v>2</v>
      </c>
      <c r="P538" s="16">
        <f t="shared" si="59"/>
        <v>12.715447154471546</v>
      </c>
      <c r="Q538" s="16">
        <f t="shared" si="64"/>
        <v>35.066081927835121</v>
      </c>
      <c r="R538" s="113">
        <f t="shared" si="60"/>
        <v>373.41300000000001</v>
      </c>
      <c r="S538" s="16">
        <f>IF(S537=15800,15800,ROUND((((Q538*60)/'Gearing Calculator'!$C$14)*'Track Data'!P538),-2))</f>
        <v>13500</v>
      </c>
      <c r="T538" s="16">
        <f t="shared" si="62"/>
        <v>5.9302744076255376</v>
      </c>
      <c r="U538" s="16">
        <f>IF(AC538=100,Braking!$AG$2354,IF(AC538=50,Braking!$AG$1179,IF(AC538=75,Braking!$AG$1767,0)))</f>
        <v>0</v>
      </c>
      <c r="V538" s="16">
        <f>0.5*'Gearing Calculator'!$C$15*'Gearing Calculator'!$C$20*'Gearing Calculator'!$W$20*('Track Data'!Q538^2)</f>
        <v>130.14404997129921</v>
      </c>
      <c r="W538" s="16">
        <f>('Gearing Calculator'!$U$9*'Track Data'!T538)+'Track Data'!V538</f>
        <v>1708.7830972812171</v>
      </c>
      <c r="X538" s="16">
        <f>('Gearing Calculator'!$U$9*9.81)*('Gearing Calculator'!$U$16/'Gearing Calculator'!$C$7)-(('Track Data'!W538)*('Gearing Calculator'!$U$17/'Gearing Calculator'!$C$7))</f>
        <v>469.75881280489784</v>
      </c>
      <c r="Y538" s="16">
        <f>('Gearing Calculator'!$U$9*9.81)*(('Gearing Calculator'!$C$7-'Gearing Calculator'!$U$16)/'Gearing Calculator'!$C$7)+(('Track Data'!W538)*('Gearing Calculator'!$U$17/'Gearing Calculator'!$C$7))</f>
        <v>2141.6631871951022</v>
      </c>
      <c r="Z538" s="16">
        <f>((X538*COS('Gearing Calculator'!$C$21))/'Gearing Calculator'!$C$22)/2</f>
        <v>14.523456771383946</v>
      </c>
      <c r="AA538" s="16">
        <f>Y538/'Gearing Calculator'!$C$24</f>
        <v>29.904801330494273</v>
      </c>
      <c r="AB538" s="16">
        <f t="shared" si="58"/>
        <v>142.00459878655028</v>
      </c>
      <c r="AC538" s="16">
        <v>0</v>
      </c>
      <c r="AD538" s="16">
        <v>0</v>
      </c>
      <c r="AE538" s="16">
        <v>535</v>
      </c>
      <c r="AF538" s="16">
        <f>IF(AC538=0,IF(O538=6,INDEX(Acceleration!$V$4:$V$110,MATCH('Track Data'!S538,Acceleration!$K$4:$K$110,0)),IF('Track Data'!O538=5,INDEX(Acceleration!$U$4:$U$110,MATCH('Track Data'!S538,Acceleration!$K$4:$K$110,0)),1)),U538)</f>
        <v>1</v>
      </c>
      <c r="AG538" s="16">
        <f>IF(AC538=0,IF(O538=4,INDEX(Acceleration!$T$4:$T$110,MATCH('Track Data'!S538,Acceleration!$K$4:$K$110,0)),IF('Track Data'!O538=3,INDEX(Acceleration!$S$4:$S$110,MATCH('Track Data'!S538,Acceleration!$K$4:$K$110,0)),'Track Data'!AF538)),'Track Data'!U538)</f>
        <v>1</v>
      </c>
      <c r="AH538" s="16">
        <f>IF(AC538=0,IF(O538=2,INDEX(Acceleration!$R$4:$R$110,MATCH('Track Data'!S538,Acceleration!$K$4:$K$110,0)),IF('Track Data'!O538=1,INDEX(Acceleration!$Q$4:$Q$110,MATCH('Track Data'!S538,Acceleration!$K$4:$K$110,0)),'Track Data'!AG538)),'Track Data'!U538)</f>
        <v>5.9302744076255376</v>
      </c>
    </row>
    <row r="539" spans="2:34" x14ac:dyDescent="0.25">
      <c r="B539" s="16">
        <v>212.464</v>
      </c>
      <c r="C539" s="16">
        <v>7809</v>
      </c>
      <c r="D539" s="16">
        <v>536</v>
      </c>
      <c r="E539" s="113">
        <v>130</v>
      </c>
      <c r="F539" s="113">
        <v>129.9</v>
      </c>
      <c r="G539" s="113">
        <v>128.80000000000001</v>
      </c>
      <c r="H539" s="113">
        <f t="shared" si="61"/>
        <v>35.777777777777779</v>
      </c>
      <c r="I539" s="113">
        <v>3.9</v>
      </c>
      <c r="J539" s="113">
        <v>15.01</v>
      </c>
      <c r="K539" s="113">
        <v>6.1</v>
      </c>
      <c r="L539" s="185"/>
      <c r="M539" s="16">
        <v>536</v>
      </c>
      <c r="N539" s="16">
        <f t="shared" si="63"/>
        <v>2.8381037880143078E-2</v>
      </c>
      <c r="O539" s="16">
        <v>2</v>
      </c>
      <c r="P539" s="16">
        <f t="shared" si="59"/>
        <v>12.715447154471546</v>
      </c>
      <c r="Q539" s="16">
        <f t="shared" si="64"/>
        <v>35.234793182093405</v>
      </c>
      <c r="R539" s="113">
        <f t="shared" si="60"/>
        <v>373.41300000000001</v>
      </c>
      <c r="S539" s="16">
        <f>IF(S538=15800,15800,ROUND((((Q539*60)/'Gearing Calculator'!$C$14)*'Track Data'!P539),-2))</f>
        <v>13600</v>
      </c>
      <c r="T539" s="16">
        <f t="shared" si="62"/>
        <v>5.880510864043325</v>
      </c>
      <c r="U539" s="16">
        <f>IF(AC539=100,Braking!$AG$2354,IF(AC539=50,Braking!$AG$1179,IF(AC539=75,Braking!$AG$1767,0)))</f>
        <v>0</v>
      </c>
      <c r="V539" s="16">
        <f>0.5*'Gearing Calculator'!$C$15*'Gearing Calculator'!$C$20*'Gearing Calculator'!$W$20*('Track Data'!Q539^2)</f>
        <v>131.39937045790538</v>
      </c>
      <c r="W539" s="16">
        <f>('Gearing Calculator'!$U$9*'Track Data'!T539)+'Track Data'!V539</f>
        <v>1696.7913624662385</v>
      </c>
      <c r="X539" s="16">
        <f>('Gearing Calculator'!$U$9*9.81)*('Gearing Calculator'!$U$16/'Gearing Calculator'!$C$7)-(('Track Data'!W539)*('Gearing Calculator'!$U$17/'Gearing Calculator'!$C$7))</f>
        <v>476.29512723939854</v>
      </c>
      <c r="Y539" s="16">
        <f>('Gearing Calculator'!$U$9*9.81)*(('Gearing Calculator'!$C$7-'Gearing Calculator'!$U$16)/'Gearing Calculator'!$C$7)+(('Track Data'!W539)*('Gearing Calculator'!$U$17/'Gearing Calculator'!$C$7))</f>
        <v>2135.1268727606016</v>
      </c>
      <c r="Z539" s="16">
        <f>((X539*COS('Gearing Calculator'!$C$21))/'Gearing Calculator'!$C$22)/2</f>
        <v>14.72553894109743</v>
      </c>
      <c r="AA539" s="16">
        <f>Y539/'Gearing Calculator'!$C$24</f>
        <v>29.813532457888126</v>
      </c>
      <c r="AB539" s="16">
        <f t="shared" si="58"/>
        <v>143.16039218599204</v>
      </c>
      <c r="AC539" s="16">
        <v>0</v>
      </c>
      <c r="AD539" s="16">
        <v>0</v>
      </c>
      <c r="AE539" s="16">
        <v>536</v>
      </c>
      <c r="AF539" s="16">
        <f>IF(AC539=0,IF(O539=6,INDEX(Acceleration!$V$4:$V$110,MATCH('Track Data'!S539,Acceleration!$K$4:$K$110,0)),IF('Track Data'!O539=5,INDEX(Acceleration!$U$4:$U$110,MATCH('Track Data'!S539,Acceleration!$K$4:$K$110,0)),1)),U539)</f>
        <v>1</v>
      </c>
      <c r="AG539" s="16">
        <f>IF(AC539=0,IF(O539=4,INDEX(Acceleration!$T$4:$T$110,MATCH('Track Data'!S539,Acceleration!$K$4:$K$110,0)),IF('Track Data'!O539=3,INDEX(Acceleration!$S$4:$S$110,MATCH('Track Data'!S539,Acceleration!$K$4:$K$110,0)),'Track Data'!AF539)),'Track Data'!U539)</f>
        <v>1</v>
      </c>
      <c r="AH539" s="16">
        <f>IF(AC539=0,IF(O539=2,INDEX(Acceleration!$R$4:$R$110,MATCH('Track Data'!S539,Acceleration!$K$4:$K$110,0)),IF('Track Data'!O539=1,INDEX(Acceleration!$Q$4:$Q$110,MATCH('Track Data'!S539,Acceleration!$K$4:$K$110,0)),'Track Data'!AG539)),'Track Data'!U539)</f>
        <v>5.880510864043325</v>
      </c>
    </row>
    <row r="540" spans="2:34" x14ac:dyDescent="0.25">
      <c r="B540" s="16">
        <v>212.49199999999999</v>
      </c>
      <c r="C540" s="16">
        <v>7810</v>
      </c>
      <c r="D540" s="16">
        <v>537</v>
      </c>
      <c r="E540" s="113">
        <v>130</v>
      </c>
      <c r="F540" s="113">
        <v>130.4</v>
      </c>
      <c r="G540" s="113">
        <v>129.1</v>
      </c>
      <c r="H540" s="113">
        <f t="shared" si="61"/>
        <v>35.861111111111107</v>
      </c>
      <c r="I540" s="113">
        <v>4.0999999999999996</v>
      </c>
      <c r="J540" s="113">
        <v>15.08</v>
      </c>
      <c r="K540" s="113">
        <v>9.5</v>
      </c>
      <c r="L540" s="185"/>
      <c r="M540" s="16">
        <v>537</v>
      </c>
      <c r="N540" s="16">
        <f t="shared" si="63"/>
        <v>2.8247554393975464E-2</v>
      </c>
      <c r="O540" s="16">
        <v>2</v>
      </c>
      <c r="P540" s="16">
        <f t="shared" si="59"/>
        <v>12.715447154471546</v>
      </c>
      <c r="Q540" s="16">
        <f t="shared" si="64"/>
        <v>35.401294783001688</v>
      </c>
      <c r="R540" s="113">
        <f t="shared" si="60"/>
        <v>373.41300000000001</v>
      </c>
      <c r="S540" s="16">
        <f>IF(S539=15800,15800,ROUND((((Q540*60)/'Gearing Calculator'!$C$14)*'Track Data'!P540),-2))</f>
        <v>13600</v>
      </c>
      <c r="T540" s="16">
        <f t="shared" si="62"/>
        <v>5.880510864043325</v>
      </c>
      <c r="U540" s="16">
        <f>IF(AC540=100,Braking!$AG$2354,IF(AC540=50,Braking!$AG$1179,IF(AC540=75,Braking!$AG$1767,0)))</f>
        <v>0</v>
      </c>
      <c r="V540" s="16">
        <f>0.5*'Gearing Calculator'!$C$15*'Gearing Calculator'!$C$20*'Gearing Calculator'!$W$20*('Track Data'!Q540^2)</f>
        <v>132.64415699760605</v>
      </c>
      <c r="W540" s="16">
        <f>('Gearing Calculator'!$U$9*'Track Data'!T540)+'Track Data'!V540</f>
        <v>1698.036149005939</v>
      </c>
      <c r="X540" s="16">
        <f>('Gearing Calculator'!$U$9*9.81)*('Gearing Calculator'!$U$16/'Gearing Calculator'!$C$7)-(('Track Data'!W540)*('Gearing Calculator'!$U$17/'Gearing Calculator'!$C$7))</f>
        <v>475.61663356414203</v>
      </c>
      <c r="Y540" s="16">
        <f>('Gearing Calculator'!$U$9*9.81)*(('Gearing Calculator'!$C$7-'Gearing Calculator'!$U$16)/'Gearing Calculator'!$C$7)+(('Track Data'!W540)*('Gearing Calculator'!$U$17/'Gearing Calculator'!$C$7))</f>
        <v>2135.8053664358581</v>
      </c>
      <c r="Z540" s="16">
        <f>((X540*COS('Gearing Calculator'!$C$21))/'Gearing Calculator'!$C$22)/2</f>
        <v>14.704562062551165</v>
      </c>
      <c r="AA540" s="16">
        <f>Y540/'Gearing Calculator'!$C$24</f>
        <v>29.823006505293833</v>
      </c>
      <c r="AB540" s="16">
        <f t="shared" si="58"/>
        <v>144.40517872569271</v>
      </c>
      <c r="AC540" s="16">
        <v>0</v>
      </c>
      <c r="AD540" s="16">
        <v>0</v>
      </c>
      <c r="AE540" s="16">
        <v>537</v>
      </c>
      <c r="AF540" s="16">
        <f>IF(AC540=0,IF(O540=6,INDEX(Acceleration!$V$4:$V$110,MATCH('Track Data'!S540,Acceleration!$K$4:$K$110,0)),IF('Track Data'!O540=5,INDEX(Acceleration!$U$4:$U$110,MATCH('Track Data'!S540,Acceleration!$K$4:$K$110,0)),1)),U540)</f>
        <v>1</v>
      </c>
      <c r="AG540" s="16">
        <f>IF(AC540=0,IF(O540=4,INDEX(Acceleration!$T$4:$T$110,MATCH('Track Data'!S540,Acceleration!$K$4:$K$110,0)),IF('Track Data'!O540=3,INDEX(Acceleration!$S$4:$S$110,MATCH('Track Data'!S540,Acceleration!$K$4:$K$110,0)),'Track Data'!AF540)),'Track Data'!U540)</f>
        <v>1</v>
      </c>
      <c r="AH540" s="16">
        <f>IF(AC540=0,IF(O540=2,INDEX(Acceleration!$R$4:$R$110,MATCH('Track Data'!S540,Acceleration!$K$4:$K$110,0)),IF('Track Data'!O540=1,INDEX(Acceleration!$Q$4:$Q$110,MATCH('Track Data'!S540,Acceleration!$K$4:$K$110,0)),'Track Data'!AG540)),'Track Data'!U540)</f>
        <v>5.880510864043325</v>
      </c>
    </row>
    <row r="541" spans="2:34" x14ac:dyDescent="0.25">
      <c r="B541" s="16">
        <v>212.51900000000001</v>
      </c>
      <c r="C541" s="16">
        <v>7811</v>
      </c>
      <c r="D541" s="16">
        <v>538</v>
      </c>
      <c r="E541" s="113">
        <v>131</v>
      </c>
      <c r="F541" s="113">
        <v>130.30000000000001</v>
      </c>
      <c r="G541" s="113">
        <v>129.19999999999999</v>
      </c>
      <c r="H541" s="113">
        <f t="shared" si="61"/>
        <v>35.888888888888886</v>
      </c>
      <c r="I541" s="113">
        <v>4.0999999999999996</v>
      </c>
      <c r="J541" s="113">
        <v>14.48</v>
      </c>
      <c r="K541" s="113">
        <v>10.3</v>
      </c>
      <c r="L541" s="185"/>
      <c r="M541" s="16">
        <v>538</v>
      </c>
      <c r="N541" s="16">
        <f t="shared" si="63"/>
        <v>2.8115936787017411E-2</v>
      </c>
      <c r="O541" s="16">
        <v>2</v>
      </c>
      <c r="P541" s="16">
        <f t="shared" si="59"/>
        <v>12.715447154471546</v>
      </c>
      <c r="Q541" s="16">
        <f t="shared" si="64"/>
        <v>35.567016940433298</v>
      </c>
      <c r="R541" s="113">
        <f t="shared" si="60"/>
        <v>373.41300000000001</v>
      </c>
      <c r="S541" s="16">
        <f>IF(S540=15800,15800,ROUND((((Q541*60)/'Gearing Calculator'!$C$14)*'Track Data'!P541),-2))</f>
        <v>13700</v>
      </c>
      <c r="T541" s="16">
        <f t="shared" si="62"/>
        <v>5.8313832248752968</v>
      </c>
      <c r="U541" s="16">
        <f>IF(AC541=100,Braking!$AG$2354,IF(AC541=50,Braking!$AG$1179,IF(AC541=75,Braking!$AG$1767,0)))</f>
        <v>0</v>
      </c>
      <c r="V541" s="16">
        <f>0.5*'Gearing Calculator'!$C$15*'Gearing Calculator'!$C$20*'Gearing Calculator'!$W$20*('Track Data'!Q541^2)</f>
        <v>133.88894353730674</v>
      </c>
      <c r="W541" s="16">
        <f>('Gearing Calculator'!$U$9*'Track Data'!T541)+'Track Data'!V541</f>
        <v>1686.2031579991105</v>
      </c>
      <c r="X541" s="16">
        <f>('Gearing Calculator'!$U$9*9.81)*('Gearing Calculator'!$U$16/'Gearing Calculator'!$C$7)-(('Track Data'!W541)*('Gearing Calculator'!$U$17/'Gearing Calculator'!$C$7))</f>
        <v>482.06642178199365</v>
      </c>
      <c r="Y541" s="16">
        <f>('Gearing Calculator'!$U$9*9.81)*(('Gearing Calculator'!$C$7-'Gearing Calculator'!$U$16)/'Gearing Calculator'!$C$7)+(('Track Data'!W541)*('Gearing Calculator'!$U$17/'Gearing Calculator'!$C$7))</f>
        <v>2129.3555782180065</v>
      </c>
      <c r="Z541" s="16">
        <f>((X541*COS('Gearing Calculator'!$C$21))/'Gearing Calculator'!$C$22)/2</f>
        <v>14.903969115304967</v>
      </c>
      <c r="AA541" s="16">
        <f>Y541/'Gearing Calculator'!$C$24</f>
        <v>29.732945828885033</v>
      </c>
      <c r="AB541" s="16">
        <f t="shared" si="58"/>
        <v>145.55170998705734</v>
      </c>
      <c r="AC541" s="16">
        <v>0</v>
      </c>
      <c r="AD541" s="16">
        <v>0</v>
      </c>
      <c r="AE541" s="16">
        <v>538</v>
      </c>
      <c r="AF541" s="16">
        <f>IF(AC541=0,IF(O541=6,INDEX(Acceleration!$V$4:$V$110,MATCH('Track Data'!S541,Acceleration!$K$4:$K$110,0)),IF('Track Data'!O541=5,INDEX(Acceleration!$U$4:$U$110,MATCH('Track Data'!S541,Acceleration!$K$4:$K$110,0)),1)),U541)</f>
        <v>1</v>
      </c>
      <c r="AG541" s="16">
        <f>IF(AC541=0,IF(O541=4,INDEX(Acceleration!$T$4:$T$110,MATCH('Track Data'!S541,Acceleration!$K$4:$K$110,0)),IF('Track Data'!O541=3,INDEX(Acceleration!$S$4:$S$110,MATCH('Track Data'!S541,Acceleration!$K$4:$K$110,0)),'Track Data'!AF541)),'Track Data'!U541)</f>
        <v>1</v>
      </c>
      <c r="AH541" s="16">
        <f>IF(AC541=0,IF(O541=2,INDEX(Acceleration!$R$4:$R$110,MATCH('Track Data'!S541,Acceleration!$K$4:$K$110,0)),IF('Track Data'!O541=1,INDEX(Acceleration!$Q$4:$Q$110,MATCH('Track Data'!S541,Acceleration!$K$4:$K$110,0)),'Track Data'!AG541)),'Track Data'!U541)</f>
        <v>5.8313832248752968</v>
      </c>
    </row>
    <row r="542" spans="2:34" x14ac:dyDescent="0.25">
      <c r="B542" s="16">
        <v>212.547</v>
      </c>
      <c r="C542" s="16">
        <v>7812</v>
      </c>
      <c r="D542" s="16">
        <v>539</v>
      </c>
      <c r="E542" s="113">
        <v>132</v>
      </c>
      <c r="F542" s="113">
        <v>131.1</v>
      </c>
      <c r="G542" s="113">
        <v>129.4</v>
      </c>
      <c r="H542" s="113">
        <f t="shared" si="61"/>
        <v>35.944444444444443</v>
      </c>
      <c r="I542" s="113">
        <v>4.7</v>
      </c>
      <c r="J542" s="113">
        <v>13.32</v>
      </c>
      <c r="K542" s="113">
        <v>11.7</v>
      </c>
      <c r="L542" s="185"/>
      <c r="M542" s="16">
        <v>539</v>
      </c>
      <c r="N542" s="16">
        <f t="shared" si="63"/>
        <v>2.7987218902220969E-2</v>
      </c>
      <c r="O542" s="16">
        <v>2</v>
      </c>
      <c r="P542" s="16">
        <f t="shared" si="59"/>
        <v>12.715447154471546</v>
      </c>
      <c r="Q542" s="16">
        <f t="shared" si="64"/>
        <v>35.730595579850323</v>
      </c>
      <c r="R542" s="113">
        <f t="shared" si="60"/>
        <v>373.41300000000001</v>
      </c>
      <c r="S542" s="16">
        <f>IF(S541=15800,15800,ROUND((((Q542*60)/'Gearing Calculator'!$C$14)*'Track Data'!P542),-2))</f>
        <v>13800</v>
      </c>
      <c r="T542" s="16">
        <f t="shared" si="62"/>
        <v>5.8107323356466827</v>
      </c>
      <c r="U542" s="16">
        <f>IF(AC542=100,Braking!$AG$2354,IF(AC542=50,Braking!$AG$1179,IF(AC542=75,Braking!$AG$1767,0)))</f>
        <v>0</v>
      </c>
      <c r="V542" s="16">
        <f>0.5*'Gearing Calculator'!$C$15*'Gearing Calculator'!$C$20*'Gearing Calculator'!$W$20*('Track Data'!Q542^2)</f>
        <v>135.12333073834833</v>
      </c>
      <c r="W542" s="16">
        <f>('Gearing Calculator'!$U$9*'Track Data'!T542)+'Track Data'!V542</f>
        <v>1681.9402784874953</v>
      </c>
      <c r="X542" s="16">
        <f>('Gearing Calculator'!$U$9*9.81)*('Gearing Calculator'!$U$16/'Gearing Calculator'!$C$7)-(('Track Data'!W542)*('Gearing Calculator'!$U$17/'Gearing Calculator'!$C$7))</f>
        <v>484.38998224377963</v>
      </c>
      <c r="Y542" s="16">
        <f>('Gearing Calculator'!$U$9*9.81)*(('Gearing Calculator'!$C$7-'Gearing Calculator'!$U$16)/'Gearing Calculator'!$C$7)+(('Track Data'!W542)*('Gearing Calculator'!$U$17/'Gearing Calculator'!$C$7))</f>
        <v>2127.0320177562203</v>
      </c>
      <c r="Z542" s="16">
        <f>((X542*COS('Gearing Calculator'!$C$21))/'Gearing Calculator'!$C$22)/2</f>
        <v>14.975806255987758</v>
      </c>
      <c r="AA542" s="16">
        <f>Y542/'Gearing Calculator'!$C$24</f>
        <v>29.700501131509387</v>
      </c>
      <c r="AB542" s="16">
        <f t="shared" si="58"/>
        <v>146.74479540964168</v>
      </c>
      <c r="AC542" s="16">
        <v>0</v>
      </c>
      <c r="AD542" s="16">
        <v>0</v>
      </c>
      <c r="AE542" s="16">
        <v>539</v>
      </c>
      <c r="AF542" s="16">
        <f>IF(AC542=0,IF(O542=6,INDEX(Acceleration!$V$4:$V$110,MATCH('Track Data'!S542,Acceleration!$K$4:$K$110,0)),IF('Track Data'!O542=5,INDEX(Acceleration!$U$4:$U$110,MATCH('Track Data'!S542,Acceleration!$K$4:$K$110,0)),1)),U542)</f>
        <v>1</v>
      </c>
      <c r="AG542" s="16">
        <f>IF(AC542=0,IF(O542=4,INDEX(Acceleration!$T$4:$T$110,MATCH('Track Data'!S542,Acceleration!$K$4:$K$110,0)),IF('Track Data'!O542=3,INDEX(Acceleration!$S$4:$S$110,MATCH('Track Data'!S542,Acceleration!$K$4:$K$110,0)),'Track Data'!AF542)),'Track Data'!U542)</f>
        <v>1</v>
      </c>
      <c r="AH542" s="16">
        <f>IF(AC542=0,IF(O542=2,INDEX(Acceleration!$R$4:$R$110,MATCH('Track Data'!S542,Acceleration!$K$4:$K$110,0)),IF('Track Data'!O542=1,INDEX(Acceleration!$Q$4:$Q$110,MATCH('Track Data'!S542,Acceleration!$K$4:$K$110,0)),'Track Data'!AG542)),'Track Data'!U542)</f>
        <v>5.8107323356466827</v>
      </c>
    </row>
    <row r="543" spans="2:34" x14ac:dyDescent="0.25">
      <c r="B543" s="16">
        <v>212.57400000000001</v>
      </c>
      <c r="C543" s="16">
        <v>7813</v>
      </c>
      <c r="D543" s="16">
        <v>540</v>
      </c>
      <c r="E543" s="113">
        <v>132</v>
      </c>
      <c r="F543" s="113">
        <v>132.1</v>
      </c>
      <c r="G543" s="113">
        <v>129.6</v>
      </c>
      <c r="H543" s="113">
        <f t="shared" si="61"/>
        <v>36</v>
      </c>
      <c r="I543" s="113">
        <v>4.7</v>
      </c>
      <c r="J543" s="113">
        <v>13.41</v>
      </c>
      <c r="K543" s="113">
        <v>12.4</v>
      </c>
      <c r="L543" s="185"/>
      <c r="M543" s="16">
        <v>540</v>
      </c>
      <c r="N543" s="16">
        <f t="shared" si="63"/>
        <v>2.7860699423031484E-2</v>
      </c>
      <c r="O543" s="16">
        <v>2</v>
      </c>
      <c r="P543" s="16">
        <f t="shared" si="59"/>
        <v>12.715447154471546</v>
      </c>
      <c r="Q543" s="16">
        <f t="shared" si="64"/>
        <v>35.89285339955731</v>
      </c>
      <c r="R543" s="113">
        <f t="shared" si="60"/>
        <v>373.41300000000001</v>
      </c>
      <c r="S543" s="16">
        <f>IF(S542=15800,15800,ROUND((((Q543*60)/'Gearing Calculator'!$C$14)*'Track Data'!P543),-2))</f>
        <v>13800</v>
      </c>
      <c r="T543" s="16">
        <f t="shared" si="62"/>
        <v>5.8107323356466827</v>
      </c>
      <c r="U543" s="16">
        <f>IF(AC543=100,Braking!$AG$2354,IF(AC543=50,Braking!$AG$1179,IF(AC543=75,Braking!$AG$1767,0)))</f>
        <v>0</v>
      </c>
      <c r="V543" s="16">
        <f>0.5*'Gearing Calculator'!$C$15*'Gearing Calculator'!$C$20*'Gearing Calculator'!$W$20*('Track Data'!Q543^2)</f>
        <v>136.35334655915801</v>
      </c>
      <c r="W543" s="16">
        <f>('Gearing Calculator'!$U$9*'Track Data'!T543)+'Track Data'!V543</f>
        <v>1683.1702943083051</v>
      </c>
      <c r="X543" s="16">
        <f>('Gearing Calculator'!$U$9*9.81)*('Gearing Calculator'!$U$16/'Gearing Calculator'!$C$7)-(('Track Data'!W543)*('Gearing Calculator'!$U$17/'Gearing Calculator'!$C$7))</f>
        <v>483.71953961906615</v>
      </c>
      <c r="Y543" s="16">
        <f>('Gearing Calculator'!$U$9*9.81)*(('Gearing Calculator'!$C$7-'Gearing Calculator'!$U$16)/'Gearing Calculator'!$C$7)+(('Track Data'!W543)*('Gearing Calculator'!$U$17/'Gearing Calculator'!$C$7))</f>
        <v>2127.7024603809341</v>
      </c>
      <c r="Z543" s="16">
        <f>((X543*COS('Gearing Calculator'!$C$21))/'Gearing Calculator'!$C$22)/2</f>
        <v>14.95507829046098</v>
      </c>
      <c r="AA543" s="16">
        <f>Y543/'Gearing Calculator'!$C$24</f>
        <v>29.709862759245922</v>
      </c>
      <c r="AB543" s="16">
        <f t="shared" si="58"/>
        <v>147.97481123045137</v>
      </c>
      <c r="AC543" s="16">
        <v>0</v>
      </c>
      <c r="AD543" s="16">
        <v>0</v>
      </c>
      <c r="AE543" s="16">
        <v>540</v>
      </c>
      <c r="AF543" s="16">
        <f>IF(AC543=0,IF(O543=6,INDEX(Acceleration!$V$4:$V$110,MATCH('Track Data'!S543,Acceleration!$K$4:$K$110,0)),IF('Track Data'!O543=5,INDEX(Acceleration!$U$4:$U$110,MATCH('Track Data'!S543,Acceleration!$K$4:$K$110,0)),1)),U543)</f>
        <v>1</v>
      </c>
      <c r="AG543" s="16">
        <f>IF(AC543=0,IF(O543=4,INDEX(Acceleration!$T$4:$T$110,MATCH('Track Data'!S543,Acceleration!$K$4:$K$110,0)),IF('Track Data'!O543=3,INDEX(Acceleration!$S$4:$S$110,MATCH('Track Data'!S543,Acceleration!$K$4:$K$110,0)),'Track Data'!AF543)),'Track Data'!U543)</f>
        <v>1</v>
      </c>
      <c r="AH543" s="16">
        <f>IF(AC543=0,IF(O543=2,INDEX(Acceleration!$R$4:$R$110,MATCH('Track Data'!S543,Acceleration!$K$4:$K$110,0)),IF('Track Data'!O543=1,INDEX(Acceleration!$Q$4:$Q$110,MATCH('Track Data'!S543,Acceleration!$K$4:$K$110,0)),'Track Data'!AG543)),'Track Data'!U543)</f>
        <v>5.8107323356466827</v>
      </c>
    </row>
    <row r="544" spans="2:34" x14ac:dyDescent="0.25">
      <c r="B544" s="16">
        <v>212.602</v>
      </c>
      <c r="C544" s="16">
        <v>7814</v>
      </c>
      <c r="D544" s="16">
        <v>541</v>
      </c>
      <c r="E544" s="113">
        <v>133</v>
      </c>
      <c r="F544" s="113">
        <v>132.80000000000001</v>
      </c>
      <c r="G544" s="113">
        <v>129.69999999999999</v>
      </c>
      <c r="H544" s="113">
        <f t="shared" si="61"/>
        <v>36.027777777777771</v>
      </c>
      <c r="I544" s="113">
        <v>3.5</v>
      </c>
      <c r="J544" s="113">
        <v>15.3</v>
      </c>
      <c r="K544" s="113">
        <v>12.4</v>
      </c>
      <c r="L544" s="185"/>
      <c r="M544" s="16">
        <v>541</v>
      </c>
      <c r="N544" s="16">
        <f t="shared" si="63"/>
        <v>2.7735880413317881E-2</v>
      </c>
      <c r="O544" s="16">
        <v>2</v>
      </c>
      <c r="P544" s="16">
        <f t="shared" si="59"/>
        <v>12.715447154471546</v>
      </c>
      <c r="Q544" s="16">
        <f t="shared" si="64"/>
        <v>36.05438100749209</v>
      </c>
      <c r="R544" s="113">
        <f t="shared" si="60"/>
        <v>373.41300000000001</v>
      </c>
      <c r="S544" s="16">
        <f>IF(S543=15800,15800,ROUND((((Q544*60)/'Gearing Calculator'!$C$14)*'Track Data'!P544),-2))</f>
        <v>13900</v>
      </c>
      <c r="T544" s="16">
        <f t="shared" si="62"/>
        <v>5.7902880012581042</v>
      </c>
      <c r="U544" s="16">
        <f>IF(AC544=100,Braking!$AG$2354,IF(AC544=50,Braking!$AG$1179,IF(AC544=75,Braking!$AG$1767,0)))</f>
        <v>0</v>
      </c>
      <c r="V544" s="16">
        <f>0.5*'Gearing Calculator'!$C$15*'Gearing Calculator'!$C$20*'Gearing Calculator'!$W$20*('Track Data'!Q544^2)</f>
        <v>137.58336237996772</v>
      </c>
      <c r="W544" s="16">
        <f>('Gearing Calculator'!$U$9*'Track Data'!T544)+'Track Data'!V544</f>
        <v>1678.9580283148748</v>
      </c>
      <c r="X544" s="16">
        <f>('Gearing Calculator'!$U$9*9.81)*('Gearing Calculator'!$U$16/'Gearing Calculator'!$C$7)-(('Track Data'!W544)*('Gearing Calculator'!$U$17/'Gearing Calculator'!$C$7))</f>
        <v>486.01551225685535</v>
      </c>
      <c r="Y544" s="16">
        <f>('Gearing Calculator'!$U$9*9.81)*(('Gearing Calculator'!$C$7-'Gearing Calculator'!$U$16)/'Gearing Calculator'!$C$7)+(('Track Data'!W544)*('Gearing Calculator'!$U$17/'Gearing Calculator'!$C$7))</f>
        <v>2125.4064877431447</v>
      </c>
      <c r="Z544" s="16">
        <f>((X544*COS('Gearing Calculator'!$C$21))/'Gearing Calculator'!$C$22)/2</f>
        <v>15.026062502878641</v>
      </c>
      <c r="AA544" s="16">
        <f>Y544/'Gearing Calculator'!$C$24</f>
        <v>29.677803280424108</v>
      </c>
      <c r="AB544" s="16">
        <f t="shared" si="58"/>
        <v>149.16393838248393</v>
      </c>
      <c r="AC544" s="16">
        <v>0</v>
      </c>
      <c r="AD544" s="16">
        <v>0</v>
      </c>
      <c r="AE544" s="16">
        <v>541</v>
      </c>
      <c r="AF544" s="16">
        <f>IF(AC544=0,IF(O544=6,INDEX(Acceleration!$V$4:$V$110,MATCH('Track Data'!S544,Acceleration!$K$4:$K$110,0)),IF('Track Data'!O544=5,INDEX(Acceleration!$U$4:$U$110,MATCH('Track Data'!S544,Acceleration!$K$4:$K$110,0)),1)),U544)</f>
        <v>1</v>
      </c>
      <c r="AG544" s="16">
        <f>IF(AC544=0,IF(O544=4,INDEX(Acceleration!$T$4:$T$110,MATCH('Track Data'!S544,Acceleration!$K$4:$K$110,0)),IF('Track Data'!O544=3,INDEX(Acceleration!$S$4:$S$110,MATCH('Track Data'!S544,Acceleration!$K$4:$K$110,0)),'Track Data'!AF544)),'Track Data'!U544)</f>
        <v>1</v>
      </c>
      <c r="AH544" s="16">
        <f>IF(AC544=0,IF(O544=2,INDEX(Acceleration!$R$4:$R$110,MATCH('Track Data'!S544,Acceleration!$K$4:$K$110,0)),IF('Track Data'!O544=1,INDEX(Acceleration!$Q$4:$Q$110,MATCH('Track Data'!S544,Acceleration!$K$4:$K$110,0)),'Track Data'!AG544)),'Track Data'!U544)</f>
        <v>5.7902880012581042</v>
      </c>
    </row>
    <row r="545" spans="2:34" x14ac:dyDescent="0.25">
      <c r="B545" s="16">
        <v>212.62899999999999</v>
      </c>
      <c r="C545" s="16">
        <v>7815</v>
      </c>
      <c r="D545" s="16">
        <v>542</v>
      </c>
      <c r="E545" s="113">
        <v>134</v>
      </c>
      <c r="F545" s="113">
        <v>133.30000000000001</v>
      </c>
      <c r="G545" s="113">
        <v>129.80000000000001</v>
      </c>
      <c r="H545" s="113">
        <f t="shared" si="61"/>
        <v>36.055555555555557</v>
      </c>
      <c r="I545" s="113">
        <v>3.3</v>
      </c>
      <c r="J545" s="113">
        <v>16.600000000000001</v>
      </c>
      <c r="K545" s="113">
        <v>12.4</v>
      </c>
      <c r="L545" s="185"/>
      <c r="M545" s="16">
        <v>542</v>
      </c>
      <c r="N545" s="16">
        <f t="shared" si="63"/>
        <v>2.761315455793573E-2</v>
      </c>
      <c r="O545" s="16">
        <v>2</v>
      </c>
      <c r="P545" s="16">
        <f t="shared" si="59"/>
        <v>12.715447154471546</v>
      </c>
      <c r="Q545" s="16">
        <f t="shared" si="64"/>
        <v>36.214623646200195</v>
      </c>
      <c r="R545" s="113">
        <f t="shared" si="60"/>
        <v>373.41300000000001</v>
      </c>
      <c r="S545" s="16">
        <f>IF(S544=15800,15800,ROUND((((Q545*60)/'Gearing Calculator'!$C$14)*'Track Data'!P545),-2))</f>
        <v>14000</v>
      </c>
      <c r="T545" s="16">
        <f t="shared" si="62"/>
        <v>5.7975025412181607</v>
      </c>
      <c r="U545" s="16">
        <f>IF(AC545=100,Braking!$AG$2354,IF(AC545=50,Braking!$AG$1179,IF(AC545=75,Braking!$AG$1767,0)))</f>
        <v>0</v>
      </c>
      <c r="V545" s="16">
        <f>0.5*'Gearing Calculator'!$C$15*'Gearing Calculator'!$C$20*'Gearing Calculator'!$W$20*('Track Data'!Q545^2)</f>
        <v>138.80905054407401</v>
      </c>
      <c r="W545" s="16">
        <f>('Gearing Calculator'!$U$9*'Track Data'!T545)+'Track Data'!V545</f>
        <v>1682.1042270163484</v>
      </c>
      <c r="X545" s="16">
        <f>('Gearing Calculator'!$U$9*9.81)*('Gearing Calculator'!$U$16/'Gearing Calculator'!$C$7)-(('Track Data'!W545)*('Gearing Calculator'!$U$17/'Gearing Calculator'!$C$7))</f>
        <v>484.30061909889764</v>
      </c>
      <c r="Y545" s="16">
        <f>('Gearing Calculator'!$U$9*9.81)*(('Gearing Calculator'!$C$7-'Gearing Calculator'!$U$16)/'Gearing Calculator'!$C$7)+(('Track Data'!W545)*('Gearing Calculator'!$U$17/'Gearing Calculator'!$C$7))</f>
        <v>2127.1213809011024</v>
      </c>
      <c r="Z545" s="16">
        <f>((X545*COS('Gearing Calculator'!$C$21))/'Gearing Calculator'!$C$22)/2</f>
        <v>14.973043430179553</v>
      </c>
      <c r="AA545" s="16">
        <f>Y545/'Gearing Calculator'!$C$24</f>
        <v>29.701748940740057</v>
      </c>
      <c r="AB545" s="16">
        <f t="shared" si="58"/>
        <v>150.40405562651034</v>
      </c>
      <c r="AC545" s="16">
        <v>0</v>
      </c>
      <c r="AD545" s="16">
        <v>0</v>
      </c>
      <c r="AE545" s="16">
        <v>542</v>
      </c>
      <c r="AF545" s="16">
        <f>IF(AC545=0,IF(O545=6,INDEX(Acceleration!$V$4:$V$110,MATCH('Track Data'!S545,Acceleration!$K$4:$K$110,0)),IF('Track Data'!O545=5,INDEX(Acceleration!$U$4:$U$110,MATCH('Track Data'!S545,Acceleration!$K$4:$K$110,0)),1)),U545)</f>
        <v>1</v>
      </c>
      <c r="AG545" s="16">
        <f>IF(AC545=0,IF(O545=4,INDEX(Acceleration!$T$4:$T$110,MATCH('Track Data'!S545,Acceleration!$K$4:$K$110,0)),IF('Track Data'!O545=3,INDEX(Acceleration!$S$4:$S$110,MATCH('Track Data'!S545,Acceleration!$K$4:$K$110,0)),'Track Data'!AF545)),'Track Data'!U545)</f>
        <v>1</v>
      </c>
      <c r="AH545" s="16">
        <f>IF(AC545=0,IF(O545=2,INDEX(Acceleration!$R$4:$R$110,MATCH('Track Data'!S545,Acceleration!$K$4:$K$110,0)),IF('Track Data'!O545=1,INDEX(Acceleration!$Q$4:$Q$110,MATCH('Track Data'!S545,Acceleration!$K$4:$K$110,0)),'Track Data'!AG545)),'Track Data'!U545)</f>
        <v>5.7975025412181607</v>
      </c>
    </row>
    <row r="546" spans="2:34" x14ac:dyDescent="0.25">
      <c r="B546" s="16">
        <v>212.65600000000001</v>
      </c>
      <c r="C546" s="16">
        <v>7816</v>
      </c>
      <c r="D546" s="16">
        <v>543</v>
      </c>
      <c r="E546" s="113">
        <v>134</v>
      </c>
      <c r="F546" s="113">
        <v>133.9</v>
      </c>
      <c r="G546" s="113">
        <v>129.9</v>
      </c>
      <c r="H546" s="113">
        <f t="shared" si="61"/>
        <v>36.083333333333336</v>
      </c>
      <c r="I546" s="113">
        <v>3.3</v>
      </c>
      <c r="J546" s="113">
        <v>18.559999999999999</v>
      </c>
      <c r="K546" s="113">
        <v>12.5</v>
      </c>
      <c r="L546" s="185"/>
      <c r="M546" s="16">
        <v>543</v>
      </c>
      <c r="N546" s="16">
        <f t="shared" si="63"/>
        <v>2.7491893622552773E-2</v>
      </c>
      <c r="O546" s="16">
        <v>2</v>
      </c>
      <c r="P546" s="16">
        <f t="shared" si="59"/>
        <v>12.715447154471546</v>
      </c>
      <c r="Q546" s="16">
        <f t="shared" si="64"/>
        <v>36.374358701128443</v>
      </c>
      <c r="R546" s="113">
        <f t="shared" si="60"/>
        <v>373.41300000000001</v>
      </c>
      <c r="S546" s="16">
        <f>IF(S545=15800,15800,ROUND((((Q546*60)/'Gearing Calculator'!$C$14)*'Track Data'!P546),-2))</f>
        <v>14000</v>
      </c>
      <c r="T546" s="16">
        <f t="shared" si="62"/>
        <v>5.7975025412181607</v>
      </c>
      <c r="U546" s="16">
        <f>IF(AC546=100,Braking!$AG$2354,IF(AC546=50,Braking!$AG$1179,IF(AC546=75,Braking!$AG$1767,0)))</f>
        <v>0</v>
      </c>
      <c r="V546" s="16">
        <f>0.5*'Gearing Calculator'!$C$15*'Gearing Calculator'!$C$20*'Gearing Calculator'!$W$20*('Track Data'!Q546^2)</f>
        <v>140.03626588199904</v>
      </c>
      <c r="W546" s="16">
        <f>('Gearing Calculator'!$U$9*'Track Data'!T546)+'Track Data'!V546</f>
        <v>1683.3314423542733</v>
      </c>
      <c r="X546" s="16">
        <f>('Gearing Calculator'!$U$9*9.81)*('Gearing Calculator'!$U$16/'Gearing Calculator'!$C$7)-(('Track Data'!W546)*('Gearing Calculator'!$U$17/'Gearing Calculator'!$C$7))</f>
        <v>483.63170292861173</v>
      </c>
      <c r="Y546" s="16">
        <f>('Gearing Calculator'!$U$9*9.81)*(('Gearing Calculator'!$C$7-'Gearing Calculator'!$U$16)/'Gearing Calculator'!$C$7)+(('Track Data'!W546)*('Gearing Calculator'!$U$17/'Gearing Calculator'!$C$7))</f>
        <v>2127.7902970713885</v>
      </c>
      <c r="Z546" s="16">
        <f>((X546*COS('Gearing Calculator'!$C$21))/'Gearing Calculator'!$C$22)/2</f>
        <v>14.952362657795913</v>
      </c>
      <c r="AA546" s="16">
        <f>Y546/'Gearing Calculator'!$C$24</f>
        <v>29.711089254052983</v>
      </c>
      <c r="AB546" s="16">
        <f t="shared" si="58"/>
        <v>151.63127096443537</v>
      </c>
      <c r="AC546" s="16">
        <v>0</v>
      </c>
      <c r="AD546" s="16">
        <v>0</v>
      </c>
      <c r="AE546" s="16">
        <v>543</v>
      </c>
      <c r="AF546" s="16">
        <f>IF(AC546=0,IF(O546=6,INDEX(Acceleration!$V$4:$V$110,MATCH('Track Data'!S546,Acceleration!$K$4:$K$110,0)),IF('Track Data'!O546=5,INDEX(Acceleration!$U$4:$U$110,MATCH('Track Data'!S546,Acceleration!$K$4:$K$110,0)),1)),U546)</f>
        <v>1</v>
      </c>
      <c r="AG546" s="16">
        <f>IF(AC546=0,IF(O546=4,INDEX(Acceleration!$T$4:$T$110,MATCH('Track Data'!S546,Acceleration!$K$4:$K$110,0)),IF('Track Data'!O546=3,INDEX(Acceleration!$S$4:$S$110,MATCH('Track Data'!S546,Acceleration!$K$4:$K$110,0)),'Track Data'!AF546)),'Track Data'!U546)</f>
        <v>1</v>
      </c>
      <c r="AH546" s="16">
        <f>IF(AC546=0,IF(O546=2,INDEX(Acceleration!$R$4:$R$110,MATCH('Track Data'!S546,Acceleration!$K$4:$K$110,0)),IF('Track Data'!O546=1,INDEX(Acceleration!$Q$4:$Q$110,MATCH('Track Data'!S546,Acceleration!$K$4:$K$110,0)),'Track Data'!AG546)),'Track Data'!U546)</f>
        <v>5.7975025412181607</v>
      </c>
    </row>
    <row r="547" spans="2:34" x14ac:dyDescent="0.25">
      <c r="B547" s="16">
        <v>212.68299999999999</v>
      </c>
      <c r="C547" s="16">
        <v>7817</v>
      </c>
      <c r="D547" s="16">
        <v>544</v>
      </c>
      <c r="E547" s="113">
        <v>135</v>
      </c>
      <c r="F547" s="113">
        <v>134.5</v>
      </c>
      <c r="G547" s="113">
        <v>129.9</v>
      </c>
      <c r="H547" s="113">
        <f t="shared" si="61"/>
        <v>36.083333333333336</v>
      </c>
      <c r="I547" s="113">
        <v>3.9</v>
      </c>
      <c r="J547" s="113">
        <v>26.62</v>
      </c>
      <c r="K547" s="113">
        <v>12.7</v>
      </c>
      <c r="L547" s="185"/>
      <c r="M547" s="16">
        <v>544</v>
      </c>
      <c r="N547" s="16">
        <f t="shared" si="63"/>
        <v>2.7372216306321341E-2</v>
      </c>
      <c r="O547" s="16">
        <v>2</v>
      </c>
      <c r="P547" s="16">
        <f t="shared" si="59"/>
        <v>12.715447154471546</v>
      </c>
      <c r="Q547" s="16">
        <f t="shared" si="64"/>
        <v>36.533395352756287</v>
      </c>
      <c r="R547" s="113">
        <f t="shared" si="60"/>
        <v>373.41300000000001</v>
      </c>
      <c r="S547" s="16">
        <f>IF(S546=15800,15800,ROUND((((Q547*60)/'Gearing Calculator'!$C$14)*'Track Data'!P547),-2))</f>
        <v>14100</v>
      </c>
      <c r="T547" s="16">
        <f t="shared" si="62"/>
        <v>5.7772614936516726</v>
      </c>
      <c r="U547" s="16">
        <f>IF(AC547=100,Braking!$AG$2354,IF(AC547=50,Braking!$AG$1179,IF(AC547=75,Braking!$AG$1767,0)))</f>
        <v>0</v>
      </c>
      <c r="V547" s="16">
        <f>0.5*'Gearing Calculator'!$C$15*'Gearing Calculator'!$C$20*'Gearing Calculator'!$W$20*('Track Data'!Q547^2)</f>
        <v>141.26348121992407</v>
      </c>
      <c r="W547" s="16">
        <f>('Gearing Calculator'!$U$9*'Track Data'!T547)+'Track Data'!V547</f>
        <v>1679.1704908299994</v>
      </c>
      <c r="X547" s="16">
        <f>('Gearing Calculator'!$U$9*9.81)*('Gearing Calculator'!$U$16/'Gearing Calculator'!$C$7)-(('Track Data'!W547)*('Gearing Calculator'!$U$17/'Gearing Calculator'!$C$7))</f>
        <v>485.89970567625414</v>
      </c>
      <c r="Y547" s="16">
        <f>('Gearing Calculator'!$U$9*9.81)*(('Gearing Calculator'!$C$7-'Gearing Calculator'!$U$16)/'Gearing Calculator'!$C$7)+(('Track Data'!W547)*('Gearing Calculator'!$U$17/'Gearing Calculator'!$C$7))</f>
        <v>2125.5222943237459</v>
      </c>
      <c r="Z547" s="16">
        <f>((X547*COS('Gearing Calculator'!$C$21))/'Gearing Calculator'!$C$22)/2</f>
        <v>15.022482129671463</v>
      </c>
      <c r="AA547" s="16">
        <f>Y547/'Gearing Calculator'!$C$24</f>
        <v>29.67942032870992</v>
      </c>
      <c r="AB547" s="16">
        <f t="shared" si="58"/>
        <v>152.81800420722743</v>
      </c>
      <c r="AC547" s="16">
        <v>0</v>
      </c>
      <c r="AD547" s="16">
        <v>0</v>
      </c>
      <c r="AE547" s="16">
        <v>544</v>
      </c>
      <c r="AF547" s="16">
        <f>IF(AC547=0,IF(O547=6,INDEX(Acceleration!$V$4:$V$110,MATCH('Track Data'!S547,Acceleration!$K$4:$K$110,0)),IF('Track Data'!O547=5,INDEX(Acceleration!$U$4:$U$110,MATCH('Track Data'!S547,Acceleration!$K$4:$K$110,0)),1)),U547)</f>
        <v>1</v>
      </c>
      <c r="AG547" s="16">
        <f>IF(AC547=0,IF(O547=4,INDEX(Acceleration!$T$4:$T$110,MATCH('Track Data'!S547,Acceleration!$K$4:$K$110,0)),IF('Track Data'!O547=3,INDEX(Acceleration!$S$4:$S$110,MATCH('Track Data'!S547,Acceleration!$K$4:$K$110,0)),'Track Data'!AF547)),'Track Data'!U547)</f>
        <v>1</v>
      </c>
      <c r="AH547" s="16">
        <f>IF(AC547=0,IF(O547=2,INDEX(Acceleration!$R$4:$R$110,MATCH('Track Data'!S547,Acceleration!$K$4:$K$110,0)),IF('Track Data'!O547=1,INDEX(Acceleration!$Q$4:$Q$110,MATCH('Track Data'!S547,Acceleration!$K$4:$K$110,0)),'Track Data'!AG547)),'Track Data'!U547)</f>
        <v>5.7772614936516726</v>
      </c>
    </row>
    <row r="548" spans="2:34" x14ac:dyDescent="0.25">
      <c r="B548" s="16">
        <v>212.709</v>
      </c>
      <c r="C548" s="16">
        <v>7818</v>
      </c>
      <c r="D548" s="16">
        <v>545</v>
      </c>
      <c r="E548" s="113">
        <v>135</v>
      </c>
      <c r="F548" s="113">
        <v>134.9</v>
      </c>
      <c r="G548" s="113">
        <v>129.9</v>
      </c>
      <c r="H548" s="113">
        <f t="shared" si="61"/>
        <v>36.083333333333336</v>
      </c>
      <c r="I548" s="113">
        <v>4.8</v>
      </c>
      <c r="J548" s="113">
        <v>29.49</v>
      </c>
      <c r="K548" s="113">
        <v>12.9</v>
      </c>
      <c r="L548" s="185"/>
      <c r="M548" s="16">
        <v>545</v>
      </c>
      <c r="N548" s="16">
        <f t="shared" si="63"/>
        <v>2.7254498205333499E-2</v>
      </c>
      <c r="O548" s="16">
        <v>2</v>
      </c>
      <c r="P548" s="16">
        <f t="shared" si="59"/>
        <v>12.715447154471546</v>
      </c>
      <c r="Q548" s="16">
        <f t="shared" si="64"/>
        <v>36.691191027113007</v>
      </c>
      <c r="R548" s="113">
        <f t="shared" si="60"/>
        <v>373.41300000000001</v>
      </c>
      <c r="S548" s="16">
        <f>IF(S547=15800,15800,ROUND((((Q548*60)/'Gearing Calculator'!$C$14)*'Track Data'!P548),-2))</f>
        <v>14100</v>
      </c>
      <c r="T548" s="16">
        <f t="shared" si="62"/>
        <v>5.7772614936516726</v>
      </c>
      <c r="U548" s="16">
        <f>IF(AC548=100,Braking!$AG$2354,IF(AC548=50,Braking!$AG$1179,IF(AC548=75,Braking!$AG$1767,0)))</f>
        <v>0</v>
      </c>
      <c r="V548" s="16">
        <f>0.5*'Gearing Calculator'!$C$15*'Gearing Calculator'!$C$20*'Gearing Calculator'!$W$20*('Track Data'!Q548^2)</f>
        <v>142.4864119329003</v>
      </c>
      <c r="W548" s="16">
        <f>('Gearing Calculator'!$U$9*'Track Data'!T548)+'Track Data'!V548</f>
        <v>1680.3934215429754</v>
      </c>
      <c r="X548" s="16">
        <f>('Gearing Calculator'!$U$9*9.81)*('Gearing Calculator'!$U$16/'Gearing Calculator'!$C$7)-(('Track Data'!W548)*('Gearing Calculator'!$U$17/'Gearing Calculator'!$C$7))</f>
        <v>485.23312491917841</v>
      </c>
      <c r="Y548" s="16">
        <f>('Gearing Calculator'!$U$9*9.81)*(('Gearing Calculator'!$C$7-'Gearing Calculator'!$U$16)/'Gearing Calculator'!$C$7)+(('Track Data'!W548)*('Gearing Calculator'!$U$17/'Gearing Calculator'!$C$7))</f>
        <v>2126.1888750808216</v>
      </c>
      <c r="Z548" s="16">
        <f>((X548*COS('Gearing Calculator'!$C$21))/'Gearing Calculator'!$C$22)/2</f>
        <v>15.001873560878</v>
      </c>
      <c r="AA548" s="16">
        <f>Y548/'Gearing Calculator'!$C$24</f>
        <v>29.688728031821345</v>
      </c>
      <c r="AB548" s="16">
        <f t="shared" si="58"/>
        <v>154.04093492020365</v>
      </c>
      <c r="AC548" s="16">
        <v>0</v>
      </c>
      <c r="AD548" s="16">
        <v>0</v>
      </c>
      <c r="AE548" s="16">
        <v>545</v>
      </c>
      <c r="AF548" s="16">
        <f>IF(AC548=0,IF(O548=6,INDEX(Acceleration!$V$4:$V$110,MATCH('Track Data'!S548,Acceleration!$K$4:$K$110,0)),IF('Track Data'!O548=5,INDEX(Acceleration!$U$4:$U$110,MATCH('Track Data'!S548,Acceleration!$K$4:$K$110,0)),1)),U548)</f>
        <v>1</v>
      </c>
      <c r="AG548" s="16">
        <f>IF(AC548=0,IF(O548=4,INDEX(Acceleration!$T$4:$T$110,MATCH('Track Data'!S548,Acceleration!$K$4:$K$110,0)),IF('Track Data'!O548=3,INDEX(Acceleration!$S$4:$S$110,MATCH('Track Data'!S548,Acceleration!$K$4:$K$110,0)),'Track Data'!AF548)),'Track Data'!U548)</f>
        <v>1</v>
      </c>
      <c r="AH548" s="16">
        <f>IF(AC548=0,IF(O548=2,INDEX(Acceleration!$R$4:$R$110,MATCH('Track Data'!S548,Acceleration!$K$4:$K$110,0)),IF('Track Data'!O548=1,INDEX(Acceleration!$Q$4:$Q$110,MATCH('Track Data'!S548,Acceleration!$K$4:$K$110,0)),'Track Data'!AG548)),'Track Data'!U548)</f>
        <v>5.7772614936516726</v>
      </c>
    </row>
    <row r="549" spans="2:34" x14ac:dyDescent="0.25">
      <c r="B549" s="16">
        <v>212.73599999999999</v>
      </c>
      <c r="C549" s="16">
        <v>7819</v>
      </c>
      <c r="D549" s="16">
        <v>546</v>
      </c>
      <c r="E549" s="113">
        <v>135</v>
      </c>
      <c r="F549" s="113">
        <v>135.30000000000001</v>
      </c>
      <c r="G549" s="113">
        <v>130</v>
      </c>
      <c r="H549" s="113">
        <f t="shared" si="61"/>
        <v>36.111111111111107</v>
      </c>
      <c r="I549" s="113">
        <v>6.4</v>
      </c>
      <c r="J549" s="113">
        <v>35.58</v>
      </c>
      <c r="K549" s="113">
        <v>13.3</v>
      </c>
      <c r="L549" s="185"/>
      <c r="M549" s="16">
        <v>546</v>
      </c>
      <c r="N549" s="16">
        <f t="shared" si="63"/>
        <v>2.7138285946968838E-2</v>
      </c>
      <c r="O549" s="16">
        <v>3</v>
      </c>
      <c r="P549" s="16">
        <f t="shared" si="59"/>
        <v>10.596205962059623</v>
      </c>
      <c r="Q549" s="16">
        <f t="shared" si="64"/>
        <v>36.848310978597127</v>
      </c>
      <c r="R549" s="113">
        <f t="shared" si="60"/>
        <v>345.36</v>
      </c>
      <c r="S549" s="16">
        <f>IF(S548=15800,15800,ROUND((((Q549*60)/'Gearing Calculator'!$C$14)*'Track Data'!P549),-2))</f>
        <v>11800</v>
      </c>
      <c r="T549" s="16">
        <f t="shared" si="62"/>
        <v>5.4233862986142656</v>
      </c>
      <c r="U549" s="16">
        <f>IF(AC549=100,Braking!$AG$2354,IF(AC549=50,Braking!$AG$1179,IF(AC549=75,Braking!$AG$1767,0)))</f>
        <v>0</v>
      </c>
      <c r="V549" s="16">
        <f>0.5*'Gearing Calculator'!$C$15*'Gearing Calculator'!$C$20*'Gearing Calculator'!$W$20*('Track Data'!Q549^2)</f>
        <v>143.70934264587649</v>
      </c>
      <c r="W549" s="16">
        <f>('Gearing Calculator'!$U$9*'Track Data'!T549)+'Track Data'!V549</f>
        <v>1587.4147753369939</v>
      </c>
      <c r="X549" s="16">
        <f>('Gearing Calculator'!$U$9*9.81)*('Gearing Calculator'!$U$16/'Gearing Calculator'!$C$7)-(('Track Data'!W549)*('Gearing Calculator'!$U$17/'Gearing Calculator'!$C$7))</f>
        <v>535.91283696028995</v>
      </c>
      <c r="Y549" s="16">
        <f>('Gearing Calculator'!$U$9*9.81)*(('Gearing Calculator'!$C$7-'Gearing Calculator'!$U$16)/'Gearing Calculator'!$C$7)+(('Track Data'!W549)*('Gearing Calculator'!$U$17/'Gearing Calculator'!$C$7))</f>
        <v>2075.5091630397101</v>
      </c>
      <c r="Z549" s="16">
        <f>((X549*COS('Gearing Calculator'!$C$21))/'Gearing Calculator'!$C$22)/2</f>
        <v>16.568729970916159</v>
      </c>
      <c r="AA549" s="16">
        <f>Y549/'Gearing Calculator'!$C$24</f>
        <v>28.981069269632407</v>
      </c>
      <c r="AB549" s="16">
        <f t="shared" si="58"/>
        <v>159.97950154171929</v>
      </c>
      <c r="AC549" s="16">
        <v>0</v>
      </c>
      <c r="AD549" s="16">
        <v>0</v>
      </c>
      <c r="AE549" s="16">
        <v>546</v>
      </c>
      <c r="AF549" s="16">
        <f>IF(AC549=0,IF(O549=6,INDEX(Acceleration!$V$4:$V$110,MATCH('Track Data'!S549,Acceleration!$K$4:$K$110,0)),IF('Track Data'!O549=5,INDEX(Acceleration!$U$4:$U$110,MATCH('Track Data'!S549,Acceleration!$K$4:$K$110,0)),1)),U549)</f>
        <v>1</v>
      </c>
      <c r="AG549" s="16">
        <f>IF(AC549=0,IF(O549=4,INDEX(Acceleration!$T$4:$T$110,MATCH('Track Data'!S549,Acceleration!$K$4:$K$110,0)),IF('Track Data'!O549=3,INDEX(Acceleration!$S$4:$S$110,MATCH('Track Data'!S549,Acceleration!$K$4:$K$110,0)),'Track Data'!AF549)),'Track Data'!U549)</f>
        <v>5.4233862986142656</v>
      </c>
      <c r="AH549" s="16">
        <f>IF(AC549=0,IF(O549=2,INDEX(Acceleration!$R$4:$R$110,MATCH('Track Data'!S549,Acceleration!$K$4:$K$110,0)),IF('Track Data'!O549=1,INDEX(Acceleration!$Q$4:$Q$110,MATCH('Track Data'!S549,Acceleration!$K$4:$K$110,0)),'Track Data'!AG549)),'Track Data'!U549)</f>
        <v>5.4233862986142656</v>
      </c>
    </row>
    <row r="550" spans="2:34" x14ac:dyDescent="0.25">
      <c r="B550" s="16">
        <v>212.762</v>
      </c>
      <c r="C550" s="16">
        <v>7820</v>
      </c>
      <c r="D550" s="16">
        <v>547</v>
      </c>
      <c r="E550" s="113">
        <v>136</v>
      </c>
      <c r="F550" s="113">
        <v>135.5</v>
      </c>
      <c r="G550" s="113">
        <v>129.9</v>
      </c>
      <c r="H550" s="113">
        <f t="shared" si="61"/>
        <v>36.083333333333336</v>
      </c>
      <c r="I550" s="113">
        <v>8.1</v>
      </c>
      <c r="J550" s="113">
        <v>43.58</v>
      </c>
      <c r="K550" s="113">
        <v>14</v>
      </c>
      <c r="L550" s="185"/>
      <c r="M550" s="16">
        <v>547</v>
      </c>
      <c r="N550" s="16">
        <f t="shared" si="63"/>
        <v>2.7030533971970378E-2</v>
      </c>
      <c r="O550" s="16">
        <v>3</v>
      </c>
      <c r="P550" s="16">
        <f t="shared" si="59"/>
        <v>10.596205962059623</v>
      </c>
      <c r="Q550" s="16">
        <f t="shared" si="64"/>
        <v>36.995199615255899</v>
      </c>
      <c r="R550" s="113">
        <f t="shared" si="60"/>
        <v>345.36</v>
      </c>
      <c r="S550" s="16">
        <f>IF(S549=15800,15800,ROUND((((Q550*60)/'Gearing Calculator'!$C$14)*'Track Data'!P550),-2))</f>
        <v>11900</v>
      </c>
      <c r="T550" s="16">
        <f t="shared" si="62"/>
        <v>5.4276415273372534</v>
      </c>
      <c r="U550" s="16">
        <f>IF(AC550=100,Braking!$AG$2354,IF(AC550=50,Braking!$AG$1179,IF(AC550=75,Braking!$AG$1767,0)))</f>
        <v>0</v>
      </c>
      <c r="V550" s="16">
        <f>0.5*'Gearing Calculator'!$C$15*'Gearing Calculator'!$C$20*'Gearing Calculator'!$W$20*('Track Data'!Q550^2)</f>
        <v>144.85736505756716</v>
      </c>
      <c r="W550" s="16">
        <f>('Gearing Calculator'!$U$9*'Track Data'!T550)+'Track Data'!V550</f>
        <v>1589.6955396347439</v>
      </c>
      <c r="X550" s="16">
        <f>('Gearing Calculator'!$U$9*9.81)*('Gearing Calculator'!$U$16/'Gearing Calculator'!$C$7)-(('Track Data'!W550)*('Gearing Calculator'!$U$17/'Gearing Calculator'!$C$7))</f>
        <v>534.6696646561079</v>
      </c>
      <c r="Y550" s="16">
        <f>('Gearing Calculator'!$U$9*9.81)*(('Gearing Calculator'!$C$7-'Gearing Calculator'!$U$16)/'Gearing Calculator'!$C$7)+(('Track Data'!W550)*('Gearing Calculator'!$U$17/'Gearing Calculator'!$C$7))</f>
        <v>2076.7523353438919</v>
      </c>
      <c r="Z550" s="16">
        <f>((X550*COS('Gearing Calculator'!$C$21))/'Gearing Calculator'!$C$22)/2</f>
        <v>16.530295015089862</v>
      </c>
      <c r="AA550" s="16">
        <f>Y550/'Gearing Calculator'!$C$24</f>
        <v>28.998428124656115</v>
      </c>
      <c r="AB550" s="16">
        <f t="shared" si="58"/>
        <v>161.14028963957892</v>
      </c>
      <c r="AC550" s="16">
        <v>0</v>
      </c>
      <c r="AD550" s="16">
        <v>0</v>
      </c>
      <c r="AE550" s="16">
        <v>547</v>
      </c>
      <c r="AF550" s="16">
        <f>IF(AC550=0,IF(O550=6,INDEX(Acceleration!$V$4:$V$110,MATCH('Track Data'!S550,Acceleration!$K$4:$K$110,0)),IF('Track Data'!O550=5,INDEX(Acceleration!$U$4:$U$110,MATCH('Track Data'!S550,Acceleration!$K$4:$K$110,0)),1)),U550)</f>
        <v>1</v>
      </c>
      <c r="AG550" s="16">
        <f>IF(AC550=0,IF(O550=4,INDEX(Acceleration!$T$4:$T$110,MATCH('Track Data'!S550,Acceleration!$K$4:$K$110,0)),IF('Track Data'!O550=3,INDEX(Acceleration!$S$4:$S$110,MATCH('Track Data'!S550,Acceleration!$K$4:$K$110,0)),'Track Data'!AF550)),'Track Data'!U550)</f>
        <v>5.4276415273372534</v>
      </c>
      <c r="AH550" s="16">
        <f>IF(AC550=0,IF(O550=2,INDEX(Acceleration!$R$4:$R$110,MATCH('Track Data'!S550,Acceleration!$K$4:$K$110,0)),IF('Track Data'!O550=1,INDEX(Acceleration!$Q$4:$Q$110,MATCH('Track Data'!S550,Acceleration!$K$4:$K$110,0)),'Track Data'!AG550)),'Track Data'!U550)</f>
        <v>5.4276415273372534</v>
      </c>
    </row>
    <row r="551" spans="2:34" x14ac:dyDescent="0.25">
      <c r="B551" s="16">
        <v>212.78899999999999</v>
      </c>
      <c r="C551" s="16">
        <v>7821</v>
      </c>
      <c r="D551" s="16">
        <v>548</v>
      </c>
      <c r="E551" s="113">
        <v>136</v>
      </c>
      <c r="F551" s="113">
        <v>135.6</v>
      </c>
      <c r="G551" s="113">
        <v>129.80000000000001</v>
      </c>
      <c r="H551" s="113">
        <f t="shared" si="61"/>
        <v>36.055555555555557</v>
      </c>
      <c r="I551" s="113">
        <v>9.6999999999999993</v>
      </c>
      <c r="J551" s="113">
        <v>43.61</v>
      </c>
      <c r="K551" s="113">
        <v>14.4</v>
      </c>
      <c r="L551" s="185"/>
      <c r="M551" s="16">
        <v>548</v>
      </c>
      <c r="N551" s="16">
        <f t="shared" si="63"/>
        <v>2.692397231861442E-2</v>
      </c>
      <c r="O551" s="16">
        <v>3</v>
      </c>
      <c r="P551" s="16">
        <f t="shared" si="59"/>
        <v>10.596205962059623</v>
      </c>
      <c r="Q551" s="16">
        <f t="shared" si="64"/>
        <v>37.141621903563994</v>
      </c>
      <c r="R551" s="113">
        <f t="shared" si="60"/>
        <v>345.36</v>
      </c>
      <c r="S551" s="16">
        <f>IF(S550=15800,15800,ROUND((((Q551*60)/'Gearing Calculator'!$C$14)*'Track Data'!P551),-2))</f>
        <v>11900</v>
      </c>
      <c r="T551" s="16">
        <f t="shared" si="62"/>
        <v>5.4276415273372534</v>
      </c>
      <c r="U551" s="16">
        <f>IF(AC551=100,Braking!$AG$2354,IF(AC551=50,Braking!$AG$1179,IF(AC551=75,Braking!$AG$1767,0)))</f>
        <v>0</v>
      </c>
      <c r="V551" s="16">
        <f>0.5*'Gearing Calculator'!$C$15*'Gearing Calculator'!$C$20*'Gearing Calculator'!$W$20*('Track Data'!Q551^2)</f>
        <v>146.0062882160739</v>
      </c>
      <c r="W551" s="16">
        <f>('Gearing Calculator'!$U$9*'Track Data'!T551)+'Track Data'!V551</f>
        <v>1590.8444627932506</v>
      </c>
      <c r="X551" s="16">
        <f>('Gearing Calculator'!$U$9*9.81)*('Gearing Calculator'!$U$16/'Gearing Calculator'!$C$7)-(('Track Data'!W551)*('Gearing Calculator'!$U$17/'Gearing Calculator'!$C$7))</f>
        <v>534.04342307047023</v>
      </c>
      <c r="Y551" s="16">
        <f>('Gearing Calculator'!$U$9*9.81)*(('Gearing Calculator'!$C$7-'Gearing Calculator'!$U$16)/'Gearing Calculator'!$C$7)+(('Track Data'!W551)*('Gearing Calculator'!$U$17/'Gearing Calculator'!$C$7))</f>
        <v>2077.37857692953</v>
      </c>
      <c r="Z551" s="16">
        <f>((X551*COS('Gearing Calculator'!$C$21))/'Gearing Calculator'!$C$22)/2</f>
        <v>16.510933605895332</v>
      </c>
      <c r="AA551" s="16">
        <f>Y551/'Gearing Calculator'!$C$24</f>
        <v>29.007172557634828</v>
      </c>
      <c r="AB551" s="16">
        <f t="shared" si="58"/>
        <v>162.28921279808566</v>
      </c>
      <c r="AC551" s="16">
        <v>0</v>
      </c>
      <c r="AD551" s="16">
        <v>0</v>
      </c>
      <c r="AE551" s="16">
        <v>548</v>
      </c>
      <c r="AF551" s="16">
        <f>IF(AC551=0,IF(O551=6,INDEX(Acceleration!$V$4:$V$110,MATCH('Track Data'!S551,Acceleration!$K$4:$K$110,0)),IF('Track Data'!O551=5,INDEX(Acceleration!$U$4:$U$110,MATCH('Track Data'!S551,Acceleration!$K$4:$K$110,0)),1)),U551)</f>
        <v>1</v>
      </c>
      <c r="AG551" s="16">
        <f>IF(AC551=0,IF(O551=4,INDEX(Acceleration!$T$4:$T$110,MATCH('Track Data'!S551,Acceleration!$K$4:$K$110,0)),IF('Track Data'!O551=3,INDEX(Acceleration!$S$4:$S$110,MATCH('Track Data'!S551,Acceleration!$K$4:$K$110,0)),'Track Data'!AF551)),'Track Data'!U551)</f>
        <v>5.4276415273372534</v>
      </c>
      <c r="AH551" s="16">
        <f>IF(AC551=0,IF(O551=2,INDEX(Acceleration!$R$4:$R$110,MATCH('Track Data'!S551,Acceleration!$K$4:$K$110,0)),IF('Track Data'!O551=1,INDEX(Acceleration!$Q$4:$Q$110,MATCH('Track Data'!S551,Acceleration!$K$4:$K$110,0)),'Track Data'!AG551)),'Track Data'!U551)</f>
        <v>5.4276415273372534</v>
      </c>
    </row>
    <row r="552" spans="2:34" x14ac:dyDescent="0.25">
      <c r="B552" s="16">
        <v>212.815</v>
      </c>
      <c r="C552" s="16">
        <v>7822</v>
      </c>
      <c r="D552" s="16">
        <v>549</v>
      </c>
      <c r="E552" s="113">
        <v>136</v>
      </c>
      <c r="F552" s="113">
        <v>135.69999999999999</v>
      </c>
      <c r="G552" s="113">
        <v>129.69999999999999</v>
      </c>
      <c r="H552" s="113">
        <f t="shared" si="61"/>
        <v>36.027777777777771</v>
      </c>
      <c r="I552" s="113">
        <v>11.8</v>
      </c>
      <c r="J552" s="113">
        <v>47.65</v>
      </c>
      <c r="K552" s="113">
        <v>16.3</v>
      </c>
      <c r="L552" s="185"/>
      <c r="M552" s="16">
        <v>549</v>
      </c>
      <c r="N552" s="16">
        <f t="shared" si="63"/>
        <v>2.6818661093731141E-2</v>
      </c>
      <c r="O552" s="16">
        <v>3</v>
      </c>
      <c r="P552" s="16">
        <f t="shared" si="59"/>
        <v>10.596205962059623</v>
      </c>
      <c r="Q552" s="16">
        <f t="shared" si="64"/>
        <v>37.28746921798232</v>
      </c>
      <c r="R552" s="113">
        <f t="shared" si="60"/>
        <v>345.36</v>
      </c>
      <c r="S552" s="16">
        <f>IF(S551=15800,15800,ROUND((((Q552*60)/'Gearing Calculator'!$C$14)*'Track Data'!P552),-2))</f>
        <v>12000</v>
      </c>
      <c r="T552" s="16">
        <f t="shared" si="62"/>
        <v>5.4316849667648199</v>
      </c>
      <c r="U552" s="16">
        <f>IF(AC552=100,Braking!$AG$2354,IF(AC552=50,Braking!$AG$1179,IF(AC552=75,Braking!$AG$1767,0)))</f>
        <v>0</v>
      </c>
      <c r="V552" s="16">
        <f>0.5*'Gearing Calculator'!$C$15*'Gearing Calculator'!$C$20*'Gearing Calculator'!$W$20*('Track Data'!Q552^2)</f>
        <v>147.15521137458063</v>
      </c>
      <c r="W552" s="16">
        <f>('Gearing Calculator'!$U$9*'Track Data'!T552)+'Track Data'!V552</f>
        <v>1593.0697495273757</v>
      </c>
      <c r="X552" s="16">
        <f>('Gearing Calculator'!$U$9*9.81)*('Gearing Calculator'!$U$16/'Gearing Calculator'!$C$7)-(('Track Data'!W552)*('Gearing Calculator'!$U$17/'Gearing Calculator'!$C$7))</f>
        <v>532.83048982723358</v>
      </c>
      <c r="Y552" s="16">
        <f>('Gearing Calculator'!$U$9*9.81)*(('Gearing Calculator'!$C$7-'Gearing Calculator'!$U$16)/'Gearing Calculator'!$C$7)+(('Track Data'!W552)*('Gearing Calculator'!$U$17/'Gearing Calculator'!$C$7))</f>
        <v>2078.5915101727664</v>
      </c>
      <c r="Z552" s="16">
        <f>((X552*COS('Gearing Calculator'!$C$21))/'Gearing Calculator'!$C$22)/2</f>
        <v>16.473433546195466</v>
      </c>
      <c r="AA552" s="16">
        <f>Y552/'Gearing Calculator'!$C$24</f>
        <v>29.024109173944531</v>
      </c>
      <c r="AB552" s="16">
        <f t="shared" si="58"/>
        <v>163.4502662748751</v>
      </c>
      <c r="AC552" s="16">
        <v>0</v>
      </c>
      <c r="AD552" s="16">
        <v>0</v>
      </c>
      <c r="AE552" s="16">
        <v>549</v>
      </c>
      <c r="AF552" s="16">
        <f>IF(AC552=0,IF(O552=6,INDEX(Acceleration!$V$4:$V$110,MATCH('Track Data'!S552,Acceleration!$K$4:$K$110,0)),IF('Track Data'!O552=5,INDEX(Acceleration!$U$4:$U$110,MATCH('Track Data'!S552,Acceleration!$K$4:$K$110,0)),1)),U552)</f>
        <v>1</v>
      </c>
      <c r="AG552" s="16">
        <f>IF(AC552=0,IF(O552=4,INDEX(Acceleration!$T$4:$T$110,MATCH('Track Data'!S552,Acceleration!$K$4:$K$110,0)),IF('Track Data'!O552=3,INDEX(Acceleration!$S$4:$S$110,MATCH('Track Data'!S552,Acceleration!$K$4:$K$110,0)),'Track Data'!AF552)),'Track Data'!U552)</f>
        <v>5.4316849667648199</v>
      </c>
      <c r="AH552" s="16">
        <f>IF(AC552=0,IF(O552=2,INDEX(Acceleration!$R$4:$R$110,MATCH('Track Data'!S552,Acceleration!$K$4:$K$110,0)),IF('Track Data'!O552=1,INDEX(Acceleration!$Q$4:$Q$110,MATCH('Track Data'!S552,Acceleration!$K$4:$K$110,0)),'Track Data'!AG552)),'Track Data'!U552)</f>
        <v>5.4316849667648199</v>
      </c>
    </row>
    <row r="553" spans="2:34" x14ac:dyDescent="0.25">
      <c r="B553" s="16">
        <v>212.84200000000001</v>
      </c>
      <c r="C553" s="16">
        <v>7823</v>
      </c>
      <c r="D553" s="16">
        <v>550</v>
      </c>
      <c r="E553" s="113">
        <v>136</v>
      </c>
      <c r="F553" s="113">
        <v>135.9</v>
      </c>
      <c r="G553" s="113">
        <v>129.5</v>
      </c>
      <c r="H553" s="113">
        <f t="shared" si="61"/>
        <v>35.972222222222221</v>
      </c>
      <c r="I553" s="113">
        <v>11.7</v>
      </c>
      <c r="J553" s="113">
        <v>56.35</v>
      </c>
      <c r="K553" s="113">
        <v>19.5</v>
      </c>
      <c r="L553" s="185"/>
      <c r="M553" s="16">
        <v>550</v>
      </c>
      <c r="N553" s="16">
        <f t="shared" si="63"/>
        <v>2.67144989429361E-2</v>
      </c>
      <c r="O553" s="16">
        <v>3</v>
      </c>
      <c r="P553" s="16">
        <f t="shared" si="59"/>
        <v>10.596205962059623</v>
      </c>
      <c r="Q553" s="16">
        <f t="shared" si="64"/>
        <v>37.432856297850272</v>
      </c>
      <c r="R553" s="113">
        <f t="shared" si="60"/>
        <v>345.36</v>
      </c>
      <c r="S553" s="16">
        <f>IF(S552=15800,15800,ROUND((((Q553*60)/'Gearing Calculator'!$C$14)*'Track Data'!P553),-2))</f>
        <v>12000</v>
      </c>
      <c r="T553" s="16">
        <f t="shared" si="62"/>
        <v>5.4316849667648199</v>
      </c>
      <c r="U553" s="16">
        <f>IF(AC553=100,Braking!$AG$2354,IF(AC553=50,Braking!$AG$1179,IF(AC553=75,Braking!$AG$1767,0)))</f>
        <v>0</v>
      </c>
      <c r="V553" s="16">
        <f>0.5*'Gearing Calculator'!$C$15*'Gearing Calculator'!$C$20*'Gearing Calculator'!$W$20*('Track Data'!Q553^2)</f>
        <v>148.30499044834542</v>
      </c>
      <c r="W553" s="16">
        <f>('Gearing Calculator'!$U$9*'Track Data'!T553)+'Track Data'!V553</f>
        <v>1594.2195286011406</v>
      </c>
      <c r="X553" s="16">
        <f>('Gearing Calculator'!$U$9*9.81)*('Gearing Calculator'!$U$16/'Gearing Calculator'!$C$7)-(('Track Data'!W553)*('Gearing Calculator'!$U$17/'Gearing Calculator'!$C$7))</f>
        <v>532.20378170932656</v>
      </c>
      <c r="Y553" s="16">
        <f>('Gearing Calculator'!$U$9*9.81)*(('Gearing Calculator'!$C$7-'Gearing Calculator'!$U$16)/'Gearing Calculator'!$C$7)+(('Track Data'!W553)*('Gearing Calculator'!$U$17/'Gearing Calculator'!$C$7))</f>
        <v>2079.2182182906736</v>
      </c>
      <c r="Z553" s="16">
        <f>((X553*COS('Gearing Calculator'!$C$21))/'Gearing Calculator'!$C$22)/2</f>
        <v>16.454057713298685</v>
      </c>
      <c r="AA553" s="16">
        <f>Y553/'Gearing Calculator'!$C$24</f>
        <v>29.032860121278489</v>
      </c>
      <c r="AB553" s="16">
        <f t="shared" si="58"/>
        <v>164.60004534863987</v>
      </c>
      <c r="AC553" s="16">
        <v>0</v>
      </c>
      <c r="AD553" s="16">
        <v>0</v>
      </c>
      <c r="AE553" s="16">
        <v>550</v>
      </c>
      <c r="AF553" s="16">
        <f>IF(AC553=0,IF(O553=6,INDEX(Acceleration!$V$4:$V$110,MATCH('Track Data'!S553,Acceleration!$K$4:$K$110,0)),IF('Track Data'!O553=5,INDEX(Acceleration!$U$4:$U$110,MATCH('Track Data'!S553,Acceleration!$K$4:$K$110,0)),1)),U553)</f>
        <v>1</v>
      </c>
      <c r="AG553" s="16">
        <f>IF(AC553=0,IF(O553=4,INDEX(Acceleration!$T$4:$T$110,MATCH('Track Data'!S553,Acceleration!$K$4:$K$110,0)),IF('Track Data'!O553=3,INDEX(Acceleration!$S$4:$S$110,MATCH('Track Data'!S553,Acceleration!$K$4:$K$110,0)),'Track Data'!AF553)),'Track Data'!U553)</f>
        <v>5.4316849667648199</v>
      </c>
      <c r="AH553" s="16">
        <f>IF(AC553=0,IF(O553=2,INDEX(Acceleration!$R$4:$R$110,MATCH('Track Data'!S553,Acceleration!$K$4:$K$110,0)),IF('Track Data'!O553=1,INDEX(Acceleration!$Q$4:$Q$110,MATCH('Track Data'!S553,Acceleration!$K$4:$K$110,0)),'Track Data'!AG553)),'Track Data'!U553)</f>
        <v>5.4316849667648199</v>
      </c>
    </row>
    <row r="554" spans="2:34" x14ac:dyDescent="0.25">
      <c r="B554" s="16">
        <v>212.86799999999999</v>
      </c>
      <c r="C554" s="16">
        <v>7824</v>
      </c>
      <c r="D554" s="16">
        <v>551</v>
      </c>
      <c r="E554" s="113">
        <v>134</v>
      </c>
      <c r="F554" s="113">
        <v>135.6</v>
      </c>
      <c r="G554" s="113">
        <v>129.4</v>
      </c>
      <c r="H554" s="113">
        <f t="shared" si="61"/>
        <v>35.944444444444443</v>
      </c>
      <c r="I554" s="113">
        <v>13.8</v>
      </c>
      <c r="J554" s="113">
        <v>60.13</v>
      </c>
      <c r="K554" s="113">
        <v>21.7</v>
      </c>
      <c r="L554" s="185"/>
      <c r="M554" s="16">
        <v>551</v>
      </c>
      <c r="N554" s="16">
        <f t="shared" si="63"/>
        <v>2.6611541119633566E-2</v>
      </c>
      <c r="O554" s="16">
        <v>3</v>
      </c>
      <c r="P554" s="16">
        <f t="shared" si="59"/>
        <v>10.596205962059623</v>
      </c>
      <c r="Q554" s="16">
        <f t="shared" si="64"/>
        <v>37.577680883059273</v>
      </c>
      <c r="R554" s="113">
        <f t="shared" si="60"/>
        <v>345.36</v>
      </c>
      <c r="S554" s="16">
        <f>IF(S553=15800,15800,ROUND((((Q554*60)/'Gearing Calculator'!$C$14)*'Track Data'!P554),-2))</f>
        <v>12100</v>
      </c>
      <c r="T554" s="16">
        <f t="shared" si="62"/>
        <v>5.4927697303650715</v>
      </c>
      <c r="U554" s="16">
        <f>IF(AC554=100,Braking!$AG$2354,IF(AC554=50,Braking!$AG$1179,IF(AC554=75,Braking!$AG$1767,0)))</f>
        <v>0</v>
      </c>
      <c r="V554" s="16">
        <f>0.5*'Gearing Calculator'!$C$15*'Gearing Calculator'!$C$20*'Gearing Calculator'!$W$20*('Track Data'!Q554^2)</f>
        <v>149.45476952211021</v>
      </c>
      <c r="W554" s="16">
        <f>('Gearing Calculator'!$U$9*'Track Data'!T554)+'Track Data'!V554</f>
        <v>1611.6300717452921</v>
      </c>
      <c r="X554" s="16">
        <f>('Gearing Calculator'!$U$9*9.81)*('Gearing Calculator'!$U$16/'Gearing Calculator'!$C$7)-(('Track Data'!W554)*('Gearing Calculator'!$U$17/'Gearing Calculator'!$C$7))</f>
        <v>522.71384666477672</v>
      </c>
      <c r="Y554" s="16">
        <f>('Gearing Calculator'!$U$9*9.81)*(('Gearing Calculator'!$C$7-'Gearing Calculator'!$U$16)/'Gearing Calculator'!$C$7)+(('Track Data'!W554)*('Gearing Calculator'!$U$17/'Gearing Calculator'!$C$7))</f>
        <v>2088.7081533352234</v>
      </c>
      <c r="Z554" s="16">
        <f>((X554*COS('Gearing Calculator'!$C$21))/'Gearing Calculator'!$C$22)/2</f>
        <v>16.160658935828589</v>
      </c>
      <c r="AA554" s="16">
        <f>Y554/'Gearing Calculator'!$C$24</f>
        <v>29.16537144418087</v>
      </c>
      <c r="AB554" s="16">
        <f t="shared" si="58"/>
        <v>165.93307871320542</v>
      </c>
      <c r="AC554" s="16">
        <v>0</v>
      </c>
      <c r="AD554" s="16">
        <v>0</v>
      </c>
      <c r="AE554" s="16">
        <v>551</v>
      </c>
      <c r="AF554" s="16">
        <f>IF(AC554=0,IF(O554=6,INDEX(Acceleration!$V$4:$V$110,MATCH('Track Data'!S554,Acceleration!$K$4:$K$110,0)),IF('Track Data'!O554=5,INDEX(Acceleration!$U$4:$U$110,MATCH('Track Data'!S554,Acceleration!$K$4:$K$110,0)),1)),U554)</f>
        <v>1</v>
      </c>
      <c r="AG554" s="16">
        <f>IF(AC554=0,IF(O554=4,INDEX(Acceleration!$T$4:$T$110,MATCH('Track Data'!S554,Acceleration!$K$4:$K$110,0)),IF('Track Data'!O554=3,INDEX(Acceleration!$S$4:$S$110,MATCH('Track Data'!S554,Acceleration!$K$4:$K$110,0)),'Track Data'!AF554)),'Track Data'!U554)</f>
        <v>5.4927697303650715</v>
      </c>
      <c r="AH554" s="16">
        <f>IF(AC554=0,IF(O554=2,INDEX(Acceleration!$R$4:$R$110,MATCH('Track Data'!S554,Acceleration!$K$4:$K$110,0)),IF('Track Data'!O554=1,INDEX(Acceleration!$Q$4:$Q$110,MATCH('Track Data'!S554,Acceleration!$K$4:$K$110,0)),'Track Data'!AG554)),'Track Data'!U554)</f>
        <v>5.4927697303650715</v>
      </c>
    </row>
    <row r="555" spans="2:34" x14ac:dyDescent="0.25">
      <c r="B555" s="16">
        <v>212.89400000000001</v>
      </c>
      <c r="C555" s="16">
        <v>7825</v>
      </c>
      <c r="D555" s="16">
        <v>552</v>
      </c>
      <c r="E555" s="113">
        <v>132</v>
      </c>
      <c r="F555" s="113">
        <v>135.4</v>
      </c>
      <c r="G555" s="113">
        <v>129.19999999999999</v>
      </c>
      <c r="H555" s="113">
        <f t="shared" si="61"/>
        <v>35.888888888888886</v>
      </c>
      <c r="I555" s="113">
        <v>15.6</v>
      </c>
      <c r="J555" s="113">
        <v>76.53</v>
      </c>
      <c r="K555" s="113">
        <v>26.3</v>
      </c>
      <c r="L555" s="185"/>
      <c r="M555" s="16">
        <v>552</v>
      </c>
      <c r="N555" s="16">
        <f t="shared" si="63"/>
        <v>2.6508626645460876E-2</v>
      </c>
      <c r="O555" s="16">
        <v>3</v>
      </c>
      <c r="P555" s="16">
        <f t="shared" si="59"/>
        <v>10.596205962059623</v>
      </c>
      <c r="Q555" s="16">
        <f t="shared" si="64"/>
        <v>37.723568760256086</v>
      </c>
      <c r="R555" s="113">
        <f t="shared" si="60"/>
        <v>345.36</v>
      </c>
      <c r="S555" s="16">
        <f>IF(S554=15800,15800,ROUND((((Q555*60)/'Gearing Calculator'!$C$14)*'Track Data'!P555),-2))</f>
        <v>12100</v>
      </c>
      <c r="T555" s="16">
        <f t="shared" si="62"/>
        <v>5.4927697303650715</v>
      </c>
      <c r="U555" s="16">
        <f>IF(AC555=100,Braking!$AG$2354,IF(AC555=50,Braking!$AG$1179,IF(AC555=75,Braking!$AG$1767,0)))</f>
        <v>0</v>
      </c>
      <c r="V555" s="16">
        <f>0.5*'Gearing Calculator'!$C$15*'Gearing Calculator'!$C$20*'Gearing Calculator'!$W$20*('Track Data'!Q555^2)</f>
        <v>150.61747901863393</v>
      </c>
      <c r="W555" s="16">
        <f>('Gearing Calculator'!$U$9*'Track Data'!T555)+'Track Data'!V555</f>
        <v>1612.7927812418159</v>
      </c>
      <c r="X555" s="16">
        <f>('Gearing Calculator'!$U$9*9.81)*('Gearing Calculator'!$U$16/'Gearing Calculator'!$C$7)-(('Track Data'!W555)*('Gearing Calculator'!$U$17/'Gearing Calculator'!$C$7))</f>
        <v>522.08009058339917</v>
      </c>
      <c r="Y555" s="16">
        <f>('Gearing Calculator'!$U$9*9.81)*(('Gearing Calculator'!$C$7-'Gearing Calculator'!$U$16)/'Gearing Calculator'!$C$7)+(('Track Data'!W555)*('Gearing Calculator'!$U$17/'Gearing Calculator'!$C$7))</f>
        <v>2089.3419094166011</v>
      </c>
      <c r="Z555" s="16">
        <f>((X555*COS('Gearing Calculator'!$C$21))/'Gearing Calculator'!$C$22)/2</f>
        <v>16.141065202192106</v>
      </c>
      <c r="AA555" s="16">
        <f>Y555/'Gearing Calculator'!$C$24</f>
        <v>29.174220804724072</v>
      </c>
      <c r="AB555" s="16">
        <f t="shared" si="58"/>
        <v>167.09578820972914</v>
      </c>
      <c r="AC555" s="16">
        <v>0</v>
      </c>
      <c r="AD555" s="16">
        <v>0</v>
      </c>
      <c r="AE555" s="16">
        <v>552</v>
      </c>
      <c r="AF555" s="16">
        <f>IF(AC555=0,IF(O555=6,INDEX(Acceleration!$V$4:$V$110,MATCH('Track Data'!S555,Acceleration!$K$4:$K$110,0)),IF('Track Data'!O555=5,INDEX(Acceleration!$U$4:$U$110,MATCH('Track Data'!S555,Acceleration!$K$4:$K$110,0)),1)),U555)</f>
        <v>1</v>
      </c>
      <c r="AG555" s="16">
        <f>IF(AC555=0,IF(O555=4,INDEX(Acceleration!$T$4:$T$110,MATCH('Track Data'!S555,Acceleration!$K$4:$K$110,0)),IF('Track Data'!O555=3,INDEX(Acceleration!$S$4:$S$110,MATCH('Track Data'!S555,Acceleration!$K$4:$K$110,0)),'Track Data'!AF555)),'Track Data'!U555)</f>
        <v>5.4927697303650715</v>
      </c>
      <c r="AH555" s="16">
        <f>IF(AC555=0,IF(O555=2,INDEX(Acceleration!$R$4:$R$110,MATCH('Track Data'!S555,Acceleration!$K$4:$K$110,0)),IF('Track Data'!O555=1,INDEX(Acceleration!$Q$4:$Q$110,MATCH('Track Data'!S555,Acceleration!$K$4:$K$110,0)),'Track Data'!AG555)),'Track Data'!U555)</f>
        <v>5.4927697303650715</v>
      </c>
    </row>
    <row r="556" spans="2:34" x14ac:dyDescent="0.25">
      <c r="B556" s="16">
        <v>212.92099999999999</v>
      </c>
      <c r="C556" s="16">
        <v>7826</v>
      </c>
      <c r="D556" s="16">
        <v>553</v>
      </c>
      <c r="E556" s="113">
        <v>133</v>
      </c>
      <c r="F556" s="113">
        <v>135</v>
      </c>
      <c r="G556" s="113">
        <v>129.1</v>
      </c>
      <c r="H556" s="113">
        <f t="shared" si="61"/>
        <v>35.861111111111107</v>
      </c>
      <c r="I556" s="113">
        <v>19.600000000000001</v>
      </c>
      <c r="J556" s="113">
        <v>76.45</v>
      </c>
      <c r="K556" s="113">
        <v>32.700000000000003</v>
      </c>
      <c r="L556" s="185"/>
      <c r="M556" s="16">
        <v>553</v>
      </c>
      <c r="N556" s="16">
        <f t="shared" si="63"/>
        <v>2.6406897009506547E-2</v>
      </c>
      <c r="O556" s="16">
        <v>3</v>
      </c>
      <c r="P556" s="16">
        <f t="shared" si="59"/>
        <v>10.596205962059623</v>
      </c>
      <c r="Q556" s="16">
        <f t="shared" si="64"/>
        <v>37.868894616432883</v>
      </c>
      <c r="R556" s="113">
        <f t="shared" si="60"/>
        <v>345.36</v>
      </c>
      <c r="S556" s="16">
        <f>IF(S555=15800,15800,ROUND((((Q556*60)/'Gearing Calculator'!$C$14)*'Track Data'!P556),-2))</f>
        <v>12200</v>
      </c>
      <c r="T556" s="16">
        <f t="shared" si="62"/>
        <v>5.4959324340905358</v>
      </c>
      <c r="U556" s="16">
        <f>IF(AC556=100,Braking!$AG$2354,IF(AC556=50,Braking!$AG$1179,IF(AC556=75,Braking!$AG$1767,0)))</f>
        <v>0</v>
      </c>
      <c r="V556" s="16">
        <f>0.5*'Gearing Calculator'!$C$15*'Gearing Calculator'!$C$20*'Gearing Calculator'!$W$20*('Track Data'!Q556^2)</f>
        <v>151.78018851515765</v>
      </c>
      <c r="W556" s="16">
        <f>('Gearing Calculator'!$U$9*'Track Data'!T556)+'Track Data'!V556</f>
        <v>1614.7974024700584</v>
      </c>
      <c r="X556" s="16">
        <f>('Gearing Calculator'!$U$9*9.81)*('Gearing Calculator'!$U$16/'Gearing Calculator'!$C$7)-(('Track Data'!W556)*('Gearing Calculator'!$U$17/'Gearing Calculator'!$C$7))</f>
        <v>520.98743511093971</v>
      </c>
      <c r="Y556" s="16">
        <f>('Gearing Calculator'!$U$9*9.81)*(('Gearing Calculator'!$C$7-'Gearing Calculator'!$U$16)/'Gearing Calculator'!$C$7)+(('Track Data'!W556)*('Gearing Calculator'!$U$17/'Gearing Calculator'!$C$7))</f>
        <v>2090.4345648890603</v>
      </c>
      <c r="Z556" s="16">
        <f>((X556*COS('Gearing Calculator'!$C$21))/'Gearing Calculator'!$C$22)/2</f>
        <v>16.107283750758491</v>
      </c>
      <c r="AA556" s="16">
        <f>Y556/'Gearing Calculator'!$C$24</f>
        <v>29.189477939936527</v>
      </c>
      <c r="AB556" s="16">
        <f t="shared" si="58"/>
        <v>168.26798581742926</v>
      </c>
      <c r="AC556" s="16">
        <v>0</v>
      </c>
      <c r="AD556" s="16">
        <v>0</v>
      </c>
      <c r="AE556" s="16">
        <v>553</v>
      </c>
      <c r="AF556" s="16">
        <f>IF(AC556=0,IF(O556=6,INDEX(Acceleration!$V$4:$V$110,MATCH('Track Data'!S556,Acceleration!$K$4:$K$110,0)),IF('Track Data'!O556=5,INDEX(Acceleration!$U$4:$U$110,MATCH('Track Data'!S556,Acceleration!$K$4:$K$110,0)),1)),U556)</f>
        <v>1</v>
      </c>
      <c r="AG556" s="16">
        <f>IF(AC556=0,IF(O556=4,INDEX(Acceleration!$T$4:$T$110,MATCH('Track Data'!S556,Acceleration!$K$4:$K$110,0)),IF('Track Data'!O556=3,INDEX(Acceleration!$S$4:$S$110,MATCH('Track Data'!S556,Acceleration!$K$4:$K$110,0)),'Track Data'!AF556)),'Track Data'!U556)</f>
        <v>5.4959324340905358</v>
      </c>
      <c r="AH556" s="16">
        <f>IF(AC556=0,IF(O556=2,INDEX(Acceleration!$R$4:$R$110,MATCH('Track Data'!S556,Acceleration!$K$4:$K$110,0)),IF('Track Data'!O556=1,INDEX(Acceleration!$Q$4:$Q$110,MATCH('Track Data'!S556,Acceleration!$K$4:$K$110,0)),'Track Data'!AG556)),'Track Data'!U556)</f>
        <v>5.4959324340905358</v>
      </c>
    </row>
    <row r="557" spans="2:34" x14ac:dyDescent="0.25">
      <c r="B557" s="16">
        <v>212.947</v>
      </c>
      <c r="C557" s="16">
        <v>7827</v>
      </c>
      <c r="D557" s="16">
        <v>554</v>
      </c>
      <c r="E557" s="113">
        <v>134</v>
      </c>
      <c r="F557" s="113">
        <v>134.9</v>
      </c>
      <c r="G557" s="113">
        <v>128.9</v>
      </c>
      <c r="H557" s="113">
        <f t="shared" si="61"/>
        <v>35.805555555555557</v>
      </c>
      <c r="I557" s="113">
        <v>20.5</v>
      </c>
      <c r="J557" s="113">
        <v>78.11</v>
      </c>
      <c r="K557" s="113">
        <v>37</v>
      </c>
      <c r="L557" s="185"/>
      <c r="M557" s="16">
        <v>554</v>
      </c>
      <c r="N557" s="16">
        <f t="shared" si="63"/>
        <v>2.6306272074601532E-2</v>
      </c>
      <c r="O557" s="16">
        <v>3</v>
      </c>
      <c r="P557" s="16">
        <f t="shared" si="59"/>
        <v>10.596205962059623</v>
      </c>
      <c r="Q557" s="16">
        <f t="shared" si="64"/>
        <v>38.01374809642796</v>
      </c>
      <c r="R557" s="113">
        <f t="shared" si="60"/>
        <v>345.36</v>
      </c>
      <c r="S557" s="16">
        <f>IF(S556=15800,15800,ROUND((((Q557*60)/'Gearing Calculator'!$C$14)*'Track Data'!P557),-2))</f>
        <v>12200</v>
      </c>
      <c r="T557" s="16">
        <f t="shared" si="62"/>
        <v>5.4959324340905358</v>
      </c>
      <c r="U557" s="16">
        <f>IF(AC557=100,Braking!$AG$2354,IF(AC557=50,Braking!$AG$1179,IF(AC557=75,Braking!$AG$1767,0)))</f>
        <v>0</v>
      </c>
      <c r="V557" s="16">
        <f>0.5*'Gearing Calculator'!$C$15*'Gearing Calculator'!$C$20*'Gearing Calculator'!$W$20*('Track Data'!Q557^2)</f>
        <v>152.9435674928059</v>
      </c>
      <c r="W557" s="16">
        <f>('Gearing Calculator'!$U$9*'Track Data'!T557)+'Track Data'!V557</f>
        <v>1615.9607814477065</v>
      </c>
      <c r="X557" s="16">
        <f>('Gearing Calculator'!$U$9*9.81)*('Gearing Calculator'!$U$16/'Gearing Calculator'!$C$7)-(('Track Data'!W557)*('Gearing Calculator'!$U$17/'Gearing Calculator'!$C$7))</f>
        <v>520.3533141166281</v>
      </c>
      <c r="Y557" s="16">
        <f>('Gearing Calculator'!$U$9*9.81)*(('Gearing Calculator'!$C$7-'Gearing Calculator'!$U$16)/'Gearing Calculator'!$C$7)+(('Track Data'!W557)*('Gearing Calculator'!$U$17/'Gearing Calculator'!$C$7))</f>
        <v>2091.0686858833719</v>
      </c>
      <c r="Z557" s="16">
        <f>((X557*COS('Gearing Calculator'!$C$21))/'Gearing Calculator'!$C$22)/2</f>
        <v>16.087678735168211</v>
      </c>
      <c r="AA557" s="16">
        <f>Y557/'Gearing Calculator'!$C$24</f>
        <v>29.198332395888222</v>
      </c>
      <c r="AB557" s="16">
        <f t="shared" si="58"/>
        <v>169.43136479507751</v>
      </c>
      <c r="AC557" s="16">
        <v>0</v>
      </c>
      <c r="AD557" s="16">
        <v>0</v>
      </c>
      <c r="AE557" s="16">
        <v>554</v>
      </c>
      <c r="AF557" s="16">
        <f>IF(AC557=0,IF(O557=6,INDEX(Acceleration!$V$4:$V$110,MATCH('Track Data'!S557,Acceleration!$K$4:$K$110,0)),IF('Track Data'!O557=5,INDEX(Acceleration!$U$4:$U$110,MATCH('Track Data'!S557,Acceleration!$K$4:$K$110,0)),1)),U557)</f>
        <v>1</v>
      </c>
      <c r="AG557" s="16">
        <f>IF(AC557=0,IF(O557=4,INDEX(Acceleration!$T$4:$T$110,MATCH('Track Data'!S557,Acceleration!$K$4:$K$110,0)),IF('Track Data'!O557=3,INDEX(Acceleration!$S$4:$S$110,MATCH('Track Data'!S557,Acceleration!$K$4:$K$110,0)),'Track Data'!AF557)),'Track Data'!U557)</f>
        <v>5.4959324340905358</v>
      </c>
      <c r="AH557" s="16">
        <f>IF(AC557=0,IF(O557=2,INDEX(Acceleration!$R$4:$R$110,MATCH('Track Data'!S557,Acceleration!$K$4:$K$110,0)),IF('Track Data'!O557=1,INDEX(Acceleration!$Q$4:$Q$110,MATCH('Track Data'!S557,Acceleration!$K$4:$K$110,0)),'Track Data'!AG557)),'Track Data'!U557)</f>
        <v>5.4959324340905358</v>
      </c>
    </row>
    <row r="558" spans="2:34" x14ac:dyDescent="0.25">
      <c r="B558" s="16">
        <v>212.97399999999999</v>
      </c>
      <c r="C558" s="16">
        <v>7828</v>
      </c>
      <c r="D558" s="16">
        <v>555</v>
      </c>
      <c r="E558" s="113">
        <v>134</v>
      </c>
      <c r="F558" s="113">
        <v>134.6</v>
      </c>
      <c r="G558" s="113">
        <v>128.6</v>
      </c>
      <c r="H558" s="113">
        <f t="shared" si="61"/>
        <v>35.722222222222221</v>
      </c>
      <c r="I558" s="113">
        <v>19.3</v>
      </c>
      <c r="J558" s="113">
        <v>76.05</v>
      </c>
      <c r="K558" s="113">
        <v>40.5</v>
      </c>
      <c r="L558" s="185"/>
      <c r="M558" s="16">
        <v>555</v>
      </c>
      <c r="N558" s="16">
        <f t="shared" si="63"/>
        <v>2.6206788752643664E-2</v>
      </c>
      <c r="O558" s="16">
        <v>3</v>
      </c>
      <c r="P558" s="16">
        <f t="shared" si="59"/>
        <v>10.596205962059623</v>
      </c>
      <c r="Q558" s="16">
        <f t="shared" si="64"/>
        <v>38.158051695636416</v>
      </c>
      <c r="R558" s="113">
        <f t="shared" si="60"/>
        <v>345.36</v>
      </c>
      <c r="S558" s="16">
        <f>IF(S557=15800,15800,ROUND((((Q558*60)/'Gearing Calculator'!$C$14)*'Track Data'!P558),-2))</f>
        <v>12300</v>
      </c>
      <c r="T558" s="16">
        <f t="shared" si="62"/>
        <v>5.498902814049984</v>
      </c>
      <c r="U558" s="16">
        <f>IF(AC558=100,Braking!$AG$2354,IF(AC558=50,Braking!$AG$1179,IF(AC558=75,Braking!$AG$1767,0)))</f>
        <v>0</v>
      </c>
      <c r="V558" s="16">
        <f>0.5*'Gearing Calculator'!$C$15*'Gearing Calculator'!$C$20*'Gearing Calculator'!$W$20*('Track Data'!Q558^2)</f>
        <v>154.10694647045418</v>
      </c>
      <c r="W558" s="16">
        <f>('Gearing Calculator'!$U$9*'Track Data'!T558)+'Track Data'!V558</f>
        <v>1617.9148755705598</v>
      </c>
      <c r="X558" s="16">
        <f>('Gearing Calculator'!$U$9*9.81)*('Gearing Calculator'!$U$16/'Gearing Calculator'!$C$7)-(('Track Data'!W558)*('Gearing Calculator'!$U$17/'Gearing Calculator'!$C$7))</f>
        <v>519.28819936729042</v>
      </c>
      <c r="Y558" s="16">
        <f>('Gearing Calculator'!$U$9*9.81)*(('Gearing Calculator'!$C$7-'Gearing Calculator'!$U$16)/'Gearing Calculator'!$C$7)+(('Track Data'!W558)*('Gearing Calculator'!$U$17/'Gearing Calculator'!$C$7))</f>
        <v>2092.1338006327096</v>
      </c>
      <c r="Z558" s="16">
        <f>((X558*COS('Gearing Calculator'!$C$21))/'Gearing Calculator'!$C$22)/2</f>
        <v>16.054748755789639</v>
      </c>
      <c r="AA558" s="16">
        <f>Y558/'Gearing Calculator'!$C$24</f>
        <v>29.21320497023304</v>
      </c>
      <c r="AB558" s="16">
        <f t="shared" si="58"/>
        <v>170.60365491260413</v>
      </c>
      <c r="AC558" s="16">
        <v>0</v>
      </c>
      <c r="AD558" s="16">
        <v>0</v>
      </c>
      <c r="AE558" s="16">
        <v>555</v>
      </c>
      <c r="AF558" s="16">
        <f>IF(AC558=0,IF(O558=6,INDEX(Acceleration!$V$4:$V$110,MATCH('Track Data'!S558,Acceleration!$K$4:$K$110,0)),IF('Track Data'!O558=5,INDEX(Acceleration!$U$4:$U$110,MATCH('Track Data'!S558,Acceleration!$K$4:$K$110,0)),1)),U558)</f>
        <v>1</v>
      </c>
      <c r="AG558" s="16">
        <f>IF(AC558=0,IF(O558=4,INDEX(Acceleration!$T$4:$T$110,MATCH('Track Data'!S558,Acceleration!$K$4:$K$110,0)),IF('Track Data'!O558=3,INDEX(Acceleration!$S$4:$S$110,MATCH('Track Data'!S558,Acceleration!$K$4:$K$110,0)),'Track Data'!AF558)),'Track Data'!U558)</f>
        <v>5.498902814049984</v>
      </c>
      <c r="AH558" s="16">
        <f>IF(AC558=0,IF(O558=2,INDEX(Acceleration!$R$4:$R$110,MATCH('Track Data'!S558,Acceleration!$K$4:$K$110,0)),IF('Track Data'!O558=1,INDEX(Acceleration!$Q$4:$Q$110,MATCH('Track Data'!S558,Acceleration!$K$4:$K$110,0)),'Track Data'!AG558)),'Track Data'!U558)</f>
        <v>5.498902814049984</v>
      </c>
    </row>
    <row r="559" spans="2:34" x14ac:dyDescent="0.25">
      <c r="B559" s="16">
        <v>213.001</v>
      </c>
      <c r="C559" s="16">
        <v>7829</v>
      </c>
      <c r="D559" s="16">
        <v>556</v>
      </c>
      <c r="E559" s="113">
        <v>133</v>
      </c>
      <c r="F559" s="113">
        <v>134.1</v>
      </c>
      <c r="G559" s="113">
        <v>128.30000000000001</v>
      </c>
      <c r="H559" s="113">
        <f t="shared" si="61"/>
        <v>35.638888888888893</v>
      </c>
      <c r="I559" s="113">
        <v>17.899999999999999</v>
      </c>
      <c r="J559" s="113">
        <v>71.94</v>
      </c>
      <c r="K559" s="113">
        <v>40.5</v>
      </c>
      <c r="L559" s="185"/>
      <c r="M559" s="16">
        <v>556</v>
      </c>
      <c r="N559" s="16">
        <f t="shared" si="63"/>
        <v>2.6108372756077965E-2</v>
      </c>
      <c r="O559" s="16">
        <v>3</v>
      </c>
      <c r="P559" s="16">
        <f t="shared" si="59"/>
        <v>10.596205962059623</v>
      </c>
      <c r="Q559" s="16">
        <f t="shared" si="64"/>
        <v>38.301889181017707</v>
      </c>
      <c r="R559" s="113">
        <f t="shared" si="60"/>
        <v>345.36</v>
      </c>
      <c r="S559" s="16">
        <f>IF(S558=15800,15800,ROUND((((Q559*60)/'Gearing Calculator'!$C$14)*'Track Data'!P559),-2))</f>
        <v>12300</v>
      </c>
      <c r="T559" s="16">
        <f t="shared" si="62"/>
        <v>5.498902814049984</v>
      </c>
      <c r="U559" s="16">
        <f>IF(AC559=100,Braking!$AG$2354,IF(AC559=50,Braking!$AG$1179,IF(AC559=75,Braking!$AG$1767,0)))</f>
        <v>0</v>
      </c>
      <c r="V559" s="16">
        <f>0.5*'Gearing Calculator'!$C$15*'Gearing Calculator'!$C$20*'Gearing Calculator'!$W$20*('Track Data'!Q559^2)</f>
        <v>155.27095421813229</v>
      </c>
      <c r="W559" s="16">
        <f>('Gearing Calculator'!$U$9*'Track Data'!T559)+'Track Data'!V559</f>
        <v>1619.078883318238</v>
      </c>
      <c r="X559" s="16">
        <f>('Gearing Calculator'!$U$9*9.81)*('Gearing Calculator'!$U$16/'Gearing Calculator'!$C$7)-(('Track Data'!W559)*('Gearing Calculator'!$U$17/'Gearing Calculator'!$C$7))</f>
        <v>518.65373565037135</v>
      </c>
      <c r="Y559" s="16">
        <f>('Gearing Calculator'!$U$9*9.81)*(('Gearing Calculator'!$C$7-'Gearing Calculator'!$U$16)/'Gearing Calculator'!$C$7)+(('Track Data'!W559)*('Gearing Calculator'!$U$17/'Gearing Calculator'!$C$7))</f>
        <v>2092.7682643496287</v>
      </c>
      <c r="Z559" s="16">
        <f>((X559*COS('Gearing Calculator'!$C$21))/'Gearing Calculator'!$C$22)/2</f>
        <v>16.035133144300275</v>
      </c>
      <c r="AA559" s="16">
        <f>Y559/'Gearing Calculator'!$C$24</f>
        <v>29.222064211741841</v>
      </c>
      <c r="AB559" s="16">
        <f t="shared" si="58"/>
        <v>171.76766266028224</v>
      </c>
      <c r="AC559" s="16">
        <v>0</v>
      </c>
      <c r="AD559" s="16">
        <v>0</v>
      </c>
      <c r="AE559" s="16">
        <v>556</v>
      </c>
      <c r="AF559" s="16">
        <f>IF(AC559=0,IF(O559=6,INDEX(Acceleration!$V$4:$V$110,MATCH('Track Data'!S559,Acceleration!$K$4:$K$110,0)),IF('Track Data'!O559=5,INDEX(Acceleration!$U$4:$U$110,MATCH('Track Data'!S559,Acceleration!$K$4:$K$110,0)),1)),U559)</f>
        <v>1</v>
      </c>
      <c r="AG559" s="16">
        <f>IF(AC559=0,IF(O559=4,INDEX(Acceleration!$T$4:$T$110,MATCH('Track Data'!S559,Acceleration!$K$4:$K$110,0)),IF('Track Data'!O559=3,INDEX(Acceleration!$S$4:$S$110,MATCH('Track Data'!S559,Acceleration!$K$4:$K$110,0)),'Track Data'!AF559)),'Track Data'!U559)</f>
        <v>5.498902814049984</v>
      </c>
      <c r="AH559" s="16">
        <f>IF(AC559=0,IF(O559=2,INDEX(Acceleration!$R$4:$R$110,MATCH('Track Data'!S559,Acceleration!$K$4:$K$110,0)),IF('Track Data'!O559=1,INDEX(Acceleration!$Q$4:$Q$110,MATCH('Track Data'!S559,Acceleration!$K$4:$K$110,0)),'Track Data'!AG559)),'Track Data'!U559)</f>
        <v>5.498902814049984</v>
      </c>
    </row>
    <row r="560" spans="2:34" x14ac:dyDescent="0.25">
      <c r="B560" s="16">
        <v>213.02799999999999</v>
      </c>
      <c r="C560" s="16">
        <v>7830</v>
      </c>
      <c r="D560" s="16">
        <v>557</v>
      </c>
      <c r="E560" s="113">
        <v>134</v>
      </c>
      <c r="F560" s="113">
        <v>133.80000000000001</v>
      </c>
      <c r="G560" s="113">
        <v>128</v>
      </c>
      <c r="H560" s="113">
        <f t="shared" si="61"/>
        <v>35.555555555555557</v>
      </c>
      <c r="I560" s="113">
        <v>16.2</v>
      </c>
      <c r="J560" s="113">
        <v>72.400000000000006</v>
      </c>
      <c r="K560" s="113">
        <v>40.5</v>
      </c>
      <c r="L560" s="185"/>
      <c r="M560" s="16">
        <v>557</v>
      </c>
      <c r="N560" s="16">
        <f t="shared" si="63"/>
        <v>2.601105725980735E-2</v>
      </c>
      <c r="O560" s="16">
        <v>3</v>
      </c>
      <c r="P560" s="16">
        <f t="shared" si="59"/>
        <v>10.596205962059623</v>
      </c>
      <c r="Q560" s="16">
        <f t="shared" si="64"/>
        <v>38.445188521622072</v>
      </c>
      <c r="R560" s="113">
        <f t="shared" si="60"/>
        <v>345.36</v>
      </c>
      <c r="S560" s="16">
        <f>IF(S559=15800,15800,ROUND((((Q560*60)/'Gearing Calculator'!$C$14)*'Track Data'!P560),-2))</f>
        <v>12400</v>
      </c>
      <c r="T560" s="16">
        <f t="shared" si="62"/>
        <v>5.5016843776523601</v>
      </c>
      <c r="U560" s="16">
        <f>IF(AC560=100,Braking!$AG$2354,IF(AC560=50,Braking!$AG$1179,IF(AC560=75,Braking!$AG$1767,0)))</f>
        <v>0</v>
      </c>
      <c r="V560" s="16">
        <f>0.5*'Gearing Calculator'!$C$15*'Gearing Calculator'!$C$20*'Gearing Calculator'!$W$20*('Track Data'!Q560^2)</f>
        <v>156.4349619658104</v>
      </c>
      <c r="W560" s="16">
        <f>('Gearing Calculator'!$U$9*'Track Data'!T560)+'Track Data'!V560</f>
        <v>1620.9833432968685</v>
      </c>
      <c r="X560" s="16">
        <f>('Gearing Calculator'!$U$9*9.81)*('Gearing Calculator'!$U$16/'Gearing Calculator'!$C$7)-(('Track Data'!W560)*('Gearing Calculator'!$U$17/'Gearing Calculator'!$C$7))</f>
        <v>517.61567489933623</v>
      </c>
      <c r="Y560" s="16">
        <f>('Gearing Calculator'!$U$9*9.81)*(('Gearing Calculator'!$C$7-'Gearing Calculator'!$U$16)/'Gearing Calculator'!$C$7)+(('Track Data'!W560)*('Gearing Calculator'!$U$17/'Gearing Calculator'!$C$7))</f>
        <v>2093.8063251006638</v>
      </c>
      <c r="Z560" s="16">
        <f>((X560*COS('Gearing Calculator'!$C$21))/'Gearing Calculator'!$C$22)/2</f>
        <v>16.003039588984706</v>
      </c>
      <c r="AA560" s="16">
        <f>Y560/'Gearing Calculator'!$C$24</f>
        <v>29.236559021529999</v>
      </c>
      <c r="AB560" s="16">
        <f t="shared" si="58"/>
        <v>172.94001509876747</v>
      </c>
      <c r="AC560" s="16">
        <v>0</v>
      </c>
      <c r="AD560" s="16">
        <v>0</v>
      </c>
      <c r="AE560" s="16">
        <v>557</v>
      </c>
      <c r="AF560" s="16">
        <f>IF(AC560=0,IF(O560=6,INDEX(Acceleration!$V$4:$V$110,MATCH('Track Data'!S560,Acceleration!$K$4:$K$110,0)),IF('Track Data'!O560=5,INDEX(Acceleration!$U$4:$U$110,MATCH('Track Data'!S560,Acceleration!$K$4:$K$110,0)),1)),U560)</f>
        <v>1</v>
      </c>
      <c r="AG560" s="16">
        <f>IF(AC560=0,IF(O560=4,INDEX(Acceleration!$T$4:$T$110,MATCH('Track Data'!S560,Acceleration!$K$4:$K$110,0)),IF('Track Data'!O560=3,INDEX(Acceleration!$S$4:$S$110,MATCH('Track Data'!S560,Acceleration!$K$4:$K$110,0)),'Track Data'!AF560)),'Track Data'!U560)</f>
        <v>5.5016843776523601</v>
      </c>
      <c r="AH560" s="16">
        <f>IF(AC560=0,IF(O560=2,INDEX(Acceleration!$R$4:$R$110,MATCH('Track Data'!S560,Acceleration!$K$4:$K$110,0)),IF('Track Data'!O560=1,INDEX(Acceleration!$Q$4:$Q$110,MATCH('Track Data'!S560,Acceleration!$K$4:$K$110,0)),'Track Data'!AG560)),'Track Data'!U560)</f>
        <v>5.5016843776523601</v>
      </c>
    </row>
    <row r="561" spans="2:34" x14ac:dyDescent="0.25">
      <c r="B561" s="16">
        <v>213.054</v>
      </c>
      <c r="C561" s="16">
        <v>7831</v>
      </c>
      <c r="D561" s="16">
        <v>558</v>
      </c>
      <c r="E561" s="113">
        <v>134</v>
      </c>
      <c r="F561" s="113">
        <v>133.6</v>
      </c>
      <c r="G561" s="113">
        <v>127.7</v>
      </c>
      <c r="H561" s="113">
        <f t="shared" si="61"/>
        <v>35.472222222222221</v>
      </c>
      <c r="I561" s="113">
        <v>15.4</v>
      </c>
      <c r="J561" s="113">
        <v>67.760000000000005</v>
      </c>
      <c r="K561" s="113">
        <v>41.6</v>
      </c>
      <c r="L561" s="185"/>
      <c r="M561" s="16">
        <v>558</v>
      </c>
      <c r="N561" s="16">
        <f t="shared" si="63"/>
        <v>2.5914773495949721E-2</v>
      </c>
      <c r="O561" s="16">
        <v>3</v>
      </c>
      <c r="P561" s="16">
        <f t="shared" si="59"/>
        <v>10.596205962059623</v>
      </c>
      <c r="Q561" s="16">
        <f t="shared" si="64"/>
        <v>38.588027796434041</v>
      </c>
      <c r="R561" s="113">
        <f t="shared" si="60"/>
        <v>345.36</v>
      </c>
      <c r="S561" s="16">
        <f>IF(S560=15800,15800,ROUND((((Q561*60)/'Gearing Calculator'!$C$14)*'Track Data'!P561),-2))</f>
        <v>12400</v>
      </c>
      <c r="T561" s="16">
        <f t="shared" si="62"/>
        <v>5.5016843776523601</v>
      </c>
      <c r="U561" s="16">
        <f>IF(AC561=100,Braking!$AG$2354,IF(AC561=50,Braking!$AG$1179,IF(AC561=75,Braking!$AG$1767,0)))</f>
        <v>0</v>
      </c>
      <c r="V561" s="16">
        <f>0.5*'Gearing Calculator'!$C$15*'Gearing Calculator'!$C$20*'Gearing Calculator'!$W$20*('Track Data'!Q561^2)</f>
        <v>157.59955851487186</v>
      </c>
      <c r="W561" s="16">
        <f>('Gearing Calculator'!$U$9*'Track Data'!T561)+'Track Data'!V561</f>
        <v>1622.1479398459301</v>
      </c>
      <c r="X561" s="16">
        <f>('Gearing Calculator'!$U$9*9.81)*('Gearing Calculator'!$U$16/'Gearing Calculator'!$C$7)-(('Track Data'!W561)*('Gearing Calculator'!$U$17/'Gearing Calculator'!$C$7))</f>
        <v>516.98089024545175</v>
      </c>
      <c r="Y561" s="16">
        <f>('Gearing Calculator'!$U$9*9.81)*(('Gearing Calculator'!$C$7-'Gearing Calculator'!$U$16)/'Gearing Calculator'!$C$7)+(('Track Data'!W561)*('Gearing Calculator'!$U$17/'Gearing Calculator'!$C$7))</f>
        <v>2094.4411097545481</v>
      </c>
      <c r="Z561" s="16">
        <f>((X561*COS('Gearing Calculator'!$C$21))/'Gearing Calculator'!$C$22)/2</f>
        <v>15.983414055139409</v>
      </c>
      <c r="AA561" s="16">
        <f>Y561/'Gearing Calculator'!$C$24</f>
        <v>29.24542274439527</v>
      </c>
      <c r="AB561" s="16">
        <f t="shared" si="58"/>
        <v>174.10461164782893</v>
      </c>
      <c r="AC561" s="16">
        <v>0</v>
      </c>
      <c r="AD561" s="16">
        <v>0</v>
      </c>
      <c r="AE561" s="16">
        <v>558</v>
      </c>
      <c r="AF561" s="16">
        <f>IF(AC561=0,IF(O561=6,INDEX(Acceleration!$V$4:$V$110,MATCH('Track Data'!S561,Acceleration!$K$4:$K$110,0)),IF('Track Data'!O561=5,INDEX(Acceleration!$U$4:$U$110,MATCH('Track Data'!S561,Acceleration!$K$4:$K$110,0)),1)),U561)</f>
        <v>1</v>
      </c>
      <c r="AG561" s="16">
        <f>IF(AC561=0,IF(O561=4,INDEX(Acceleration!$T$4:$T$110,MATCH('Track Data'!S561,Acceleration!$K$4:$K$110,0)),IF('Track Data'!O561=3,INDEX(Acceleration!$S$4:$S$110,MATCH('Track Data'!S561,Acceleration!$K$4:$K$110,0)),'Track Data'!AF561)),'Track Data'!U561)</f>
        <v>5.5016843776523601</v>
      </c>
      <c r="AH561" s="16">
        <f>IF(AC561=0,IF(O561=2,INDEX(Acceleration!$R$4:$R$110,MATCH('Track Data'!S561,Acceleration!$K$4:$K$110,0)),IF('Track Data'!O561=1,INDEX(Acceleration!$Q$4:$Q$110,MATCH('Track Data'!S561,Acceleration!$K$4:$K$110,0)),'Track Data'!AG561)),'Track Data'!U561)</f>
        <v>5.5016843776523601</v>
      </c>
    </row>
    <row r="562" spans="2:34" x14ac:dyDescent="0.25">
      <c r="B562" s="16">
        <v>213.08099999999999</v>
      </c>
      <c r="C562" s="16">
        <v>7832</v>
      </c>
      <c r="D562" s="16">
        <v>559</v>
      </c>
      <c r="E562" s="113">
        <v>133</v>
      </c>
      <c r="F562" s="113">
        <v>133.6</v>
      </c>
      <c r="G562" s="113">
        <v>127.3</v>
      </c>
      <c r="H562" s="113">
        <f t="shared" si="61"/>
        <v>35.361111111111107</v>
      </c>
      <c r="I562" s="113">
        <v>14.1</v>
      </c>
      <c r="J562" s="113">
        <v>71.02</v>
      </c>
      <c r="K562" s="113">
        <v>44.1</v>
      </c>
      <c r="L562" s="185"/>
      <c r="M562" s="16">
        <v>559</v>
      </c>
      <c r="N562" s="16">
        <f t="shared" si="63"/>
        <v>2.5819551102507669E-2</v>
      </c>
      <c r="O562" s="16">
        <v>3</v>
      </c>
      <c r="P562" s="16">
        <f t="shared" si="59"/>
        <v>10.596205962059623</v>
      </c>
      <c r="Q562" s="16">
        <f t="shared" si="64"/>
        <v>38.730340277018882</v>
      </c>
      <c r="R562" s="113">
        <f t="shared" si="60"/>
        <v>345.36</v>
      </c>
      <c r="S562" s="16">
        <f>IF(S561=15800,15800,ROUND((((Q562*60)/'Gearing Calculator'!$C$14)*'Track Data'!P562),-2))</f>
        <v>12400</v>
      </c>
      <c r="T562" s="16">
        <f t="shared" si="62"/>
        <v>5.5016843776523601</v>
      </c>
      <c r="U562" s="16">
        <f>IF(AC562=100,Braking!$AG$2354,IF(AC562=50,Braking!$AG$1179,IF(AC562=75,Braking!$AG$1767,0)))</f>
        <v>0</v>
      </c>
      <c r="V562" s="16">
        <f>0.5*'Gearing Calculator'!$C$15*'Gearing Calculator'!$C$20*'Gearing Calculator'!$W$20*('Track Data'!Q562^2)</f>
        <v>158.76415506393332</v>
      </c>
      <c r="W562" s="16">
        <f>('Gearing Calculator'!$U$9*'Track Data'!T562)+'Track Data'!V562</f>
        <v>1623.3125363949914</v>
      </c>
      <c r="X562" s="16">
        <f>('Gearing Calculator'!$U$9*9.81)*('Gearing Calculator'!$U$16/'Gearing Calculator'!$C$7)-(('Track Data'!W562)*('Gearing Calculator'!$U$17/'Gearing Calculator'!$C$7))</f>
        <v>516.34610559156738</v>
      </c>
      <c r="Y562" s="16">
        <f>('Gearing Calculator'!$U$9*9.81)*(('Gearing Calculator'!$C$7-'Gearing Calculator'!$U$16)/'Gearing Calculator'!$C$7)+(('Track Data'!W562)*('Gearing Calculator'!$U$17/'Gearing Calculator'!$C$7))</f>
        <v>2095.0758944084328</v>
      </c>
      <c r="Z562" s="16">
        <f>((X562*COS('Gearing Calculator'!$C$21))/'Gearing Calculator'!$C$22)/2</f>
        <v>15.963788521294116</v>
      </c>
      <c r="AA562" s="16">
        <f>Y562/'Gearing Calculator'!$C$24</f>
        <v>29.254286467260552</v>
      </c>
      <c r="AB562" s="16">
        <f t="shared" si="58"/>
        <v>175.26920819689039</v>
      </c>
      <c r="AC562" s="16">
        <v>0</v>
      </c>
      <c r="AD562" s="16">
        <v>0</v>
      </c>
      <c r="AE562" s="16">
        <v>559</v>
      </c>
      <c r="AF562" s="16">
        <f>IF(AC562=0,IF(O562=6,INDEX(Acceleration!$V$4:$V$110,MATCH('Track Data'!S562,Acceleration!$K$4:$K$110,0)),IF('Track Data'!O562=5,INDEX(Acceleration!$U$4:$U$110,MATCH('Track Data'!S562,Acceleration!$K$4:$K$110,0)),1)),U562)</f>
        <v>1</v>
      </c>
      <c r="AG562" s="16">
        <f>IF(AC562=0,IF(O562=4,INDEX(Acceleration!$T$4:$T$110,MATCH('Track Data'!S562,Acceleration!$K$4:$K$110,0)),IF('Track Data'!O562=3,INDEX(Acceleration!$S$4:$S$110,MATCH('Track Data'!S562,Acceleration!$K$4:$K$110,0)),'Track Data'!AF562)),'Track Data'!U562)</f>
        <v>5.5016843776523601</v>
      </c>
      <c r="AH562" s="16">
        <f>IF(AC562=0,IF(O562=2,INDEX(Acceleration!$R$4:$R$110,MATCH('Track Data'!S562,Acceleration!$K$4:$K$110,0)),IF('Track Data'!O562=1,INDEX(Acceleration!$Q$4:$Q$110,MATCH('Track Data'!S562,Acceleration!$K$4:$K$110,0)),'Track Data'!AG562)),'Track Data'!U562)</f>
        <v>5.5016843776523601</v>
      </c>
    </row>
    <row r="563" spans="2:34" x14ac:dyDescent="0.25">
      <c r="B563" s="16">
        <v>213.108</v>
      </c>
      <c r="C563" s="16">
        <v>7833</v>
      </c>
      <c r="D563" s="16">
        <v>560</v>
      </c>
      <c r="E563" s="113">
        <v>133</v>
      </c>
      <c r="F563" s="113">
        <v>133.4</v>
      </c>
      <c r="G563" s="113">
        <v>127</v>
      </c>
      <c r="H563" s="113">
        <f t="shared" si="61"/>
        <v>35.277777777777779</v>
      </c>
      <c r="I563" s="113">
        <v>13.2</v>
      </c>
      <c r="J563" s="113">
        <v>69.3</v>
      </c>
      <c r="K563" s="113">
        <v>45.8</v>
      </c>
      <c r="L563" s="185"/>
      <c r="M563" s="16">
        <v>560</v>
      </c>
      <c r="N563" s="16">
        <f t="shared" si="63"/>
        <v>2.5725370721917776E-2</v>
      </c>
      <c r="O563" s="16">
        <v>3</v>
      </c>
      <c r="P563" s="16">
        <f t="shared" si="59"/>
        <v>10.596205962059623</v>
      </c>
      <c r="Q563" s="16">
        <f t="shared" si="64"/>
        <v>38.872131749223321</v>
      </c>
      <c r="R563" s="113">
        <f t="shared" si="60"/>
        <v>345.36</v>
      </c>
      <c r="S563" s="16">
        <f>IF(S562=15800,15800,ROUND((((Q563*60)/'Gearing Calculator'!$C$14)*'Track Data'!P563),-2))</f>
        <v>12500</v>
      </c>
      <c r="T563" s="16">
        <f t="shared" si="62"/>
        <v>5.5042805200695346</v>
      </c>
      <c r="U563" s="16">
        <f>IF(AC563=100,Braking!$AG$2354,IF(AC563=50,Braking!$AG$1179,IF(AC563=75,Braking!$AG$1767,0)))</f>
        <v>0</v>
      </c>
      <c r="V563" s="16">
        <f>0.5*'Gearing Calculator'!$C$15*'Gearing Calculator'!$C$20*'Gearing Calculator'!$W$20*('Track Data'!Q563^2)</f>
        <v>159.9287516129948</v>
      </c>
      <c r="W563" s="16">
        <f>('Gearing Calculator'!$U$9*'Track Data'!T563)+'Track Data'!V563</f>
        <v>1625.1682260555049</v>
      </c>
      <c r="X563" s="16">
        <f>('Gearing Calculator'!$U$9*9.81)*('Gearing Calculator'!$U$16/'Gearing Calculator'!$C$7)-(('Track Data'!W563)*('Gearing Calculator'!$U$17/'Gearing Calculator'!$C$7))</f>
        <v>515.33462799461302</v>
      </c>
      <c r="Y563" s="16">
        <f>('Gearing Calculator'!$U$9*9.81)*(('Gearing Calculator'!$C$7-'Gearing Calculator'!$U$16)/'Gearing Calculator'!$C$7)+(('Track Data'!W563)*('Gearing Calculator'!$U$17/'Gearing Calculator'!$C$7))</f>
        <v>2096.0873720053869</v>
      </c>
      <c r="Z563" s="16">
        <f>((X563*COS('Gearing Calculator'!$C$21))/'Gearing Calculator'!$C$22)/2</f>
        <v>15.932516833027373</v>
      </c>
      <c r="AA563" s="16">
        <f>Y563/'Gearing Calculator'!$C$24</f>
        <v>29.268410087056608</v>
      </c>
      <c r="AB563" s="16">
        <f t="shared" si="58"/>
        <v>176.44159317320342</v>
      </c>
      <c r="AC563" s="16">
        <v>0</v>
      </c>
      <c r="AD563" s="16">
        <v>0</v>
      </c>
      <c r="AE563" s="16">
        <v>560</v>
      </c>
      <c r="AF563" s="16">
        <f>IF(AC563=0,IF(O563=6,INDEX(Acceleration!$V$4:$V$110,MATCH('Track Data'!S563,Acceleration!$K$4:$K$110,0)),IF('Track Data'!O563=5,INDEX(Acceleration!$U$4:$U$110,MATCH('Track Data'!S563,Acceleration!$K$4:$K$110,0)),1)),U563)</f>
        <v>1</v>
      </c>
      <c r="AG563" s="16">
        <f>IF(AC563=0,IF(O563=4,INDEX(Acceleration!$T$4:$T$110,MATCH('Track Data'!S563,Acceleration!$K$4:$K$110,0)),IF('Track Data'!O563=3,INDEX(Acceleration!$S$4:$S$110,MATCH('Track Data'!S563,Acceleration!$K$4:$K$110,0)),'Track Data'!AF563)),'Track Data'!U563)</f>
        <v>5.5042805200695346</v>
      </c>
      <c r="AH563" s="16">
        <f>IF(AC563=0,IF(O563=2,INDEX(Acceleration!$R$4:$R$110,MATCH('Track Data'!S563,Acceleration!$K$4:$K$110,0)),IF('Track Data'!O563=1,INDEX(Acceleration!$Q$4:$Q$110,MATCH('Track Data'!S563,Acceleration!$K$4:$K$110,0)),'Track Data'!AG563)),'Track Data'!U563)</f>
        <v>5.5042805200695346</v>
      </c>
    </row>
    <row r="564" spans="2:34" x14ac:dyDescent="0.25">
      <c r="B564" s="16">
        <v>213.13499999999999</v>
      </c>
      <c r="C564" s="16">
        <v>7834</v>
      </c>
      <c r="D564" s="16">
        <v>561</v>
      </c>
      <c r="E564" s="113">
        <v>133</v>
      </c>
      <c r="F564" s="113">
        <v>133.1</v>
      </c>
      <c r="G564" s="113">
        <v>126.6</v>
      </c>
      <c r="H564" s="113">
        <f t="shared" si="61"/>
        <v>35.166666666666664</v>
      </c>
      <c r="I564" s="113">
        <v>13.1</v>
      </c>
      <c r="J564" s="113">
        <v>68.959999999999994</v>
      </c>
      <c r="K564" s="113">
        <v>42.9</v>
      </c>
      <c r="L564" s="185"/>
      <c r="M564" s="16">
        <v>561</v>
      </c>
      <c r="N564" s="16">
        <f t="shared" si="63"/>
        <v>2.5632169766743835E-2</v>
      </c>
      <c r="O564" s="16">
        <v>3</v>
      </c>
      <c r="P564" s="16">
        <f t="shared" si="59"/>
        <v>10.596205962059623</v>
      </c>
      <c r="Q564" s="16">
        <f t="shared" si="64"/>
        <v>39.013474438572054</v>
      </c>
      <c r="R564" s="113">
        <f t="shared" si="60"/>
        <v>345.36</v>
      </c>
      <c r="S564" s="16">
        <f>IF(S563=15800,15800,ROUND((((Q564*60)/'Gearing Calculator'!$C$14)*'Track Data'!P564),-2))</f>
        <v>12500</v>
      </c>
      <c r="T564" s="16">
        <f t="shared" si="62"/>
        <v>5.5042805200695346</v>
      </c>
      <c r="U564" s="16">
        <f>IF(AC564=100,Braking!$AG$2354,IF(AC564=50,Braking!$AG$1179,IF(AC564=75,Braking!$AG$1767,0)))</f>
        <v>0</v>
      </c>
      <c r="V564" s="16">
        <f>0.5*'Gearing Calculator'!$C$15*'Gearing Calculator'!$C$20*'Gearing Calculator'!$W$20*('Track Data'!Q564^2)</f>
        <v>161.09389771348313</v>
      </c>
      <c r="W564" s="16">
        <f>('Gearing Calculator'!$U$9*'Track Data'!T564)+'Track Data'!V564</f>
        <v>1626.3333721559932</v>
      </c>
      <c r="X564" s="16">
        <f>('Gearing Calculator'!$U$9*9.81)*('Gearing Calculator'!$U$16/'Gearing Calculator'!$C$7)-(('Track Data'!W564)*('Gearing Calculator'!$U$17/'Gearing Calculator'!$C$7))</f>
        <v>514.69954379767012</v>
      </c>
      <c r="Y564" s="16">
        <f>('Gearing Calculator'!$U$9*9.81)*(('Gearing Calculator'!$C$7-'Gearing Calculator'!$U$16)/'Gearing Calculator'!$C$7)+(('Track Data'!W564)*('Gearing Calculator'!$U$17/'Gearing Calculator'!$C$7))</f>
        <v>2096.7224562023298</v>
      </c>
      <c r="Z564" s="16">
        <f>((X564*COS('Gearing Calculator'!$C$21))/'Gearing Calculator'!$C$22)/2</f>
        <v>15.912882038258083</v>
      </c>
      <c r="AA564" s="16">
        <f>Y564/'Gearing Calculator'!$C$24</f>
        <v>29.277277992547663</v>
      </c>
      <c r="AB564" s="16">
        <f t="shared" si="58"/>
        <v>177.60673927369174</v>
      </c>
      <c r="AC564" s="16">
        <v>0</v>
      </c>
      <c r="AD564" s="16">
        <v>0</v>
      </c>
      <c r="AE564" s="16">
        <v>561</v>
      </c>
      <c r="AF564" s="16">
        <f>IF(AC564=0,IF(O564=6,INDEX(Acceleration!$V$4:$V$110,MATCH('Track Data'!S564,Acceleration!$K$4:$K$110,0)),IF('Track Data'!O564=5,INDEX(Acceleration!$U$4:$U$110,MATCH('Track Data'!S564,Acceleration!$K$4:$K$110,0)),1)),U564)</f>
        <v>1</v>
      </c>
      <c r="AG564" s="16">
        <f>IF(AC564=0,IF(O564=4,INDEX(Acceleration!$T$4:$T$110,MATCH('Track Data'!S564,Acceleration!$K$4:$K$110,0)),IF('Track Data'!O564=3,INDEX(Acceleration!$S$4:$S$110,MATCH('Track Data'!S564,Acceleration!$K$4:$K$110,0)),'Track Data'!AF564)),'Track Data'!U564)</f>
        <v>5.5042805200695346</v>
      </c>
      <c r="AH564" s="16">
        <f>IF(AC564=0,IF(O564=2,INDEX(Acceleration!$R$4:$R$110,MATCH('Track Data'!S564,Acceleration!$K$4:$K$110,0)),IF('Track Data'!O564=1,INDEX(Acceleration!$Q$4:$Q$110,MATCH('Track Data'!S564,Acceleration!$K$4:$K$110,0)),'Track Data'!AG564)),'Track Data'!U564)</f>
        <v>5.5042805200695346</v>
      </c>
    </row>
    <row r="565" spans="2:34" x14ac:dyDescent="0.25">
      <c r="B565" s="16">
        <v>213.16200000000001</v>
      </c>
      <c r="C565" s="16">
        <v>7835</v>
      </c>
      <c r="D565" s="16">
        <v>562</v>
      </c>
      <c r="E565" s="113">
        <v>133</v>
      </c>
      <c r="F565" s="113">
        <v>132.80000000000001</v>
      </c>
      <c r="G565" s="113">
        <v>126.2</v>
      </c>
      <c r="H565" s="113">
        <f t="shared" si="61"/>
        <v>35.055555555555557</v>
      </c>
      <c r="I565" s="113">
        <v>12.9</v>
      </c>
      <c r="J565" s="113">
        <v>70.38</v>
      </c>
      <c r="K565" s="113">
        <v>33.799999999999997</v>
      </c>
      <c r="L565" s="185"/>
      <c r="M565" s="16">
        <v>562</v>
      </c>
      <c r="N565" s="16">
        <f t="shared" si="63"/>
        <v>2.5539974505417819E-2</v>
      </c>
      <c r="O565" s="16">
        <v>3</v>
      </c>
      <c r="P565" s="16">
        <f t="shared" si="59"/>
        <v>10.596205962059623</v>
      </c>
      <c r="Q565" s="16">
        <f t="shared" si="64"/>
        <v>39.154306899870598</v>
      </c>
      <c r="R565" s="113">
        <f t="shared" si="60"/>
        <v>345.36</v>
      </c>
      <c r="S565" s="16">
        <f>IF(S564=15800,15800,ROUND((((Q565*60)/'Gearing Calculator'!$C$14)*'Track Data'!P565),-2))</f>
        <v>12600</v>
      </c>
      <c r="T565" s="16">
        <f t="shared" si="62"/>
        <v>5.5066945286901348</v>
      </c>
      <c r="U565" s="16">
        <f>IF(AC565=100,Braking!$AG$2354,IF(AC565=50,Braking!$AG$1179,IF(AC565=75,Braking!$AG$1767,0)))</f>
        <v>0</v>
      </c>
      <c r="V565" s="16">
        <f>0.5*'Gearing Calculator'!$C$15*'Gearing Calculator'!$C$20*'Gearing Calculator'!$W$20*('Track Data'!Q565^2)</f>
        <v>162.25904381397146</v>
      </c>
      <c r="W565" s="16">
        <f>('Gearing Calculator'!$U$9*'Track Data'!T565)+'Track Data'!V565</f>
        <v>1628.1411273512851</v>
      </c>
      <c r="X565" s="16">
        <f>('Gearing Calculator'!$U$9*9.81)*('Gearing Calculator'!$U$16/'Gearing Calculator'!$C$7)-(('Track Data'!W565)*('Gearing Calculator'!$U$17/'Gearing Calculator'!$C$7))</f>
        <v>513.71419375788503</v>
      </c>
      <c r="Y565" s="16">
        <f>('Gearing Calculator'!$U$9*9.81)*(('Gearing Calculator'!$C$7-'Gearing Calculator'!$U$16)/'Gearing Calculator'!$C$7)+(('Track Data'!W565)*('Gearing Calculator'!$U$17/'Gearing Calculator'!$C$7))</f>
        <v>2097.7078062421151</v>
      </c>
      <c r="Z565" s="16">
        <f>((X565*COS('Gearing Calculator'!$C$21))/'Gearing Calculator'!$C$22)/2</f>
        <v>15.882418131424592</v>
      </c>
      <c r="AA565" s="16">
        <f>Y565/'Gearing Calculator'!$C$24</f>
        <v>29.291036784012611</v>
      </c>
      <c r="AB565" s="16">
        <f t="shared" si="58"/>
        <v>178.77912740004186</v>
      </c>
      <c r="AC565" s="16">
        <v>0</v>
      </c>
      <c r="AD565" s="16">
        <v>0</v>
      </c>
      <c r="AE565" s="16">
        <v>562</v>
      </c>
      <c r="AF565" s="16">
        <f>IF(AC565=0,IF(O565=6,INDEX(Acceleration!$V$4:$V$110,MATCH('Track Data'!S565,Acceleration!$K$4:$K$110,0)),IF('Track Data'!O565=5,INDEX(Acceleration!$U$4:$U$110,MATCH('Track Data'!S565,Acceleration!$K$4:$K$110,0)),1)),U565)</f>
        <v>1</v>
      </c>
      <c r="AG565" s="16">
        <f>IF(AC565=0,IF(O565=4,INDEX(Acceleration!$T$4:$T$110,MATCH('Track Data'!S565,Acceleration!$K$4:$K$110,0)),IF('Track Data'!O565=3,INDEX(Acceleration!$S$4:$S$110,MATCH('Track Data'!S565,Acceleration!$K$4:$K$110,0)),'Track Data'!AF565)),'Track Data'!U565)</f>
        <v>5.5066945286901348</v>
      </c>
      <c r="AH565" s="16">
        <f>IF(AC565=0,IF(O565=2,INDEX(Acceleration!$R$4:$R$110,MATCH('Track Data'!S565,Acceleration!$K$4:$K$110,0)),IF('Track Data'!O565=1,INDEX(Acceleration!$Q$4:$Q$110,MATCH('Track Data'!S565,Acceleration!$K$4:$K$110,0)),'Track Data'!AG565)),'Track Data'!U565)</f>
        <v>5.5066945286901348</v>
      </c>
    </row>
    <row r="566" spans="2:34" x14ac:dyDescent="0.25">
      <c r="B566" s="16">
        <v>213.18899999999999</v>
      </c>
      <c r="C566" s="16">
        <v>7836</v>
      </c>
      <c r="D566" s="16">
        <v>563</v>
      </c>
      <c r="E566" s="113">
        <v>133</v>
      </c>
      <c r="F566" s="113">
        <v>132.4</v>
      </c>
      <c r="G566" s="113">
        <v>125.9</v>
      </c>
      <c r="H566" s="113">
        <f t="shared" si="61"/>
        <v>34.972222222222221</v>
      </c>
      <c r="I566" s="113">
        <v>13.8</v>
      </c>
      <c r="J566" s="113">
        <v>69.540000000000006</v>
      </c>
      <c r="K566" s="113">
        <v>27.7</v>
      </c>
      <c r="L566" s="185"/>
      <c r="M566" s="16">
        <v>563</v>
      </c>
      <c r="N566" s="16">
        <f t="shared" si="63"/>
        <v>2.5448727193646242E-2</v>
      </c>
      <c r="O566" s="16">
        <v>3</v>
      </c>
      <c r="P566" s="16">
        <f t="shared" si="59"/>
        <v>10.596205962059623</v>
      </c>
      <c r="Q566" s="16">
        <f t="shared" si="64"/>
        <v>39.294696052605296</v>
      </c>
      <c r="R566" s="113">
        <f t="shared" si="60"/>
        <v>345.36</v>
      </c>
      <c r="S566" s="16">
        <f>IF(S565=15800,15800,ROUND((((Q566*60)/'Gearing Calculator'!$C$14)*'Track Data'!P566),-2))</f>
        <v>12600</v>
      </c>
      <c r="T566" s="16">
        <f t="shared" si="62"/>
        <v>5.5066945286901348</v>
      </c>
      <c r="U566" s="16">
        <f>IF(AC566=100,Braking!$AG$2354,IF(AC566=50,Braking!$AG$1179,IF(AC566=75,Braking!$AG$1767,0)))</f>
        <v>0</v>
      </c>
      <c r="V566" s="16">
        <f>0.5*'Gearing Calculator'!$C$15*'Gearing Calculator'!$C$20*'Gearing Calculator'!$W$20*('Track Data'!Q566^2)</f>
        <v>163.42470091180454</v>
      </c>
      <c r="W566" s="16">
        <f>('Gearing Calculator'!$U$9*'Track Data'!T566)+'Track Data'!V566</f>
        <v>1629.3067844491184</v>
      </c>
      <c r="X566" s="16">
        <f>('Gearing Calculator'!$U$9*9.81)*('Gearing Calculator'!$U$16/'Gearing Calculator'!$C$7)-(('Track Data'!W566)*('Gearing Calculator'!$U$17/'Gearing Calculator'!$C$7))</f>
        <v>513.07883103249117</v>
      </c>
      <c r="Y566" s="16">
        <f>('Gearing Calculator'!$U$9*9.81)*(('Gearing Calculator'!$C$7-'Gearing Calculator'!$U$16)/'Gearing Calculator'!$C$7)+(('Track Data'!W566)*('Gearing Calculator'!$U$17/'Gearing Calculator'!$C$7))</f>
        <v>2098.343168967509</v>
      </c>
      <c r="Z566" s="16">
        <f>((X566*COS('Gearing Calculator'!$C$21))/'Gearing Calculator'!$C$22)/2</f>
        <v>15.862774725436507</v>
      </c>
      <c r="AA566" s="16">
        <f>Y566/'Gearing Calculator'!$C$24</f>
        <v>29.299908578695039</v>
      </c>
      <c r="AB566" s="16">
        <f t="shared" ref="AB566:AB629" si="65">(T566*O566)+V566</f>
        <v>179.94478449787493</v>
      </c>
      <c r="AC566" s="16">
        <v>0</v>
      </c>
      <c r="AD566" s="16">
        <v>0</v>
      </c>
      <c r="AE566" s="16">
        <v>563</v>
      </c>
      <c r="AF566" s="16">
        <f>IF(AC566=0,IF(O566=6,INDEX(Acceleration!$V$4:$V$110,MATCH('Track Data'!S566,Acceleration!$K$4:$K$110,0)),IF('Track Data'!O566=5,INDEX(Acceleration!$U$4:$U$110,MATCH('Track Data'!S566,Acceleration!$K$4:$K$110,0)),1)),U566)</f>
        <v>1</v>
      </c>
      <c r="AG566" s="16">
        <f>IF(AC566=0,IF(O566=4,INDEX(Acceleration!$T$4:$T$110,MATCH('Track Data'!S566,Acceleration!$K$4:$K$110,0)),IF('Track Data'!O566=3,INDEX(Acceleration!$S$4:$S$110,MATCH('Track Data'!S566,Acceleration!$K$4:$K$110,0)),'Track Data'!AF566)),'Track Data'!U566)</f>
        <v>5.5066945286901348</v>
      </c>
      <c r="AH566" s="16">
        <f>IF(AC566=0,IF(O566=2,INDEX(Acceleration!$R$4:$R$110,MATCH('Track Data'!S566,Acceleration!$K$4:$K$110,0)),IF('Track Data'!O566=1,INDEX(Acceleration!$Q$4:$Q$110,MATCH('Track Data'!S566,Acceleration!$K$4:$K$110,0)),'Track Data'!AG566)),'Track Data'!U566)</f>
        <v>5.5066945286901348</v>
      </c>
    </row>
    <row r="567" spans="2:34" ht="15.75" thickBot="1" x14ac:dyDescent="0.3">
      <c r="B567" s="16">
        <v>213.21600000000001</v>
      </c>
      <c r="C567" s="16">
        <v>7837</v>
      </c>
      <c r="D567" s="16">
        <v>564</v>
      </c>
      <c r="E567" s="113">
        <v>133</v>
      </c>
      <c r="F567" s="113">
        <v>131.9</v>
      </c>
      <c r="G567" s="113">
        <v>125.5</v>
      </c>
      <c r="H567" s="113">
        <f t="shared" si="61"/>
        <v>34.861111111111107</v>
      </c>
      <c r="I567" s="113">
        <v>14.1</v>
      </c>
      <c r="J567" s="113">
        <v>70.2</v>
      </c>
      <c r="K567" s="113">
        <v>25.9</v>
      </c>
      <c r="L567" s="185"/>
      <c r="M567" s="16">
        <v>564</v>
      </c>
      <c r="N567" s="16">
        <f t="shared" si="63"/>
        <v>2.5358450949931072E-2</v>
      </c>
      <c r="O567" s="16">
        <v>3</v>
      </c>
      <c r="P567" s="16">
        <f t="shared" si="59"/>
        <v>10.596205962059623</v>
      </c>
      <c r="Q567" s="16">
        <f t="shared" si="64"/>
        <v>39.434585415901289</v>
      </c>
      <c r="R567" s="113">
        <f t="shared" si="60"/>
        <v>345.36</v>
      </c>
      <c r="S567" s="16">
        <f>IF(S566=15800,15800,ROUND((((Q567*60)/'Gearing Calculator'!$C$14)*'Track Data'!P567),-2))</f>
        <v>12700</v>
      </c>
      <c r="T567" s="16">
        <f t="shared" si="62"/>
        <v>5.5089295873629895</v>
      </c>
      <c r="U567" s="16">
        <f>IF(AC567=100,Braking!$AG$2354,IF(AC567=50,Braking!$AG$1179,IF(AC567=75,Braking!$AG$1767,0)))</f>
        <v>0</v>
      </c>
      <c r="V567" s="16">
        <f>0.5*'Gearing Calculator'!$C$15*'Gearing Calculator'!$C$20*'Gearing Calculator'!$W$20*('Track Data'!Q567^2)</f>
        <v>164.5903580096377</v>
      </c>
      <c r="W567" s="16">
        <f>('Gearing Calculator'!$U$9*'Track Data'!T567)+'Track Data'!V567</f>
        <v>1631.0674141656655</v>
      </c>
      <c r="X567" s="16">
        <f>('Gearing Calculator'!$U$9*9.81)*('Gearing Calculator'!$U$16/'Gearing Calculator'!$C$7)-(('Track Data'!W567)*('Gearing Calculator'!$U$17/'Gearing Calculator'!$C$7))</f>
        <v>512.11916759699693</v>
      </c>
      <c r="Y567" s="16">
        <f>('Gearing Calculator'!$U$9*9.81)*(('Gearing Calculator'!$C$7-'Gearing Calculator'!$U$16)/'Gearing Calculator'!$C$7)+(('Track Data'!W567)*('Gearing Calculator'!$U$17/'Gearing Calculator'!$C$7))</f>
        <v>2099.3028324030029</v>
      </c>
      <c r="Z567" s="16">
        <f>((X567*COS('Gearing Calculator'!$C$21))/'Gearing Calculator'!$C$22)/2</f>
        <v>15.833104967167882</v>
      </c>
      <c r="AA567" s="16">
        <f>Y567/'Gearing Calculator'!$C$24</f>
        <v>29.313308699010022</v>
      </c>
      <c r="AB567" s="16">
        <f t="shared" si="65"/>
        <v>181.11714677172665</v>
      </c>
      <c r="AC567" s="16">
        <v>0</v>
      </c>
      <c r="AD567" s="16">
        <v>0</v>
      </c>
      <c r="AE567" s="16">
        <v>564</v>
      </c>
      <c r="AF567" s="16">
        <f>IF(AC567=0,IF(O567=6,INDEX(Acceleration!$V$4:$V$110,MATCH('Track Data'!S567,Acceleration!$K$4:$K$110,0)),IF('Track Data'!O567=5,INDEX(Acceleration!$U$4:$U$110,MATCH('Track Data'!S567,Acceleration!$K$4:$K$110,0)),1)),U567)</f>
        <v>1</v>
      </c>
      <c r="AG567" s="16">
        <f>IF(AC567=0,IF(O567=4,INDEX(Acceleration!$T$4:$T$110,MATCH('Track Data'!S567,Acceleration!$K$4:$K$110,0)),IF('Track Data'!O567=3,INDEX(Acceleration!$S$4:$S$110,MATCH('Track Data'!S567,Acceleration!$K$4:$K$110,0)),'Track Data'!AF567)),'Track Data'!U567)</f>
        <v>5.5089295873629895</v>
      </c>
      <c r="AH567" s="16">
        <f>IF(AC567=0,IF(O567=2,INDEX(Acceleration!$R$4:$R$110,MATCH('Track Data'!S567,Acceleration!$K$4:$K$110,0)),IF('Track Data'!O567=1,INDEX(Acceleration!$Q$4:$Q$110,MATCH('Track Data'!S567,Acceleration!$K$4:$K$110,0)),'Track Data'!AG567)),'Track Data'!U567)</f>
        <v>5.5089295873629895</v>
      </c>
    </row>
    <row r="568" spans="2:34" x14ac:dyDescent="0.25">
      <c r="B568" s="16">
        <v>213.24299999999999</v>
      </c>
      <c r="C568" s="16">
        <v>7838</v>
      </c>
      <c r="D568" s="16">
        <v>565</v>
      </c>
      <c r="E568" s="113">
        <v>132</v>
      </c>
      <c r="F568" s="113">
        <v>131.6</v>
      </c>
      <c r="G568" s="113">
        <v>125.1</v>
      </c>
      <c r="H568" s="113">
        <f t="shared" si="61"/>
        <v>34.75</v>
      </c>
      <c r="I568" s="113">
        <v>14.1</v>
      </c>
      <c r="J568" s="113">
        <v>67.400000000000006</v>
      </c>
      <c r="K568" s="113">
        <v>32.5</v>
      </c>
      <c r="L568" s="182" t="s">
        <v>189</v>
      </c>
      <c r="M568" s="16">
        <v>565</v>
      </c>
      <c r="N568" s="16">
        <f t="shared" si="63"/>
        <v>2.5269092609066537E-2</v>
      </c>
      <c r="O568" s="16">
        <v>3</v>
      </c>
      <c r="P568" s="16">
        <f t="shared" si="59"/>
        <v>10.596205962059623</v>
      </c>
      <c r="Q568" s="134">
        <f t="shared" si="64"/>
        <v>39.574036767794368</v>
      </c>
      <c r="R568" s="113">
        <f t="shared" si="60"/>
        <v>345.36</v>
      </c>
      <c r="S568" s="16">
        <f>IF(S567=15800,15800,ROUND((((Q568*60)/'Gearing Calculator'!$C$14)*'Track Data'!P568),-2))</f>
        <v>12700</v>
      </c>
      <c r="T568" s="16">
        <f t="shared" si="62"/>
        <v>5.5089295873629895</v>
      </c>
      <c r="U568" s="16">
        <f>IF(AC568=100,Braking!$AG$2354,IF(AC568=50,Braking!$AG$1179,IF(AC568=75,Braking!$AG$1767,0)))</f>
        <v>0</v>
      </c>
      <c r="V568" s="16">
        <f>0.5*'Gearing Calculator'!$C$15*'Gearing Calculator'!$C$20*'Gearing Calculator'!$W$20*('Track Data'!Q568^2)</f>
        <v>165.75648822469066</v>
      </c>
      <c r="W568" s="16">
        <f>('Gearing Calculator'!$U$9*'Track Data'!T568)+'Track Data'!V568</f>
        <v>1632.2335443807185</v>
      </c>
      <c r="X568" s="16">
        <f>('Gearing Calculator'!$U$9*9.81)*('Gearing Calculator'!$U$16/'Gearing Calculator'!$C$7)-(('Track Data'!W568)*('Gearing Calculator'!$U$17/'Gearing Calculator'!$C$7))</f>
        <v>511.48354699040738</v>
      </c>
      <c r="Y568" s="16">
        <f>('Gearing Calculator'!$U$9*9.81)*(('Gearing Calculator'!$C$7-'Gearing Calculator'!$U$16)/'Gearing Calculator'!$C$7)+(('Track Data'!W568)*('Gearing Calculator'!$U$17/'Gearing Calculator'!$C$7))</f>
        <v>2099.9384530095926</v>
      </c>
      <c r="Z568" s="16">
        <f>((X568*COS('Gearing Calculator'!$C$21))/'Gearing Calculator'!$C$22)/2</f>
        <v>15.813453588308835</v>
      </c>
      <c r="AA568" s="16">
        <f>Y568/'Gearing Calculator'!$C$24</f>
        <v>29.322184094578887</v>
      </c>
      <c r="AB568" s="16">
        <f t="shared" si="65"/>
        <v>182.28327698677964</v>
      </c>
      <c r="AC568" s="16">
        <v>0</v>
      </c>
      <c r="AD568" s="16">
        <v>51.415226335993168</v>
      </c>
      <c r="AE568" s="16">
        <v>565</v>
      </c>
      <c r="AF568" s="16">
        <f>IF(AC568=0,IF(O568=6,INDEX(Acceleration!$V$4:$V$110,MATCH('Track Data'!S568,Acceleration!$K$4:$K$110,0)),IF('Track Data'!O568=5,INDEX(Acceleration!$U$4:$U$110,MATCH('Track Data'!S568,Acceleration!$K$4:$K$110,0)),1)),U568)</f>
        <v>1</v>
      </c>
      <c r="AG568" s="16">
        <f>IF(AC568=0,IF(O568=4,INDEX(Acceleration!$T$4:$T$110,MATCH('Track Data'!S568,Acceleration!$K$4:$K$110,0)),IF('Track Data'!O568=3,INDEX(Acceleration!$S$4:$S$110,MATCH('Track Data'!S568,Acceleration!$K$4:$K$110,0)),'Track Data'!AF568)),'Track Data'!U568)</f>
        <v>5.5089295873629895</v>
      </c>
      <c r="AH568" s="16">
        <f>IF(AC568=0,IF(O568=2,INDEX(Acceleration!$R$4:$R$110,MATCH('Track Data'!S568,Acceleration!$K$4:$K$110,0)),IF('Track Data'!O568=1,INDEX(Acceleration!$Q$4:$Q$110,MATCH('Track Data'!S568,Acceleration!$K$4:$K$110,0)),'Track Data'!AG568)),'Track Data'!U568)</f>
        <v>5.5089295873629895</v>
      </c>
    </row>
    <row r="569" spans="2:34" x14ac:dyDescent="0.25">
      <c r="B569" s="16">
        <v>213.27099999999999</v>
      </c>
      <c r="C569" s="16">
        <v>7839</v>
      </c>
      <c r="D569" s="16">
        <v>566</v>
      </c>
      <c r="E569" s="113">
        <v>132</v>
      </c>
      <c r="F569" s="113">
        <v>131.69999999999999</v>
      </c>
      <c r="G569" s="113">
        <v>124.6</v>
      </c>
      <c r="H569" s="113">
        <f t="shared" si="61"/>
        <v>34.611111111111107</v>
      </c>
      <c r="I569" s="113">
        <v>13.3</v>
      </c>
      <c r="J569" s="113">
        <v>63.9</v>
      </c>
      <c r="K569" s="113">
        <v>39.1</v>
      </c>
      <c r="L569" s="183"/>
      <c r="M569" s="16">
        <v>566</v>
      </c>
      <c r="N569" s="16">
        <f t="shared" si="63"/>
        <v>2.5269092609066537E-2</v>
      </c>
      <c r="O569" s="16">
        <v>3</v>
      </c>
      <c r="P569" s="16">
        <f t="shared" si="59"/>
        <v>10.596205962059623</v>
      </c>
      <c r="Q569" s="16">
        <f t="shared" si="64"/>
        <v>39.574036767794368</v>
      </c>
      <c r="R569" s="113">
        <f t="shared" si="60"/>
        <v>345.36</v>
      </c>
      <c r="S569" s="16">
        <f>IF(S568=15800,15800,ROUND((((Q569*60)/'Gearing Calculator'!$C$14)*'Track Data'!P569),-2))</f>
        <v>12700</v>
      </c>
      <c r="T569" s="16">
        <f t="shared" si="62"/>
        <v>5.5089295873629895</v>
      </c>
      <c r="U569" s="16">
        <f>IF(AC569=100,Braking!$AG$2354,IF(AC569=50,Braking!$AG$1179,IF(AC569=75,Braking!$AG$1767,0)))</f>
        <v>0</v>
      </c>
      <c r="V569" s="16">
        <f>0.5*'Gearing Calculator'!$C$15*'Gearing Calculator'!$C$20*'Gearing Calculator'!$W$20*('Track Data'!Q569^2)</f>
        <v>165.75648822469066</v>
      </c>
      <c r="W569" s="16">
        <f>('Gearing Calculator'!$U$9*'Track Data'!T569)+'Track Data'!V569</f>
        <v>1632.2335443807185</v>
      </c>
      <c r="X569" s="16">
        <f>('Gearing Calculator'!$U$9*9.81)*('Gearing Calculator'!$U$16/'Gearing Calculator'!$C$7)-(('Track Data'!W569)*('Gearing Calculator'!$U$17/'Gearing Calculator'!$C$7))</f>
        <v>511.48354699040738</v>
      </c>
      <c r="Y569" s="16">
        <f>('Gearing Calculator'!$U$9*9.81)*(('Gearing Calculator'!$C$7-'Gearing Calculator'!$U$16)/'Gearing Calculator'!$C$7)+(('Track Data'!W569)*('Gearing Calculator'!$U$17/'Gearing Calculator'!$C$7))</f>
        <v>2099.9384530095926</v>
      </c>
      <c r="Z569" s="16">
        <f>((X569*COS('Gearing Calculator'!$C$21))/'Gearing Calculator'!$C$22)/2</f>
        <v>15.813453588308835</v>
      </c>
      <c r="AA569" s="16">
        <f>Y569/'Gearing Calculator'!$C$24</f>
        <v>29.322184094578887</v>
      </c>
      <c r="AB569" s="16">
        <f t="shared" si="65"/>
        <v>182.28327698677964</v>
      </c>
      <c r="AC569" s="16">
        <v>0</v>
      </c>
      <c r="AD569" s="16">
        <v>51.415226335993168</v>
      </c>
      <c r="AE569" s="16">
        <v>566</v>
      </c>
      <c r="AF569" s="16">
        <f>IF(AC569=0,IF(O569=6,INDEX(Acceleration!$V$4:$V$110,MATCH('Track Data'!S569,Acceleration!$K$4:$K$110,0)),IF('Track Data'!O569=5,INDEX(Acceleration!$U$4:$U$110,MATCH('Track Data'!S569,Acceleration!$K$4:$K$110,0)),1)),U569)</f>
        <v>1</v>
      </c>
      <c r="AG569" s="16">
        <f>IF(AC569=0,IF(O569=4,INDEX(Acceleration!$T$4:$T$110,MATCH('Track Data'!S569,Acceleration!$K$4:$K$110,0)),IF('Track Data'!O569=3,INDEX(Acceleration!$S$4:$S$110,MATCH('Track Data'!S569,Acceleration!$K$4:$K$110,0)),'Track Data'!AF569)),'Track Data'!U569)</f>
        <v>5.5089295873629895</v>
      </c>
      <c r="AH569" s="16">
        <f>IF(AC569=0,IF(O569=2,INDEX(Acceleration!$R$4:$R$110,MATCH('Track Data'!S569,Acceleration!$K$4:$K$110,0)),IF('Track Data'!O569=1,INDEX(Acceleration!$Q$4:$Q$110,MATCH('Track Data'!S569,Acceleration!$K$4:$K$110,0)),'Track Data'!AG569)),'Track Data'!U569)</f>
        <v>5.5089295873629895</v>
      </c>
    </row>
    <row r="570" spans="2:34" x14ac:dyDescent="0.25">
      <c r="B570" s="16">
        <v>213.298</v>
      </c>
      <c r="C570" s="16">
        <v>7840</v>
      </c>
      <c r="D570" s="16">
        <v>567</v>
      </c>
      <c r="E570" s="113">
        <v>132</v>
      </c>
      <c r="F570" s="113">
        <v>131.5</v>
      </c>
      <c r="G570" s="113">
        <v>124.2</v>
      </c>
      <c r="H570" s="113">
        <f t="shared" si="61"/>
        <v>34.5</v>
      </c>
      <c r="I570" s="113">
        <v>10.7</v>
      </c>
      <c r="J570" s="113">
        <v>64.099999999999994</v>
      </c>
      <c r="K570" s="113">
        <v>40.4</v>
      </c>
      <c r="L570" s="183"/>
      <c r="M570" s="16">
        <v>567</v>
      </c>
      <c r="N570" s="16">
        <f t="shared" si="63"/>
        <v>2.5269092609066537E-2</v>
      </c>
      <c r="O570" s="16">
        <v>3</v>
      </c>
      <c r="P570" s="16">
        <f t="shared" si="59"/>
        <v>10.596205962059623</v>
      </c>
      <c r="Q570" s="16">
        <f t="shared" si="64"/>
        <v>39.574036767794368</v>
      </c>
      <c r="R570" s="113">
        <f t="shared" si="60"/>
        <v>345.36</v>
      </c>
      <c r="S570" s="16">
        <f>IF(S569=15800,15800,ROUND((((Q570*60)/'Gearing Calculator'!$C$14)*'Track Data'!P570),-2))</f>
        <v>12700</v>
      </c>
      <c r="T570" s="16">
        <f t="shared" si="62"/>
        <v>5.5089295873629895</v>
      </c>
      <c r="U570" s="16">
        <f>IF(AC570=100,Braking!$AG$2354,IF(AC570=50,Braking!$AG$1179,IF(AC570=75,Braking!$AG$1767,0)))</f>
        <v>0</v>
      </c>
      <c r="V570" s="16">
        <f>0.5*'Gearing Calculator'!$C$15*'Gearing Calculator'!$C$20*'Gearing Calculator'!$W$20*('Track Data'!Q570^2)</f>
        <v>165.75648822469066</v>
      </c>
      <c r="W570" s="16">
        <f>('Gearing Calculator'!$U$9*'Track Data'!T570)+'Track Data'!V570</f>
        <v>1632.2335443807185</v>
      </c>
      <c r="X570" s="16">
        <f>('Gearing Calculator'!$U$9*9.81)*('Gearing Calculator'!$U$16/'Gearing Calculator'!$C$7)-(('Track Data'!W570)*('Gearing Calculator'!$U$17/'Gearing Calculator'!$C$7))</f>
        <v>511.48354699040738</v>
      </c>
      <c r="Y570" s="16">
        <f>('Gearing Calculator'!$U$9*9.81)*(('Gearing Calculator'!$C$7-'Gearing Calculator'!$U$16)/'Gearing Calculator'!$C$7)+(('Track Data'!W570)*('Gearing Calculator'!$U$17/'Gearing Calculator'!$C$7))</f>
        <v>2099.9384530095926</v>
      </c>
      <c r="Z570" s="16">
        <f>((X570*COS('Gearing Calculator'!$C$21))/'Gearing Calculator'!$C$22)/2</f>
        <v>15.813453588308835</v>
      </c>
      <c r="AA570" s="16">
        <f>Y570/'Gearing Calculator'!$C$24</f>
        <v>29.322184094578887</v>
      </c>
      <c r="AB570" s="16">
        <f t="shared" si="65"/>
        <v>182.28327698677964</v>
      </c>
      <c r="AC570" s="16">
        <v>0</v>
      </c>
      <c r="AD570" s="16">
        <v>51.415226335993168</v>
      </c>
      <c r="AE570" s="16">
        <v>567</v>
      </c>
      <c r="AF570" s="16">
        <f>IF(AC570=0,IF(O570=6,INDEX(Acceleration!$V$4:$V$110,MATCH('Track Data'!S570,Acceleration!$K$4:$K$110,0)),IF('Track Data'!O570=5,INDEX(Acceleration!$U$4:$U$110,MATCH('Track Data'!S570,Acceleration!$K$4:$K$110,0)),1)),U570)</f>
        <v>1</v>
      </c>
      <c r="AG570" s="16">
        <f>IF(AC570=0,IF(O570=4,INDEX(Acceleration!$T$4:$T$110,MATCH('Track Data'!S570,Acceleration!$K$4:$K$110,0)),IF('Track Data'!O570=3,INDEX(Acceleration!$S$4:$S$110,MATCH('Track Data'!S570,Acceleration!$K$4:$K$110,0)),'Track Data'!AF570)),'Track Data'!U570)</f>
        <v>5.5089295873629895</v>
      </c>
      <c r="AH570" s="16">
        <f>IF(AC570=0,IF(O570=2,INDEX(Acceleration!$R$4:$R$110,MATCH('Track Data'!S570,Acceleration!$K$4:$K$110,0)),IF('Track Data'!O570=1,INDEX(Acceleration!$Q$4:$Q$110,MATCH('Track Data'!S570,Acceleration!$K$4:$K$110,0)),'Track Data'!AG570)),'Track Data'!U570)</f>
        <v>5.5089295873629895</v>
      </c>
    </row>
    <row r="571" spans="2:34" x14ac:dyDescent="0.25">
      <c r="B571" s="16">
        <v>213.32499999999999</v>
      </c>
      <c r="C571" s="16">
        <v>7841</v>
      </c>
      <c r="D571" s="16">
        <v>568</v>
      </c>
      <c r="E571" s="113">
        <v>131</v>
      </c>
      <c r="F571" s="113">
        <v>131.1</v>
      </c>
      <c r="G571" s="113">
        <v>123.7</v>
      </c>
      <c r="H571" s="113">
        <f t="shared" si="61"/>
        <v>34.361111111111114</v>
      </c>
      <c r="I571" s="113">
        <v>9.4</v>
      </c>
      <c r="J571" s="113">
        <v>60.17</v>
      </c>
      <c r="K571" s="113">
        <v>40.299999999999997</v>
      </c>
      <c r="L571" s="183"/>
      <c r="M571" s="16">
        <v>568</v>
      </c>
      <c r="N571" s="16">
        <f t="shared" si="63"/>
        <v>2.5269092609066537E-2</v>
      </c>
      <c r="O571" s="16">
        <v>3</v>
      </c>
      <c r="P571" s="16">
        <f t="shared" si="59"/>
        <v>10.596205962059623</v>
      </c>
      <c r="Q571" s="16">
        <f t="shared" si="64"/>
        <v>39.574036767794368</v>
      </c>
      <c r="R571" s="113">
        <f t="shared" si="60"/>
        <v>345.36</v>
      </c>
      <c r="S571" s="16">
        <f>IF(S570=15800,15800,ROUND((((Q571*60)/'Gearing Calculator'!$C$14)*'Track Data'!P571),-2))</f>
        <v>12700</v>
      </c>
      <c r="T571" s="16">
        <f t="shared" si="62"/>
        <v>5.5089295873629895</v>
      </c>
      <c r="U571" s="16">
        <f>IF(AC571=100,Braking!$AG$2354,IF(AC571=50,Braking!$AG$1179,IF(AC571=75,Braking!$AG$1767,0)))</f>
        <v>0</v>
      </c>
      <c r="V571" s="16">
        <f>0.5*'Gearing Calculator'!$C$15*'Gearing Calculator'!$C$20*'Gearing Calculator'!$W$20*('Track Data'!Q571^2)</f>
        <v>165.75648822469066</v>
      </c>
      <c r="W571" s="16">
        <f>('Gearing Calculator'!$U$9*'Track Data'!T571)+'Track Data'!V571</f>
        <v>1632.2335443807185</v>
      </c>
      <c r="X571" s="16">
        <f>('Gearing Calculator'!$U$9*9.81)*('Gearing Calculator'!$U$16/'Gearing Calculator'!$C$7)-(('Track Data'!W571)*('Gearing Calculator'!$U$17/'Gearing Calculator'!$C$7))</f>
        <v>511.48354699040738</v>
      </c>
      <c r="Y571" s="16">
        <f>('Gearing Calculator'!$U$9*9.81)*(('Gearing Calculator'!$C$7-'Gearing Calculator'!$U$16)/'Gearing Calculator'!$C$7)+(('Track Data'!W571)*('Gearing Calculator'!$U$17/'Gearing Calculator'!$C$7))</f>
        <v>2099.9384530095926</v>
      </c>
      <c r="Z571" s="16">
        <f>((X571*COS('Gearing Calculator'!$C$21))/'Gearing Calculator'!$C$22)/2</f>
        <v>15.813453588308835</v>
      </c>
      <c r="AA571" s="16">
        <f>Y571/'Gearing Calculator'!$C$24</f>
        <v>29.322184094578887</v>
      </c>
      <c r="AB571" s="16">
        <f t="shared" si="65"/>
        <v>182.28327698677964</v>
      </c>
      <c r="AC571" s="16">
        <v>0</v>
      </c>
      <c r="AD571" s="16">
        <v>51.415226335993168</v>
      </c>
      <c r="AE571" s="16">
        <v>568</v>
      </c>
      <c r="AF571" s="16">
        <f>IF(AC571=0,IF(O571=6,INDEX(Acceleration!$V$4:$V$110,MATCH('Track Data'!S571,Acceleration!$K$4:$K$110,0)),IF('Track Data'!O571=5,INDEX(Acceleration!$U$4:$U$110,MATCH('Track Data'!S571,Acceleration!$K$4:$K$110,0)),1)),U571)</f>
        <v>1</v>
      </c>
      <c r="AG571" s="16">
        <f>IF(AC571=0,IF(O571=4,INDEX(Acceleration!$T$4:$T$110,MATCH('Track Data'!S571,Acceleration!$K$4:$K$110,0)),IF('Track Data'!O571=3,INDEX(Acceleration!$S$4:$S$110,MATCH('Track Data'!S571,Acceleration!$K$4:$K$110,0)),'Track Data'!AF571)),'Track Data'!U571)</f>
        <v>5.5089295873629895</v>
      </c>
      <c r="AH571" s="16">
        <f>IF(AC571=0,IF(O571=2,INDEX(Acceleration!$R$4:$R$110,MATCH('Track Data'!S571,Acceleration!$K$4:$K$110,0)),IF('Track Data'!O571=1,INDEX(Acceleration!$Q$4:$Q$110,MATCH('Track Data'!S571,Acceleration!$K$4:$K$110,0)),'Track Data'!AG571)),'Track Data'!U571)</f>
        <v>5.5089295873629895</v>
      </c>
    </row>
    <row r="572" spans="2:34" x14ac:dyDescent="0.25">
      <c r="B572" s="16">
        <v>213.352</v>
      </c>
      <c r="C572" s="16">
        <v>7842</v>
      </c>
      <c r="D572" s="16">
        <v>569</v>
      </c>
      <c r="E572" s="113">
        <v>131</v>
      </c>
      <c r="F572" s="113">
        <v>130.9</v>
      </c>
      <c r="G572" s="113">
        <v>123.3</v>
      </c>
      <c r="H572" s="113">
        <f t="shared" si="61"/>
        <v>34.25</v>
      </c>
      <c r="I572" s="113">
        <v>9.3000000000000007</v>
      </c>
      <c r="J572" s="113">
        <v>63.97</v>
      </c>
      <c r="K572" s="113">
        <v>40.1</v>
      </c>
      <c r="L572" s="183"/>
      <c r="M572" s="16">
        <v>569</v>
      </c>
      <c r="N572" s="16">
        <f t="shared" si="63"/>
        <v>2.5269092609066537E-2</v>
      </c>
      <c r="O572" s="16">
        <v>3</v>
      </c>
      <c r="P572" s="16">
        <f t="shared" si="59"/>
        <v>10.596205962059623</v>
      </c>
      <c r="Q572" s="16">
        <f t="shared" si="64"/>
        <v>39.574036767794368</v>
      </c>
      <c r="R572" s="113">
        <f t="shared" si="60"/>
        <v>345.36</v>
      </c>
      <c r="S572" s="16">
        <f>IF(S571=15800,15800,ROUND((((Q572*60)/'Gearing Calculator'!$C$14)*'Track Data'!P572),-2))</f>
        <v>12700</v>
      </c>
      <c r="T572" s="16">
        <f t="shared" si="62"/>
        <v>5.5089295873629895</v>
      </c>
      <c r="U572" s="16">
        <f>IF(AC572=100,Braking!$AG$2354,IF(AC572=50,Braking!$AG$1179,IF(AC572=75,Braking!$AG$1767,0)))</f>
        <v>0</v>
      </c>
      <c r="V572" s="16">
        <f>0.5*'Gearing Calculator'!$C$15*'Gearing Calculator'!$C$20*'Gearing Calculator'!$W$20*('Track Data'!Q572^2)</f>
        <v>165.75648822469066</v>
      </c>
      <c r="W572" s="16">
        <f>('Gearing Calculator'!$U$9*'Track Data'!T572)+'Track Data'!V572</f>
        <v>1632.2335443807185</v>
      </c>
      <c r="X572" s="16">
        <f>('Gearing Calculator'!$U$9*9.81)*('Gearing Calculator'!$U$16/'Gearing Calculator'!$C$7)-(('Track Data'!W572)*('Gearing Calculator'!$U$17/'Gearing Calculator'!$C$7))</f>
        <v>511.48354699040738</v>
      </c>
      <c r="Y572" s="16">
        <f>('Gearing Calculator'!$U$9*9.81)*(('Gearing Calculator'!$C$7-'Gearing Calculator'!$U$16)/'Gearing Calculator'!$C$7)+(('Track Data'!W572)*('Gearing Calculator'!$U$17/'Gearing Calculator'!$C$7))</f>
        <v>2099.9384530095926</v>
      </c>
      <c r="Z572" s="16">
        <f>((X572*COS('Gearing Calculator'!$C$21))/'Gearing Calculator'!$C$22)/2</f>
        <v>15.813453588308835</v>
      </c>
      <c r="AA572" s="16">
        <f>Y572/'Gearing Calculator'!$C$24</f>
        <v>29.322184094578887</v>
      </c>
      <c r="AB572" s="16">
        <f t="shared" si="65"/>
        <v>182.28327698677964</v>
      </c>
      <c r="AC572" s="16">
        <v>0</v>
      </c>
      <c r="AD572" s="16">
        <v>51.415226335993168</v>
      </c>
      <c r="AE572" s="16">
        <v>569</v>
      </c>
      <c r="AF572" s="16">
        <f>IF(AC572=0,IF(O572=6,INDEX(Acceleration!$V$4:$V$110,MATCH('Track Data'!S572,Acceleration!$K$4:$K$110,0)),IF('Track Data'!O572=5,INDEX(Acceleration!$U$4:$U$110,MATCH('Track Data'!S572,Acceleration!$K$4:$K$110,0)),1)),U572)</f>
        <v>1</v>
      </c>
      <c r="AG572" s="16">
        <f>IF(AC572=0,IF(O572=4,INDEX(Acceleration!$T$4:$T$110,MATCH('Track Data'!S572,Acceleration!$K$4:$K$110,0)),IF('Track Data'!O572=3,INDEX(Acceleration!$S$4:$S$110,MATCH('Track Data'!S572,Acceleration!$K$4:$K$110,0)),'Track Data'!AF572)),'Track Data'!U572)</f>
        <v>5.5089295873629895</v>
      </c>
      <c r="AH572" s="16">
        <f>IF(AC572=0,IF(O572=2,INDEX(Acceleration!$R$4:$R$110,MATCH('Track Data'!S572,Acceleration!$K$4:$K$110,0)),IF('Track Data'!O572=1,INDEX(Acceleration!$Q$4:$Q$110,MATCH('Track Data'!S572,Acceleration!$K$4:$K$110,0)),'Track Data'!AG572)),'Track Data'!U572)</f>
        <v>5.5089295873629895</v>
      </c>
    </row>
    <row r="573" spans="2:34" x14ac:dyDescent="0.25">
      <c r="B573" s="16">
        <v>213.38</v>
      </c>
      <c r="C573" s="16">
        <v>7843</v>
      </c>
      <c r="D573" s="16">
        <v>570</v>
      </c>
      <c r="E573" s="113">
        <v>130</v>
      </c>
      <c r="F573" s="113">
        <v>130.19999999999999</v>
      </c>
      <c r="G573" s="113">
        <v>122.8</v>
      </c>
      <c r="H573" s="113">
        <f t="shared" si="61"/>
        <v>34.111111111111107</v>
      </c>
      <c r="I573" s="113">
        <v>9.6</v>
      </c>
      <c r="J573" s="113">
        <v>67.41</v>
      </c>
      <c r="K573" s="113">
        <v>40.1</v>
      </c>
      <c r="L573" s="183"/>
      <c r="M573" s="16">
        <v>570</v>
      </c>
      <c r="N573" s="16">
        <f t="shared" si="63"/>
        <v>2.5269092609066537E-2</v>
      </c>
      <c r="O573" s="16">
        <v>3</v>
      </c>
      <c r="P573" s="16">
        <f t="shared" si="59"/>
        <v>10.596205962059623</v>
      </c>
      <c r="Q573" s="16">
        <f t="shared" si="64"/>
        <v>39.574036767794368</v>
      </c>
      <c r="R573" s="113">
        <f t="shared" si="60"/>
        <v>345.36</v>
      </c>
      <c r="S573" s="16">
        <f>IF(S572=15800,15800,ROUND((((Q573*60)/'Gearing Calculator'!$C$14)*'Track Data'!P573),-2))</f>
        <v>12700</v>
      </c>
      <c r="T573" s="16">
        <f t="shared" si="62"/>
        <v>5.5089295873629895</v>
      </c>
      <c r="U573" s="16">
        <f>IF(AC573=100,Braking!$AG$2354,IF(AC573=50,Braking!$AG$1179,IF(AC573=75,Braking!$AG$1767,0)))</f>
        <v>0</v>
      </c>
      <c r="V573" s="16">
        <f>0.5*'Gearing Calculator'!$C$15*'Gearing Calculator'!$C$20*'Gearing Calculator'!$W$20*('Track Data'!Q573^2)</f>
        <v>165.75648822469066</v>
      </c>
      <c r="W573" s="16">
        <f>('Gearing Calculator'!$U$9*'Track Data'!T573)+'Track Data'!V573</f>
        <v>1632.2335443807185</v>
      </c>
      <c r="X573" s="16">
        <f>('Gearing Calculator'!$U$9*9.81)*('Gearing Calculator'!$U$16/'Gearing Calculator'!$C$7)-(('Track Data'!W573)*('Gearing Calculator'!$U$17/'Gearing Calculator'!$C$7))</f>
        <v>511.48354699040738</v>
      </c>
      <c r="Y573" s="16">
        <f>('Gearing Calculator'!$U$9*9.81)*(('Gearing Calculator'!$C$7-'Gearing Calculator'!$U$16)/'Gearing Calculator'!$C$7)+(('Track Data'!W573)*('Gearing Calculator'!$U$17/'Gearing Calculator'!$C$7))</f>
        <v>2099.9384530095926</v>
      </c>
      <c r="Z573" s="16">
        <f>((X573*COS('Gearing Calculator'!$C$21))/'Gearing Calculator'!$C$22)/2</f>
        <v>15.813453588308835</v>
      </c>
      <c r="AA573" s="16">
        <f>Y573/'Gearing Calculator'!$C$24</f>
        <v>29.322184094578887</v>
      </c>
      <c r="AB573" s="16">
        <f t="shared" si="65"/>
        <v>182.28327698677964</v>
      </c>
      <c r="AC573" s="16">
        <v>0</v>
      </c>
      <c r="AD573" s="16">
        <v>51.415226335993168</v>
      </c>
      <c r="AE573" s="16">
        <v>570</v>
      </c>
      <c r="AF573" s="16">
        <f>IF(AC573=0,IF(O573=6,INDEX(Acceleration!$V$4:$V$110,MATCH('Track Data'!S573,Acceleration!$K$4:$K$110,0)),IF('Track Data'!O573=5,INDEX(Acceleration!$U$4:$U$110,MATCH('Track Data'!S573,Acceleration!$K$4:$K$110,0)),1)),U573)</f>
        <v>1</v>
      </c>
      <c r="AG573" s="16">
        <f>IF(AC573=0,IF(O573=4,INDEX(Acceleration!$T$4:$T$110,MATCH('Track Data'!S573,Acceleration!$K$4:$K$110,0)),IF('Track Data'!O573=3,INDEX(Acceleration!$S$4:$S$110,MATCH('Track Data'!S573,Acceleration!$K$4:$K$110,0)),'Track Data'!AF573)),'Track Data'!U573)</f>
        <v>5.5089295873629895</v>
      </c>
      <c r="AH573" s="16">
        <f>IF(AC573=0,IF(O573=2,INDEX(Acceleration!$R$4:$R$110,MATCH('Track Data'!S573,Acceleration!$K$4:$K$110,0)),IF('Track Data'!O573=1,INDEX(Acceleration!$Q$4:$Q$110,MATCH('Track Data'!S573,Acceleration!$K$4:$K$110,0)),'Track Data'!AG573)),'Track Data'!U573)</f>
        <v>5.5089295873629895</v>
      </c>
    </row>
    <row r="574" spans="2:34" x14ac:dyDescent="0.25">
      <c r="B574" s="16">
        <v>213.40700000000001</v>
      </c>
      <c r="C574" s="16">
        <v>7844</v>
      </c>
      <c r="D574" s="16">
        <v>571</v>
      </c>
      <c r="E574" s="113">
        <v>130</v>
      </c>
      <c r="F574" s="113">
        <v>129.80000000000001</v>
      </c>
      <c r="G574" s="113">
        <v>122.6</v>
      </c>
      <c r="H574" s="113">
        <f t="shared" si="61"/>
        <v>34.05555555555555</v>
      </c>
      <c r="I574" s="113">
        <v>11.8</v>
      </c>
      <c r="J574" s="113">
        <v>66.52</v>
      </c>
      <c r="K574" s="113">
        <v>40.1</v>
      </c>
      <c r="L574" s="183"/>
      <c r="M574" s="16">
        <v>571</v>
      </c>
      <c r="N574" s="16">
        <f t="shared" si="63"/>
        <v>2.5269092609066537E-2</v>
      </c>
      <c r="O574" s="16">
        <v>3</v>
      </c>
      <c r="P574" s="16">
        <f t="shared" si="59"/>
        <v>10.596205962059623</v>
      </c>
      <c r="Q574" s="16">
        <f t="shared" si="64"/>
        <v>39.574036767794368</v>
      </c>
      <c r="R574" s="113">
        <f t="shared" si="60"/>
        <v>345.36</v>
      </c>
      <c r="S574" s="16">
        <f>IF(S573=15800,15800,ROUND((((Q574*60)/'Gearing Calculator'!$C$14)*'Track Data'!P574),-2))</f>
        <v>12700</v>
      </c>
      <c r="T574" s="16">
        <f t="shared" si="62"/>
        <v>5.5089295873629895</v>
      </c>
      <c r="U574" s="16">
        <f>IF(AC574=100,Braking!$AG$2354,IF(AC574=50,Braking!$AG$1179,IF(AC574=75,Braking!$AG$1767,0)))</f>
        <v>0</v>
      </c>
      <c r="V574" s="16">
        <f>0.5*'Gearing Calculator'!$C$15*'Gearing Calculator'!$C$20*'Gearing Calculator'!$W$20*('Track Data'!Q574^2)</f>
        <v>165.75648822469066</v>
      </c>
      <c r="W574" s="16">
        <f>('Gearing Calculator'!$U$9*'Track Data'!T574)+'Track Data'!V574</f>
        <v>1632.2335443807185</v>
      </c>
      <c r="X574" s="16">
        <f>('Gearing Calculator'!$U$9*9.81)*('Gearing Calculator'!$U$16/'Gearing Calculator'!$C$7)-(('Track Data'!W574)*('Gearing Calculator'!$U$17/'Gearing Calculator'!$C$7))</f>
        <v>511.48354699040738</v>
      </c>
      <c r="Y574" s="16">
        <f>('Gearing Calculator'!$U$9*9.81)*(('Gearing Calculator'!$C$7-'Gearing Calculator'!$U$16)/'Gearing Calculator'!$C$7)+(('Track Data'!W574)*('Gearing Calculator'!$U$17/'Gearing Calculator'!$C$7))</f>
        <v>2099.9384530095926</v>
      </c>
      <c r="Z574" s="16">
        <f>((X574*COS('Gearing Calculator'!$C$21))/'Gearing Calculator'!$C$22)/2</f>
        <v>15.813453588308835</v>
      </c>
      <c r="AA574" s="16">
        <f>Y574/'Gearing Calculator'!$C$24</f>
        <v>29.322184094578887</v>
      </c>
      <c r="AB574" s="16">
        <f t="shared" si="65"/>
        <v>182.28327698677964</v>
      </c>
      <c r="AC574" s="16">
        <v>0</v>
      </c>
      <c r="AD574" s="16">
        <v>51.415226335993168</v>
      </c>
      <c r="AE574" s="16">
        <v>571</v>
      </c>
      <c r="AF574" s="16">
        <f>IF(AC574=0,IF(O574=6,INDEX(Acceleration!$V$4:$V$110,MATCH('Track Data'!S574,Acceleration!$K$4:$K$110,0)),IF('Track Data'!O574=5,INDEX(Acceleration!$U$4:$U$110,MATCH('Track Data'!S574,Acceleration!$K$4:$K$110,0)),1)),U574)</f>
        <v>1</v>
      </c>
      <c r="AG574" s="16">
        <f>IF(AC574=0,IF(O574=4,INDEX(Acceleration!$T$4:$T$110,MATCH('Track Data'!S574,Acceleration!$K$4:$K$110,0)),IF('Track Data'!O574=3,INDEX(Acceleration!$S$4:$S$110,MATCH('Track Data'!S574,Acceleration!$K$4:$K$110,0)),'Track Data'!AF574)),'Track Data'!U574)</f>
        <v>5.5089295873629895</v>
      </c>
      <c r="AH574" s="16">
        <f>IF(AC574=0,IF(O574=2,INDEX(Acceleration!$R$4:$R$110,MATCH('Track Data'!S574,Acceleration!$K$4:$K$110,0)),IF('Track Data'!O574=1,INDEX(Acceleration!$Q$4:$Q$110,MATCH('Track Data'!S574,Acceleration!$K$4:$K$110,0)),'Track Data'!AG574)),'Track Data'!U574)</f>
        <v>5.5089295873629895</v>
      </c>
    </row>
    <row r="575" spans="2:34" x14ac:dyDescent="0.25">
      <c r="B575" s="16">
        <v>213.435</v>
      </c>
      <c r="C575" s="16">
        <v>7845</v>
      </c>
      <c r="D575" s="16">
        <v>572</v>
      </c>
      <c r="E575" s="113">
        <v>130</v>
      </c>
      <c r="F575" s="113">
        <v>129.6</v>
      </c>
      <c r="G575" s="113">
        <v>122.1</v>
      </c>
      <c r="H575" s="113">
        <f t="shared" si="61"/>
        <v>33.916666666666664</v>
      </c>
      <c r="I575" s="113">
        <v>12.8</v>
      </c>
      <c r="J575" s="113">
        <v>69.709999999999994</v>
      </c>
      <c r="K575" s="113">
        <v>40.1</v>
      </c>
      <c r="L575" s="183"/>
      <c r="M575" s="16">
        <v>572</v>
      </c>
      <c r="N575" s="16">
        <f t="shared" si="63"/>
        <v>2.5269092609066537E-2</v>
      </c>
      <c r="O575" s="16">
        <v>3</v>
      </c>
      <c r="P575" s="16">
        <f t="shared" si="59"/>
        <v>10.596205962059623</v>
      </c>
      <c r="Q575" s="16">
        <f t="shared" si="64"/>
        <v>39.574036767794368</v>
      </c>
      <c r="R575" s="113">
        <f t="shared" si="60"/>
        <v>345.36</v>
      </c>
      <c r="S575" s="16">
        <f>IF(S574=15800,15800,ROUND((((Q575*60)/'Gearing Calculator'!$C$14)*'Track Data'!P575),-2))</f>
        <v>12700</v>
      </c>
      <c r="T575" s="16">
        <f t="shared" si="62"/>
        <v>5.5089295873629895</v>
      </c>
      <c r="U575" s="16">
        <f>IF(AC575=100,Braking!$AG$2354,IF(AC575=50,Braking!$AG$1179,IF(AC575=75,Braking!$AG$1767,0)))</f>
        <v>0</v>
      </c>
      <c r="V575" s="16">
        <f>0.5*'Gearing Calculator'!$C$15*'Gearing Calculator'!$C$20*'Gearing Calculator'!$W$20*('Track Data'!Q575^2)</f>
        <v>165.75648822469066</v>
      </c>
      <c r="W575" s="16">
        <f>('Gearing Calculator'!$U$9*'Track Data'!T575)+'Track Data'!V575</f>
        <v>1632.2335443807185</v>
      </c>
      <c r="X575" s="16">
        <f>('Gearing Calculator'!$U$9*9.81)*('Gearing Calculator'!$U$16/'Gearing Calculator'!$C$7)-(('Track Data'!W575)*('Gearing Calculator'!$U$17/'Gearing Calculator'!$C$7))</f>
        <v>511.48354699040738</v>
      </c>
      <c r="Y575" s="16">
        <f>('Gearing Calculator'!$U$9*9.81)*(('Gearing Calculator'!$C$7-'Gearing Calculator'!$U$16)/'Gearing Calculator'!$C$7)+(('Track Data'!W575)*('Gearing Calculator'!$U$17/'Gearing Calculator'!$C$7))</f>
        <v>2099.9384530095926</v>
      </c>
      <c r="Z575" s="16">
        <f>((X575*COS('Gearing Calculator'!$C$21))/'Gearing Calculator'!$C$22)/2</f>
        <v>15.813453588308835</v>
      </c>
      <c r="AA575" s="16">
        <f>Y575/'Gearing Calculator'!$C$24</f>
        <v>29.322184094578887</v>
      </c>
      <c r="AB575" s="16">
        <f t="shared" si="65"/>
        <v>182.28327698677964</v>
      </c>
      <c r="AC575" s="16">
        <v>0</v>
      </c>
      <c r="AD575" s="16">
        <v>51.415226335993168</v>
      </c>
      <c r="AE575" s="16">
        <v>572</v>
      </c>
      <c r="AF575" s="16">
        <f>IF(AC575=0,IF(O575=6,INDEX(Acceleration!$V$4:$V$110,MATCH('Track Data'!S575,Acceleration!$K$4:$K$110,0)),IF('Track Data'!O575=5,INDEX(Acceleration!$U$4:$U$110,MATCH('Track Data'!S575,Acceleration!$K$4:$K$110,0)),1)),U575)</f>
        <v>1</v>
      </c>
      <c r="AG575" s="16">
        <f>IF(AC575=0,IF(O575=4,INDEX(Acceleration!$T$4:$T$110,MATCH('Track Data'!S575,Acceleration!$K$4:$K$110,0)),IF('Track Data'!O575=3,INDEX(Acceleration!$S$4:$S$110,MATCH('Track Data'!S575,Acceleration!$K$4:$K$110,0)),'Track Data'!AF575)),'Track Data'!U575)</f>
        <v>5.5089295873629895</v>
      </c>
      <c r="AH575" s="16">
        <f>IF(AC575=0,IF(O575=2,INDEX(Acceleration!$R$4:$R$110,MATCH('Track Data'!S575,Acceleration!$K$4:$K$110,0)),IF('Track Data'!O575=1,INDEX(Acceleration!$Q$4:$Q$110,MATCH('Track Data'!S575,Acceleration!$K$4:$K$110,0)),'Track Data'!AG575)),'Track Data'!U575)</f>
        <v>5.5089295873629895</v>
      </c>
    </row>
    <row r="576" spans="2:34" x14ac:dyDescent="0.25">
      <c r="B576" s="16">
        <v>213.46299999999999</v>
      </c>
      <c r="C576" s="16">
        <v>7846</v>
      </c>
      <c r="D576" s="16">
        <v>573</v>
      </c>
      <c r="E576" s="113">
        <v>130</v>
      </c>
      <c r="F576" s="113">
        <v>129.19999999999999</v>
      </c>
      <c r="G576" s="113">
        <v>121.6</v>
      </c>
      <c r="H576" s="113">
        <f t="shared" si="61"/>
        <v>33.777777777777779</v>
      </c>
      <c r="I576" s="113">
        <v>13.5</v>
      </c>
      <c r="J576" s="113">
        <v>67.540000000000006</v>
      </c>
      <c r="K576" s="113">
        <v>38.700000000000003</v>
      </c>
      <c r="L576" s="183"/>
      <c r="M576" s="16">
        <v>573</v>
      </c>
      <c r="N576" s="16">
        <f t="shared" si="63"/>
        <v>2.5269092609066537E-2</v>
      </c>
      <c r="O576" s="16">
        <v>3</v>
      </c>
      <c r="P576" s="16">
        <f t="shared" si="59"/>
        <v>10.596205962059623</v>
      </c>
      <c r="Q576" s="16">
        <f t="shared" si="64"/>
        <v>39.574036767794368</v>
      </c>
      <c r="R576" s="113">
        <f t="shared" si="60"/>
        <v>345.36</v>
      </c>
      <c r="S576" s="16">
        <f>IF(S575=15800,15800,ROUND((((Q576*60)/'Gearing Calculator'!$C$14)*'Track Data'!P576),-2))</f>
        <v>12700</v>
      </c>
      <c r="T576" s="16">
        <f t="shared" si="62"/>
        <v>5.5089295873629895</v>
      </c>
      <c r="U576" s="16">
        <f>IF(AC576=100,Braking!$AG$2354,IF(AC576=50,Braking!$AG$1179,IF(AC576=75,Braking!$AG$1767,0)))</f>
        <v>0</v>
      </c>
      <c r="V576" s="16">
        <f>0.5*'Gearing Calculator'!$C$15*'Gearing Calculator'!$C$20*'Gearing Calculator'!$W$20*('Track Data'!Q576^2)</f>
        <v>165.75648822469066</v>
      </c>
      <c r="W576" s="16">
        <f>('Gearing Calculator'!$U$9*'Track Data'!T576)+'Track Data'!V576</f>
        <v>1632.2335443807185</v>
      </c>
      <c r="X576" s="16">
        <f>('Gearing Calculator'!$U$9*9.81)*('Gearing Calculator'!$U$16/'Gearing Calculator'!$C$7)-(('Track Data'!W576)*('Gearing Calculator'!$U$17/'Gearing Calculator'!$C$7))</f>
        <v>511.48354699040738</v>
      </c>
      <c r="Y576" s="16">
        <f>('Gearing Calculator'!$U$9*9.81)*(('Gearing Calculator'!$C$7-'Gearing Calculator'!$U$16)/'Gearing Calculator'!$C$7)+(('Track Data'!W576)*('Gearing Calculator'!$U$17/'Gearing Calculator'!$C$7))</f>
        <v>2099.9384530095926</v>
      </c>
      <c r="Z576" s="16">
        <f>((X576*COS('Gearing Calculator'!$C$21))/'Gearing Calculator'!$C$22)/2</f>
        <v>15.813453588308835</v>
      </c>
      <c r="AA576" s="16">
        <f>Y576/'Gearing Calculator'!$C$24</f>
        <v>29.322184094578887</v>
      </c>
      <c r="AB576" s="16">
        <f t="shared" si="65"/>
        <v>182.28327698677964</v>
      </c>
      <c r="AC576" s="16">
        <v>0</v>
      </c>
      <c r="AD576" s="16">
        <v>51.415226335993168</v>
      </c>
      <c r="AE576" s="16">
        <v>573</v>
      </c>
      <c r="AF576" s="16">
        <f>IF(AC576=0,IF(O576=6,INDEX(Acceleration!$V$4:$V$110,MATCH('Track Data'!S576,Acceleration!$K$4:$K$110,0)),IF('Track Data'!O576=5,INDEX(Acceleration!$U$4:$U$110,MATCH('Track Data'!S576,Acceleration!$K$4:$K$110,0)),1)),U576)</f>
        <v>1</v>
      </c>
      <c r="AG576" s="16">
        <f>IF(AC576=0,IF(O576=4,INDEX(Acceleration!$T$4:$T$110,MATCH('Track Data'!S576,Acceleration!$K$4:$K$110,0)),IF('Track Data'!O576=3,INDEX(Acceleration!$S$4:$S$110,MATCH('Track Data'!S576,Acceleration!$K$4:$K$110,0)),'Track Data'!AF576)),'Track Data'!U576)</f>
        <v>5.5089295873629895</v>
      </c>
      <c r="AH576" s="16">
        <f>IF(AC576=0,IF(O576=2,INDEX(Acceleration!$R$4:$R$110,MATCH('Track Data'!S576,Acceleration!$K$4:$K$110,0)),IF('Track Data'!O576=1,INDEX(Acceleration!$Q$4:$Q$110,MATCH('Track Data'!S576,Acceleration!$K$4:$K$110,0)),'Track Data'!AG576)),'Track Data'!U576)</f>
        <v>5.5089295873629895</v>
      </c>
    </row>
    <row r="577" spans="2:34" x14ac:dyDescent="0.25">
      <c r="B577" s="16">
        <v>213.49100000000001</v>
      </c>
      <c r="C577" s="16">
        <v>7847</v>
      </c>
      <c r="D577" s="16">
        <v>574</v>
      </c>
      <c r="E577" s="113">
        <v>130</v>
      </c>
      <c r="F577" s="113">
        <v>128.69999999999999</v>
      </c>
      <c r="G577" s="113">
        <v>121</v>
      </c>
      <c r="H577" s="113">
        <f t="shared" si="61"/>
        <v>33.611111111111107</v>
      </c>
      <c r="I577" s="113">
        <v>13.7</v>
      </c>
      <c r="J577" s="113">
        <v>69.87</v>
      </c>
      <c r="K577" s="113">
        <v>36.9</v>
      </c>
      <c r="L577" s="183"/>
      <c r="M577" s="16">
        <v>574</v>
      </c>
      <c r="N577" s="16">
        <f t="shared" si="63"/>
        <v>2.5269092609066537E-2</v>
      </c>
      <c r="O577" s="16">
        <v>3</v>
      </c>
      <c r="P577" s="16">
        <f t="shared" si="59"/>
        <v>10.596205962059623</v>
      </c>
      <c r="Q577" s="16">
        <f t="shared" si="64"/>
        <v>39.574036767794368</v>
      </c>
      <c r="R577" s="113">
        <f t="shared" si="60"/>
        <v>345.36</v>
      </c>
      <c r="S577" s="16">
        <f>IF(S576=15800,15800,ROUND((((Q577*60)/'Gearing Calculator'!$C$14)*'Track Data'!P577),-2))</f>
        <v>12700</v>
      </c>
      <c r="T577" s="16">
        <f t="shared" si="62"/>
        <v>5.5089295873629895</v>
      </c>
      <c r="U577" s="16">
        <f>IF(AC577=100,Braking!$AG$2354,IF(AC577=50,Braking!$AG$1179,IF(AC577=75,Braking!$AG$1767,0)))</f>
        <v>0</v>
      </c>
      <c r="V577" s="16">
        <f>0.5*'Gearing Calculator'!$C$15*'Gearing Calculator'!$C$20*'Gearing Calculator'!$W$20*('Track Data'!Q577^2)</f>
        <v>165.75648822469066</v>
      </c>
      <c r="W577" s="16">
        <f>('Gearing Calculator'!$U$9*'Track Data'!T577)+'Track Data'!V577</f>
        <v>1632.2335443807185</v>
      </c>
      <c r="X577" s="16">
        <f>('Gearing Calculator'!$U$9*9.81)*('Gearing Calculator'!$U$16/'Gearing Calculator'!$C$7)-(('Track Data'!W577)*('Gearing Calculator'!$U$17/'Gearing Calculator'!$C$7))</f>
        <v>511.48354699040738</v>
      </c>
      <c r="Y577" s="16">
        <f>('Gearing Calculator'!$U$9*9.81)*(('Gearing Calculator'!$C$7-'Gearing Calculator'!$U$16)/'Gearing Calculator'!$C$7)+(('Track Data'!W577)*('Gearing Calculator'!$U$17/'Gearing Calculator'!$C$7))</f>
        <v>2099.9384530095926</v>
      </c>
      <c r="Z577" s="16">
        <f>((X577*COS('Gearing Calculator'!$C$21))/'Gearing Calculator'!$C$22)/2</f>
        <v>15.813453588308835</v>
      </c>
      <c r="AA577" s="16">
        <f>Y577/'Gearing Calculator'!$C$24</f>
        <v>29.322184094578887</v>
      </c>
      <c r="AB577" s="16">
        <f t="shared" si="65"/>
        <v>182.28327698677964</v>
      </c>
      <c r="AC577" s="16">
        <v>0</v>
      </c>
      <c r="AD577" s="16">
        <v>51.415226335993168</v>
      </c>
      <c r="AE577" s="16">
        <v>574</v>
      </c>
      <c r="AF577" s="16">
        <f>IF(AC577=0,IF(O577=6,INDEX(Acceleration!$V$4:$V$110,MATCH('Track Data'!S577,Acceleration!$K$4:$K$110,0)),IF('Track Data'!O577=5,INDEX(Acceleration!$U$4:$U$110,MATCH('Track Data'!S577,Acceleration!$K$4:$K$110,0)),1)),U577)</f>
        <v>1</v>
      </c>
      <c r="AG577" s="16">
        <f>IF(AC577=0,IF(O577=4,INDEX(Acceleration!$T$4:$T$110,MATCH('Track Data'!S577,Acceleration!$K$4:$K$110,0)),IF('Track Data'!O577=3,INDEX(Acceleration!$S$4:$S$110,MATCH('Track Data'!S577,Acceleration!$K$4:$K$110,0)),'Track Data'!AF577)),'Track Data'!U577)</f>
        <v>5.5089295873629895</v>
      </c>
      <c r="AH577" s="16">
        <f>IF(AC577=0,IF(O577=2,INDEX(Acceleration!$R$4:$R$110,MATCH('Track Data'!S577,Acceleration!$K$4:$K$110,0)),IF('Track Data'!O577=1,INDEX(Acceleration!$Q$4:$Q$110,MATCH('Track Data'!S577,Acceleration!$K$4:$K$110,0)),'Track Data'!AG577)),'Track Data'!U577)</f>
        <v>5.5089295873629895</v>
      </c>
    </row>
    <row r="578" spans="2:34" x14ac:dyDescent="0.25">
      <c r="B578" s="16">
        <v>213.51900000000001</v>
      </c>
      <c r="C578" s="16">
        <v>7848</v>
      </c>
      <c r="D578" s="16">
        <v>575</v>
      </c>
      <c r="E578" s="113">
        <v>129</v>
      </c>
      <c r="F578" s="113">
        <v>128.5</v>
      </c>
      <c r="G578" s="113">
        <v>120.7</v>
      </c>
      <c r="H578" s="113">
        <f t="shared" si="61"/>
        <v>33.527777777777779</v>
      </c>
      <c r="I578" s="113">
        <v>14.1</v>
      </c>
      <c r="J578" s="113">
        <v>71.75</v>
      </c>
      <c r="K578" s="113">
        <v>35.700000000000003</v>
      </c>
      <c r="L578" s="183"/>
      <c r="M578" s="16">
        <v>575</v>
      </c>
      <c r="N578" s="16">
        <f t="shared" si="63"/>
        <v>2.5269092609066537E-2</v>
      </c>
      <c r="O578" s="16">
        <v>3</v>
      </c>
      <c r="P578" s="16">
        <f t="shared" si="59"/>
        <v>10.596205962059623</v>
      </c>
      <c r="Q578" s="16">
        <f t="shared" si="64"/>
        <v>39.574036767794368</v>
      </c>
      <c r="R578" s="113">
        <f t="shared" si="60"/>
        <v>345.36</v>
      </c>
      <c r="S578" s="16">
        <f>IF(S577=15800,15800,ROUND((((Q578*60)/'Gearing Calculator'!$C$14)*'Track Data'!P578),-2))</f>
        <v>12700</v>
      </c>
      <c r="T578" s="16">
        <f t="shared" si="62"/>
        <v>5.5089295873629895</v>
      </c>
      <c r="U578" s="16">
        <f>IF(AC578=100,Braking!$AG$2354,IF(AC578=50,Braking!$AG$1179,IF(AC578=75,Braking!$AG$1767,0)))</f>
        <v>0</v>
      </c>
      <c r="V578" s="16">
        <f>0.5*'Gearing Calculator'!$C$15*'Gearing Calculator'!$C$20*'Gearing Calculator'!$W$20*('Track Data'!Q578^2)</f>
        <v>165.75648822469066</v>
      </c>
      <c r="W578" s="16">
        <f>('Gearing Calculator'!$U$9*'Track Data'!T578)+'Track Data'!V578</f>
        <v>1632.2335443807185</v>
      </c>
      <c r="X578" s="16">
        <f>('Gearing Calculator'!$U$9*9.81)*('Gearing Calculator'!$U$16/'Gearing Calculator'!$C$7)-(('Track Data'!W578)*('Gearing Calculator'!$U$17/'Gearing Calculator'!$C$7))</f>
        <v>511.48354699040738</v>
      </c>
      <c r="Y578" s="16">
        <f>('Gearing Calculator'!$U$9*9.81)*(('Gearing Calculator'!$C$7-'Gearing Calculator'!$U$16)/'Gearing Calculator'!$C$7)+(('Track Data'!W578)*('Gearing Calculator'!$U$17/'Gearing Calculator'!$C$7))</f>
        <v>2099.9384530095926</v>
      </c>
      <c r="Z578" s="16">
        <f>((X578*COS('Gearing Calculator'!$C$21))/'Gearing Calculator'!$C$22)/2</f>
        <v>15.813453588308835</v>
      </c>
      <c r="AA578" s="16">
        <f>Y578/'Gearing Calculator'!$C$24</f>
        <v>29.322184094578887</v>
      </c>
      <c r="AB578" s="16">
        <f t="shared" si="65"/>
        <v>182.28327698677964</v>
      </c>
      <c r="AC578" s="16">
        <v>0</v>
      </c>
      <c r="AD578" s="16">
        <v>51.415226335993168</v>
      </c>
      <c r="AE578" s="16">
        <v>575</v>
      </c>
      <c r="AF578" s="16">
        <f>IF(AC578=0,IF(O578=6,INDEX(Acceleration!$V$4:$V$110,MATCH('Track Data'!S578,Acceleration!$K$4:$K$110,0)),IF('Track Data'!O578=5,INDEX(Acceleration!$U$4:$U$110,MATCH('Track Data'!S578,Acceleration!$K$4:$K$110,0)),1)),U578)</f>
        <v>1</v>
      </c>
      <c r="AG578" s="16">
        <f>IF(AC578=0,IF(O578=4,INDEX(Acceleration!$T$4:$T$110,MATCH('Track Data'!S578,Acceleration!$K$4:$K$110,0)),IF('Track Data'!O578=3,INDEX(Acceleration!$S$4:$S$110,MATCH('Track Data'!S578,Acceleration!$K$4:$K$110,0)),'Track Data'!AF578)),'Track Data'!U578)</f>
        <v>5.5089295873629895</v>
      </c>
      <c r="AH578" s="16">
        <f>IF(AC578=0,IF(O578=2,INDEX(Acceleration!$R$4:$R$110,MATCH('Track Data'!S578,Acceleration!$K$4:$K$110,0)),IF('Track Data'!O578=1,INDEX(Acceleration!$Q$4:$Q$110,MATCH('Track Data'!S578,Acceleration!$K$4:$K$110,0)),'Track Data'!AG578)),'Track Data'!U578)</f>
        <v>5.5089295873629895</v>
      </c>
    </row>
    <row r="579" spans="2:34" x14ac:dyDescent="0.25">
      <c r="B579" s="16">
        <v>213.54599999999999</v>
      </c>
      <c r="C579" s="16">
        <v>7849</v>
      </c>
      <c r="D579" s="16">
        <v>576</v>
      </c>
      <c r="E579" s="113">
        <v>129</v>
      </c>
      <c r="F579" s="113">
        <v>128.19999999999999</v>
      </c>
      <c r="G579" s="113">
        <v>120.1</v>
      </c>
      <c r="H579" s="113">
        <f t="shared" si="61"/>
        <v>33.361111111111107</v>
      </c>
      <c r="I579" s="113">
        <v>14.3</v>
      </c>
      <c r="J579" s="113">
        <v>71.569999999999993</v>
      </c>
      <c r="K579" s="113">
        <v>32.9</v>
      </c>
      <c r="L579" s="183"/>
      <c r="M579" s="16">
        <v>576</v>
      </c>
      <c r="N579" s="16">
        <f t="shared" si="63"/>
        <v>2.5269092609066537E-2</v>
      </c>
      <c r="O579" s="16">
        <v>3</v>
      </c>
      <c r="P579" s="16">
        <f t="shared" si="59"/>
        <v>10.596205962059623</v>
      </c>
      <c r="Q579" s="16">
        <f t="shared" si="64"/>
        <v>39.574036767794368</v>
      </c>
      <c r="R579" s="113">
        <f t="shared" si="60"/>
        <v>345.36</v>
      </c>
      <c r="S579" s="16">
        <f>IF(S578=15800,15800,ROUND((((Q579*60)/'Gearing Calculator'!$C$14)*'Track Data'!P579),-2))</f>
        <v>12700</v>
      </c>
      <c r="T579" s="16">
        <f t="shared" si="62"/>
        <v>5.5089295873629895</v>
      </c>
      <c r="U579" s="16">
        <f>IF(AC579=100,Braking!$AG$2354,IF(AC579=50,Braking!$AG$1179,IF(AC579=75,Braking!$AG$1767,0)))</f>
        <v>0</v>
      </c>
      <c r="V579" s="16">
        <f>0.5*'Gearing Calculator'!$C$15*'Gearing Calculator'!$C$20*'Gearing Calculator'!$W$20*('Track Data'!Q579^2)</f>
        <v>165.75648822469066</v>
      </c>
      <c r="W579" s="16">
        <f>('Gearing Calculator'!$U$9*'Track Data'!T579)+'Track Data'!V579</f>
        <v>1632.2335443807185</v>
      </c>
      <c r="X579" s="16">
        <f>('Gearing Calculator'!$U$9*9.81)*('Gearing Calculator'!$U$16/'Gearing Calculator'!$C$7)-(('Track Data'!W579)*('Gearing Calculator'!$U$17/'Gearing Calculator'!$C$7))</f>
        <v>511.48354699040738</v>
      </c>
      <c r="Y579" s="16">
        <f>('Gearing Calculator'!$U$9*9.81)*(('Gearing Calculator'!$C$7-'Gearing Calculator'!$U$16)/'Gearing Calculator'!$C$7)+(('Track Data'!W579)*('Gearing Calculator'!$U$17/'Gearing Calculator'!$C$7))</f>
        <v>2099.9384530095926</v>
      </c>
      <c r="Z579" s="16">
        <f>((X579*COS('Gearing Calculator'!$C$21))/'Gearing Calculator'!$C$22)/2</f>
        <v>15.813453588308835</v>
      </c>
      <c r="AA579" s="16">
        <f>Y579/'Gearing Calculator'!$C$24</f>
        <v>29.322184094578887</v>
      </c>
      <c r="AB579" s="16">
        <f t="shared" si="65"/>
        <v>182.28327698677964</v>
      </c>
      <c r="AC579" s="16">
        <v>0</v>
      </c>
      <c r="AD579" s="16">
        <v>51.415226335993168</v>
      </c>
      <c r="AE579" s="16">
        <v>576</v>
      </c>
      <c r="AF579" s="16">
        <f>IF(AC579=0,IF(O579=6,INDEX(Acceleration!$V$4:$V$110,MATCH('Track Data'!S579,Acceleration!$K$4:$K$110,0)),IF('Track Data'!O579=5,INDEX(Acceleration!$U$4:$U$110,MATCH('Track Data'!S579,Acceleration!$K$4:$K$110,0)),1)),U579)</f>
        <v>1</v>
      </c>
      <c r="AG579" s="16">
        <f>IF(AC579=0,IF(O579=4,INDEX(Acceleration!$T$4:$T$110,MATCH('Track Data'!S579,Acceleration!$K$4:$K$110,0)),IF('Track Data'!O579=3,INDEX(Acceleration!$S$4:$S$110,MATCH('Track Data'!S579,Acceleration!$K$4:$K$110,0)),'Track Data'!AF579)),'Track Data'!U579)</f>
        <v>5.5089295873629895</v>
      </c>
      <c r="AH579" s="16">
        <f>IF(AC579=0,IF(O579=2,INDEX(Acceleration!$R$4:$R$110,MATCH('Track Data'!S579,Acceleration!$K$4:$K$110,0)),IF('Track Data'!O579=1,INDEX(Acceleration!$Q$4:$Q$110,MATCH('Track Data'!S579,Acceleration!$K$4:$K$110,0)),'Track Data'!AG579)),'Track Data'!U579)</f>
        <v>5.5089295873629895</v>
      </c>
    </row>
    <row r="580" spans="2:34" x14ac:dyDescent="0.25">
      <c r="B580" s="16">
        <v>213.57400000000001</v>
      </c>
      <c r="C580" s="16">
        <v>7850</v>
      </c>
      <c r="D580" s="16">
        <v>577</v>
      </c>
      <c r="E580" s="113">
        <v>129</v>
      </c>
      <c r="F580" s="113">
        <v>127.8</v>
      </c>
      <c r="G580" s="113">
        <v>119.6</v>
      </c>
      <c r="H580" s="113">
        <f t="shared" si="61"/>
        <v>33.222222222222221</v>
      </c>
      <c r="I580" s="113">
        <v>15</v>
      </c>
      <c r="J580" s="113">
        <v>77.38</v>
      </c>
      <c r="K580" s="113">
        <v>29.8</v>
      </c>
      <c r="L580" s="183"/>
      <c r="M580" s="16">
        <v>577</v>
      </c>
      <c r="N580" s="16">
        <f t="shared" si="63"/>
        <v>2.5269092609066537E-2</v>
      </c>
      <c r="O580" s="16">
        <v>3</v>
      </c>
      <c r="P580" s="16">
        <f t="shared" ref="P580:P643" si="66">VLOOKUP(O580,$AJ$5:$AK$10,2,FALSE)</f>
        <v>10.596205962059623</v>
      </c>
      <c r="Q580" s="16">
        <f t="shared" si="64"/>
        <v>39.574036767794368</v>
      </c>
      <c r="R580" s="113">
        <f t="shared" ref="R580:R643" si="67">VLOOKUP(O580,$AJ$5:$AL$10,3,FALSE)</f>
        <v>345.36</v>
      </c>
      <c r="S580" s="16">
        <f>IF(S579=15800,15800,ROUND((((Q580*60)/'Gearing Calculator'!$C$14)*'Track Data'!P580),-2))</f>
        <v>12700</v>
      </c>
      <c r="T580" s="16">
        <f t="shared" si="62"/>
        <v>5.5089295873629895</v>
      </c>
      <c r="U580" s="16">
        <f>IF(AC580=100,Braking!$AG$2354,IF(AC580=50,Braking!$AG$1179,IF(AC580=75,Braking!$AG$1767,0)))</f>
        <v>0</v>
      </c>
      <c r="V580" s="16">
        <f>0.5*'Gearing Calculator'!$C$15*'Gearing Calculator'!$C$20*'Gearing Calculator'!$W$20*('Track Data'!Q580^2)</f>
        <v>165.75648822469066</v>
      </c>
      <c r="W580" s="16">
        <f>('Gearing Calculator'!$U$9*'Track Data'!T580)+'Track Data'!V580</f>
        <v>1632.2335443807185</v>
      </c>
      <c r="X580" s="16">
        <f>('Gearing Calculator'!$U$9*9.81)*('Gearing Calculator'!$U$16/'Gearing Calculator'!$C$7)-(('Track Data'!W580)*('Gearing Calculator'!$U$17/'Gearing Calculator'!$C$7))</f>
        <v>511.48354699040738</v>
      </c>
      <c r="Y580" s="16">
        <f>('Gearing Calculator'!$U$9*9.81)*(('Gearing Calculator'!$C$7-'Gearing Calculator'!$U$16)/'Gearing Calculator'!$C$7)+(('Track Data'!W580)*('Gearing Calculator'!$U$17/'Gearing Calculator'!$C$7))</f>
        <v>2099.9384530095926</v>
      </c>
      <c r="Z580" s="16">
        <f>((X580*COS('Gearing Calculator'!$C$21))/'Gearing Calculator'!$C$22)/2</f>
        <v>15.813453588308835</v>
      </c>
      <c r="AA580" s="16">
        <f>Y580/'Gearing Calculator'!$C$24</f>
        <v>29.322184094578887</v>
      </c>
      <c r="AB580" s="16">
        <f t="shared" si="65"/>
        <v>182.28327698677964</v>
      </c>
      <c r="AC580" s="16">
        <v>0</v>
      </c>
      <c r="AD580" s="16">
        <v>51.415226335993168</v>
      </c>
      <c r="AE580" s="16">
        <v>577</v>
      </c>
      <c r="AF580" s="16">
        <f>IF(AC580=0,IF(O580=6,INDEX(Acceleration!$V$4:$V$110,MATCH('Track Data'!S580,Acceleration!$K$4:$K$110,0)),IF('Track Data'!O580=5,INDEX(Acceleration!$U$4:$U$110,MATCH('Track Data'!S580,Acceleration!$K$4:$K$110,0)),1)),U580)</f>
        <v>1</v>
      </c>
      <c r="AG580" s="16">
        <f>IF(AC580=0,IF(O580=4,INDEX(Acceleration!$T$4:$T$110,MATCH('Track Data'!S580,Acceleration!$K$4:$K$110,0)),IF('Track Data'!O580=3,INDEX(Acceleration!$S$4:$S$110,MATCH('Track Data'!S580,Acceleration!$K$4:$K$110,0)),'Track Data'!AF580)),'Track Data'!U580)</f>
        <v>5.5089295873629895</v>
      </c>
      <c r="AH580" s="16">
        <f>IF(AC580=0,IF(O580=2,INDEX(Acceleration!$R$4:$R$110,MATCH('Track Data'!S580,Acceleration!$K$4:$K$110,0)),IF('Track Data'!O580=1,INDEX(Acceleration!$Q$4:$Q$110,MATCH('Track Data'!S580,Acceleration!$K$4:$K$110,0)),'Track Data'!AG580)),'Track Data'!U580)</f>
        <v>5.5089295873629895</v>
      </c>
    </row>
    <row r="581" spans="2:34" x14ac:dyDescent="0.25">
      <c r="B581" s="16">
        <v>213.602</v>
      </c>
      <c r="C581" s="16">
        <v>7851</v>
      </c>
      <c r="D581" s="16">
        <v>578</v>
      </c>
      <c r="E581" s="113">
        <v>129</v>
      </c>
      <c r="F581" s="113">
        <v>127.5</v>
      </c>
      <c r="G581" s="113">
        <v>119</v>
      </c>
      <c r="H581" s="113">
        <f t="shared" ref="H581:H644" si="68">G581/3.6</f>
        <v>33.055555555555557</v>
      </c>
      <c r="I581" s="113">
        <v>15.3</v>
      </c>
      <c r="J581" s="113">
        <v>76.069999999999993</v>
      </c>
      <c r="K581" s="113">
        <v>27.4</v>
      </c>
      <c r="L581" s="183"/>
      <c r="M581" s="16">
        <v>578</v>
      </c>
      <c r="N581" s="16">
        <f t="shared" si="63"/>
        <v>2.5269092609066537E-2</v>
      </c>
      <c r="O581" s="16">
        <v>3</v>
      </c>
      <c r="P581" s="16">
        <f t="shared" si="66"/>
        <v>10.596205962059623</v>
      </c>
      <c r="Q581" s="16">
        <f t="shared" si="64"/>
        <v>39.574036767794368</v>
      </c>
      <c r="R581" s="113">
        <f t="shared" si="67"/>
        <v>345.36</v>
      </c>
      <c r="S581" s="16">
        <f>IF(S580=15800,15800,ROUND((((Q581*60)/'Gearing Calculator'!$C$14)*'Track Data'!P581),-2))</f>
        <v>12700</v>
      </c>
      <c r="T581" s="16">
        <f t="shared" ref="T581:T644" si="69">AH581</f>
        <v>5.5089295873629895</v>
      </c>
      <c r="U581" s="16">
        <f>IF(AC581=100,Braking!$AG$2354,IF(AC581=50,Braking!$AG$1179,IF(AC581=75,Braking!$AG$1767,0)))</f>
        <v>0</v>
      </c>
      <c r="V581" s="16">
        <f>0.5*'Gearing Calculator'!$C$15*'Gearing Calculator'!$C$20*'Gearing Calculator'!$W$20*('Track Data'!Q581^2)</f>
        <v>165.75648822469066</v>
      </c>
      <c r="W581" s="16">
        <f>('Gearing Calculator'!$U$9*'Track Data'!T581)+'Track Data'!V581</f>
        <v>1632.2335443807185</v>
      </c>
      <c r="X581" s="16">
        <f>('Gearing Calculator'!$U$9*9.81)*('Gearing Calculator'!$U$16/'Gearing Calculator'!$C$7)-(('Track Data'!W581)*('Gearing Calculator'!$U$17/'Gearing Calculator'!$C$7))</f>
        <v>511.48354699040738</v>
      </c>
      <c r="Y581" s="16">
        <f>('Gearing Calculator'!$U$9*9.81)*(('Gearing Calculator'!$C$7-'Gearing Calculator'!$U$16)/'Gearing Calculator'!$C$7)+(('Track Data'!W581)*('Gearing Calculator'!$U$17/'Gearing Calculator'!$C$7))</f>
        <v>2099.9384530095926</v>
      </c>
      <c r="Z581" s="16">
        <f>((X581*COS('Gearing Calculator'!$C$21))/'Gearing Calculator'!$C$22)/2</f>
        <v>15.813453588308835</v>
      </c>
      <c r="AA581" s="16">
        <f>Y581/'Gearing Calculator'!$C$24</f>
        <v>29.322184094578887</v>
      </c>
      <c r="AB581" s="16">
        <f t="shared" si="65"/>
        <v>182.28327698677964</v>
      </c>
      <c r="AC581" s="16">
        <v>0</v>
      </c>
      <c r="AD581" s="16">
        <v>51.415226335993168</v>
      </c>
      <c r="AE581" s="16">
        <v>578</v>
      </c>
      <c r="AF581" s="16">
        <f>IF(AC581=0,IF(O581=6,INDEX(Acceleration!$V$4:$V$110,MATCH('Track Data'!S581,Acceleration!$K$4:$K$110,0)),IF('Track Data'!O581=5,INDEX(Acceleration!$U$4:$U$110,MATCH('Track Data'!S581,Acceleration!$K$4:$K$110,0)),1)),U581)</f>
        <v>1</v>
      </c>
      <c r="AG581" s="16">
        <f>IF(AC581=0,IF(O581=4,INDEX(Acceleration!$T$4:$T$110,MATCH('Track Data'!S581,Acceleration!$K$4:$K$110,0)),IF('Track Data'!O581=3,INDEX(Acceleration!$S$4:$S$110,MATCH('Track Data'!S581,Acceleration!$K$4:$K$110,0)),'Track Data'!AF581)),'Track Data'!U581)</f>
        <v>5.5089295873629895</v>
      </c>
      <c r="AH581" s="16">
        <f>IF(AC581=0,IF(O581=2,INDEX(Acceleration!$R$4:$R$110,MATCH('Track Data'!S581,Acceleration!$K$4:$K$110,0)),IF('Track Data'!O581=1,INDEX(Acceleration!$Q$4:$Q$110,MATCH('Track Data'!S581,Acceleration!$K$4:$K$110,0)),'Track Data'!AG581)),'Track Data'!U581)</f>
        <v>5.5089295873629895</v>
      </c>
    </row>
    <row r="582" spans="2:34" x14ac:dyDescent="0.25">
      <c r="B582" s="16">
        <v>213.631</v>
      </c>
      <c r="C582" s="16">
        <v>7852</v>
      </c>
      <c r="D582" s="16">
        <v>579</v>
      </c>
      <c r="E582" s="113">
        <v>128</v>
      </c>
      <c r="F582" s="113">
        <v>127.4</v>
      </c>
      <c r="G582" s="113">
        <v>118.5</v>
      </c>
      <c r="H582" s="113">
        <f t="shared" si="68"/>
        <v>32.916666666666664</v>
      </c>
      <c r="I582" s="113">
        <v>16.399999999999999</v>
      </c>
      <c r="J582" s="113">
        <v>77.88</v>
      </c>
      <c r="K582" s="113">
        <v>30.1</v>
      </c>
      <c r="L582" s="183"/>
      <c r="M582" s="16">
        <v>579</v>
      </c>
      <c r="N582" s="16">
        <f t="shared" ref="N582:N645" si="70">1/Q582</f>
        <v>2.5269092609066537E-2</v>
      </c>
      <c r="O582" s="16">
        <v>3</v>
      </c>
      <c r="P582" s="16">
        <f t="shared" si="66"/>
        <v>10.596205962059623</v>
      </c>
      <c r="Q582" s="16">
        <f t="shared" ref="Q582:Q645" si="71">IF(AD581=0,SQRT(Q581^2+(2*T581)),Q581)</f>
        <v>39.574036767794368</v>
      </c>
      <c r="R582" s="113">
        <f t="shared" si="67"/>
        <v>345.36</v>
      </c>
      <c r="S582" s="16">
        <f>IF(S581=15800,15800,ROUND((((Q582*60)/'Gearing Calculator'!$C$14)*'Track Data'!P582),-2))</f>
        <v>12700</v>
      </c>
      <c r="T582" s="16">
        <f t="shared" si="69"/>
        <v>5.5089295873629895</v>
      </c>
      <c r="U582" s="16">
        <f>IF(AC582=100,Braking!$AG$2354,IF(AC582=50,Braking!$AG$1179,IF(AC582=75,Braking!$AG$1767,0)))</f>
        <v>0</v>
      </c>
      <c r="V582" s="16">
        <f>0.5*'Gearing Calculator'!$C$15*'Gearing Calculator'!$C$20*'Gearing Calculator'!$W$20*('Track Data'!Q582^2)</f>
        <v>165.75648822469066</v>
      </c>
      <c r="W582" s="16">
        <f>('Gearing Calculator'!$U$9*'Track Data'!T582)+'Track Data'!V582</f>
        <v>1632.2335443807185</v>
      </c>
      <c r="X582" s="16">
        <f>('Gearing Calculator'!$U$9*9.81)*('Gearing Calculator'!$U$16/'Gearing Calculator'!$C$7)-(('Track Data'!W582)*('Gearing Calculator'!$U$17/'Gearing Calculator'!$C$7))</f>
        <v>511.48354699040738</v>
      </c>
      <c r="Y582" s="16">
        <f>('Gearing Calculator'!$U$9*9.81)*(('Gearing Calculator'!$C$7-'Gearing Calculator'!$U$16)/'Gearing Calculator'!$C$7)+(('Track Data'!W582)*('Gearing Calculator'!$U$17/'Gearing Calculator'!$C$7))</f>
        <v>2099.9384530095926</v>
      </c>
      <c r="Z582" s="16">
        <f>((X582*COS('Gearing Calculator'!$C$21))/'Gearing Calculator'!$C$22)/2</f>
        <v>15.813453588308835</v>
      </c>
      <c r="AA582" s="16">
        <f>Y582/'Gearing Calculator'!$C$24</f>
        <v>29.322184094578887</v>
      </c>
      <c r="AB582" s="16">
        <f t="shared" si="65"/>
        <v>182.28327698677964</v>
      </c>
      <c r="AC582" s="16">
        <v>0</v>
      </c>
      <c r="AD582" s="16">
        <v>51.415226335993168</v>
      </c>
      <c r="AE582" s="16">
        <v>579</v>
      </c>
      <c r="AF582" s="16">
        <f>IF(AC582=0,IF(O582=6,INDEX(Acceleration!$V$4:$V$110,MATCH('Track Data'!S582,Acceleration!$K$4:$K$110,0)),IF('Track Data'!O582=5,INDEX(Acceleration!$U$4:$U$110,MATCH('Track Data'!S582,Acceleration!$K$4:$K$110,0)),1)),U582)</f>
        <v>1</v>
      </c>
      <c r="AG582" s="16">
        <f>IF(AC582=0,IF(O582=4,INDEX(Acceleration!$T$4:$T$110,MATCH('Track Data'!S582,Acceleration!$K$4:$K$110,0)),IF('Track Data'!O582=3,INDEX(Acceleration!$S$4:$S$110,MATCH('Track Data'!S582,Acceleration!$K$4:$K$110,0)),'Track Data'!AF582)),'Track Data'!U582)</f>
        <v>5.5089295873629895</v>
      </c>
      <c r="AH582" s="16">
        <f>IF(AC582=0,IF(O582=2,INDEX(Acceleration!$R$4:$R$110,MATCH('Track Data'!S582,Acceleration!$K$4:$K$110,0)),IF('Track Data'!O582=1,INDEX(Acceleration!$Q$4:$Q$110,MATCH('Track Data'!S582,Acceleration!$K$4:$K$110,0)),'Track Data'!AG582)),'Track Data'!U582)</f>
        <v>5.5089295873629895</v>
      </c>
    </row>
    <row r="583" spans="2:34" x14ac:dyDescent="0.25">
      <c r="B583" s="16">
        <v>213.65899999999999</v>
      </c>
      <c r="C583" s="16">
        <v>7853</v>
      </c>
      <c r="D583" s="16">
        <v>580</v>
      </c>
      <c r="E583" s="113">
        <v>128</v>
      </c>
      <c r="F583" s="113">
        <v>127.1</v>
      </c>
      <c r="G583" s="113">
        <v>118.1</v>
      </c>
      <c r="H583" s="113">
        <f t="shared" si="68"/>
        <v>32.80555555555555</v>
      </c>
      <c r="I583" s="113">
        <v>15.8</v>
      </c>
      <c r="J583" s="113">
        <v>78.19</v>
      </c>
      <c r="K583" s="113">
        <v>31.8</v>
      </c>
      <c r="L583" s="183"/>
      <c r="M583" s="16">
        <v>580</v>
      </c>
      <c r="N583" s="16">
        <f t="shared" si="70"/>
        <v>2.5269092609066537E-2</v>
      </c>
      <c r="O583" s="16">
        <v>3</v>
      </c>
      <c r="P583" s="16">
        <f t="shared" si="66"/>
        <v>10.596205962059623</v>
      </c>
      <c r="Q583" s="16">
        <f t="shared" si="71"/>
        <v>39.574036767794368</v>
      </c>
      <c r="R583" s="113">
        <f t="shared" si="67"/>
        <v>345.36</v>
      </c>
      <c r="S583" s="16">
        <f>IF(S582=15800,15800,ROUND((((Q583*60)/'Gearing Calculator'!$C$14)*'Track Data'!P583),-2))</f>
        <v>12700</v>
      </c>
      <c r="T583" s="16">
        <f t="shared" si="69"/>
        <v>5.5089295873629895</v>
      </c>
      <c r="U583" s="16">
        <f>IF(AC583=100,Braking!$AG$2354,IF(AC583=50,Braking!$AG$1179,IF(AC583=75,Braking!$AG$1767,0)))</f>
        <v>0</v>
      </c>
      <c r="V583" s="16">
        <f>0.5*'Gearing Calculator'!$C$15*'Gearing Calculator'!$C$20*'Gearing Calculator'!$W$20*('Track Data'!Q583^2)</f>
        <v>165.75648822469066</v>
      </c>
      <c r="W583" s="16">
        <f>('Gearing Calculator'!$U$9*'Track Data'!T583)+'Track Data'!V583</f>
        <v>1632.2335443807185</v>
      </c>
      <c r="X583" s="16">
        <f>('Gearing Calculator'!$U$9*9.81)*('Gearing Calculator'!$U$16/'Gearing Calculator'!$C$7)-(('Track Data'!W583)*('Gearing Calculator'!$U$17/'Gearing Calculator'!$C$7))</f>
        <v>511.48354699040738</v>
      </c>
      <c r="Y583" s="16">
        <f>('Gearing Calculator'!$U$9*9.81)*(('Gearing Calculator'!$C$7-'Gearing Calculator'!$U$16)/'Gearing Calculator'!$C$7)+(('Track Data'!W583)*('Gearing Calculator'!$U$17/'Gearing Calculator'!$C$7))</f>
        <v>2099.9384530095926</v>
      </c>
      <c r="Z583" s="16">
        <f>((X583*COS('Gearing Calculator'!$C$21))/'Gearing Calculator'!$C$22)/2</f>
        <v>15.813453588308835</v>
      </c>
      <c r="AA583" s="16">
        <f>Y583/'Gearing Calculator'!$C$24</f>
        <v>29.322184094578887</v>
      </c>
      <c r="AB583" s="16">
        <f t="shared" si="65"/>
        <v>182.28327698677964</v>
      </c>
      <c r="AC583" s="16">
        <v>0</v>
      </c>
      <c r="AD583" s="16">
        <v>51.415226335993168</v>
      </c>
      <c r="AE583" s="16">
        <v>580</v>
      </c>
      <c r="AF583" s="16">
        <f>IF(AC583=0,IF(O583=6,INDEX(Acceleration!$V$4:$V$110,MATCH('Track Data'!S583,Acceleration!$K$4:$K$110,0)),IF('Track Data'!O583=5,INDEX(Acceleration!$U$4:$U$110,MATCH('Track Data'!S583,Acceleration!$K$4:$K$110,0)),1)),U583)</f>
        <v>1</v>
      </c>
      <c r="AG583" s="16">
        <f>IF(AC583=0,IF(O583=4,INDEX(Acceleration!$T$4:$T$110,MATCH('Track Data'!S583,Acceleration!$K$4:$K$110,0)),IF('Track Data'!O583=3,INDEX(Acceleration!$S$4:$S$110,MATCH('Track Data'!S583,Acceleration!$K$4:$K$110,0)),'Track Data'!AF583)),'Track Data'!U583)</f>
        <v>5.5089295873629895</v>
      </c>
      <c r="AH583" s="16">
        <f>IF(AC583=0,IF(O583=2,INDEX(Acceleration!$R$4:$R$110,MATCH('Track Data'!S583,Acceleration!$K$4:$K$110,0)),IF('Track Data'!O583=1,INDEX(Acceleration!$Q$4:$Q$110,MATCH('Track Data'!S583,Acceleration!$K$4:$K$110,0)),'Track Data'!AG583)),'Track Data'!U583)</f>
        <v>5.5089295873629895</v>
      </c>
    </row>
    <row r="584" spans="2:34" x14ac:dyDescent="0.25">
      <c r="B584" s="16">
        <v>213.68700000000001</v>
      </c>
      <c r="C584" s="16">
        <v>7854</v>
      </c>
      <c r="D584" s="16">
        <v>581</v>
      </c>
      <c r="E584" s="113">
        <v>128</v>
      </c>
      <c r="F584" s="113">
        <v>126.4</v>
      </c>
      <c r="G584" s="113">
        <v>117.5</v>
      </c>
      <c r="H584" s="113">
        <f t="shared" si="68"/>
        <v>32.638888888888886</v>
      </c>
      <c r="I584" s="113">
        <v>15.9</v>
      </c>
      <c r="J584" s="113">
        <v>74.42</v>
      </c>
      <c r="K584" s="113">
        <v>35.1</v>
      </c>
      <c r="L584" s="183"/>
      <c r="M584" s="16">
        <v>581</v>
      </c>
      <c r="N584" s="16">
        <f t="shared" si="70"/>
        <v>2.5269092609066537E-2</v>
      </c>
      <c r="O584" s="16">
        <v>3</v>
      </c>
      <c r="P584" s="16">
        <f t="shared" si="66"/>
        <v>10.596205962059623</v>
      </c>
      <c r="Q584" s="16">
        <f t="shared" si="71"/>
        <v>39.574036767794368</v>
      </c>
      <c r="R584" s="113">
        <f t="shared" si="67"/>
        <v>345.36</v>
      </c>
      <c r="S584" s="16">
        <f>IF(S583=15800,15800,ROUND((((Q584*60)/'Gearing Calculator'!$C$14)*'Track Data'!P584),-2))</f>
        <v>12700</v>
      </c>
      <c r="T584" s="16">
        <f t="shared" si="69"/>
        <v>5.5089295873629895</v>
      </c>
      <c r="U584" s="16">
        <f>IF(AC584=100,Braking!$AG$2354,IF(AC584=50,Braking!$AG$1179,IF(AC584=75,Braking!$AG$1767,0)))</f>
        <v>0</v>
      </c>
      <c r="V584" s="16">
        <f>0.5*'Gearing Calculator'!$C$15*'Gearing Calculator'!$C$20*'Gearing Calculator'!$W$20*('Track Data'!Q584^2)</f>
        <v>165.75648822469066</v>
      </c>
      <c r="W584" s="16">
        <f>('Gearing Calculator'!$U$9*'Track Data'!T584)+'Track Data'!V584</f>
        <v>1632.2335443807185</v>
      </c>
      <c r="X584" s="16">
        <f>('Gearing Calculator'!$U$9*9.81)*('Gearing Calculator'!$U$16/'Gearing Calculator'!$C$7)-(('Track Data'!W584)*('Gearing Calculator'!$U$17/'Gearing Calculator'!$C$7))</f>
        <v>511.48354699040738</v>
      </c>
      <c r="Y584" s="16">
        <f>('Gearing Calculator'!$U$9*9.81)*(('Gearing Calculator'!$C$7-'Gearing Calculator'!$U$16)/'Gearing Calculator'!$C$7)+(('Track Data'!W584)*('Gearing Calculator'!$U$17/'Gearing Calculator'!$C$7))</f>
        <v>2099.9384530095926</v>
      </c>
      <c r="Z584" s="16">
        <f>((X584*COS('Gearing Calculator'!$C$21))/'Gearing Calculator'!$C$22)/2</f>
        <v>15.813453588308835</v>
      </c>
      <c r="AA584" s="16">
        <f>Y584/'Gearing Calculator'!$C$24</f>
        <v>29.322184094578887</v>
      </c>
      <c r="AB584" s="16">
        <f t="shared" si="65"/>
        <v>182.28327698677964</v>
      </c>
      <c r="AC584" s="16">
        <v>0</v>
      </c>
      <c r="AD584" s="16">
        <v>51.415226335993168</v>
      </c>
      <c r="AE584" s="16">
        <v>581</v>
      </c>
      <c r="AF584" s="16">
        <f>IF(AC584=0,IF(O584=6,INDEX(Acceleration!$V$4:$V$110,MATCH('Track Data'!S584,Acceleration!$K$4:$K$110,0)),IF('Track Data'!O584=5,INDEX(Acceleration!$U$4:$U$110,MATCH('Track Data'!S584,Acceleration!$K$4:$K$110,0)),1)),U584)</f>
        <v>1</v>
      </c>
      <c r="AG584" s="16">
        <f>IF(AC584=0,IF(O584=4,INDEX(Acceleration!$T$4:$T$110,MATCH('Track Data'!S584,Acceleration!$K$4:$K$110,0)),IF('Track Data'!O584=3,INDEX(Acceleration!$S$4:$S$110,MATCH('Track Data'!S584,Acceleration!$K$4:$K$110,0)),'Track Data'!AF584)),'Track Data'!U584)</f>
        <v>5.5089295873629895</v>
      </c>
      <c r="AH584" s="16">
        <f>IF(AC584=0,IF(O584=2,INDEX(Acceleration!$R$4:$R$110,MATCH('Track Data'!S584,Acceleration!$K$4:$K$110,0)),IF('Track Data'!O584=1,INDEX(Acceleration!$Q$4:$Q$110,MATCH('Track Data'!S584,Acceleration!$K$4:$K$110,0)),'Track Data'!AG584)),'Track Data'!U584)</f>
        <v>5.5089295873629895</v>
      </c>
    </row>
    <row r="585" spans="2:34" x14ac:dyDescent="0.25">
      <c r="B585" s="16">
        <v>213.71600000000001</v>
      </c>
      <c r="C585" s="16">
        <v>7855</v>
      </c>
      <c r="D585" s="16">
        <v>582</v>
      </c>
      <c r="E585" s="113">
        <v>128</v>
      </c>
      <c r="F585" s="113">
        <v>126</v>
      </c>
      <c r="G585" s="113">
        <v>116.9</v>
      </c>
      <c r="H585" s="113">
        <f t="shared" si="68"/>
        <v>32.472222222222221</v>
      </c>
      <c r="I585" s="113">
        <v>15.9</v>
      </c>
      <c r="J585" s="113">
        <v>77.47</v>
      </c>
      <c r="K585" s="113">
        <v>42.7</v>
      </c>
      <c r="L585" s="183"/>
      <c r="M585" s="16">
        <v>582</v>
      </c>
      <c r="N585" s="16">
        <f t="shared" si="70"/>
        <v>2.5269092609066537E-2</v>
      </c>
      <c r="O585" s="16">
        <v>3</v>
      </c>
      <c r="P585" s="16">
        <f t="shared" si="66"/>
        <v>10.596205962059623</v>
      </c>
      <c r="Q585" s="16">
        <f t="shared" si="71"/>
        <v>39.574036767794368</v>
      </c>
      <c r="R585" s="113">
        <f t="shared" si="67"/>
        <v>345.36</v>
      </c>
      <c r="S585" s="16">
        <f>IF(S584=15800,15800,ROUND((((Q585*60)/'Gearing Calculator'!$C$14)*'Track Data'!P585),-2))</f>
        <v>12700</v>
      </c>
      <c r="T585" s="16">
        <f t="shared" si="69"/>
        <v>5.5089295873629895</v>
      </c>
      <c r="U585" s="16">
        <f>IF(AC585=100,Braking!$AG$2354,IF(AC585=50,Braking!$AG$1179,IF(AC585=75,Braking!$AG$1767,0)))</f>
        <v>0</v>
      </c>
      <c r="V585" s="16">
        <f>0.5*'Gearing Calculator'!$C$15*'Gearing Calculator'!$C$20*'Gearing Calculator'!$W$20*('Track Data'!Q585^2)</f>
        <v>165.75648822469066</v>
      </c>
      <c r="W585" s="16">
        <f>('Gearing Calculator'!$U$9*'Track Data'!T585)+'Track Data'!V585</f>
        <v>1632.2335443807185</v>
      </c>
      <c r="X585" s="16">
        <f>('Gearing Calculator'!$U$9*9.81)*('Gearing Calculator'!$U$16/'Gearing Calculator'!$C$7)-(('Track Data'!W585)*('Gearing Calculator'!$U$17/'Gearing Calculator'!$C$7))</f>
        <v>511.48354699040738</v>
      </c>
      <c r="Y585" s="16">
        <f>('Gearing Calculator'!$U$9*9.81)*(('Gearing Calculator'!$C$7-'Gearing Calculator'!$U$16)/'Gearing Calculator'!$C$7)+(('Track Data'!W585)*('Gearing Calculator'!$U$17/'Gearing Calculator'!$C$7))</f>
        <v>2099.9384530095926</v>
      </c>
      <c r="Z585" s="16">
        <f>((X585*COS('Gearing Calculator'!$C$21))/'Gearing Calculator'!$C$22)/2</f>
        <v>15.813453588308835</v>
      </c>
      <c r="AA585" s="16">
        <f>Y585/'Gearing Calculator'!$C$24</f>
        <v>29.322184094578887</v>
      </c>
      <c r="AB585" s="16">
        <f t="shared" si="65"/>
        <v>182.28327698677964</v>
      </c>
      <c r="AC585" s="16">
        <v>0</v>
      </c>
      <c r="AD585" s="16">
        <v>51.415226335993168</v>
      </c>
      <c r="AE585" s="16">
        <v>582</v>
      </c>
      <c r="AF585" s="16">
        <f>IF(AC585=0,IF(O585=6,INDEX(Acceleration!$V$4:$V$110,MATCH('Track Data'!S585,Acceleration!$K$4:$K$110,0)),IF('Track Data'!O585=5,INDEX(Acceleration!$U$4:$U$110,MATCH('Track Data'!S585,Acceleration!$K$4:$K$110,0)),1)),U585)</f>
        <v>1</v>
      </c>
      <c r="AG585" s="16">
        <f>IF(AC585=0,IF(O585=4,INDEX(Acceleration!$T$4:$T$110,MATCH('Track Data'!S585,Acceleration!$K$4:$K$110,0)),IF('Track Data'!O585=3,INDEX(Acceleration!$S$4:$S$110,MATCH('Track Data'!S585,Acceleration!$K$4:$K$110,0)),'Track Data'!AF585)),'Track Data'!U585)</f>
        <v>5.5089295873629895</v>
      </c>
      <c r="AH585" s="16">
        <f>IF(AC585=0,IF(O585=2,INDEX(Acceleration!$R$4:$R$110,MATCH('Track Data'!S585,Acceleration!$K$4:$K$110,0)),IF('Track Data'!O585=1,INDEX(Acceleration!$Q$4:$Q$110,MATCH('Track Data'!S585,Acceleration!$K$4:$K$110,0)),'Track Data'!AG585)),'Track Data'!U585)</f>
        <v>5.5089295873629895</v>
      </c>
    </row>
    <row r="586" spans="2:34" x14ac:dyDescent="0.25">
      <c r="B586" s="16">
        <v>213.744</v>
      </c>
      <c r="C586" s="16">
        <v>7856</v>
      </c>
      <c r="D586" s="16">
        <v>583</v>
      </c>
      <c r="E586" s="113">
        <v>127</v>
      </c>
      <c r="F586" s="113">
        <v>125.8</v>
      </c>
      <c r="G586" s="113">
        <v>116.4</v>
      </c>
      <c r="H586" s="113">
        <f t="shared" si="68"/>
        <v>32.333333333333336</v>
      </c>
      <c r="I586" s="113">
        <v>17.3</v>
      </c>
      <c r="J586" s="113">
        <v>74.66</v>
      </c>
      <c r="K586" s="113">
        <v>50.5</v>
      </c>
      <c r="L586" s="183"/>
      <c r="M586" s="16">
        <v>583</v>
      </c>
      <c r="N586" s="16">
        <f t="shared" si="70"/>
        <v>2.5269092609066537E-2</v>
      </c>
      <c r="O586" s="16">
        <v>3</v>
      </c>
      <c r="P586" s="16">
        <f t="shared" si="66"/>
        <v>10.596205962059623</v>
      </c>
      <c r="Q586" s="16">
        <f t="shared" si="71"/>
        <v>39.574036767794368</v>
      </c>
      <c r="R586" s="113">
        <f t="shared" si="67"/>
        <v>345.36</v>
      </c>
      <c r="S586" s="16">
        <f>IF(S585=15800,15800,ROUND((((Q586*60)/'Gearing Calculator'!$C$14)*'Track Data'!P586),-2))</f>
        <v>12700</v>
      </c>
      <c r="T586" s="16">
        <f t="shared" si="69"/>
        <v>5.5089295873629895</v>
      </c>
      <c r="U586" s="16">
        <f>IF(AC586=100,Braking!$AG$2354,IF(AC586=50,Braking!$AG$1179,IF(AC586=75,Braking!$AG$1767,0)))</f>
        <v>0</v>
      </c>
      <c r="V586" s="16">
        <f>0.5*'Gearing Calculator'!$C$15*'Gearing Calculator'!$C$20*'Gearing Calculator'!$W$20*('Track Data'!Q586^2)</f>
        <v>165.75648822469066</v>
      </c>
      <c r="W586" s="16">
        <f>('Gearing Calculator'!$U$9*'Track Data'!T586)+'Track Data'!V586</f>
        <v>1632.2335443807185</v>
      </c>
      <c r="X586" s="16">
        <f>('Gearing Calculator'!$U$9*9.81)*('Gearing Calculator'!$U$16/'Gearing Calculator'!$C$7)-(('Track Data'!W586)*('Gearing Calculator'!$U$17/'Gearing Calculator'!$C$7))</f>
        <v>511.48354699040738</v>
      </c>
      <c r="Y586" s="16">
        <f>('Gearing Calculator'!$U$9*9.81)*(('Gearing Calculator'!$C$7-'Gearing Calculator'!$U$16)/'Gearing Calculator'!$C$7)+(('Track Data'!W586)*('Gearing Calculator'!$U$17/'Gearing Calculator'!$C$7))</f>
        <v>2099.9384530095926</v>
      </c>
      <c r="Z586" s="16">
        <f>((X586*COS('Gearing Calculator'!$C$21))/'Gearing Calculator'!$C$22)/2</f>
        <v>15.813453588308835</v>
      </c>
      <c r="AA586" s="16">
        <f>Y586/'Gearing Calculator'!$C$24</f>
        <v>29.322184094578887</v>
      </c>
      <c r="AB586" s="16">
        <f t="shared" si="65"/>
        <v>182.28327698677964</v>
      </c>
      <c r="AC586" s="16">
        <v>0</v>
      </c>
      <c r="AD586" s="16">
        <v>51.415226335993168</v>
      </c>
      <c r="AE586" s="16">
        <v>583</v>
      </c>
      <c r="AF586" s="16">
        <f>IF(AC586=0,IF(O586=6,INDEX(Acceleration!$V$4:$V$110,MATCH('Track Data'!S586,Acceleration!$K$4:$K$110,0)),IF('Track Data'!O586=5,INDEX(Acceleration!$U$4:$U$110,MATCH('Track Data'!S586,Acceleration!$K$4:$K$110,0)),1)),U586)</f>
        <v>1</v>
      </c>
      <c r="AG586" s="16">
        <f>IF(AC586=0,IF(O586=4,INDEX(Acceleration!$T$4:$T$110,MATCH('Track Data'!S586,Acceleration!$K$4:$K$110,0)),IF('Track Data'!O586=3,INDEX(Acceleration!$S$4:$S$110,MATCH('Track Data'!S586,Acceleration!$K$4:$K$110,0)),'Track Data'!AF586)),'Track Data'!U586)</f>
        <v>5.5089295873629895</v>
      </c>
      <c r="AH586" s="16">
        <f>IF(AC586=0,IF(O586=2,INDEX(Acceleration!$R$4:$R$110,MATCH('Track Data'!S586,Acceleration!$K$4:$K$110,0)),IF('Track Data'!O586=1,INDEX(Acceleration!$Q$4:$Q$110,MATCH('Track Data'!S586,Acceleration!$K$4:$K$110,0)),'Track Data'!AG586)),'Track Data'!U586)</f>
        <v>5.5089295873629895</v>
      </c>
    </row>
    <row r="587" spans="2:34" x14ac:dyDescent="0.25">
      <c r="B587" s="16">
        <v>213.773</v>
      </c>
      <c r="C587" s="16">
        <v>7857</v>
      </c>
      <c r="D587" s="16">
        <v>584</v>
      </c>
      <c r="E587" s="113">
        <v>127</v>
      </c>
      <c r="F587" s="113">
        <v>125.4</v>
      </c>
      <c r="G587" s="113">
        <v>115.8</v>
      </c>
      <c r="H587" s="113">
        <f t="shared" si="68"/>
        <v>32.166666666666664</v>
      </c>
      <c r="I587" s="113">
        <v>17.7</v>
      </c>
      <c r="J587" s="113">
        <v>77.84</v>
      </c>
      <c r="K587" s="113">
        <v>54.6</v>
      </c>
      <c r="L587" s="183"/>
      <c r="M587" s="16">
        <v>584</v>
      </c>
      <c r="N587" s="16">
        <f t="shared" si="70"/>
        <v>2.5269092609066537E-2</v>
      </c>
      <c r="O587" s="16">
        <v>3</v>
      </c>
      <c r="P587" s="16">
        <f t="shared" si="66"/>
        <v>10.596205962059623</v>
      </c>
      <c r="Q587" s="16">
        <f t="shared" si="71"/>
        <v>39.574036767794368</v>
      </c>
      <c r="R587" s="113">
        <f t="shared" si="67"/>
        <v>345.36</v>
      </c>
      <c r="S587" s="16">
        <f>IF(S586=15800,15800,ROUND((((Q587*60)/'Gearing Calculator'!$C$14)*'Track Data'!P587),-2))</f>
        <v>12700</v>
      </c>
      <c r="T587" s="16">
        <f t="shared" si="69"/>
        <v>5.5089295873629895</v>
      </c>
      <c r="U587" s="16">
        <f>IF(AC587=100,Braking!$AG$2354,IF(AC587=50,Braking!$AG$1179,IF(AC587=75,Braking!$AG$1767,0)))</f>
        <v>0</v>
      </c>
      <c r="V587" s="16">
        <f>0.5*'Gearing Calculator'!$C$15*'Gearing Calculator'!$C$20*'Gearing Calculator'!$W$20*('Track Data'!Q587^2)</f>
        <v>165.75648822469066</v>
      </c>
      <c r="W587" s="16">
        <f>('Gearing Calculator'!$U$9*'Track Data'!T587)+'Track Data'!V587</f>
        <v>1632.2335443807185</v>
      </c>
      <c r="X587" s="16">
        <f>('Gearing Calculator'!$U$9*9.81)*('Gearing Calculator'!$U$16/'Gearing Calculator'!$C$7)-(('Track Data'!W587)*('Gearing Calculator'!$U$17/'Gearing Calculator'!$C$7))</f>
        <v>511.48354699040738</v>
      </c>
      <c r="Y587" s="16">
        <f>('Gearing Calculator'!$U$9*9.81)*(('Gearing Calculator'!$C$7-'Gearing Calculator'!$U$16)/'Gearing Calculator'!$C$7)+(('Track Data'!W587)*('Gearing Calculator'!$U$17/'Gearing Calculator'!$C$7))</f>
        <v>2099.9384530095926</v>
      </c>
      <c r="Z587" s="16">
        <f>((X587*COS('Gearing Calculator'!$C$21))/'Gearing Calculator'!$C$22)/2</f>
        <v>15.813453588308835</v>
      </c>
      <c r="AA587" s="16">
        <f>Y587/'Gearing Calculator'!$C$24</f>
        <v>29.322184094578887</v>
      </c>
      <c r="AB587" s="16">
        <f t="shared" si="65"/>
        <v>182.28327698677964</v>
      </c>
      <c r="AC587" s="16">
        <v>0</v>
      </c>
      <c r="AD587" s="16">
        <v>51.415226335993168</v>
      </c>
      <c r="AE587" s="16">
        <v>584</v>
      </c>
      <c r="AF587" s="16">
        <f>IF(AC587=0,IF(O587=6,INDEX(Acceleration!$V$4:$V$110,MATCH('Track Data'!S587,Acceleration!$K$4:$K$110,0)),IF('Track Data'!O587=5,INDEX(Acceleration!$U$4:$U$110,MATCH('Track Data'!S587,Acceleration!$K$4:$K$110,0)),1)),U587)</f>
        <v>1</v>
      </c>
      <c r="AG587" s="16">
        <f>IF(AC587=0,IF(O587=4,INDEX(Acceleration!$T$4:$T$110,MATCH('Track Data'!S587,Acceleration!$K$4:$K$110,0)),IF('Track Data'!O587=3,INDEX(Acceleration!$S$4:$S$110,MATCH('Track Data'!S587,Acceleration!$K$4:$K$110,0)),'Track Data'!AF587)),'Track Data'!U587)</f>
        <v>5.5089295873629895</v>
      </c>
      <c r="AH587" s="16">
        <f>IF(AC587=0,IF(O587=2,INDEX(Acceleration!$R$4:$R$110,MATCH('Track Data'!S587,Acceleration!$K$4:$K$110,0)),IF('Track Data'!O587=1,INDEX(Acceleration!$Q$4:$Q$110,MATCH('Track Data'!S587,Acceleration!$K$4:$K$110,0)),'Track Data'!AG587)),'Track Data'!U587)</f>
        <v>5.5089295873629895</v>
      </c>
    </row>
    <row r="588" spans="2:34" x14ac:dyDescent="0.25">
      <c r="B588" s="16">
        <v>213.80099999999999</v>
      </c>
      <c r="C588" s="16">
        <v>7858</v>
      </c>
      <c r="D588" s="16">
        <v>585</v>
      </c>
      <c r="E588" s="113">
        <v>126</v>
      </c>
      <c r="F588" s="113">
        <v>124.7</v>
      </c>
      <c r="G588" s="113">
        <v>115.1</v>
      </c>
      <c r="H588" s="113">
        <f t="shared" si="68"/>
        <v>31.972222222222221</v>
      </c>
      <c r="I588" s="113">
        <v>17.899999999999999</v>
      </c>
      <c r="J588" s="113">
        <v>74.83</v>
      </c>
      <c r="K588" s="113">
        <v>54.6</v>
      </c>
      <c r="L588" s="183"/>
      <c r="M588" s="16">
        <v>585</v>
      </c>
      <c r="N588" s="16">
        <f t="shared" si="70"/>
        <v>2.5269092609066537E-2</v>
      </c>
      <c r="O588" s="16">
        <v>3</v>
      </c>
      <c r="P588" s="16">
        <f t="shared" si="66"/>
        <v>10.596205962059623</v>
      </c>
      <c r="Q588" s="16">
        <f t="shared" si="71"/>
        <v>39.574036767794368</v>
      </c>
      <c r="R588" s="113">
        <f t="shared" si="67"/>
        <v>345.36</v>
      </c>
      <c r="S588" s="16">
        <f>IF(S587=15800,15800,ROUND((((Q588*60)/'Gearing Calculator'!$C$14)*'Track Data'!P588),-2))</f>
        <v>12700</v>
      </c>
      <c r="T588" s="16">
        <f t="shared" si="69"/>
        <v>5.5089295873629895</v>
      </c>
      <c r="U588" s="16">
        <f>IF(AC588=100,Braking!$AG$2354,IF(AC588=50,Braking!$AG$1179,IF(AC588=75,Braking!$AG$1767,0)))</f>
        <v>0</v>
      </c>
      <c r="V588" s="16">
        <f>0.5*'Gearing Calculator'!$C$15*'Gearing Calculator'!$C$20*'Gearing Calculator'!$W$20*('Track Data'!Q588^2)</f>
        <v>165.75648822469066</v>
      </c>
      <c r="W588" s="16">
        <f>('Gearing Calculator'!$U$9*'Track Data'!T588)+'Track Data'!V588</f>
        <v>1632.2335443807185</v>
      </c>
      <c r="X588" s="16">
        <f>('Gearing Calculator'!$U$9*9.81)*('Gearing Calculator'!$U$16/'Gearing Calculator'!$C$7)-(('Track Data'!W588)*('Gearing Calculator'!$U$17/'Gearing Calculator'!$C$7))</f>
        <v>511.48354699040738</v>
      </c>
      <c r="Y588" s="16">
        <f>('Gearing Calculator'!$U$9*9.81)*(('Gearing Calculator'!$C$7-'Gearing Calculator'!$U$16)/'Gearing Calculator'!$C$7)+(('Track Data'!W588)*('Gearing Calculator'!$U$17/'Gearing Calculator'!$C$7))</f>
        <v>2099.9384530095926</v>
      </c>
      <c r="Z588" s="16">
        <f>((X588*COS('Gearing Calculator'!$C$21))/'Gearing Calculator'!$C$22)/2</f>
        <v>15.813453588308835</v>
      </c>
      <c r="AA588" s="16">
        <f>Y588/'Gearing Calculator'!$C$24</f>
        <v>29.322184094578887</v>
      </c>
      <c r="AB588" s="16">
        <f t="shared" si="65"/>
        <v>182.28327698677964</v>
      </c>
      <c r="AC588" s="16">
        <v>0</v>
      </c>
      <c r="AD588" s="16">
        <v>51.415226335993168</v>
      </c>
      <c r="AE588" s="16">
        <v>585</v>
      </c>
      <c r="AF588" s="16">
        <f>IF(AC588=0,IF(O588=6,INDEX(Acceleration!$V$4:$V$110,MATCH('Track Data'!S588,Acceleration!$K$4:$K$110,0)),IF('Track Data'!O588=5,INDEX(Acceleration!$U$4:$U$110,MATCH('Track Data'!S588,Acceleration!$K$4:$K$110,0)),1)),U588)</f>
        <v>1</v>
      </c>
      <c r="AG588" s="16">
        <f>IF(AC588=0,IF(O588=4,INDEX(Acceleration!$T$4:$T$110,MATCH('Track Data'!S588,Acceleration!$K$4:$K$110,0)),IF('Track Data'!O588=3,INDEX(Acceleration!$S$4:$S$110,MATCH('Track Data'!S588,Acceleration!$K$4:$K$110,0)),'Track Data'!AF588)),'Track Data'!U588)</f>
        <v>5.5089295873629895</v>
      </c>
      <c r="AH588" s="16">
        <f>IF(AC588=0,IF(O588=2,INDEX(Acceleration!$R$4:$R$110,MATCH('Track Data'!S588,Acceleration!$K$4:$K$110,0)),IF('Track Data'!O588=1,INDEX(Acceleration!$Q$4:$Q$110,MATCH('Track Data'!S588,Acceleration!$K$4:$K$110,0)),'Track Data'!AG588)),'Track Data'!U588)</f>
        <v>5.5089295873629895</v>
      </c>
    </row>
    <row r="589" spans="2:34" x14ac:dyDescent="0.25">
      <c r="B589" s="16">
        <v>213.83</v>
      </c>
      <c r="C589" s="16">
        <v>7859</v>
      </c>
      <c r="D589" s="16">
        <v>586</v>
      </c>
      <c r="E589" s="113">
        <v>126</v>
      </c>
      <c r="F589" s="113">
        <v>124.3</v>
      </c>
      <c r="G589" s="113">
        <v>114.5</v>
      </c>
      <c r="H589" s="113">
        <f t="shared" si="68"/>
        <v>31.805555555555554</v>
      </c>
      <c r="I589" s="113">
        <v>17.7</v>
      </c>
      <c r="J589" s="113">
        <v>72.819999999999993</v>
      </c>
      <c r="K589" s="113">
        <v>54.6</v>
      </c>
      <c r="L589" s="183"/>
      <c r="M589" s="16">
        <v>586</v>
      </c>
      <c r="N589" s="16">
        <f t="shared" si="70"/>
        <v>2.5269092609066537E-2</v>
      </c>
      <c r="O589" s="16">
        <v>3</v>
      </c>
      <c r="P589" s="16">
        <f t="shared" si="66"/>
        <v>10.596205962059623</v>
      </c>
      <c r="Q589" s="16">
        <f t="shared" si="71"/>
        <v>39.574036767794368</v>
      </c>
      <c r="R589" s="113">
        <f t="shared" si="67"/>
        <v>345.36</v>
      </c>
      <c r="S589" s="16">
        <f>IF(S588=15800,15800,ROUND((((Q589*60)/'Gearing Calculator'!$C$14)*'Track Data'!P589),-2))</f>
        <v>12700</v>
      </c>
      <c r="T589" s="16">
        <f t="shared" si="69"/>
        <v>5.5089295873629895</v>
      </c>
      <c r="U589" s="16">
        <f>IF(AC589=100,Braking!$AG$2354,IF(AC589=50,Braking!$AG$1179,IF(AC589=75,Braking!$AG$1767,0)))</f>
        <v>0</v>
      </c>
      <c r="V589" s="16">
        <f>0.5*'Gearing Calculator'!$C$15*'Gearing Calculator'!$C$20*'Gearing Calculator'!$W$20*('Track Data'!Q589^2)</f>
        <v>165.75648822469066</v>
      </c>
      <c r="W589" s="16">
        <f>('Gearing Calculator'!$U$9*'Track Data'!T589)+'Track Data'!V589</f>
        <v>1632.2335443807185</v>
      </c>
      <c r="X589" s="16">
        <f>('Gearing Calculator'!$U$9*9.81)*('Gearing Calculator'!$U$16/'Gearing Calculator'!$C$7)-(('Track Data'!W589)*('Gearing Calculator'!$U$17/'Gearing Calculator'!$C$7))</f>
        <v>511.48354699040738</v>
      </c>
      <c r="Y589" s="16">
        <f>('Gearing Calculator'!$U$9*9.81)*(('Gearing Calculator'!$C$7-'Gearing Calculator'!$U$16)/'Gearing Calculator'!$C$7)+(('Track Data'!W589)*('Gearing Calculator'!$U$17/'Gearing Calculator'!$C$7))</f>
        <v>2099.9384530095926</v>
      </c>
      <c r="Z589" s="16">
        <f>((X589*COS('Gearing Calculator'!$C$21))/'Gearing Calculator'!$C$22)/2</f>
        <v>15.813453588308835</v>
      </c>
      <c r="AA589" s="16">
        <f>Y589/'Gearing Calculator'!$C$24</f>
        <v>29.322184094578887</v>
      </c>
      <c r="AB589" s="16">
        <f t="shared" si="65"/>
        <v>182.28327698677964</v>
      </c>
      <c r="AC589" s="16">
        <v>0</v>
      </c>
      <c r="AD589" s="16">
        <v>51.415226335993168</v>
      </c>
      <c r="AE589" s="16">
        <v>586</v>
      </c>
      <c r="AF589" s="16">
        <f>IF(AC589=0,IF(O589=6,INDEX(Acceleration!$V$4:$V$110,MATCH('Track Data'!S589,Acceleration!$K$4:$K$110,0)),IF('Track Data'!O589=5,INDEX(Acceleration!$U$4:$U$110,MATCH('Track Data'!S589,Acceleration!$K$4:$K$110,0)),1)),U589)</f>
        <v>1</v>
      </c>
      <c r="AG589" s="16">
        <f>IF(AC589=0,IF(O589=4,INDEX(Acceleration!$T$4:$T$110,MATCH('Track Data'!S589,Acceleration!$K$4:$K$110,0)),IF('Track Data'!O589=3,INDEX(Acceleration!$S$4:$S$110,MATCH('Track Data'!S589,Acceleration!$K$4:$K$110,0)),'Track Data'!AF589)),'Track Data'!U589)</f>
        <v>5.5089295873629895</v>
      </c>
      <c r="AH589" s="16">
        <f>IF(AC589=0,IF(O589=2,INDEX(Acceleration!$R$4:$R$110,MATCH('Track Data'!S589,Acceleration!$K$4:$K$110,0)),IF('Track Data'!O589=1,INDEX(Acceleration!$Q$4:$Q$110,MATCH('Track Data'!S589,Acceleration!$K$4:$K$110,0)),'Track Data'!AG589)),'Track Data'!U589)</f>
        <v>5.5089295873629895</v>
      </c>
    </row>
    <row r="590" spans="2:34" x14ac:dyDescent="0.25">
      <c r="B590" s="16">
        <v>213.85900000000001</v>
      </c>
      <c r="C590" s="16">
        <v>7860</v>
      </c>
      <c r="D590" s="16">
        <v>587</v>
      </c>
      <c r="E590" s="113">
        <v>126</v>
      </c>
      <c r="F590" s="113">
        <v>123.8</v>
      </c>
      <c r="G590" s="113">
        <v>114.3</v>
      </c>
      <c r="H590" s="113">
        <f t="shared" si="68"/>
        <v>31.75</v>
      </c>
      <c r="I590" s="113">
        <v>17.3</v>
      </c>
      <c r="J590" s="113">
        <v>69.98</v>
      </c>
      <c r="K590" s="113">
        <v>57.4</v>
      </c>
      <c r="L590" s="183"/>
      <c r="M590" s="16">
        <v>587</v>
      </c>
      <c r="N590" s="16">
        <f t="shared" si="70"/>
        <v>2.5269092609066537E-2</v>
      </c>
      <c r="O590" s="16">
        <v>3</v>
      </c>
      <c r="P590" s="16">
        <f t="shared" si="66"/>
        <v>10.596205962059623</v>
      </c>
      <c r="Q590" s="16">
        <f t="shared" si="71"/>
        <v>39.574036767794368</v>
      </c>
      <c r="R590" s="113">
        <f t="shared" si="67"/>
        <v>345.36</v>
      </c>
      <c r="S590" s="16">
        <f>IF(S589=15800,15800,ROUND((((Q590*60)/'Gearing Calculator'!$C$14)*'Track Data'!P590),-2))</f>
        <v>12700</v>
      </c>
      <c r="T590" s="16">
        <f t="shared" si="69"/>
        <v>5.5089295873629895</v>
      </c>
      <c r="U590" s="16">
        <f>IF(AC590=100,Braking!$AG$2354,IF(AC590=50,Braking!$AG$1179,IF(AC590=75,Braking!$AG$1767,0)))</f>
        <v>0</v>
      </c>
      <c r="V590" s="16">
        <f>0.5*'Gearing Calculator'!$C$15*'Gearing Calculator'!$C$20*'Gearing Calculator'!$W$20*('Track Data'!Q590^2)</f>
        <v>165.75648822469066</v>
      </c>
      <c r="W590" s="16">
        <f>('Gearing Calculator'!$U$9*'Track Data'!T590)+'Track Data'!V590</f>
        <v>1632.2335443807185</v>
      </c>
      <c r="X590" s="16">
        <f>('Gearing Calculator'!$U$9*9.81)*('Gearing Calculator'!$U$16/'Gearing Calculator'!$C$7)-(('Track Data'!W590)*('Gearing Calculator'!$U$17/'Gearing Calculator'!$C$7))</f>
        <v>511.48354699040738</v>
      </c>
      <c r="Y590" s="16">
        <f>('Gearing Calculator'!$U$9*9.81)*(('Gearing Calculator'!$C$7-'Gearing Calculator'!$U$16)/'Gearing Calculator'!$C$7)+(('Track Data'!W590)*('Gearing Calculator'!$U$17/'Gearing Calculator'!$C$7))</f>
        <v>2099.9384530095926</v>
      </c>
      <c r="Z590" s="16">
        <f>((X590*COS('Gearing Calculator'!$C$21))/'Gearing Calculator'!$C$22)/2</f>
        <v>15.813453588308835</v>
      </c>
      <c r="AA590" s="16">
        <f>Y590/'Gearing Calculator'!$C$24</f>
        <v>29.322184094578887</v>
      </c>
      <c r="AB590" s="16">
        <f t="shared" si="65"/>
        <v>182.28327698677964</v>
      </c>
      <c r="AC590" s="16">
        <v>0</v>
      </c>
      <c r="AD590" s="16">
        <v>51.415226335993168</v>
      </c>
      <c r="AE590" s="16">
        <v>587</v>
      </c>
      <c r="AF590" s="16">
        <f>IF(AC590=0,IF(O590=6,INDEX(Acceleration!$V$4:$V$110,MATCH('Track Data'!S590,Acceleration!$K$4:$K$110,0)),IF('Track Data'!O590=5,INDEX(Acceleration!$U$4:$U$110,MATCH('Track Data'!S590,Acceleration!$K$4:$K$110,0)),1)),U590)</f>
        <v>1</v>
      </c>
      <c r="AG590" s="16">
        <f>IF(AC590=0,IF(O590=4,INDEX(Acceleration!$T$4:$T$110,MATCH('Track Data'!S590,Acceleration!$K$4:$K$110,0)),IF('Track Data'!O590=3,INDEX(Acceleration!$S$4:$S$110,MATCH('Track Data'!S590,Acceleration!$K$4:$K$110,0)),'Track Data'!AF590)),'Track Data'!U590)</f>
        <v>5.5089295873629895</v>
      </c>
      <c r="AH590" s="16">
        <f>IF(AC590=0,IF(O590=2,INDEX(Acceleration!$R$4:$R$110,MATCH('Track Data'!S590,Acceleration!$K$4:$K$110,0)),IF('Track Data'!O590=1,INDEX(Acceleration!$Q$4:$Q$110,MATCH('Track Data'!S590,Acceleration!$K$4:$K$110,0)),'Track Data'!AG590)),'Track Data'!U590)</f>
        <v>5.5089295873629895</v>
      </c>
    </row>
    <row r="591" spans="2:34" x14ac:dyDescent="0.25">
      <c r="B591" s="16">
        <v>213.887</v>
      </c>
      <c r="C591" s="16">
        <v>7861</v>
      </c>
      <c r="D591" s="16">
        <v>588</v>
      </c>
      <c r="E591" s="113">
        <v>126</v>
      </c>
      <c r="F591" s="113">
        <v>123.2</v>
      </c>
      <c r="G591" s="113">
        <v>113.8</v>
      </c>
      <c r="H591" s="113">
        <f t="shared" si="68"/>
        <v>31.611111111111111</v>
      </c>
      <c r="I591" s="113">
        <v>15.7</v>
      </c>
      <c r="J591" s="113">
        <v>74.84</v>
      </c>
      <c r="K591" s="113">
        <v>63.5</v>
      </c>
      <c r="L591" s="183"/>
      <c r="M591" s="16">
        <v>588</v>
      </c>
      <c r="N591" s="16">
        <f t="shared" si="70"/>
        <v>2.5269092609066537E-2</v>
      </c>
      <c r="O591" s="16">
        <v>3</v>
      </c>
      <c r="P591" s="16">
        <f t="shared" si="66"/>
        <v>10.596205962059623</v>
      </c>
      <c r="Q591" s="16">
        <f t="shared" si="71"/>
        <v>39.574036767794368</v>
      </c>
      <c r="R591" s="113">
        <f t="shared" si="67"/>
        <v>345.36</v>
      </c>
      <c r="S591" s="16">
        <f>IF(S590=15800,15800,ROUND((((Q591*60)/'Gearing Calculator'!$C$14)*'Track Data'!P591),-2))</f>
        <v>12700</v>
      </c>
      <c r="T591" s="16">
        <f t="shared" si="69"/>
        <v>5.5089295873629895</v>
      </c>
      <c r="U591" s="16">
        <f>IF(AC591=100,Braking!$AG$2354,IF(AC591=50,Braking!$AG$1179,IF(AC591=75,Braking!$AG$1767,0)))</f>
        <v>0</v>
      </c>
      <c r="V591" s="16">
        <f>0.5*'Gearing Calculator'!$C$15*'Gearing Calculator'!$C$20*'Gearing Calculator'!$W$20*('Track Data'!Q591^2)</f>
        <v>165.75648822469066</v>
      </c>
      <c r="W591" s="16">
        <f>('Gearing Calculator'!$U$9*'Track Data'!T591)+'Track Data'!V591</f>
        <v>1632.2335443807185</v>
      </c>
      <c r="X591" s="16">
        <f>('Gearing Calculator'!$U$9*9.81)*('Gearing Calculator'!$U$16/'Gearing Calculator'!$C$7)-(('Track Data'!W591)*('Gearing Calculator'!$U$17/'Gearing Calculator'!$C$7))</f>
        <v>511.48354699040738</v>
      </c>
      <c r="Y591" s="16">
        <f>('Gearing Calculator'!$U$9*9.81)*(('Gearing Calculator'!$C$7-'Gearing Calculator'!$U$16)/'Gearing Calculator'!$C$7)+(('Track Data'!W591)*('Gearing Calculator'!$U$17/'Gearing Calculator'!$C$7))</f>
        <v>2099.9384530095926</v>
      </c>
      <c r="Z591" s="16">
        <f>((X591*COS('Gearing Calculator'!$C$21))/'Gearing Calculator'!$C$22)/2</f>
        <v>15.813453588308835</v>
      </c>
      <c r="AA591" s="16">
        <f>Y591/'Gearing Calculator'!$C$24</f>
        <v>29.322184094578887</v>
      </c>
      <c r="AB591" s="16">
        <f t="shared" si="65"/>
        <v>182.28327698677964</v>
      </c>
      <c r="AC591" s="16">
        <v>0</v>
      </c>
      <c r="AD591" s="16">
        <v>51.415226335993168</v>
      </c>
      <c r="AE591" s="16">
        <v>588</v>
      </c>
      <c r="AF591" s="16">
        <f>IF(AC591=0,IF(O591=6,INDEX(Acceleration!$V$4:$V$110,MATCH('Track Data'!S591,Acceleration!$K$4:$K$110,0)),IF('Track Data'!O591=5,INDEX(Acceleration!$U$4:$U$110,MATCH('Track Data'!S591,Acceleration!$K$4:$K$110,0)),1)),U591)</f>
        <v>1</v>
      </c>
      <c r="AG591" s="16">
        <f>IF(AC591=0,IF(O591=4,INDEX(Acceleration!$T$4:$T$110,MATCH('Track Data'!S591,Acceleration!$K$4:$K$110,0)),IF('Track Data'!O591=3,INDEX(Acceleration!$S$4:$S$110,MATCH('Track Data'!S591,Acceleration!$K$4:$K$110,0)),'Track Data'!AF591)),'Track Data'!U591)</f>
        <v>5.5089295873629895</v>
      </c>
      <c r="AH591" s="16">
        <f>IF(AC591=0,IF(O591=2,INDEX(Acceleration!$R$4:$R$110,MATCH('Track Data'!S591,Acceleration!$K$4:$K$110,0)),IF('Track Data'!O591=1,INDEX(Acceleration!$Q$4:$Q$110,MATCH('Track Data'!S591,Acceleration!$K$4:$K$110,0)),'Track Data'!AG591)),'Track Data'!U591)</f>
        <v>5.5089295873629895</v>
      </c>
    </row>
    <row r="592" spans="2:34" x14ac:dyDescent="0.25">
      <c r="B592" s="16">
        <v>213.917</v>
      </c>
      <c r="C592" s="16">
        <v>7862</v>
      </c>
      <c r="D592" s="16">
        <v>589</v>
      </c>
      <c r="E592" s="113">
        <v>125</v>
      </c>
      <c r="F592" s="113">
        <v>123</v>
      </c>
      <c r="G592" s="113">
        <v>113.4</v>
      </c>
      <c r="H592" s="113">
        <f t="shared" si="68"/>
        <v>31.5</v>
      </c>
      <c r="I592" s="113">
        <v>14.7</v>
      </c>
      <c r="J592" s="113">
        <v>61.98</v>
      </c>
      <c r="K592" s="113">
        <v>69.7</v>
      </c>
      <c r="L592" s="183"/>
      <c r="M592" s="16">
        <v>589</v>
      </c>
      <c r="N592" s="16">
        <f t="shared" si="70"/>
        <v>2.5269092609066537E-2</v>
      </c>
      <c r="O592" s="16">
        <v>3</v>
      </c>
      <c r="P592" s="16">
        <f t="shared" si="66"/>
        <v>10.596205962059623</v>
      </c>
      <c r="Q592" s="16">
        <f t="shared" si="71"/>
        <v>39.574036767794368</v>
      </c>
      <c r="R592" s="113">
        <f t="shared" si="67"/>
        <v>345.36</v>
      </c>
      <c r="S592" s="16">
        <f>IF(S591=15800,15800,ROUND((((Q592*60)/'Gearing Calculator'!$C$14)*'Track Data'!P592),-2))</f>
        <v>12700</v>
      </c>
      <c r="T592" s="16">
        <f t="shared" si="69"/>
        <v>5.5089295873629895</v>
      </c>
      <c r="U592" s="16">
        <f>IF(AC592=100,Braking!$AG$2354,IF(AC592=50,Braking!$AG$1179,IF(AC592=75,Braking!$AG$1767,0)))</f>
        <v>0</v>
      </c>
      <c r="V592" s="16">
        <f>0.5*'Gearing Calculator'!$C$15*'Gearing Calculator'!$C$20*'Gearing Calculator'!$W$20*('Track Data'!Q592^2)</f>
        <v>165.75648822469066</v>
      </c>
      <c r="W592" s="16">
        <f>('Gearing Calculator'!$U$9*'Track Data'!T592)+'Track Data'!V592</f>
        <v>1632.2335443807185</v>
      </c>
      <c r="X592" s="16">
        <f>('Gearing Calculator'!$U$9*9.81)*('Gearing Calculator'!$U$16/'Gearing Calculator'!$C$7)-(('Track Data'!W592)*('Gearing Calculator'!$U$17/'Gearing Calculator'!$C$7))</f>
        <v>511.48354699040738</v>
      </c>
      <c r="Y592" s="16">
        <f>('Gearing Calculator'!$U$9*9.81)*(('Gearing Calculator'!$C$7-'Gearing Calculator'!$U$16)/'Gearing Calculator'!$C$7)+(('Track Data'!W592)*('Gearing Calculator'!$U$17/'Gearing Calculator'!$C$7))</f>
        <v>2099.9384530095926</v>
      </c>
      <c r="Z592" s="16">
        <f>((X592*COS('Gearing Calculator'!$C$21))/'Gearing Calculator'!$C$22)/2</f>
        <v>15.813453588308835</v>
      </c>
      <c r="AA592" s="16">
        <f>Y592/'Gearing Calculator'!$C$24</f>
        <v>29.322184094578887</v>
      </c>
      <c r="AB592" s="16">
        <f t="shared" si="65"/>
        <v>182.28327698677964</v>
      </c>
      <c r="AC592" s="16">
        <v>0</v>
      </c>
      <c r="AD592" s="16">
        <v>51.415226335993168</v>
      </c>
      <c r="AE592" s="16">
        <v>589</v>
      </c>
      <c r="AF592" s="16">
        <f>IF(AC592=0,IF(O592=6,INDEX(Acceleration!$V$4:$V$110,MATCH('Track Data'!S592,Acceleration!$K$4:$K$110,0)),IF('Track Data'!O592=5,INDEX(Acceleration!$U$4:$U$110,MATCH('Track Data'!S592,Acceleration!$K$4:$K$110,0)),1)),U592)</f>
        <v>1</v>
      </c>
      <c r="AG592" s="16">
        <f>IF(AC592=0,IF(O592=4,INDEX(Acceleration!$T$4:$T$110,MATCH('Track Data'!S592,Acceleration!$K$4:$K$110,0)),IF('Track Data'!O592=3,INDEX(Acceleration!$S$4:$S$110,MATCH('Track Data'!S592,Acceleration!$K$4:$K$110,0)),'Track Data'!AF592)),'Track Data'!U592)</f>
        <v>5.5089295873629895</v>
      </c>
      <c r="AH592" s="16">
        <f>IF(AC592=0,IF(O592=2,INDEX(Acceleration!$R$4:$R$110,MATCH('Track Data'!S592,Acceleration!$K$4:$K$110,0)),IF('Track Data'!O592=1,INDEX(Acceleration!$Q$4:$Q$110,MATCH('Track Data'!S592,Acceleration!$K$4:$K$110,0)),'Track Data'!AG592)),'Track Data'!U592)</f>
        <v>5.5089295873629895</v>
      </c>
    </row>
    <row r="593" spans="2:34" x14ac:dyDescent="0.25">
      <c r="B593" s="16">
        <v>213.946</v>
      </c>
      <c r="C593" s="16">
        <v>7863</v>
      </c>
      <c r="D593" s="16">
        <v>590</v>
      </c>
      <c r="E593" s="113">
        <v>126</v>
      </c>
      <c r="F593" s="113">
        <v>123</v>
      </c>
      <c r="G593" s="113">
        <v>113</v>
      </c>
      <c r="H593" s="113">
        <f t="shared" si="68"/>
        <v>31.388888888888889</v>
      </c>
      <c r="I593" s="113">
        <v>10</v>
      </c>
      <c r="J593" s="113">
        <v>62.76</v>
      </c>
      <c r="K593" s="114">
        <v>70.7</v>
      </c>
      <c r="L593" s="183"/>
      <c r="M593" s="16">
        <v>590</v>
      </c>
      <c r="N593" s="16">
        <f t="shared" si="70"/>
        <v>2.5269092609066537E-2</v>
      </c>
      <c r="O593" s="16">
        <v>3</v>
      </c>
      <c r="P593" s="16">
        <f t="shared" si="66"/>
        <v>10.596205962059623</v>
      </c>
      <c r="Q593" s="16">
        <f t="shared" si="71"/>
        <v>39.574036767794368</v>
      </c>
      <c r="R593" s="113">
        <f t="shared" si="67"/>
        <v>345.36</v>
      </c>
      <c r="S593" s="16">
        <f>IF(S592=15800,15800,ROUND((((Q593*60)/'Gearing Calculator'!$C$14)*'Track Data'!P593),-2))</f>
        <v>12700</v>
      </c>
      <c r="T593" s="16">
        <f t="shared" si="69"/>
        <v>5.5089295873629895</v>
      </c>
      <c r="U593" s="16">
        <f>IF(AC593=100,Braking!$AG$2354,IF(AC593=50,Braking!$AG$1179,IF(AC593=75,Braking!$AG$1767,0)))</f>
        <v>0</v>
      </c>
      <c r="V593" s="16">
        <f>0.5*'Gearing Calculator'!$C$15*'Gearing Calculator'!$C$20*'Gearing Calculator'!$W$20*('Track Data'!Q593^2)</f>
        <v>165.75648822469066</v>
      </c>
      <c r="W593" s="16">
        <f>('Gearing Calculator'!$U$9*'Track Data'!T593)+'Track Data'!V593</f>
        <v>1632.2335443807185</v>
      </c>
      <c r="X593" s="16">
        <f>('Gearing Calculator'!$U$9*9.81)*('Gearing Calculator'!$U$16/'Gearing Calculator'!$C$7)-(('Track Data'!W593)*('Gearing Calculator'!$U$17/'Gearing Calculator'!$C$7))</f>
        <v>511.48354699040738</v>
      </c>
      <c r="Y593" s="16">
        <f>('Gearing Calculator'!$U$9*9.81)*(('Gearing Calculator'!$C$7-'Gearing Calculator'!$U$16)/'Gearing Calculator'!$C$7)+(('Track Data'!W593)*('Gearing Calculator'!$U$17/'Gearing Calculator'!$C$7))</f>
        <v>2099.9384530095926</v>
      </c>
      <c r="Z593" s="16">
        <f>((X593*COS('Gearing Calculator'!$C$21))/'Gearing Calculator'!$C$22)/2</f>
        <v>15.813453588308835</v>
      </c>
      <c r="AA593" s="16">
        <f>Y593/'Gearing Calculator'!$C$24</f>
        <v>29.322184094578887</v>
      </c>
      <c r="AB593" s="16">
        <f t="shared" si="65"/>
        <v>182.28327698677964</v>
      </c>
      <c r="AC593" s="16">
        <v>0</v>
      </c>
      <c r="AD593" s="16">
        <v>51.415226335993168</v>
      </c>
      <c r="AE593" s="16">
        <v>590</v>
      </c>
      <c r="AF593" s="16">
        <f>IF(AC593=0,IF(O593=6,INDEX(Acceleration!$V$4:$V$110,MATCH('Track Data'!S593,Acceleration!$K$4:$K$110,0)),IF('Track Data'!O593=5,INDEX(Acceleration!$U$4:$U$110,MATCH('Track Data'!S593,Acceleration!$K$4:$K$110,0)),1)),U593)</f>
        <v>1</v>
      </c>
      <c r="AG593" s="16">
        <f>IF(AC593=0,IF(O593=4,INDEX(Acceleration!$T$4:$T$110,MATCH('Track Data'!S593,Acceleration!$K$4:$K$110,0)),IF('Track Data'!O593=3,INDEX(Acceleration!$S$4:$S$110,MATCH('Track Data'!S593,Acceleration!$K$4:$K$110,0)),'Track Data'!AF593)),'Track Data'!U593)</f>
        <v>5.5089295873629895</v>
      </c>
      <c r="AH593" s="16">
        <f>IF(AC593=0,IF(O593=2,INDEX(Acceleration!$R$4:$R$110,MATCH('Track Data'!S593,Acceleration!$K$4:$K$110,0)),IF('Track Data'!O593=1,INDEX(Acceleration!$Q$4:$Q$110,MATCH('Track Data'!S593,Acceleration!$K$4:$K$110,0)),'Track Data'!AG593)),'Track Data'!U593)</f>
        <v>5.5089295873629895</v>
      </c>
    </row>
    <row r="594" spans="2:34" x14ac:dyDescent="0.25">
      <c r="B594" s="16">
        <v>213.97499999999999</v>
      </c>
      <c r="C594" s="16">
        <v>7864</v>
      </c>
      <c r="D594" s="16">
        <v>591</v>
      </c>
      <c r="E594" s="113">
        <v>127</v>
      </c>
      <c r="F594" s="113">
        <v>123</v>
      </c>
      <c r="G594" s="113">
        <v>112.7</v>
      </c>
      <c r="H594" s="113">
        <f t="shared" si="68"/>
        <v>31.305555555555557</v>
      </c>
      <c r="I594" s="113">
        <v>6.4</v>
      </c>
      <c r="J594" s="113">
        <v>54.2</v>
      </c>
      <c r="K594" s="113">
        <v>70.400000000000006</v>
      </c>
      <c r="L594" s="183"/>
      <c r="M594" s="16">
        <v>591</v>
      </c>
      <c r="N594" s="16">
        <f t="shared" si="70"/>
        <v>2.5269092609066537E-2</v>
      </c>
      <c r="O594" s="16">
        <v>3</v>
      </c>
      <c r="P594" s="16">
        <f t="shared" si="66"/>
        <v>10.596205962059623</v>
      </c>
      <c r="Q594" s="16">
        <f t="shared" si="71"/>
        <v>39.574036767794368</v>
      </c>
      <c r="R594" s="113">
        <f t="shared" si="67"/>
        <v>345.36</v>
      </c>
      <c r="S594" s="16">
        <f>IF(S593=15800,15800,ROUND((((Q594*60)/'Gearing Calculator'!$C$14)*'Track Data'!P594),-2))</f>
        <v>12700</v>
      </c>
      <c r="T594" s="16">
        <f t="shared" si="69"/>
        <v>5.5089295873629895</v>
      </c>
      <c r="U594" s="16">
        <f>IF(AC594=100,Braking!$AG$2354,IF(AC594=50,Braking!$AG$1179,IF(AC594=75,Braking!$AG$1767,0)))</f>
        <v>0</v>
      </c>
      <c r="V594" s="16">
        <f>0.5*'Gearing Calculator'!$C$15*'Gearing Calculator'!$C$20*'Gearing Calculator'!$W$20*('Track Data'!Q594^2)</f>
        <v>165.75648822469066</v>
      </c>
      <c r="W594" s="16">
        <f>('Gearing Calculator'!$U$9*'Track Data'!T594)+'Track Data'!V594</f>
        <v>1632.2335443807185</v>
      </c>
      <c r="X594" s="16">
        <f>('Gearing Calculator'!$U$9*9.81)*('Gearing Calculator'!$U$16/'Gearing Calculator'!$C$7)-(('Track Data'!W594)*('Gearing Calculator'!$U$17/'Gearing Calculator'!$C$7))</f>
        <v>511.48354699040738</v>
      </c>
      <c r="Y594" s="16">
        <f>('Gearing Calculator'!$U$9*9.81)*(('Gearing Calculator'!$C$7-'Gearing Calculator'!$U$16)/'Gearing Calculator'!$C$7)+(('Track Data'!W594)*('Gearing Calculator'!$U$17/'Gearing Calculator'!$C$7))</f>
        <v>2099.9384530095926</v>
      </c>
      <c r="Z594" s="16">
        <f>((X594*COS('Gearing Calculator'!$C$21))/'Gearing Calculator'!$C$22)/2</f>
        <v>15.813453588308835</v>
      </c>
      <c r="AA594" s="16">
        <f>Y594/'Gearing Calculator'!$C$24</f>
        <v>29.322184094578887</v>
      </c>
      <c r="AB594" s="16">
        <f t="shared" si="65"/>
        <v>182.28327698677964</v>
      </c>
      <c r="AC594" s="16">
        <v>0</v>
      </c>
      <c r="AD594" s="16">
        <v>51.415226335993168</v>
      </c>
      <c r="AE594" s="16">
        <v>591</v>
      </c>
      <c r="AF594" s="16">
        <f>IF(AC594=0,IF(O594=6,INDEX(Acceleration!$V$4:$V$110,MATCH('Track Data'!S594,Acceleration!$K$4:$K$110,0)),IF('Track Data'!O594=5,INDEX(Acceleration!$U$4:$U$110,MATCH('Track Data'!S594,Acceleration!$K$4:$K$110,0)),1)),U594)</f>
        <v>1</v>
      </c>
      <c r="AG594" s="16">
        <f>IF(AC594=0,IF(O594=4,INDEX(Acceleration!$T$4:$T$110,MATCH('Track Data'!S594,Acceleration!$K$4:$K$110,0)),IF('Track Data'!O594=3,INDEX(Acceleration!$S$4:$S$110,MATCH('Track Data'!S594,Acceleration!$K$4:$K$110,0)),'Track Data'!AF594)),'Track Data'!U594)</f>
        <v>5.5089295873629895</v>
      </c>
      <c r="AH594" s="16">
        <f>IF(AC594=0,IF(O594=2,INDEX(Acceleration!$R$4:$R$110,MATCH('Track Data'!S594,Acceleration!$K$4:$K$110,0)),IF('Track Data'!O594=1,INDEX(Acceleration!$Q$4:$Q$110,MATCH('Track Data'!S594,Acceleration!$K$4:$K$110,0)),'Track Data'!AG594)),'Track Data'!U594)</f>
        <v>5.5089295873629895</v>
      </c>
    </row>
    <row r="595" spans="2:34" x14ac:dyDescent="0.25">
      <c r="B595" s="16">
        <v>214.00399999999999</v>
      </c>
      <c r="C595" s="16">
        <v>7865</v>
      </c>
      <c r="D595" s="16">
        <v>592</v>
      </c>
      <c r="E595" s="113">
        <v>126</v>
      </c>
      <c r="F595" s="113">
        <v>123.2</v>
      </c>
      <c r="G595" s="113">
        <v>112.4</v>
      </c>
      <c r="H595" s="113">
        <f t="shared" si="68"/>
        <v>31.222222222222221</v>
      </c>
      <c r="I595" s="113">
        <v>6.4</v>
      </c>
      <c r="J595" s="113">
        <v>59.94</v>
      </c>
      <c r="K595" s="113">
        <v>70</v>
      </c>
      <c r="L595" s="183"/>
      <c r="M595" s="16">
        <v>592</v>
      </c>
      <c r="N595" s="16">
        <f t="shared" si="70"/>
        <v>2.5269092609066537E-2</v>
      </c>
      <c r="O595" s="16">
        <v>3</v>
      </c>
      <c r="P595" s="16">
        <f t="shared" si="66"/>
        <v>10.596205962059623</v>
      </c>
      <c r="Q595" s="16">
        <f t="shared" si="71"/>
        <v>39.574036767794368</v>
      </c>
      <c r="R595" s="113">
        <f t="shared" si="67"/>
        <v>345.36</v>
      </c>
      <c r="S595" s="16">
        <f>IF(S594=15800,15800,ROUND((((Q595*60)/'Gearing Calculator'!$C$14)*'Track Data'!P595),-2))</f>
        <v>12700</v>
      </c>
      <c r="T595" s="16">
        <f t="shared" si="69"/>
        <v>5.5089295873629895</v>
      </c>
      <c r="U595" s="16">
        <f>IF(AC595=100,Braking!$AG$2354,IF(AC595=50,Braking!$AG$1179,IF(AC595=75,Braking!$AG$1767,0)))</f>
        <v>0</v>
      </c>
      <c r="V595" s="16">
        <f>0.5*'Gearing Calculator'!$C$15*'Gearing Calculator'!$C$20*'Gearing Calculator'!$W$20*('Track Data'!Q595^2)</f>
        <v>165.75648822469066</v>
      </c>
      <c r="W595" s="16">
        <f>('Gearing Calculator'!$U$9*'Track Data'!T595)+'Track Data'!V595</f>
        <v>1632.2335443807185</v>
      </c>
      <c r="X595" s="16">
        <f>('Gearing Calculator'!$U$9*9.81)*('Gearing Calculator'!$U$16/'Gearing Calculator'!$C$7)-(('Track Data'!W595)*('Gearing Calculator'!$U$17/'Gearing Calculator'!$C$7))</f>
        <v>511.48354699040738</v>
      </c>
      <c r="Y595" s="16">
        <f>('Gearing Calculator'!$U$9*9.81)*(('Gearing Calculator'!$C$7-'Gearing Calculator'!$U$16)/'Gearing Calculator'!$C$7)+(('Track Data'!W595)*('Gearing Calculator'!$U$17/'Gearing Calculator'!$C$7))</f>
        <v>2099.9384530095926</v>
      </c>
      <c r="Z595" s="16">
        <f>((X595*COS('Gearing Calculator'!$C$21))/'Gearing Calculator'!$C$22)/2</f>
        <v>15.813453588308835</v>
      </c>
      <c r="AA595" s="16">
        <f>Y595/'Gearing Calculator'!$C$24</f>
        <v>29.322184094578887</v>
      </c>
      <c r="AB595" s="16">
        <f t="shared" si="65"/>
        <v>182.28327698677964</v>
      </c>
      <c r="AC595" s="16">
        <v>0</v>
      </c>
      <c r="AD595" s="16">
        <v>51.415226335993168</v>
      </c>
      <c r="AE595" s="16">
        <v>592</v>
      </c>
      <c r="AF595" s="16">
        <f>IF(AC595=0,IF(O595=6,INDEX(Acceleration!$V$4:$V$110,MATCH('Track Data'!S595,Acceleration!$K$4:$K$110,0)),IF('Track Data'!O595=5,INDEX(Acceleration!$U$4:$U$110,MATCH('Track Data'!S595,Acceleration!$K$4:$K$110,0)),1)),U595)</f>
        <v>1</v>
      </c>
      <c r="AG595" s="16">
        <f>IF(AC595=0,IF(O595=4,INDEX(Acceleration!$T$4:$T$110,MATCH('Track Data'!S595,Acceleration!$K$4:$K$110,0)),IF('Track Data'!O595=3,INDEX(Acceleration!$S$4:$S$110,MATCH('Track Data'!S595,Acceleration!$K$4:$K$110,0)),'Track Data'!AF595)),'Track Data'!U595)</f>
        <v>5.5089295873629895</v>
      </c>
      <c r="AH595" s="16">
        <f>IF(AC595=0,IF(O595=2,INDEX(Acceleration!$R$4:$R$110,MATCH('Track Data'!S595,Acceleration!$K$4:$K$110,0)),IF('Track Data'!O595=1,INDEX(Acceleration!$Q$4:$Q$110,MATCH('Track Data'!S595,Acceleration!$K$4:$K$110,0)),'Track Data'!AG595)),'Track Data'!U595)</f>
        <v>5.5089295873629895</v>
      </c>
    </row>
    <row r="596" spans="2:34" x14ac:dyDescent="0.25">
      <c r="B596" s="16">
        <v>214.03299999999999</v>
      </c>
      <c r="C596" s="16">
        <v>7866</v>
      </c>
      <c r="D596" s="16">
        <v>593</v>
      </c>
      <c r="E596" s="113">
        <v>126</v>
      </c>
      <c r="F596" s="113">
        <v>122.8</v>
      </c>
      <c r="G596" s="113">
        <v>112.1</v>
      </c>
      <c r="H596" s="113">
        <f t="shared" si="68"/>
        <v>31.138888888888886</v>
      </c>
      <c r="I596" s="113">
        <v>6</v>
      </c>
      <c r="J596" s="113">
        <v>61.17</v>
      </c>
      <c r="K596" s="113">
        <v>68.5</v>
      </c>
      <c r="L596" s="183"/>
      <c r="M596" s="16">
        <v>593</v>
      </c>
      <c r="N596" s="16">
        <f t="shared" si="70"/>
        <v>2.5269092609066537E-2</v>
      </c>
      <c r="O596" s="16">
        <v>3</v>
      </c>
      <c r="P596" s="16">
        <f t="shared" si="66"/>
        <v>10.596205962059623</v>
      </c>
      <c r="Q596" s="16">
        <f t="shared" si="71"/>
        <v>39.574036767794368</v>
      </c>
      <c r="R596" s="113">
        <f t="shared" si="67"/>
        <v>345.36</v>
      </c>
      <c r="S596" s="16">
        <f>IF(S595=15800,15800,ROUND((((Q596*60)/'Gearing Calculator'!$C$14)*'Track Data'!P596),-2))</f>
        <v>12700</v>
      </c>
      <c r="T596" s="16">
        <f t="shared" si="69"/>
        <v>5.5089295873629895</v>
      </c>
      <c r="U596" s="16">
        <f>IF(AC596=100,Braking!$AG$2354,IF(AC596=50,Braking!$AG$1179,IF(AC596=75,Braking!$AG$1767,0)))</f>
        <v>0</v>
      </c>
      <c r="V596" s="16">
        <f>0.5*'Gearing Calculator'!$C$15*'Gearing Calculator'!$C$20*'Gearing Calculator'!$W$20*('Track Data'!Q596^2)</f>
        <v>165.75648822469066</v>
      </c>
      <c r="W596" s="16">
        <f>('Gearing Calculator'!$U$9*'Track Data'!T596)+'Track Data'!V596</f>
        <v>1632.2335443807185</v>
      </c>
      <c r="X596" s="16">
        <f>('Gearing Calculator'!$U$9*9.81)*('Gearing Calculator'!$U$16/'Gearing Calculator'!$C$7)-(('Track Data'!W596)*('Gearing Calculator'!$U$17/'Gearing Calculator'!$C$7))</f>
        <v>511.48354699040738</v>
      </c>
      <c r="Y596" s="16">
        <f>('Gearing Calculator'!$U$9*9.81)*(('Gearing Calculator'!$C$7-'Gearing Calculator'!$U$16)/'Gearing Calculator'!$C$7)+(('Track Data'!W596)*('Gearing Calculator'!$U$17/'Gearing Calculator'!$C$7))</f>
        <v>2099.9384530095926</v>
      </c>
      <c r="Z596" s="16">
        <f>((X596*COS('Gearing Calculator'!$C$21))/'Gearing Calculator'!$C$22)/2</f>
        <v>15.813453588308835</v>
      </c>
      <c r="AA596" s="16">
        <f>Y596/'Gearing Calculator'!$C$24</f>
        <v>29.322184094578887</v>
      </c>
      <c r="AB596" s="16">
        <f t="shared" si="65"/>
        <v>182.28327698677964</v>
      </c>
      <c r="AC596" s="16">
        <v>0</v>
      </c>
      <c r="AD596" s="16">
        <v>51.415226335993168</v>
      </c>
      <c r="AE596" s="16">
        <v>593</v>
      </c>
      <c r="AF596" s="16">
        <f>IF(AC596=0,IF(O596=6,INDEX(Acceleration!$V$4:$V$110,MATCH('Track Data'!S596,Acceleration!$K$4:$K$110,0)),IF('Track Data'!O596=5,INDEX(Acceleration!$U$4:$U$110,MATCH('Track Data'!S596,Acceleration!$K$4:$K$110,0)),1)),U596)</f>
        <v>1</v>
      </c>
      <c r="AG596" s="16">
        <f>IF(AC596=0,IF(O596=4,INDEX(Acceleration!$T$4:$T$110,MATCH('Track Data'!S596,Acceleration!$K$4:$K$110,0)),IF('Track Data'!O596=3,INDEX(Acceleration!$S$4:$S$110,MATCH('Track Data'!S596,Acceleration!$K$4:$K$110,0)),'Track Data'!AF596)),'Track Data'!U596)</f>
        <v>5.5089295873629895</v>
      </c>
      <c r="AH596" s="16">
        <f>IF(AC596=0,IF(O596=2,INDEX(Acceleration!$R$4:$R$110,MATCH('Track Data'!S596,Acceleration!$K$4:$K$110,0)),IF('Track Data'!O596=1,INDEX(Acceleration!$Q$4:$Q$110,MATCH('Track Data'!S596,Acceleration!$K$4:$K$110,0)),'Track Data'!AG596)),'Track Data'!U596)</f>
        <v>5.5089295873629895</v>
      </c>
    </row>
    <row r="597" spans="2:34" x14ac:dyDescent="0.25">
      <c r="B597" s="16">
        <v>214.06299999999999</v>
      </c>
      <c r="C597" s="16">
        <v>7867</v>
      </c>
      <c r="D597" s="16">
        <v>594</v>
      </c>
      <c r="E597" s="113">
        <v>127</v>
      </c>
      <c r="F597" s="113">
        <v>123.2</v>
      </c>
      <c r="G597" s="113">
        <v>111.9</v>
      </c>
      <c r="H597" s="113">
        <f t="shared" si="68"/>
        <v>31.083333333333336</v>
      </c>
      <c r="I597" s="113">
        <v>12.1</v>
      </c>
      <c r="J597" s="113">
        <v>66.48</v>
      </c>
      <c r="K597" s="113">
        <v>67.099999999999994</v>
      </c>
      <c r="L597" s="183"/>
      <c r="M597" s="16">
        <v>594</v>
      </c>
      <c r="N597" s="16">
        <f t="shared" si="70"/>
        <v>2.5269092609066537E-2</v>
      </c>
      <c r="O597" s="16">
        <v>3</v>
      </c>
      <c r="P597" s="16">
        <f t="shared" si="66"/>
        <v>10.596205962059623</v>
      </c>
      <c r="Q597" s="16">
        <f t="shared" si="71"/>
        <v>39.574036767794368</v>
      </c>
      <c r="R597" s="113">
        <f t="shared" si="67"/>
        <v>345.36</v>
      </c>
      <c r="S597" s="16">
        <f>IF(S596=15800,15800,ROUND((((Q597*60)/'Gearing Calculator'!$C$14)*'Track Data'!P597),-2))</f>
        <v>12700</v>
      </c>
      <c r="T597" s="16">
        <f t="shared" si="69"/>
        <v>5.5089295873629895</v>
      </c>
      <c r="U597" s="16">
        <f>IF(AC597=100,Braking!$AG$2354,IF(AC597=50,Braking!$AG$1179,IF(AC597=75,Braking!$AG$1767,0)))</f>
        <v>0</v>
      </c>
      <c r="V597" s="16">
        <f>0.5*'Gearing Calculator'!$C$15*'Gearing Calculator'!$C$20*'Gearing Calculator'!$W$20*('Track Data'!Q597^2)</f>
        <v>165.75648822469066</v>
      </c>
      <c r="W597" s="16">
        <f>('Gearing Calculator'!$U$9*'Track Data'!T597)+'Track Data'!V597</f>
        <v>1632.2335443807185</v>
      </c>
      <c r="X597" s="16">
        <f>('Gearing Calculator'!$U$9*9.81)*('Gearing Calculator'!$U$16/'Gearing Calculator'!$C$7)-(('Track Data'!W597)*('Gearing Calculator'!$U$17/'Gearing Calculator'!$C$7))</f>
        <v>511.48354699040738</v>
      </c>
      <c r="Y597" s="16">
        <f>('Gearing Calculator'!$U$9*9.81)*(('Gearing Calculator'!$C$7-'Gearing Calculator'!$U$16)/'Gearing Calculator'!$C$7)+(('Track Data'!W597)*('Gearing Calculator'!$U$17/'Gearing Calculator'!$C$7))</f>
        <v>2099.9384530095926</v>
      </c>
      <c r="Z597" s="16">
        <f>((X597*COS('Gearing Calculator'!$C$21))/'Gearing Calculator'!$C$22)/2</f>
        <v>15.813453588308835</v>
      </c>
      <c r="AA597" s="16">
        <f>Y597/'Gearing Calculator'!$C$24</f>
        <v>29.322184094578887</v>
      </c>
      <c r="AB597" s="16">
        <f t="shared" si="65"/>
        <v>182.28327698677964</v>
      </c>
      <c r="AC597" s="16">
        <v>0</v>
      </c>
      <c r="AD597" s="16">
        <v>51.415226335993168</v>
      </c>
      <c r="AE597" s="16">
        <v>594</v>
      </c>
      <c r="AF597" s="16">
        <f>IF(AC597=0,IF(O597=6,INDEX(Acceleration!$V$4:$V$110,MATCH('Track Data'!S597,Acceleration!$K$4:$K$110,0)),IF('Track Data'!O597=5,INDEX(Acceleration!$U$4:$U$110,MATCH('Track Data'!S597,Acceleration!$K$4:$K$110,0)),1)),U597)</f>
        <v>1</v>
      </c>
      <c r="AG597" s="16">
        <f>IF(AC597=0,IF(O597=4,INDEX(Acceleration!$T$4:$T$110,MATCH('Track Data'!S597,Acceleration!$K$4:$K$110,0)),IF('Track Data'!O597=3,INDEX(Acceleration!$S$4:$S$110,MATCH('Track Data'!S597,Acceleration!$K$4:$K$110,0)),'Track Data'!AF597)),'Track Data'!U597)</f>
        <v>5.5089295873629895</v>
      </c>
      <c r="AH597" s="16">
        <f>IF(AC597=0,IF(O597=2,INDEX(Acceleration!$R$4:$R$110,MATCH('Track Data'!S597,Acceleration!$K$4:$K$110,0)),IF('Track Data'!O597=1,INDEX(Acceleration!$Q$4:$Q$110,MATCH('Track Data'!S597,Acceleration!$K$4:$K$110,0)),'Track Data'!AG597)),'Track Data'!U597)</f>
        <v>5.5089295873629895</v>
      </c>
    </row>
    <row r="598" spans="2:34" x14ac:dyDescent="0.25">
      <c r="B598" s="16">
        <v>214.09200000000001</v>
      </c>
      <c r="C598" s="16">
        <v>7868</v>
      </c>
      <c r="D598" s="16">
        <v>595</v>
      </c>
      <c r="E598" s="113">
        <v>127</v>
      </c>
      <c r="F598" s="113">
        <v>123.1</v>
      </c>
      <c r="G598" s="113">
        <v>111.7</v>
      </c>
      <c r="H598" s="113">
        <f t="shared" si="68"/>
        <v>31.027777777777779</v>
      </c>
      <c r="I598" s="113">
        <v>14.2</v>
      </c>
      <c r="J598" s="113">
        <v>71.8</v>
      </c>
      <c r="K598" s="113">
        <v>60.7</v>
      </c>
      <c r="L598" s="183"/>
      <c r="M598" s="16">
        <v>595</v>
      </c>
      <c r="N598" s="16">
        <f t="shared" si="70"/>
        <v>2.5269092609066537E-2</v>
      </c>
      <c r="O598" s="16">
        <v>3</v>
      </c>
      <c r="P598" s="16">
        <f t="shared" si="66"/>
        <v>10.596205962059623</v>
      </c>
      <c r="Q598" s="16">
        <f t="shared" si="71"/>
        <v>39.574036767794368</v>
      </c>
      <c r="R598" s="113">
        <f t="shared" si="67"/>
        <v>345.36</v>
      </c>
      <c r="S598" s="16">
        <f>IF(S597=15800,15800,ROUND((((Q598*60)/'Gearing Calculator'!$C$14)*'Track Data'!P598),-2))</f>
        <v>12700</v>
      </c>
      <c r="T598" s="16">
        <f t="shared" si="69"/>
        <v>5.5089295873629895</v>
      </c>
      <c r="U598" s="16">
        <f>IF(AC598=100,Braking!$AG$2354,IF(AC598=50,Braking!$AG$1179,IF(AC598=75,Braking!$AG$1767,0)))</f>
        <v>0</v>
      </c>
      <c r="V598" s="16">
        <f>0.5*'Gearing Calculator'!$C$15*'Gearing Calculator'!$C$20*'Gearing Calculator'!$W$20*('Track Data'!Q598^2)</f>
        <v>165.75648822469066</v>
      </c>
      <c r="W598" s="16">
        <f>('Gearing Calculator'!$U$9*'Track Data'!T598)+'Track Data'!V598</f>
        <v>1632.2335443807185</v>
      </c>
      <c r="X598" s="16">
        <f>('Gearing Calculator'!$U$9*9.81)*('Gearing Calculator'!$U$16/'Gearing Calculator'!$C$7)-(('Track Data'!W598)*('Gearing Calculator'!$U$17/'Gearing Calculator'!$C$7))</f>
        <v>511.48354699040738</v>
      </c>
      <c r="Y598" s="16">
        <f>('Gearing Calculator'!$U$9*9.81)*(('Gearing Calculator'!$C$7-'Gearing Calculator'!$U$16)/'Gearing Calculator'!$C$7)+(('Track Data'!W598)*('Gearing Calculator'!$U$17/'Gearing Calculator'!$C$7))</f>
        <v>2099.9384530095926</v>
      </c>
      <c r="Z598" s="16">
        <f>((X598*COS('Gearing Calculator'!$C$21))/'Gearing Calculator'!$C$22)/2</f>
        <v>15.813453588308835</v>
      </c>
      <c r="AA598" s="16">
        <f>Y598/'Gearing Calculator'!$C$24</f>
        <v>29.322184094578887</v>
      </c>
      <c r="AB598" s="16">
        <f t="shared" si="65"/>
        <v>182.28327698677964</v>
      </c>
      <c r="AC598" s="16">
        <v>0</v>
      </c>
      <c r="AD598" s="16">
        <v>51.415226335993168</v>
      </c>
      <c r="AE598" s="16">
        <v>595</v>
      </c>
      <c r="AF598" s="16">
        <f>IF(AC598=0,IF(O598=6,INDEX(Acceleration!$V$4:$V$110,MATCH('Track Data'!S598,Acceleration!$K$4:$K$110,0)),IF('Track Data'!O598=5,INDEX(Acceleration!$U$4:$U$110,MATCH('Track Data'!S598,Acceleration!$K$4:$K$110,0)),1)),U598)</f>
        <v>1</v>
      </c>
      <c r="AG598" s="16">
        <f>IF(AC598=0,IF(O598=4,INDEX(Acceleration!$T$4:$T$110,MATCH('Track Data'!S598,Acceleration!$K$4:$K$110,0)),IF('Track Data'!O598=3,INDEX(Acceleration!$S$4:$S$110,MATCH('Track Data'!S598,Acceleration!$K$4:$K$110,0)),'Track Data'!AF598)),'Track Data'!U598)</f>
        <v>5.5089295873629895</v>
      </c>
      <c r="AH598" s="16">
        <f>IF(AC598=0,IF(O598=2,INDEX(Acceleration!$R$4:$R$110,MATCH('Track Data'!S598,Acceleration!$K$4:$K$110,0)),IF('Track Data'!O598=1,INDEX(Acceleration!$Q$4:$Q$110,MATCH('Track Data'!S598,Acceleration!$K$4:$K$110,0)),'Track Data'!AG598)),'Track Data'!U598)</f>
        <v>5.5089295873629895</v>
      </c>
    </row>
    <row r="599" spans="2:34" x14ac:dyDescent="0.25">
      <c r="B599" s="16">
        <v>214.12100000000001</v>
      </c>
      <c r="C599" s="16">
        <v>7869</v>
      </c>
      <c r="D599" s="16">
        <v>596</v>
      </c>
      <c r="E599" s="113">
        <v>126</v>
      </c>
      <c r="F599" s="113">
        <v>122.5</v>
      </c>
      <c r="G599" s="113">
        <v>111.5</v>
      </c>
      <c r="H599" s="113">
        <f t="shared" si="68"/>
        <v>30.972222222222221</v>
      </c>
      <c r="I599" s="113">
        <v>20.3</v>
      </c>
      <c r="J599" s="113">
        <v>69.319999999999993</v>
      </c>
      <c r="K599" s="113">
        <v>48.4</v>
      </c>
      <c r="L599" s="183"/>
      <c r="M599" s="16">
        <v>596</v>
      </c>
      <c r="N599" s="16">
        <f t="shared" si="70"/>
        <v>2.5269092609066537E-2</v>
      </c>
      <c r="O599" s="16">
        <v>3</v>
      </c>
      <c r="P599" s="16">
        <f t="shared" si="66"/>
        <v>10.596205962059623</v>
      </c>
      <c r="Q599" s="16">
        <f t="shared" si="71"/>
        <v>39.574036767794368</v>
      </c>
      <c r="R599" s="113">
        <f t="shared" si="67"/>
        <v>345.36</v>
      </c>
      <c r="S599" s="16">
        <f>IF(S598=15800,15800,ROUND((((Q599*60)/'Gearing Calculator'!$C$14)*'Track Data'!P599),-2))</f>
        <v>12700</v>
      </c>
      <c r="T599" s="16">
        <f t="shared" si="69"/>
        <v>5.5089295873629895</v>
      </c>
      <c r="U599" s="16">
        <f>IF(AC599=100,Braking!$AG$2354,IF(AC599=50,Braking!$AG$1179,IF(AC599=75,Braking!$AG$1767,0)))</f>
        <v>0</v>
      </c>
      <c r="V599" s="16">
        <f>0.5*'Gearing Calculator'!$C$15*'Gearing Calculator'!$C$20*'Gearing Calculator'!$W$20*('Track Data'!Q599^2)</f>
        <v>165.75648822469066</v>
      </c>
      <c r="W599" s="16">
        <f>('Gearing Calculator'!$U$9*'Track Data'!T599)+'Track Data'!V599</f>
        <v>1632.2335443807185</v>
      </c>
      <c r="X599" s="16">
        <f>('Gearing Calculator'!$U$9*9.81)*('Gearing Calculator'!$U$16/'Gearing Calculator'!$C$7)-(('Track Data'!W599)*('Gearing Calculator'!$U$17/'Gearing Calculator'!$C$7))</f>
        <v>511.48354699040738</v>
      </c>
      <c r="Y599" s="16">
        <f>('Gearing Calculator'!$U$9*9.81)*(('Gearing Calculator'!$C$7-'Gearing Calculator'!$U$16)/'Gearing Calculator'!$C$7)+(('Track Data'!W599)*('Gearing Calculator'!$U$17/'Gearing Calculator'!$C$7))</f>
        <v>2099.9384530095926</v>
      </c>
      <c r="Z599" s="16">
        <f>((X599*COS('Gearing Calculator'!$C$21))/'Gearing Calculator'!$C$22)/2</f>
        <v>15.813453588308835</v>
      </c>
      <c r="AA599" s="16">
        <f>Y599/'Gearing Calculator'!$C$24</f>
        <v>29.322184094578887</v>
      </c>
      <c r="AB599" s="16">
        <f t="shared" si="65"/>
        <v>182.28327698677964</v>
      </c>
      <c r="AC599" s="16">
        <v>0</v>
      </c>
      <c r="AD599" s="16">
        <v>51.415226335993168</v>
      </c>
      <c r="AE599" s="16">
        <v>596</v>
      </c>
      <c r="AF599" s="16">
        <f>IF(AC599=0,IF(O599=6,INDEX(Acceleration!$V$4:$V$110,MATCH('Track Data'!S599,Acceleration!$K$4:$K$110,0)),IF('Track Data'!O599=5,INDEX(Acceleration!$U$4:$U$110,MATCH('Track Data'!S599,Acceleration!$K$4:$K$110,0)),1)),U599)</f>
        <v>1</v>
      </c>
      <c r="AG599" s="16">
        <f>IF(AC599=0,IF(O599=4,INDEX(Acceleration!$T$4:$T$110,MATCH('Track Data'!S599,Acceleration!$K$4:$K$110,0)),IF('Track Data'!O599=3,INDEX(Acceleration!$S$4:$S$110,MATCH('Track Data'!S599,Acceleration!$K$4:$K$110,0)),'Track Data'!AF599)),'Track Data'!U599)</f>
        <v>5.5089295873629895</v>
      </c>
      <c r="AH599" s="16">
        <f>IF(AC599=0,IF(O599=2,INDEX(Acceleration!$R$4:$R$110,MATCH('Track Data'!S599,Acceleration!$K$4:$K$110,0)),IF('Track Data'!O599=1,INDEX(Acceleration!$Q$4:$Q$110,MATCH('Track Data'!S599,Acceleration!$K$4:$K$110,0)),'Track Data'!AG599)),'Track Data'!U599)</f>
        <v>5.5089295873629895</v>
      </c>
    </row>
    <row r="600" spans="2:34" x14ac:dyDescent="0.25">
      <c r="B600" s="16">
        <v>214.15</v>
      </c>
      <c r="C600" s="16">
        <v>7870</v>
      </c>
      <c r="D600" s="16">
        <v>597</v>
      </c>
      <c r="E600" s="113">
        <v>126</v>
      </c>
      <c r="F600" s="113">
        <v>122.1</v>
      </c>
      <c r="G600" s="113">
        <v>111.4</v>
      </c>
      <c r="H600" s="113">
        <f t="shared" si="68"/>
        <v>30.944444444444446</v>
      </c>
      <c r="I600" s="113">
        <v>21.7</v>
      </c>
      <c r="J600" s="113">
        <v>72.150000000000006</v>
      </c>
      <c r="K600" s="113">
        <v>36.1</v>
      </c>
      <c r="L600" s="183"/>
      <c r="M600" s="16">
        <v>597</v>
      </c>
      <c r="N600" s="16">
        <f t="shared" si="70"/>
        <v>2.5269092609066537E-2</v>
      </c>
      <c r="O600" s="16">
        <v>3</v>
      </c>
      <c r="P600" s="16">
        <f t="shared" si="66"/>
        <v>10.596205962059623</v>
      </c>
      <c r="Q600" s="16">
        <f t="shared" si="71"/>
        <v>39.574036767794368</v>
      </c>
      <c r="R600" s="113">
        <f t="shared" si="67"/>
        <v>345.36</v>
      </c>
      <c r="S600" s="16">
        <f>IF(S599=15800,15800,ROUND((((Q600*60)/'Gearing Calculator'!$C$14)*'Track Data'!P600),-2))</f>
        <v>12700</v>
      </c>
      <c r="T600" s="16">
        <f t="shared" si="69"/>
        <v>5.5089295873629895</v>
      </c>
      <c r="U600" s="16">
        <f>IF(AC600=100,Braking!$AG$2354,IF(AC600=50,Braking!$AG$1179,IF(AC600=75,Braking!$AG$1767,0)))</f>
        <v>0</v>
      </c>
      <c r="V600" s="16">
        <f>0.5*'Gearing Calculator'!$C$15*'Gearing Calculator'!$C$20*'Gearing Calculator'!$W$20*('Track Data'!Q600^2)</f>
        <v>165.75648822469066</v>
      </c>
      <c r="W600" s="16">
        <f>('Gearing Calculator'!$U$9*'Track Data'!T600)+'Track Data'!V600</f>
        <v>1632.2335443807185</v>
      </c>
      <c r="X600" s="16">
        <f>('Gearing Calculator'!$U$9*9.81)*('Gearing Calculator'!$U$16/'Gearing Calculator'!$C$7)-(('Track Data'!W600)*('Gearing Calculator'!$U$17/'Gearing Calculator'!$C$7))</f>
        <v>511.48354699040738</v>
      </c>
      <c r="Y600" s="16">
        <f>('Gearing Calculator'!$U$9*9.81)*(('Gearing Calculator'!$C$7-'Gearing Calculator'!$U$16)/'Gearing Calculator'!$C$7)+(('Track Data'!W600)*('Gearing Calculator'!$U$17/'Gearing Calculator'!$C$7))</f>
        <v>2099.9384530095926</v>
      </c>
      <c r="Z600" s="16">
        <f>((X600*COS('Gearing Calculator'!$C$21))/'Gearing Calculator'!$C$22)/2</f>
        <v>15.813453588308835</v>
      </c>
      <c r="AA600" s="16">
        <f>Y600/'Gearing Calculator'!$C$24</f>
        <v>29.322184094578887</v>
      </c>
      <c r="AB600" s="16">
        <f t="shared" si="65"/>
        <v>182.28327698677964</v>
      </c>
      <c r="AC600" s="16">
        <v>0</v>
      </c>
      <c r="AD600" s="16">
        <v>51.415226335993168</v>
      </c>
      <c r="AE600" s="16">
        <v>597</v>
      </c>
      <c r="AF600" s="16">
        <f>IF(AC600=0,IF(O600=6,INDEX(Acceleration!$V$4:$V$110,MATCH('Track Data'!S600,Acceleration!$K$4:$K$110,0)),IF('Track Data'!O600=5,INDEX(Acceleration!$U$4:$U$110,MATCH('Track Data'!S600,Acceleration!$K$4:$K$110,0)),1)),U600)</f>
        <v>1</v>
      </c>
      <c r="AG600" s="16">
        <f>IF(AC600=0,IF(O600=4,INDEX(Acceleration!$T$4:$T$110,MATCH('Track Data'!S600,Acceleration!$K$4:$K$110,0)),IF('Track Data'!O600=3,INDEX(Acceleration!$S$4:$S$110,MATCH('Track Data'!S600,Acceleration!$K$4:$K$110,0)),'Track Data'!AF600)),'Track Data'!U600)</f>
        <v>5.5089295873629895</v>
      </c>
      <c r="AH600" s="16">
        <f>IF(AC600=0,IF(O600=2,INDEX(Acceleration!$R$4:$R$110,MATCH('Track Data'!S600,Acceleration!$K$4:$K$110,0)),IF('Track Data'!O600=1,INDEX(Acceleration!$Q$4:$Q$110,MATCH('Track Data'!S600,Acceleration!$K$4:$K$110,0)),'Track Data'!AG600)),'Track Data'!U600)</f>
        <v>5.5089295873629895</v>
      </c>
    </row>
    <row r="601" spans="2:34" x14ac:dyDescent="0.25">
      <c r="B601" s="16">
        <v>214.179</v>
      </c>
      <c r="C601" s="16">
        <v>7871</v>
      </c>
      <c r="D601" s="16">
        <v>598</v>
      </c>
      <c r="E601" s="113">
        <v>126</v>
      </c>
      <c r="F601" s="113">
        <v>121.9</v>
      </c>
      <c r="G601" s="113">
        <v>111.3</v>
      </c>
      <c r="H601" s="113">
        <f t="shared" si="68"/>
        <v>30.916666666666664</v>
      </c>
      <c r="I601" s="113">
        <v>22</v>
      </c>
      <c r="J601" s="113">
        <v>64.48</v>
      </c>
      <c r="K601" s="113">
        <v>33.6</v>
      </c>
      <c r="L601" s="183"/>
      <c r="M601" s="16">
        <v>598</v>
      </c>
      <c r="N601" s="16">
        <f t="shared" si="70"/>
        <v>2.5269092609066537E-2</v>
      </c>
      <c r="O601" s="16">
        <v>3</v>
      </c>
      <c r="P601" s="16">
        <f t="shared" si="66"/>
        <v>10.596205962059623</v>
      </c>
      <c r="Q601" s="16">
        <f t="shared" si="71"/>
        <v>39.574036767794368</v>
      </c>
      <c r="R601" s="113">
        <f t="shared" si="67"/>
        <v>345.36</v>
      </c>
      <c r="S601" s="16">
        <f>IF(S600=15800,15800,ROUND((((Q601*60)/'Gearing Calculator'!$C$14)*'Track Data'!P601),-2))</f>
        <v>12700</v>
      </c>
      <c r="T601" s="16">
        <f t="shared" si="69"/>
        <v>5.5089295873629895</v>
      </c>
      <c r="U601" s="16">
        <f>IF(AC601=100,Braking!$AG$2354,IF(AC601=50,Braking!$AG$1179,IF(AC601=75,Braking!$AG$1767,0)))</f>
        <v>0</v>
      </c>
      <c r="V601" s="16">
        <f>0.5*'Gearing Calculator'!$C$15*'Gearing Calculator'!$C$20*'Gearing Calculator'!$W$20*('Track Data'!Q601^2)</f>
        <v>165.75648822469066</v>
      </c>
      <c r="W601" s="16">
        <f>('Gearing Calculator'!$U$9*'Track Data'!T601)+'Track Data'!V601</f>
        <v>1632.2335443807185</v>
      </c>
      <c r="X601" s="16">
        <f>('Gearing Calculator'!$U$9*9.81)*('Gearing Calculator'!$U$16/'Gearing Calculator'!$C$7)-(('Track Data'!W601)*('Gearing Calculator'!$U$17/'Gearing Calculator'!$C$7))</f>
        <v>511.48354699040738</v>
      </c>
      <c r="Y601" s="16">
        <f>('Gearing Calculator'!$U$9*9.81)*(('Gearing Calculator'!$C$7-'Gearing Calculator'!$U$16)/'Gearing Calculator'!$C$7)+(('Track Data'!W601)*('Gearing Calculator'!$U$17/'Gearing Calculator'!$C$7))</f>
        <v>2099.9384530095926</v>
      </c>
      <c r="Z601" s="16">
        <f>((X601*COS('Gearing Calculator'!$C$21))/'Gearing Calculator'!$C$22)/2</f>
        <v>15.813453588308835</v>
      </c>
      <c r="AA601" s="16">
        <f>Y601/'Gearing Calculator'!$C$24</f>
        <v>29.322184094578887</v>
      </c>
      <c r="AB601" s="16">
        <f t="shared" si="65"/>
        <v>182.28327698677964</v>
      </c>
      <c r="AC601" s="16">
        <v>0</v>
      </c>
      <c r="AD601" s="16">
        <v>51.415226335993168</v>
      </c>
      <c r="AE601" s="16">
        <v>598</v>
      </c>
      <c r="AF601" s="16">
        <f>IF(AC601=0,IF(O601=6,INDEX(Acceleration!$V$4:$V$110,MATCH('Track Data'!S601,Acceleration!$K$4:$K$110,0)),IF('Track Data'!O601=5,INDEX(Acceleration!$U$4:$U$110,MATCH('Track Data'!S601,Acceleration!$K$4:$K$110,0)),1)),U601)</f>
        <v>1</v>
      </c>
      <c r="AG601" s="16">
        <f>IF(AC601=0,IF(O601=4,INDEX(Acceleration!$T$4:$T$110,MATCH('Track Data'!S601,Acceleration!$K$4:$K$110,0)),IF('Track Data'!O601=3,INDEX(Acceleration!$S$4:$S$110,MATCH('Track Data'!S601,Acceleration!$K$4:$K$110,0)),'Track Data'!AF601)),'Track Data'!U601)</f>
        <v>5.5089295873629895</v>
      </c>
      <c r="AH601" s="16">
        <f>IF(AC601=0,IF(O601=2,INDEX(Acceleration!$R$4:$R$110,MATCH('Track Data'!S601,Acceleration!$K$4:$K$110,0)),IF('Track Data'!O601=1,INDEX(Acceleration!$Q$4:$Q$110,MATCH('Track Data'!S601,Acceleration!$K$4:$K$110,0)),'Track Data'!AG601)),'Track Data'!U601)</f>
        <v>5.5089295873629895</v>
      </c>
    </row>
    <row r="602" spans="2:34" x14ac:dyDescent="0.25">
      <c r="B602" s="16">
        <v>214.209</v>
      </c>
      <c r="C602" s="16">
        <v>7872</v>
      </c>
      <c r="D602" s="16">
        <v>599</v>
      </c>
      <c r="E602" s="113">
        <v>126</v>
      </c>
      <c r="F602" s="113">
        <v>121.7</v>
      </c>
      <c r="G602" s="113">
        <v>111.2</v>
      </c>
      <c r="H602" s="113">
        <f t="shared" si="68"/>
        <v>30.888888888888889</v>
      </c>
      <c r="I602" s="113">
        <v>21.8</v>
      </c>
      <c r="J602" s="113">
        <v>68.33</v>
      </c>
      <c r="K602" s="113">
        <v>33.6</v>
      </c>
      <c r="L602" s="183"/>
      <c r="M602" s="16">
        <v>599</v>
      </c>
      <c r="N602" s="16">
        <f t="shared" si="70"/>
        <v>2.5269092609066537E-2</v>
      </c>
      <c r="O602" s="16">
        <v>3</v>
      </c>
      <c r="P602" s="16">
        <f t="shared" si="66"/>
        <v>10.596205962059623</v>
      </c>
      <c r="Q602" s="16">
        <f t="shared" si="71"/>
        <v>39.574036767794368</v>
      </c>
      <c r="R602" s="113">
        <f t="shared" si="67"/>
        <v>345.36</v>
      </c>
      <c r="S602" s="16">
        <f>IF(S601=15800,15800,ROUND((((Q602*60)/'Gearing Calculator'!$C$14)*'Track Data'!P602),-2))</f>
        <v>12700</v>
      </c>
      <c r="T602" s="16">
        <f t="shared" si="69"/>
        <v>5.5089295873629895</v>
      </c>
      <c r="U602" s="16">
        <f>IF(AC602=100,Braking!$AG$2354,IF(AC602=50,Braking!$AG$1179,IF(AC602=75,Braking!$AG$1767,0)))</f>
        <v>0</v>
      </c>
      <c r="V602" s="16">
        <f>0.5*'Gearing Calculator'!$C$15*'Gearing Calculator'!$C$20*'Gearing Calculator'!$W$20*('Track Data'!Q602^2)</f>
        <v>165.75648822469066</v>
      </c>
      <c r="W602" s="16">
        <f>('Gearing Calculator'!$U$9*'Track Data'!T602)+'Track Data'!V602</f>
        <v>1632.2335443807185</v>
      </c>
      <c r="X602" s="16">
        <f>('Gearing Calculator'!$U$9*9.81)*('Gearing Calculator'!$U$16/'Gearing Calculator'!$C$7)-(('Track Data'!W602)*('Gearing Calculator'!$U$17/'Gearing Calculator'!$C$7))</f>
        <v>511.48354699040738</v>
      </c>
      <c r="Y602" s="16">
        <f>('Gearing Calculator'!$U$9*9.81)*(('Gearing Calculator'!$C$7-'Gearing Calculator'!$U$16)/'Gearing Calculator'!$C$7)+(('Track Data'!W602)*('Gearing Calculator'!$U$17/'Gearing Calculator'!$C$7))</f>
        <v>2099.9384530095926</v>
      </c>
      <c r="Z602" s="16">
        <f>((X602*COS('Gearing Calculator'!$C$21))/'Gearing Calculator'!$C$22)/2</f>
        <v>15.813453588308835</v>
      </c>
      <c r="AA602" s="16">
        <f>Y602/'Gearing Calculator'!$C$24</f>
        <v>29.322184094578887</v>
      </c>
      <c r="AB602" s="16">
        <f t="shared" si="65"/>
        <v>182.28327698677964</v>
      </c>
      <c r="AC602" s="16">
        <v>0</v>
      </c>
      <c r="AD602" s="16">
        <v>51.415226335993168</v>
      </c>
      <c r="AE602" s="16">
        <v>599</v>
      </c>
      <c r="AF602" s="16">
        <f>IF(AC602=0,IF(O602=6,INDEX(Acceleration!$V$4:$V$110,MATCH('Track Data'!S602,Acceleration!$K$4:$K$110,0)),IF('Track Data'!O602=5,INDEX(Acceleration!$U$4:$U$110,MATCH('Track Data'!S602,Acceleration!$K$4:$K$110,0)),1)),U602)</f>
        <v>1</v>
      </c>
      <c r="AG602" s="16">
        <f>IF(AC602=0,IF(O602=4,INDEX(Acceleration!$T$4:$T$110,MATCH('Track Data'!S602,Acceleration!$K$4:$K$110,0)),IF('Track Data'!O602=3,INDEX(Acceleration!$S$4:$S$110,MATCH('Track Data'!S602,Acceleration!$K$4:$K$110,0)),'Track Data'!AF602)),'Track Data'!U602)</f>
        <v>5.5089295873629895</v>
      </c>
      <c r="AH602" s="16">
        <f>IF(AC602=0,IF(O602=2,INDEX(Acceleration!$R$4:$R$110,MATCH('Track Data'!S602,Acceleration!$K$4:$K$110,0)),IF('Track Data'!O602=1,INDEX(Acceleration!$Q$4:$Q$110,MATCH('Track Data'!S602,Acceleration!$K$4:$K$110,0)),'Track Data'!AG602)),'Track Data'!U602)</f>
        <v>5.5089295873629895</v>
      </c>
    </row>
    <row r="603" spans="2:34" x14ac:dyDescent="0.25">
      <c r="B603" s="16">
        <v>214.238</v>
      </c>
      <c r="C603" s="16">
        <v>7873</v>
      </c>
      <c r="D603" s="16">
        <v>600</v>
      </c>
      <c r="E603" s="113">
        <v>126</v>
      </c>
      <c r="F603" s="113">
        <v>121.2</v>
      </c>
      <c r="G603" s="113">
        <v>111.1</v>
      </c>
      <c r="H603" s="113">
        <f t="shared" si="68"/>
        <v>30.861111111111107</v>
      </c>
      <c r="I603" s="113">
        <v>19</v>
      </c>
      <c r="J603" s="113">
        <v>59.71</v>
      </c>
      <c r="K603" s="113">
        <v>33.6</v>
      </c>
      <c r="L603" s="183"/>
      <c r="M603" s="16">
        <v>600</v>
      </c>
      <c r="N603" s="16">
        <f t="shared" si="70"/>
        <v>2.5269092609066537E-2</v>
      </c>
      <c r="O603" s="16">
        <v>3</v>
      </c>
      <c r="P603" s="16">
        <f t="shared" si="66"/>
        <v>10.596205962059623</v>
      </c>
      <c r="Q603" s="16">
        <f t="shared" si="71"/>
        <v>39.574036767794368</v>
      </c>
      <c r="R603" s="113">
        <f t="shared" si="67"/>
        <v>345.36</v>
      </c>
      <c r="S603" s="16">
        <f>IF(S602=15800,15800,ROUND((((Q603*60)/'Gearing Calculator'!$C$14)*'Track Data'!P603),-2))</f>
        <v>12700</v>
      </c>
      <c r="T603" s="16">
        <f t="shared" si="69"/>
        <v>5.5089295873629895</v>
      </c>
      <c r="U603" s="16">
        <f>IF(AC603=100,Braking!$AG$2354,IF(AC603=50,Braking!$AG$1179,IF(AC603=75,Braking!$AG$1767,0)))</f>
        <v>0</v>
      </c>
      <c r="V603" s="16">
        <f>0.5*'Gearing Calculator'!$C$15*'Gearing Calculator'!$C$20*'Gearing Calculator'!$W$20*('Track Data'!Q603^2)</f>
        <v>165.75648822469066</v>
      </c>
      <c r="W603" s="16">
        <f>('Gearing Calculator'!$U$9*'Track Data'!T603)+'Track Data'!V603</f>
        <v>1632.2335443807185</v>
      </c>
      <c r="X603" s="16">
        <f>('Gearing Calculator'!$U$9*9.81)*('Gearing Calculator'!$U$16/'Gearing Calculator'!$C$7)-(('Track Data'!W603)*('Gearing Calculator'!$U$17/'Gearing Calculator'!$C$7))</f>
        <v>511.48354699040738</v>
      </c>
      <c r="Y603" s="16">
        <f>('Gearing Calculator'!$U$9*9.81)*(('Gearing Calculator'!$C$7-'Gearing Calculator'!$U$16)/'Gearing Calculator'!$C$7)+(('Track Data'!W603)*('Gearing Calculator'!$U$17/'Gearing Calculator'!$C$7))</f>
        <v>2099.9384530095926</v>
      </c>
      <c r="Z603" s="16">
        <f>((X603*COS('Gearing Calculator'!$C$21))/'Gearing Calculator'!$C$22)/2</f>
        <v>15.813453588308835</v>
      </c>
      <c r="AA603" s="16">
        <f>Y603/'Gearing Calculator'!$C$24</f>
        <v>29.322184094578887</v>
      </c>
      <c r="AB603" s="16">
        <f t="shared" si="65"/>
        <v>182.28327698677964</v>
      </c>
      <c r="AC603" s="16">
        <v>0</v>
      </c>
      <c r="AD603" s="16">
        <v>51.415226335993168</v>
      </c>
      <c r="AE603" s="16">
        <v>600</v>
      </c>
      <c r="AF603" s="16">
        <f>IF(AC603=0,IF(O603=6,INDEX(Acceleration!$V$4:$V$110,MATCH('Track Data'!S603,Acceleration!$K$4:$K$110,0)),IF('Track Data'!O603=5,INDEX(Acceleration!$U$4:$U$110,MATCH('Track Data'!S603,Acceleration!$K$4:$K$110,0)),1)),U603)</f>
        <v>1</v>
      </c>
      <c r="AG603" s="16">
        <f>IF(AC603=0,IF(O603=4,INDEX(Acceleration!$T$4:$T$110,MATCH('Track Data'!S603,Acceleration!$K$4:$K$110,0)),IF('Track Data'!O603=3,INDEX(Acceleration!$S$4:$S$110,MATCH('Track Data'!S603,Acceleration!$K$4:$K$110,0)),'Track Data'!AF603)),'Track Data'!U603)</f>
        <v>5.5089295873629895</v>
      </c>
      <c r="AH603" s="16">
        <f>IF(AC603=0,IF(O603=2,INDEX(Acceleration!$R$4:$R$110,MATCH('Track Data'!S603,Acceleration!$K$4:$K$110,0)),IF('Track Data'!O603=1,INDEX(Acceleration!$Q$4:$Q$110,MATCH('Track Data'!S603,Acceleration!$K$4:$K$110,0)),'Track Data'!AG603)),'Track Data'!U603)</f>
        <v>5.5089295873629895</v>
      </c>
    </row>
    <row r="604" spans="2:34" x14ac:dyDescent="0.25">
      <c r="B604" s="16">
        <v>214.268</v>
      </c>
      <c r="C604" s="16">
        <v>7874</v>
      </c>
      <c r="D604" s="16">
        <v>601</v>
      </c>
      <c r="E604" s="113">
        <v>127</v>
      </c>
      <c r="F604" s="113">
        <v>121.6</v>
      </c>
      <c r="G604" s="113">
        <v>111.1</v>
      </c>
      <c r="H604" s="113">
        <f t="shared" si="68"/>
        <v>30.861111111111107</v>
      </c>
      <c r="I604" s="113">
        <v>17.600000000000001</v>
      </c>
      <c r="J604" s="113">
        <v>64.38</v>
      </c>
      <c r="K604" s="113">
        <v>43.4</v>
      </c>
      <c r="L604" s="183"/>
      <c r="M604" s="16">
        <v>601</v>
      </c>
      <c r="N604" s="16">
        <f t="shared" si="70"/>
        <v>2.5269092609066537E-2</v>
      </c>
      <c r="O604" s="16">
        <v>3</v>
      </c>
      <c r="P604" s="16">
        <f t="shared" si="66"/>
        <v>10.596205962059623</v>
      </c>
      <c r="Q604" s="16">
        <f t="shared" si="71"/>
        <v>39.574036767794368</v>
      </c>
      <c r="R604" s="113">
        <f t="shared" si="67"/>
        <v>345.36</v>
      </c>
      <c r="S604" s="16">
        <f>IF(S603=15800,15800,ROUND((((Q604*60)/'Gearing Calculator'!$C$14)*'Track Data'!P604),-2))</f>
        <v>12700</v>
      </c>
      <c r="T604" s="16">
        <f t="shared" si="69"/>
        <v>5.5089295873629895</v>
      </c>
      <c r="U604" s="16">
        <f>IF(AC604=100,Braking!$AG$2354,IF(AC604=50,Braking!$AG$1179,IF(AC604=75,Braking!$AG$1767,0)))</f>
        <v>0</v>
      </c>
      <c r="V604" s="16">
        <f>0.5*'Gearing Calculator'!$C$15*'Gearing Calculator'!$C$20*'Gearing Calculator'!$W$20*('Track Data'!Q604^2)</f>
        <v>165.75648822469066</v>
      </c>
      <c r="W604" s="16">
        <f>('Gearing Calculator'!$U$9*'Track Data'!T604)+'Track Data'!V604</f>
        <v>1632.2335443807185</v>
      </c>
      <c r="X604" s="16">
        <f>('Gearing Calculator'!$U$9*9.81)*('Gearing Calculator'!$U$16/'Gearing Calculator'!$C$7)-(('Track Data'!W604)*('Gearing Calculator'!$U$17/'Gearing Calculator'!$C$7))</f>
        <v>511.48354699040738</v>
      </c>
      <c r="Y604" s="16">
        <f>('Gearing Calculator'!$U$9*9.81)*(('Gearing Calculator'!$C$7-'Gearing Calculator'!$U$16)/'Gearing Calculator'!$C$7)+(('Track Data'!W604)*('Gearing Calculator'!$U$17/'Gearing Calculator'!$C$7))</f>
        <v>2099.9384530095926</v>
      </c>
      <c r="Z604" s="16">
        <f>((X604*COS('Gearing Calculator'!$C$21))/'Gearing Calculator'!$C$22)/2</f>
        <v>15.813453588308835</v>
      </c>
      <c r="AA604" s="16">
        <f>Y604/'Gearing Calculator'!$C$24</f>
        <v>29.322184094578887</v>
      </c>
      <c r="AB604" s="16">
        <f t="shared" si="65"/>
        <v>182.28327698677964</v>
      </c>
      <c r="AC604" s="16">
        <v>0</v>
      </c>
      <c r="AD604" s="16">
        <v>51.415226335993168</v>
      </c>
      <c r="AE604" s="16">
        <v>601</v>
      </c>
      <c r="AF604" s="16">
        <f>IF(AC604=0,IF(O604=6,INDEX(Acceleration!$V$4:$V$110,MATCH('Track Data'!S604,Acceleration!$K$4:$K$110,0)),IF('Track Data'!O604=5,INDEX(Acceleration!$U$4:$U$110,MATCH('Track Data'!S604,Acceleration!$K$4:$K$110,0)),1)),U604)</f>
        <v>1</v>
      </c>
      <c r="AG604" s="16">
        <f>IF(AC604=0,IF(O604=4,INDEX(Acceleration!$T$4:$T$110,MATCH('Track Data'!S604,Acceleration!$K$4:$K$110,0)),IF('Track Data'!O604=3,INDEX(Acceleration!$S$4:$S$110,MATCH('Track Data'!S604,Acceleration!$K$4:$K$110,0)),'Track Data'!AF604)),'Track Data'!U604)</f>
        <v>5.5089295873629895</v>
      </c>
      <c r="AH604" s="16">
        <f>IF(AC604=0,IF(O604=2,INDEX(Acceleration!$R$4:$R$110,MATCH('Track Data'!S604,Acceleration!$K$4:$K$110,0)),IF('Track Data'!O604=1,INDEX(Acceleration!$Q$4:$Q$110,MATCH('Track Data'!S604,Acceleration!$K$4:$K$110,0)),'Track Data'!AG604)),'Track Data'!U604)</f>
        <v>5.5089295873629895</v>
      </c>
    </row>
    <row r="605" spans="2:34" x14ac:dyDescent="0.25">
      <c r="B605" s="16">
        <v>214.298</v>
      </c>
      <c r="C605" s="16">
        <v>7875</v>
      </c>
      <c r="D605" s="16">
        <v>602</v>
      </c>
      <c r="E605" s="113">
        <v>128</v>
      </c>
      <c r="F605" s="113">
        <v>122</v>
      </c>
      <c r="G605" s="113">
        <v>111</v>
      </c>
      <c r="H605" s="113">
        <f t="shared" si="68"/>
        <v>30.833333333333332</v>
      </c>
      <c r="I605" s="113">
        <v>14.1</v>
      </c>
      <c r="J605" s="113">
        <v>60.45</v>
      </c>
      <c r="K605" s="113">
        <v>55.8</v>
      </c>
      <c r="L605" s="183"/>
      <c r="M605" s="16">
        <v>602</v>
      </c>
      <c r="N605" s="16">
        <f t="shared" si="70"/>
        <v>2.5269092609066537E-2</v>
      </c>
      <c r="O605" s="16">
        <v>3</v>
      </c>
      <c r="P605" s="16">
        <f t="shared" si="66"/>
        <v>10.596205962059623</v>
      </c>
      <c r="Q605" s="16">
        <f t="shared" si="71"/>
        <v>39.574036767794368</v>
      </c>
      <c r="R605" s="113">
        <f t="shared" si="67"/>
        <v>345.36</v>
      </c>
      <c r="S605" s="16">
        <f>IF(S604=15800,15800,ROUND((((Q605*60)/'Gearing Calculator'!$C$14)*'Track Data'!P605),-2))</f>
        <v>12700</v>
      </c>
      <c r="T605" s="16">
        <f t="shared" si="69"/>
        <v>5.5089295873629895</v>
      </c>
      <c r="U605" s="16">
        <f>IF(AC605=100,Braking!$AG$2354,IF(AC605=50,Braking!$AG$1179,IF(AC605=75,Braking!$AG$1767,0)))</f>
        <v>0</v>
      </c>
      <c r="V605" s="16">
        <f>0.5*'Gearing Calculator'!$C$15*'Gearing Calculator'!$C$20*'Gearing Calculator'!$W$20*('Track Data'!Q605^2)</f>
        <v>165.75648822469066</v>
      </c>
      <c r="W605" s="16">
        <f>('Gearing Calculator'!$U$9*'Track Data'!T605)+'Track Data'!V605</f>
        <v>1632.2335443807185</v>
      </c>
      <c r="X605" s="16">
        <f>('Gearing Calculator'!$U$9*9.81)*('Gearing Calculator'!$U$16/'Gearing Calculator'!$C$7)-(('Track Data'!W605)*('Gearing Calculator'!$U$17/'Gearing Calculator'!$C$7))</f>
        <v>511.48354699040738</v>
      </c>
      <c r="Y605" s="16">
        <f>('Gearing Calculator'!$U$9*9.81)*(('Gearing Calculator'!$C$7-'Gearing Calculator'!$U$16)/'Gearing Calculator'!$C$7)+(('Track Data'!W605)*('Gearing Calculator'!$U$17/'Gearing Calculator'!$C$7))</f>
        <v>2099.9384530095926</v>
      </c>
      <c r="Z605" s="16">
        <f>((X605*COS('Gearing Calculator'!$C$21))/'Gearing Calculator'!$C$22)/2</f>
        <v>15.813453588308835</v>
      </c>
      <c r="AA605" s="16">
        <f>Y605/'Gearing Calculator'!$C$24</f>
        <v>29.322184094578887</v>
      </c>
      <c r="AB605" s="16">
        <f t="shared" si="65"/>
        <v>182.28327698677964</v>
      </c>
      <c r="AC605" s="16">
        <v>0</v>
      </c>
      <c r="AD605" s="16">
        <v>51.415226335993168</v>
      </c>
      <c r="AE605" s="16">
        <v>602</v>
      </c>
      <c r="AF605" s="16">
        <f>IF(AC605=0,IF(O605=6,INDEX(Acceleration!$V$4:$V$110,MATCH('Track Data'!S605,Acceleration!$K$4:$K$110,0)),IF('Track Data'!O605=5,INDEX(Acceleration!$U$4:$U$110,MATCH('Track Data'!S605,Acceleration!$K$4:$K$110,0)),1)),U605)</f>
        <v>1</v>
      </c>
      <c r="AG605" s="16">
        <f>IF(AC605=0,IF(O605=4,INDEX(Acceleration!$T$4:$T$110,MATCH('Track Data'!S605,Acceleration!$K$4:$K$110,0)),IF('Track Data'!O605=3,INDEX(Acceleration!$S$4:$S$110,MATCH('Track Data'!S605,Acceleration!$K$4:$K$110,0)),'Track Data'!AF605)),'Track Data'!U605)</f>
        <v>5.5089295873629895</v>
      </c>
      <c r="AH605" s="16">
        <f>IF(AC605=0,IF(O605=2,INDEX(Acceleration!$R$4:$R$110,MATCH('Track Data'!S605,Acceleration!$K$4:$K$110,0)),IF('Track Data'!O605=1,INDEX(Acceleration!$Q$4:$Q$110,MATCH('Track Data'!S605,Acceleration!$K$4:$K$110,0)),'Track Data'!AG605)),'Track Data'!U605)</f>
        <v>5.5089295873629895</v>
      </c>
    </row>
    <row r="606" spans="2:34" x14ac:dyDescent="0.25">
      <c r="B606" s="16">
        <v>214.327</v>
      </c>
      <c r="C606" s="16">
        <v>7876</v>
      </c>
      <c r="D606" s="16">
        <v>603</v>
      </c>
      <c r="E606" s="113">
        <v>127</v>
      </c>
      <c r="F606" s="113">
        <v>122.2</v>
      </c>
      <c r="G606" s="113">
        <v>111</v>
      </c>
      <c r="H606" s="113">
        <f t="shared" si="68"/>
        <v>30.833333333333332</v>
      </c>
      <c r="I606" s="113">
        <v>14.1</v>
      </c>
      <c r="J606" s="113">
        <v>60.42</v>
      </c>
      <c r="K606" s="113">
        <v>66.400000000000006</v>
      </c>
      <c r="L606" s="183"/>
      <c r="M606" s="16">
        <v>603</v>
      </c>
      <c r="N606" s="16">
        <f t="shared" si="70"/>
        <v>2.5269092609066537E-2</v>
      </c>
      <c r="O606" s="16">
        <v>3</v>
      </c>
      <c r="P606" s="16">
        <f t="shared" si="66"/>
        <v>10.596205962059623</v>
      </c>
      <c r="Q606" s="16">
        <f t="shared" si="71"/>
        <v>39.574036767794368</v>
      </c>
      <c r="R606" s="113">
        <f t="shared" si="67"/>
        <v>345.36</v>
      </c>
      <c r="S606" s="16">
        <f>IF(S605=15800,15800,ROUND((((Q606*60)/'Gearing Calculator'!$C$14)*'Track Data'!P606),-2))</f>
        <v>12700</v>
      </c>
      <c r="T606" s="16">
        <f t="shared" si="69"/>
        <v>5.5089295873629895</v>
      </c>
      <c r="U606" s="16">
        <f>IF(AC606=100,Braking!$AG$2354,IF(AC606=50,Braking!$AG$1179,IF(AC606=75,Braking!$AG$1767,0)))</f>
        <v>0</v>
      </c>
      <c r="V606" s="16">
        <f>0.5*'Gearing Calculator'!$C$15*'Gearing Calculator'!$C$20*'Gearing Calculator'!$W$20*('Track Data'!Q606^2)</f>
        <v>165.75648822469066</v>
      </c>
      <c r="W606" s="16">
        <f>('Gearing Calculator'!$U$9*'Track Data'!T606)+'Track Data'!V606</f>
        <v>1632.2335443807185</v>
      </c>
      <c r="X606" s="16">
        <f>('Gearing Calculator'!$U$9*9.81)*('Gearing Calculator'!$U$16/'Gearing Calculator'!$C$7)-(('Track Data'!W606)*('Gearing Calculator'!$U$17/'Gearing Calculator'!$C$7))</f>
        <v>511.48354699040738</v>
      </c>
      <c r="Y606" s="16">
        <f>('Gearing Calculator'!$U$9*9.81)*(('Gearing Calculator'!$C$7-'Gearing Calculator'!$U$16)/'Gearing Calculator'!$C$7)+(('Track Data'!W606)*('Gearing Calculator'!$U$17/'Gearing Calculator'!$C$7))</f>
        <v>2099.9384530095926</v>
      </c>
      <c r="Z606" s="16">
        <f>((X606*COS('Gearing Calculator'!$C$21))/'Gearing Calculator'!$C$22)/2</f>
        <v>15.813453588308835</v>
      </c>
      <c r="AA606" s="16">
        <f>Y606/'Gearing Calculator'!$C$24</f>
        <v>29.322184094578887</v>
      </c>
      <c r="AB606" s="16">
        <f t="shared" si="65"/>
        <v>182.28327698677964</v>
      </c>
      <c r="AC606" s="16">
        <v>0</v>
      </c>
      <c r="AD606" s="16">
        <v>51.415226335993168</v>
      </c>
      <c r="AE606" s="16">
        <v>603</v>
      </c>
      <c r="AF606" s="16">
        <f>IF(AC606=0,IF(O606=6,INDEX(Acceleration!$V$4:$V$110,MATCH('Track Data'!S606,Acceleration!$K$4:$K$110,0)),IF('Track Data'!O606=5,INDEX(Acceleration!$U$4:$U$110,MATCH('Track Data'!S606,Acceleration!$K$4:$K$110,0)),1)),U606)</f>
        <v>1</v>
      </c>
      <c r="AG606" s="16">
        <f>IF(AC606=0,IF(O606=4,INDEX(Acceleration!$T$4:$T$110,MATCH('Track Data'!S606,Acceleration!$K$4:$K$110,0)),IF('Track Data'!O606=3,INDEX(Acceleration!$S$4:$S$110,MATCH('Track Data'!S606,Acceleration!$K$4:$K$110,0)),'Track Data'!AF606)),'Track Data'!U606)</f>
        <v>5.5089295873629895</v>
      </c>
      <c r="AH606" s="16">
        <f>IF(AC606=0,IF(O606=2,INDEX(Acceleration!$R$4:$R$110,MATCH('Track Data'!S606,Acceleration!$K$4:$K$110,0)),IF('Track Data'!O606=1,INDEX(Acceleration!$Q$4:$Q$110,MATCH('Track Data'!S606,Acceleration!$K$4:$K$110,0)),'Track Data'!AG606)),'Track Data'!U606)</f>
        <v>5.5089295873629895</v>
      </c>
    </row>
    <row r="607" spans="2:34" x14ac:dyDescent="0.25">
      <c r="B607" s="16">
        <v>214.35599999999999</v>
      </c>
      <c r="C607" s="16">
        <v>7877</v>
      </c>
      <c r="D607" s="16">
        <v>604</v>
      </c>
      <c r="E607" s="113">
        <v>127</v>
      </c>
      <c r="F607" s="113">
        <v>122.1</v>
      </c>
      <c r="G607" s="113">
        <v>111</v>
      </c>
      <c r="H607" s="113">
        <f t="shared" si="68"/>
        <v>30.833333333333332</v>
      </c>
      <c r="I607" s="113">
        <v>14.1</v>
      </c>
      <c r="J607" s="113">
        <v>61.76</v>
      </c>
      <c r="K607" s="113">
        <v>64.8</v>
      </c>
      <c r="L607" s="183"/>
      <c r="M607" s="16">
        <v>604</v>
      </c>
      <c r="N607" s="16">
        <f t="shared" si="70"/>
        <v>2.5269092609066537E-2</v>
      </c>
      <c r="O607" s="16">
        <v>3</v>
      </c>
      <c r="P607" s="16">
        <f t="shared" si="66"/>
        <v>10.596205962059623</v>
      </c>
      <c r="Q607" s="16">
        <f t="shared" si="71"/>
        <v>39.574036767794368</v>
      </c>
      <c r="R607" s="113">
        <f t="shared" si="67"/>
        <v>345.36</v>
      </c>
      <c r="S607" s="16">
        <f>IF(S606=15800,15800,ROUND((((Q607*60)/'Gearing Calculator'!$C$14)*'Track Data'!P607),-2))</f>
        <v>12700</v>
      </c>
      <c r="T607" s="16">
        <f t="shared" si="69"/>
        <v>5.5089295873629895</v>
      </c>
      <c r="U607" s="16">
        <f>IF(AC607=100,Braking!$AG$2354,IF(AC607=50,Braking!$AG$1179,IF(AC607=75,Braking!$AG$1767,0)))</f>
        <v>0</v>
      </c>
      <c r="V607" s="16">
        <f>0.5*'Gearing Calculator'!$C$15*'Gearing Calculator'!$C$20*'Gearing Calculator'!$W$20*('Track Data'!Q607^2)</f>
        <v>165.75648822469066</v>
      </c>
      <c r="W607" s="16">
        <f>('Gearing Calculator'!$U$9*'Track Data'!T607)+'Track Data'!V607</f>
        <v>1632.2335443807185</v>
      </c>
      <c r="X607" s="16">
        <f>('Gearing Calculator'!$U$9*9.81)*('Gearing Calculator'!$U$16/'Gearing Calculator'!$C$7)-(('Track Data'!W607)*('Gearing Calculator'!$U$17/'Gearing Calculator'!$C$7))</f>
        <v>511.48354699040738</v>
      </c>
      <c r="Y607" s="16">
        <f>('Gearing Calculator'!$U$9*9.81)*(('Gearing Calculator'!$C$7-'Gearing Calculator'!$U$16)/'Gearing Calculator'!$C$7)+(('Track Data'!W607)*('Gearing Calculator'!$U$17/'Gearing Calculator'!$C$7))</f>
        <v>2099.9384530095926</v>
      </c>
      <c r="Z607" s="16">
        <f>((X607*COS('Gearing Calculator'!$C$21))/'Gearing Calculator'!$C$22)/2</f>
        <v>15.813453588308835</v>
      </c>
      <c r="AA607" s="16">
        <f>Y607/'Gearing Calculator'!$C$24</f>
        <v>29.322184094578887</v>
      </c>
      <c r="AB607" s="16">
        <f t="shared" si="65"/>
        <v>182.28327698677964</v>
      </c>
      <c r="AC607" s="16">
        <v>0</v>
      </c>
      <c r="AD607" s="16">
        <v>51.415226335993168</v>
      </c>
      <c r="AE607" s="16">
        <v>604</v>
      </c>
      <c r="AF607" s="16">
        <f>IF(AC607=0,IF(O607=6,INDEX(Acceleration!$V$4:$V$110,MATCH('Track Data'!S607,Acceleration!$K$4:$K$110,0)),IF('Track Data'!O607=5,INDEX(Acceleration!$U$4:$U$110,MATCH('Track Data'!S607,Acceleration!$K$4:$K$110,0)),1)),U607)</f>
        <v>1</v>
      </c>
      <c r="AG607" s="16">
        <f>IF(AC607=0,IF(O607=4,INDEX(Acceleration!$T$4:$T$110,MATCH('Track Data'!S607,Acceleration!$K$4:$K$110,0)),IF('Track Data'!O607=3,INDEX(Acceleration!$S$4:$S$110,MATCH('Track Data'!S607,Acceleration!$K$4:$K$110,0)),'Track Data'!AF607)),'Track Data'!U607)</f>
        <v>5.5089295873629895</v>
      </c>
      <c r="AH607" s="16">
        <f>IF(AC607=0,IF(O607=2,INDEX(Acceleration!$R$4:$R$110,MATCH('Track Data'!S607,Acceleration!$K$4:$K$110,0)),IF('Track Data'!O607=1,INDEX(Acceleration!$Q$4:$Q$110,MATCH('Track Data'!S607,Acceleration!$K$4:$K$110,0)),'Track Data'!AG607)),'Track Data'!U607)</f>
        <v>5.5089295873629895</v>
      </c>
    </row>
    <row r="608" spans="2:34" x14ac:dyDescent="0.25">
      <c r="B608" s="16">
        <v>214.386</v>
      </c>
      <c r="C608" s="16">
        <v>7878</v>
      </c>
      <c r="D608" s="16">
        <v>605</v>
      </c>
      <c r="E608" s="113">
        <v>127</v>
      </c>
      <c r="F608" s="113">
        <v>121.9</v>
      </c>
      <c r="G608" s="113">
        <v>111.1</v>
      </c>
      <c r="H608" s="113">
        <f t="shared" si="68"/>
        <v>30.861111111111107</v>
      </c>
      <c r="I608" s="113">
        <v>14.3</v>
      </c>
      <c r="J608" s="113">
        <v>56.91</v>
      </c>
      <c r="K608" s="113">
        <v>63.2</v>
      </c>
      <c r="L608" s="183"/>
      <c r="M608" s="16">
        <v>605</v>
      </c>
      <c r="N608" s="16">
        <f t="shared" si="70"/>
        <v>2.5269092609066537E-2</v>
      </c>
      <c r="O608" s="16">
        <v>3</v>
      </c>
      <c r="P608" s="16">
        <f t="shared" si="66"/>
        <v>10.596205962059623</v>
      </c>
      <c r="Q608" s="16">
        <f t="shared" si="71"/>
        <v>39.574036767794368</v>
      </c>
      <c r="R608" s="113">
        <f t="shared" si="67"/>
        <v>345.36</v>
      </c>
      <c r="S608" s="16">
        <f>IF(S607=15800,15800,ROUND((((Q608*60)/'Gearing Calculator'!$C$14)*'Track Data'!P608),-2))</f>
        <v>12700</v>
      </c>
      <c r="T608" s="16">
        <f t="shared" si="69"/>
        <v>5.5089295873629895</v>
      </c>
      <c r="U608" s="16">
        <f>IF(AC608=100,Braking!$AG$2354,IF(AC608=50,Braking!$AG$1179,IF(AC608=75,Braking!$AG$1767,0)))</f>
        <v>0</v>
      </c>
      <c r="V608" s="16">
        <f>0.5*'Gearing Calculator'!$C$15*'Gearing Calculator'!$C$20*'Gearing Calculator'!$W$20*('Track Data'!Q608^2)</f>
        <v>165.75648822469066</v>
      </c>
      <c r="W608" s="16">
        <f>('Gearing Calculator'!$U$9*'Track Data'!T608)+'Track Data'!V608</f>
        <v>1632.2335443807185</v>
      </c>
      <c r="X608" s="16">
        <f>('Gearing Calculator'!$U$9*9.81)*('Gearing Calculator'!$U$16/'Gearing Calculator'!$C$7)-(('Track Data'!W608)*('Gearing Calculator'!$U$17/'Gearing Calculator'!$C$7))</f>
        <v>511.48354699040738</v>
      </c>
      <c r="Y608" s="16">
        <f>('Gearing Calculator'!$U$9*9.81)*(('Gearing Calculator'!$C$7-'Gearing Calculator'!$U$16)/'Gearing Calculator'!$C$7)+(('Track Data'!W608)*('Gearing Calculator'!$U$17/'Gearing Calculator'!$C$7))</f>
        <v>2099.9384530095926</v>
      </c>
      <c r="Z608" s="16">
        <f>((X608*COS('Gearing Calculator'!$C$21))/'Gearing Calculator'!$C$22)/2</f>
        <v>15.813453588308835</v>
      </c>
      <c r="AA608" s="16">
        <f>Y608/'Gearing Calculator'!$C$24</f>
        <v>29.322184094578887</v>
      </c>
      <c r="AB608" s="16">
        <f t="shared" si="65"/>
        <v>182.28327698677964</v>
      </c>
      <c r="AC608" s="16">
        <v>0</v>
      </c>
      <c r="AD608" s="16">
        <v>51.415226335993168</v>
      </c>
      <c r="AE608" s="16">
        <v>605</v>
      </c>
      <c r="AF608" s="16">
        <f>IF(AC608=0,IF(O608=6,INDEX(Acceleration!$V$4:$V$110,MATCH('Track Data'!S608,Acceleration!$K$4:$K$110,0)),IF('Track Data'!O608=5,INDEX(Acceleration!$U$4:$U$110,MATCH('Track Data'!S608,Acceleration!$K$4:$K$110,0)),1)),U608)</f>
        <v>1</v>
      </c>
      <c r="AG608" s="16">
        <f>IF(AC608=0,IF(O608=4,INDEX(Acceleration!$T$4:$T$110,MATCH('Track Data'!S608,Acceleration!$K$4:$K$110,0)),IF('Track Data'!O608=3,INDEX(Acceleration!$S$4:$S$110,MATCH('Track Data'!S608,Acceleration!$K$4:$K$110,0)),'Track Data'!AF608)),'Track Data'!U608)</f>
        <v>5.5089295873629895</v>
      </c>
      <c r="AH608" s="16">
        <f>IF(AC608=0,IF(O608=2,INDEX(Acceleration!$R$4:$R$110,MATCH('Track Data'!S608,Acceleration!$K$4:$K$110,0)),IF('Track Data'!O608=1,INDEX(Acceleration!$Q$4:$Q$110,MATCH('Track Data'!S608,Acceleration!$K$4:$K$110,0)),'Track Data'!AG608)),'Track Data'!U608)</f>
        <v>5.5089295873629895</v>
      </c>
    </row>
    <row r="609" spans="2:34" x14ac:dyDescent="0.25">
      <c r="B609" s="16">
        <v>214.41499999999999</v>
      </c>
      <c r="C609" s="16">
        <v>7879</v>
      </c>
      <c r="D609" s="16">
        <v>606</v>
      </c>
      <c r="E609" s="113">
        <v>127</v>
      </c>
      <c r="F609" s="113">
        <v>121.8</v>
      </c>
      <c r="G609" s="113">
        <v>111.1</v>
      </c>
      <c r="H609" s="113">
        <f t="shared" si="68"/>
        <v>30.861111111111107</v>
      </c>
      <c r="I609" s="113">
        <v>14.4</v>
      </c>
      <c r="J609" s="113">
        <v>55.83</v>
      </c>
      <c r="K609" s="113">
        <v>61.5</v>
      </c>
      <c r="L609" s="183"/>
      <c r="M609" s="16">
        <v>606</v>
      </c>
      <c r="N609" s="16">
        <f t="shared" si="70"/>
        <v>2.5269092609066537E-2</v>
      </c>
      <c r="O609" s="16">
        <v>3</v>
      </c>
      <c r="P609" s="16">
        <f t="shared" si="66"/>
        <v>10.596205962059623</v>
      </c>
      <c r="Q609" s="16">
        <f t="shared" si="71"/>
        <v>39.574036767794368</v>
      </c>
      <c r="R609" s="113">
        <f t="shared" si="67"/>
        <v>345.36</v>
      </c>
      <c r="S609" s="16">
        <f>IF(S608=15800,15800,ROUND((((Q609*60)/'Gearing Calculator'!$C$14)*'Track Data'!P609),-2))</f>
        <v>12700</v>
      </c>
      <c r="T609" s="16">
        <f t="shared" si="69"/>
        <v>5.5089295873629895</v>
      </c>
      <c r="U609" s="16">
        <f>IF(AC609=100,Braking!$AG$2354,IF(AC609=50,Braking!$AG$1179,IF(AC609=75,Braking!$AG$1767,0)))</f>
        <v>0</v>
      </c>
      <c r="V609" s="16">
        <f>0.5*'Gearing Calculator'!$C$15*'Gearing Calculator'!$C$20*'Gearing Calculator'!$W$20*('Track Data'!Q609^2)</f>
        <v>165.75648822469066</v>
      </c>
      <c r="W609" s="16">
        <f>('Gearing Calculator'!$U$9*'Track Data'!T609)+'Track Data'!V609</f>
        <v>1632.2335443807185</v>
      </c>
      <c r="X609" s="16">
        <f>('Gearing Calculator'!$U$9*9.81)*('Gearing Calculator'!$U$16/'Gearing Calculator'!$C$7)-(('Track Data'!W609)*('Gearing Calculator'!$U$17/'Gearing Calculator'!$C$7))</f>
        <v>511.48354699040738</v>
      </c>
      <c r="Y609" s="16">
        <f>('Gearing Calculator'!$U$9*9.81)*(('Gearing Calculator'!$C$7-'Gearing Calculator'!$U$16)/'Gearing Calculator'!$C$7)+(('Track Data'!W609)*('Gearing Calculator'!$U$17/'Gearing Calculator'!$C$7))</f>
        <v>2099.9384530095926</v>
      </c>
      <c r="Z609" s="16">
        <f>((X609*COS('Gearing Calculator'!$C$21))/'Gearing Calculator'!$C$22)/2</f>
        <v>15.813453588308835</v>
      </c>
      <c r="AA609" s="16">
        <f>Y609/'Gearing Calculator'!$C$24</f>
        <v>29.322184094578887</v>
      </c>
      <c r="AB609" s="16">
        <f t="shared" si="65"/>
        <v>182.28327698677964</v>
      </c>
      <c r="AC609" s="16">
        <v>0</v>
      </c>
      <c r="AD609" s="16">
        <v>51.415226335993168</v>
      </c>
      <c r="AE609" s="16">
        <v>606</v>
      </c>
      <c r="AF609" s="16">
        <f>IF(AC609=0,IF(O609=6,INDEX(Acceleration!$V$4:$V$110,MATCH('Track Data'!S609,Acceleration!$K$4:$K$110,0)),IF('Track Data'!O609=5,INDEX(Acceleration!$U$4:$U$110,MATCH('Track Data'!S609,Acceleration!$K$4:$K$110,0)),1)),U609)</f>
        <v>1</v>
      </c>
      <c r="AG609" s="16">
        <f>IF(AC609=0,IF(O609=4,INDEX(Acceleration!$T$4:$T$110,MATCH('Track Data'!S609,Acceleration!$K$4:$K$110,0)),IF('Track Data'!O609=3,INDEX(Acceleration!$S$4:$S$110,MATCH('Track Data'!S609,Acceleration!$K$4:$K$110,0)),'Track Data'!AF609)),'Track Data'!U609)</f>
        <v>5.5089295873629895</v>
      </c>
      <c r="AH609" s="16">
        <f>IF(AC609=0,IF(O609=2,INDEX(Acceleration!$R$4:$R$110,MATCH('Track Data'!S609,Acceleration!$K$4:$K$110,0)),IF('Track Data'!O609=1,INDEX(Acceleration!$Q$4:$Q$110,MATCH('Track Data'!S609,Acceleration!$K$4:$K$110,0)),'Track Data'!AG609)),'Track Data'!U609)</f>
        <v>5.5089295873629895</v>
      </c>
    </row>
    <row r="610" spans="2:34" x14ac:dyDescent="0.25">
      <c r="B610" s="16">
        <v>214.44399999999999</v>
      </c>
      <c r="C610" s="16">
        <v>7880</v>
      </c>
      <c r="D610" s="16">
        <v>607</v>
      </c>
      <c r="E610" s="113">
        <v>127</v>
      </c>
      <c r="F610" s="113">
        <v>121.9</v>
      </c>
      <c r="G610" s="113">
        <v>111.2</v>
      </c>
      <c r="H610" s="113">
        <f t="shared" si="68"/>
        <v>30.888888888888889</v>
      </c>
      <c r="I610" s="113">
        <v>13.7</v>
      </c>
      <c r="J610" s="113">
        <v>51.44</v>
      </c>
      <c r="K610" s="113">
        <v>59.8</v>
      </c>
      <c r="L610" s="183"/>
      <c r="M610" s="16">
        <v>607</v>
      </c>
      <c r="N610" s="16">
        <f t="shared" si="70"/>
        <v>2.5269092609066537E-2</v>
      </c>
      <c r="O610" s="16">
        <v>3</v>
      </c>
      <c r="P610" s="16">
        <f t="shared" si="66"/>
        <v>10.596205962059623</v>
      </c>
      <c r="Q610" s="16">
        <f t="shared" si="71"/>
        <v>39.574036767794368</v>
      </c>
      <c r="R610" s="113">
        <f t="shared" si="67"/>
        <v>345.36</v>
      </c>
      <c r="S610" s="16">
        <f>IF(S609=15800,15800,ROUND((((Q610*60)/'Gearing Calculator'!$C$14)*'Track Data'!P610),-2))</f>
        <v>12700</v>
      </c>
      <c r="T610" s="16">
        <f t="shared" si="69"/>
        <v>5.5089295873629895</v>
      </c>
      <c r="U610" s="16">
        <f>IF(AC610=100,Braking!$AG$2354,IF(AC610=50,Braking!$AG$1179,IF(AC610=75,Braking!$AG$1767,0)))</f>
        <v>0</v>
      </c>
      <c r="V610" s="16">
        <f>0.5*'Gearing Calculator'!$C$15*'Gearing Calculator'!$C$20*'Gearing Calculator'!$W$20*('Track Data'!Q610^2)</f>
        <v>165.75648822469066</v>
      </c>
      <c r="W610" s="16">
        <f>('Gearing Calculator'!$U$9*'Track Data'!T610)+'Track Data'!V610</f>
        <v>1632.2335443807185</v>
      </c>
      <c r="X610" s="16">
        <f>('Gearing Calculator'!$U$9*9.81)*('Gearing Calculator'!$U$16/'Gearing Calculator'!$C$7)-(('Track Data'!W610)*('Gearing Calculator'!$U$17/'Gearing Calculator'!$C$7))</f>
        <v>511.48354699040738</v>
      </c>
      <c r="Y610" s="16">
        <f>('Gearing Calculator'!$U$9*9.81)*(('Gearing Calculator'!$C$7-'Gearing Calculator'!$U$16)/'Gearing Calculator'!$C$7)+(('Track Data'!W610)*('Gearing Calculator'!$U$17/'Gearing Calculator'!$C$7))</f>
        <v>2099.9384530095926</v>
      </c>
      <c r="Z610" s="16">
        <f>((X610*COS('Gearing Calculator'!$C$21))/'Gearing Calculator'!$C$22)/2</f>
        <v>15.813453588308835</v>
      </c>
      <c r="AA610" s="16">
        <f>Y610/'Gearing Calculator'!$C$24</f>
        <v>29.322184094578887</v>
      </c>
      <c r="AB610" s="16">
        <f t="shared" si="65"/>
        <v>182.28327698677964</v>
      </c>
      <c r="AC610" s="16">
        <v>0</v>
      </c>
      <c r="AD610" s="16">
        <v>51.415226335993168</v>
      </c>
      <c r="AE610" s="16">
        <v>607</v>
      </c>
      <c r="AF610" s="16">
        <f>IF(AC610=0,IF(O610=6,INDEX(Acceleration!$V$4:$V$110,MATCH('Track Data'!S610,Acceleration!$K$4:$K$110,0)),IF('Track Data'!O610=5,INDEX(Acceleration!$U$4:$U$110,MATCH('Track Data'!S610,Acceleration!$K$4:$K$110,0)),1)),U610)</f>
        <v>1</v>
      </c>
      <c r="AG610" s="16">
        <f>IF(AC610=0,IF(O610=4,INDEX(Acceleration!$T$4:$T$110,MATCH('Track Data'!S610,Acceleration!$K$4:$K$110,0)),IF('Track Data'!O610=3,INDEX(Acceleration!$S$4:$S$110,MATCH('Track Data'!S610,Acceleration!$K$4:$K$110,0)),'Track Data'!AF610)),'Track Data'!U610)</f>
        <v>5.5089295873629895</v>
      </c>
      <c r="AH610" s="16">
        <f>IF(AC610=0,IF(O610=2,INDEX(Acceleration!$R$4:$R$110,MATCH('Track Data'!S610,Acceleration!$K$4:$K$110,0)),IF('Track Data'!O610=1,INDEX(Acceleration!$Q$4:$Q$110,MATCH('Track Data'!S610,Acceleration!$K$4:$K$110,0)),'Track Data'!AG610)),'Track Data'!U610)</f>
        <v>5.5089295873629895</v>
      </c>
    </row>
    <row r="611" spans="2:34" x14ac:dyDescent="0.25">
      <c r="B611" s="16">
        <v>214.47399999999999</v>
      </c>
      <c r="C611" s="16">
        <v>7881</v>
      </c>
      <c r="D611" s="16">
        <v>608</v>
      </c>
      <c r="E611" s="113">
        <v>128</v>
      </c>
      <c r="F611" s="113">
        <v>122.1</v>
      </c>
      <c r="G611" s="113">
        <v>111.3</v>
      </c>
      <c r="H611" s="113">
        <f t="shared" si="68"/>
        <v>30.916666666666664</v>
      </c>
      <c r="I611" s="113">
        <v>12.9</v>
      </c>
      <c r="J611" s="113">
        <v>50.08</v>
      </c>
      <c r="K611" s="113">
        <v>58.1</v>
      </c>
      <c r="L611" s="183"/>
      <c r="M611" s="16">
        <v>608</v>
      </c>
      <c r="N611" s="16">
        <f t="shared" si="70"/>
        <v>2.5269092609066537E-2</v>
      </c>
      <c r="O611" s="16">
        <v>3</v>
      </c>
      <c r="P611" s="16">
        <f t="shared" si="66"/>
        <v>10.596205962059623</v>
      </c>
      <c r="Q611" s="16">
        <f t="shared" si="71"/>
        <v>39.574036767794368</v>
      </c>
      <c r="R611" s="113">
        <f t="shared" si="67"/>
        <v>345.36</v>
      </c>
      <c r="S611" s="16">
        <f>IF(S610=15800,15800,ROUND((((Q611*60)/'Gearing Calculator'!$C$14)*'Track Data'!P611),-2))</f>
        <v>12700</v>
      </c>
      <c r="T611" s="16">
        <f t="shared" si="69"/>
        <v>5.5089295873629895</v>
      </c>
      <c r="U611" s="16">
        <f>IF(AC611=100,Braking!$AG$2354,IF(AC611=50,Braking!$AG$1179,IF(AC611=75,Braking!$AG$1767,0)))</f>
        <v>0</v>
      </c>
      <c r="V611" s="16">
        <f>0.5*'Gearing Calculator'!$C$15*'Gearing Calculator'!$C$20*'Gearing Calculator'!$W$20*('Track Data'!Q611^2)</f>
        <v>165.75648822469066</v>
      </c>
      <c r="W611" s="16">
        <f>('Gearing Calculator'!$U$9*'Track Data'!T611)+'Track Data'!V611</f>
        <v>1632.2335443807185</v>
      </c>
      <c r="X611" s="16">
        <f>('Gearing Calculator'!$U$9*9.81)*('Gearing Calculator'!$U$16/'Gearing Calculator'!$C$7)-(('Track Data'!W611)*('Gearing Calculator'!$U$17/'Gearing Calculator'!$C$7))</f>
        <v>511.48354699040738</v>
      </c>
      <c r="Y611" s="16">
        <f>('Gearing Calculator'!$U$9*9.81)*(('Gearing Calculator'!$C$7-'Gearing Calculator'!$U$16)/'Gearing Calculator'!$C$7)+(('Track Data'!W611)*('Gearing Calculator'!$U$17/'Gearing Calculator'!$C$7))</f>
        <v>2099.9384530095926</v>
      </c>
      <c r="Z611" s="16">
        <f>((X611*COS('Gearing Calculator'!$C$21))/'Gearing Calculator'!$C$22)/2</f>
        <v>15.813453588308835</v>
      </c>
      <c r="AA611" s="16">
        <f>Y611/'Gearing Calculator'!$C$24</f>
        <v>29.322184094578887</v>
      </c>
      <c r="AB611" s="16">
        <f t="shared" si="65"/>
        <v>182.28327698677964</v>
      </c>
      <c r="AC611" s="16">
        <v>0</v>
      </c>
      <c r="AD611" s="16">
        <v>51.415226335993168</v>
      </c>
      <c r="AE611" s="16">
        <v>608</v>
      </c>
      <c r="AF611" s="16">
        <f>IF(AC611=0,IF(O611=6,INDEX(Acceleration!$V$4:$V$110,MATCH('Track Data'!S611,Acceleration!$K$4:$K$110,0)),IF('Track Data'!O611=5,INDEX(Acceleration!$U$4:$U$110,MATCH('Track Data'!S611,Acceleration!$K$4:$K$110,0)),1)),U611)</f>
        <v>1</v>
      </c>
      <c r="AG611" s="16">
        <f>IF(AC611=0,IF(O611=4,INDEX(Acceleration!$T$4:$T$110,MATCH('Track Data'!S611,Acceleration!$K$4:$K$110,0)),IF('Track Data'!O611=3,INDEX(Acceleration!$S$4:$S$110,MATCH('Track Data'!S611,Acceleration!$K$4:$K$110,0)),'Track Data'!AF611)),'Track Data'!U611)</f>
        <v>5.5089295873629895</v>
      </c>
      <c r="AH611" s="16">
        <f>IF(AC611=0,IF(O611=2,INDEX(Acceleration!$R$4:$R$110,MATCH('Track Data'!S611,Acceleration!$K$4:$K$110,0)),IF('Track Data'!O611=1,INDEX(Acceleration!$Q$4:$Q$110,MATCH('Track Data'!S611,Acceleration!$K$4:$K$110,0)),'Track Data'!AG611)),'Track Data'!U611)</f>
        <v>5.5089295873629895</v>
      </c>
    </row>
    <row r="612" spans="2:34" x14ac:dyDescent="0.25">
      <c r="B612" s="16">
        <v>214.50399999999999</v>
      </c>
      <c r="C612" s="16">
        <v>7882</v>
      </c>
      <c r="D612" s="16">
        <v>609</v>
      </c>
      <c r="E612" s="113">
        <v>128</v>
      </c>
      <c r="F612" s="113">
        <v>122.2</v>
      </c>
      <c r="G612" s="113">
        <v>111.4</v>
      </c>
      <c r="H612" s="113">
        <f t="shared" si="68"/>
        <v>30.944444444444446</v>
      </c>
      <c r="I612" s="113">
        <v>12.3</v>
      </c>
      <c r="J612" s="113">
        <v>47.76</v>
      </c>
      <c r="K612" s="113">
        <v>56.9</v>
      </c>
      <c r="L612" s="183"/>
      <c r="M612" s="16">
        <v>609</v>
      </c>
      <c r="N612" s="16">
        <f t="shared" si="70"/>
        <v>2.5269092609066537E-2</v>
      </c>
      <c r="O612" s="16">
        <v>3</v>
      </c>
      <c r="P612" s="16">
        <f t="shared" si="66"/>
        <v>10.596205962059623</v>
      </c>
      <c r="Q612" s="16">
        <f t="shared" si="71"/>
        <v>39.574036767794368</v>
      </c>
      <c r="R612" s="113">
        <f t="shared" si="67"/>
        <v>345.36</v>
      </c>
      <c r="S612" s="16">
        <f>IF(S611=15800,15800,ROUND((((Q612*60)/'Gearing Calculator'!$C$14)*'Track Data'!P612),-2))</f>
        <v>12700</v>
      </c>
      <c r="T612" s="16">
        <f t="shared" si="69"/>
        <v>5.5089295873629895</v>
      </c>
      <c r="U612" s="16">
        <f>IF(AC612=100,Braking!$AG$2354,IF(AC612=50,Braking!$AG$1179,IF(AC612=75,Braking!$AG$1767,0)))</f>
        <v>0</v>
      </c>
      <c r="V612" s="16">
        <f>0.5*'Gearing Calculator'!$C$15*'Gearing Calculator'!$C$20*'Gearing Calculator'!$W$20*('Track Data'!Q612^2)</f>
        <v>165.75648822469066</v>
      </c>
      <c r="W612" s="16">
        <f>('Gearing Calculator'!$U$9*'Track Data'!T612)+'Track Data'!V612</f>
        <v>1632.2335443807185</v>
      </c>
      <c r="X612" s="16">
        <f>('Gearing Calculator'!$U$9*9.81)*('Gearing Calculator'!$U$16/'Gearing Calculator'!$C$7)-(('Track Data'!W612)*('Gearing Calculator'!$U$17/'Gearing Calculator'!$C$7))</f>
        <v>511.48354699040738</v>
      </c>
      <c r="Y612" s="16">
        <f>('Gearing Calculator'!$U$9*9.81)*(('Gearing Calculator'!$C$7-'Gearing Calculator'!$U$16)/'Gearing Calculator'!$C$7)+(('Track Data'!W612)*('Gearing Calculator'!$U$17/'Gearing Calculator'!$C$7))</f>
        <v>2099.9384530095926</v>
      </c>
      <c r="Z612" s="16">
        <f>((X612*COS('Gearing Calculator'!$C$21))/'Gearing Calculator'!$C$22)/2</f>
        <v>15.813453588308835</v>
      </c>
      <c r="AA612" s="16">
        <f>Y612/'Gearing Calculator'!$C$24</f>
        <v>29.322184094578887</v>
      </c>
      <c r="AB612" s="16">
        <f t="shared" si="65"/>
        <v>182.28327698677964</v>
      </c>
      <c r="AC612" s="16">
        <v>0</v>
      </c>
      <c r="AD612" s="16">
        <v>51.415226335993168</v>
      </c>
      <c r="AE612" s="16">
        <v>609</v>
      </c>
      <c r="AF612" s="16">
        <f>IF(AC612=0,IF(O612=6,INDEX(Acceleration!$V$4:$V$110,MATCH('Track Data'!S612,Acceleration!$K$4:$K$110,0)),IF('Track Data'!O612=5,INDEX(Acceleration!$U$4:$U$110,MATCH('Track Data'!S612,Acceleration!$K$4:$K$110,0)),1)),U612)</f>
        <v>1</v>
      </c>
      <c r="AG612" s="16">
        <f>IF(AC612=0,IF(O612=4,INDEX(Acceleration!$T$4:$T$110,MATCH('Track Data'!S612,Acceleration!$K$4:$K$110,0)),IF('Track Data'!O612=3,INDEX(Acceleration!$S$4:$S$110,MATCH('Track Data'!S612,Acceleration!$K$4:$K$110,0)),'Track Data'!AF612)),'Track Data'!U612)</f>
        <v>5.5089295873629895</v>
      </c>
      <c r="AH612" s="16">
        <f>IF(AC612=0,IF(O612=2,INDEX(Acceleration!$R$4:$R$110,MATCH('Track Data'!S612,Acceleration!$K$4:$K$110,0)),IF('Track Data'!O612=1,INDEX(Acceleration!$Q$4:$Q$110,MATCH('Track Data'!S612,Acceleration!$K$4:$K$110,0)),'Track Data'!AG612)),'Track Data'!U612)</f>
        <v>5.5089295873629895</v>
      </c>
    </row>
    <row r="613" spans="2:34" x14ac:dyDescent="0.25">
      <c r="B613" s="16">
        <v>214.53299999999999</v>
      </c>
      <c r="C613" s="16">
        <v>7883</v>
      </c>
      <c r="D613" s="16">
        <v>610</v>
      </c>
      <c r="E613" s="113">
        <v>128</v>
      </c>
      <c r="F613" s="113">
        <v>122.4</v>
      </c>
      <c r="G613" s="113">
        <v>111.5</v>
      </c>
      <c r="H613" s="113">
        <f t="shared" si="68"/>
        <v>30.972222222222221</v>
      </c>
      <c r="I613" s="113">
        <v>12.2</v>
      </c>
      <c r="J613" s="113">
        <v>49.07</v>
      </c>
      <c r="K613" s="113">
        <v>55.9</v>
      </c>
      <c r="L613" s="183"/>
      <c r="M613" s="16">
        <v>610</v>
      </c>
      <c r="N613" s="16">
        <f t="shared" si="70"/>
        <v>2.5269092609066537E-2</v>
      </c>
      <c r="O613" s="16">
        <v>3</v>
      </c>
      <c r="P613" s="16">
        <f t="shared" si="66"/>
        <v>10.596205962059623</v>
      </c>
      <c r="Q613" s="16">
        <f t="shared" si="71"/>
        <v>39.574036767794368</v>
      </c>
      <c r="R613" s="113">
        <f t="shared" si="67"/>
        <v>345.36</v>
      </c>
      <c r="S613" s="16">
        <f>IF(S612=15800,15800,ROUND((((Q613*60)/'Gearing Calculator'!$C$14)*'Track Data'!P613),-2))</f>
        <v>12700</v>
      </c>
      <c r="T613" s="16">
        <f t="shared" si="69"/>
        <v>5.5089295873629895</v>
      </c>
      <c r="U613" s="16">
        <f>IF(AC613=100,Braking!$AG$2354,IF(AC613=50,Braking!$AG$1179,IF(AC613=75,Braking!$AG$1767,0)))</f>
        <v>0</v>
      </c>
      <c r="V613" s="16">
        <f>0.5*'Gearing Calculator'!$C$15*'Gearing Calculator'!$C$20*'Gearing Calculator'!$W$20*('Track Data'!Q613^2)</f>
        <v>165.75648822469066</v>
      </c>
      <c r="W613" s="16">
        <f>('Gearing Calculator'!$U$9*'Track Data'!T613)+'Track Data'!V613</f>
        <v>1632.2335443807185</v>
      </c>
      <c r="X613" s="16">
        <f>('Gearing Calculator'!$U$9*9.81)*('Gearing Calculator'!$U$16/'Gearing Calculator'!$C$7)-(('Track Data'!W613)*('Gearing Calculator'!$U$17/'Gearing Calculator'!$C$7))</f>
        <v>511.48354699040738</v>
      </c>
      <c r="Y613" s="16">
        <f>('Gearing Calculator'!$U$9*9.81)*(('Gearing Calculator'!$C$7-'Gearing Calculator'!$U$16)/'Gearing Calculator'!$C$7)+(('Track Data'!W613)*('Gearing Calculator'!$U$17/'Gearing Calculator'!$C$7))</f>
        <v>2099.9384530095926</v>
      </c>
      <c r="Z613" s="16">
        <f>((X613*COS('Gearing Calculator'!$C$21))/'Gearing Calculator'!$C$22)/2</f>
        <v>15.813453588308835</v>
      </c>
      <c r="AA613" s="16">
        <f>Y613/'Gearing Calculator'!$C$24</f>
        <v>29.322184094578887</v>
      </c>
      <c r="AB613" s="16">
        <f t="shared" si="65"/>
        <v>182.28327698677964</v>
      </c>
      <c r="AC613" s="16">
        <v>0</v>
      </c>
      <c r="AD613" s="16">
        <v>51.415226335993168</v>
      </c>
      <c r="AE613" s="16">
        <v>610</v>
      </c>
      <c r="AF613" s="16">
        <f>IF(AC613=0,IF(O613=6,INDEX(Acceleration!$V$4:$V$110,MATCH('Track Data'!S613,Acceleration!$K$4:$K$110,0)),IF('Track Data'!O613=5,INDEX(Acceleration!$U$4:$U$110,MATCH('Track Data'!S613,Acceleration!$K$4:$K$110,0)),1)),U613)</f>
        <v>1</v>
      </c>
      <c r="AG613" s="16">
        <f>IF(AC613=0,IF(O613=4,INDEX(Acceleration!$T$4:$T$110,MATCH('Track Data'!S613,Acceleration!$K$4:$K$110,0)),IF('Track Data'!O613=3,INDEX(Acceleration!$S$4:$S$110,MATCH('Track Data'!S613,Acceleration!$K$4:$K$110,0)),'Track Data'!AF613)),'Track Data'!U613)</f>
        <v>5.5089295873629895</v>
      </c>
      <c r="AH613" s="16">
        <f>IF(AC613=0,IF(O613=2,INDEX(Acceleration!$R$4:$R$110,MATCH('Track Data'!S613,Acceleration!$K$4:$K$110,0)),IF('Track Data'!O613=1,INDEX(Acceleration!$Q$4:$Q$110,MATCH('Track Data'!S613,Acceleration!$K$4:$K$110,0)),'Track Data'!AG613)),'Track Data'!U613)</f>
        <v>5.5089295873629895</v>
      </c>
    </row>
    <row r="614" spans="2:34" x14ac:dyDescent="0.25">
      <c r="B614" s="16">
        <v>214.56299999999999</v>
      </c>
      <c r="C614" s="16">
        <v>7884</v>
      </c>
      <c r="D614" s="16">
        <v>611</v>
      </c>
      <c r="E614" s="113">
        <v>128</v>
      </c>
      <c r="F614" s="113">
        <v>122.7</v>
      </c>
      <c r="G614" s="113">
        <v>111.7</v>
      </c>
      <c r="H614" s="113">
        <f t="shared" si="68"/>
        <v>31.027777777777779</v>
      </c>
      <c r="I614" s="113">
        <v>12.3</v>
      </c>
      <c r="J614" s="113">
        <v>51.52</v>
      </c>
      <c r="K614" s="113">
        <v>55</v>
      </c>
      <c r="L614" s="183"/>
      <c r="M614" s="16">
        <v>611</v>
      </c>
      <c r="N614" s="16">
        <f t="shared" si="70"/>
        <v>2.5269092609066537E-2</v>
      </c>
      <c r="O614" s="16">
        <v>3</v>
      </c>
      <c r="P614" s="16">
        <f t="shared" si="66"/>
        <v>10.596205962059623</v>
      </c>
      <c r="Q614" s="16">
        <f t="shared" si="71"/>
        <v>39.574036767794368</v>
      </c>
      <c r="R614" s="113">
        <f t="shared" si="67"/>
        <v>345.36</v>
      </c>
      <c r="S614" s="16">
        <f>IF(S613=15800,15800,ROUND((((Q614*60)/'Gearing Calculator'!$C$14)*'Track Data'!P614),-2))</f>
        <v>12700</v>
      </c>
      <c r="T614" s="16">
        <f t="shared" si="69"/>
        <v>5.5089295873629895</v>
      </c>
      <c r="U614" s="16">
        <f>IF(AC614=100,Braking!$AG$2354,IF(AC614=50,Braking!$AG$1179,IF(AC614=75,Braking!$AG$1767,0)))</f>
        <v>0</v>
      </c>
      <c r="V614" s="16">
        <f>0.5*'Gearing Calculator'!$C$15*'Gearing Calculator'!$C$20*'Gearing Calculator'!$W$20*('Track Data'!Q614^2)</f>
        <v>165.75648822469066</v>
      </c>
      <c r="W614" s="16">
        <f>('Gearing Calculator'!$U$9*'Track Data'!T614)+'Track Data'!V614</f>
        <v>1632.2335443807185</v>
      </c>
      <c r="X614" s="16">
        <f>('Gearing Calculator'!$U$9*9.81)*('Gearing Calculator'!$U$16/'Gearing Calculator'!$C$7)-(('Track Data'!W614)*('Gearing Calculator'!$U$17/'Gearing Calculator'!$C$7))</f>
        <v>511.48354699040738</v>
      </c>
      <c r="Y614" s="16">
        <f>('Gearing Calculator'!$U$9*9.81)*(('Gearing Calculator'!$C$7-'Gearing Calculator'!$U$16)/'Gearing Calculator'!$C$7)+(('Track Data'!W614)*('Gearing Calculator'!$U$17/'Gearing Calculator'!$C$7))</f>
        <v>2099.9384530095926</v>
      </c>
      <c r="Z614" s="16">
        <f>((X614*COS('Gearing Calculator'!$C$21))/'Gearing Calculator'!$C$22)/2</f>
        <v>15.813453588308835</v>
      </c>
      <c r="AA614" s="16">
        <f>Y614/'Gearing Calculator'!$C$24</f>
        <v>29.322184094578887</v>
      </c>
      <c r="AB614" s="16">
        <f t="shared" si="65"/>
        <v>182.28327698677964</v>
      </c>
      <c r="AC614" s="16">
        <v>0</v>
      </c>
      <c r="AD614" s="16">
        <v>51.415226335993168</v>
      </c>
      <c r="AE614" s="16">
        <v>611</v>
      </c>
      <c r="AF614" s="16">
        <f>IF(AC614=0,IF(O614=6,INDEX(Acceleration!$V$4:$V$110,MATCH('Track Data'!S614,Acceleration!$K$4:$K$110,0)),IF('Track Data'!O614=5,INDEX(Acceleration!$U$4:$U$110,MATCH('Track Data'!S614,Acceleration!$K$4:$K$110,0)),1)),U614)</f>
        <v>1</v>
      </c>
      <c r="AG614" s="16">
        <f>IF(AC614=0,IF(O614=4,INDEX(Acceleration!$T$4:$T$110,MATCH('Track Data'!S614,Acceleration!$K$4:$K$110,0)),IF('Track Data'!O614=3,INDEX(Acceleration!$S$4:$S$110,MATCH('Track Data'!S614,Acceleration!$K$4:$K$110,0)),'Track Data'!AF614)),'Track Data'!U614)</f>
        <v>5.5089295873629895</v>
      </c>
      <c r="AH614" s="16">
        <f>IF(AC614=0,IF(O614=2,INDEX(Acceleration!$R$4:$R$110,MATCH('Track Data'!S614,Acceleration!$K$4:$K$110,0)),IF('Track Data'!O614=1,INDEX(Acceleration!$Q$4:$Q$110,MATCH('Track Data'!S614,Acceleration!$K$4:$K$110,0)),'Track Data'!AG614)),'Track Data'!U614)</f>
        <v>5.5089295873629895</v>
      </c>
    </row>
    <row r="615" spans="2:34" x14ac:dyDescent="0.25">
      <c r="B615" s="16">
        <v>214.59100000000001</v>
      </c>
      <c r="C615" s="16">
        <v>7885</v>
      </c>
      <c r="D615" s="16">
        <v>612</v>
      </c>
      <c r="E615" s="113">
        <v>128</v>
      </c>
      <c r="F615" s="113">
        <v>122.8</v>
      </c>
      <c r="G615" s="113">
        <v>111.9</v>
      </c>
      <c r="H615" s="113">
        <f t="shared" si="68"/>
        <v>31.083333333333336</v>
      </c>
      <c r="I615" s="113">
        <v>13.9</v>
      </c>
      <c r="J615" s="113">
        <v>51.66</v>
      </c>
      <c r="K615" s="113">
        <v>55</v>
      </c>
      <c r="L615" s="183"/>
      <c r="M615" s="16">
        <v>612</v>
      </c>
      <c r="N615" s="16">
        <f t="shared" si="70"/>
        <v>2.5269092609066537E-2</v>
      </c>
      <c r="O615" s="16">
        <v>3</v>
      </c>
      <c r="P615" s="16">
        <f t="shared" si="66"/>
        <v>10.596205962059623</v>
      </c>
      <c r="Q615" s="16">
        <f t="shared" si="71"/>
        <v>39.574036767794368</v>
      </c>
      <c r="R615" s="113">
        <f t="shared" si="67"/>
        <v>345.36</v>
      </c>
      <c r="S615" s="16">
        <f>IF(S614=15800,15800,ROUND((((Q615*60)/'Gearing Calculator'!$C$14)*'Track Data'!P615),-2))</f>
        <v>12700</v>
      </c>
      <c r="T615" s="16">
        <f t="shared" si="69"/>
        <v>5.5089295873629895</v>
      </c>
      <c r="U615" s="16">
        <f>IF(AC615=100,Braking!$AG$2354,IF(AC615=50,Braking!$AG$1179,IF(AC615=75,Braking!$AG$1767,0)))</f>
        <v>0</v>
      </c>
      <c r="V615" s="16">
        <f>0.5*'Gearing Calculator'!$C$15*'Gearing Calculator'!$C$20*'Gearing Calculator'!$W$20*('Track Data'!Q615^2)</f>
        <v>165.75648822469066</v>
      </c>
      <c r="W615" s="16">
        <f>('Gearing Calculator'!$U$9*'Track Data'!T615)+'Track Data'!V615</f>
        <v>1632.2335443807185</v>
      </c>
      <c r="X615" s="16">
        <f>('Gearing Calculator'!$U$9*9.81)*('Gearing Calculator'!$U$16/'Gearing Calculator'!$C$7)-(('Track Data'!W615)*('Gearing Calculator'!$U$17/'Gearing Calculator'!$C$7))</f>
        <v>511.48354699040738</v>
      </c>
      <c r="Y615" s="16">
        <f>('Gearing Calculator'!$U$9*9.81)*(('Gearing Calculator'!$C$7-'Gearing Calculator'!$U$16)/'Gearing Calculator'!$C$7)+(('Track Data'!W615)*('Gearing Calculator'!$U$17/'Gearing Calculator'!$C$7))</f>
        <v>2099.9384530095926</v>
      </c>
      <c r="Z615" s="16">
        <f>((X615*COS('Gearing Calculator'!$C$21))/'Gearing Calculator'!$C$22)/2</f>
        <v>15.813453588308835</v>
      </c>
      <c r="AA615" s="16">
        <f>Y615/'Gearing Calculator'!$C$24</f>
        <v>29.322184094578887</v>
      </c>
      <c r="AB615" s="16">
        <f t="shared" si="65"/>
        <v>182.28327698677964</v>
      </c>
      <c r="AC615" s="16">
        <v>0</v>
      </c>
      <c r="AD615" s="16">
        <v>51.415226335993168</v>
      </c>
      <c r="AE615" s="16">
        <v>612</v>
      </c>
      <c r="AF615" s="16">
        <f>IF(AC615=0,IF(O615=6,INDEX(Acceleration!$V$4:$V$110,MATCH('Track Data'!S615,Acceleration!$K$4:$K$110,0)),IF('Track Data'!O615=5,INDEX(Acceleration!$U$4:$U$110,MATCH('Track Data'!S615,Acceleration!$K$4:$K$110,0)),1)),U615)</f>
        <v>1</v>
      </c>
      <c r="AG615" s="16">
        <f>IF(AC615=0,IF(O615=4,INDEX(Acceleration!$T$4:$T$110,MATCH('Track Data'!S615,Acceleration!$K$4:$K$110,0)),IF('Track Data'!O615=3,INDEX(Acceleration!$S$4:$S$110,MATCH('Track Data'!S615,Acceleration!$K$4:$K$110,0)),'Track Data'!AF615)),'Track Data'!U615)</f>
        <v>5.5089295873629895</v>
      </c>
      <c r="AH615" s="16">
        <f>IF(AC615=0,IF(O615=2,INDEX(Acceleration!$R$4:$R$110,MATCH('Track Data'!S615,Acceleration!$K$4:$K$110,0)),IF('Track Data'!O615=1,INDEX(Acceleration!$Q$4:$Q$110,MATCH('Track Data'!S615,Acceleration!$K$4:$K$110,0)),'Track Data'!AG615)),'Track Data'!U615)</f>
        <v>5.5089295873629895</v>
      </c>
    </row>
    <row r="616" spans="2:34" x14ac:dyDescent="0.25">
      <c r="B616" s="16">
        <v>214.62100000000001</v>
      </c>
      <c r="C616" s="16">
        <v>7886</v>
      </c>
      <c r="D616" s="16">
        <v>613</v>
      </c>
      <c r="E616" s="113">
        <v>128</v>
      </c>
      <c r="F616" s="113">
        <v>123</v>
      </c>
      <c r="G616" s="113">
        <v>112.1</v>
      </c>
      <c r="H616" s="113">
        <f t="shared" si="68"/>
        <v>31.138888888888886</v>
      </c>
      <c r="I616" s="113">
        <v>16.100000000000001</v>
      </c>
      <c r="J616" s="113">
        <v>53.4</v>
      </c>
      <c r="K616" s="113">
        <v>55</v>
      </c>
      <c r="L616" s="183"/>
      <c r="M616" s="16">
        <v>613</v>
      </c>
      <c r="N616" s="16">
        <f t="shared" si="70"/>
        <v>2.5269092609066537E-2</v>
      </c>
      <c r="O616" s="16">
        <v>3</v>
      </c>
      <c r="P616" s="16">
        <f t="shared" si="66"/>
        <v>10.596205962059623</v>
      </c>
      <c r="Q616" s="16">
        <f t="shared" si="71"/>
        <v>39.574036767794368</v>
      </c>
      <c r="R616" s="113">
        <f t="shared" si="67"/>
        <v>345.36</v>
      </c>
      <c r="S616" s="16">
        <f>IF(S615=15800,15800,ROUND((((Q616*60)/'Gearing Calculator'!$C$14)*'Track Data'!P616),-2))</f>
        <v>12700</v>
      </c>
      <c r="T616" s="16">
        <f t="shared" si="69"/>
        <v>5.5089295873629895</v>
      </c>
      <c r="U616" s="16">
        <f>IF(AC616=100,Braking!$AG$2354,IF(AC616=50,Braking!$AG$1179,IF(AC616=75,Braking!$AG$1767,0)))</f>
        <v>0</v>
      </c>
      <c r="V616" s="16">
        <f>0.5*'Gearing Calculator'!$C$15*'Gearing Calculator'!$C$20*'Gearing Calculator'!$W$20*('Track Data'!Q616^2)</f>
        <v>165.75648822469066</v>
      </c>
      <c r="W616" s="16">
        <f>('Gearing Calculator'!$U$9*'Track Data'!T616)+'Track Data'!V616</f>
        <v>1632.2335443807185</v>
      </c>
      <c r="X616" s="16">
        <f>('Gearing Calculator'!$U$9*9.81)*('Gearing Calculator'!$U$16/'Gearing Calculator'!$C$7)-(('Track Data'!W616)*('Gearing Calculator'!$U$17/'Gearing Calculator'!$C$7))</f>
        <v>511.48354699040738</v>
      </c>
      <c r="Y616" s="16">
        <f>('Gearing Calculator'!$U$9*9.81)*(('Gearing Calculator'!$C$7-'Gearing Calculator'!$U$16)/'Gearing Calculator'!$C$7)+(('Track Data'!W616)*('Gearing Calculator'!$U$17/'Gearing Calculator'!$C$7))</f>
        <v>2099.9384530095926</v>
      </c>
      <c r="Z616" s="16">
        <f>((X616*COS('Gearing Calculator'!$C$21))/'Gearing Calculator'!$C$22)/2</f>
        <v>15.813453588308835</v>
      </c>
      <c r="AA616" s="16">
        <f>Y616/'Gearing Calculator'!$C$24</f>
        <v>29.322184094578887</v>
      </c>
      <c r="AB616" s="16">
        <f t="shared" si="65"/>
        <v>182.28327698677964</v>
      </c>
      <c r="AC616" s="16">
        <v>0</v>
      </c>
      <c r="AD616" s="16">
        <v>51.415226335993168</v>
      </c>
      <c r="AE616" s="16">
        <v>613</v>
      </c>
      <c r="AF616" s="16">
        <f>IF(AC616=0,IF(O616=6,INDEX(Acceleration!$V$4:$V$110,MATCH('Track Data'!S616,Acceleration!$K$4:$K$110,0)),IF('Track Data'!O616=5,INDEX(Acceleration!$U$4:$U$110,MATCH('Track Data'!S616,Acceleration!$K$4:$K$110,0)),1)),U616)</f>
        <v>1</v>
      </c>
      <c r="AG616" s="16">
        <f>IF(AC616=0,IF(O616=4,INDEX(Acceleration!$T$4:$T$110,MATCH('Track Data'!S616,Acceleration!$K$4:$K$110,0)),IF('Track Data'!O616=3,INDEX(Acceleration!$S$4:$S$110,MATCH('Track Data'!S616,Acceleration!$K$4:$K$110,0)),'Track Data'!AF616)),'Track Data'!U616)</f>
        <v>5.5089295873629895</v>
      </c>
      <c r="AH616" s="16">
        <f>IF(AC616=0,IF(O616=2,INDEX(Acceleration!$R$4:$R$110,MATCH('Track Data'!S616,Acceleration!$K$4:$K$110,0)),IF('Track Data'!O616=1,INDEX(Acceleration!$Q$4:$Q$110,MATCH('Track Data'!S616,Acceleration!$K$4:$K$110,0)),'Track Data'!AG616)),'Track Data'!U616)</f>
        <v>5.5089295873629895</v>
      </c>
    </row>
    <row r="617" spans="2:34" x14ac:dyDescent="0.25">
      <c r="B617" s="16">
        <v>214.65</v>
      </c>
      <c r="C617" s="16">
        <v>7887</v>
      </c>
      <c r="D617" s="16">
        <v>614</v>
      </c>
      <c r="E617" s="113">
        <v>128</v>
      </c>
      <c r="F617" s="113">
        <v>123.2</v>
      </c>
      <c r="G617" s="113">
        <v>112.3</v>
      </c>
      <c r="H617" s="113">
        <f t="shared" si="68"/>
        <v>31.194444444444443</v>
      </c>
      <c r="I617" s="113">
        <v>17</v>
      </c>
      <c r="J617" s="113">
        <v>54.05</v>
      </c>
      <c r="K617" s="113">
        <v>54.8</v>
      </c>
      <c r="L617" s="183"/>
      <c r="M617" s="16">
        <v>614</v>
      </c>
      <c r="N617" s="16">
        <f t="shared" si="70"/>
        <v>2.5269092609066537E-2</v>
      </c>
      <c r="O617" s="16">
        <v>3</v>
      </c>
      <c r="P617" s="16">
        <f t="shared" si="66"/>
        <v>10.596205962059623</v>
      </c>
      <c r="Q617" s="16">
        <f t="shared" si="71"/>
        <v>39.574036767794368</v>
      </c>
      <c r="R617" s="113">
        <f t="shared" si="67"/>
        <v>345.36</v>
      </c>
      <c r="S617" s="16">
        <f>IF(S616=15800,15800,ROUND((((Q617*60)/'Gearing Calculator'!$C$14)*'Track Data'!P617),-2))</f>
        <v>12700</v>
      </c>
      <c r="T617" s="16">
        <f t="shared" si="69"/>
        <v>5.5089295873629895</v>
      </c>
      <c r="U617" s="16">
        <f>IF(AC617=100,Braking!$AG$2354,IF(AC617=50,Braking!$AG$1179,IF(AC617=75,Braking!$AG$1767,0)))</f>
        <v>0</v>
      </c>
      <c r="V617" s="16">
        <f>0.5*'Gearing Calculator'!$C$15*'Gearing Calculator'!$C$20*'Gearing Calculator'!$W$20*('Track Data'!Q617^2)</f>
        <v>165.75648822469066</v>
      </c>
      <c r="W617" s="16">
        <f>('Gearing Calculator'!$U$9*'Track Data'!T617)+'Track Data'!V617</f>
        <v>1632.2335443807185</v>
      </c>
      <c r="X617" s="16">
        <f>('Gearing Calculator'!$U$9*9.81)*('Gearing Calculator'!$U$16/'Gearing Calculator'!$C$7)-(('Track Data'!W617)*('Gearing Calculator'!$U$17/'Gearing Calculator'!$C$7))</f>
        <v>511.48354699040738</v>
      </c>
      <c r="Y617" s="16">
        <f>('Gearing Calculator'!$U$9*9.81)*(('Gearing Calculator'!$C$7-'Gearing Calculator'!$U$16)/'Gearing Calculator'!$C$7)+(('Track Data'!W617)*('Gearing Calculator'!$U$17/'Gearing Calculator'!$C$7))</f>
        <v>2099.9384530095926</v>
      </c>
      <c r="Z617" s="16">
        <f>((X617*COS('Gearing Calculator'!$C$21))/'Gearing Calculator'!$C$22)/2</f>
        <v>15.813453588308835</v>
      </c>
      <c r="AA617" s="16">
        <f>Y617/'Gearing Calculator'!$C$24</f>
        <v>29.322184094578887</v>
      </c>
      <c r="AB617" s="16">
        <f t="shared" si="65"/>
        <v>182.28327698677964</v>
      </c>
      <c r="AC617" s="16">
        <v>0</v>
      </c>
      <c r="AD617" s="16">
        <v>51.415226335993168</v>
      </c>
      <c r="AE617" s="16">
        <v>614</v>
      </c>
      <c r="AF617" s="16">
        <f>IF(AC617=0,IF(O617=6,INDEX(Acceleration!$V$4:$V$110,MATCH('Track Data'!S617,Acceleration!$K$4:$K$110,0)),IF('Track Data'!O617=5,INDEX(Acceleration!$U$4:$U$110,MATCH('Track Data'!S617,Acceleration!$K$4:$K$110,0)),1)),U617)</f>
        <v>1</v>
      </c>
      <c r="AG617" s="16">
        <f>IF(AC617=0,IF(O617=4,INDEX(Acceleration!$T$4:$T$110,MATCH('Track Data'!S617,Acceleration!$K$4:$K$110,0)),IF('Track Data'!O617=3,INDEX(Acceleration!$S$4:$S$110,MATCH('Track Data'!S617,Acceleration!$K$4:$K$110,0)),'Track Data'!AF617)),'Track Data'!U617)</f>
        <v>5.5089295873629895</v>
      </c>
      <c r="AH617" s="16">
        <f>IF(AC617=0,IF(O617=2,INDEX(Acceleration!$R$4:$R$110,MATCH('Track Data'!S617,Acceleration!$K$4:$K$110,0)),IF('Track Data'!O617=1,INDEX(Acceleration!$Q$4:$Q$110,MATCH('Track Data'!S617,Acceleration!$K$4:$K$110,0)),'Track Data'!AG617)),'Track Data'!U617)</f>
        <v>5.5089295873629895</v>
      </c>
    </row>
    <row r="618" spans="2:34" x14ac:dyDescent="0.25">
      <c r="B618" s="16">
        <v>214.679</v>
      </c>
      <c r="C618" s="16">
        <v>7888</v>
      </c>
      <c r="D618" s="16">
        <v>615</v>
      </c>
      <c r="E618" s="113">
        <v>128</v>
      </c>
      <c r="F618" s="113">
        <v>123.2</v>
      </c>
      <c r="G618" s="113">
        <v>112.5</v>
      </c>
      <c r="H618" s="113">
        <f t="shared" si="68"/>
        <v>31.25</v>
      </c>
      <c r="I618" s="113">
        <v>17.7</v>
      </c>
      <c r="J618" s="113">
        <v>53.52</v>
      </c>
      <c r="K618" s="113">
        <v>54.5</v>
      </c>
      <c r="L618" s="183"/>
      <c r="M618" s="16">
        <v>615</v>
      </c>
      <c r="N618" s="16">
        <f t="shared" si="70"/>
        <v>2.5269092609066537E-2</v>
      </c>
      <c r="O618" s="16">
        <v>3</v>
      </c>
      <c r="P618" s="16">
        <f t="shared" si="66"/>
        <v>10.596205962059623</v>
      </c>
      <c r="Q618" s="16">
        <f t="shared" si="71"/>
        <v>39.574036767794368</v>
      </c>
      <c r="R618" s="113">
        <f t="shared" si="67"/>
        <v>345.36</v>
      </c>
      <c r="S618" s="16">
        <f>IF(S617=15800,15800,ROUND((((Q618*60)/'Gearing Calculator'!$C$14)*'Track Data'!P618),-2))</f>
        <v>12700</v>
      </c>
      <c r="T618" s="16">
        <f t="shared" si="69"/>
        <v>5.5089295873629895</v>
      </c>
      <c r="U618" s="16">
        <f>IF(AC618=100,Braking!$AG$2354,IF(AC618=50,Braking!$AG$1179,IF(AC618=75,Braking!$AG$1767,0)))</f>
        <v>0</v>
      </c>
      <c r="V618" s="16">
        <f>0.5*'Gearing Calculator'!$C$15*'Gearing Calculator'!$C$20*'Gearing Calculator'!$W$20*('Track Data'!Q618^2)</f>
        <v>165.75648822469066</v>
      </c>
      <c r="W618" s="16">
        <f>('Gearing Calculator'!$U$9*'Track Data'!T618)+'Track Data'!V618</f>
        <v>1632.2335443807185</v>
      </c>
      <c r="X618" s="16">
        <f>('Gearing Calculator'!$U$9*9.81)*('Gearing Calculator'!$U$16/'Gearing Calculator'!$C$7)-(('Track Data'!W618)*('Gearing Calculator'!$U$17/'Gearing Calculator'!$C$7))</f>
        <v>511.48354699040738</v>
      </c>
      <c r="Y618" s="16">
        <f>('Gearing Calculator'!$U$9*9.81)*(('Gearing Calculator'!$C$7-'Gearing Calculator'!$U$16)/'Gearing Calculator'!$C$7)+(('Track Data'!W618)*('Gearing Calculator'!$U$17/'Gearing Calculator'!$C$7))</f>
        <v>2099.9384530095926</v>
      </c>
      <c r="Z618" s="16">
        <f>((X618*COS('Gearing Calculator'!$C$21))/'Gearing Calculator'!$C$22)/2</f>
        <v>15.813453588308835</v>
      </c>
      <c r="AA618" s="16">
        <f>Y618/'Gearing Calculator'!$C$24</f>
        <v>29.322184094578887</v>
      </c>
      <c r="AB618" s="16">
        <f t="shared" si="65"/>
        <v>182.28327698677964</v>
      </c>
      <c r="AC618" s="16">
        <v>0</v>
      </c>
      <c r="AD618" s="16">
        <v>51.415226335993168</v>
      </c>
      <c r="AE618" s="16">
        <v>615</v>
      </c>
      <c r="AF618" s="16">
        <f>IF(AC618=0,IF(O618=6,INDEX(Acceleration!$V$4:$V$110,MATCH('Track Data'!S618,Acceleration!$K$4:$K$110,0)),IF('Track Data'!O618=5,INDEX(Acceleration!$U$4:$U$110,MATCH('Track Data'!S618,Acceleration!$K$4:$K$110,0)),1)),U618)</f>
        <v>1</v>
      </c>
      <c r="AG618" s="16">
        <f>IF(AC618=0,IF(O618=4,INDEX(Acceleration!$T$4:$T$110,MATCH('Track Data'!S618,Acceleration!$K$4:$K$110,0)),IF('Track Data'!O618=3,INDEX(Acceleration!$S$4:$S$110,MATCH('Track Data'!S618,Acceleration!$K$4:$K$110,0)),'Track Data'!AF618)),'Track Data'!U618)</f>
        <v>5.5089295873629895</v>
      </c>
      <c r="AH618" s="16">
        <f>IF(AC618=0,IF(O618=2,INDEX(Acceleration!$R$4:$R$110,MATCH('Track Data'!S618,Acceleration!$K$4:$K$110,0)),IF('Track Data'!O618=1,INDEX(Acceleration!$Q$4:$Q$110,MATCH('Track Data'!S618,Acceleration!$K$4:$K$110,0)),'Track Data'!AG618)),'Track Data'!U618)</f>
        <v>5.5089295873629895</v>
      </c>
    </row>
    <row r="619" spans="2:34" x14ac:dyDescent="0.25">
      <c r="B619" s="16">
        <v>214.708</v>
      </c>
      <c r="C619" s="16">
        <v>7889</v>
      </c>
      <c r="D619" s="16">
        <v>616</v>
      </c>
      <c r="E619" s="113">
        <v>129</v>
      </c>
      <c r="F619" s="113">
        <v>123.2</v>
      </c>
      <c r="G619" s="113">
        <v>112.7</v>
      </c>
      <c r="H619" s="113">
        <f t="shared" si="68"/>
        <v>31.305555555555557</v>
      </c>
      <c r="I619" s="113">
        <v>18.100000000000001</v>
      </c>
      <c r="J619" s="113">
        <v>53.93</v>
      </c>
      <c r="K619" s="113">
        <v>54.1</v>
      </c>
      <c r="L619" s="183"/>
      <c r="M619" s="16">
        <v>616</v>
      </c>
      <c r="N619" s="16">
        <f t="shared" si="70"/>
        <v>2.5269092609066537E-2</v>
      </c>
      <c r="O619" s="16">
        <v>3</v>
      </c>
      <c r="P619" s="16">
        <f t="shared" si="66"/>
        <v>10.596205962059623</v>
      </c>
      <c r="Q619" s="16">
        <f t="shared" si="71"/>
        <v>39.574036767794368</v>
      </c>
      <c r="R619" s="113">
        <f t="shared" si="67"/>
        <v>345.36</v>
      </c>
      <c r="S619" s="16">
        <f>IF(S618=15800,15800,ROUND((((Q619*60)/'Gearing Calculator'!$C$14)*'Track Data'!P619),-2))</f>
        <v>12700</v>
      </c>
      <c r="T619" s="16">
        <f t="shared" si="69"/>
        <v>5.5089295873629895</v>
      </c>
      <c r="U619" s="16">
        <f>IF(AC619=100,Braking!$AG$2354,IF(AC619=50,Braking!$AG$1179,IF(AC619=75,Braking!$AG$1767,0)))</f>
        <v>0</v>
      </c>
      <c r="V619" s="16">
        <f>0.5*'Gearing Calculator'!$C$15*'Gearing Calculator'!$C$20*'Gearing Calculator'!$W$20*('Track Data'!Q619^2)</f>
        <v>165.75648822469066</v>
      </c>
      <c r="W619" s="16">
        <f>('Gearing Calculator'!$U$9*'Track Data'!T619)+'Track Data'!V619</f>
        <v>1632.2335443807185</v>
      </c>
      <c r="X619" s="16">
        <f>('Gearing Calculator'!$U$9*9.81)*('Gearing Calculator'!$U$16/'Gearing Calculator'!$C$7)-(('Track Data'!W619)*('Gearing Calculator'!$U$17/'Gearing Calculator'!$C$7))</f>
        <v>511.48354699040738</v>
      </c>
      <c r="Y619" s="16">
        <f>('Gearing Calculator'!$U$9*9.81)*(('Gearing Calculator'!$C$7-'Gearing Calculator'!$U$16)/'Gearing Calculator'!$C$7)+(('Track Data'!W619)*('Gearing Calculator'!$U$17/'Gearing Calculator'!$C$7))</f>
        <v>2099.9384530095926</v>
      </c>
      <c r="Z619" s="16">
        <f>((X619*COS('Gearing Calculator'!$C$21))/'Gearing Calculator'!$C$22)/2</f>
        <v>15.813453588308835</v>
      </c>
      <c r="AA619" s="16">
        <f>Y619/'Gearing Calculator'!$C$24</f>
        <v>29.322184094578887</v>
      </c>
      <c r="AB619" s="16">
        <f t="shared" si="65"/>
        <v>182.28327698677964</v>
      </c>
      <c r="AC619" s="16">
        <v>0</v>
      </c>
      <c r="AD619" s="16">
        <v>51.415226335993168</v>
      </c>
      <c r="AE619" s="16">
        <v>616</v>
      </c>
      <c r="AF619" s="16">
        <f>IF(AC619=0,IF(O619=6,INDEX(Acceleration!$V$4:$V$110,MATCH('Track Data'!S619,Acceleration!$K$4:$K$110,0)),IF('Track Data'!O619=5,INDEX(Acceleration!$U$4:$U$110,MATCH('Track Data'!S619,Acceleration!$K$4:$K$110,0)),1)),U619)</f>
        <v>1</v>
      </c>
      <c r="AG619" s="16">
        <f>IF(AC619=0,IF(O619=4,INDEX(Acceleration!$T$4:$T$110,MATCH('Track Data'!S619,Acceleration!$K$4:$K$110,0)),IF('Track Data'!O619=3,INDEX(Acceleration!$S$4:$S$110,MATCH('Track Data'!S619,Acceleration!$K$4:$K$110,0)),'Track Data'!AF619)),'Track Data'!U619)</f>
        <v>5.5089295873629895</v>
      </c>
      <c r="AH619" s="16">
        <f>IF(AC619=0,IF(O619=2,INDEX(Acceleration!$R$4:$R$110,MATCH('Track Data'!S619,Acceleration!$K$4:$K$110,0)),IF('Track Data'!O619=1,INDEX(Acceleration!$Q$4:$Q$110,MATCH('Track Data'!S619,Acceleration!$K$4:$K$110,0)),'Track Data'!AG619)),'Track Data'!U619)</f>
        <v>5.5089295873629895</v>
      </c>
    </row>
    <row r="620" spans="2:34" x14ac:dyDescent="0.25">
      <c r="B620" s="16">
        <v>214.738</v>
      </c>
      <c r="C620" s="16">
        <v>7890</v>
      </c>
      <c r="D620" s="16">
        <v>617</v>
      </c>
      <c r="E620" s="113">
        <v>129</v>
      </c>
      <c r="F620" s="113">
        <v>123.3</v>
      </c>
      <c r="G620" s="113">
        <v>112.9</v>
      </c>
      <c r="H620" s="113">
        <f t="shared" si="68"/>
        <v>31.361111111111111</v>
      </c>
      <c r="I620" s="113">
        <v>18.100000000000001</v>
      </c>
      <c r="J620" s="113">
        <v>50.5</v>
      </c>
      <c r="K620" s="113">
        <v>53.5</v>
      </c>
      <c r="L620" s="183"/>
      <c r="M620" s="16">
        <v>617</v>
      </c>
      <c r="N620" s="16">
        <f t="shared" si="70"/>
        <v>2.5269092609066537E-2</v>
      </c>
      <c r="O620" s="16">
        <v>3</v>
      </c>
      <c r="P620" s="16">
        <f t="shared" si="66"/>
        <v>10.596205962059623</v>
      </c>
      <c r="Q620" s="16">
        <f t="shared" si="71"/>
        <v>39.574036767794368</v>
      </c>
      <c r="R620" s="113">
        <f t="shared" si="67"/>
        <v>345.36</v>
      </c>
      <c r="S620" s="16">
        <f>IF(S619=15800,15800,ROUND((((Q620*60)/'Gearing Calculator'!$C$14)*'Track Data'!P620),-2))</f>
        <v>12700</v>
      </c>
      <c r="T620" s="16">
        <f t="shared" si="69"/>
        <v>5.5089295873629895</v>
      </c>
      <c r="U620" s="16">
        <f>IF(AC620=100,Braking!$AG$2354,IF(AC620=50,Braking!$AG$1179,IF(AC620=75,Braking!$AG$1767,0)))</f>
        <v>0</v>
      </c>
      <c r="V620" s="16">
        <f>0.5*'Gearing Calculator'!$C$15*'Gearing Calculator'!$C$20*'Gearing Calculator'!$W$20*('Track Data'!Q620^2)</f>
        <v>165.75648822469066</v>
      </c>
      <c r="W620" s="16">
        <f>('Gearing Calculator'!$U$9*'Track Data'!T620)+'Track Data'!V620</f>
        <v>1632.2335443807185</v>
      </c>
      <c r="X620" s="16">
        <f>('Gearing Calculator'!$U$9*9.81)*('Gearing Calculator'!$U$16/'Gearing Calculator'!$C$7)-(('Track Data'!W620)*('Gearing Calculator'!$U$17/'Gearing Calculator'!$C$7))</f>
        <v>511.48354699040738</v>
      </c>
      <c r="Y620" s="16">
        <f>('Gearing Calculator'!$U$9*9.81)*(('Gearing Calculator'!$C$7-'Gearing Calculator'!$U$16)/'Gearing Calculator'!$C$7)+(('Track Data'!W620)*('Gearing Calculator'!$U$17/'Gearing Calculator'!$C$7))</f>
        <v>2099.9384530095926</v>
      </c>
      <c r="Z620" s="16">
        <f>((X620*COS('Gearing Calculator'!$C$21))/'Gearing Calculator'!$C$22)/2</f>
        <v>15.813453588308835</v>
      </c>
      <c r="AA620" s="16">
        <f>Y620/'Gearing Calculator'!$C$24</f>
        <v>29.322184094578887</v>
      </c>
      <c r="AB620" s="16">
        <f t="shared" si="65"/>
        <v>182.28327698677964</v>
      </c>
      <c r="AC620" s="16">
        <v>0</v>
      </c>
      <c r="AD620" s="16">
        <v>51.415226335993168</v>
      </c>
      <c r="AE620" s="16">
        <v>617</v>
      </c>
      <c r="AF620" s="16">
        <f>IF(AC620=0,IF(O620=6,INDEX(Acceleration!$V$4:$V$110,MATCH('Track Data'!S620,Acceleration!$K$4:$K$110,0)),IF('Track Data'!O620=5,INDEX(Acceleration!$U$4:$U$110,MATCH('Track Data'!S620,Acceleration!$K$4:$K$110,0)),1)),U620)</f>
        <v>1</v>
      </c>
      <c r="AG620" s="16">
        <f>IF(AC620=0,IF(O620=4,INDEX(Acceleration!$T$4:$T$110,MATCH('Track Data'!S620,Acceleration!$K$4:$K$110,0)),IF('Track Data'!O620=3,INDEX(Acceleration!$S$4:$S$110,MATCH('Track Data'!S620,Acceleration!$K$4:$K$110,0)),'Track Data'!AF620)),'Track Data'!U620)</f>
        <v>5.5089295873629895</v>
      </c>
      <c r="AH620" s="16">
        <f>IF(AC620=0,IF(O620=2,INDEX(Acceleration!$R$4:$R$110,MATCH('Track Data'!S620,Acceleration!$K$4:$K$110,0)),IF('Track Data'!O620=1,INDEX(Acceleration!$Q$4:$Q$110,MATCH('Track Data'!S620,Acceleration!$K$4:$K$110,0)),'Track Data'!AG620)),'Track Data'!U620)</f>
        <v>5.5089295873629895</v>
      </c>
    </row>
    <row r="621" spans="2:34" x14ac:dyDescent="0.25">
      <c r="B621" s="16">
        <v>214.76599999999999</v>
      </c>
      <c r="C621" s="16">
        <v>7891</v>
      </c>
      <c r="D621" s="16">
        <v>618</v>
      </c>
      <c r="E621" s="113">
        <v>129</v>
      </c>
      <c r="F621" s="113">
        <v>123.4</v>
      </c>
      <c r="G621" s="113">
        <v>113.2</v>
      </c>
      <c r="H621" s="113">
        <f t="shared" si="68"/>
        <v>31.444444444444443</v>
      </c>
      <c r="I621" s="113">
        <v>17.7</v>
      </c>
      <c r="J621" s="113">
        <v>47.9</v>
      </c>
      <c r="K621" s="113">
        <v>52.5</v>
      </c>
      <c r="L621" s="183"/>
      <c r="M621" s="16">
        <v>618</v>
      </c>
      <c r="N621" s="16">
        <f t="shared" si="70"/>
        <v>2.5269092609066537E-2</v>
      </c>
      <c r="O621" s="16">
        <v>3</v>
      </c>
      <c r="P621" s="16">
        <f t="shared" si="66"/>
        <v>10.596205962059623</v>
      </c>
      <c r="Q621" s="16">
        <f t="shared" si="71"/>
        <v>39.574036767794368</v>
      </c>
      <c r="R621" s="113">
        <f t="shared" si="67"/>
        <v>345.36</v>
      </c>
      <c r="S621" s="16">
        <f>IF(S620=15800,15800,ROUND((((Q621*60)/'Gearing Calculator'!$C$14)*'Track Data'!P621),-2))</f>
        <v>12700</v>
      </c>
      <c r="T621" s="16">
        <f t="shared" si="69"/>
        <v>5.5089295873629895</v>
      </c>
      <c r="U621" s="16">
        <f>IF(AC621=100,Braking!$AG$2354,IF(AC621=50,Braking!$AG$1179,IF(AC621=75,Braking!$AG$1767,0)))</f>
        <v>0</v>
      </c>
      <c r="V621" s="16">
        <f>0.5*'Gearing Calculator'!$C$15*'Gearing Calculator'!$C$20*'Gearing Calculator'!$W$20*('Track Data'!Q621^2)</f>
        <v>165.75648822469066</v>
      </c>
      <c r="W621" s="16">
        <f>('Gearing Calculator'!$U$9*'Track Data'!T621)+'Track Data'!V621</f>
        <v>1632.2335443807185</v>
      </c>
      <c r="X621" s="16">
        <f>('Gearing Calculator'!$U$9*9.81)*('Gearing Calculator'!$U$16/'Gearing Calculator'!$C$7)-(('Track Data'!W621)*('Gearing Calculator'!$U$17/'Gearing Calculator'!$C$7))</f>
        <v>511.48354699040738</v>
      </c>
      <c r="Y621" s="16">
        <f>('Gearing Calculator'!$U$9*9.81)*(('Gearing Calculator'!$C$7-'Gearing Calculator'!$U$16)/'Gearing Calculator'!$C$7)+(('Track Data'!W621)*('Gearing Calculator'!$U$17/'Gearing Calculator'!$C$7))</f>
        <v>2099.9384530095926</v>
      </c>
      <c r="Z621" s="16">
        <f>((X621*COS('Gearing Calculator'!$C$21))/'Gearing Calculator'!$C$22)/2</f>
        <v>15.813453588308835</v>
      </c>
      <c r="AA621" s="16">
        <f>Y621/'Gearing Calculator'!$C$24</f>
        <v>29.322184094578887</v>
      </c>
      <c r="AB621" s="16">
        <f t="shared" si="65"/>
        <v>182.28327698677964</v>
      </c>
      <c r="AC621" s="16">
        <v>0</v>
      </c>
      <c r="AD621" s="16">
        <v>51.415226335993168</v>
      </c>
      <c r="AE621" s="16">
        <v>618</v>
      </c>
      <c r="AF621" s="16">
        <f>IF(AC621=0,IF(O621=6,INDEX(Acceleration!$V$4:$V$110,MATCH('Track Data'!S621,Acceleration!$K$4:$K$110,0)),IF('Track Data'!O621=5,INDEX(Acceleration!$U$4:$U$110,MATCH('Track Data'!S621,Acceleration!$K$4:$K$110,0)),1)),U621)</f>
        <v>1</v>
      </c>
      <c r="AG621" s="16">
        <f>IF(AC621=0,IF(O621=4,INDEX(Acceleration!$T$4:$T$110,MATCH('Track Data'!S621,Acceleration!$K$4:$K$110,0)),IF('Track Data'!O621=3,INDEX(Acceleration!$S$4:$S$110,MATCH('Track Data'!S621,Acceleration!$K$4:$K$110,0)),'Track Data'!AF621)),'Track Data'!U621)</f>
        <v>5.5089295873629895</v>
      </c>
      <c r="AH621" s="16">
        <f>IF(AC621=0,IF(O621=2,INDEX(Acceleration!$R$4:$R$110,MATCH('Track Data'!S621,Acceleration!$K$4:$K$110,0)),IF('Track Data'!O621=1,INDEX(Acceleration!$Q$4:$Q$110,MATCH('Track Data'!S621,Acceleration!$K$4:$K$110,0)),'Track Data'!AG621)),'Track Data'!U621)</f>
        <v>5.5089295873629895</v>
      </c>
    </row>
    <row r="622" spans="2:34" x14ac:dyDescent="0.25">
      <c r="B622" s="16">
        <v>214.79599999999999</v>
      </c>
      <c r="C622" s="16">
        <v>7892</v>
      </c>
      <c r="D622" s="16">
        <v>619</v>
      </c>
      <c r="E622" s="113">
        <v>131</v>
      </c>
      <c r="F622" s="113">
        <v>123.6</v>
      </c>
      <c r="G622" s="113">
        <v>113.4</v>
      </c>
      <c r="H622" s="113">
        <f t="shared" si="68"/>
        <v>31.5</v>
      </c>
      <c r="I622" s="113">
        <v>15.5</v>
      </c>
      <c r="J622" s="113">
        <v>47.79</v>
      </c>
      <c r="K622" s="113">
        <v>51.5</v>
      </c>
      <c r="L622" s="183"/>
      <c r="M622" s="16">
        <v>619</v>
      </c>
      <c r="N622" s="16">
        <f t="shared" si="70"/>
        <v>2.5269092609066537E-2</v>
      </c>
      <c r="O622" s="16">
        <v>3</v>
      </c>
      <c r="P622" s="16">
        <f t="shared" si="66"/>
        <v>10.596205962059623</v>
      </c>
      <c r="Q622" s="16">
        <f t="shared" si="71"/>
        <v>39.574036767794368</v>
      </c>
      <c r="R622" s="113">
        <f t="shared" si="67"/>
        <v>345.36</v>
      </c>
      <c r="S622" s="16">
        <f>IF(S621=15800,15800,ROUND((((Q622*60)/'Gearing Calculator'!$C$14)*'Track Data'!P622),-2))</f>
        <v>12700</v>
      </c>
      <c r="T622" s="16">
        <f t="shared" si="69"/>
        <v>5.5089295873629895</v>
      </c>
      <c r="U622" s="16">
        <f>IF(AC622=100,Braking!$AG$2354,IF(AC622=50,Braking!$AG$1179,IF(AC622=75,Braking!$AG$1767,0)))</f>
        <v>0</v>
      </c>
      <c r="V622" s="16">
        <f>0.5*'Gearing Calculator'!$C$15*'Gearing Calculator'!$C$20*'Gearing Calculator'!$W$20*('Track Data'!Q622^2)</f>
        <v>165.75648822469066</v>
      </c>
      <c r="W622" s="16">
        <f>('Gearing Calculator'!$U$9*'Track Data'!T622)+'Track Data'!V622</f>
        <v>1632.2335443807185</v>
      </c>
      <c r="X622" s="16">
        <f>('Gearing Calculator'!$U$9*9.81)*('Gearing Calculator'!$U$16/'Gearing Calculator'!$C$7)-(('Track Data'!W622)*('Gearing Calculator'!$U$17/'Gearing Calculator'!$C$7))</f>
        <v>511.48354699040738</v>
      </c>
      <c r="Y622" s="16">
        <f>('Gearing Calculator'!$U$9*9.81)*(('Gearing Calculator'!$C$7-'Gearing Calculator'!$U$16)/'Gearing Calculator'!$C$7)+(('Track Data'!W622)*('Gearing Calculator'!$U$17/'Gearing Calculator'!$C$7))</f>
        <v>2099.9384530095926</v>
      </c>
      <c r="Z622" s="16">
        <f>((X622*COS('Gearing Calculator'!$C$21))/'Gearing Calculator'!$C$22)/2</f>
        <v>15.813453588308835</v>
      </c>
      <c r="AA622" s="16">
        <f>Y622/'Gearing Calculator'!$C$24</f>
        <v>29.322184094578887</v>
      </c>
      <c r="AB622" s="16">
        <f t="shared" si="65"/>
        <v>182.28327698677964</v>
      </c>
      <c r="AC622" s="16">
        <v>0</v>
      </c>
      <c r="AD622" s="16">
        <v>51.415226335993168</v>
      </c>
      <c r="AE622" s="16">
        <v>619</v>
      </c>
      <c r="AF622" s="16">
        <f>IF(AC622=0,IF(O622=6,INDEX(Acceleration!$V$4:$V$110,MATCH('Track Data'!S622,Acceleration!$K$4:$K$110,0)),IF('Track Data'!O622=5,INDEX(Acceleration!$U$4:$U$110,MATCH('Track Data'!S622,Acceleration!$K$4:$K$110,0)),1)),U622)</f>
        <v>1</v>
      </c>
      <c r="AG622" s="16">
        <f>IF(AC622=0,IF(O622=4,INDEX(Acceleration!$T$4:$T$110,MATCH('Track Data'!S622,Acceleration!$K$4:$K$110,0)),IF('Track Data'!O622=3,INDEX(Acceleration!$S$4:$S$110,MATCH('Track Data'!S622,Acceleration!$K$4:$K$110,0)),'Track Data'!AF622)),'Track Data'!U622)</f>
        <v>5.5089295873629895</v>
      </c>
      <c r="AH622" s="16">
        <f>IF(AC622=0,IF(O622=2,INDEX(Acceleration!$R$4:$R$110,MATCH('Track Data'!S622,Acceleration!$K$4:$K$110,0)),IF('Track Data'!O622=1,INDEX(Acceleration!$Q$4:$Q$110,MATCH('Track Data'!S622,Acceleration!$K$4:$K$110,0)),'Track Data'!AG622)),'Track Data'!U622)</f>
        <v>5.5089295873629895</v>
      </c>
    </row>
    <row r="623" spans="2:34" x14ac:dyDescent="0.25">
      <c r="B623" s="16">
        <v>214.82400000000001</v>
      </c>
      <c r="C623" s="16">
        <v>7893</v>
      </c>
      <c r="D623" s="16">
        <v>620</v>
      </c>
      <c r="E623" s="113">
        <v>131</v>
      </c>
      <c r="F623" s="113">
        <v>123.8</v>
      </c>
      <c r="G623" s="113">
        <v>113.7</v>
      </c>
      <c r="H623" s="113">
        <f t="shared" si="68"/>
        <v>31.583333333333332</v>
      </c>
      <c r="I623" s="113">
        <v>14.5</v>
      </c>
      <c r="J623" s="113">
        <v>45.62</v>
      </c>
      <c r="K623" s="113">
        <v>52</v>
      </c>
      <c r="L623" s="183"/>
      <c r="M623" s="16">
        <v>620</v>
      </c>
      <c r="N623" s="16">
        <f t="shared" si="70"/>
        <v>2.5269092609066537E-2</v>
      </c>
      <c r="O623" s="16">
        <v>3</v>
      </c>
      <c r="P623" s="16">
        <f t="shared" si="66"/>
        <v>10.596205962059623</v>
      </c>
      <c r="Q623" s="16">
        <f t="shared" si="71"/>
        <v>39.574036767794368</v>
      </c>
      <c r="R623" s="113">
        <f t="shared" si="67"/>
        <v>345.36</v>
      </c>
      <c r="S623" s="16">
        <f>IF(S622=15800,15800,ROUND((((Q623*60)/'Gearing Calculator'!$C$14)*'Track Data'!P623),-2))</f>
        <v>12700</v>
      </c>
      <c r="T623" s="16">
        <f t="shared" si="69"/>
        <v>5.5089295873629895</v>
      </c>
      <c r="U623" s="16">
        <f>IF(AC623=100,Braking!$AG$2354,IF(AC623=50,Braking!$AG$1179,IF(AC623=75,Braking!$AG$1767,0)))</f>
        <v>0</v>
      </c>
      <c r="V623" s="16">
        <f>0.5*'Gearing Calculator'!$C$15*'Gearing Calculator'!$C$20*'Gearing Calculator'!$W$20*('Track Data'!Q623^2)</f>
        <v>165.75648822469066</v>
      </c>
      <c r="W623" s="16">
        <f>('Gearing Calculator'!$U$9*'Track Data'!T623)+'Track Data'!V623</f>
        <v>1632.2335443807185</v>
      </c>
      <c r="X623" s="16">
        <f>('Gearing Calculator'!$U$9*9.81)*('Gearing Calculator'!$U$16/'Gearing Calculator'!$C$7)-(('Track Data'!W623)*('Gearing Calculator'!$U$17/'Gearing Calculator'!$C$7))</f>
        <v>511.48354699040738</v>
      </c>
      <c r="Y623" s="16">
        <f>('Gearing Calculator'!$U$9*9.81)*(('Gearing Calculator'!$C$7-'Gearing Calculator'!$U$16)/'Gearing Calculator'!$C$7)+(('Track Data'!W623)*('Gearing Calculator'!$U$17/'Gearing Calculator'!$C$7))</f>
        <v>2099.9384530095926</v>
      </c>
      <c r="Z623" s="16">
        <f>((X623*COS('Gearing Calculator'!$C$21))/'Gearing Calculator'!$C$22)/2</f>
        <v>15.813453588308835</v>
      </c>
      <c r="AA623" s="16">
        <f>Y623/'Gearing Calculator'!$C$24</f>
        <v>29.322184094578887</v>
      </c>
      <c r="AB623" s="16">
        <f t="shared" si="65"/>
        <v>182.28327698677964</v>
      </c>
      <c r="AC623" s="16">
        <v>0</v>
      </c>
      <c r="AD623" s="16">
        <v>51.415226335993168</v>
      </c>
      <c r="AE623" s="16">
        <v>620</v>
      </c>
      <c r="AF623" s="16">
        <f>IF(AC623=0,IF(O623=6,INDEX(Acceleration!$V$4:$V$110,MATCH('Track Data'!S623,Acceleration!$K$4:$K$110,0)),IF('Track Data'!O623=5,INDEX(Acceleration!$U$4:$U$110,MATCH('Track Data'!S623,Acceleration!$K$4:$K$110,0)),1)),U623)</f>
        <v>1</v>
      </c>
      <c r="AG623" s="16">
        <f>IF(AC623=0,IF(O623=4,INDEX(Acceleration!$T$4:$T$110,MATCH('Track Data'!S623,Acceleration!$K$4:$K$110,0)),IF('Track Data'!O623=3,INDEX(Acceleration!$S$4:$S$110,MATCH('Track Data'!S623,Acceleration!$K$4:$K$110,0)),'Track Data'!AF623)),'Track Data'!U623)</f>
        <v>5.5089295873629895</v>
      </c>
      <c r="AH623" s="16">
        <f>IF(AC623=0,IF(O623=2,INDEX(Acceleration!$R$4:$R$110,MATCH('Track Data'!S623,Acceleration!$K$4:$K$110,0)),IF('Track Data'!O623=1,INDEX(Acceleration!$Q$4:$Q$110,MATCH('Track Data'!S623,Acceleration!$K$4:$K$110,0)),'Track Data'!AG623)),'Track Data'!U623)</f>
        <v>5.5089295873629895</v>
      </c>
    </row>
    <row r="624" spans="2:34" x14ac:dyDescent="0.25">
      <c r="B624" s="16">
        <v>214.85400000000001</v>
      </c>
      <c r="C624" s="16">
        <v>7894</v>
      </c>
      <c r="D624" s="16">
        <v>621</v>
      </c>
      <c r="E624" s="113">
        <v>131</v>
      </c>
      <c r="F624" s="113">
        <v>124.2</v>
      </c>
      <c r="G624" s="113">
        <v>113.9</v>
      </c>
      <c r="H624" s="113">
        <f t="shared" si="68"/>
        <v>31.638888888888889</v>
      </c>
      <c r="I624" s="113">
        <v>14.2</v>
      </c>
      <c r="J624" s="113">
        <v>42.09</v>
      </c>
      <c r="K624" s="113">
        <v>52.9</v>
      </c>
      <c r="L624" s="183"/>
      <c r="M624" s="16">
        <v>621</v>
      </c>
      <c r="N624" s="16">
        <f t="shared" si="70"/>
        <v>2.5269092609066537E-2</v>
      </c>
      <c r="O624" s="16">
        <v>3</v>
      </c>
      <c r="P624" s="16">
        <f t="shared" si="66"/>
        <v>10.596205962059623</v>
      </c>
      <c r="Q624" s="16">
        <f t="shared" si="71"/>
        <v>39.574036767794368</v>
      </c>
      <c r="R624" s="113">
        <f t="shared" si="67"/>
        <v>345.36</v>
      </c>
      <c r="S624" s="16">
        <f>IF(S623=15800,15800,ROUND((((Q624*60)/'Gearing Calculator'!$C$14)*'Track Data'!P624),-2))</f>
        <v>12700</v>
      </c>
      <c r="T624" s="16">
        <f t="shared" si="69"/>
        <v>5.5089295873629895</v>
      </c>
      <c r="U624" s="16">
        <f>IF(AC624=100,Braking!$AG$2354,IF(AC624=50,Braking!$AG$1179,IF(AC624=75,Braking!$AG$1767,0)))</f>
        <v>0</v>
      </c>
      <c r="V624" s="16">
        <f>0.5*'Gearing Calculator'!$C$15*'Gearing Calculator'!$C$20*'Gearing Calculator'!$W$20*('Track Data'!Q624^2)</f>
        <v>165.75648822469066</v>
      </c>
      <c r="W624" s="16">
        <f>('Gearing Calculator'!$U$9*'Track Data'!T624)+'Track Data'!V624</f>
        <v>1632.2335443807185</v>
      </c>
      <c r="X624" s="16">
        <f>('Gearing Calculator'!$U$9*9.81)*('Gearing Calculator'!$U$16/'Gearing Calculator'!$C$7)-(('Track Data'!W624)*('Gearing Calculator'!$U$17/'Gearing Calculator'!$C$7))</f>
        <v>511.48354699040738</v>
      </c>
      <c r="Y624" s="16">
        <f>('Gearing Calculator'!$U$9*9.81)*(('Gearing Calculator'!$C$7-'Gearing Calculator'!$U$16)/'Gearing Calculator'!$C$7)+(('Track Data'!W624)*('Gearing Calculator'!$U$17/'Gearing Calculator'!$C$7))</f>
        <v>2099.9384530095926</v>
      </c>
      <c r="Z624" s="16">
        <f>((X624*COS('Gearing Calculator'!$C$21))/'Gearing Calculator'!$C$22)/2</f>
        <v>15.813453588308835</v>
      </c>
      <c r="AA624" s="16">
        <f>Y624/'Gearing Calculator'!$C$24</f>
        <v>29.322184094578887</v>
      </c>
      <c r="AB624" s="16">
        <f t="shared" si="65"/>
        <v>182.28327698677964</v>
      </c>
      <c r="AC624" s="16">
        <v>0</v>
      </c>
      <c r="AD624" s="16">
        <v>51.415226335993168</v>
      </c>
      <c r="AE624" s="16">
        <v>621</v>
      </c>
      <c r="AF624" s="16">
        <f>IF(AC624=0,IF(O624=6,INDEX(Acceleration!$V$4:$V$110,MATCH('Track Data'!S624,Acceleration!$K$4:$K$110,0)),IF('Track Data'!O624=5,INDEX(Acceleration!$U$4:$U$110,MATCH('Track Data'!S624,Acceleration!$K$4:$K$110,0)),1)),U624)</f>
        <v>1</v>
      </c>
      <c r="AG624" s="16">
        <f>IF(AC624=0,IF(O624=4,INDEX(Acceleration!$T$4:$T$110,MATCH('Track Data'!S624,Acceleration!$K$4:$K$110,0)),IF('Track Data'!O624=3,INDEX(Acceleration!$S$4:$S$110,MATCH('Track Data'!S624,Acceleration!$K$4:$K$110,0)),'Track Data'!AF624)),'Track Data'!U624)</f>
        <v>5.5089295873629895</v>
      </c>
      <c r="AH624" s="16">
        <f>IF(AC624=0,IF(O624=2,INDEX(Acceleration!$R$4:$R$110,MATCH('Track Data'!S624,Acceleration!$K$4:$K$110,0)),IF('Track Data'!O624=1,INDEX(Acceleration!$Q$4:$Q$110,MATCH('Track Data'!S624,Acceleration!$K$4:$K$110,0)),'Track Data'!AG624)),'Track Data'!U624)</f>
        <v>5.5089295873629895</v>
      </c>
    </row>
    <row r="625" spans="2:34" x14ac:dyDescent="0.25">
      <c r="B625" s="16">
        <v>214.88200000000001</v>
      </c>
      <c r="C625" s="16">
        <v>7895</v>
      </c>
      <c r="D625" s="16">
        <v>622</v>
      </c>
      <c r="E625" s="113">
        <v>131</v>
      </c>
      <c r="F625" s="113">
        <v>124.5</v>
      </c>
      <c r="G625" s="113">
        <v>114.1</v>
      </c>
      <c r="H625" s="113">
        <f t="shared" si="68"/>
        <v>31.694444444444443</v>
      </c>
      <c r="I625" s="113">
        <v>13.7</v>
      </c>
      <c r="J625" s="113">
        <v>45.29</v>
      </c>
      <c r="K625" s="113">
        <v>53.4</v>
      </c>
      <c r="L625" s="183"/>
      <c r="M625" s="16">
        <v>622</v>
      </c>
      <c r="N625" s="16">
        <f t="shared" si="70"/>
        <v>2.5269092609066537E-2</v>
      </c>
      <c r="O625" s="16">
        <v>3</v>
      </c>
      <c r="P625" s="16">
        <f t="shared" si="66"/>
        <v>10.596205962059623</v>
      </c>
      <c r="Q625" s="16">
        <f t="shared" si="71"/>
        <v>39.574036767794368</v>
      </c>
      <c r="R625" s="113">
        <f t="shared" si="67"/>
        <v>345.36</v>
      </c>
      <c r="S625" s="16">
        <f>IF(S624=15800,15800,ROUND((((Q625*60)/'Gearing Calculator'!$C$14)*'Track Data'!P625),-2))</f>
        <v>12700</v>
      </c>
      <c r="T625" s="16">
        <f t="shared" si="69"/>
        <v>5.5089295873629895</v>
      </c>
      <c r="U625" s="16">
        <f>IF(AC625=100,Braking!$AG$2354,IF(AC625=50,Braking!$AG$1179,IF(AC625=75,Braking!$AG$1767,0)))</f>
        <v>0</v>
      </c>
      <c r="V625" s="16">
        <f>0.5*'Gearing Calculator'!$C$15*'Gearing Calculator'!$C$20*'Gearing Calculator'!$W$20*('Track Data'!Q625^2)</f>
        <v>165.75648822469066</v>
      </c>
      <c r="W625" s="16">
        <f>('Gearing Calculator'!$U$9*'Track Data'!T625)+'Track Data'!V625</f>
        <v>1632.2335443807185</v>
      </c>
      <c r="X625" s="16">
        <f>('Gearing Calculator'!$U$9*9.81)*('Gearing Calculator'!$U$16/'Gearing Calculator'!$C$7)-(('Track Data'!W625)*('Gearing Calculator'!$U$17/'Gearing Calculator'!$C$7))</f>
        <v>511.48354699040738</v>
      </c>
      <c r="Y625" s="16">
        <f>('Gearing Calculator'!$U$9*9.81)*(('Gearing Calculator'!$C$7-'Gearing Calculator'!$U$16)/'Gearing Calculator'!$C$7)+(('Track Data'!W625)*('Gearing Calculator'!$U$17/'Gearing Calculator'!$C$7))</f>
        <v>2099.9384530095926</v>
      </c>
      <c r="Z625" s="16">
        <f>((X625*COS('Gearing Calculator'!$C$21))/'Gearing Calculator'!$C$22)/2</f>
        <v>15.813453588308835</v>
      </c>
      <c r="AA625" s="16">
        <f>Y625/'Gearing Calculator'!$C$24</f>
        <v>29.322184094578887</v>
      </c>
      <c r="AB625" s="16">
        <f t="shared" si="65"/>
        <v>182.28327698677964</v>
      </c>
      <c r="AC625" s="16">
        <v>0</v>
      </c>
      <c r="AD625" s="16">
        <v>51.415226335993168</v>
      </c>
      <c r="AE625" s="16">
        <v>622</v>
      </c>
      <c r="AF625" s="16">
        <f>IF(AC625=0,IF(O625=6,INDEX(Acceleration!$V$4:$V$110,MATCH('Track Data'!S625,Acceleration!$K$4:$K$110,0)),IF('Track Data'!O625=5,INDEX(Acceleration!$U$4:$U$110,MATCH('Track Data'!S625,Acceleration!$K$4:$K$110,0)),1)),U625)</f>
        <v>1</v>
      </c>
      <c r="AG625" s="16">
        <f>IF(AC625=0,IF(O625=4,INDEX(Acceleration!$T$4:$T$110,MATCH('Track Data'!S625,Acceleration!$K$4:$K$110,0)),IF('Track Data'!O625=3,INDEX(Acceleration!$S$4:$S$110,MATCH('Track Data'!S625,Acceleration!$K$4:$K$110,0)),'Track Data'!AF625)),'Track Data'!U625)</f>
        <v>5.5089295873629895</v>
      </c>
      <c r="AH625" s="16">
        <f>IF(AC625=0,IF(O625=2,INDEX(Acceleration!$R$4:$R$110,MATCH('Track Data'!S625,Acceleration!$K$4:$K$110,0)),IF('Track Data'!O625=1,INDEX(Acceleration!$Q$4:$Q$110,MATCH('Track Data'!S625,Acceleration!$K$4:$K$110,0)),'Track Data'!AG625)),'Track Data'!U625)</f>
        <v>5.5089295873629895</v>
      </c>
    </row>
    <row r="626" spans="2:34" x14ac:dyDescent="0.25">
      <c r="B626" s="16">
        <v>214.911</v>
      </c>
      <c r="C626" s="16">
        <v>7896</v>
      </c>
      <c r="D626" s="16">
        <v>623</v>
      </c>
      <c r="E626" s="113">
        <v>132</v>
      </c>
      <c r="F626" s="113">
        <v>125</v>
      </c>
      <c r="G626" s="113">
        <v>114.3</v>
      </c>
      <c r="H626" s="113">
        <f t="shared" si="68"/>
        <v>31.75</v>
      </c>
      <c r="I626" s="113">
        <v>12.8</v>
      </c>
      <c r="J626" s="113">
        <v>43.79</v>
      </c>
      <c r="K626" s="113">
        <v>52</v>
      </c>
      <c r="L626" s="183"/>
      <c r="M626" s="16">
        <v>623</v>
      </c>
      <c r="N626" s="16">
        <f t="shared" si="70"/>
        <v>2.5269092609066537E-2</v>
      </c>
      <c r="O626" s="16">
        <v>3</v>
      </c>
      <c r="P626" s="16">
        <f t="shared" si="66"/>
        <v>10.596205962059623</v>
      </c>
      <c r="Q626" s="16">
        <f t="shared" si="71"/>
        <v>39.574036767794368</v>
      </c>
      <c r="R626" s="113">
        <f t="shared" si="67"/>
        <v>345.36</v>
      </c>
      <c r="S626" s="16">
        <f>IF(S625=15800,15800,ROUND((((Q626*60)/'Gearing Calculator'!$C$14)*'Track Data'!P626),-2))</f>
        <v>12700</v>
      </c>
      <c r="T626" s="16">
        <f t="shared" si="69"/>
        <v>5.5089295873629895</v>
      </c>
      <c r="U626" s="16">
        <f>IF(AC626=100,Braking!$AG$2354,IF(AC626=50,Braking!$AG$1179,IF(AC626=75,Braking!$AG$1767,0)))</f>
        <v>0</v>
      </c>
      <c r="V626" s="16">
        <f>0.5*'Gearing Calculator'!$C$15*'Gearing Calculator'!$C$20*'Gearing Calculator'!$W$20*('Track Data'!Q626^2)</f>
        <v>165.75648822469066</v>
      </c>
      <c r="W626" s="16">
        <f>('Gearing Calculator'!$U$9*'Track Data'!T626)+'Track Data'!V626</f>
        <v>1632.2335443807185</v>
      </c>
      <c r="X626" s="16">
        <f>('Gearing Calculator'!$U$9*9.81)*('Gearing Calculator'!$U$16/'Gearing Calculator'!$C$7)-(('Track Data'!W626)*('Gearing Calculator'!$U$17/'Gearing Calculator'!$C$7))</f>
        <v>511.48354699040738</v>
      </c>
      <c r="Y626" s="16">
        <f>('Gearing Calculator'!$U$9*9.81)*(('Gearing Calculator'!$C$7-'Gearing Calculator'!$U$16)/'Gearing Calculator'!$C$7)+(('Track Data'!W626)*('Gearing Calculator'!$U$17/'Gearing Calculator'!$C$7))</f>
        <v>2099.9384530095926</v>
      </c>
      <c r="Z626" s="16">
        <f>((X626*COS('Gearing Calculator'!$C$21))/'Gearing Calculator'!$C$22)/2</f>
        <v>15.813453588308835</v>
      </c>
      <c r="AA626" s="16">
        <f>Y626/'Gearing Calculator'!$C$24</f>
        <v>29.322184094578887</v>
      </c>
      <c r="AB626" s="16">
        <f t="shared" si="65"/>
        <v>182.28327698677964</v>
      </c>
      <c r="AC626" s="16">
        <v>0</v>
      </c>
      <c r="AD626" s="16">
        <v>51.415226335993168</v>
      </c>
      <c r="AE626" s="16">
        <v>623</v>
      </c>
      <c r="AF626" s="16">
        <f>IF(AC626=0,IF(O626=6,INDEX(Acceleration!$V$4:$V$110,MATCH('Track Data'!S626,Acceleration!$K$4:$K$110,0)),IF('Track Data'!O626=5,INDEX(Acceleration!$U$4:$U$110,MATCH('Track Data'!S626,Acceleration!$K$4:$K$110,0)),1)),U626)</f>
        <v>1</v>
      </c>
      <c r="AG626" s="16">
        <f>IF(AC626=0,IF(O626=4,INDEX(Acceleration!$T$4:$T$110,MATCH('Track Data'!S626,Acceleration!$K$4:$K$110,0)),IF('Track Data'!O626=3,INDEX(Acceleration!$S$4:$S$110,MATCH('Track Data'!S626,Acceleration!$K$4:$K$110,0)),'Track Data'!AF626)),'Track Data'!U626)</f>
        <v>5.5089295873629895</v>
      </c>
      <c r="AH626" s="16">
        <f>IF(AC626=0,IF(O626=2,INDEX(Acceleration!$R$4:$R$110,MATCH('Track Data'!S626,Acceleration!$K$4:$K$110,0)),IF('Track Data'!O626=1,INDEX(Acceleration!$Q$4:$Q$110,MATCH('Track Data'!S626,Acceleration!$K$4:$K$110,0)),'Track Data'!AG626)),'Track Data'!U626)</f>
        <v>5.5089295873629895</v>
      </c>
    </row>
    <row r="627" spans="2:34" x14ac:dyDescent="0.25">
      <c r="B627" s="16">
        <v>214.94</v>
      </c>
      <c r="C627" s="16">
        <v>7897</v>
      </c>
      <c r="D627" s="16">
        <v>624</v>
      </c>
      <c r="E627" s="113">
        <v>132</v>
      </c>
      <c r="F627" s="113">
        <v>125.3</v>
      </c>
      <c r="G627" s="113">
        <v>114.5</v>
      </c>
      <c r="H627" s="113">
        <f t="shared" si="68"/>
        <v>31.805555555555554</v>
      </c>
      <c r="I627" s="113">
        <v>13</v>
      </c>
      <c r="J627" s="113">
        <v>43.66</v>
      </c>
      <c r="K627" s="113">
        <v>50.5</v>
      </c>
      <c r="L627" s="183"/>
      <c r="M627" s="16">
        <v>624</v>
      </c>
      <c r="N627" s="16">
        <f t="shared" si="70"/>
        <v>2.5269092609066537E-2</v>
      </c>
      <c r="O627" s="16">
        <v>3</v>
      </c>
      <c r="P627" s="16">
        <f t="shared" si="66"/>
        <v>10.596205962059623</v>
      </c>
      <c r="Q627" s="16">
        <f t="shared" si="71"/>
        <v>39.574036767794368</v>
      </c>
      <c r="R627" s="113">
        <f t="shared" si="67"/>
        <v>345.36</v>
      </c>
      <c r="S627" s="16">
        <f>IF(S626=15800,15800,ROUND((((Q627*60)/'Gearing Calculator'!$C$14)*'Track Data'!P627),-2))</f>
        <v>12700</v>
      </c>
      <c r="T627" s="16">
        <f t="shared" si="69"/>
        <v>5.5089295873629895</v>
      </c>
      <c r="U627" s="16">
        <f>IF(AC627=100,Braking!$AG$2354,IF(AC627=50,Braking!$AG$1179,IF(AC627=75,Braking!$AG$1767,0)))</f>
        <v>0</v>
      </c>
      <c r="V627" s="16">
        <f>0.5*'Gearing Calculator'!$C$15*'Gearing Calculator'!$C$20*'Gearing Calculator'!$W$20*('Track Data'!Q627^2)</f>
        <v>165.75648822469066</v>
      </c>
      <c r="W627" s="16">
        <f>('Gearing Calculator'!$U$9*'Track Data'!T627)+'Track Data'!V627</f>
        <v>1632.2335443807185</v>
      </c>
      <c r="X627" s="16">
        <f>('Gearing Calculator'!$U$9*9.81)*('Gearing Calculator'!$U$16/'Gearing Calculator'!$C$7)-(('Track Data'!W627)*('Gearing Calculator'!$U$17/'Gearing Calculator'!$C$7))</f>
        <v>511.48354699040738</v>
      </c>
      <c r="Y627" s="16">
        <f>('Gearing Calculator'!$U$9*9.81)*(('Gearing Calculator'!$C$7-'Gearing Calculator'!$U$16)/'Gearing Calculator'!$C$7)+(('Track Data'!W627)*('Gearing Calculator'!$U$17/'Gearing Calculator'!$C$7))</f>
        <v>2099.9384530095926</v>
      </c>
      <c r="Z627" s="16">
        <f>((X627*COS('Gearing Calculator'!$C$21))/'Gearing Calculator'!$C$22)/2</f>
        <v>15.813453588308835</v>
      </c>
      <c r="AA627" s="16">
        <f>Y627/'Gearing Calculator'!$C$24</f>
        <v>29.322184094578887</v>
      </c>
      <c r="AB627" s="16">
        <f t="shared" si="65"/>
        <v>182.28327698677964</v>
      </c>
      <c r="AC627" s="16">
        <v>0</v>
      </c>
      <c r="AD627" s="16">
        <v>51.415226335993168</v>
      </c>
      <c r="AE627" s="16">
        <v>624</v>
      </c>
      <c r="AF627" s="16">
        <f>IF(AC627=0,IF(O627=6,INDEX(Acceleration!$V$4:$V$110,MATCH('Track Data'!S627,Acceleration!$K$4:$K$110,0)),IF('Track Data'!O627=5,INDEX(Acceleration!$U$4:$U$110,MATCH('Track Data'!S627,Acceleration!$K$4:$K$110,0)),1)),U627)</f>
        <v>1</v>
      </c>
      <c r="AG627" s="16">
        <f>IF(AC627=0,IF(O627=4,INDEX(Acceleration!$T$4:$T$110,MATCH('Track Data'!S627,Acceleration!$K$4:$K$110,0)),IF('Track Data'!O627=3,INDEX(Acceleration!$S$4:$S$110,MATCH('Track Data'!S627,Acceleration!$K$4:$K$110,0)),'Track Data'!AF627)),'Track Data'!U627)</f>
        <v>5.5089295873629895</v>
      </c>
      <c r="AH627" s="16">
        <f>IF(AC627=0,IF(O627=2,INDEX(Acceleration!$R$4:$R$110,MATCH('Track Data'!S627,Acceleration!$K$4:$K$110,0)),IF('Track Data'!O627=1,INDEX(Acceleration!$Q$4:$Q$110,MATCH('Track Data'!S627,Acceleration!$K$4:$K$110,0)),'Track Data'!AG627)),'Track Data'!U627)</f>
        <v>5.5089295873629895</v>
      </c>
    </row>
    <row r="628" spans="2:34" x14ac:dyDescent="0.25">
      <c r="B628" s="16">
        <v>214.96899999999999</v>
      </c>
      <c r="C628" s="16">
        <v>7898</v>
      </c>
      <c r="D628" s="16">
        <v>625</v>
      </c>
      <c r="E628" s="113">
        <v>132</v>
      </c>
      <c r="F628" s="113">
        <v>125.4</v>
      </c>
      <c r="G628" s="113">
        <v>114.7</v>
      </c>
      <c r="H628" s="113">
        <f t="shared" si="68"/>
        <v>31.861111111111111</v>
      </c>
      <c r="I628" s="113">
        <v>13.4</v>
      </c>
      <c r="J628" s="113">
        <v>41.92</v>
      </c>
      <c r="K628" s="113">
        <v>49.8</v>
      </c>
      <c r="L628" s="183"/>
      <c r="M628" s="16">
        <v>625</v>
      </c>
      <c r="N628" s="16">
        <f t="shared" si="70"/>
        <v>2.5269092609066537E-2</v>
      </c>
      <c r="O628" s="16">
        <v>3</v>
      </c>
      <c r="P628" s="16">
        <f t="shared" si="66"/>
        <v>10.596205962059623</v>
      </c>
      <c r="Q628" s="16">
        <f t="shared" si="71"/>
        <v>39.574036767794368</v>
      </c>
      <c r="R628" s="113">
        <f t="shared" si="67"/>
        <v>345.36</v>
      </c>
      <c r="S628" s="16">
        <f>IF(S627=15800,15800,ROUND((((Q628*60)/'Gearing Calculator'!$C$14)*'Track Data'!P628),-2))</f>
        <v>12700</v>
      </c>
      <c r="T628" s="16">
        <f t="shared" si="69"/>
        <v>5.5089295873629895</v>
      </c>
      <c r="U628" s="16">
        <f>IF(AC628=100,Braking!$AG$2354,IF(AC628=50,Braking!$AG$1179,IF(AC628=75,Braking!$AG$1767,0)))</f>
        <v>0</v>
      </c>
      <c r="V628" s="16">
        <f>0.5*'Gearing Calculator'!$C$15*'Gearing Calculator'!$C$20*'Gearing Calculator'!$W$20*('Track Data'!Q628^2)</f>
        <v>165.75648822469066</v>
      </c>
      <c r="W628" s="16">
        <f>('Gearing Calculator'!$U$9*'Track Data'!T628)+'Track Data'!V628</f>
        <v>1632.2335443807185</v>
      </c>
      <c r="X628" s="16">
        <f>('Gearing Calculator'!$U$9*9.81)*('Gearing Calculator'!$U$16/'Gearing Calculator'!$C$7)-(('Track Data'!W628)*('Gearing Calculator'!$U$17/'Gearing Calculator'!$C$7))</f>
        <v>511.48354699040738</v>
      </c>
      <c r="Y628" s="16">
        <f>('Gearing Calculator'!$U$9*9.81)*(('Gearing Calculator'!$C$7-'Gearing Calculator'!$U$16)/'Gearing Calculator'!$C$7)+(('Track Data'!W628)*('Gearing Calculator'!$U$17/'Gearing Calculator'!$C$7))</f>
        <v>2099.9384530095926</v>
      </c>
      <c r="Z628" s="16">
        <f>((X628*COS('Gearing Calculator'!$C$21))/'Gearing Calculator'!$C$22)/2</f>
        <v>15.813453588308835</v>
      </c>
      <c r="AA628" s="16">
        <f>Y628/'Gearing Calculator'!$C$24</f>
        <v>29.322184094578887</v>
      </c>
      <c r="AB628" s="16">
        <f t="shared" si="65"/>
        <v>182.28327698677964</v>
      </c>
      <c r="AC628" s="16">
        <v>0</v>
      </c>
      <c r="AD628" s="16">
        <v>51.415226335993168</v>
      </c>
      <c r="AE628" s="16">
        <v>625</v>
      </c>
      <c r="AF628" s="16">
        <f>IF(AC628=0,IF(O628=6,INDEX(Acceleration!$V$4:$V$110,MATCH('Track Data'!S628,Acceleration!$K$4:$K$110,0)),IF('Track Data'!O628=5,INDEX(Acceleration!$U$4:$U$110,MATCH('Track Data'!S628,Acceleration!$K$4:$K$110,0)),1)),U628)</f>
        <v>1</v>
      </c>
      <c r="AG628" s="16">
        <f>IF(AC628=0,IF(O628=4,INDEX(Acceleration!$T$4:$T$110,MATCH('Track Data'!S628,Acceleration!$K$4:$K$110,0)),IF('Track Data'!O628=3,INDEX(Acceleration!$S$4:$S$110,MATCH('Track Data'!S628,Acceleration!$K$4:$K$110,0)),'Track Data'!AF628)),'Track Data'!U628)</f>
        <v>5.5089295873629895</v>
      </c>
      <c r="AH628" s="16">
        <f>IF(AC628=0,IF(O628=2,INDEX(Acceleration!$R$4:$R$110,MATCH('Track Data'!S628,Acceleration!$K$4:$K$110,0)),IF('Track Data'!O628=1,INDEX(Acceleration!$Q$4:$Q$110,MATCH('Track Data'!S628,Acceleration!$K$4:$K$110,0)),'Track Data'!AG628)),'Track Data'!U628)</f>
        <v>5.5089295873629895</v>
      </c>
    </row>
    <row r="629" spans="2:34" x14ac:dyDescent="0.25">
      <c r="B629" s="16">
        <v>214.99799999999999</v>
      </c>
      <c r="C629" s="16">
        <v>7899</v>
      </c>
      <c r="D629" s="16">
        <v>626</v>
      </c>
      <c r="E629" s="113">
        <v>132</v>
      </c>
      <c r="F629" s="113">
        <v>125.4</v>
      </c>
      <c r="G629" s="113">
        <v>114.9</v>
      </c>
      <c r="H629" s="113">
        <f t="shared" si="68"/>
        <v>31.916666666666668</v>
      </c>
      <c r="I629" s="113">
        <v>14.2</v>
      </c>
      <c r="J629" s="113">
        <v>42.81</v>
      </c>
      <c r="K629" s="113">
        <v>49.8</v>
      </c>
      <c r="L629" s="183"/>
      <c r="M629" s="16">
        <v>626</v>
      </c>
      <c r="N629" s="16">
        <f t="shared" si="70"/>
        <v>2.5269092609066537E-2</v>
      </c>
      <c r="O629" s="16">
        <v>3</v>
      </c>
      <c r="P629" s="16">
        <f t="shared" si="66"/>
        <v>10.596205962059623</v>
      </c>
      <c r="Q629" s="16">
        <f t="shared" si="71"/>
        <v>39.574036767794368</v>
      </c>
      <c r="R629" s="113">
        <f t="shared" si="67"/>
        <v>345.36</v>
      </c>
      <c r="S629" s="16">
        <f>IF(S628=15800,15800,ROUND((((Q629*60)/'Gearing Calculator'!$C$14)*'Track Data'!P629),-2))</f>
        <v>12700</v>
      </c>
      <c r="T629" s="16">
        <f t="shared" si="69"/>
        <v>5.5089295873629895</v>
      </c>
      <c r="U629" s="16">
        <f>IF(AC629=100,Braking!$AG$2354,IF(AC629=50,Braking!$AG$1179,IF(AC629=75,Braking!$AG$1767,0)))</f>
        <v>0</v>
      </c>
      <c r="V629" s="16">
        <f>0.5*'Gearing Calculator'!$C$15*'Gearing Calculator'!$C$20*'Gearing Calculator'!$W$20*('Track Data'!Q629^2)</f>
        <v>165.75648822469066</v>
      </c>
      <c r="W629" s="16">
        <f>('Gearing Calculator'!$U$9*'Track Data'!T629)+'Track Data'!V629</f>
        <v>1632.2335443807185</v>
      </c>
      <c r="X629" s="16">
        <f>('Gearing Calculator'!$U$9*9.81)*('Gearing Calculator'!$U$16/'Gearing Calculator'!$C$7)-(('Track Data'!W629)*('Gearing Calculator'!$U$17/'Gearing Calculator'!$C$7))</f>
        <v>511.48354699040738</v>
      </c>
      <c r="Y629" s="16">
        <f>('Gearing Calculator'!$U$9*9.81)*(('Gearing Calculator'!$C$7-'Gearing Calculator'!$U$16)/'Gearing Calculator'!$C$7)+(('Track Data'!W629)*('Gearing Calculator'!$U$17/'Gearing Calculator'!$C$7))</f>
        <v>2099.9384530095926</v>
      </c>
      <c r="Z629" s="16">
        <f>((X629*COS('Gearing Calculator'!$C$21))/'Gearing Calculator'!$C$22)/2</f>
        <v>15.813453588308835</v>
      </c>
      <c r="AA629" s="16">
        <f>Y629/'Gearing Calculator'!$C$24</f>
        <v>29.322184094578887</v>
      </c>
      <c r="AB629" s="16">
        <f t="shared" si="65"/>
        <v>182.28327698677964</v>
      </c>
      <c r="AC629" s="16">
        <v>0</v>
      </c>
      <c r="AD629" s="16">
        <v>51.415226335993168</v>
      </c>
      <c r="AE629" s="16">
        <v>626</v>
      </c>
      <c r="AF629" s="16">
        <f>IF(AC629=0,IF(O629=6,INDEX(Acceleration!$V$4:$V$110,MATCH('Track Data'!S629,Acceleration!$K$4:$K$110,0)),IF('Track Data'!O629=5,INDEX(Acceleration!$U$4:$U$110,MATCH('Track Data'!S629,Acceleration!$K$4:$K$110,0)),1)),U629)</f>
        <v>1</v>
      </c>
      <c r="AG629" s="16">
        <f>IF(AC629=0,IF(O629=4,INDEX(Acceleration!$T$4:$T$110,MATCH('Track Data'!S629,Acceleration!$K$4:$K$110,0)),IF('Track Data'!O629=3,INDEX(Acceleration!$S$4:$S$110,MATCH('Track Data'!S629,Acceleration!$K$4:$K$110,0)),'Track Data'!AF629)),'Track Data'!U629)</f>
        <v>5.5089295873629895</v>
      </c>
      <c r="AH629" s="16">
        <f>IF(AC629=0,IF(O629=2,INDEX(Acceleration!$R$4:$R$110,MATCH('Track Data'!S629,Acceleration!$K$4:$K$110,0)),IF('Track Data'!O629=1,INDEX(Acceleration!$Q$4:$Q$110,MATCH('Track Data'!S629,Acceleration!$K$4:$K$110,0)),'Track Data'!AG629)),'Track Data'!U629)</f>
        <v>5.5089295873629895</v>
      </c>
    </row>
    <row r="630" spans="2:34" x14ac:dyDescent="0.25">
      <c r="B630" s="16">
        <v>215.02600000000001</v>
      </c>
      <c r="C630" s="16">
        <v>7900</v>
      </c>
      <c r="D630" s="16">
        <v>627</v>
      </c>
      <c r="E630" s="113">
        <v>133</v>
      </c>
      <c r="F630" s="113">
        <v>125.4</v>
      </c>
      <c r="G630" s="113">
        <v>115.1</v>
      </c>
      <c r="H630" s="113">
        <f t="shared" si="68"/>
        <v>31.972222222222221</v>
      </c>
      <c r="I630" s="113">
        <v>13.9</v>
      </c>
      <c r="J630" s="113">
        <v>39.6</v>
      </c>
      <c r="K630" s="113">
        <v>49.8</v>
      </c>
      <c r="L630" s="183"/>
      <c r="M630" s="16">
        <v>627</v>
      </c>
      <c r="N630" s="16">
        <f t="shared" si="70"/>
        <v>2.5269092609066537E-2</v>
      </c>
      <c r="O630" s="16">
        <v>3</v>
      </c>
      <c r="P630" s="16">
        <f t="shared" si="66"/>
        <v>10.596205962059623</v>
      </c>
      <c r="Q630" s="16">
        <f t="shared" si="71"/>
        <v>39.574036767794368</v>
      </c>
      <c r="R630" s="113">
        <f t="shared" si="67"/>
        <v>345.36</v>
      </c>
      <c r="S630" s="16">
        <f>IF(S629=15800,15800,ROUND((((Q630*60)/'Gearing Calculator'!$C$14)*'Track Data'!P630),-2))</f>
        <v>12700</v>
      </c>
      <c r="T630" s="16">
        <f t="shared" si="69"/>
        <v>5.5089295873629895</v>
      </c>
      <c r="U630" s="16">
        <f>IF(AC630=100,Braking!$AG$2354,IF(AC630=50,Braking!$AG$1179,IF(AC630=75,Braking!$AG$1767,0)))</f>
        <v>0</v>
      </c>
      <c r="V630" s="16">
        <f>0.5*'Gearing Calculator'!$C$15*'Gearing Calculator'!$C$20*'Gearing Calculator'!$W$20*('Track Data'!Q630^2)</f>
        <v>165.75648822469066</v>
      </c>
      <c r="W630" s="16">
        <f>('Gearing Calculator'!$U$9*'Track Data'!T630)+'Track Data'!V630</f>
        <v>1632.2335443807185</v>
      </c>
      <c r="X630" s="16">
        <f>('Gearing Calculator'!$U$9*9.81)*('Gearing Calculator'!$U$16/'Gearing Calculator'!$C$7)-(('Track Data'!W630)*('Gearing Calculator'!$U$17/'Gearing Calculator'!$C$7))</f>
        <v>511.48354699040738</v>
      </c>
      <c r="Y630" s="16">
        <f>('Gearing Calculator'!$U$9*9.81)*(('Gearing Calculator'!$C$7-'Gearing Calculator'!$U$16)/'Gearing Calculator'!$C$7)+(('Track Data'!W630)*('Gearing Calculator'!$U$17/'Gearing Calculator'!$C$7))</f>
        <v>2099.9384530095926</v>
      </c>
      <c r="Z630" s="16">
        <f>((X630*COS('Gearing Calculator'!$C$21))/'Gearing Calculator'!$C$22)/2</f>
        <v>15.813453588308835</v>
      </c>
      <c r="AA630" s="16">
        <f>Y630/'Gearing Calculator'!$C$24</f>
        <v>29.322184094578887</v>
      </c>
      <c r="AB630" s="16">
        <f t="shared" ref="AB630:AB693" si="72">(T630*O630)+V630</f>
        <v>182.28327698677964</v>
      </c>
      <c r="AC630" s="16">
        <v>0</v>
      </c>
      <c r="AD630" s="16">
        <v>51.415226335993168</v>
      </c>
      <c r="AE630" s="16">
        <v>627</v>
      </c>
      <c r="AF630" s="16">
        <f>IF(AC630=0,IF(O630=6,INDEX(Acceleration!$V$4:$V$110,MATCH('Track Data'!S630,Acceleration!$K$4:$K$110,0)),IF('Track Data'!O630=5,INDEX(Acceleration!$U$4:$U$110,MATCH('Track Data'!S630,Acceleration!$K$4:$K$110,0)),1)),U630)</f>
        <v>1</v>
      </c>
      <c r="AG630" s="16">
        <f>IF(AC630=0,IF(O630=4,INDEX(Acceleration!$T$4:$T$110,MATCH('Track Data'!S630,Acceleration!$K$4:$K$110,0)),IF('Track Data'!O630=3,INDEX(Acceleration!$S$4:$S$110,MATCH('Track Data'!S630,Acceleration!$K$4:$K$110,0)),'Track Data'!AF630)),'Track Data'!U630)</f>
        <v>5.5089295873629895</v>
      </c>
      <c r="AH630" s="16">
        <f>IF(AC630=0,IF(O630=2,INDEX(Acceleration!$R$4:$R$110,MATCH('Track Data'!S630,Acceleration!$K$4:$K$110,0)),IF('Track Data'!O630=1,INDEX(Acceleration!$Q$4:$Q$110,MATCH('Track Data'!S630,Acceleration!$K$4:$K$110,0)),'Track Data'!AG630)),'Track Data'!U630)</f>
        <v>5.5089295873629895</v>
      </c>
    </row>
    <row r="631" spans="2:34" x14ac:dyDescent="0.25">
      <c r="B631" s="16">
        <v>215.054</v>
      </c>
      <c r="C631" s="16">
        <v>7901</v>
      </c>
      <c r="D631" s="16">
        <v>628</v>
      </c>
      <c r="E631" s="113">
        <v>133</v>
      </c>
      <c r="F631" s="113">
        <v>125.6</v>
      </c>
      <c r="G631" s="113">
        <v>115.4</v>
      </c>
      <c r="H631" s="113">
        <f t="shared" si="68"/>
        <v>32.055555555555557</v>
      </c>
      <c r="I631" s="113">
        <v>13.2</v>
      </c>
      <c r="J631" s="113">
        <v>36.659999999999997</v>
      </c>
      <c r="K631" s="113">
        <v>50</v>
      </c>
      <c r="L631" s="183"/>
      <c r="M631" s="16">
        <v>628</v>
      </c>
      <c r="N631" s="16">
        <f t="shared" si="70"/>
        <v>2.5269092609066537E-2</v>
      </c>
      <c r="O631" s="16">
        <v>3</v>
      </c>
      <c r="P631" s="16">
        <f t="shared" si="66"/>
        <v>10.596205962059623</v>
      </c>
      <c r="Q631" s="16">
        <f t="shared" si="71"/>
        <v>39.574036767794368</v>
      </c>
      <c r="R631" s="113">
        <f t="shared" si="67"/>
        <v>345.36</v>
      </c>
      <c r="S631" s="16">
        <f>IF(S630=15800,15800,ROUND((((Q631*60)/'Gearing Calculator'!$C$14)*'Track Data'!P631),-2))</f>
        <v>12700</v>
      </c>
      <c r="T631" s="16">
        <f t="shared" si="69"/>
        <v>5.5089295873629895</v>
      </c>
      <c r="U631" s="16">
        <f>IF(AC631=100,Braking!$AG$2354,IF(AC631=50,Braking!$AG$1179,IF(AC631=75,Braking!$AG$1767,0)))</f>
        <v>0</v>
      </c>
      <c r="V631" s="16">
        <f>0.5*'Gearing Calculator'!$C$15*'Gearing Calculator'!$C$20*'Gearing Calculator'!$W$20*('Track Data'!Q631^2)</f>
        <v>165.75648822469066</v>
      </c>
      <c r="W631" s="16">
        <f>('Gearing Calculator'!$U$9*'Track Data'!T631)+'Track Data'!V631</f>
        <v>1632.2335443807185</v>
      </c>
      <c r="X631" s="16">
        <f>('Gearing Calculator'!$U$9*9.81)*('Gearing Calculator'!$U$16/'Gearing Calculator'!$C$7)-(('Track Data'!W631)*('Gearing Calculator'!$U$17/'Gearing Calculator'!$C$7))</f>
        <v>511.48354699040738</v>
      </c>
      <c r="Y631" s="16">
        <f>('Gearing Calculator'!$U$9*9.81)*(('Gearing Calculator'!$C$7-'Gearing Calculator'!$U$16)/'Gearing Calculator'!$C$7)+(('Track Data'!W631)*('Gearing Calculator'!$U$17/'Gearing Calculator'!$C$7))</f>
        <v>2099.9384530095926</v>
      </c>
      <c r="Z631" s="16">
        <f>((X631*COS('Gearing Calculator'!$C$21))/'Gearing Calculator'!$C$22)/2</f>
        <v>15.813453588308835</v>
      </c>
      <c r="AA631" s="16">
        <f>Y631/'Gearing Calculator'!$C$24</f>
        <v>29.322184094578887</v>
      </c>
      <c r="AB631" s="16">
        <f t="shared" si="72"/>
        <v>182.28327698677964</v>
      </c>
      <c r="AC631" s="16">
        <v>0</v>
      </c>
      <c r="AD631" s="16">
        <v>51.415226335993168</v>
      </c>
      <c r="AE631" s="16">
        <v>628</v>
      </c>
      <c r="AF631" s="16">
        <f>IF(AC631=0,IF(O631=6,INDEX(Acceleration!$V$4:$V$110,MATCH('Track Data'!S631,Acceleration!$K$4:$K$110,0)),IF('Track Data'!O631=5,INDEX(Acceleration!$U$4:$U$110,MATCH('Track Data'!S631,Acceleration!$K$4:$K$110,0)),1)),U631)</f>
        <v>1</v>
      </c>
      <c r="AG631" s="16">
        <f>IF(AC631=0,IF(O631=4,INDEX(Acceleration!$T$4:$T$110,MATCH('Track Data'!S631,Acceleration!$K$4:$K$110,0)),IF('Track Data'!O631=3,INDEX(Acceleration!$S$4:$S$110,MATCH('Track Data'!S631,Acceleration!$K$4:$K$110,0)),'Track Data'!AF631)),'Track Data'!U631)</f>
        <v>5.5089295873629895</v>
      </c>
      <c r="AH631" s="16">
        <f>IF(AC631=0,IF(O631=2,INDEX(Acceleration!$R$4:$R$110,MATCH('Track Data'!S631,Acceleration!$K$4:$K$110,0)),IF('Track Data'!O631=1,INDEX(Acceleration!$Q$4:$Q$110,MATCH('Track Data'!S631,Acceleration!$K$4:$K$110,0)),'Track Data'!AG631)),'Track Data'!U631)</f>
        <v>5.5089295873629895</v>
      </c>
    </row>
    <row r="632" spans="2:34" x14ac:dyDescent="0.25">
      <c r="B632" s="16">
        <v>215.083</v>
      </c>
      <c r="C632" s="16">
        <v>7902</v>
      </c>
      <c r="D632" s="16">
        <v>629</v>
      </c>
      <c r="E632" s="113">
        <v>134</v>
      </c>
      <c r="F632" s="113">
        <v>126.1</v>
      </c>
      <c r="G632" s="113">
        <v>115.7</v>
      </c>
      <c r="H632" s="113">
        <f t="shared" si="68"/>
        <v>32.138888888888886</v>
      </c>
      <c r="I632" s="113">
        <v>11.2</v>
      </c>
      <c r="J632" s="113">
        <v>32.06</v>
      </c>
      <c r="K632" s="113">
        <v>50.5</v>
      </c>
      <c r="L632" s="183"/>
      <c r="M632" s="16">
        <v>629</v>
      </c>
      <c r="N632" s="16">
        <f t="shared" si="70"/>
        <v>2.5269092609066537E-2</v>
      </c>
      <c r="O632" s="16">
        <v>3</v>
      </c>
      <c r="P632" s="16">
        <f t="shared" si="66"/>
        <v>10.596205962059623</v>
      </c>
      <c r="Q632" s="16">
        <f t="shared" si="71"/>
        <v>39.574036767794368</v>
      </c>
      <c r="R632" s="113">
        <f t="shared" si="67"/>
        <v>345.36</v>
      </c>
      <c r="S632" s="16">
        <f>IF(S631=15800,15800,ROUND((((Q632*60)/'Gearing Calculator'!$C$14)*'Track Data'!P632),-2))</f>
        <v>12700</v>
      </c>
      <c r="T632" s="16">
        <f t="shared" si="69"/>
        <v>5.5089295873629895</v>
      </c>
      <c r="U632" s="16">
        <f>IF(AC632=100,Braking!$AG$2354,IF(AC632=50,Braking!$AG$1179,IF(AC632=75,Braking!$AG$1767,0)))</f>
        <v>0</v>
      </c>
      <c r="V632" s="16">
        <f>0.5*'Gearing Calculator'!$C$15*'Gearing Calculator'!$C$20*'Gearing Calculator'!$W$20*('Track Data'!Q632^2)</f>
        <v>165.75648822469066</v>
      </c>
      <c r="W632" s="16">
        <f>('Gearing Calculator'!$U$9*'Track Data'!T632)+'Track Data'!V632</f>
        <v>1632.2335443807185</v>
      </c>
      <c r="X632" s="16">
        <f>('Gearing Calculator'!$U$9*9.81)*('Gearing Calculator'!$U$16/'Gearing Calculator'!$C$7)-(('Track Data'!W632)*('Gearing Calculator'!$U$17/'Gearing Calculator'!$C$7))</f>
        <v>511.48354699040738</v>
      </c>
      <c r="Y632" s="16">
        <f>('Gearing Calculator'!$U$9*9.81)*(('Gearing Calculator'!$C$7-'Gearing Calculator'!$U$16)/'Gearing Calculator'!$C$7)+(('Track Data'!W632)*('Gearing Calculator'!$U$17/'Gearing Calculator'!$C$7))</f>
        <v>2099.9384530095926</v>
      </c>
      <c r="Z632" s="16">
        <f>((X632*COS('Gearing Calculator'!$C$21))/'Gearing Calculator'!$C$22)/2</f>
        <v>15.813453588308835</v>
      </c>
      <c r="AA632" s="16">
        <f>Y632/'Gearing Calculator'!$C$24</f>
        <v>29.322184094578887</v>
      </c>
      <c r="AB632" s="16">
        <f t="shared" si="72"/>
        <v>182.28327698677964</v>
      </c>
      <c r="AC632" s="16">
        <v>0</v>
      </c>
      <c r="AD632" s="16">
        <v>51.415226335993168</v>
      </c>
      <c r="AE632" s="16">
        <v>629</v>
      </c>
      <c r="AF632" s="16">
        <f>IF(AC632=0,IF(O632=6,INDEX(Acceleration!$V$4:$V$110,MATCH('Track Data'!S632,Acceleration!$K$4:$K$110,0)),IF('Track Data'!O632=5,INDEX(Acceleration!$U$4:$U$110,MATCH('Track Data'!S632,Acceleration!$K$4:$K$110,0)),1)),U632)</f>
        <v>1</v>
      </c>
      <c r="AG632" s="16">
        <f>IF(AC632=0,IF(O632=4,INDEX(Acceleration!$T$4:$T$110,MATCH('Track Data'!S632,Acceleration!$K$4:$K$110,0)),IF('Track Data'!O632=3,INDEX(Acceleration!$S$4:$S$110,MATCH('Track Data'!S632,Acceleration!$K$4:$K$110,0)),'Track Data'!AF632)),'Track Data'!U632)</f>
        <v>5.5089295873629895</v>
      </c>
      <c r="AH632" s="16">
        <f>IF(AC632=0,IF(O632=2,INDEX(Acceleration!$R$4:$R$110,MATCH('Track Data'!S632,Acceleration!$K$4:$K$110,0)),IF('Track Data'!O632=1,INDEX(Acceleration!$Q$4:$Q$110,MATCH('Track Data'!S632,Acceleration!$K$4:$K$110,0)),'Track Data'!AG632)),'Track Data'!U632)</f>
        <v>5.5089295873629895</v>
      </c>
    </row>
    <row r="633" spans="2:34" x14ac:dyDescent="0.25">
      <c r="B633" s="16">
        <v>215.11199999999999</v>
      </c>
      <c r="C633" s="16">
        <v>7903</v>
      </c>
      <c r="D633" s="16">
        <v>630</v>
      </c>
      <c r="E633" s="113">
        <v>136</v>
      </c>
      <c r="F633" s="113">
        <v>126.8</v>
      </c>
      <c r="G633" s="113">
        <v>116</v>
      </c>
      <c r="H633" s="113">
        <f t="shared" si="68"/>
        <v>32.222222222222221</v>
      </c>
      <c r="I633" s="113">
        <v>9.6</v>
      </c>
      <c r="J633" s="113">
        <v>35</v>
      </c>
      <c r="K633" s="113">
        <v>50.9</v>
      </c>
      <c r="L633" s="183"/>
      <c r="M633" s="16">
        <v>630</v>
      </c>
      <c r="N633" s="16">
        <f t="shared" si="70"/>
        <v>2.5269092609066537E-2</v>
      </c>
      <c r="O633" s="16">
        <v>3</v>
      </c>
      <c r="P633" s="16">
        <f t="shared" si="66"/>
        <v>10.596205962059623</v>
      </c>
      <c r="Q633" s="16">
        <f t="shared" si="71"/>
        <v>39.574036767794368</v>
      </c>
      <c r="R633" s="113">
        <f t="shared" si="67"/>
        <v>345.36</v>
      </c>
      <c r="S633" s="16">
        <f>IF(S632=15800,15800,ROUND((((Q633*60)/'Gearing Calculator'!$C$14)*'Track Data'!P633),-2))</f>
        <v>12700</v>
      </c>
      <c r="T633" s="16">
        <f t="shared" si="69"/>
        <v>5.5089295873629895</v>
      </c>
      <c r="U633" s="16">
        <f>IF(AC633=100,Braking!$AG$2354,IF(AC633=50,Braking!$AG$1179,IF(AC633=75,Braking!$AG$1767,0)))</f>
        <v>0</v>
      </c>
      <c r="V633" s="16">
        <f>0.5*'Gearing Calculator'!$C$15*'Gearing Calculator'!$C$20*'Gearing Calculator'!$W$20*('Track Data'!Q633^2)</f>
        <v>165.75648822469066</v>
      </c>
      <c r="W633" s="16">
        <f>('Gearing Calculator'!$U$9*'Track Data'!T633)+'Track Data'!V633</f>
        <v>1632.2335443807185</v>
      </c>
      <c r="X633" s="16">
        <f>('Gearing Calculator'!$U$9*9.81)*('Gearing Calculator'!$U$16/'Gearing Calculator'!$C$7)-(('Track Data'!W633)*('Gearing Calculator'!$U$17/'Gearing Calculator'!$C$7))</f>
        <v>511.48354699040738</v>
      </c>
      <c r="Y633" s="16">
        <f>('Gearing Calculator'!$U$9*9.81)*(('Gearing Calculator'!$C$7-'Gearing Calculator'!$U$16)/'Gearing Calculator'!$C$7)+(('Track Data'!W633)*('Gearing Calculator'!$U$17/'Gearing Calculator'!$C$7))</f>
        <v>2099.9384530095926</v>
      </c>
      <c r="Z633" s="16">
        <f>((X633*COS('Gearing Calculator'!$C$21))/'Gearing Calculator'!$C$22)/2</f>
        <v>15.813453588308835</v>
      </c>
      <c r="AA633" s="16">
        <f>Y633/'Gearing Calculator'!$C$24</f>
        <v>29.322184094578887</v>
      </c>
      <c r="AB633" s="16">
        <f t="shared" si="72"/>
        <v>182.28327698677964</v>
      </c>
      <c r="AC633" s="16">
        <v>0</v>
      </c>
      <c r="AD633" s="16">
        <v>51.415226335993168</v>
      </c>
      <c r="AE633" s="16">
        <v>630</v>
      </c>
      <c r="AF633" s="16">
        <f>IF(AC633=0,IF(O633=6,INDEX(Acceleration!$V$4:$V$110,MATCH('Track Data'!S633,Acceleration!$K$4:$K$110,0)),IF('Track Data'!O633=5,INDEX(Acceleration!$U$4:$U$110,MATCH('Track Data'!S633,Acceleration!$K$4:$K$110,0)),1)),U633)</f>
        <v>1</v>
      </c>
      <c r="AG633" s="16">
        <f>IF(AC633=0,IF(O633=4,INDEX(Acceleration!$T$4:$T$110,MATCH('Track Data'!S633,Acceleration!$K$4:$K$110,0)),IF('Track Data'!O633=3,INDEX(Acceleration!$S$4:$S$110,MATCH('Track Data'!S633,Acceleration!$K$4:$K$110,0)),'Track Data'!AF633)),'Track Data'!U633)</f>
        <v>5.5089295873629895</v>
      </c>
      <c r="AH633" s="16">
        <f>IF(AC633=0,IF(O633=2,INDEX(Acceleration!$R$4:$R$110,MATCH('Track Data'!S633,Acceleration!$K$4:$K$110,0)),IF('Track Data'!O633=1,INDEX(Acceleration!$Q$4:$Q$110,MATCH('Track Data'!S633,Acceleration!$K$4:$K$110,0)),'Track Data'!AG633)),'Track Data'!U633)</f>
        <v>5.5089295873629895</v>
      </c>
    </row>
    <row r="634" spans="2:34" x14ac:dyDescent="0.25">
      <c r="B634" s="16">
        <v>215.14</v>
      </c>
      <c r="C634" s="16">
        <v>7904</v>
      </c>
      <c r="D634" s="16">
        <v>631</v>
      </c>
      <c r="E634" s="113">
        <v>136</v>
      </c>
      <c r="F634" s="113">
        <v>127.2</v>
      </c>
      <c r="G634" s="113">
        <v>116.3</v>
      </c>
      <c r="H634" s="113">
        <f t="shared" si="68"/>
        <v>32.305555555555557</v>
      </c>
      <c r="I634" s="113">
        <v>8.4</v>
      </c>
      <c r="J634" s="113">
        <v>34.67</v>
      </c>
      <c r="K634" s="113">
        <v>42.6</v>
      </c>
      <c r="L634" s="183"/>
      <c r="M634" s="16">
        <v>631</v>
      </c>
      <c r="N634" s="16">
        <f t="shared" si="70"/>
        <v>2.5269092609066537E-2</v>
      </c>
      <c r="O634" s="16">
        <v>3</v>
      </c>
      <c r="P634" s="16">
        <f t="shared" si="66"/>
        <v>10.596205962059623</v>
      </c>
      <c r="Q634" s="16">
        <f t="shared" si="71"/>
        <v>39.574036767794368</v>
      </c>
      <c r="R634" s="113">
        <f t="shared" si="67"/>
        <v>345.36</v>
      </c>
      <c r="S634" s="16">
        <f>IF(S633=15800,15800,ROUND((((Q634*60)/'Gearing Calculator'!$C$14)*'Track Data'!P634),-2))</f>
        <v>12700</v>
      </c>
      <c r="T634" s="16">
        <f t="shared" si="69"/>
        <v>5.5089295873629895</v>
      </c>
      <c r="U634" s="16">
        <f>IF(AC634=100,Braking!$AG$2354,IF(AC634=50,Braking!$AG$1179,IF(AC634=75,Braking!$AG$1767,0)))</f>
        <v>0</v>
      </c>
      <c r="V634" s="16">
        <f>0.5*'Gearing Calculator'!$C$15*'Gearing Calculator'!$C$20*'Gearing Calculator'!$W$20*('Track Data'!Q634^2)</f>
        <v>165.75648822469066</v>
      </c>
      <c r="W634" s="16">
        <f>('Gearing Calculator'!$U$9*'Track Data'!T634)+'Track Data'!V634</f>
        <v>1632.2335443807185</v>
      </c>
      <c r="X634" s="16">
        <f>('Gearing Calculator'!$U$9*9.81)*('Gearing Calculator'!$U$16/'Gearing Calculator'!$C$7)-(('Track Data'!W634)*('Gearing Calculator'!$U$17/'Gearing Calculator'!$C$7))</f>
        <v>511.48354699040738</v>
      </c>
      <c r="Y634" s="16">
        <f>('Gearing Calculator'!$U$9*9.81)*(('Gearing Calculator'!$C$7-'Gearing Calculator'!$U$16)/'Gearing Calculator'!$C$7)+(('Track Data'!W634)*('Gearing Calculator'!$U$17/'Gearing Calculator'!$C$7))</f>
        <v>2099.9384530095926</v>
      </c>
      <c r="Z634" s="16">
        <f>((X634*COS('Gearing Calculator'!$C$21))/'Gearing Calculator'!$C$22)/2</f>
        <v>15.813453588308835</v>
      </c>
      <c r="AA634" s="16">
        <f>Y634/'Gearing Calculator'!$C$24</f>
        <v>29.322184094578887</v>
      </c>
      <c r="AB634" s="16">
        <f t="shared" si="72"/>
        <v>182.28327698677964</v>
      </c>
      <c r="AC634" s="16">
        <v>0</v>
      </c>
      <c r="AD634" s="16">
        <v>51.415226335993168</v>
      </c>
      <c r="AE634" s="16">
        <v>631</v>
      </c>
      <c r="AF634" s="16">
        <f>IF(AC634=0,IF(O634=6,INDEX(Acceleration!$V$4:$V$110,MATCH('Track Data'!S634,Acceleration!$K$4:$K$110,0)),IF('Track Data'!O634=5,INDEX(Acceleration!$U$4:$U$110,MATCH('Track Data'!S634,Acceleration!$K$4:$K$110,0)),1)),U634)</f>
        <v>1</v>
      </c>
      <c r="AG634" s="16">
        <f>IF(AC634=0,IF(O634=4,INDEX(Acceleration!$T$4:$T$110,MATCH('Track Data'!S634,Acceleration!$K$4:$K$110,0)),IF('Track Data'!O634=3,INDEX(Acceleration!$S$4:$S$110,MATCH('Track Data'!S634,Acceleration!$K$4:$K$110,0)),'Track Data'!AF634)),'Track Data'!U634)</f>
        <v>5.5089295873629895</v>
      </c>
      <c r="AH634" s="16">
        <f>IF(AC634=0,IF(O634=2,INDEX(Acceleration!$R$4:$R$110,MATCH('Track Data'!S634,Acceleration!$K$4:$K$110,0)),IF('Track Data'!O634=1,INDEX(Acceleration!$Q$4:$Q$110,MATCH('Track Data'!S634,Acceleration!$K$4:$K$110,0)),'Track Data'!AG634)),'Track Data'!U634)</f>
        <v>5.5089295873629895</v>
      </c>
    </row>
    <row r="635" spans="2:34" x14ac:dyDescent="0.25">
      <c r="B635" s="16">
        <v>215.16800000000001</v>
      </c>
      <c r="C635" s="16">
        <v>7905</v>
      </c>
      <c r="D635" s="16">
        <v>632</v>
      </c>
      <c r="E635" s="113">
        <v>136</v>
      </c>
      <c r="F635" s="113">
        <v>127.5</v>
      </c>
      <c r="G635" s="113">
        <v>116.5</v>
      </c>
      <c r="H635" s="113">
        <f t="shared" si="68"/>
        <v>32.361111111111107</v>
      </c>
      <c r="I635" s="113">
        <v>8.6999999999999993</v>
      </c>
      <c r="J635" s="113">
        <v>34.67</v>
      </c>
      <c r="K635" s="113">
        <v>35.6</v>
      </c>
      <c r="L635" s="183"/>
      <c r="M635" s="16">
        <v>632</v>
      </c>
      <c r="N635" s="16">
        <f t="shared" si="70"/>
        <v>2.5269092609066537E-2</v>
      </c>
      <c r="O635" s="16">
        <v>3</v>
      </c>
      <c r="P635" s="16">
        <f t="shared" si="66"/>
        <v>10.596205962059623</v>
      </c>
      <c r="Q635" s="16">
        <f t="shared" si="71"/>
        <v>39.574036767794368</v>
      </c>
      <c r="R635" s="113">
        <f t="shared" si="67"/>
        <v>345.36</v>
      </c>
      <c r="S635" s="16">
        <f>IF(S634=15800,15800,ROUND((((Q635*60)/'Gearing Calculator'!$C$14)*'Track Data'!P635),-2))</f>
        <v>12700</v>
      </c>
      <c r="T635" s="16">
        <f t="shared" si="69"/>
        <v>5.5089295873629895</v>
      </c>
      <c r="U635" s="16">
        <f>IF(AC635=100,Braking!$AG$2354,IF(AC635=50,Braking!$AG$1179,IF(AC635=75,Braking!$AG$1767,0)))</f>
        <v>0</v>
      </c>
      <c r="V635" s="16">
        <f>0.5*'Gearing Calculator'!$C$15*'Gearing Calculator'!$C$20*'Gearing Calculator'!$W$20*('Track Data'!Q635^2)</f>
        <v>165.75648822469066</v>
      </c>
      <c r="W635" s="16">
        <f>('Gearing Calculator'!$U$9*'Track Data'!T635)+'Track Data'!V635</f>
        <v>1632.2335443807185</v>
      </c>
      <c r="X635" s="16">
        <f>('Gearing Calculator'!$U$9*9.81)*('Gearing Calculator'!$U$16/'Gearing Calculator'!$C$7)-(('Track Data'!W635)*('Gearing Calculator'!$U$17/'Gearing Calculator'!$C$7))</f>
        <v>511.48354699040738</v>
      </c>
      <c r="Y635" s="16">
        <f>('Gearing Calculator'!$U$9*9.81)*(('Gearing Calculator'!$C$7-'Gearing Calculator'!$U$16)/'Gearing Calculator'!$C$7)+(('Track Data'!W635)*('Gearing Calculator'!$U$17/'Gearing Calculator'!$C$7))</f>
        <v>2099.9384530095926</v>
      </c>
      <c r="Z635" s="16">
        <f>((X635*COS('Gearing Calculator'!$C$21))/'Gearing Calculator'!$C$22)/2</f>
        <v>15.813453588308835</v>
      </c>
      <c r="AA635" s="16">
        <f>Y635/'Gearing Calculator'!$C$24</f>
        <v>29.322184094578887</v>
      </c>
      <c r="AB635" s="16">
        <f t="shared" si="72"/>
        <v>182.28327698677964</v>
      </c>
      <c r="AC635" s="16">
        <v>0</v>
      </c>
      <c r="AD635" s="16">
        <v>51.415226335993168</v>
      </c>
      <c r="AE635" s="16">
        <v>632</v>
      </c>
      <c r="AF635" s="16">
        <f>IF(AC635=0,IF(O635=6,INDEX(Acceleration!$V$4:$V$110,MATCH('Track Data'!S635,Acceleration!$K$4:$K$110,0)),IF('Track Data'!O635=5,INDEX(Acceleration!$U$4:$U$110,MATCH('Track Data'!S635,Acceleration!$K$4:$K$110,0)),1)),U635)</f>
        <v>1</v>
      </c>
      <c r="AG635" s="16">
        <f>IF(AC635=0,IF(O635=4,INDEX(Acceleration!$T$4:$T$110,MATCH('Track Data'!S635,Acceleration!$K$4:$K$110,0)),IF('Track Data'!O635=3,INDEX(Acceleration!$S$4:$S$110,MATCH('Track Data'!S635,Acceleration!$K$4:$K$110,0)),'Track Data'!AF635)),'Track Data'!U635)</f>
        <v>5.5089295873629895</v>
      </c>
      <c r="AH635" s="16">
        <f>IF(AC635=0,IF(O635=2,INDEX(Acceleration!$R$4:$R$110,MATCH('Track Data'!S635,Acceleration!$K$4:$K$110,0)),IF('Track Data'!O635=1,INDEX(Acceleration!$Q$4:$Q$110,MATCH('Track Data'!S635,Acceleration!$K$4:$K$110,0)),'Track Data'!AG635)),'Track Data'!U635)</f>
        <v>5.5089295873629895</v>
      </c>
    </row>
    <row r="636" spans="2:34" x14ac:dyDescent="0.25">
      <c r="B636" s="16">
        <v>215.196</v>
      </c>
      <c r="C636" s="16">
        <v>7906</v>
      </c>
      <c r="D636" s="16">
        <v>633</v>
      </c>
      <c r="E636" s="113">
        <v>135</v>
      </c>
      <c r="F636" s="113">
        <v>127.9</v>
      </c>
      <c r="G636" s="113">
        <v>116.9</v>
      </c>
      <c r="H636" s="113">
        <f t="shared" si="68"/>
        <v>32.472222222222221</v>
      </c>
      <c r="I636" s="113">
        <v>10.5</v>
      </c>
      <c r="J636" s="113">
        <v>33.5</v>
      </c>
      <c r="K636" s="113">
        <v>25</v>
      </c>
      <c r="L636" s="183"/>
      <c r="M636" s="16">
        <v>633</v>
      </c>
      <c r="N636" s="16">
        <f t="shared" si="70"/>
        <v>2.5269092609066537E-2</v>
      </c>
      <c r="O636" s="16">
        <v>3</v>
      </c>
      <c r="P636" s="16">
        <f t="shared" si="66"/>
        <v>10.596205962059623</v>
      </c>
      <c r="Q636" s="16">
        <f t="shared" si="71"/>
        <v>39.574036767794368</v>
      </c>
      <c r="R636" s="113">
        <f t="shared" si="67"/>
        <v>345.36</v>
      </c>
      <c r="S636" s="16">
        <f>IF(S635=15800,15800,ROUND((((Q636*60)/'Gearing Calculator'!$C$14)*'Track Data'!P636),-2))</f>
        <v>12700</v>
      </c>
      <c r="T636" s="16">
        <f t="shared" si="69"/>
        <v>5.5089295873629895</v>
      </c>
      <c r="U636" s="16">
        <f>IF(AC636=100,Braking!$AG$2354,IF(AC636=50,Braking!$AG$1179,IF(AC636=75,Braking!$AG$1767,0)))</f>
        <v>0</v>
      </c>
      <c r="V636" s="16">
        <f>0.5*'Gearing Calculator'!$C$15*'Gearing Calculator'!$C$20*'Gearing Calculator'!$W$20*('Track Data'!Q636^2)</f>
        <v>165.75648822469066</v>
      </c>
      <c r="W636" s="16">
        <f>('Gearing Calculator'!$U$9*'Track Data'!T636)+'Track Data'!V636</f>
        <v>1632.2335443807185</v>
      </c>
      <c r="X636" s="16">
        <f>('Gearing Calculator'!$U$9*9.81)*('Gearing Calculator'!$U$16/'Gearing Calculator'!$C$7)-(('Track Data'!W636)*('Gearing Calculator'!$U$17/'Gearing Calculator'!$C$7))</f>
        <v>511.48354699040738</v>
      </c>
      <c r="Y636" s="16">
        <f>('Gearing Calculator'!$U$9*9.81)*(('Gearing Calculator'!$C$7-'Gearing Calculator'!$U$16)/'Gearing Calculator'!$C$7)+(('Track Data'!W636)*('Gearing Calculator'!$U$17/'Gearing Calculator'!$C$7))</f>
        <v>2099.9384530095926</v>
      </c>
      <c r="Z636" s="16">
        <f>((X636*COS('Gearing Calculator'!$C$21))/'Gearing Calculator'!$C$22)/2</f>
        <v>15.813453588308835</v>
      </c>
      <c r="AA636" s="16">
        <f>Y636/'Gearing Calculator'!$C$24</f>
        <v>29.322184094578887</v>
      </c>
      <c r="AB636" s="16">
        <f t="shared" si="72"/>
        <v>182.28327698677964</v>
      </c>
      <c r="AC636" s="16">
        <v>0</v>
      </c>
      <c r="AD636" s="16">
        <v>51.415226335993168</v>
      </c>
      <c r="AE636" s="16">
        <v>633</v>
      </c>
      <c r="AF636" s="16">
        <f>IF(AC636=0,IF(O636=6,INDEX(Acceleration!$V$4:$V$110,MATCH('Track Data'!S636,Acceleration!$K$4:$K$110,0)),IF('Track Data'!O636=5,INDEX(Acceleration!$U$4:$U$110,MATCH('Track Data'!S636,Acceleration!$K$4:$K$110,0)),1)),U636)</f>
        <v>1</v>
      </c>
      <c r="AG636" s="16">
        <f>IF(AC636=0,IF(O636=4,INDEX(Acceleration!$T$4:$T$110,MATCH('Track Data'!S636,Acceleration!$K$4:$K$110,0)),IF('Track Data'!O636=3,INDEX(Acceleration!$S$4:$S$110,MATCH('Track Data'!S636,Acceleration!$K$4:$K$110,0)),'Track Data'!AF636)),'Track Data'!U636)</f>
        <v>5.5089295873629895</v>
      </c>
      <c r="AH636" s="16">
        <f>IF(AC636=0,IF(O636=2,INDEX(Acceleration!$R$4:$R$110,MATCH('Track Data'!S636,Acceleration!$K$4:$K$110,0)),IF('Track Data'!O636=1,INDEX(Acceleration!$Q$4:$Q$110,MATCH('Track Data'!S636,Acceleration!$K$4:$K$110,0)),'Track Data'!AG636)),'Track Data'!U636)</f>
        <v>5.5089295873629895</v>
      </c>
    </row>
    <row r="637" spans="2:34" x14ac:dyDescent="0.25">
      <c r="B637" s="16">
        <v>215.22399999999999</v>
      </c>
      <c r="C637" s="16">
        <v>7907</v>
      </c>
      <c r="D637" s="16">
        <v>634</v>
      </c>
      <c r="E637" s="113">
        <v>136</v>
      </c>
      <c r="F637" s="113">
        <v>128.1</v>
      </c>
      <c r="G637" s="113">
        <v>117.2</v>
      </c>
      <c r="H637" s="113">
        <f t="shared" si="68"/>
        <v>32.555555555555557</v>
      </c>
      <c r="I637" s="113">
        <v>11.7</v>
      </c>
      <c r="J637" s="113">
        <v>34.61</v>
      </c>
      <c r="K637" s="113">
        <v>31.8</v>
      </c>
      <c r="L637" s="183"/>
      <c r="M637" s="16">
        <v>634</v>
      </c>
      <c r="N637" s="16">
        <f t="shared" si="70"/>
        <v>2.5269092609066537E-2</v>
      </c>
      <c r="O637" s="16">
        <v>3</v>
      </c>
      <c r="P637" s="16">
        <f t="shared" si="66"/>
        <v>10.596205962059623</v>
      </c>
      <c r="Q637" s="16">
        <f t="shared" si="71"/>
        <v>39.574036767794368</v>
      </c>
      <c r="R637" s="113">
        <f t="shared" si="67"/>
        <v>345.36</v>
      </c>
      <c r="S637" s="16">
        <f>IF(S636=15800,15800,ROUND((((Q637*60)/'Gearing Calculator'!$C$14)*'Track Data'!P637),-2))</f>
        <v>12700</v>
      </c>
      <c r="T637" s="16">
        <f t="shared" si="69"/>
        <v>5.5089295873629895</v>
      </c>
      <c r="U637" s="16">
        <f>IF(AC637=100,Braking!$AG$2354,IF(AC637=50,Braking!$AG$1179,IF(AC637=75,Braking!$AG$1767,0)))</f>
        <v>0</v>
      </c>
      <c r="V637" s="16">
        <f>0.5*'Gearing Calculator'!$C$15*'Gearing Calculator'!$C$20*'Gearing Calculator'!$W$20*('Track Data'!Q637^2)</f>
        <v>165.75648822469066</v>
      </c>
      <c r="W637" s="16">
        <f>('Gearing Calculator'!$U$9*'Track Data'!T637)+'Track Data'!V637</f>
        <v>1632.2335443807185</v>
      </c>
      <c r="X637" s="16">
        <f>('Gearing Calculator'!$U$9*9.81)*('Gearing Calculator'!$U$16/'Gearing Calculator'!$C$7)-(('Track Data'!W637)*('Gearing Calculator'!$U$17/'Gearing Calculator'!$C$7))</f>
        <v>511.48354699040738</v>
      </c>
      <c r="Y637" s="16">
        <f>('Gearing Calculator'!$U$9*9.81)*(('Gearing Calculator'!$C$7-'Gearing Calculator'!$U$16)/'Gearing Calculator'!$C$7)+(('Track Data'!W637)*('Gearing Calculator'!$U$17/'Gearing Calculator'!$C$7))</f>
        <v>2099.9384530095926</v>
      </c>
      <c r="Z637" s="16">
        <f>((X637*COS('Gearing Calculator'!$C$21))/'Gearing Calculator'!$C$22)/2</f>
        <v>15.813453588308835</v>
      </c>
      <c r="AA637" s="16">
        <f>Y637/'Gearing Calculator'!$C$24</f>
        <v>29.322184094578887</v>
      </c>
      <c r="AB637" s="16">
        <f t="shared" si="72"/>
        <v>182.28327698677964</v>
      </c>
      <c r="AC637" s="16">
        <v>0</v>
      </c>
      <c r="AD637" s="16">
        <v>51.415226335993168</v>
      </c>
      <c r="AE637" s="16">
        <v>634</v>
      </c>
      <c r="AF637" s="16">
        <f>IF(AC637=0,IF(O637=6,INDEX(Acceleration!$V$4:$V$110,MATCH('Track Data'!S637,Acceleration!$K$4:$K$110,0)),IF('Track Data'!O637=5,INDEX(Acceleration!$U$4:$U$110,MATCH('Track Data'!S637,Acceleration!$K$4:$K$110,0)),1)),U637)</f>
        <v>1</v>
      </c>
      <c r="AG637" s="16">
        <f>IF(AC637=0,IF(O637=4,INDEX(Acceleration!$T$4:$T$110,MATCH('Track Data'!S637,Acceleration!$K$4:$K$110,0)),IF('Track Data'!O637=3,INDEX(Acceleration!$S$4:$S$110,MATCH('Track Data'!S637,Acceleration!$K$4:$K$110,0)),'Track Data'!AF637)),'Track Data'!U637)</f>
        <v>5.5089295873629895</v>
      </c>
      <c r="AH637" s="16">
        <f>IF(AC637=0,IF(O637=2,INDEX(Acceleration!$R$4:$R$110,MATCH('Track Data'!S637,Acceleration!$K$4:$K$110,0)),IF('Track Data'!O637=1,INDEX(Acceleration!$Q$4:$Q$110,MATCH('Track Data'!S637,Acceleration!$K$4:$K$110,0)),'Track Data'!AG637)),'Track Data'!U637)</f>
        <v>5.5089295873629895</v>
      </c>
    </row>
    <row r="638" spans="2:34" x14ac:dyDescent="0.25">
      <c r="B638" s="16">
        <v>215.25200000000001</v>
      </c>
      <c r="C638" s="16">
        <v>7908</v>
      </c>
      <c r="D638" s="16">
        <v>635</v>
      </c>
      <c r="E638" s="113">
        <v>136</v>
      </c>
      <c r="F638" s="113">
        <v>128.19999999999999</v>
      </c>
      <c r="G638" s="113">
        <v>117.6</v>
      </c>
      <c r="H638" s="113">
        <f t="shared" si="68"/>
        <v>32.666666666666664</v>
      </c>
      <c r="I638" s="113">
        <v>11.8</v>
      </c>
      <c r="J638" s="113">
        <v>33.799999999999997</v>
      </c>
      <c r="K638" s="113">
        <v>43.1</v>
      </c>
      <c r="L638" s="183"/>
      <c r="M638" s="16">
        <v>635</v>
      </c>
      <c r="N638" s="16">
        <f t="shared" si="70"/>
        <v>2.5269092609066537E-2</v>
      </c>
      <c r="O638" s="16">
        <v>3</v>
      </c>
      <c r="P638" s="16">
        <f t="shared" si="66"/>
        <v>10.596205962059623</v>
      </c>
      <c r="Q638" s="16">
        <f t="shared" si="71"/>
        <v>39.574036767794368</v>
      </c>
      <c r="R638" s="113">
        <f t="shared" si="67"/>
        <v>345.36</v>
      </c>
      <c r="S638" s="16">
        <f>IF(S637=15800,15800,ROUND((((Q638*60)/'Gearing Calculator'!$C$14)*'Track Data'!P638),-2))</f>
        <v>12700</v>
      </c>
      <c r="T638" s="16">
        <f t="shared" si="69"/>
        <v>5.5089295873629895</v>
      </c>
      <c r="U638" s="16">
        <f>IF(AC638=100,Braking!$AG$2354,IF(AC638=50,Braking!$AG$1179,IF(AC638=75,Braking!$AG$1767,0)))</f>
        <v>0</v>
      </c>
      <c r="V638" s="16">
        <f>0.5*'Gearing Calculator'!$C$15*'Gearing Calculator'!$C$20*'Gearing Calculator'!$W$20*('Track Data'!Q638^2)</f>
        <v>165.75648822469066</v>
      </c>
      <c r="W638" s="16">
        <f>('Gearing Calculator'!$U$9*'Track Data'!T638)+'Track Data'!V638</f>
        <v>1632.2335443807185</v>
      </c>
      <c r="X638" s="16">
        <f>('Gearing Calculator'!$U$9*9.81)*('Gearing Calculator'!$U$16/'Gearing Calculator'!$C$7)-(('Track Data'!W638)*('Gearing Calculator'!$U$17/'Gearing Calculator'!$C$7))</f>
        <v>511.48354699040738</v>
      </c>
      <c r="Y638" s="16">
        <f>('Gearing Calculator'!$U$9*9.81)*(('Gearing Calculator'!$C$7-'Gearing Calculator'!$U$16)/'Gearing Calculator'!$C$7)+(('Track Data'!W638)*('Gearing Calculator'!$U$17/'Gearing Calculator'!$C$7))</f>
        <v>2099.9384530095926</v>
      </c>
      <c r="Z638" s="16">
        <f>((X638*COS('Gearing Calculator'!$C$21))/'Gearing Calculator'!$C$22)/2</f>
        <v>15.813453588308835</v>
      </c>
      <c r="AA638" s="16">
        <f>Y638/'Gearing Calculator'!$C$24</f>
        <v>29.322184094578887</v>
      </c>
      <c r="AB638" s="16">
        <f t="shared" si="72"/>
        <v>182.28327698677964</v>
      </c>
      <c r="AC638" s="16">
        <v>0</v>
      </c>
      <c r="AD638" s="16">
        <v>51.415226335993168</v>
      </c>
      <c r="AE638" s="16">
        <v>635</v>
      </c>
      <c r="AF638" s="16">
        <f>IF(AC638=0,IF(O638=6,INDEX(Acceleration!$V$4:$V$110,MATCH('Track Data'!S638,Acceleration!$K$4:$K$110,0)),IF('Track Data'!O638=5,INDEX(Acceleration!$U$4:$U$110,MATCH('Track Data'!S638,Acceleration!$K$4:$K$110,0)),1)),U638)</f>
        <v>1</v>
      </c>
      <c r="AG638" s="16">
        <f>IF(AC638=0,IF(O638=4,INDEX(Acceleration!$T$4:$T$110,MATCH('Track Data'!S638,Acceleration!$K$4:$K$110,0)),IF('Track Data'!O638=3,INDEX(Acceleration!$S$4:$S$110,MATCH('Track Data'!S638,Acceleration!$K$4:$K$110,0)),'Track Data'!AF638)),'Track Data'!U638)</f>
        <v>5.5089295873629895</v>
      </c>
      <c r="AH638" s="16">
        <f>IF(AC638=0,IF(O638=2,INDEX(Acceleration!$R$4:$R$110,MATCH('Track Data'!S638,Acceleration!$K$4:$K$110,0)),IF('Track Data'!O638=1,INDEX(Acceleration!$Q$4:$Q$110,MATCH('Track Data'!S638,Acceleration!$K$4:$K$110,0)),'Track Data'!AG638)),'Track Data'!U638)</f>
        <v>5.5089295873629895</v>
      </c>
    </row>
    <row r="639" spans="2:34" x14ac:dyDescent="0.25">
      <c r="B639" s="16">
        <v>215.28100000000001</v>
      </c>
      <c r="C639" s="16">
        <v>7909</v>
      </c>
      <c r="D639" s="16">
        <v>636</v>
      </c>
      <c r="E639" s="113">
        <v>136</v>
      </c>
      <c r="F639" s="113">
        <v>128.69999999999999</v>
      </c>
      <c r="G639" s="113">
        <v>118</v>
      </c>
      <c r="H639" s="113">
        <f t="shared" si="68"/>
        <v>32.777777777777779</v>
      </c>
      <c r="I639" s="113">
        <v>12.4</v>
      </c>
      <c r="J639" s="113">
        <v>33.229999999999997</v>
      </c>
      <c r="K639" s="113">
        <v>53.1</v>
      </c>
      <c r="L639" s="183"/>
      <c r="M639" s="16">
        <v>636</v>
      </c>
      <c r="N639" s="16">
        <f t="shared" si="70"/>
        <v>2.5269092609066537E-2</v>
      </c>
      <c r="O639" s="16">
        <v>3</v>
      </c>
      <c r="P639" s="16">
        <f t="shared" si="66"/>
        <v>10.596205962059623</v>
      </c>
      <c r="Q639" s="16">
        <f t="shared" si="71"/>
        <v>39.574036767794368</v>
      </c>
      <c r="R639" s="113">
        <f t="shared" si="67"/>
        <v>345.36</v>
      </c>
      <c r="S639" s="16">
        <f>IF(S638=15800,15800,ROUND((((Q639*60)/'Gearing Calculator'!$C$14)*'Track Data'!P639),-2))</f>
        <v>12700</v>
      </c>
      <c r="T639" s="16">
        <f t="shared" si="69"/>
        <v>5.5089295873629895</v>
      </c>
      <c r="U639" s="16">
        <f>IF(AC639=100,Braking!$AG$2354,IF(AC639=50,Braking!$AG$1179,IF(AC639=75,Braking!$AG$1767,0)))</f>
        <v>0</v>
      </c>
      <c r="V639" s="16">
        <f>0.5*'Gearing Calculator'!$C$15*'Gearing Calculator'!$C$20*'Gearing Calculator'!$W$20*('Track Data'!Q639^2)</f>
        <v>165.75648822469066</v>
      </c>
      <c r="W639" s="16">
        <f>('Gearing Calculator'!$U$9*'Track Data'!T639)+'Track Data'!V639</f>
        <v>1632.2335443807185</v>
      </c>
      <c r="X639" s="16">
        <f>('Gearing Calculator'!$U$9*9.81)*('Gearing Calculator'!$U$16/'Gearing Calculator'!$C$7)-(('Track Data'!W639)*('Gearing Calculator'!$U$17/'Gearing Calculator'!$C$7))</f>
        <v>511.48354699040738</v>
      </c>
      <c r="Y639" s="16">
        <f>('Gearing Calculator'!$U$9*9.81)*(('Gearing Calculator'!$C$7-'Gearing Calculator'!$U$16)/'Gearing Calculator'!$C$7)+(('Track Data'!W639)*('Gearing Calculator'!$U$17/'Gearing Calculator'!$C$7))</f>
        <v>2099.9384530095926</v>
      </c>
      <c r="Z639" s="16">
        <f>((X639*COS('Gearing Calculator'!$C$21))/'Gearing Calculator'!$C$22)/2</f>
        <v>15.813453588308835</v>
      </c>
      <c r="AA639" s="16">
        <f>Y639/'Gearing Calculator'!$C$24</f>
        <v>29.322184094578887</v>
      </c>
      <c r="AB639" s="16">
        <f t="shared" si="72"/>
        <v>182.28327698677964</v>
      </c>
      <c r="AC639" s="16">
        <v>0</v>
      </c>
      <c r="AD639" s="16">
        <v>51.415226335993168</v>
      </c>
      <c r="AE639" s="16">
        <v>636</v>
      </c>
      <c r="AF639" s="16">
        <f>IF(AC639=0,IF(O639=6,INDEX(Acceleration!$V$4:$V$110,MATCH('Track Data'!S639,Acceleration!$K$4:$K$110,0)),IF('Track Data'!O639=5,INDEX(Acceleration!$U$4:$U$110,MATCH('Track Data'!S639,Acceleration!$K$4:$K$110,0)),1)),U639)</f>
        <v>1</v>
      </c>
      <c r="AG639" s="16">
        <f>IF(AC639=0,IF(O639=4,INDEX(Acceleration!$T$4:$T$110,MATCH('Track Data'!S639,Acceleration!$K$4:$K$110,0)),IF('Track Data'!O639=3,INDEX(Acceleration!$S$4:$S$110,MATCH('Track Data'!S639,Acceleration!$K$4:$K$110,0)),'Track Data'!AF639)),'Track Data'!U639)</f>
        <v>5.5089295873629895</v>
      </c>
      <c r="AH639" s="16">
        <f>IF(AC639=0,IF(O639=2,INDEX(Acceleration!$R$4:$R$110,MATCH('Track Data'!S639,Acceleration!$K$4:$K$110,0)),IF('Track Data'!O639=1,INDEX(Acceleration!$Q$4:$Q$110,MATCH('Track Data'!S639,Acceleration!$K$4:$K$110,0)),'Track Data'!AG639)),'Track Data'!U639)</f>
        <v>5.5089295873629895</v>
      </c>
    </row>
    <row r="640" spans="2:34" x14ac:dyDescent="0.25">
      <c r="B640" s="16">
        <v>215.309</v>
      </c>
      <c r="C640" s="16">
        <v>7910</v>
      </c>
      <c r="D640" s="16">
        <v>637</v>
      </c>
      <c r="E640" s="113">
        <v>136</v>
      </c>
      <c r="F640" s="113">
        <v>129</v>
      </c>
      <c r="G640" s="113">
        <v>118.3</v>
      </c>
      <c r="H640" s="113">
        <f t="shared" si="68"/>
        <v>32.861111111111107</v>
      </c>
      <c r="I640" s="113">
        <v>12.9</v>
      </c>
      <c r="J640" s="113">
        <v>35.130000000000003</v>
      </c>
      <c r="K640" s="113">
        <v>52.8</v>
      </c>
      <c r="L640" s="183"/>
      <c r="M640" s="16">
        <v>637</v>
      </c>
      <c r="N640" s="16">
        <f t="shared" si="70"/>
        <v>2.5269092609066537E-2</v>
      </c>
      <c r="O640" s="16">
        <v>3</v>
      </c>
      <c r="P640" s="16">
        <f t="shared" si="66"/>
        <v>10.596205962059623</v>
      </c>
      <c r="Q640" s="16">
        <f t="shared" si="71"/>
        <v>39.574036767794368</v>
      </c>
      <c r="R640" s="113">
        <f t="shared" si="67"/>
        <v>345.36</v>
      </c>
      <c r="S640" s="16">
        <f>IF(S639=15800,15800,ROUND((((Q640*60)/'Gearing Calculator'!$C$14)*'Track Data'!P640),-2))</f>
        <v>12700</v>
      </c>
      <c r="T640" s="16">
        <f t="shared" si="69"/>
        <v>5.5089295873629895</v>
      </c>
      <c r="U640" s="16">
        <f>IF(AC640=100,Braking!$AG$2354,IF(AC640=50,Braking!$AG$1179,IF(AC640=75,Braking!$AG$1767,0)))</f>
        <v>0</v>
      </c>
      <c r="V640" s="16">
        <f>0.5*'Gearing Calculator'!$C$15*'Gearing Calculator'!$C$20*'Gearing Calculator'!$W$20*('Track Data'!Q640^2)</f>
        <v>165.75648822469066</v>
      </c>
      <c r="W640" s="16">
        <f>('Gearing Calculator'!$U$9*'Track Data'!T640)+'Track Data'!V640</f>
        <v>1632.2335443807185</v>
      </c>
      <c r="X640" s="16">
        <f>('Gearing Calculator'!$U$9*9.81)*('Gearing Calculator'!$U$16/'Gearing Calculator'!$C$7)-(('Track Data'!W640)*('Gearing Calculator'!$U$17/'Gearing Calculator'!$C$7))</f>
        <v>511.48354699040738</v>
      </c>
      <c r="Y640" s="16">
        <f>('Gearing Calculator'!$U$9*9.81)*(('Gearing Calculator'!$C$7-'Gearing Calculator'!$U$16)/'Gearing Calculator'!$C$7)+(('Track Data'!W640)*('Gearing Calculator'!$U$17/'Gearing Calculator'!$C$7))</f>
        <v>2099.9384530095926</v>
      </c>
      <c r="Z640" s="16">
        <f>((X640*COS('Gearing Calculator'!$C$21))/'Gearing Calculator'!$C$22)/2</f>
        <v>15.813453588308835</v>
      </c>
      <c r="AA640" s="16">
        <f>Y640/'Gearing Calculator'!$C$24</f>
        <v>29.322184094578887</v>
      </c>
      <c r="AB640" s="16">
        <f t="shared" si="72"/>
        <v>182.28327698677964</v>
      </c>
      <c r="AC640" s="16">
        <v>0</v>
      </c>
      <c r="AD640" s="16">
        <v>51.415226335993168</v>
      </c>
      <c r="AE640" s="16">
        <v>637</v>
      </c>
      <c r="AF640" s="16">
        <f>IF(AC640=0,IF(O640=6,INDEX(Acceleration!$V$4:$V$110,MATCH('Track Data'!S640,Acceleration!$K$4:$K$110,0)),IF('Track Data'!O640=5,INDEX(Acceleration!$U$4:$U$110,MATCH('Track Data'!S640,Acceleration!$K$4:$K$110,0)),1)),U640)</f>
        <v>1</v>
      </c>
      <c r="AG640" s="16">
        <f>IF(AC640=0,IF(O640=4,INDEX(Acceleration!$T$4:$T$110,MATCH('Track Data'!S640,Acceleration!$K$4:$K$110,0)),IF('Track Data'!O640=3,INDEX(Acceleration!$S$4:$S$110,MATCH('Track Data'!S640,Acceleration!$K$4:$K$110,0)),'Track Data'!AF640)),'Track Data'!U640)</f>
        <v>5.5089295873629895</v>
      </c>
      <c r="AH640" s="16">
        <f>IF(AC640=0,IF(O640=2,INDEX(Acceleration!$R$4:$R$110,MATCH('Track Data'!S640,Acceleration!$K$4:$K$110,0)),IF('Track Data'!O640=1,INDEX(Acceleration!$Q$4:$Q$110,MATCH('Track Data'!S640,Acceleration!$K$4:$K$110,0)),'Track Data'!AG640)),'Track Data'!U640)</f>
        <v>5.5089295873629895</v>
      </c>
    </row>
    <row r="641" spans="2:34" x14ac:dyDescent="0.25">
      <c r="B641" s="16">
        <v>215.33600000000001</v>
      </c>
      <c r="C641" s="16">
        <v>7911</v>
      </c>
      <c r="D641" s="16">
        <v>638</v>
      </c>
      <c r="E641" s="113">
        <v>136</v>
      </c>
      <c r="F641" s="113">
        <v>129.30000000000001</v>
      </c>
      <c r="G641" s="113">
        <v>118.7</v>
      </c>
      <c r="H641" s="113">
        <f t="shared" si="68"/>
        <v>32.972222222222221</v>
      </c>
      <c r="I641" s="113">
        <v>14.2</v>
      </c>
      <c r="J641" s="113">
        <v>39.909999999999997</v>
      </c>
      <c r="K641" s="113">
        <v>52.5</v>
      </c>
      <c r="L641" s="183"/>
      <c r="M641" s="16">
        <v>638</v>
      </c>
      <c r="N641" s="16">
        <f t="shared" si="70"/>
        <v>2.5269092609066537E-2</v>
      </c>
      <c r="O641" s="16">
        <v>3</v>
      </c>
      <c r="P641" s="16">
        <f t="shared" si="66"/>
        <v>10.596205962059623</v>
      </c>
      <c r="Q641" s="16">
        <f t="shared" si="71"/>
        <v>39.574036767794368</v>
      </c>
      <c r="R641" s="113">
        <f t="shared" si="67"/>
        <v>345.36</v>
      </c>
      <c r="S641" s="16">
        <f>IF(S640=15800,15800,ROUND((((Q641*60)/'Gearing Calculator'!$C$14)*'Track Data'!P641),-2))</f>
        <v>12700</v>
      </c>
      <c r="T641" s="16">
        <f t="shared" si="69"/>
        <v>5.5089295873629895</v>
      </c>
      <c r="U641" s="16">
        <f>IF(AC641=100,Braking!$AG$2354,IF(AC641=50,Braking!$AG$1179,IF(AC641=75,Braking!$AG$1767,0)))</f>
        <v>0</v>
      </c>
      <c r="V641" s="16">
        <f>0.5*'Gearing Calculator'!$C$15*'Gearing Calculator'!$C$20*'Gearing Calculator'!$W$20*('Track Data'!Q641^2)</f>
        <v>165.75648822469066</v>
      </c>
      <c r="W641" s="16">
        <f>('Gearing Calculator'!$U$9*'Track Data'!T641)+'Track Data'!V641</f>
        <v>1632.2335443807185</v>
      </c>
      <c r="X641" s="16">
        <f>('Gearing Calculator'!$U$9*9.81)*('Gearing Calculator'!$U$16/'Gearing Calculator'!$C$7)-(('Track Data'!W641)*('Gearing Calculator'!$U$17/'Gearing Calculator'!$C$7))</f>
        <v>511.48354699040738</v>
      </c>
      <c r="Y641" s="16">
        <f>('Gearing Calculator'!$U$9*9.81)*(('Gearing Calculator'!$C$7-'Gearing Calculator'!$U$16)/'Gearing Calculator'!$C$7)+(('Track Data'!W641)*('Gearing Calculator'!$U$17/'Gearing Calculator'!$C$7))</f>
        <v>2099.9384530095926</v>
      </c>
      <c r="Z641" s="16">
        <f>((X641*COS('Gearing Calculator'!$C$21))/'Gearing Calculator'!$C$22)/2</f>
        <v>15.813453588308835</v>
      </c>
      <c r="AA641" s="16">
        <f>Y641/'Gearing Calculator'!$C$24</f>
        <v>29.322184094578887</v>
      </c>
      <c r="AB641" s="16">
        <f t="shared" si="72"/>
        <v>182.28327698677964</v>
      </c>
      <c r="AC641" s="16">
        <v>0</v>
      </c>
      <c r="AD641" s="16">
        <v>51.415226335993168</v>
      </c>
      <c r="AE641" s="16">
        <v>638</v>
      </c>
      <c r="AF641" s="16">
        <f>IF(AC641=0,IF(O641=6,INDEX(Acceleration!$V$4:$V$110,MATCH('Track Data'!S641,Acceleration!$K$4:$K$110,0)),IF('Track Data'!O641=5,INDEX(Acceleration!$U$4:$U$110,MATCH('Track Data'!S641,Acceleration!$K$4:$K$110,0)),1)),U641)</f>
        <v>1</v>
      </c>
      <c r="AG641" s="16">
        <f>IF(AC641=0,IF(O641=4,INDEX(Acceleration!$T$4:$T$110,MATCH('Track Data'!S641,Acceleration!$K$4:$K$110,0)),IF('Track Data'!O641=3,INDEX(Acceleration!$S$4:$S$110,MATCH('Track Data'!S641,Acceleration!$K$4:$K$110,0)),'Track Data'!AF641)),'Track Data'!U641)</f>
        <v>5.5089295873629895</v>
      </c>
      <c r="AH641" s="16">
        <f>IF(AC641=0,IF(O641=2,INDEX(Acceleration!$R$4:$R$110,MATCH('Track Data'!S641,Acceleration!$K$4:$K$110,0)),IF('Track Data'!O641=1,INDEX(Acceleration!$Q$4:$Q$110,MATCH('Track Data'!S641,Acceleration!$K$4:$K$110,0)),'Track Data'!AG641)),'Track Data'!U641)</f>
        <v>5.5089295873629895</v>
      </c>
    </row>
    <row r="642" spans="2:34" x14ac:dyDescent="0.25">
      <c r="B642" s="16">
        <v>215.364</v>
      </c>
      <c r="C642" s="16">
        <v>7912</v>
      </c>
      <c r="D642" s="16">
        <v>639</v>
      </c>
      <c r="E642" s="113">
        <v>136</v>
      </c>
      <c r="F642" s="113">
        <v>129.4</v>
      </c>
      <c r="G642" s="113">
        <v>119.1</v>
      </c>
      <c r="H642" s="113">
        <f t="shared" si="68"/>
        <v>33.083333333333329</v>
      </c>
      <c r="I642" s="113">
        <v>15</v>
      </c>
      <c r="J642" s="113">
        <v>40.950000000000003</v>
      </c>
      <c r="K642" s="113">
        <v>52.2</v>
      </c>
      <c r="L642" s="183"/>
      <c r="M642" s="16">
        <v>639</v>
      </c>
      <c r="N642" s="16">
        <f t="shared" si="70"/>
        <v>2.5269092609066537E-2</v>
      </c>
      <c r="O642" s="16">
        <v>3</v>
      </c>
      <c r="P642" s="16">
        <f t="shared" si="66"/>
        <v>10.596205962059623</v>
      </c>
      <c r="Q642" s="16">
        <f t="shared" si="71"/>
        <v>39.574036767794368</v>
      </c>
      <c r="R642" s="113">
        <f t="shared" si="67"/>
        <v>345.36</v>
      </c>
      <c r="S642" s="16">
        <f>IF(S641=15800,15800,ROUND((((Q642*60)/'Gearing Calculator'!$C$14)*'Track Data'!P642),-2))</f>
        <v>12700</v>
      </c>
      <c r="T642" s="16">
        <f t="shared" si="69"/>
        <v>5.5089295873629895</v>
      </c>
      <c r="U642" s="16">
        <f>IF(AC642=100,Braking!$AG$2354,IF(AC642=50,Braking!$AG$1179,IF(AC642=75,Braking!$AG$1767,0)))</f>
        <v>0</v>
      </c>
      <c r="V642" s="16">
        <f>0.5*'Gearing Calculator'!$C$15*'Gearing Calculator'!$C$20*'Gearing Calculator'!$W$20*('Track Data'!Q642^2)</f>
        <v>165.75648822469066</v>
      </c>
      <c r="W642" s="16">
        <f>('Gearing Calculator'!$U$9*'Track Data'!T642)+'Track Data'!V642</f>
        <v>1632.2335443807185</v>
      </c>
      <c r="X642" s="16">
        <f>('Gearing Calculator'!$U$9*9.81)*('Gearing Calculator'!$U$16/'Gearing Calculator'!$C$7)-(('Track Data'!W642)*('Gearing Calculator'!$U$17/'Gearing Calculator'!$C$7))</f>
        <v>511.48354699040738</v>
      </c>
      <c r="Y642" s="16">
        <f>('Gearing Calculator'!$U$9*9.81)*(('Gearing Calculator'!$C$7-'Gearing Calculator'!$U$16)/'Gearing Calculator'!$C$7)+(('Track Data'!W642)*('Gearing Calculator'!$U$17/'Gearing Calculator'!$C$7))</f>
        <v>2099.9384530095926</v>
      </c>
      <c r="Z642" s="16">
        <f>((X642*COS('Gearing Calculator'!$C$21))/'Gearing Calculator'!$C$22)/2</f>
        <v>15.813453588308835</v>
      </c>
      <c r="AA642" s="16">
        <f>Y642/'Gearing Calculator'!$C$24</f>
        <v>29.322184094578887</v>
      </c>
      <c r="AB642" s="16">
        <f t="shared" si="72"/>
        <v>182.28327698677964</v>
      </c>
      <c r="AC642" s="16">
        <v>0</v>
      </c>
      <c r="AD642" s="16">
        <v>51.415226335993168</v>
      </c>
      <c r="AE642" s="16">
        <v>639</v>
      </c>
      <c r="AF642" s="16">
        <f>IF(AC642=0,IF(O642=6,INDEX(Acceleration!$V$4:$V$110,MATCH('Track Data'!S642,Acceleration!$K$4:$K$110,0)),IF('Track Data'!O642=5,INDEX(Acceleration!$U$4:$U$110,MATCH('Track Data'!S642,Acceleration!$K$4:$K$110,0)),1)),U642)</f>
        <v>1</v>
      </c>
      <c r="AG642" s="16">
        <f>IF(AC642=0,IF(O642=4,INDEX(Acceleration!$T$4:$T$110,MATCH('Track Data'!S642,Acceleration!$K$4:$K$110,0)),IF('Track Data'!O642=3,INDEX(Acceleration!$S$4:$S$110,MATCH('Track Data'!S642,Acceleration!$K$4:$K$110,0)),'Track Data'!AF642)),'Track Data'!U642)</f>
        <v>5.5089295873629895</v>
      </c>
      <c r="AH642" s="16">
        <f>IF(AC642=0,IF(O642=2,INDEX(Acceleration!$R$4:$R$110,MATCH('Track Data'!S642,Acceleration!$K$4:$K$110,0)),IF('Track Data'!O642=1,INDEX(Acceleration!$Q$4:$Q$110,MATCH('Track Data'!S642,Acceleration!$K$4:$K$110,0)),'Track Data'!AG642)),'Track Data'!U642)</f>
        <v>5.5089295873629895</v>
      </c>
    </row>
    <row r="643" spans="2:34" x14ac:dyDescent="0.25">
      <c r="B643" s="16">
        <v>215.392</v>
      </c>
      <c r="C643" s="16">
        <v>7913</v>
      </c>
      <c r="D643" s="16">
        <v>640</v>
      </c>
      <c r="E643" s="113">
        <v>137</v>
      </c>
      <c r="F643" s="113">
        <v>129.80000000000001</v>
      </c>
      <c r="G643" s="113">
        <v>119.5</v>
      </c>
      <c r="H643" s="113">
        <f t="shared" si="68"/>
        <v>33.194444444444443</v>
      </c>
      <c r="I643" s="113">
        <v>15.5</v>
      </c>
      <c r="J643" s="113">
        <v>41.08</v>
      </c>
      <c r="K643" s="113">
        <v>52.2</v>
      </c>
      <c r="L643" s="183"/>
      <c r="M643" s="16">
        <v>640</v>
      </c>
      <c r="N643" s="16">
        <f t="shared" si="70"/>
        <v>2.5269092609066537E-2</v>
      </c>
      <c r="O643" s="16">
        <v>3</v>
      </c>
      <c r="P643" s="16">
        <f t="shared" si="66"/>
        <v>10.596205962059623</v>
      </c>
      <c r="Q643" s="16">
        <f t="shared" si="71"/>
        <v>39.574036767794368</v>
      </c>
      <c r="R643" s="113">
        <f t="shared" si="67"/>
        <v>345.36</v>
      </c>
      <c r="S643" s="16">
        <f>IF(S642=15800,15800,ROUND((((Q643*60)/'Gearing Calculator'!$C$14)*'Track Data'!P643),-2))</f>
        <v>12700</v>
      </c>
      <c r="T643" s="16">
        <f t="shared" si="69"/>
        <v>5.5089295873629895</v>
      </c>
      <c r="U643" s="16">
        <f>IF(AC643=100,Braking!$AG$2354,IF(AC643=50,Braking!$AG$1179,IF(AC643=75,Braking!$AG$1767,0)))</f>
        <v>0</v>
      </c>
      <c r="V643" s="16">
        <f>0.5*'Gearing Calculator'!$C$15*'Gearing Calculator'!$C$20*'Gearing Calculator'!$W$20*('Track Data'!Q643^2)</f>
        <v>165.75648822469066</v>
      </c>
      <c r="W643" s="16">
        <f>('Gearing Calculator'!$U$9*'Track Data'!T643)+'Track Data'!V643</f>
        <v>1632.2335443807185</v>
      </c>
      <c r="X643" s="16">
        <f>('Gearing Calculator'!$U$9*9.81)*('Gearing Calculator'!$U$16/'Gearing Calculator'!$C$7)-(('Track Data'!W643)*('Gearing Calculator'!$U$17/'Gearing Calculator'!$C$7))</f>
        <v>511.48354699040738</v>
      </c>
      <c r="Y643" s="16">
        <f>('Gearing Calculator'!$U$9*9.81)*(('Gearing Calculator'!$C$7-'Gearing Calculator'!$U$16)/'Gearing Calculator'!$C$7)+(('Track Data'!W643)*('Gearing Calculator'!$U$17/'Gearing Calculator'!$C$7))</f>
        <v>2099.9384530095926</v>
      </c>
      <c r="Z643" s="16">
        <f>((X643*COS('Gearing Calculator'!$C$21))/'Gearing Calculator'!$C$22)/2</f>
        <v>15.813453588308835</v>
      </c>
      <c r="AA643" s="16">
        <f>Y643/'Gearing Calculator'!$C$24</f>
        <v>29.322184094578887</v>
      </c>
      <c r="AB643" s="16">
        <f t="shared" si="72"/>
        <v>182.28327698677964</v>
      </c>
      <c r="AC643" s="16">
        <v>0</v>
      </c>
      <c r="AD643" s="16">
        <v>51.415226335993168</v>
      </c>
      <c r="AE643" s="16">
        <v>640</v>
      </c>
      <c r="AF643" s="16">
        <f>IF(AC643=0,IF(O643=6,INDEX(Acceleration!$V$4:$V$110,MATCH('Track Data'!S643,Acceleration!$K$4:$K$110,0)),IF('Track Data'!O643=5,INDEX(Acceleration!$U$4:$U$110,MATCH('Track Data'!S643,Acceleration!$K$4:$K$110,0)),1)),U643)</f>
        <v>1</v>
      </c>
      <c r="AG643" s="16">
        <f>IF(AC643=0,IF(O643=4,INDEX(Acceleration!$T$4:$T$110,MATCH('Track Data'!S643,Acceleration!$K$4:$K$110,0)),IF('Track Data'!O643=3,INDEX(Acceleration!$S$4:$S$110,MATCH('Track Data'!S643,Acceleration!$K$4:$K$110,0)),'Track Data'!AF643)),'Track Data'!U643)</f>
        <v>5.5089295873629895</v>
      </c>
      <c r="AH643" s="16">
        <f>IF(AC643=0,IF(O643=2,INDEX(Acceleration!$R$4:$R$110,MATCH('Track Data'!S643,Acceleration!$K$4:$K$110,0)),IF('Track Data'!O643=1,INDEX(Acceleration!$Q$4:$Q$110,MATCH('Track Data'!S643,Acceleration!$K$4:$K$110,0)),'Track Data'!AG643)),'Track Data'!U643)</f>
        <v>5.5089295873629895</v>
      </c>
    </row>
    <row r="644" spans="2:34" x14ac:dyDescent="0.25">
      <c r="B644" s="16">
        <v>215.41900000000001</v>
      </c>
      <c r="C644" s="16">
        <v>7914</v>
      </c>
      <c r="D644" s="16">
        <v>641</v>
      </c>
      <c r="E644" s="113">
        <v>137</v>
      </c>
      <c r="F644" s="113">
        <v>130</v>
      </c>
      <c r="G644" s="113">
        <v>119.7</v>
      </c>
      <c r="H644" s="113">
        <f t="shared" si="68"/>
        <v>33.25</v>
      </c>
      <c r="I644" s="113">
        <v>15.5</v>
      </c>
      <c r="J644" s="113">
        <v>41.96</v>
      </c>
      <c r="K644" s="113">
        <v>52.2</v>
      </c>
      <c r="L644" s="183"/>
      <c r="M644" s="16">
        <v>641</v>
      </c>
      <c r="N644" s="16">
        <f t="shared" si="70"/>
        <v>2.5269092609066537E-2</v>
      </c>
      <c r="O644" s="16">
        <v>3</v>
      </c>
      <c r="P644" s="16">
        <f t="shared" ref="P644:P707" si="73">VLOOKUP(O644,$AJ$5:$AK$10,2,FALSE)</f>
        <v>10.596205962059623</v>
      </c>
      <c r="Q644" s="16">
        <f t="shared" si="71"/>
        <v>39.574036767794368</v>
      </c>
      <c r="R644" s="113">
        <f t="shared" ref="R644:R707" si="74">VLOOKUP(O644,$AJ$5:$AL$10,3,FALSE)</f>
        <v>345.36</v>
      </c>
      <c r="S644" s="16">
        <f>IF(S643=15800,15800,ROUND((((Q644*60)/'Gearing Calculator'!$C$14)*'Track Data'!P644),-2))</f>
        <v>12700</v>
      </c>
      <c r="T644" s="16">
        <f t="shared" si="69"/>
        <v>5.5089295873629895</v>
      </c>
      <c r="U644" s="16">
        <f>IF(AC644=100,Braking!$AG$2354,IF(AC644=50,Braking!$AG$1179,IF(AC644=75,Braking!$AG$1767,0)))</f>
        <v>0</v>
      </c>
      <c r="V644" s="16">
        <f>0.5*'Gearing Calculator'!$C$15*'Gearing Calculator'!$C$20*'Gearing Calculator'!$W$20*('Track Data'!Q644^2)</f>
        <v>165.75648822469066</v>
      </c>
      <c r="W644" s="16">
        <f>('Gearing Calculator'!$U$9*'Track Data'!T644)+'Track Data'!V644</f>
        <v>1632.2335443807185</v>
      </c>
      <c r="X644" s="16">
        <f>('Gearing Calculator'!$U$9*9.81)*('Gearing Calculator'!$U$16/'Gearing Calculator'!$C$7)-(('Track Data'!W644)*('Gearing Calculator'!$U$17/'Gearing Calculator'!$C$7))</f>
        <v>511.48354699040738</v>
      </c>
      <c r="Y644" s="16">
        <f>('Gearing Calculator'!$U$9*9.81)*(('Gearing Calculator'!$C$7-'Gearing Calculator'!$U$16)/'Gearing Calculator'!$C$7)+(('Track Data'!W644)*('Gearing Calculator'!$U$17/'Gearing Calculator'!$C$7))</f>
        <v>2099.9384530095926</v>
      </c>
      <c r="Z644" s="16">
        <f>((X644*COS('Gearing Calculator'!$C$21))/'Gearing Calculator'!$C$22)/2</f>
        <v>15.813453588308835</v>
      </c>
      <c r="AA644" s="16">
        <f>Y644/'Gearing Calculator'!$C$24</f>
        <v>29.322184094578887</v>
      </c>
      <c r="AB644" s="16">
        <f t="shared" si="72"/>
        <v>182.28327698677964</v>
      </c>
      <c r="AC644" s="16">
        <v>0</v>
      </c>
      <c r="AD644" s="16">
        <v>51.415226335993168</v>
      </c>
      <c r="AE644" s="16">
        <v>641</v>
      </c>
      <c r="AF644" s="16">
        <f>IF(AC644=0,IF(O644=6,INDEX(Acceleration!$V$4:$V$110,MATCH('Track Data'!S644,Acceleration!$K$4:$K$110,0)),IF('Track Data'!O644=5,INDEX(Acceleration!$U$4:$U$110,MATCH('Track Data'!S644,Acceleration!$K$4:$K$110,0)),1)),U644)</f>
        <v>1</v>
      </c>
      <c r="AG644" s="16">
        <f>IF(AC644=0,IF(O644=4,INDEX(Acceleration!$T$4:$T$110,MATCH('Track Data'!S644,Acceleration!$K$4:$K$110,0)),IF('Track Data'!O644=3,INDEX(Acceleration!$S$4:$S$110,MATCH('Track Data'!S644,Acceleration!$K$4:$K$110,0)),'Track Data'!AF644)),'Track Data'!U644)</f>
        <v>5.5089295873629895</v>
      </c>
      <c r="AH644" s="16">
        <f>IF(AC644=0,IF(O644=2,INDEX(Acceleration!$R$4:$R$110,MATCH('Track Data'!S644,Acceleration!$K$4:$K$110,0)),IF('Track Data'!O644=1,INDEX(Acceleration!$Q$4:$Q$110,MATCH('Track Data'!S644,Acceleration!$K$4:$K$110,0)),'Track Data'!AG644)),'Track Data'!U644)</f>
        <v>5.5089295873629895</v>
      </c>
    </row>
    <row r="645" spans="2:34" x14ac:dyDescent="0.25">
      <c r="B645" s="16">
        <v>215.447</v>
      </c>
      <c r="C645" s="16">
        <v>7915</v>
      </c>
      <c r="D645" s="16">
        <v>642</v>
      </c>
      <c r="E645" s="113">
        <v>137</v>
      </c>
      <c r="F645" s="113">
        <v>130.4</v>
      </c>
      <c r="G645" s="113">
        <v>120.1</v>
      </c>
      <c r="H645" s="113">
        <f t="shared" ref="H645:H708" si="75">G645/3.6</f>
        <v>33.361111111111107</v>
      </c>
      <c r="I645" s="113">
        <v>15.5</v>
      </c>
      <c r="J645" s="113">
        <v>48.43</v>
      </c>
      <c r="K645" s="113">
        <v>52.2</v>
      </c>
      <c r="L645" s="183"/>
      <c r="M645" s="16">
        <v>642</v>
      </c>
      <c r="N645" s="16">
        <f t="shared" si="70"/>
        <v>2.5269092609066537E-2</v>
      </c>
      <c r="O645" s="16">
        <v>3</v>
      </c>
      <c r="P645" s="16">
        <f t="shared" si="73"/>
        <v>10.596205962059623</v>
      </c>
      <c r="Q645" s="16">
        <f t="shared" si="71"/>
        <v>39.574036767794368</v>
      </c>
      <c r="R645" s="113">
        <f t="shared" si="74"/>
        <v>345.36</v>
      </c>
      <c r="S645" s="16">
        <f>IF(S644=15800,15800,ROUND((((Q645*60)/'Gearing Calculator'!$C$14)*'Track Data'!P645),-2))</f>
        <v>12700</v>
      </c>
      <c r="T645" s="16">
        <f t="shared" ref="T645:T708" si="76">AH645</f>
        <v>5.5089295873629895</v>
      </c>
      <c r="U645" s="16">
        <f>IF(AC645=100,Braking!$AG$2354,IF(AC645=50,Braking!$AG$1179,IF(AC645=75,Braking!$AG$1767,0)))</f>
        <v>0</v>
      </c>
      <c r="V645" s="16">
        <f>0.5*'Gearing Calculator'!$C$15*'Gearing Calculator'!$C$20*'Gearing Calculator'!$W$20*('Track Data'!Q645^2)</f>
        <v>165.75648822469066</v>
      </c>
      <c r="W645" s="16">
        <f>('Gearing Calculator'!$U$9*'Track Data'!T645)+'Track Data'!V645</f>
        <v>1632.2335443807185</v>
      </c>
      <c r="X645" s="16">
        <f>('Gearing Calculator'!$U$9*9.81)*('Gearing Calculator'!$U$16/'Gearing Calculator'!$C$7)-(('Track Data'!W645)*('Gearing Calculator'!$U$17/'Gearing Calculator'!$C$7))</f>
        <v>511.48354699040738</v>
      </c>
      <c r="Y645" s="16">
        <f>('Gearing Calculator'!$U$9*9.81)*(('Gearing Calculator'!$C$7-'Gearing Calculator'!$U$16)/'Gearing Calculator'!$C$7)+(('Track Data'!W645)*('Gearing Calculator'!$U$17/'Gearing Calculator'!$C$7))</f>
        <v>2099.9384530095926</v>
      </c>
      <c r="Z645" s="16">
        <f>((X645*COS('Gearing Calculator'!$C$21))/'Gearing Calculator'!$C$22)/2</f>
        <v>15.813453588308835</v>
      </c>
      <c r="AA645" s="16">
        <f>Y645/'Gearing Calculator'!$C$24</f>
        <v>29.322184094578887</v>
      </c>
      <c r="AB645" s="16">
        <f t="shared" si="72"/>
        <v>182.28327698677964</v>
      </c>
      <c r="AC645" s="16">
        <v>0</v>
      </c>
      <c r="AD645" s="16">
        <v>51.415226335993168</v>
      </c>
      <c r="AE645" s="16">
        <v>642</v>
      </c>
      <c r="AF645" s="16">
        <f>IF(AC645=0,IF(O645=6,INDEX(Acceleration!$V$4:$V$110,MATCH('Track Data'!S645,Acceleration!$K$4:$K$110,0)),IF('Track Data'!O645=5,INDEX(Acceleration!$U$4:$U$110,MATCH('Track Data'!S645,Acceleration!$K$4:$K$110,0)),1)),U645)</f>
        <v>1</v>
      </c>
      <c r="AG645" s="16">
        <f>IF(AC645=0,IF(O645=4,INDEX(Acceleration!$T$4:$T$110,MATCH('Track Data'!S645,Acceleration!$K$4:$K$110,0)),IF('Track Data'!O645=3,INDEX(Acceleration!$S$4:$S$110,MATCH('Track Data'!S645,Acceleration!$K$4:$K$110,0)),'Track Data'!AF645)),'Track Data'!U645)</f>
        <v>5.5089295873629895</v>
      </c>
      <c r="AH645" s="16">
        <f>IF(AC645=0,IF(O645=2,INDEX(Acceleration!$R$4:$R$110,MATCH('Track Data'!S645,Acceleration!$K$4:$K$110,0)),IF('Track Data'!O645=1,INDEX(Acceleration!$Q$4:$Q$110,MATCH('Track Data'!S645,Acceleration!$K$4:$K$110,0)),'Track Data'!AG645)),'Track Data'!U645)</f>
        <v>5.5089295873629895</v>
      </c>
    </row>
    <row r="646" spans="2:34" x14ac:dyDescent="0.25">
      <c r="B646" s="16">
        <v>215.47499999999999</v>
      </c>
      <c r="C646" s="16">
        <v>7916</v>
      </c>
      <c r="D646" s="16">
        <v>643</v>
      </c>
      <c r="E646" s="113">
        <v>137</v>
      </c>
      <c r="F646" s="113">
        <v>130.80000000000001</v>
      </c>
      <c r="G646" s="113">
        <v>120.5</v>
      </c>
      <c r="H646" s="113">
        <f t="shared" si="75"/>
        <v>33.472222222222221</v>
      </c>
      <c r="I646" s="113">
        <v>16</v>
      </c>
      <c r="J646" s="113">
        <v>44.17</v>
      </c>
      <c r="K646" s="113">
        <v>52</v>
      </c>
      <c r="L646" s="183"/>
      <c r="M646" s="16">
        <v>643</v>
      </c>
      <c r="N646" s="16">
        <f t="shared" ref="N646:N709" si="77">1/Q646</f>
        <v>2.5269092609066537E-2</v>
      </c>
      <c r="O646" s="16">
        <v>3</v>
      </c>
      <c r="P646" s="16">
        <f t="shared" si="73"/>
        <v>10.596205962059623</v>
      </c>
      <c r="Q646" s="16">
        <f t="shared" ref="Q646:Q709" si="78">IF(AD645=0,SQRT(Q645^2+(2*T645)),Q645)</f>
        <v>39.574036767794368</v>
      </c>
      <c r="R646" s="113">
        <f t="shared" si="74"/>
        <v>345.36</v>
      </c>
      <c r="S646" s="16">
        <f>IF(S645=15800,15800,ROUND((((Q646*60)/'Gearing Calculator'!$C$14)*'Track Data'!P646),-2))</f>
        <v>12700</v>
      </c>
      <c r="T646" s="16">
        <f t="shared" si="76"/>
        <v>5.5089295873629895</v>
      </c>
      <c r="U646" s="16">
        <f>IF(AC646=100,Braking!$AG$2354,IF(AC646=50,Braking!$AG$1179,IF(AC646=75,Braking!$AG$1767,0)))</f>
        <v>0</v>
      </c>
      <c r="V646" s="16">
        <f>0.5*'Gearing Calculator'!$C$15*'Gearing Calculator'!$C$20*'Gearing Calculator'!$W$20*('Track Data'!Q646^2)</f>
        <v>165.75648822469066</v>
      </c>
      <c r="W646" s="16">
        <f>('Gearing Calculator'!$U$9*'Track Data'!T646)+'Track Data'!V646</f>
        <v>1632.2335443807185</v>
      </c>
      <c r="X646" s="16">
        <f>('Gearing Calculator'!$U$9*9.81)*('Gearing Calculator'!$U$16/'Gearing Calculator'!$C$7)-(('Track Data'!W646)*('Gearing Calculator'!$U$17/'Gearing Calculator'!$C$7))</f>
        <v>511.48354699040738</v>
      </c>
      <c r="Y646" s="16">
        <f>('Gearing Calculator'!$U$9*9.81)*(('Gearing Calculator'!$C$7-'Gearing Calculator'!$U$16)/'Gearing Calculator'!$C$7)+(('Track Data'!W646)*('Gearing Calculator'!$U$17/'Gearing Calculator'!$C$7))</f>
        <v>2099.9384530095926</v>
      </c>
      <c r="Z646" s="16">
        <f>((X646*COS('Gearing Calculator'!$C$21))/'Gearing Calculator'!$C$22)/2</f>
        <v>15.813453588308835</v>
      </c>
      <c r="AA646" s="16">
        <f>Y646/'Gearing Calculator'!$C$24</f>
        <v>29.322184094578887</v>
      </c>
      <c r="AB646" s="16">
        <f t="shared" si="72"/>
        <v>182.28327698677964</v>
      </c>
      <c r="AC646" s="16">
        <v>0</v>
      </c>
      <c r="AD646" s="16">
        <v>51.415226335993168</v>
      </c>
      <c r="AE646" s="16">
        <v>643</v>
      </c>
      <c r="AF646" s="16">
        <f>IF(AC646=0,IF(O646=6,INDEX(Acceleration!$V$4:$V$110,MATCH('Track Data'!S646,Acceleration!$K$4:$K$110,0)),IF('Track Data'!O646=5,INDEX(Acceleration!$U$4:$U$110,MATCH('Track Data'!S646,Acceleration!$K$4:$K$110,0)),1)),U646)</f>
        <v>1</v>
      </c>
      <c r="AG646" s="16">
        <f>IF(AC646=0,IF(O646=4,INDEX(Acceleration!$T$4:$T$110,MATCH('Track Data'!S646,Acceleration!$K$4:$K$110,0)),IF('Track Data'!O646=3,INDEX(Acceleration!$S$4:$S$110,MATCH('Track Data'!S646,Acceleration!$K$4:$K$110,0)),'Track Data'!AF646)),'Track Data'!U646)</f>
        <v>5.5089295873629895</v>
      </c>
      <c r="AH646" s="16">
        <f>IF(AC646=0,IF(O646=2,INDEX(Acceleration!$R$4:$R$110,MATCH('Track Data'!S646,Acceleration!$K$4:$K$110,0)),IF('Track Data'!O646=1,INDEX(Acceleration!$Q$4:$Q$110,MATCH('Track Data'!S646,Acceleration!$K$4:$K$110,0)),'Track Data'!AG646)),'Track Data'!U646)</f>
        <v>5.5089295873629895</v>
      </c>
    </row>
    <row r="647" spans="2:34" x14ac:dyDescent="0.25">
      <c r="B647" s="16">
        <v>215.50200000000001</v>
      </c>
      <c r="C647" s="16">
        <v>7917</v>
      </c>
      <c r="D647" s="16">
        <v>644</v>
      </c>
      <c r="E647" s="113">
        <v>138</v>
      </c>
      <c r="F647" s="113">
        <v>131.19999999999999</v>
      </c>
      <c r="G647" s="113">
        <v>120.9</v>
      </c>
      <c r="H647" s="113">
        <f t="shared" si="75"/>
        <v>33.583333333333336</v>
      </c>
      <c r="I647" s="113">
        <v>16.899999999999999</v>
      </c>
      <c r="J647" s="113">
        <v>48.25</v>
      </c>
      <c r="K647" s="113">
        <v>51.8</v>
      </c>
      <c r="L647" s="183"/>
      <c r="M647" s="16">
        <v>644</v>
      </c>
      <c r="N647" s="16">
        <f t="shared" si="77"/>
        <v>2.5269092609066537E-2</v>
      </c>
      <c r="O647" s="16">
        <v>3</v>
      </c>
      <c r="P647" s="16">
        <f t="shared" si="73"/>
        <v>10.596205962059623</v>
      </c>
      <c r="Q647" s="16">
        <f t="shared" si="78"/>
        <v>39.574036767794368</v>
      </c>
      <c r="R647" s="113">
        <f t="shared" si="74"/>
        <v>345.36</v>
      </c>
      <c r="S647" s="16">
        <f>IF(S646=15800,15800,ROUND((((Q647*60)/'Gearing Calculator'!$C$14)*'Track Data'!P647),-2))</f>
        <v>12700</v>
      </c>
      <c r="T647" s="16">
        <f t="shared" si="76"/>
        <v>5.5089295873629895</v>
      </c>
      <c r="U647" s="16">
        <f>IF(AC647=100,Braking!$AG$2354,IF(AC647=50,Braking!$AG$1179,IF(AC647=75,Braking!$AG$1767,0)))</f>
        <v>0</v>
      </c>
      <c r="V647" s="16">
        <f>0.5*'Gearing Calculator'!$C$15*'Gearing Calculator'!$C$20*'Gearing Calculator'!$W$20*('Track Data'!Q647^2)</f>
        <v>165.75648822469066</v>
      </c>
      <c r="W647" s="16">
        <f>('Gearing Calculator'!$U$9*'Track Data'!T647)+'Track Data'!V647</f>
        <v>1632.2335443807185</v>
      </c>
      <c r="X647" s="16">
        <f>('Gearing Calculator'!$U$9*9.81)*('Gearing Calculator'!$U$16/'Gearing Calculator'!$C$7)-(('Track Data'!W647)*('Gearing Calculator'!$U$17/'Gearing Calculator'!$C$7))</f>
        <v>511.48354699040738</v>
      </c>
      <c r="Y647" s="16">
        <f>('Gearing Calculator'!$U$9*9.81)*(('Gearing Calculator'!$C$7-'Gearing Calculator'!$U$16)/'Gearing Calculator'!$C$7)+(('Track Data'!W647)*('Gearing Calculator'!$U$17/'Gearing Calculator'!$C$7))</f>
        <v>2099.9384530095926</v>
      </c>
      <c r="Z647" s="16">
        <f>((X647*COS('Gearing Calculator'!$C$21))/'Gearing Calculator'!$C$22)/2</f>
        <v>15.813453588308835</v>
      </c>
      <c r="AA647" s="16">
        <f>Y647/'Gearing Calculator'!$C$24</f>
        <v>29.322184094578887</v>
      </c>
      <c r="AB647" s="16">
        <f t="shared" si="72"/>
        <v>182.28327698677964</v>
      </c>
      <c r="AC647" s="16">
        <v>0</v>
      </c>
      <c r="AD647" s="16">
        <v>51.415226335993168</v>
      </c>
      <c r="AE647" s="16">
        <v>644</v>
      </c>
      <c r="AF647" s="16">
        <f>IF(AC647=0,IF(O647=6,INDEX(Acceleration!$V$4:$V$110,MATCH('Track Data'!S647,Acceleration!$K$4:$K$110,0)),IF('Track Data'!O647=5,INDEX(Acceleration!$U$4:$U$110,MATCH('Track Data'!S647,Acceleration!$K$4:$K$110,0)),1)),U647)</f>
        <v>1</v>
      </c>
      <c r="AG647" s="16">
        <f>IF(AC647=0,IF(O647=4,INDEX(Acceleration!$T$4:$T$110,MATCH('Track Data'!S647,Acceleration!$K$4:$K$110,0)),IF('Track Data'!O647=3,INDEX(Acceleration!$S$4:$S$110,MATCH('Track Data'!S647,Acceleration!$K$4:$K$110,0)),'Track Data'!AF647)),'Track Data'!U647)</f>
        <v>5.5089295873629895</v>
      </c>
      <c r="AH647" s="16">
        <f>IF(AC647=0,IF(O647=2,INDEX(Acceleration!$R$4:$R$110,MATCH('Track Data'!S647,Acceleration!$K$4:$K$110,0)),IF('Track Data'!O647=1,INDEX(Acceleration!$Q$4:$Q$110,MATCH('Track Data'!S647,Acceleration!$K$4:$K$110,0)),'Track Data'!AG647)),'Track Data'!U647)</f>
        <v>5.5089295873629895</v>
      </c>
    </row>
    <row r="648" spans="2:34" x14ac:dyDescent="0.25">
      <c r="B648" s="16">
        <v>215.529</v>
      </c>
      <c r="C648" s="16">
        <v>7918</v>
      </c>
      <c r="D648" s="16">
        <v>645</v>
      </c>
      <c r="E648" s="113">
        <v>138</v>
      </c>
      <c r="F648" s="113">
        <v>131.4</v>
      </c>
      <c r="G648" s="113">
        <v>121.1</v>
      </c>
      <c r="H648" s="113">
        <f t="shared" si="75"/>
        <v>33.638888888888886</v>
      </c>
      <c r="I648" s="113">
        <v>16.3</v>
      </c>
      <c r="J648" s="113">
        <v>50.46</v>
      </c>
      <c r="K648" s="113">
        <v>51.7</v>
      </c>
      <c r="L648" s="183"/>
      <c r="M648" s="16">
        <v>645</v>
      </c>
      <c r="N648" s="16">
        <f t="shared" si="77"/>
        <v>2.5269092609066537E-2</v>
      </c>
      <c r="O648" s="16">
        <v>3</v>
      </c>
      <c r="P648" s="16">
        <f t="shared" si="73"/>
        <v>10.596205962059623</v>
      </c>
      <c r="Q648" s="16">
        <f t="shared" si="78"/>
        <v>39.574036767794368</v>
      </c>
      <c r="R648" s="113">
        <f t="shared" si="74"/>
        <v>345.36</v>
      </c>
      <c r="S648" s="16">
        <f>IF(S647=15800,15800,ROUND((((Q648*60)/'Gearing Calculator'!$C$14)*'Track Data'!P648),-2))</f>
        <v>12700</v>
      </c>
      <c r="T648" s="16">
        <f t="shared" si="76"/>
        <v>5.5089295873629895</v>
      </c>
      <c r="U648" s="16">
        <f>IF(AC648=100,Braking!$AG$2354,IF(AC648=50,Braking!$AG$1179,IF(AC648=75,Braking!$AG$1767,0)))</f>
        <v>0</v>
      </c>
      <c r="V648" s="16">
        <f>0.5*'Gearing Calculator'!$C$15*'Gearing Calculator'!$C$20*'Gearing Calculator'!$W$20*('Track Data'!Q648^2)</f>
        <v>165.75648822469066</v>
      </c>
      <c r="W648" s="16">
        <f>('Gearing Calculator'!$U$9*'Track Data'!T648)+'Track Data'!V648</f>
        <v>1632.2335443807185</v>
      </c>
      <c r="X648" s="16">
        <f>('Gearing Calculator'!$U$9*9.81)*('Gearing Calculator'!$U$16/'Gearing Calculator'!$C$7)-(('Track Data'!W648)*('Gearing Calculator'!$U$17/'Gearing Calculator'!$C$7))</f>
        <v>511.48354699040738</v>
      </c>
      <c r="Y648" s="16">
        <f>('Gearing Calculator'!$U$9*9.81)*(('Gearing Calculator'!$C$7-'Gearing Calculator'!$U$16)/'Gearing Calculator'!$C$7)+(('Track Data'!W648)*('Gearing Calculator'!$U$17/'Gearing Calculator'!$C$7))</f>
        <v>2099.9384530095926</v>
      </c>
      <c r="Z648" s="16">
        <f>((X648*COS('Gearing Calculator'!$C$21))/'Gearing Calculator'!$C$22)/2</f>
        <v>15.813453588308835</v>
      </c>
      <c r="AA648" s="16">
        <f>Y648/'Gearing Calculator'!$C$24</f>
        <v>29.322184094578887</v>
      </c>
      <c r="AB648" s="16">
        <f t="shared" si="72"/>
        <v>182.28327698677964</v>
      </c>
      <c r="AC648" s="16">
        <v>0</v>
      </c>
      <c r="AD648" s="16">
        <v>51.415226335993168</v>
      </c>
      <c r="AE648" s="16">
        <v>645</v>
      </c>
      <c r="AF648" s="16">
        <f>IF(AC648=0,IF(O648=6,INDEX(Acceleration!$V$4:$V$110,MATCH('Track Data'!S648,Acceleration!$K$4:$K$110,0)),IF('Track Data'!O648=5,INDEX(Acceleration!$U$4:$U$110,MATCH('Track Data'!S648,Acceleration!$K$4:$K$110,0)),1)),U648)</f>
        <v>1</v>
      </c>
      <c r="AG648" s="16">
        <f>IF(AC648=0,IF(O648=4,INDEX(Acceleration!$T$4:$T$110,MATCH('Track Data'!S648,Acceleration!$K$4:$K$110,0)),IF('Track Data'!O648=3,INDEX(Acceleration!$S$4:$S$110,MATCH('Track Data'!S648,Acceleration!$K$4:$K$110,0)),'Track Data'!AF648)),'Track Data'!U648)</f>
        <v>5.5089295873629895</v>
      </c>
      <c r="AH648" s="16">
        <f>IF(AC648=0,IF(O648=2,INDEX(Acceleration!$R$4:$R$110,MATCH('Track Data'!S648,Acceleration!$K$4:$K$110,0)),IF('Track Data'!O648=1,INDEX(Acceleration!$Q$4:$Q$110,MATCH('Track Data'!S648,Acceleration!$K$4:$K$110,0)),'Track Data'!AG648)),'Track Data'!U648)</f>
        <v>5.5089295873629895</v>
      </c>
    </row>
    <row r="649" spans="2:34" x14ac:dyDescent="0.25">
      <c r="B649" s="16">
        <v>215.55699999999999</v>
      </c>
      <c r="C649" s="16">
        <v>7919</v>
      </c>
      <c r="D649" s="16">
        <v>646</v>
      </c>
      <c r="E649" s="113">
        <v>139</v>
      </c>
      <c r="F649" s="113">
        <v>131.6</v>
      </c>
      <c r="G649" s="113">
        <v>121.5</v>
      </c>
      <c r="H649" s="113">
        <f t="shared" si="75"/>
        <v>33.75</v>
      </c>
      <c r="I649" s="113">
        <v>16.100000000000001</v>
      </c>
      <c r="J649" s="113">
        <v>46.32</v>
      </c>
      <c r="K649" s="113">
        <v>51.5</v>
      </c>
      <c r="L649" s="183"/>
      <c r="M649" s="16">
        <v>646</v>
      </c>
      <c r="N649" s="16">
        <f t="shared" si="77"/>
        <v>2.5269092609066537E-2</v>
      </c>
      <c r="O649" s="16">
        <v>3</v>
      </c>
      <c r="P649" s="16">
        <f t="shared" si="73"/>
        <v>10.596205962059623</v>
      </c>
      <c r="Q649" s="16">
        <f t="shared" si="78"/>
        <v>39.574036767794368</v>
      </c>
      <c r="R649" s="113">
        <f t="shared" si="74"/>
        <v>345.36</v>
      </c>
      <c r="S649" s="16">
        <f>IF(S648=15800,15800,ROUND((((Q649*60)/'Gearing Calculator'!$C$14)*'Track Data'!P649),-2))</f>
        <v>12700</v>
      </c>
      <c r="T649" s="16">
        <f t="shared" si="76"/>
        <v>5.5089295873629895</v>
      </c>
      <c r="U649" s="16">
        <f>IF(AC649=100,Braking!$AG$2354,IF(AC649=50,Braking!$AG$1179,IF(AC649=75,Braking!$AG$1767,0)))</f>
        <v>0</v>
      </c>
      <c r="V649" s="16">
        <f>0.5*'Gearing Calculator'!$C$15*'Gearing Calculator'!$C$20*'Gearing Calculator'!$W$20*('Track Data'!Q649^2)</f>
        <v>165.75648822469066</v>
      </c>
      <c r="W649" s="16">
        <f>('Gearing Calculator'!$U$9*'Track Data'!T649)+'Track Data'!V649</f>
        <v>1632.2335443807185</v>
      </c>
      <c r="X649" s="16">
        <f>('Gearing Calculator'!$U$9*9.81)*('Gearing Calculator'!$U$16/'Gearing Calculator'!$C$7)-(('Track Data'!W649)*('Gearing Calculator'!$U$17/'Gearing Calculator'!$C$7))</f>
        <v>511.48354699040738</v>
      </c>
      <c r="Y649" s="16">
        <f>('Gearing Calculator'!$U$9*9.81)*(('Gearing Calculator'!$C$7-'Gearing Calculator'!$U$16)/'Gearing Calculator'!$C$7)+(('Track Data'!W649)*('Gearing Calculator'!$U$17/'Gearing Calculator'!$C$7))</f>
        <v>2099.9384530095926</v>
      </c>
      <c r="Z649" s="16">
        <f>((X649*COS('Gearing Calculator'!$C$21))/'Gearing Calculator'!$C$22)/2</f>
        <v>15.813453588308835</v>
      </c>
      <c r="AA649" s="16">
        <f>Y649/'Gearing Calculator'!$C$24</f>
        <v>29.322184094578887</v>
      </c>
      <c r="AB649" s="16">
        <f t="shared" si="72"/>
        <v>182.28327698677964</v>
      </c>
      <c r="AC649" s="16">
        <v>0</v>
      </c>
      <c r="AD649" s="16">
        <v>51.415226335993168</v>
      </c>
      <c r="AE649" s="16">
        <v>646</v>
      </c>
      <c r="AF649" s="16">
        <f>IF(AC649=0,IF(O649=6,INDEX(Acceleration!$V$4:$V$110,MATCH('Track Data'!S649,Acceleration!$K$4:$K$110,0)),IF('Track Data'!O649=5,INDEX(Acceleration!$U$4:$U$110,MATCH('Track Data'!S649,Acceleration!$K$4:$K$110,0)),1)),U649)</f>
        <v>1</v>
      </c>
      <c r="AG649" s="16">
        <f>IF(AC649=0,IF(O649=4,INDEX(Acceleration!$T$4:$T$110,MATCH('Track Data'!S649,Acceleration!$K$4:$K$110,0)),IF('Track Data'!O649=3,INDEX(Acceleration!$S$4:$S$110,MATCH('Track Data'!S649,Acceleration!$K$4:$K$110,0)),'Track Data'!AF649)),'Track Data'!U649)</f>
        <v>5.5089295873629895</v>
      </c>
      <c r="AH649" s="16">
        <f>IF(AC649=0,IF(O649=2,INDEX(Acceleration!$R$4:$R$110,MATCH('Track Data'!S649,Acceleration!$K$4:$K$110,0)),IF('Track Data'!O649=1,INDEX(Acceleration!$Q$4:$Q$110,MATCH('Track Data'!S649,Acceleration!$K$4:$K$110,0)),'Track Data'!AG649)),'Track Data'!U649)</f>
        <v>5.5089295873629895</v>
      </c>
    </row>
    <row r="650" spans="2:34" x14ac:dyDescent="0.25">
      <c r="B650" s="16">
        <v>215.584</v>
      </c>
      <c r="C650" s="16">
        <v>7920</v>
      </c>
      <c r="D650" s="16">
        <v>647</v>
      </c>
      <c r="E650" s="113">
        <v>139</v>
      </c>
      <c r="F650" s="113">
        <v>131.9</v>
      </c>
      <c r="G650" s="113">
        <v>121.8</v>
      </c>
      <c r="H650" s="113">
        <f t="shared" si="75"/>
        <v>33.833333333333329</v>
      </c>
      <c r="I650" s="113">
        <v>16.2</v>
      </c>
      <c r="J650" s="113">
        <v>45.07</v>
      </c>
      <c r="K650" s="113">
        <v>51.4</v>
      </c>
      <c r="L650" s="183"/>
      <c r="M650" s="16">
        <v>647</v>
      </c>
      <c r="N650" s="16">
        <f t="shared" si="77"/>
        <v>2.5269092609066537E-2</v>
      </c>
      <c r="O650" s="16">
        <v>3</v>
      </c>
      <c r="P650" s="16">
        <f t="shared" si="73"/>
        <v>10.596205962059623</v>
      </c>
      <c r="Q650" s="16">
        <f t="shared" si="78"/>
        <v>39.574036767794368</v>
      </c>
      <c r="R650" s="113">
        <f t="shared" si="74"/>
        <v>345.36</v>
      </c>
      <c r="S650" s="16">
        <f>IF(S649=15800,15800,ROUND((((Q650*60)/'Gearing Calculator'!$C$14)*'Track Data'!P650),-2))</f>
        <v>12700</v>
      </c>
      <c r="T650" s="16">
        <f t="shared" si="76"/>
        <v>5.5089295873629895</v>
      </c>
      <c r="U650" s="16">
        <f>IF(AC650=100,Braking!$AG$2354,IF(AC650=50,Braking!$AG$1179,IF(AC650=75,Braking!$AG$1767,0)))</f>
        <v>0</v>
      </c>
      <c r="V650" s="16">
        <f>0.5*'Gearing Calculator'!$C$15*'Gearing Calculator'!$C$20*'Gearing Calculator'!$W$20*('Track Data'!Q650^2)</f>
        <v>165.75648822469066</v>
      </c>
      <c r="W650" s="16">
        <f>('Gearing Calculator'!$U$9*'Track Data'!T650)+'Track Data'!V650</f>
        <v>1632.2335443807185</v>
      </c>
      <c r="X650" s="16">
        <f>('Gearing Calculator'!$U$9*9.81)*('Gearing Calculator'!$U$16/'Gearing Calculator'!$C$7)-(('Track Data'!W650)*('Gearing Calculator'!$U$17/'Gearing Calculator'!$C$7))</f>
        <v>511.48354699040738</v>
      </c>
      <c r="Y650" s="16">
        <f>('Gearing Calculator'!$U$9*9.81)*(('Gearing Calculator'!$C$7-'Gearing Calculator'!$U$16)/'Gearing Calculator'!$C$7)+(('Track Data'!W650)*('Gearing Calculator'!$U$17/'Gearing Calculator'!$C$7))</f>
        <v>2099.9384530095926</v>
      </c>
      <c r="Z650" s="16">
        <f>((X650*COS('Gearing Calculator'!$C$21))/'Gearing Calculator'!$C$22)/2</f>
        <v>15.813453588308835</v>
      </c>
      <c r="AA650" s="16">
        <f>Y650/'Gearing Calculator'!$C$24</f>
        <v>29.322184094578887</v>
      </c>
      <c r="AB650" s="16">
        <f t="shared" si="72"/>
        <v>182.28327698677964</v>
      </c>
      <c r="AC650" s="16">
        <v>0</v>
      </c>
      <c r="AD650" s="16">
        <v>51.415226335993168</v>
      </c>
      <c r="AE650" s="16">
        <v>647</v>
      </c>
      <c r="AF650" s="16">
        <f>IF(AC650=0,IF(O650=6,INDEX(Acceleration!$V$4:$V$110,MATCH('Track Data'!S650,Acceleration!$K$4:$K$110,0)),IF('Track Data'!O650=5,INDEX(Acceleration!$U$4:$U$110,MATCH('Track Data'!S650,Acceleration!$K$4:$K$110,0)),1)),U650)</f>
        <v>1</v>
      </c>
      <c r="AG650" s="16">
        <f>IF(AC650=0,IF(O650=4,INDEX(Acceleration!$T$4:$T$110,MATCH('Track Data'!S650,Acceleration!$K$4:$K$110,0)),IF('Track Data'!O650=3,INDEX(Acceleration!$S$4:$S$110,MATCH('Track Data'!S650,Acceleration!$K$4:$K$110,0)),'Track Data'!AF650)),'Track Data'!U650)</f>
        <v>5.5089295873629895</v>
      </c>
      <c r="AH650" s="16">
        <f>IF(AC650=0,IF(O650=2,INDEX(Acceleration!$R$4:$R$110,MATCH('Track Data'!S650,Acceleration!$K$4:$K$110,0)),IF('Track Data'!O650=1,INDEX(Acceleration!$Q$4:$Q$110,MATCH('Track Data'!S650,Acceleration!$K$4:$K$110,0)),'Track Data'!AG650)),'Track Data'!U650)</f>
        <v>5.5089295873629895</v>
      </c>
    </row>
    <row r="651" spans="2:34" x14ac:dyDescent="0.25">
      <c r="B651" s="16">
        <v>215.61099999999999</v>
      </c>
      <c r="C651" s="16">
        <v>7921</v>
      </c>
      <c r="D651" s="16">
        <v>648</v>
      </c>
      <c r="E651" s="113">
        <v>140</v>
      </c>
      <c r="F651" s="113">
        <v>132.30000000000001</v>
      </c>
      <c r="G651" s="113">
        <v>122.2</v>
      </c>
      <c r="H651" s="113">
        <f t="shared" si="75"/>
        <v>33.944444444444443</v>
      </c>
      <c r="I651" s="113">
        <v>14.9</v>
      </c>
      <c r="J651" s="113">
        <v>43.53</v>
      </c>
      <c r="K651" s="113">
        <v>51.4</v>
      </c>
      <c r="L651" s="183"/>
      <c r="M651" s="16">
        <v>648</v>
      </c>
      <c r="N651" s="16">
        <f t="shared" si="77"/>
        <v>2.5269092609066537E-2</v>
      </c>
      <c r="O651" s="16">
        <v>3</v>
      </c>
      <c r="P651" s="16">
        <f t="shared" si="73"/>
        <v>10.596205962059623</v>
      </c>
      <c r="Q651" s="16">
        <f t="shared" si="78"/>
        <v>39.574036767794368</v>
      </c>
      <c r="R651" s="113">
        <f t="shared" si="74"/>
        <v>345.36</v>
      </c>
      <c r="S651" s="16">
        <f>IF(S650=15800,15800,ROUND((((Q651*60)/'Gearing Calculator'!$C$14)*'Track Data'!P651),-2))</f>
        <v>12700</v>
      </c>
      <c r="T651" s="16">
        <f t="shared" si="76"/>
        <v>5.5089295873629895</v>
      </c>
      <c r="U651" s="16">
        <f>IF(AC651=100,Braking!$AG$2354,IF(AC651=50,Braking!$AG$1179,IF(AC651=75,Braking!$AG$1767,0)))</f>
        <v>0</v>
      </c>
      <c r="V651" s="16">
        <f>0.5*'Gearing Calculator'!$C$15*'Gearing Calculator'!$C$20*'Gearing Calculator'!$W$20*('Track Data'!Q651^2)</f>
        <v>165.75648822469066</v>
      </c>
      <c r="W651" s="16">
        <f>('Gearing Calculator'!$U$9*'Track Data'!T651)+'Track Data'!V651</f>
        <v>1632.2335443807185</v>
      </c>
      <c r="X651" s="16">
        <f>('Gearing Calculator'!$U$9*9.81)*('Gearing Calculator'!$U$16/'Gearing Calculator'!$C$7)-(('Track Data'!W651)*('Gearing Calculator'!$U$17/'Gearing Calculator'!$C$7))</f>
        <v>511.48354699040738</v>
      </c>
      <c r="Y651" s="16">
        <f>('Gearing Calculator'!$U$9*9.81)*(('Gearing Calculator'!$C$7-'Gearing Calculator'!$U$16)/'Gearing Calculator'!$C$7)+(('Track Data'!W651)*('Gearing Calculator'!$U$17/'Gearing Calculator'!$C$7))</f>
        <v>2099.9384530095926</v>
      </c>
      <c r="Z651" s="16">
        <f>((X651*COS('Gearing Calculator'!$C$21))/'Gearing Calculator'!$C$22)/2</f>
        <v>15.813453588308835</v>
      </c>
      <c r="AA651" s="16">
        <f>Y651/'Gearing Calculator'!$C$24</f>
        <v>29.322184094578887</v>
      </c>
      <c r="AB651" s="16">
        <f t="shared" si="72"/>
        <v>182.28327698677964</v>
      </c>
      <c r="AC651" s="16">
        <v>0</v>
      </c>
      <c r="AD651" s="16">
        <v>51.415226335993168</v>
      </c>
      <c r="AE651" s="16">
        <v>648</v>
      </c>
      <c r="AF651" s="16">
        <f>IF(AC651=0,IF(O651=6,INDEX(Acceleration!$V$4:$V$110,MATCH('Track Data'!S651,Acceleration!$K$4:$K$110,0)),IF('Track Data'!O651=5,INDEX(Acceleration!$U$4:$U$110,MATCH('Track Data'!S651,Acceleration!$K$4:$K$110,0)),1)),U651)</f>
        <v>1</v>
      </c>
      <c r="AG651" s="16">
        <f>IF(AC651=0,IF(O651=4,INDEX(Acceleration!$T$4:$T$110,MATCH('Track Data'!S651,Acceleration!$K$4:$K$110,0)),IF('Track Data'!O651=3,INDEX(Acceleration!$S$4:$S$110,MATCH('Track Data'!S651,Acceleration!$K$4:$K$110,0)),'Track Data'!AF651)),'Track Data'!U651)</f>
        <v>5.5089295873629895</v>
      </c>
      <c r="AH651" s="16">
        <f>IF(AC651=0,IF(O651=2,INDEX(Acceleration!$R$4:$R$110,MATCH('Track Data'!S651,Acceleration!$K$4:$K$110,0)),IF('Track Data'!O651=1,INDEX(Acceleration!$Q$4:$Q$110,MATCH('Track Data'!S651,Acceleration!$K$4:$K$110,0)),'Track Data'!AG651)),'Track Data'!U651)</f>
        <v>5.5089295873629895</v>
      </c>
    </row>
    <row r="652" spans="2:34" x14ac:dyDescent="0.25">
      <c r="B652" s="16">
        <v>215.63900000000001</v>
      </c>
      <c r="C652" s="16">
        <v>7922</v>
      </c>
      <c r="D652" s="16">
        <v>649</v>
      </c>
      <c r="E652" s="113">
        <v>141</v>
      </c>
      <c r="F652" s="113">
        <v>132.5</v>
      </c>
      <c r="G652" s="113">
        <v>122.5</v>
      </c>
      <c r="H652" s="113">
        <f t="shared" si="75"/>
        <v>34.027777777777779</v>
      </c>
      <c r="I652" s="113">
        <v>13.7</v>
      </c>
      <c r="J652" s="113">
        <v>43.12</v>
      </c>
      <c r="K652" s="113">
        <v>51.5</v>
      </c>
      <c r="L652" s="183"/>
      <c r="M652" s="16">
        <v>649</v>
      </c>
      <c r="N652" s="16">
        <f t="shared" si="77"/>
        <v>2.5269092609066537E-2</v>
      </c>
      <c r="O652" s="16">
        <v>3</v>
      </c>
      <c r="P652" s="16">
        <f t="shared" si="73"/>
        <v>10.596205962059623</v>
      </c>
      <c r="Q652" s="16">
        <f t="shared" si="78"/>
        <v>39.574036767794368</v>
      </c>
      <c r="R652" s="113">
        <f t="shared" si="74"/>
        <v>345.36</v>
      </c>
      <c r="S652" s="16">
        <f>IF(S651=15800,15800,ROUND((((Q652*60)/'Gearing Calculator'!$C$14)*'Track Data'!P652),-2))</f>
        <v>12700</v>
      </c>
      <c r="T652" s="16">
        <f t="shared" si="76"/>
        <v>5.5089295873629895</v>
      </c>
      <c r="U652" s="16">
        <f>IF(AC652=100,Braking!$AG$2354,IF(AC652=50,Braking!$AG$1179,IF(AC652=75,Braking!$AG$1767,0)))</f>
        <v>0</v>
      </c>
      <c r="V652" s="16">
        <f>0.5*'Gearing Calculator'!$C$15*'Gearing Calculator'!$C$20*'Gearing Calculator'!$W$20*('Track Data'!Q652^2)</f>
        <v>165.75648822469066</v>
      </c>
      <c r="W652" s="16">
        <f>('Gearing Calculator'!$U$9*'Track Data'!T652)+'Track Data'!V652</f>
        <v>1632.2335443807185</v>
      </c>
      <c r="X652" s="16">
        <f>('Gearing Calculator'!$U$9*9.81)*('Gearing Calculator'!$U$16/'Gearing Calculator'!$C$7)-(('Track Data'!W652)*('Gearing Calculator'!$U$17/'Gearing Calculator'!$C$7))</f>
        <v>511.48354699040738</v>
      </c>
      <c r="Y652" s="16">
        <f>('Gearing Calculator'!$U$9*9.81)*(('Gearing Calculator'!$C$7-'Gearing Calculator'!$U$16)/'Gearing Calculator'!$C$7)+(('Track Data'!W652)*('Gearing Calculator'!$U$17/'Gearing Calculator'!$C$7))</f>
        <v>2099.9384530095926</v>
      </c>
      <c r="Z652" s="16">
        <f>((X652*COS('Gearing Calculator'!$C$21))/'Gearing Calculator'!$C$22)/2</f>
        <v>15.813453588308835</v>
      </c>
      <c r="AA652" s="16">
        <f>Y652/'Gearing Calculator'!$C$24</f>
        <v>29.322184094578887</v>
      </c>
      <c r="AB652" s="16">
        <f t="shared" si="72"/>
        <v>182.28327698677964</v>
      </c>
      <c r="AC652" s="16">
        <v>0</v>
      </c>
      <c r="AD652" s="16">
        <v>51.415226335993168</v>
      </c>
      <c r="AE652" s="16">
        <v>649</v>
      </c>
      <c r="AF652" s="16">
        <f>IF(AC652=0,IF(O652=6,INDEX(Acceleration!$V$4:$V$110,MATCH('Track Data'!S652,Acceleration!$K$4:$K$110,0)),IF('Track Data'!O652=5,INDEX(Acceleration!$U$4:$U$110,MATCH('Track Data'!S652,Acceleration!$K$4:$K$110,0)),1)),U652)</f>
        <v>1</v>
      </c>
      <c r="AG652" s="16">
        <f>IF(AC652=0,IF(O652=4,INDEX(Acceleration!$T$4:$T$110,MATCH('Track Data'!S652,Acceleration!$K$4:$K$110,0)),IF('Track Data'!O652=3,INDEX(Acceleration!$S$4:$S$110,MATCH('Track Data'!S652,Acceleration!$K$4:$K$110,0)),'Track Data'!AF652)),'Track Data'!U652)</f>
        <v>5.5089295873629895</v>
      </c>
      <c r="AH652" s="16">
        <f>IF(AC652=0,IF(O652=2,INDEX(Acceleration!$R$4:$R$110,MATCH('Track Data'!S652,Acceleration!$K$4:$K$110,0)),IF('Track Data'!O652=1,INDEX(Acceleration!$Q$4:$Q$110,MATCH('Track Data'!S652,Acceleration!$K$4:$K$110,0)),'Track Data'!AG652)),'Track Data'!U652)</f>
        <v>5.5089295873629895</v>
      </c>
    </row>
    <row r="653" spans="2:34" x14ac:dyDescent="0.25">
      <c r="B653" s="16">
        <v>215.666</v>
      </c>
      <c r="C653" s="16">
        <v>7923</v>
      </c>
      <c r="D653" s="16">
        <v>650</v>
      </c>
      <c r="E653" s="113">
        <v>141</v>
      </c>
      <c r="F653" s="113">
        <v>133</v>
      </c>
      <c r="G653" s="113">
        <v>122.8</v>
      </c>
      <c r="H653" s="113">
        <f t="shared" si="75"/>
        <v>34.111111111111107</v>
      </c>
      <c r="I653" s="113">
        <v>12.9</v>
      </c>
      <c r="J653" s="113">
        <v>40.92</v>
      </c>
      <c r="K653" s="113">
        <v>51.6</v>
      </c>
      <c r="L653" s="183"/>
      <c r="M653" s="16">
        <v>650</v>
      </c>
      <c r="N653" s="16">
        <f t="shared" si="77"/>
        <v>2.5269092609066537E-2</v>
      </c>
      <c r="O653" s="16">
        <v>3</v>
      </c>
      <c r="P653" s="16">
        <f t="shared" si="73"/>
        <v>10.596205962059623</v>
      </c>
      <c r="Q653" s="16">
        <f t="shared" si="78"/>
        <v>39.574036767794368</v>
      </c>
      <c r="R653" s="113">
        <f t="shared" si="74"/>
        <v>345.36</v>
      </c>
      <c r="S653" s="16">
        <f>IF(S652=15800,15800,ROUND((((Q653*60)/'Gearing Calculator'!$C$14)*'Track Data'!P653),-2))</f>
        <v>12700</v>
      </c>
      <c r="T653" s="16">
        <f t="shared" si="76"/>
        <v>5.5089295873629895</v>
      </c>
      <c r="U653" s="16">
        <f>IF(AC653=100,Braking!$AG$2354,IF(AC653=50,Braking!$AG$1179,IF(AC653=75,Braking!$AG$1767,0)))</f>
        <v>0</v>
      </c>
      <c r="V653" s="16">
        <f>0.5*'Gearing Calculator'!$C$15*'Gearing Calculator'!$C$20*'Gearing Calculator'!$W$20*('Track Data'!Q653^2)</f>
        <v>165.75648822469066</v>
      </c>
      <c r="W653" s="16">
        <f>('Gearing Calculator'!$U$9*'Track Data'!T653)+'Track Data'!V653</f>
        <v>1632.2335443807185</v>
      </c>
      <c r="X653" s="16">
        <f>('Gearing Calculator'!$U$9*9.81)*('Gearing Calculator'!$U$16/'Gearing Calculator'!$C$7)-(('Track Data'!W653)*('Gearing Calculator'!$U$17/'Gearing Calculator'!$C$7))</f>
        <v>511.48354699040738</v>
      </c>
      <c r="Y653" s="16">
        <f>('Gearing Calculator'!$U$9*9.81)*(('Gearing Calculator'!$C$7-'Gearing Calculator'!$U$16)/'Gearing Calculator'!$C$7)+(('Track Data'!W653)*('Gearing Calculator'!$U$17/'Gearing Calculator'!$C$7))</f>
        <v>2099.9384530095926</v>
      </c>
      <c r="Z653" s="16">
        <f>((X653*COS('Gearing Calculator'!$C$21))/'Gearing Calculator'!$C$22)/2</f>
        <v>15.813453588308835</v>
      </c>
      <c r="AA653" s="16">
        <f>Y653/'Gearing Calculator'!$C$24</f>
        <v>29.322184094578887</v>
      </c>
      <c r="AB653" s="16">
        <f t="shared" si="72"/>
        <v>182.28327698677964</v>
      </c>
      <c r="AC653" s="16">
        <v>0</v>
      </c>
      <c r="AD653" s="16">
        <v>51.415226335993168</v>
      </c>
      <c r="AE653" s="16">
        <v>650</v>
      </c>
      <c r="AF653" s="16">
        <f>IF(AC653=0,IF(O653=6,INDEX(Acceleration!$V$4:$V$110,MATCH('Track Data'!S653,Acceleration!$K$4:$K$110,0)),IF('Track Data'!O653=5,INDEX(Acceleration!$U$4:$U$110,MATCH('Track Data'!S653,Acceleration!$K$4:$K$110,0)),1)),U653)</f>
        <v>1</v>
      </c>
      <c r="AG653" s="16">
        <f>IF(AC653=0,IF(O653=4,INDEX(Acceleration!$T$4:$T$110,MATCH('Track Data'!S653,Acceleration!$K$4:$K$110,0)),IF('Track Data'!O653=3,INDEX(Acceleration!$S$4:$S$110,MATCH('Track Data'!S653,Acceleration!$K$4:$K$110,0)),'Track Data'!AF653)),'Track Data'!U653)</f>
        <v>5.5089295873629895</v>
      </c>
      <c r="AH653" s="16">
        <f>IF(AC653=0,IF(O653=2,INDEX(Acceleration!$R$4:$R$110,MATCH('Track Data'!S653,Acceleration!$K$4:$K$110,0)),IF('Track Data'!O653=1,INDEX(Acceleration!$Q$4:$Q$110,MATCH('Track Data'!S653,Acceleration!$K$4:$K$110,0)),'Track Data'!AG653)),'Track Data'!U653)</f>
        <v>5.5089295873629895</v>
      </c>
    </row>
    <row r="654" spans="2:34" x14ac:dyDescent="0.25">
      <c r="B654" s="16">
        <v>215.69200000000001</v>
      </c>
      <c r="C654" s="16">
        <v>7924</v>
      </c>
      <c r="D654" s="16">
        <v>651</v>
      </c>
      <c r="E654" s="113">
        <v>141</v>
      </c>
      <c r="F654" s="113">
        <v>133.30000000000001</v>
      </c>
      <c r="G654" s="113">
        <v>123.2</v>
      </c>
      <c r="H654" s="113">
        <f t="shared" si="75"/>
        <v>34.222222222222221</v>
      </c>
      <c r="I654" s="113">
        <v>13.5</v>
      </c>
      <c r="J654" s="113">
        <v>41.43</v>
      </c>
      <c r="K654" s="113">
        <v>51.5</v>
      </c>
      <c r="L654" s="183"/>
      <c r="M654" s="16">
        <v>651</v>
      </c>
      <c r="N654" s="16">
        <f t="shared" si="77"/>
        <v>2.5269092609066537E-2</v>
      </c>
      <c r="O654" s="16">
        <v>3</v>
      </c>
      <c r="P654" s="16">
        <f t="shared" si="73"/>
        <v>10.596205962059623</v>
      </c>
      <c r="Q654" s="16">
        <f t="shared" si="78"/>
        <v>39.574036767794368</v>
      </c>
      <c r="R654" s="113">
        <f t="shared" si="74"/>
        <v>345.36</v>
      </c>
      <c r="S654" s="16">
        <f>IF(S653=15800,15800,ROUND((((Q654*60)/'Gearing Calculator'!$C$14)*'Track Data'!P654),-2))</f>
        <v>12700</v>
      </c>
      <c r="T654" s="16">
        <f t="shared" si="76"/>
        <v>5.5089295873629895</v>
      </c>
      <c r="U654" s="16">
        <f>IF(AC654=100,Braking!$AG$2354,IF(AC654=50,Braking!$AG$1179,IF(AC654=75,Braking!$AG$1767,0)))</f>
        <v>0</v>
      </c>
      <c r="V654" s="16">
        <f>0.5*'Gearing Calculator'!$C$15*'Gearing Calculator'!$C$20*'Gearing Calculator'!$W$20*('Track Data'!Q654^2)</f>
        <v>165.75648822469066</v>
      </c>
      <c r="W654" s="16">
        <f>('Gearing Calculator'!$U$9*'Track Data'!T654)+'Track Data'!V654</f>
        <v>1632.2335443807185</v>
      </c>
      <c r="X654" s="16">
        <f>('Gearing Calculator'!$U$9*9.81)*('Gearing Calculator'!$U$16/'Gearing Calculator'!$C$7)-(('Track Data'!W654)*('Gearing Calculator'!$U$17/'Gearing Calculator'!$C$7))</f>
        <v>511.48354699040738</v>
      </c>
      <c r="Y654" s="16">
        <f>('Gearing Calculator'!$U$9*9.81)*(('Gearing Calculator'!$C$7-'Gearing Calculator'!$U$16)/'Gearing Calculator'!$C$7)+(('Track Data'!W654)*('Gearing Calculator'!$U$17/'Gearing Calculator'!$C$7))</f>
        <v>2099.9384530095926</v>
      </c>
      <c r="Z654" s="16">
        <f>((X654*COS('Gearing Calculator'!$C$21))/'Gearing Calculator'!$C$22)/2</f>
        <v>15.813453588308835</v>
      </c>
      <c r="AA654" s="16">
        <f>Y654/'Gearing Calculator'!$C$24</f>
        <v>29.322184094578887</v>
      </c>
      <c r="AB654" s="16">
        <f t="shared" si="72"/>
        <v>182.28327698677964</v>
      </c>
      <c r="AC654" s="16">
        <v>0</v>
      </c>
      <c r="AD654" s="16">
        <v>51.415226335993168</v>
      </c>
      <c r="AE654" s="16">
        <v>651</v>
      </c>
      <c r="AF654" s="16">
        <f>IF(AC654=0,IF(O654=6,INDEX(Acceleration!$V$4:$V$110,MATCH('Track Data'!S654,Acceleration!$K$4:$K$110,0)),IF('Track Data'!O654=5,INDEX(Acceleration!$U$4:$U$110,MATCH('Track Data'!S654,Acceleration!$K$4:$K$110,0)),1)),U654)</f>
        <v>1</v>
      </c>
      <c r="AG654" s="16">
        <f>IF(AC654=0,IF(O654=4,INDEX(Acceleration!$T$4:$T$110,MATCH('Track Data'!S654,Acceleration!$K$4:$K$110,0)),IF('Track Data'!O654=3,INDEX(Acceleration!$S$4:$S$110,MATCH('Track Data'!S654,Acceleration!$K$4:$K$110,0)),'Track Data'!AF654)),'Track Data'!U654)</f>
        <v>5.5089295873629895</v>
      </c>
      <c r="AH654" s="16">
        <f>IF(AC654=0,IF(O654=2,INDEX(Acceleration!$R$4:$R$110,MATCH('Track Data'!S654,Acceleration!$K$4:$K$110,0)),IF('Track Data'!O654=1,INDEX(Acceleration!$Q$4:$Q$110,MATCH('Track Data'!S654,Acceleration!$K$4:$K$110,0)),'Track Data'!AG654)),'Track Data'!U654)</f>
        <v>5.5089295873629895</v>
      </c>
    </row>
    <row r="655" spans="2:34" x14ac:dyDescent="0.25">
      <c r="B655" s="16">
        <v>215.71899999999999</v>
      </c>
      <c r="C655" s="16">
        <v>7925</v>
      </c>
      <c r="D655" s="16">
        <v>652</v>
      </c>
      <c r="E655" s="113">
        <v>140</v>
      </c>
      <c r="F655" s="113">
        <v>133.30000000000001</v>
      </c>
      <c r="G655" s="113">
        <v>123.5</v>
      </c>
      <c r="H655" s="113">
        <f t="shared" si="75"/>
        <v>34.305555555555557</v>
      </c>
      <c r="I655" s="113">
        <v>14.3</v>
      </c>
      <c r="J655" s="113">
        <v>41.45</v>
      </c>
      <c r="K655" s="113">
        <v>51.1</v>
      </c>
      <c r="L655" s="183"/>
      <c r="M655" s="16">
        <v>652</v>
      </c>
      <c r="N655" s="16">
        <f t="shared" si="77"/>
        <v>2.5269092609066537E-2</v>
      </c>
      <c r="O655" s="16">
        <v>3</v>
      </c>
      <c r="P655" s="16">
        <f t="shared" si="73"/>
        <v>10.596205962059623</v>
      </c>
      <c r="Q655" s="16">
        <f t="shared" si="78"/>
        <v>39.574036767794368</v>
      </c>
      <c r="R655" s="113">
        <f t="shared" si="74"/>
        <v>345.36</v>
      </c>
      <c r="S655" s="16">
        <f>IF(S654=15800,15800,ROUND((((Q655*60)/'Gearing Calculator'!$C$14)*'Track Data'!P655),-2))</f>
        <v>12700</v>
      </c>
      <c r="T655" s="16">
        <f t="shared" si="76"/>
        <v>5.5089295873629895</v>
      </c>
      <c r="U655" s="16">
        <f>IF(AC655=100,Braking!$AG$2354,IF(AC655=50,Braking!$AG$1179,IF(AC655=75,Braking!$AG$1767,0)))</f>
        <v>0</v>
      </c>
      <c r="V655" s="16">
        <f>0.5*'Gearing Calculator'!$C$15*'Gearing Calculator'!$C$20*'Gearing Calculator'!$W$20*('Track Data'!Q655^2)</f>
        <v>165.75648822469066</v>
      </c>
      <c r="W655" s="16">
        <f>('Gearing Calculator'!$U$9*'Track Data'!T655)+'Track Data'!V655</f>
        <v>1632.2335443807185</v>
      </c>
      <c r="X655" s="16">
        <f>('Gearing Calculator'!$U$9*9.81)*('Gearing Calculator'!$U$16/'Gearing Calculator'!$C$7)-(('Track Data'!W655)*('Gearing Calculator'!$U$17/'Gearing Calculator'!$C$7))</f>
        <v>511.48354699040738</v>
      </c>
      <c r="Y655" s="16">
        <f>('Gearing Calculator'!$U$9*9.81)*(('Gearing Calculator'!$C$7-'Gearing Calculator'!$U$16)/'Gearing Calculator'!$C$7)+(('Track Data'!W655)*('Gearing Calculator'!$U$17/'Gearing Calculator'!$C$7))</f>
        <v>2099.9384530095926</v>
      </c>
      <c r="Z655" s="16">
        <f>((X655*COS('Gearing Calculator'!$C$21))/'Gearing Calculator'!$C$22)/2</f>
        <v>15.813453588308835</v>
      </c>
      <c r="AA655" s="16">
        <f>Y655/'Gearing Calculator'!$C$24</f>
        <v>29.322184094578887</v>
      </c>
      <c r="AB655" s="16">
        <f t="shared" si="72"/>
        <v>182.28327698677964</v>
      </c>
      <c r="AC655" s="16">
        <v>0</v>
      </c>
      <c r="AD655" s="16">
        <v>51.415226335993168</v>
      </c>
      <c r="AE655" s="16">
        <v>652</v>
      </c>
      <c r="AF655" s="16">
        <f>IF(AC655=0,IF(O655=6,INDEX(Acceleration!$V$4:$V$110,MATCH('Track Data'!S655,Acceleration!$K$4:$K$110,0)),IF('Track Data'!O655=5,INDEX(Acceleration!$U$4:$U$110,MATCH('Track Data'!S655,Acceleration!$K$4:$K$110,0)),1)),U655)</f>
        <v>1</v>
      </c>
      <c r="AG655" s="16">
        <f>IF(AC655=0,IF(O655=4,INDEX(Acceleration!$T$4:$T$110,MATCH('Track Data'!S655,Acceleration!$K$4:$K$110,0)),IF('Track Data'!O655=3,INDEX(Acceleration!$S$4:$S$110,MATCH('Track Data'!S655,Acceleration!$K$4:$K$110,0)),'Track Data'!AF655)),'Track Data'!U655)</f>
        <v>5.5089295873629895</v>
      </c>
      <c r="AH655" s="16">
        <f>IF(AC655=0,IF(O655=2,INDEX(Acceleration!$R$4:$R$110,MATCH('Track Data'!S655,Acceleration!$K$4:$K$110,0)),IF('Track Data'!O655=1,INDEX(Acceleration!$Q$4:$Q$110,MATCH('Track Data'!S655,Acceleration!$K$4:$K$110,0)),'Track Data'!AG655)),'Track Data'!U655)</f>
        <v>5.5089295873629895</v>
      </c>
    </row>
    <row r="656" spans="2:34" x14ac:dyDescent="0.25">
      <c r="B656" s="16">
        <v>215.74600000000001</v>
      </c>
      <c r="C656" s="16">
        <v>7926</v>
      </c>
      <c r="D656" s="16">
        <v>653</v>
      </c>
      <c r="E656" s="113">
        <v>141</v>
      </c>
      <c r="F656" s="113">
        <v>133.4</v>
      </c>
      <c r="G656" s="113">
        <v>123.8</v>
      </c>
      <c r="H656" s="113">
        <f t="shared" si="75"/>
        <v>34.388888888888886</v>
      </c>
      <c r="I656" s="113">
        <v>14.9</v>
      </c>
      <c r="J656" s="113">
        <v>40.799999999999997</v>
      </c>
      <c r="K656" s="113">
        <v>50.7</v>
      </c>
      <c r="L656" s="183"/>
      <c r="M656" s="16">
        <v>653</v>
      </c>
      <c r="N656" s="16">
        <f t="shared" si="77"/>
        <v>2.5269092609066537E-2</v>
      </c>
      <c r="O656" s="16">
        <v>3</v>
      </c>
      <c r="P656" s="16">
        <f t="shared" si="73"/>
        <v>10.596205962059623</v>
      </c>
      <c r="Q656" s="16">
        <f t="shared" si="78"/>
        <v>39.574036767794368</v>
      </c>
      <c r="R656" s="113">
        <f t="shared" si="74"/>
        <v>345.36</v>
      </c>
      <c r="S656" s="16">
        <f>IF(S655=15800,15800,ROUND((((Q656*60)/'Gearing Calculator'!$C$14)*'Track Data'!P656),-2))</f>
        <v>12700</v>
      </c>
      <c r="T656" s="16">
        <f t="shared" si="76"/>
        <v>5.5089295873629895</v>
      </c>
      <c r="U656" s="16">
        <f>IF(AC656=100,Braking!$AG$2354,IF(AC656=50,Braking!$AG$1179,IF(AC656=75,Braking!$AG$1767,0)))</f>
        <v>0</v>
      </c>
      <c r="V656" s="16">
        <f>0.5*'Gearing Calculator'!$C$15*'Gearing Calculator'!$C$20*'Gearing Calculator'!$W$20*('Track Data'!Q656^2)</f>
        <v>165.75648822469066</v>
      </c>
      <c r="W656" s="16">
        <f>('Gearing Calculator'!$U$9*'Track Data'!T656)+'Track Data'!V656</f>
        <v>1632.2335443807185</v>
      </c>
      <c r="X656" s="16">
        <f>('Gearing Calculator'!$U$9*9.81)*('Gearing Calculator'!$U$16/'Gearing Calculator'!$C$7)-(('Track Data'!W656)*('Gearing Calculator'!$U$17/'Gearing Calculator'!$C$7))</f>
        <v>511.48354699040738</v>
      </c>
      <c r="Y656" s="16">
        <f>('Gearing Calculator'!$U$9*9.81)*(('Gearing Calculator'!$C$7-'Gearing Calculator'!$U$16)/'Gearing Calculator'!$C$7)+(('Track Data'!W656)*('Gearing Calculator'!$U$17/'Gearing Calculator'!$C$7))</f>
        <v>2099.9384530095926</v>
      </c>
      <c r="Z656" s="16">
        <f>((X656*COS('Gearing Calculator'!$C$21))/'Gearing Calculator'!$C$22)/2</f>
        <v>15.813453588308835</v>
      </c>
      <c r="AA656" s="16">
        <f>Y656/'Gearing Calculator'!$C$24</f>
        <v>29.322184094578887</v>
      </c>
      <c r="AB656" s="16">
        <f t="shared" si="72"/>
        <v>182.28327698677964</v>
      </c>
      <c r="AC656" s="16">
        <v>0</v>
      </c>
      <c r="AD656" s="16">
        <v>51.415226335993168</v>
      </c>
      <c r="AE656" s="16">
        <v>653</v>
      </c>
      <c r="AF656" s="16">
        <f>IF(AC656=0,IF(O656=6,INDEX(Acceleration!$V$4:$V$110,MATCH('Track Data'!S656,Acceleration!$K$4:$K$110,0)),IF('Track Data'!O656=5,INDEX(Acceleration!$U$4:$U$110,MATCH('Track Data'!S656,Acceleration!$K$4:$K$110,0)),1)),U656)</f>
        <v>1</v>
      </c>
      <c r="AG656" s="16">
        <f>IF(AC656=0,IF(O656=4,INDEX(Acceleration!$T$4:$T$110,MATCH('Track Data'!S656,Acceleration!$K$4:$K$110,0)),IF('Track Data'!O656=3,INDEX(Acceleration!$S$4:$S$110,MATCH('Track Data'!S656,Acceleration!$K$4:$K$110,0)),'Track Data'!AF656)),'Track Data'!U656)</f>
        <v>5.5089295873629895</v>
      </c>
      <c r="AH656" s="16">
        <f>IF(AC656=0,IF(O656=2,INDEX(Acceleration!$R$4:$R$110,MATCH('Track Data'!S656,Acceleration!$K$4:$K$110,0)),IF('Track Data'!O656=1,INDEX(Acceleration!$Q$4:$Q$110,MATCH('Track Data'!S656,Acceleration!$K$4:$K$110,0)),'Track Data'!AG656)),'Track Data'!U656)</f>
        <v>5.5089295873629895</v>
      </c>
    </row>
    <row r="657" spans="2:34" x14ac:dyDescent="0.25">
      <c r="B657" s="16">
        <v>215.773</v>
      </c>
      <c r="C657" s="16">
        <v>7927</v>
      </c>
      <c r="D657" s="16">
        <v>654</v>
      </c>
      <c r="E657" s="113">
        <v>141</v>
      </c>
      <c r="F657" s="113">
        <v>133.6</v>
      </c>
      <c r="G657" s="113">
        <v>124.2</v>
      </c>
      <c r="H657" s="113">
        <f t="shared" si="75"/>
        <v>34.5</v>
      </c>
      <c r="I657" s="113">
        <v>14.6</v>
      </c>
      <c r="J657" s="113">
        <v>38.619999999999997</v>
      </c>
      <c r="K657" s="113">
        <v>50.4</v>
      </c>
      <c r="L657" s="183"/>
      <c r="M657" s="16">
        <v>654</v>
      </c>
      <c r="N657" s="16">
        <f t="shared" si="77"/>
        <v>2.5269092609066537E-2</v>
      </c>
      <c r="O657" s="16">
        <v>3</v>
      </c>
      <c r="P657" s="16">
        <f t="shared" si="73"/>
        <v>10.596205962059623</v>
      </c>
      <c r="Q657" s="16">
        <f t="shared" si="78"/>
        <v>39.574036767794368</v>
      </c>
      <c r="R657" s="113">
        <f t="shared" si="74"/>
        <v>345.36</v>
      </c>
      <c r="S657" s="16">
        <f>IF(S656=15800,15800,ROUND((((Q657*60)/'Gearing Calculator'!$C$14)*'Track Data'!P657),-2))</f>
        <v>12700</v>
      </c>
      <c r="T657" s="16">
        <f t="shared" si="76"/>
        <v>5.5089295873629895</v>
      </c>
      <c r="U657" s="16">
        <f>IF(AC657=100,Braking!$AG$2354,IF(AC657=50,Braking!$AG$1179,IF(AC657=75,Braking!$AG$1767,0)))</f>
        <v>0</v>
      </c>
      <c r="V657" s="16">
        <f>0.5*'Gearing Calculator'!$C$15*'Gearing Calculator'!$C$20*'Gearing Calculator'!$W$20*('Track Data'!Q657^2)</f>
        <v>165.75648822469066</v>
      </c>
      <c r="W657" s="16">
        <f>('Gearing Calculator'!$U$9*'Track Data'!T657)+'Track Data'!V657</f>
        <v>1632.2335443807185</v>
      </c>
      <c r="X657" s="16">
        <f>('Gearing Calculator'!$U$9*9.81)*('Gearing Calculator'!$U$16/'Gearing Calculator'!$C$7)-(('Track Data'!W657)*('Gearing Calculator'!$U$17/'Gearing Calculator'!$C$7))</f>
        <v>511.48354699040738</v>
      </c>
      <c r="Y657" s="16">
        <f>('Gearing Calculator'!$U$9*9.81)*(('Gearing Calculator'!$C$7-'Gearing Calculator'!$U$16)/'Gearing Calculator'!$C$7)+(('Track Data'!W657)*('Gearing Calculator'!$U$17/'Gearing Calculator'!$C$7))</f>
        <v>2099.9384530095926</v>
      </c>
      <c r="Z657" s="16">
        <f>((X657*COS('Gearing Calculator'!$C$21))/'Gearing Calculator'!$C$22)/2</f>
        <v>15.813453588308835</v>
      </c>
      <c r="AA657" s="16">
        <f>Y657/'Gearing Calculator'!$C$24</f>
        <v>29.322184094578887</v>
      </c>
      <c r="AB657" s="16">
        <f t="shared" si="72"/>
        <v>182.28327698677964</v>
      </c>
      <c r="AC657" s="16">
        <v>0</v>
      </c>
      <c r="AD657" s="16">
        <v>51.415226335993168</v>
      </c>
      <c r="AE657" s="16">
        <v>654</v>
      </c>
      <c r="AF657" s="16">
        <f>IF(AC657=0,IF(O657=6,INDEX(Acceleration!$V$4:$V$110,MATCH('Track Data'!S657,Acceleration!$K$4:$K$110,0)),IF('Track Data'!O657=5,INDEX(Acceleration!$U$4:$U$110,MATCH('Track Data'!S657,Acceleration!$K$4:$K$110,0)),1)),U657)</f>
        <v>1</v>
      </c>
      <c r="AG657" s="16">
        <f>IF(AC657=0,IF(O657=4,INDEX(Acceleration!$T$4:$T$110,MATCH('Track Data'!S657,Acceleration!$K$4:$K$110,0)),IF('Track Data'!O657=3,INDEX(Acceleration!$S$4:$S$110,MATCH('Track Data'!S657,Acceleration!$K$4:$K$110,0)),'Track Data'!AF657)),'Track Data'!U657)</f>
        <v>5.5089295873629895</v>
      </c>
      <c r="AH657" s="16">
        <f>IF(AC657=0,IF(O657=2,INDEX(Acceleration!$R$4:$R$110,MATCH('Track Data'!S657,Acceleration!$K$4:$K$110,0)),IF('Track Data'!O657=1,INDEX(Acceleration!$Q$4:$Q$110,MATCH('Track Data'!S657,Acceleration!$K$4:$K$110,0)),'Track Data'!AG657)),'Track Data'!U657)</f>
        <v>5.5089295873629895</v>
      </c>
    </row>
    <row r="658" spans="2:34" x14ac:dyDescent="0.25">
      <c r="B658" s="16">
        <v>215.8</v>
      </c>
      <c r="C658" s="16">
        <v>7928</v>
      </c>
      <c r="D658" s="16">
        <v>655</v>
      </c>
      <c r="E658" s="113">
        <v>142</v>
      </c>
      <c r="F658" s="113">
        <v>133.9</v>
      </c>
      <c r="G658" s="113">
        <v>124.6</v>
      </c>
      <c r="H658" s="113">
        <f t="shared" si="75"/>
        <v>34.611111111111107</v>
      </c>
      <c r="I658" s="113">
        <v>14.1</v>
      </c>
      <c r="J658" s="113">
        <v>38.56</v>
      </c>
      <c r="K658" s="113">
        <v>50.4</v>
      </c>
      <c r="L658" s="183"/>
      <c r="M658" s="16">
        <v>655</v>
      </c>
      <c r="N658" s="16">
        <f t="shared" si="77"/>
        <v>2.5269092609066537E-2</v>
      </c>
      <c r="O658" s="16">
        <v>3</v>
      </c>
      <c r="P658" s="16">
        <f t="shared" si="73"/>
        <v>10.596205962059623</v>
      </c>
      <c r="Q658" s="16">
        <f t="shared" si="78"/>
        <v>39.574036767794368</v>
      </c>
      <c r="R658" s="113">
        <f t="shared" si="74"/>
        <v>345.36</v>
      </c>
      <c r="S658" s="16">
        <f>IF(S657=15800,15800,ROUND((((Q658*60)/'Gearing Calculator'!$C$14)*'Track Data'!P658),-2))</f>
        <v>12700</v>
      </c>
      <c r="T658" s="16">
        <f t="shared" si="76"/>
        <v>5.5089295873629895</v>
      </c>
      <c r="U658" s="16">
        <f>IF(AC658=100,Braking!$AG$2354,IF(AC658=50,Braking!$AG$1179,IF(AC658=75,Braking!$AG$1767,0)))</f>
        <v>0</v>
      </c>
      <c r="V658" s="16">
        <f>0.5*'Gearing Calculator'!$C$15*'Gearing Calculator'!$C$20*'Gearing Calculator'!$W$20*('Track Data'!Q658^2)</f>
        <v>165.75648822469066</v>
      </c>
      <c r="W658" s="16">
        <f>('Gearing Calculator'!$U$9*'Track Data'!T658)+'Track Data'!V658</f>
        <v>1632.2335443807185</v>
      </c>
      <c r="X658" s="16">
        <f>('Gearing Calculator'!$U$9*9.81)*('Gearing Calculator'!$U$16/'Gearing Calculator'!$C$7)-(('Track Data'!W658)*('Gearing Calculator'!$U$17/'Gearing Calculator'!$C$7))</f>
        <v>511.48354699040738</v>
      </c>
      <c r="Y658" s="16">
        <f>('Gearing Calculator'!$U$9*9.81)*(('Gearing Calculator'!$C$7-'Gearing Calculator'!$U$16)/'Gearing Calculator'!$C$7)+(('Track Data'!W658)*('Gearing Calculator'!$U$17/'Gearing Calculator'!$C$7))</f>
        <v>2099.9384530095926</v>
      </c>
      <c r="Z658" s="16">
        <f>((X658*COS('Gearing Calculator'!$C$21))/'Gearing Calculator'!$C$22)/2</f>
        <v>15.813453588308835</v>
      </c>
      <c r="AA658" s="16">
        <f>Y658/'Gearing Calculator'!$C$24</f>
        <v>29.322184094578887</v>
      </c>
      <c r="AB658" s="16">
        <f t="shared" si="72"/>
        <v>182.28327698677964</v>
      </c>
      <c r="AC658" s="16">
        <v>0</v>
      </c>
      <c r="AD658" s="16">
        <v>51.415226335993168</v>
      </c>
      <c r="AE658" s="16">
        <v>655</v>
      </c>
      <c r="AF658" s="16">
        <f>IF(AC658=0,IF(O658=6,INDEX(Acceleration!$V$4:$V$110,MATCH('Track Data'!S658,Acceleration!$K$4:$K$110,0)),IF('Track Data'!O658=5,INDEX(Acceleration!$U$4:$U$110,MATCH('Track Data'!S658,Acceleration!$K$4:$K$110,0)),1)),U658)</f>
        <v>1</v>
      </c>
      <c r="AG658" s="16">
        <f>IF(AC658=0,IF(O658=4,INDEX(Acceleration!$T$4:$T$110,MATCH('Track Data'!S658,Acceleration!$K$4:$K$110,0)),IF('Track Data'!O658=3,INDEX(Acceleration!$S$4:$S$110,MATCH('Track Data'!S658,Acceleration!$K$4:$K$110,0)),'Track Data'!AF658)),'Track Data'!U658)</f>
        <v>5.5089295873629895</v>
      </c>
      <c r="AH658" s="16">
        <f>IF(AC658=0,IF(O658=2,INDEX(Acceleration!$R$4:$R$110,MATCH('Track Data'!S658,Acceleration!$K$4:$K$110,0)),IF('Track Data'!O658=1,INDEX(Acceleration!$Q$4:$Q$110,MATCH('Track Data'!S658,Acceleration!$K$4:$K$110,0)),'Track Data'!AG658)),'Track Data'!U658)</f>
        <v>5.5089295873629895</v>
      </c>
    </row>
    <row r="659" spans="2:34" x14ac:dyDescent="0.25">
      <c r="B659" s="16">
        <v>215.827</v>
      </c>
      <c r="C659" s="16">
        <v>7929</v>
      </c>
      <c r="D659" s="16">
        <v>656</v>
      </c>
      <c r="E659" s="113">
        <v>142</v>
      </c>
      <c r="F659" s="113">
        <v>134.30000000000001</v>
      </c>
      <c r="G659" s="113">
        <v>124.8</v>
      </c>
      <c r="H659" s="113">
        <f t="shared" si="75"/>
        <v>34.666666666666664</v>
      </c>
      <c r="I659" s="113">
        <v>13.5</v>
      </c>
      <c r="J659" s="113">
        <v>37.869999999999997</v>
      </c>
      <c r="K659" s="113">
        <v>50.4</v>
      </c>
      <c r="L659" s="183"/>
      <c r="M659" s="16">
        <v>656</v>
      </c>
      <c r="N659" s="16">
        <f t="shared" si="77"/>
        <v>2.5269092609066537E-2</v>
      </c>
      <c r="O659" s="16">
        <v>3</v>
      </c>
      <c r="P659" s="16">
        <f t="shared" si="73"/>
        <v>10.596205962059623</v>
      </c>
      <c r="Q659" s="16">
        <f t="shared" si="78"/>
        <v>39.574036767794368</v>
      </c>
      <c r="R659" s="113">
        <f t="shared" si="74"/>
        <v>345.36</v>
      </c>
      <c r="S659" s="16">
        <f>IF(S658=15800,15800,ROUND((((Q659*60)/'Gearing Calculator'!$C$14)*'Track Data'!P659),-2))</f>
        <v>12700</v>
      </c>
      <c r="T659" s="16">
        <f t="shared" si="76"/>
        <v>5.5089295873629895</v>
      </c>
      <c r="U659" s="16">
        <f>IF(AC659=100,Braking!$AG$2354,IF(AC659=50,Braking!$AG$1179,IF(AC659=75,Braking!$AG$1767,0)))</f>
        <v>0</v>
      </c>
      <c r="V659" s="16">
        <f>0.5*'Gearing Calculator'!$C$15*'Gearing Calculator'!$C$20*'Gearing Calculator'!$W$20*('Track Data'!Q659^2)</f>
        <v>165.75648822469066</v>
      </c>
      <c r="W659" s="16">
        <f>('Gearing Calculator'!$U$9*'Track Data'!T659)+'Track Data'!V659</f>
        <v>1632.2335443807185</v>
      </c>
      <c r="X659" s="16">
        <f>('Gearing Calculator'!$U$9*9.81)*('Gearing Calculator'!$U$16/'Gearing Calculator'!$C$7)-(('Track Data'!W659)*('Gearing Calculator'!$U$17/'Gearing Calculator'!$C$7))</f>
        <v>511.48354699040738</v>
      </c>
      <c r="Y659" s="16">
        <f>('Gearing Calculator'!$U$9*9.81)*(('Gearing Calculator'!$C$7-'Gearing Calculator'!$U$16)/'Gearing Calculator'!$C$7)+(('Track Data'!W659)*('Gearing Calculator'!$U$17/'Gearing Calculator'!$C$7))</f>
        <v>2099.9384530095926</v>
      </c>
      <c r="Z659" s="16">
        <f>((X659*COS('Gearing Calculator'!$C$21))/'Gearing Calculator'!$C$22)/2</f>
        <v>15.813453588308835</v>
      </c>
      <c r="AA659" s="16">
        <f>Y659/'Gearing Calculator'!$C$24</f>
        <v>29.322184094578887</v>
      </c>
      <c r="AB659" s="16">
        <f t="shared" si="72"/>
        <v>182.28327698677964</v>
      </c>
      <c r="AC659" s="16">
        <v>0</v>
      </c>
      <c r="AD659" s="16">
        <v>51.415226335993168</v>
      </c>
      <c r="AE659" s="16">
        <v>656</v>
      </c>
      <c r="AF659" s="16">
        <f>IF(AC659=0,IF(O659=6,INDEX(Acceleration!$V$4:$V$110,MATCH('Track Data'!S659,Acceleration!$K$4:$K$110,0)),IF('Track Data'!O659=5,INDEX(Acceleration!$U$4:$U$110,MATCH('Track Data'!S659,Acceleration!$K$4:$K$110,0)),1)),U659)</f>
        <v>1</v>
      </c>
      <c r="AG659" s="16">
        <f>IF(AC659=0,IF(O659=4,INDEX(Acceleration!$T$4:$T$110,MATCH('Track Data'!S659,Acceleration!$K$4:$K$110,0)),IF('Track Data'!O659=3,INDEX(Acceleration!$S$4:$S$110,MATCH('Track Data'!S659,Acceleration!$K$4:$K$110,0)),'Track Data'!AF659)),'Track Data'!U659)</f>
        <v>5.5089295873629895</v>
      </c>
      <c r="AH659" s="16">
        <f>IF(AC659=0,IF(O659=2,INDEX(Acceleration!$R$4:$R$110,MATCH('Track Data'!S659,Acceleration!$K$4:$K$110,0)),IF('Track Data'!O659=1,INDEX(Acceleration!$Q$4:$Q$110,MATCH('Track Data'!S659,Acceleration!$K$4:$K$110,0)),'Track Data'!AG659)),'Track Data'!U659)</f>
        <v>5.5089295873629895</v>
      </c>
    </row>
    <row r="660" spans="2:34" x14ac:dyDescent="0.25">
      <c r="B660" s="16">
        <v>215.85400000000001</v>
      </c>
      <c r="C660" s="16">
        <v>7930</v>
      </c>
      <c r="D660" s="16">
        <v>657</v>
      </c>
      <c r="E660" s="113">
        <v>142</v>
      </c>
      <c r="F660" s="113">
        <v>134.69999999999999</v>
      </c>
      <c r="G660" s="113">
        <v>125.1</v>
      </c>
      <c r="H660" s="113">
        <f t="shared" si="75"/>
        <v>34.75</v>
      </c>
      <c r="I660" s="113">
        <v>12.8</v>
      </c>
      <c r="J660" s="113">
        <v>37.020000000000003</v>
      </c>
      <c r="K660" s="113">
        <v>51.1</v>
      </c>
      <c r="L660" s="183"/>
      <c r="M660" s="16">
        <v>657</v>
      </c>
      <c r="N660" s="16">
        <f t="shared" si="77"/>
        <v>2.5269092609066537E-2</v>
      </c>
      <c r="O660" s="16">
        <v>3</v>
      </c>
      <c r="P660" s="16">
        <f t="shared" si="73"/>
        <v>10.596205962059623</v>
      </c>
      <c r="Q660" s="16">
        <f t="shared" si="78"/>
        <v>39.574036767794368</v>
      </c>
      <c r="R660" s="113">
        <f t="shared" si="74"/>
        <v>345.36</v>
      </c>
      <c r="S660" s="16">
        <f>IF(S659=15800,15800,ROUND((((Q660*60)/'Gearing Calculator'!$C$14)*'Track Data'!P660),-2))</f>
        <v>12700</v>
      </c>
      <c r="T660" s="16">
        <f t="shared" si="76"/>
        <v>5.5089295873629895</v>
      </c>
      <c r="U660" s="16">
        <f>IF(AC660=100,Braking!$AG$2354,IF(AC660=50,Braking!$AG$1179,IF(AC660=75,Braking!$AG$1767,0)))</f>
        <v>0</v>
      </c>
      <c r="V660" s="16">
        <f>0.5*'Gearing Calculator'!$C$15*'Gearing Calculator'!$C$20*'Gearing Calculator'!$W$20*('Track Data'!Q660^2)</f>
        <v>165.75648822469066</v>
      </c>
      <c r="W660" s="16">
        <f>('Gearing Calculator'!$U$9*'Track Data'!T660)+'Track Data'!V660</f>
        <v>1632.2335443807185</v>
      </c>
      <c r="X660" s="16">
        <f>('Gearing Calculator'!$U$9*9.81)*('Gearing Calculator'!$U$16/'Gearing Calculator'!$C$7)-(('Track Data'!W660)*('Gearing Calculator'!$U$17/'Gearing Calculator'!$C$7))</f>
        <v>511.48354699040738</v>
      </c>
      <c r="Y660" s="16">
        <f>('Gearing Calculator'!$U$9*9.81)*(('Gearing Calculator'!$C$7-'Gearing Calculator'!$U$16)/'Gearing Calculator'!$C$7)+(('Track Data'!W660)*('Gearing Calculator'!$U$17/'Gearing Calculator'!$C$7))</f>
        <v>2099.9384530095926</v>
      </c>
      <c r="Z660" s="16">
        <f>((X660*COS('Gearing Calculator'!$C$21))/'Gearing Calculator'!$C$22)/2</f>
        <v>15.813453588308835</v>
      </c>
      <c r="AA660" s="16">
        <f>Y660/'Gearing Calculator'!$C$24</f>
        <v>29.322184094578887</v>
      </c>
      <c r="AB660" s="16">
        <f t="shared" si="72"/>
        <v>182.28327698677964</v>
      </c>
      <c r="AC660" s="16">
        <v>0</v>
      </c>
      <c r="AD660" s="16">
        <v>51.415226335993168</v>
      </c>
      <c r="AE660" s="16">
        <v>657</v>
      </c>
      <c r="AF660" s="16">
        <f>IF(AC660=0,IF(O660=6,INDEX(Acceleration!$V$4:$V$110,MATCH('Track Data'!S660,Acceleration!$K$4:$K$110,0)),IF('Track Data'!O660=5,INDEX(Acceleration!$U$4:$U$110,MATCH('Track Data'!S660,Acceleration!$K$4:$K$110,0)),1)),U660)</f>
        <v>1</v>
      </c>
      <c r="AG660" s="16">
        <f>IF(AC660=0,IF(O660=4,INDEX(Acceleration!$T$4:$T$110,MATCH('Track Data'!S660,Acceleration!$K$4:$K$110,0)),IF('Track Data'!O660=3,INDEX(Acceleration!$S$4:$S$110,MATCH('Track Data'!S660,Acceleration!$K$4:$K$110,0)),'Track Data'!AF660)),'Track Data'!U660)</f>
        <v>5.5089295873629895</v>
      </c>
      <c r="AH660" s="16">
        <f>IF(AC660=0,IF(O660=2,INDEX(Acceleration!$R$4:$R$110,MATCH('Track Data'!S660,Acceleration!$K$4:$K$110,0)),IF('Track Data'!O660=1,INDEX(Acceleration!$Q$4:$Q$110,MATCH('Track Data'!S660,Acceleration!$K$4:$K$110,0)),'Track Data'!AG660)),'Track Data'!U660)</f>
        <v>5.5089295873629895</v>
      </c>
    </row>
    <row r="661" spans="2:34" x14ac:dyDescent="0.25">
      <c r="B661" s="16">
        <v>215.881</v>
      </c>
      <c r="C661" s="16">
        <v>7931</v>
      </c>
      <c r="D661" s="16">
        <v>658</v>
      </c>
      <c r="E661" s="113">
        <v>143</v>
      </c>
      <c r="F661" s="113">
        <v>135.1</v>
      </c>
      <c r="G661" s="113">
        <v>125.4</v>
      </c>
      <c r="H661" s="113">
        <f t="shared" si="75"/>
        <v>34.833333333333336</v>
      </c>
      <c r="I661" s="113">
        <v>11.3</v>
      </c>
      <c r="J661" s="113">
        <v>36.090000000000003</v>
      </c>
      <c r="K661" s="113">
        <v>52.5</v>
      </c>
      <c r="L661" s="183"/>
      <c r="M661" s="16">
        <v>658</v>
      </c>
      <c r="N661" s="16">
        <f t="shared" si="77"/>
        <v>2.5269092609066537E-2</v>
      </c>
      <c r="O661" s="16">
        <v>3</v>
      </c>
      <c r="P661" s="16">
        <f t="shared" si="73"/>
        <v>10.596205962059623</v>
      </c>
      <c r="Q661" s="16">
        <f t="shared" si="78"/>
        <v>39.574036767794368</v>
      </c>
      <c r="R661" s="113">
        <f t="shared" si="74"/>
        <v>345.36</v>
      </c>
      <c r="S661" s="16">
        <f>IF(S660=15800,15800,ROUND((((Q661*60)/'Gearing Calculator'!$C$14)*'Track Data'!P661),-2))</f>
        <v>12700</v>
      </c>
      <c r="T661" s="16">
        <f t="shared" si="76"/>
        <v>5.5089295873629895</v>
      </c>
      <c r="U661" s="16">
        <f>IF(AC661=100,Braking!$AG$2354,IF(AC661=50,Braking!$AG$1179,IF(AC661=75,Braking!$AG$1767,0)))</f>
        <v>0</v>
      </c>
      <c r="V661" s="16">
        <f>0.5*'Gearing Calculator'!$C$15*'Gearing Calculator'!$C$20*'Gearing Calculator'!$W$20*('Track Data'!Q661^2)</f>
        <v>165.75648822469066</v>
      </c>
      <c r="W661" s="16">
        <f>('Gearing Calculator'!$U$9*'Track Data'!T661)+'Track Data'!V661</f>
        <v>1632.2335443807185</v>
      </c>
      <c r="X661" s="16">
        <f>('Gearing Calculator'!$U$9*9.81)*('Gearing Calculator'!$U$16/'Gearing Calculator'!$C$7)-(('Track Data'!W661)*('Gearing Calculator'!$U$17/'Gearing Calculator'!$C$7))</f>
        <v>511.48354699040738</v>
      </c>
      <c r="Y661" s="16">
        <f>('Gearing Calculator'!$U$9*9.81)*(('Gearing Calculator'!$C$7-'Gearing Calculator'!$U$16)/'Gearing Calculator'!$C$7)+(('Track Data'!W661)*('Gearing Calculator'!$U$17/'Gearing Calculator'!$C$7))</f>
        <v>2099.9384530095926</v>
      </c>
      <c r="Z661" s="16">
        <f>((X661*COS('Gearing Calculator'!$C$21))/'Gearing Calculator'!$C$22)/2</f>
        <v>15.813453588308835</v>
      </c>
      <c r="AA661" s="16">
        <f>Y661/'Gearing Calculator'!$C$24</f>
        <v>29.322184094578887</v>
      </c>
      <c r="AB661" s="16">
        <f t="shared" si="72"/>
        <v>182.28327698677964</v>
      </c>
      <c r="AC661" s="16">
        <v>0</v>
      </c>
      <c r="AD661" s="16">
        <v>51.415226335993168</v>
      </c>
      <c r="AE661" s="16">
        <v>658</v>
      </c>
      <c r="AF661" s="16">
        <f>IF(AC661=0,IF(O661=6,INDEX(Acceleration!$V$4:$V$110,MATCH('Track Data'!S661,Acceleration!$K$4:$K$110,0)),IF('Track Data'!O661=5,INDEX(Acceleration!$U$4:$U$110,MATCH('Track Data'!S661,Acceleration!$K$4:$K$110,0)),1)),U661)</f>
        <v>1</v>
      </c>
      <c r="AG661" s="16">
        <f>IF(AC661=0,IF(O661=4,INDEX(Acceleration!$T$4:$T$110,MATCH('Track Data'!S661,Acceleration!$K$4:$K$110,0)),IF('Track Data'!O661=3,INDEX(Acceleration!$S$4:$S$110,MATCH('Track Data'!S661,Acceleration!$K$4:$K$110,0)),'Track Data'!AF661)),'Track Data'!U661)</f>
        <v>5.5089295873629895</v>
      </c>
      <c r="AH661" s="16">
        <f>IF(AC661=0,IF(O661=2,INDEX(Acceleration!$R$4:$R$110,MATCH('Track Data'!S661,Acceleration!$K$4:$K$110,0)),IF('Track Data'!O661=1,INDEX(Acceleration!$Q$4:$Q$110,MATCH('Track Data'!S661,Acceleration!$K$4:$K$110,0)),'Track Data'!AG661)),'Track Data'!U661)</f>
        <v>5.5089295873629895</v>
      </c>
    </row>
    <row r="662" spans="2:34" x14ac:dyDescent="0.25">
      <c r="B662" s="16">
        <v>215.90700000000001</v>
      </c>
      <c r="C662" s="16">
        <v>7932</v>
      </c>
      <c r="D662" s="16">
        <v>659</v>
      </c>
      <c r="E662" s="113">
        <v>144</v>
      </c>
      <c r="F662" s="113">
        <v>135.4</v>
      </c>
      <c r="G662" s="113">
        <v>125.6</v>
      </c>
      <c r="H662" s="113">
        <f t="shared" si="75"/>
        <v>34.888888888888886</v>
      </c>
      <c r="I662" s="113">
        <v>10.9</v>
      </c>
      <c r="J662" s="113">
        <v>36</v>
      </c>
      <c r="K662" s="113">
        <v>53.5</v>
      </c>
      <c r="L662" s="183"/>
      <c r="M662" s="16">
        <v>659</v>
      </c>
      <c r="N662" s="16">
        <f t="shared" si="77"/>
        <v>2.5269092609066537E-2</v>
      </c>
      <c r="O662" s="16">
        <v>3</v>
      </c>
      <c r="P662" s="16">
        <f t="shared" si="73"/>
        <v>10.596205962059623</v>
      </c>
      <c r="Q662" s="16">
        <f t="shared" si="78"/>
        <v>39.574036767794368</v>
      </c>
      <c r="R662" s="113">
        <f t="shared" si="74"/>
        <v>345.36</v>
      </c>
      <c r="S662" s="16">
        <f>IF(S661=15800,15800,ROUND((((Q662*60)/'Gearing Calculator'!$C$14)*'Track Data'!P662),-2))</f>
        <v>12700</v>
      </c>
      <c r="T662" s="16">
        <f t="shared" si="76"/>
        <v>5.5089295873629895</v>
      </c>
      <c r="U662" s="16">
        <f>IF(AC662=100,Braking!$AG$2354,IF(AC662=50,Braking!$AG$1179,IF(AC662=75,Braking!$AG$1767,0)))</f>
        <v>0</v>
      </c>
      <c r="V662" s="16">
        <f>0.5*'Gearing Calculator'!$C$15*'Gearing Calculator'!$C$20*'Gearing Calculator'!$W$20*('Track Data'!Q662^2)</f>
        <v>165.75648822469066</v>
      </c>
      <c r="W662" s="16">
        <f>('Gearing Calculator'!$U$9*'Track Data'!T662)+'Track Data'!V662</f>
        <v>1632.2335443807185</v>
      </c>
      <c r="X662" s="16">
        <f>('Gearing Calculator'!$U$9*9.81)*('Gearing Calculator'!$U$16/'Gearing Calculator'!$C$7)-(('Track Data'!W662)*('Gearing Calculator'!$U$17/'Gearing Calculator'!$C$7))</f>
        <v>511.48354699040738</v>
      </c>
      <c r="Y662" s="16">
        <f>('Gearing Calculator'!$U$9*9.81)*(('Gearing Calculator'!$C$7-'Gearing Calculator'!$U$16)/'Gearing Calculator'!$C$7)+(('Track Data'!W662)*('Gearing Calculator'!$U$17/'Gearing Calculator'!$C$7))</f>
        <v>2099.9384530095926</v>
      </c>
      <c r="Z662" s="16">
        <f>((X662*COS('Gearing Calculator'!$C$21))/'Gearing Calculator'!$C$22)/2</f>
        <v>15.813453588308835</v>
      </c>
      <c r="AA662" s="16">
        <f>Y662/'Gearing Calculator'!$C$24</f>
        <v>29.322184094578887</v>
      </c>
      <c r="AB662" s="16">
        <f t="shared" si="72"/>
        <v>182.28327698677964</v>
      </c>
      <c r="AC662" s="16">
        <v>0</v>
      </c>
      <c r="AD662" s="16">
        <v>51.415226335993168</v>
      </c>
      <c r="AE662" s="16">
        <v>659</v>
      </c>
      <c r="AF662" s="16">
        <f>IF(AC662=0,IF(O662=6,INDEX(Acceleration!$V$4:$V$110,MATCH('Track Data'!S662,Acceleration!$K$4:$K$110,0)),IF('Track Data'!O662=5,INDEX(Acceleration!$U$4:$U$110,MATCH('Track Data'!S662,Acceleration!$K$4:$K$110,0)),1)),U662)</f>
        <v>1</v>
      </c>
      <c r="AG662" s="16">
        <f>IF(AC662=0,IF(O662=4,INDEX(Acceleration!$T$4:$T$110,MATCH('Track Data'!S662,Acceleration!$K$4:$K$110,0)),IF('Track Data'!O662=3,INDEX(Acceleration!$S$4:$S$110,MATCH('Track Data'!S662,Acceleration!$K$4:$K$110,0)),'Track Data'!AF662)),'Track Data'!U662)</f>
        <v>5.5089295873629895</v>
      </c>
      <c r="AH662" s="16">
        <f>IF(AC662=0,IF(O662=2,INDEX(Acceleration!$R$4:$R$110,MATCH('Track Data'!S662,Acceleration!$K$4:$K$110,0)),IF('Track Data'!O662=1,INDEX(Acceleration!$Q$4:$Q$110,MATCH('Track Data'!S662,Acceleration!$K$4:$K$110,0)),'Track Data'!AG662)),'Track Data'!U662)</f>
        <v>5.5089295873629895</v>
      </c>
    </row>
    <row r="663" spans="2:34" x14ac:dyDescent="0.25">
      <c r="B663" s="16">
        <v>215.934</v>
      </c>
      <c r="C663" s="16">
        <v>7933</v>
      </c>
      <c r="D663" s="16">
        <v>660</v>
      </c>
      <c r="E663" s="113">
        <v>145</v>
      </c>
      <c r="F663" s="113">
        <v>135.9</v>
      </c>
      <c r="G663" s="113">
        <v>125.9</v>
      </c>
      <c r="H663" s="113">
        <f t="shared" si="75"/>
        <v>34.972222222222221</v>
      </c>
      <c r="I663" s="113">
        <v>10.3</v>
      </c>
      <c r="J663" s="113">
        <v>38.31</v>
      </c>
      <c r="K663" s="113">
        <v>53.1</v>
      </c>
      <c r="L663" s="183"/>
      <c r="M663" s="16">
        <v>660</v>
      </c>
      <c r="N663" s="16">
        <f t="shared" si="77"/>
        <v>2.5269092609066537E-2</v>
      </c>
      <c r="O663" s="16">
        <v>3</v>
      </c>
      <c r="P663" s="16">
        <f t="shared" si="73"/>
        <v>10.596205962059623</v>
      </c>
      <c r="Q663" s="16">
        <f t="shared" si="78"/>
        <v>39.574036767794368</v>
      </c>
      <c r="R663" s="113">
        <f t="shared" si="74"/>
        <v>345.36</v>
      </c>
      <c r="S663" s="16">
        <f>IF(S662=15800,15800,ROUND((((Q663*60)/'Gearing Calculator'!$C$14)*'Track Data'!P663),-2))</f>
        <v>12700</v>
      </c>
      <c r="T663" s="16">
        <f t="shared" si="76"/>
        <v>5.5089295873629895</v>
      </c>
      <c r="U663" s="16">
        <f>IF(AC663=100,Braking!$AG$2354,IF(AC663=50,Braking!$AG$1179,IF(AC663=75,Braking!$AG$1767,0)))</f>
        <v>0</v>
      </c>
      <c r="V663" s="16">
        <f>0.5*'Gearing Calculator'!$C$15*'Gearing Calculator'!$C$20*'Gearing Calculator'!$W$20*('Track Data'!Q663^2)</f>
        <v>165.75648822469066</v>
      </c>
      <c r="W663" s="16">
        <f>('Gearing Calculator'!$U$9*'Track Data'!T663)+'Track Data'!V663</f>
        <v>1632.2335443807185</v>
      </c>
      <c r="X663" s="16">
        <f>('Gearing Calculator'!$U$9*9.81)*('Gearing Calculator'!$U$16/'Gearing Calculator'!$C$7)-(('Track Data'!W663)*('Gearing Calculator'!$U$17/'Gearing Calculator'!$C$7))</f>
        <v>511.48354699040738</v>
      </c>
      <c r="Y663" s="16">
        <f>('Gearing Calculator'!$U$9*9.81)*(('Gearing Calculator'!$C$7-'Gearing Calculator'!$U$16)/'Gearing Calculator'!$C$7)+(('Track Data'!W663)*('Gearing Calculator'!$U$17/'Gearing Calculator'!$C$7))</f>
        <v>2099.9384530095926</v>
      </c>
      <c r="Z663" s="16">
        <f>((X663*COS('Gearing Calculator'!$C$21))/'Gearing Calculator'!$C$22)/2</f>
        <v>15.813453588308835</v>
      </c>
      <c r="AA663" s="16">
        <f>Y663/'Gearing Calculator'!$C$24</f>
        <v>29.322184094578887</v>
      </c>
      <c r="AB663" s="16">
        <f t="shared" si="72"/>
        <v>182.28327698677964</v>
      </c>
      <c r="AC663" s="16">
        <v>0</v>
      </c>
      <c r="AD663" s="16">
        <v>51.415226335993168</v>
      </c>
      <c r="AE663" s="16">
        <v>660</v>
      </c>
      <c r="AF663" s="16">
        <f>IF(AC663=0,IF(O663=6,INDEX(Acceleration!$V$4:$V$110,MATCH('Track Data'!S663,Acceleration!$K$4:$K$110,0)),IF('Track Data'!O663=5,INDEX(Acceleration!$U$4:$U$110,MATCH('Track Data'!S663,Acceleration!$K$4:$K$110,0)),1)),U663)</f>
        <v>1</v>
      </c>
      <c r="AG663" s="16">
        <f>IF(AC663=0,IF(O663=4,INDEX(Acceleration!$T$4:$T$110,MATCH('Track Data'!S663,Acceleration!$K$4:$K$110,0)),IF('Track Data'!O663=3,INDEX(Acceleration!$S$4:$S$110,MATCH('Track Data'!S663,Acceleration!$K$4:$K$110,0)),'Track Data'!AF663)),'Track Data'!U663)</f>
        <v>5.5089295873629895</v>
      </c>
      <c r="AH663" s="16">
        <f>IF(AC663=0,IF(O663=2,INDEX(Acceleration!$R$4:$R$110,MATCH('Track Data'!S663,Acceleration!$K$4:$K$110,0)),IF('Track Data'!O663=1,INDEX(Acceleration!$Q$4:$Q$110,MATCH('Track Data'!S663,Acceleration!$K$4:$K$110,0)),'Track Data'!AG663)),'Track Data'!U663)</f>
        <v>5.5089295873629895</v>
      </c>
    </row>
    <row r="664" spans="2:34" x14ac:dyDescent="0.25">
      <c r="B664" s="16">
        <v>215.96</v>
      </c>
      <c r="C664" s="16">
        <v>7934</v>
      </c>
      <c r="D664" s="16">
        <v>661</v>
      </c>
      <c r="E664" s="113">
        <v>144</v>
      </c>
      <c r="F664" s="113">
        <v>136.19999999999999</v>
      </c>
      <c r="G664" s="113">
        <v>126.1</v>
      </c>
      <c r="H664" s="113">
        <f t="shared" si="75"/>
        <v>35.027777777777779</v>
      </c>
      <c r="I664" s="113">
        <v>11.1</v>
      </c>
      <c r="J664" s="113">
        <v>35.659999999999997</v>
      </c>
      <c r="K664" s="113">
        <v>50.6</v>
      </c>
      <c r="L664" s="183"/>
      <c r="M664" s="16">
        <v>661</v>
      </c>
      <c r="N664" s="16">
        <f t="shared" si="77"/>
        <v>2.5269092609066537E-2</v>
      </c>
      <c r="O664" s="16">
        <v>3</v>
      </c>
      <c r="P664" s="16">
        <f t="shared" si="73"/>
        <v>10.596205962059623</v>
      </c>
      <c r="Q664" s="16">
        <f t="shared" si="78"/>
        <v>39.574036767794368</v>
      </c>
      <c r="R664" s="113">
        <f t="shared" si="74"/>
        <v>345.36</v>
      </c>
      <c r="S664" s="16">
        <f>IF(S663=15800,15800,ROUND((((Q664*60)/'Gearing Calculator'!$C$14)*'Track Data'!P664),-2))</f>
        <v>12700</v>
      </c>
      <c r="T664" s="16">
        <f t="shared" si="76"/>
        <v>5.5089295873629895</v>
      </c>
      <c r="U664" s="16">
        <f>IF(AC664=100,Braking!$AG$2354,IF(AC664=50,Braking!$AG$1179,IF(AC664=75,Braking!$AG$1767,0)))</f>
        <v>0</v>
      </c>
      <c r="V664" s="16">
        <f>0.5*'Gearing Calculator'!$C$15*'Gearing Calculator'!$C$20*'Gearing Calculator'!$W$20*('Track Data'!Q664^2)</f>
        <v>165.75648822469066</v>
      </c>
      <c r="W664" s="16">
        <f>('Gearing Calculator'!$U$9*'Track Data'!T664)+'Track Data'!V664</f>
        <v>1632.2335443807185</v>
      </c>
      <c r="X664" s="16">
        <f>('Gearing Calculator'!$U$9*9.81)*('Gearing Calculator'!$U$16/'Gearing Calculator'!$C$7)-(('Track Data'!W664)*('Gearing Calculator'!$U$17/'Gearing Calculator'!$C$7))</f>
        <v>511.48354699040738</v>
      </c>
      <c r="Y664" s="16">
        <f>('Gearing Calculator'!$U$9*9.81)*(('Gearing Calculator'!$C$7-'Gearing Calculator'!$U$16)/'Gearing Calculator'!$C$7)+(('Track Data'!W664)*('Gearing Calculator'!$U$17/'Gearing Calculator'!$C$7))</f>
        <v>2099.9384530095926</v>
      </c>
      <c r="Z664" s="16">
        <f>((X664*COS('Gearing Calculator'!$C$21))/'Gearing Calculator'!$C$22)/2</f>
        <v>15.813453588308835</v>
      </c>
      <c r="AA664" s="16">
        <f>Y664/'Gearing Calculator'!$C$24</f>
        <v>29.322184094578887</v>
      </c>
      <c r="AB664" s="16">
        <f t="shared" si="72"/>
        <v>182.28327698677964</v>
      </c>
      <c r="AC664" s="16">
        <v>0</v>
      </c>
      <c r="AD664" s="16">
        <v>51.415226335993168</v>
      </c>
      <c r="AE664" s="16">
        <v>661</v>
      </c>
      <c r="AF664" s="16">
        <f>IF(AC664=0,IF(O664=6,INDEX(Acceleration!$V$4:$V$110,MATCH('Track Data'!S664,Acceleration!$K$4:$K$110,0)),IF('Track Data'!O664=5,INDEX(Acceleration!$U$4:$U$110,MATCH('Track Data'!S664,Acceleration!$K$4:$K$110,0)),1)),U664)</f>
        <v>1</v>
      </c>
      <c r="AG664" s="16">
        <f>IF(AC664=0,IF(O664=4,INDEX(Acceleration!$T$4:$T$110,MATCH('Track Data'!S664,Acceleration!$K$4:$K$110,0)),IF('Track Data'!O664=3,INDEX(Acceleration!$S$4:$S$110,MATCH('Track Data'!S664,Acceleration!$K$4:$K$110,0)),'Track Data'!AF664)),'Track Data'!U664)</f>
        <v>5.5089295873629895</v>
      </c>
      <c r="AH664" s="16">
        <f>IF(AC664=0,IF(O664=2,INDEX(Acceleration!$R$4:$R$110,MATCH('Track Data'!S664,Acceleration!$K$4:$K$110,0)),IF('Track Data'!O664=1,INDEX(Acceleration!$Q$4:$Q$110,MATCH('Track Data'!S664,Acceleration!$K$4:$K$110,0)),'Track Data'!AG664)),'Track Data'!U664)</f>
        <v>5.5089295873629895</v>
      </c>
    </row>
    <row r="665" spans="2:34" x14ac:dyDescent="0.25">
      <c r="B665" s="16">
        <v>215.98599999999999</v>
      </c>
      <c r="C665" s="16">
        <v>7935</v>
      </c>
      <c r="D665" s="16">
        <v>662</v>
      </c>
      <c r="E665" s="113">
        <v>145</v>
      </c>
      <c r="F665" s="113">
        <v>136.30000000000001</v>
      </c>
      <c r="G665" s="113">
        <v>126.3</v>
      </c>
      <c r="H665" s="113">
        <f t="shared" si="75"/>
        <v>35.083333333333329</v>
      </c>
      <c r="I665" s="113">
        <v>12.3</v>
      </c>
      <c r="J665" s="113">
        <v>36.94</v>
      </c>
      <c r="K665" s="113">
        <v>48.9</v>
      </c>
      <c r="L665" s="183"/>
      <c r="M665" s="16">
        <v>662</v>
      </c>
      <c r="N665" s="16">
        <f t="shared" si="77"/>
        <v>2.5269092609066537E-2</v>
      </c>
      <c r="O665" s="16">
        <v>3</v>
      </c>
      <c r="P665" s="16">
        <f t="shared" si="73"/>
        <v>10.596205962059623</v>
      </c>
      <c r="Q665" s="16">
        <f t="shared" si="78"/>
        <v>39.574036767794368</v>
      </c>
      <c r="R665" s="113">
        <f t="shared" si="74"/>
        <v>345.36</v>
      </c>
      <c r="S665" s="16">
        <f>IF(S664=15800,15800,ROUND((((Q665*60)/'Gearing Calculator'!$C$14)*'Track Data'!P665),-2))</f>
        <v>12700</v>
      </c>
      <c r="T665" s="16">
        <f t="shared" si="76"/>
        <v>5.5089295873629895</v>
      </c>
      <c r="U665" s="16">
        <f>IF(AC665=100,Braking!$AG$2354,IF(AC665=50,Braking!$AG$1179,IF(AC665=75,Braking!$AG$1767,0)))</f>
        <v>0</v>
      </c>
      <c r="V665" s="16">
        <f>0.5*'Gearing Calculator'!$C$15*'Gearing Calculator'!$C$20*'Gearing Calculator'!$W$20*('Track Data'!Q665^2)</f>
        <v>165.75648822469066</v>
      </c>
      <c r="W665" s="16">
        <f>('Gearing Calculator'!$U$9*'Track Data'!T665)+'Track Data'!V665</f>
        <v>1632.2335443807185</v>
      </c>
      <c r="X665" s="16">
        <f>('Gearing Calculator'!$U$9*9.81)*('Gearing Calculator'!$U$16/'Gearing Calculator'!$C$7)-(('Track Data'!W665)*('Gearing Calculator'!$U$17/'Gearing Calculator'!$C$7))</f>
        <v>511.48354699040738</v>
      </c>
      <c r="Y665" s="16">
        <f>('Gearing Calculator'!$U$9*9.81)*(('Gearing Calculator'!$C$7-'Gearing Calculator'!$U$16)/'Gearing Calculator'!$C$7)+(('Track Data'!W665)*('Gearing Calculator'!$U$17/'Gearing Calculator'!$C$7))</f>
        <v>2099.9384530095926</v>
      </c>
      <c r="Z665" s="16">
        <f>((X665*COS('Gearing Calculator'!$C$21))/'Gearing Calculator'!$C$22)/2</f>
        <v>15.813453588308835</v>
      </c>
      <c r="AA665" s="16">
        <f>Y665/'Gearing Calculator'!$C$24</f>
        <v>29.322184094578887</v>
      </c>
      <c r="AB665" s="16">
        <f t="shared" si="72"/>
        <v>182.28327698677964</v>
      </c>
      <c r="AC665" s="16">
        <v>0</v>
      </c>
      <c r="AD665" s="16">
        <v>51.415226335993168</v>
      </c>
      <c r="AE665" s="16">
        <v>662</v>
      </c>
      <c r="AF665" s="16">
        <f>IF(AC665=0,IF(O665=6,INDEX(Acceleration!$V$4:$V$110,MATCH('Track Data'!S665,Acceleration!$K$4:$K$110,0)),IF('Track Data'!O665=5,INDEX(Acceleration!$U$4:$U$110,MATCH('Track Data'!S665,Acceleration!$K$4:$K$110,0)),1)),U665)</f>
        <v>1</v>
      </c>
      <c r="AG665" s="16">
        <f>IF(AC665=0,IF(O665=4,INDEX(Acceleration!$T$4:$T$110,MATCH('Track Data'!S665,Acceleration!$K$4:$K$110,0)),IF('Track Data'!O665=3,INDEX(Acceleration!$S$4:$S$110,MATCH('Track Data'!S665,Acceleration!$K$4:$K$110,0)),'Track Data'!AF665)),'Track Data'!U665)</f>
        <v>5.5089295873629895</v>
      </c>
      <c r="AH665" s="16">
        <f>IF(AC665=0,IF(O665=2,INDEX(Acceleration!$R$4:$R$110,MATCH('Track Data'!S665,Acceleration!$K$4:$K$110,0)),IF('Track Data'!O665=1,INDEX(Acceleration!$Q$4:$Q$110,MATCH('Track Data'!S665,Acceleration!$K$4:$K$110,0)),'Track Data'!AG665)),'Track Data'!U665)</f>
        <v>5.5089295873629895</v>
      </c>
    </row>
    <row r="666" spans="2:34" x14ac:dyDescent="0.25">
      <c r="B666" s="16">
        <v>216.012</v>
      </c>
      <c r="C666" s="16">
        <v>7936</v>
      </c>
      <c r="D666" s="16">
        <v>663</v>
      </c>
      <c r="E666" s="113">
        <v>145</v>
      </c>
      <c r="F666" s="113">
        <v>136.69999999999999</v>
      </c>
      <c r="G666" s="113">
        <v>126.6</v>
      </c>
      <c r="H666" s="113">
        <f t="shared" si="75"/>
        <v>35.166666666666664</v>
      </c>
      <c r="I666" s="113">
        <v>12.5</v>
      </c>
      <c r="J666" s="113">
        <v>41.34</v>
      </c>
      <c r="K666" s="113">
        <v>47.4</v>
      </c>
      <c r="L666" s="183"/>
      <c r="M666" s="16">
        <v>663</v>
      </c>
      <c r="N666" s="16">
        <f t="shared" si="77"/>
        <v>2.5269092609066537E-2</v>
      </c>
      <c r="O666" s="16">
        <v>3</v>
      </c>
      <c r="P666" s="16">
        <f t="shared" si="73"/>
        <v>10.596205962059623</v>
      </c>
      <c r="Q666" s="16">
        <f t="shared" si="78"/>
        <v>39.574036767794368</v>
      </c>
      <c r="R666" s="113">
        <f t="shared" si="74"/>
        <v>345.36</v>
      </c>
      <c r="S666" s="16">
        <f>IF(S665=15800,15800,ROUND((((Q666*60)/'Gearing Calculator'!$C$14)*'Track Data'!P666),-2))</f>
        <v>12700</v>
      </c>
      <c r="T666" s="16">
        <f t="shared" si="76"/>
        <v>5.5089295873629895</v>
      </c>
      <c r="U666" s="16">
        <f>IF(AC666=100,Braking!$AG$2354,IF(AC666=50,Braking!$AG$1179,IF(AC666=75,Braking!$AG$1767,0)))</f>
        <v>0</v>
      </c>
      <c r="V666" s="16">
        <f>0.5*'Gearing Calculator'!$C$15*'Gearing Calculator'!$C$20*'Gearing Calculator'!$W$20*('Track Data'!Q666^2)</f>
        <v>165.75648822469066</v>
      </c>
      <c r="W666" s="16">
        <f>('Gearing Calculator'!$U$9*'Track Data'!T666)+'Track Data'!V666</f>
        <v>1632.2335443807185</v>
      </c>
      <c r="X666" s="16">
        <f>('Gearing Calculator'!$U$9*9.81)*('Gearing Calculator'!$U$16/'Gearing Calculator'!$C$7)-(('Track Data'!W666)*('Gearing Calculator'!$U$17/'Gearing Calculator'!$C$7))</f>
        <v>511.48354699040738</v>
      </c>
      <c r="Y666" s="16">
        <f>('Gearing Calculator'!$U$9*9.81)*(('Gearing Calculator'!$C$7-'Gearing Calculator'!$U$16)/'Gearing Calculator'!$C$7)+(('Track Data'!W666)*('Gearing Calculator'!$U$17/'Gearing Calculator'!$C$7))</f>
        <v>2099.9384530095926</v>
      </c>
      <c r="Z666" s="16">
        <f>((X666*COS('Gearing Calculator'!$C$21))/'Gearing Calculator'!$C$22)/2</f>
        <v>15.813453588308835</v>
      </c>
      <c r="AA666" s="16">
        <f>Y666/'Gearing Calculator'!$C$24</f>
        <v>29.322184094578887</v>
      </c>
      <c r="AB666" s="16">
        <f t="shared" si="72"/>
        <v>182.28327698677964</v>
      </c>
      <c r="AC666" s="16">
        <v>0</v>
      </c>
      <c r="AD666" s="16">
        <v>51.415226335993168</v>
      </c>
      <c r="AE666" s="16">
        <v>663</v>
      </c>
      <c r="AF666" s="16">
        <f>IF(AC666=0,IF(O666=6,INDEX(Acceleration!$V$4:$V$110,MATCH('Track Data'!S666,Acceleration!$K$4:$K$110,0)),IF('Track Data'!O666=5,INDEX(Acceleration!$U$4:$U$110,MATCH('Track Data'!S666,Acceleration!$K$4:$K$110,0)),1)),U666)</f>
        <v>1</v>
      </c>
      <c r="AG666" s="16">
        <f>IF(AC666=0,IF(O666=4,INDEX(Acceleration!$T$4:$T$110,MATCH('Track Data'!S666,Acceleration!$K$4:$K$110,0)),IF('Track Data'!O666=3,INDEX(Acceleration!$S$4:$S$110,MATCH('Track Data'!S666,Acceleration!$K$4:$K$110,0)),'Track Data'!AF666)),'Track Data'!U666)</f>
        <v>5.5089295873629895</v>
      </c>
      <c r="AH666" s="16">
        <f>IF(AC666=0,IF(O666=2,INDEX(Acceleration!$R$4:$R$110,MATCH('Track Data'!S666,Acceleration!$K$4:$K$110,0)),IF('Track Data'!O666=1,INDEX(Acceleration!$Q$4:$Q$110,MATCH('Track Data'!S666,Acceleration!$K$4:$K$110,0)),'Track Data'!AG666)),'Track Data'!U666)</f>
        <v>5.5089295873629895</v>
      </c>
    </row>
    <row r="667" spans="2:34" x14ac:dyDescent="0.25">
      <c r="B667" s="16">
        <v>216.03899999999999</v>
      </c>
      <c r="C667" s="16">
        <v>7937</v>
      </c>
      <c r="D667" s="16">
        <v>664</v>
      </c>
      <c r="E667" s="113">
        <v>146</v>
      </c>
      <c r="F667" s="113">
        <v>137.1</v>
      </c>
      <c r="G667" s="113">
        <v>126.8</v>
      </c>
      <c r="H667" s="113">
        <f t="shared" si="75"/>
        <v>35.222222222222221</v>
      </c>
      <c r="I667" s="113">
        <v>12.2</v>
      </c>
      <c r="J667" s="113">
        <v>38.79</v>
      </c>
      <c r="K667" s="113">
        <v>47.1</v>
      </c>
      <c r="L667" s="183"/>
      <c r="M667" s="16">
        <v>664</v>
      </c>
      <c r="N667" s="16">
        <f t="shared" si="77"/>
        <v>2.5269092609066537E-2</v>
      </c>
      <c r="O667" s="16">
        <v>3</v>
      </c>
      <c r="P667" s="16">
        <f t="shared" si="73"/>
        <v>10.596205962059623</v>
      </c>
      <c r="Q667" s="16">
        <f t="shared" si="78"/>
        <v>39.574036767794368</v>
      </c>
      <c r="R667" s="113">
        <f t="shared" si="74"/>
        <v>345.36</v>
      </c>
      <c r="S667" s="16">
        <f>IF(S666=15800,15800,ROUND((((Q667*60)/'Gearing Calculator'!$C$14)*'Track Data'!P667),-2))</f>
        <v>12700</v>
      </c>
      <c r="T667" s="16">
        <f t="shared" si="76"/>
        <v>5.5089295873629895</v>
      </c>
      <c r="U667" s="16">
        <f>IF(AC667=100,Braking!$AG$2354,IF(AC667=50,Braking!$AG$1179,IF(AC667=75,Braking!$AG$1767,0)))</f>
        <v>0</v>
      </c>
      <c r="V667" s="16">
        <f>0.5*'Gearing Calculator'!$C$15*'Gearing Calculator'!$C$20*'Gearing Calculator'!$W$20*('Track Data'!Q667^2)</f>
        <v>165.75648822469066</v>
      </c>
      <c r="W667" s="16">
        <f>('Gearing Calculator'!$U$9*'Track Data'!T667)+'Track Data'!V667</f>
        <v>1632.2335443807185</v>
      </c>
      <c r="X667" s="16">
        <f>('Gearing Calculator'!$U$9*9.81)*('Gearing Calculator'!$U$16/'Gearing Calculator'!$C$7)-(('Track Data'!W667)*('Gearing Calculator'!$U$17/'Gearing Calculator'!$C$7))</f>
        <v>511.48354699040738</v>
      </c>
      <c r="Y667" s="16">
        <f>('Gearing Calculator'!$U$9*9.81)*(('Gearing Calculator'!$C$7-'Gearing Calculator'!$U$16)/'Gearing Calculator'!$C$7)+(('Track Data'!W667)*('Gearing Calculator'!$U$17/'Gearing Calculator'!$C$7))</f>
        <v>2099.9384530095926</v>
      </c>
      <c r="Z667" s="16">
        <f>((X667*COS('Gearing Calculator'!$C$21))/'Gearing Calculator'!$C$22)/2</f>
        <v>15.813453588308835</v>
      </c>
      <c r="AA667" s="16">
        <f>Y667/'Gearing Calculator'!$C$24</f>
        <v>29.322184094578887</v>
      </c>
      <c r="AB667" s="16">
        <f t="shared" si="72"/>
        <v>182.28327698677964</v>
      </c>
      <c r="AC667" s="16">
        <v>0</v>
      </c>
      <c r="AD667" s="16">
        <v>51.415226335993168</v>
      </c>
      <c r="AE667" s="16">
        <v>664</v>
      </c>
      <c r="AF667" s="16">
        <f>IF(AC667=0,IF(O667=6,INDEX(Acceleration!$V$4:$V$110,MATCH('Track Data'!S667,Acceleration!$K$4:$K$110,0)),IF('Track Data'!O667=5,INDEX(Acceleration!$U$4:$U$110,MATCH('Track Data'!S667,Acceleration!$K$4:$K$110,0)),1)),U667)</f>
        <v>1</v>
      </c>
      <c r="AG667" s="16">
        <f>IF(AC667=0,IF(O667=4,INDEX(Acceleration!$T$4:$T$110,MATCH('Track Data'!S667,Acceleration!$K$4:$K$110,0)),IF('Track Data'!O667=3,INDEX(Acceleration!$S$4:$S$110,MATCH('Track Data'!S667,Acceleration!$K$4:$K$110,0)),'Track Data'!AF667)),'Track Data'!U667)</f>
        <v>5.5089295873629895</v>
      </c>
      <c r="AH667" s="16">
        <f>IF(AC667=0,IF(O667=2,INDEX(Acceleration!$R$4:$R$110,MATCH('Track Data'!S667,Acceleration!$K$4:$K$110,0)),IF('Track Data'!O667=1,INDEX(Acceleration!$Q$4:$Q$110,MATCH('Track Data'!S667,Acceleration!$K$4:$K$110,0)),'Track Data'!AG667)),'Track Data'!U667)</f>
        <v>5.5089295873629895</v>
      </c>
    </row>
    <row r="668" spans="2:34" x14ac:dyDescent="0.25">
      <c r="B668" s="16">
        <v>216.065</v>
      </c>
      <c r="C668" s="16">
        <v>7938</v>
      </c>
      <c r="D668" s="16">
        <v>665</v>
      </c>
      <c r="E668" s="113">
        <v>145</v>
      </c>
      <c r="F668" s="113">
        <v>137.30000000000001</v>
      </c>
      <c r="G668" s="113">
        <v>127</v>
      </c>
      <c r="H668" s="113">
        <f t="shared" si="75"/>
        <v>35.277777777777779</v>
      </c>
      <c r="I668" s="113">
        <v>13.4</v>
      </c>
      <c r="J668" s="113">
        <v>39.33</v>
      </c>
      <c r="K668" s="113">
        <v>46.7</v>
      </c>
      <c r="L668" s="183"/>
      <c r="M668" s="16">
        <v>665</v>
      </c>
      <c r="N668" s="16">
        <f t="shared" si="77"/>
        <v>2.5269092609066537E-2</v>
      </c>
      <c r="O668" s="16">
        <v>3</v>
      </c>
      <c r="P668" s="16">
        <f t="shared" si="73"/>
        <v>10.596205962059623</v>
      </c>
      <c r="Q668" s="16">
        <f t="shared" si="78"/>
        <v>39.574036767794368</v>
      </c>
      <c r="R668" s="113">
        <f t="shared" si="74"/>
        <v>345.36</v>
      </c>
      <c r="S668" s="16">
        <f>IF(S667=15800,15800,ROUND((((Q668*60)/'Gearing Calculator'!$C$14)*'Track Data'!P668),-2))</f>
        <v>12700</v>
      </c>
      <c r="T668" s="16">
        <f t="shared" si="76"/>
        <v>5.5089295873629895</v>
      </c>
      <c r="U668" s="16">
        <f>IF(AC668=100,Braking!$AG$2354,IF(AC668=50,Braking!$AG$1179,IF(AC668=75,Braking!$AG$1767,0)))</f>
        <v>0</v>
      </c>
      <c r="V668" s="16">
        <f>0.5*'Gearing Calculator'!$C$15*'Gearing Calculator'!$C$20*'Gearing Calculator'!$W$20*('Track Data'!Q668^2)</f>
        <v>165.75648822469066</v>
      </c>
      <c r="W668" s="16">
        <f>('Gearing Calculator'!$U$9*'Track Data'!T668)+'Track Data'!V668</f>
        <v>1632.2335443807185</v>
      </c>
      <c r="X668" s="16">
        <f>('Gearing Calculator'!$U$9*9.81)*('Gearing Calculator'!$U$16/'Gearing Calculator'!$C$7)-(('Track Data'!W668)*('Gearing Calculator'!$U$17/'Gearing Calculator'!$C$7))</f>
        <v>511.48354699040738</v>
      </c>
      <c r="Y668" s="16">
        <f>('Gearing Calculator'!$U$9*9.81)*(('Gearing Calculator'!$C$7-'Gearing Calculator'!$U$16)/'Gearing Calculator'!$C$7)+(('Track Data'!W668)*('Gearing Calculator'!$U$17/'Gearing Calculator'!$C$7))</f>
        <v>2099.9384530095926</v>
      </c>
      <c r="Z668" s="16">
        <f>((X668*COS('Gearing Calculator'!$C$21))/'Gearing Calculator'!$C$22)/2</f>
        <v>15.813453588308835</v>
      </c>
      <c r="AA668" s="16">
        <f>Y668/'Gearing Calculator'!$C$24</f>
        <v>29.322184094578887</v>
      </c>
      <c r="AB668" s="16">
        <f t="shared" si="72"/>
        <v>182.28327698677964</v>
      </c>
      <c r="AC668" s="16">
        <v>0</v>
      </c>
      <c r="AD668" s="16">
        <v>51.415226335993168</v>
      </c>
      <c r="AE668" s="16">
        <v>665</v>
      </c>
      <c r="AF668" s="16">
        <f>IF(AC668=0,IF(O668=6,INDEX(Acceleration!$V$4:$V$110,MATCH('Track Data'!S668,Acceleration!$K$4:$K$110,0)),IF('Track Data'!O668=5,INDEX(Acceleration!$U$4:$U$110,MATCH('Track Data'!S668,Acceleration!$K$4:$K$110,0)),1)),U668)</f>
        <v>1</v>
      </c>
      <c r="AG668" s="16">
        <f>IF(AC668=0,IF(O668=4,INDEX(Acceleration!$T$4:$T$110,MATCH('Track Data'!S668,Acceleration!$K$4:$K$110,0)),IF('Track Data'!O668=3,INDEX(Acceleration!$S$4:$S$110,MATCH('Track Data'!S668,Acceleration!$K$4:$K$110,0)),'Track Data'!AF668)),'Track Data'!U668)</f>
        <v>5.5089295873629895</v>
      </c>
      <c r="AH668" s="16">
        <f>IF(AC668=0,IF(O668=2,INDEX(Acceleration!$R$4:$R$110,MATCH('Track Data'!S668,Acceleration!$K$4:$K$110,0)),IF('Track Data'!O668=1,INDEX(Acceleration!$Q$4:$Q$110,MATCH('Track Data'!S668,Acceleration!$K$4:$K$110,0)),'Track Data'!AG668)),'Track Data'!U668)</f>
        <v>5.5089295873629895</v>
      </c>
    </row>
    <row r="669" spans="2:34" x14ac:dyDescent="0.25">
      <c r="B669" s="16">
        <v>216.09100000000001</v>
      </c>
      <c r="C669" s="16">
        <v>7939</v>
      </c>
      <c r="D669" s="16">
        <v>666</v>
      </c>
      <c r="E669" s="113">
        <v>145</v>
      </c>
      <c r="F669" s="113">
        <v>137.5</v>
      </c>
      <c r="G669" s="113">
        <v>127.3</v>
      </c>
      <c r="H669" s="113">
        <f t="shared" si="75"/>
        <v>35.361111111111107</v>
      </c>
      <c r="I669" s="113">
        <v>14</v>
      </c>
      <c r="J669" s="113">
        <v>39.54</v>
      </c>
      <c r="K669" s="113">
        <v>42.1</v>
      </c>
      <c r="L669" s="183"/>
      <c r="M669" s="16">
        <v>666</v>
      </c>
      <c r="N669" s="16">
        <f t="shared" si="77"/>
        <v>2.5269092609066537E-2</v>
      </c>
      <c r="O669" s="16">
        <v>3</v>
      </c>
      <c r="P669" s="16">
        <f t="shared" si="73"/>
        <v>10.596205962059623</v>
      </c>
      <c r="Q669" s="16">
        <f t="shared" si="78"/>
        <v>39.574036767794368</v>
      </c>
      <c r="R669" s="113">
        <f t="shared" si="74"/>
        <v>345.36</v>
      </c>
      <c r="S669" s="16">
        <f>IF(S668=15800,15800,ROUND((((Q669*60)/'Gearing Calculator'!$C$14)*'Track Data'!P669),-2))</f>
        <v>12700</v>
      </c>
      <c r="T669" s="16">
        <f t="shared" si="76"/>
        <v>5.5089295873629895</v>
      </c>
      <c r="U669" s="16">
        <f>IF(AC669=100,Braking!$AG$2354,IF(AC669=50,Braking!$AG$1179,IF(AC669=75,Braking!$AG$1767,0)))</f>
        <v>0</v>
      </c>
      <c r="V669" s="16">
        <f>0.5*'Gearing Calculator'!$C$15*'Gearing Calculator'!$C$20*'Gearing Calculator'!$W$20*('Track Data'!Q669^2)</f>
        <v>165.75648822469066</v>
      </c>
      <c r="W669" s="16">
        <f>('Gearing Calculator'!$U$9*'Track Data'!T669)+'Track Data'!V669</f>
        <v>1632.2335443807185</v>
      </c>
      <c r="X669" s="16">
        <f>('Gearing Calculator'!$U$9*9.81)*('Gearing Calculator'!$U$16/'Gearing Calculator'!$C$7)-(('Track Data'!W669)*('Gearing Calculator'!$U$17/'Gearing Calculator'!$C$7))</f>
        <v>511.48354699040738</v>
      </c>
      <c r="Y669" s="16">
        <f>('Gearing Calculator'!$U$9*9.81)*(('Gearing Calculator'!$C$7-'Gearing Calculator'!$U$16)/'Gearing Calculator'!$C$7)+(('Track Data'!W669)*('Gearing Calculator'!$U$17/'Gearing Calculator'!$C$7))</f>
        <v>2099.9384530095926</v>
      </c>
      <c r="Z669" s="16">
        <f>((X669*COS('Gearing Calculator'!$C$21))/'Gearing Calculator'!$C$22)/2</f>
        <v>15.813453588308835</v>
      </c>
      <c r="AA669" s="16">
        <f>Y669/'Gearing Calculator'!$C$24</f>
        <v>29.322184094578887</v>
      </c>
      <c r="AB669" s="16">
        <f t="shared" si="72"/>
        <v>182.28327698677964</v>
      </c>
      <c r="AC669" s="16">
        <v>0</v>
      </c>
      <c r="AD669" s="16">
        <v>51.415226335993168</v>
      </c>
      <c r="AE669" s="16">
        <v>666</v>
      </c>
      <c r="AF669" s="16">
        <f>IF(AC669=0,IF(O669=6,INDEX(Acceleration!$V$4:$V$110,MATCH('Track Data'!S669,Acceleration!$K$4:$K$110,0)),IF('Track Data'!O669=5,INDEX(Acceleration!$U$4:$U$110,MATCH('Track Data'!S669,Acceleration!$K$4:$K$110,0)),1)),U669)</f>
        <v>1</v>
      </c>
      <c r="AG669" s="16">
        <f>IF(AC669=0,IF(O669=4,INDEX(Acceleration!$T$4:$T$110,MATCH('Track Data'!S669,Acceleration!$K$4:$K$110,0)),IF('Track Data'!O669=3,INDEX(Acceleration!$S$4:$S$110,MATCH('Track Data'!S669,Acceleration!$K$4:$K$110,0)),'Track Data'!AF669)),'Track Data'!U669)</f>
        <v>5.5089295873629895</v>
      </c>
      <c r="AH669" s="16">
        <f>IF(AC669=0,IF(O669=2,INDEX(Acceleration!$R$4:$R$110,MATCH('Track Data'!S669,Acceleration!$K$4:$K$110,0)),IF('Track Data'!O669=1,INDEX(Acceleration!$Q$4:$Q$110,MATCH('Track Data'!S669,Acceleration!$K$4:$K$110,0)),'Track Data'!AG669)),'Track Data'!U669)</f>
        <v>5.5089295873629895</v>
      </c>
    </row>
    <row r="670" spans="2:34" x14ac:dyDescent="0.25">
      <c r="B670" s="16">
        <v>216.11799999999999</v>
      </c>
      <c r="C670" s="16">
        <v>7940</v>
      </c>
      <c r="D670" s="16">
        <v>667</v>
      </c>
      <c r="E670" s="113">
        <v>146</v>
      </c>
      <c r="F670" s="113">
        <v>137.80000000000001</v>
      </c>
      <c r="G670" s="113">
        <v>127.4</v>
      </c>
      <c r="H670" s="113">
        <f t="shared" si="75"/>
        <v>35.388888888888893</v>
      </c>
      <c r="I670" s="113">
        <v>14.3</v>
      </c>
      <c r="J670" s="113">
        <v>37.44</v>
      </c>
      <c r="K670" s="113">
        <v>35.6</v>
      </c>
      <c r="L670" s="183"/>
      <c r="M670" s="16">
        <v>667</v>
      </c>
      <c r="N670" s="16">
        <f t="shared" si="77"/>
        <v>2.5269092609066537E-2</v>
      </c>
      <c r="O670" s="16">
        <v>3</v>
      </c>
      <c r="P670" s="16">
        <f t="shared" si="73"/>
        <v>10.596205962059623</v>
      </c>
      <c r="Q670" s="16">
        <f t="shared" si="78"/>
        <v>39.574036767794368</v>
      </c>
      <c r="R670" s="113">
        <f t="shared" si="74"/>
        <v>345.36</v>
      </c>
      <c r="S670" s="16">
        <f>IF(S669=15800,15800,ROUND((((Q670*60)/'Gearing Calculator'!$C$14)*'Track Data'!P670),-2))</f>
        <v>12700</v>
      </c>
      <c r="T670" s="16">
        <f t="shared" si="76"/>
        <v>5.5089295873629895</v>
      </c>
      <c r="U670" s="16">
        <f>IF(AC670=100,Braking!$AG$2354,IF(AC670=50,Braking!$AG$1179,IF(AC670=75,Braking!$AG$1767,0)))</f>
        <v>0</v>
      </c>
      <c r="V670" s="16">
        <f>0.5*'Gearing Calculator'!$C$15*'Gearing Calculator'!$C$20*'Gearing Calculator'!$W$20*('Track Data'!Q670^2)</f>
        <v>165.75648822469066</v>
      </c>
      <c r="W670" s="16">
        <f>('Gearing Calculator'!$U$9*'Track Data'!T670)+'Track Data'!V670</f>
        <v>1632.2335443807185</v>
      </c>
      <c r="X670" s="16">
        <f>('Gearing Calculator'!$U$9*9.81)*('Gearing Calculator'!$U$16/'Gearing Calculator'!$C$7)-(('Track Data'!W670)*('Gearing Calculator'!$U$17/'Gearing Calculator'!$C$7))</f>
        <v>511.48354699040738</v>
      </c>
      <c r="Y670" s="16">
        <f>('Gearing Calculator'!$U$9*9.81)*(('Gearing Calculator'!$C$7-'Gearing Calculator'!$U$16)/'Gearing Calculator'!$C$7)+(('Track Data'!W670)*('Gearing Calculator'!$U$17/'Gearing Calculator'!$C$7))</f>
        <v>2099.9384530095926</v>
      </c>
      <c r="Z670" s="16">
        <f>((X670*COS('Gearing Calculator'!$C$21))/'Gearing Calculator'!$C$22)/2</f>
        <v>15.813453588308835</v>
      </c>
      <c r="AA670" s="16">
        <f>Y670/'Gearing Calculator'!$C$24</f>
        <v>29.322184094578887</v>
      </c>
      <c r="AB670" s="16">
        <f t="shared" si="72"/>
        <v>182.28327698677964</v>
      </c>
      <c r="AC670" s="16">
        <v>0</v>
      </c>
      <c r="AD670" s="16">
        <v>51.415226335993168</v>
      </c>
      <c r="AE670" s="16">
        <v>667</v>
      </c>
      <c r="AF670" s="16">
        <f>IF(AC670=0,IF(O670=6,INDEX(Acceleration!$V$4:$V$110,MATCH('Track Data'!S670,Acceleration!$K$4:$K$110,0)),IF('Track Data'!O670=5,INDEX(Acceleration!$U$4:$U$110,MATCH('Track Data'!S670,Acceleration!$K$4:$K$110,0)),1)),U670)</f>
        <v>1</v>
      </c>
      <c r="AG670" s="16">
        <f>IF(AC670=0,IF(O670=4,INDEX(Acceleration!$T$4:$T$110,MATCH('Track Data'!S670,Acceleration!$K$4:$K$110,0)),IF('Track Data'!O670=3,INDEX(Acceleration!$S$4:$S$110,MATCH('Track Data'!S670,Acceleration!$K$4:$K$110,0)),'Track Data'!AF670)),'Track Data'!U670)</f>
        <v>5.5089295873629895</v>
      </c>
      <c r="AH670" s="16">
        <f>IF(AC670=0,IF(O670=2,INDEX(Acceleration!$R$4:$R$110,MATCH('Track Data'!S670,Acceleration!$K$4:$K$110,0)),IF('Track Data'!O670=1,INDEX(Acceleration!$Q$4:$Q$110,MATCH('Track Data'!S670,Acceleration!$K$4:$K$110,0)),'Track Data'!AG670)),'Track Data'!U670)</f>
        <v>5.5089295873629895</v>
      </c>
    </row>
    <row r="671" spans="2:34" x14ac:dyDescent="0.25">
      <c r="B671" s="16">
        <v>216.14400000000001</v>
      </c>
      <c r="C671" s="16">
        <v>7941</v>
      </c>
      <c r="D671" s="16">
        <v>668</v>
      </c>
      <c r="E671" s="113">
        <v>147</v>
      </c>
      <c r="F671" s="113">
        <v>138.1</v>
      </c>
      <c r="G671" s="113">
        <v>127.7</v>
      </c>
      <c r="H671" s="113">
        <f t="shared" si="75"/>
        <v>35.472222222222221</v>
      </c>
      <c r="I671" s="113">
        <v>14.3</v>
      </c>
      <c r="J671" s="113">
        <v>37.49</v>
      </c>
      <c r="K671" s="113">
        <v>25.9</v>
      </c>
      <c r="L671" s="183"/>
      <c r="M671" s="16">
        <v>668</v>
      </c>
      <c r="N671" s="16">
        <f t="shared" si="77"/>
        <v>2.5269092609066537E-2</v>
      </c>
      <c r="O671" s="16">
        <v>3</v>
      </c>
      <c r="P671" s="16">
        <f t="shared" si="73"/>
        <v>10.596205962059623</v>
      </c>
      <c r="Q671" s="16">
        <f t="shared" si="78"/>
        <v>39.574036767794368</v>
      </c>
      <c r="R671" s="113">
        <f t="shared" si="74"/>
        <v>345.36</v>
      </c>
      <c r="S671" s="16">
        <f>IF(S670=15800,15800,ROUND((((Q671*60)/'Gearing Calculator'!$C$14)*'Track Data'!P671),-2))</f>
        <v>12700</v>
      </c>
      <c r="T671" s="16">
        <f t="shared" si="76"/>
        <v>5.5089295873629895</v>
      </c>
      <c r="U671" s="16">
        <f>IF(AC671=100,Braking!$AG$2354,IF(AC671=50,Braking!$AG$1179,IF(AC671=75,Braking!$AG$1767,0)))</f>
        <v>0</v>
      </c>
      <c r="V671" s="16">
        <f>0.5*'Gearing Calculator'!$C$15*'Gearing Calculator'!$C$20*'Gearing Calculator'!$W$20*('Track Data'!Q671^2)</f>
        <v>165.75648822469066</v>
      </c>
      <c r="W671" s="16">
        <f>('Gearing Calculator'!$U$9*'Track Data'!T671)+'Track Data'!V671</f>
        <v>1632.2335443807185</v>
      </c>
      <c r="X671" s="16">
        <f>('Gearing Calculator'!$U$9*9.81)*('Gearing Calculator'!$U$16/'Gearing Calculator'!$C$7)-(('Track Data'!W671)*('Gearing Calculator'!$U$17/'Gearing Calculator'!$C$7))</f>
        <v>511.48354699040738</v>
      </c>
      <c r="Y671" s="16">
        <f>('Gearing Calculator'!$U$9*9.81)*(('Gearing Calculator'!$C$7-'Gearing Calculator'!$U$16)/'Gearing Calculator'!$C$7)+(('Track Data'!W671)*('Gearing Calculator'!$U$17/'Gearing Calculator'!$C$7))</f>
        <v>2099.9384530095926</v>
      </c>
      <c r="Z671" s="16">
        <f>((X671*COS('Gearing Calculator'!$C$21))/'Gearing Calculator'!$C$22)/2</f>
        <v>15.813453588308835</v>
      </c>
      <c r="AA671" s="16">
        <f>Y671/'Gearing Calculator'!$C$24</f>
        <v>29.322184094578887</v>
      </c>
      <c r="AB671" s="16">
        <f t="shared" si="72"/>
        <v>182.28327698677964</v>
      </c>
      <c r="AC671" s="16">
        <v>0</v>
      </c>
      <c r="AD671" s="16">
        <v>51.415226335993168</v>
      </c>
      <c r="AE671" s="16">
        <v>668</v>
      </c>
      <c r="AF671" s="16">
        <f>IF(AC671=0,IF(O671=6,INDEX(Acceleration!$V$4:$V$110,MATCH('Track Data'!S671,Acceleration!$K$4:$K$110,0)),IF('Track Data'!O671=5,INDEX(Acceleration!$U$4:$U$110,MATCH('Track Data'!S671,Acceleration!$K$4:$K$110,0)),1)),U671)</f>
        <v>1</v>
      </c>
      <c r="AG671" s="16">
        <f>IF(AC671=0,IF(O671=4,INDEX(Acceleration!$T$4:$T$110,MATCH('Track Data'!S671,Acceleration!$K$4:$K$110,0)),IF('Track Data'!O671=3,INDEX(Acceleration!$S$4:$S$110,MATCH('Track Data'!S671,Acceleration!$K$4:$K$110,0)),'Track Data'!AF671)),'Track Data'!U671)</f>
        <v>5.5089295873629895</v>
      </c>
      <c r="AH671" s="16">
        <f>IF(AC671=0,IF(O671=2,INDEX(Acceleration!$R$4:$R$110,MATCH('Track Data'!S671,Acceleration!$K$4:$K$110,0)),IF('Track Data'!O671=1,INDEX(Acceleration!$Q$4:$Q$110,MATCH('Track Data'!S671,Acceleration!$K$4:$K$110,0)),'Track Data'!AG671)),'Track Data'!U671)</f>
        <v>5.5089295873629895</v>
      </c>
    </row>
    <row r="672" spans="2:34" x14ac:dyDescent="0.25">
      <c r="B672" s="16">
        <v>216.16900000000001</v>
      </c>
      <c r="C672" s="16">
        <v>7942</v>
      </c>
      <c r="D672" s="16">
        <v>669</v>
      </c>
      <c r="E672" s="113">
        <v>147</v>
      </c>
      <c r="F672" s="113">
        <v>138.30000000000001</v>
      </c>
      <c r="G672" s="113">
        <v>127.9</v>
      </c>
      <c r="H672" s="113">
        <f t="shared" si="75"/>
        <v>35.527777777777779</v>
      </c>
      <c r="I672" s="113">
        <v>13.7</v>
      </c>
      <c r="J672" s="113">
        <v>38.200000000000003</v>
      </c>
      <c r="K672" s="113">
        <v>20.6</v>
      </c>
      <c r="L672" s="183"/>
      <c r="M672" s="16">
        <v>669</v>
      </c>
      <c r="N672" s="16">
        <f t="shared" si="77"/>
        <v>2.5269092609066537E-2</v>
      </c>
      <c r="O672" s="16">
        <v>3</v>
      </c>
      <c r="P672" s="16">
        <f t="shared" si="73"/>
        <v>10.596205962059623</v>
      </c>
      <c r="Q672" s="16">
        <f t="shared" si="78"/>
        <v>39.574036767794368</v>
      </c>
      <c r="R672" s="113">
        <f t="shared" si="74"/>
        <v>345.36</v>
      </c>
      <c r="S672" s="16">
        <f>IF(S671=15800,15800,ROUND((((Q672*60)/'Gearing Calculator'!$C$14)*'Track Data'!P672),-2))</f>
        <v>12700</v>
      </c>
      <c r="T672" s="16">
        <f t="shared" si="76"/>
        <v>5.5089295873629895</v>
      </c>
      <c r="U672" s="16">
        <f>IF(AC672=100,Braking!$AG$2354,IF(AC672=50,Braking!$AG$1179,IF(AC672=75,Braking!$AG$1767,0)))</f>
        <v>0</v>
      </c>
      <c r="V672" s="16">
        <f>0.5*'Gearing Calculator'!$C$15*'Gearing Calculator'!$C$20*'Gearing Calculator'!$W$20*('Track Data'!Q672^2)</f>
        <v>165.75648822469066</v>
      </c>
      <c r="W672" s="16">
        <f>('Gearing Calculator'!$U$9*'Track Data'!T672)+'Track Data'!V672</f>
        <v>1632.2335443807185</v>
      </c>
      <c r="X672" s="16">
        <f>('Gearing Calculator'!$U$9*9.81)*('Gearing Calculator'!$U$16/'Gearing Calculator'!$C$7)-(('Track Data'!W672)*('Gearing Calculator'!$U$17/'Gearing Calculator'!$C$7))</f>
        <v>511.48354699040738</v>
      </c>
      <c r="Y672" s="16">
        <f>('Gearing Calculator'!$U$9*9.81)*(('Gearing Calculator'!$C$7-'Gearing Calculator'!$U$16)/'Gearing Calculator'!$C$7)+(('Track Data'!W672)*('Gearing Calculator'!$U$17/'Gearing Calculator'!$C$7))</f>
        <v>2099.9384530095926</v>
      </c>
      <c r="Z672" s="16">
        <f>((X672*COS('Gearing Calculator'!$C$21))/'Gearing Calculator'!$C$22)/2</f>
        <v>15.813453588308835</v>
      </c>
      <c r="AA672" s="16">
        <f>Y672/'Gearing Calculator'!$C$24</f>
        <v>29.322184094578887</v>
      </c>
      <c r="AB672" s="16">
        <f t="shared" si="72"/>
        <v>182.28327698677964</v>
      </c>
      <c r="AC672" s="16">
        <v>0</v>
      </c>
      <c r="AD672" s="16">
        <v>51.415226335993168</v>
      </c>
      <c r="AE672" s="16">
        <v>669</v>
      </c>
      <c r="AF672" s="16">
        <f>IF(AC672=0,IF(O672=6,INDEX(Acceleration!$V$4:$V$110,MATCH('Track Data'!S672,Acceleration!$K$4:$K$110,0)),IF('Track Data'!O672=5,INDEX(Acceleration!$U$4:$U$110,MATCH('Track Data'!S672,Acceleration!$K$4:$K$110,0)),1)),U672)</f>
        <v>1</v>
      </c>
      <c r="AG672" s="16">
        <f>IF(AC672=0,IF(O672=4,INDEX(Acceleration!$T$4:$T$110,MATCH('Track Data'!S672,Acceleration!$K$4:$K$110,0)),IF('Track Data'!O672=3,INDEX(Acceleration!$S$4:$S$110,MATCH('Track Data'!S672,Acceleration!$K$4:$K$110,0)),'Track Data'!AF672)),'Track Data'!U672)</f>
        <v>5.5089295873629895</v>
      </c>
      <c r="AH672" s="16">
        <f>IF(AC672=0,IF(O672=2,INDEX(Acceleration!$R$4:$R$110,MATCH('Track Data'!S672,Acceleration!$K$4:$K$110,0)),IF('Track Data'!O672=1,INDEX(Acceleration!$Q$4:$Q$110,MATCH('Track Data'!S672,Acceleration!$K$4:$K$110,0)),'Track Data'!AG672)),'Track Data'!U672)</f>
        <v>5.5089295873629895</v>
      </c>
    </row>
    <row r="673" spans="2:34" x14ac:dyDescent="0.25">
      <c r="B673" s="16">
        <v>216.196</v>
      </c>
      <c r="C673" s="16">
        <v>7943</v>
      </c>
      <c r="D673" s="16">
        <v>670</v>
      </c>
      <c r="E673" s="113">
        <v>147</v>
      </c>
      <c r="F673" s="113">
        <v>138.30000000000001</v>
      </c>
      <c r="G673" s="113">
        <v>128.19999999999999</v>
      </c>
      <c r="H673" s="113">
        <f t="shared" si="75"/>
        <v>35.611111111111107</v>
      </c>
      <c r="I673" s="113">
        <v>14.6</v>
      </c>
      <c r="J673" s="113">
        <v>42.88</v>
      </c>
      <c r="K673" s="113">
        <v>20.6</v>
      </c>
      <c r="L673" s="183"/>
      <c r="M673" s="16">
        <v>670</v>
      </c>
      <c r="N673" s="16">
        <f t="shared" si="77"/>
        <v>2.5269092609066537E-2</v>
      </c>
      <c r="O673" s="16">
        <v>3</v>
      </c>
      <c r="P673" s="16">
        <f t="shared" si="73"/>
        <v>10.596205962059623</v>
      </c>
      <c r="Q673" s="16">
        <f t="shared" si="78"/>
        <v>39.574036767794368</v>
      </c>
      <c r="R673" s="113">
        <f t="shared" si="74"/>
        <v>345.36</v>
      </c>
      <c r="S673" s="16">
        <f>IF(S672=15800,15800,ROUND((((Q673*60)/'Gearing Calculator'!$C$14)*'Track Data'!P673),-2))</f>
        <v>12700</v>
      </c>
      <c r="T673" s="16">
        <f t="shared" si="76"/>
        <v>5.5089295873629895</v>
      </c>
      <c r="U673" s="16">
        <f>IF(AC673=100,Braking!$AG$2354,IF(AC673=50,Braking!$AG$1179,IF(AC673=75,Braking!$AG$1767,0)))</f>
        <v>0</v>
      </c>
      <c r="V673" s="16">
        <f>0.5*'Gearing Calculator'!$C$15*'Gearing Calculator'!$C$20*'Gearing Calculator'!$W$20*('Track Data'!Q673^2)</f>
        <v>165.75648822469066</v>
      </c>
      <c r="W673" s="16">
        <f>('Gearing Calculator'!$U$9*'Track Data'!T673)+'Track Data'!V673</f>
        <v>1632.2335443807185</v>
      </c>
      <c r="X673" s="16">
        <f>('Gearing Calculator'!$U$9*9.81)*('Gearing Calculator'!$U$16/'Gearing Calculator'!$C$7)-(('Track Data'!W673)*('Gearing Calculator'!$U$17/'Gearing Calculator'!$C$7))</f>
        <v>511.48354699040738</v>
      </c>
      <c r="Y673" s="16">
        <f>('Gearing Calculator'!$U$9*9.81)*(('Gearing Calculator'!$C$7-'Gearing Calculator'!$U$16)/'Gearing Calculator'!$C$7)+(('Track Data'!W673)*('Gearing Calculator'!$U$17/'Gearing Calculator'!$C$7))</f>
        <v>2099.9384530095926</v>
      </c>
      <c r="Z673" s="16">
        <f>((X673*COS('Gearing Calculator'!$C$21))/'Gearing Calculator'!$C$22)/2</f>
        <v>15.813453588308835</v>
      </c>
      <c r="AA673" s="16">
        <f>Y673/'Gearing Calculator'!$C$24</f>
        <v>29.322184094578887</v>
      </c>
      <c r="AB673" s="16">
        <f t="shared" si="72"/>
        <v>182.28327698677964</v>
      </c>
      <c r="AC673" s="16">
        <v>0</v>
      </c>
      <c r="AD673" s="16">
        <v>51.415226335993168</v>
      </c>
      <c r="AE673" s="16">
        <v>670</v>
      </c>
      <c r="AF673" s="16">
        <f>IF(AC673=0,IF(O673=6,INDEX(Acceleration!$V$4:$V$110,MATCH('Track Data'!S673,Acceleration!$K$4:$K$110,0)),IF('Track Data'!O673=5,INDEX(Acceleration!$U$4:$U$110,MATCH('Track Data'!S673,Acceleration!$K$4:$K$110,0)),1)),U673)</f>
        <v>1</v>
      </c>
      <c r="AG673" s="16">
        <f>IF(AC673=0,IF(O673=4,INDEX(Acceleration!$T$4:$T$110,MATCH('Track Data'!S673,Acceleration!$K$4:$K$110,0)),IF('Track Data'!O673=3,INDEX(Acceleration!$S$4:$S$110,MATCH('Track Data'!S673,Acceleration!$K$4:$K$110,0)),'Track Data'!AF673)),'Track Data'!U673)</f>
        <v>5.5089295873629895</v>
      </c>
      <c r="AH673" s="16">
        <f>IF(AC673=0,IF(O673=2,INDEX(Acceleration!$R$4:$R$110,MATCH('Track Data'!S673,Acceleration!$K$4:$K$110,0)),IF('Track Data'!O673=1,INDEX(Acceleration!$Q$4:$Q$110,MATCH('Track Data'!S673,Acceleration!$K$4:$K$110,0)),'Track Data'!AG673)),'Track Data'!U673)</f>
        <v>5.5089295873629895</v>
      </c>
    </row>
    <row r="674" spans="2:34" x14ac:dyDescent="0.25">
      <c r="B674" s="16">
        <v>216.221</v>
      </c>
      <c r="C674" s="16">
        <v>7944</v>
      </c>
      <c r="D674" s="16">
        <v>671</v>
      </c>
      <c r="E674" s="113">
        <v>146</v>
      </c>
      <c r="F674" s="113">
        <v>138.69999999999999</v>
      </c>
      <c r="G674" s="113">
        <v>128.4</v>
      </c>
      <c r="H674" s="113">
        <f t="shared" si="75"/>
        <v>35.666666666666664</v>
      </c>
      <c r="I674" s="113">
        <v>16.5</v>
      </c>
      <c r="J674" s="113">
        <v>41.43</v>
      </c>
      <c r="K674" s="113">
        <v>20.6</v>
      </c>
      <c r="L674" s="183"/>
      <c r="M674" s="16">
        <v>671</v>
      </c>
      <c r="N674" s="16">
        <f t="shared" si="77"/>
        <v>2.5269092609066537E-2</v>
      </c>
      <c r="O674" s="16">
        <v>3</v>
      </c>
      <c r="P674" s="16">
        <f t="shared" si="73"/>
        <v>10.596205962059623</v>
      </c>
      <c r="Q674" s="16">
        <f t="shared" si="78"/>
        <v>39.574036767794368</v>
      </c>
      <c r="R674" s="113">
        <f t="shared" si="74"/>
        <v>345.36</v>
      </c>
      <c r="S674" s="16">
        <f>IF(S673=15800,15800,ROUND((((Q674*60)/'Gearing Calculator'!$C$14)*'Track Data'!P674),-2))</f>
        <v>12700</v>
      </c>
      <c r="T674" s="16">
        <f t="shared" si="76"/>
        <v>5.5089295873629895</v>
      </c>
      <c r="U674" s="16">
        <f>IF(AC674=100,Braking!$AG$2354,IF(AC674=50,Braking!$AG$1179,IF(AC674=75,Braking!$AG$1767,0)))</f>
        <v>0</v>
      </c>
      <c r="V674" s="16">
        <f>0.5*'Gearing Calculator'!$C$15*'Gearing Calculator'!$C$20*'Gearing Calculator'!$W$20*('Track Data'!Q674^2)</f>
        <v>165.75648822469066</v>
      </c>
      <c r="W674" s="16">
        <f>('Gearing Calculator'!$U$9*'Track Data'!T674)+'Track Data'!V674</f>
        <v>1632.2335443807185</v>
      </c>
      <c r="X674" s="16">
        <f>('Gearing Calculator'!$U$9*9.81)*('Gearing Calculator'!$U$16/'Gearing Calculator'!$C$7)-(('Track Data'!W674)*('Gearing Calculator'!$U$17/'Gearing Calculator'!$C$7))</f>
        <v>511.48354699040738</v>
      </c>
      <c r="Y674" s="16">
        <f>('Gearing Calculator'!$U$9*9.81)*(('Gearing Calculator'!$C$7-'Gearing Calculator'!$U$16)/'Gearing Calculator'!$C$7)+(('Track Data'!W674)*('Gearing Calculator'!$U$17/'Gearing Calculator'!$C$7))</f>
        <v>2099.9384530095926</v>
      </c>
      <c r="Z674" s="16">
        <f>((X674*COS('Gearing Calculator'!$C$21))/'Gearing Calculator'!$C$22)/2</f>
        <v>15.813453588308835</v>
      </c>
      <c r="AA674" s="16">
        <f>Y674/'Gearing Calculator'!$C$24</f>
        <v>29.322184094578887</v>
      </c>
      <c r="AB674" s="16">
        <f t="shared" si="72"/>
        <v>182.28327698677964</v>
      </c>
      <c r="AC674" s="16">
        <v>0</v>
      </c>
      <c r="AD674" s="16">
        <v>51.415226335993168</v>
      </c>
      <c r="AE674" s="16">
        <v>671</v>
      </c>
      <c r="AF674" s="16">
        <f>IF(AC674=0,IF(O674=6,INDEX(Acceleration!$V$4:$V$110,MATCH('Track Data'!S674,Acceleration!$K$4:$K$110,0)),IF('Track Data'!O674=5,INDEX(Acceleration!$U$4:$U$110,MATCH('Track Data'!S674,Acceleration!$K$4:$K$110,0)),1)),U674)</f>
        <v>1</v>
      </c>
      <c r="AG674" s="16">
        <f>IF(AC674=0,IF(O674=4,INDEX(Acceleration!$T$4:$T$110,MATCH('Track Data'!S674,Acceleration!$K$4:$K$110,0)),IF('Track Data'!O674=3,INDEX(Acceleration!$S$4:$S$110,MATCH('Track Data'!S674,Acceleration!$K$4:$K$110,0)),'Track Data'!AF674)),'Track Data'!U674)</f>
        <v>5.5089295873629895</v>
      </c>
      <c r="AH674" s="16">
        <f>IF(AC674=0,IF(O674=2,INDEX(Acceleration!$R$4:$R$110,MATCH('Track Data'!S674,Acceleration!$K$4:$K$110,0)),IF('Track Data'!O674=1,INDEX(Acceleration!$Q$4:$Q$110,MATCH('Track Data'!S674,Acceleration!$K$4:$K$110,0)),'Track Data'!AG674)),'Track Data'!U674)</f>
        <v>5.5089295873629895</v>
      </c>
    </row>
    <row r="675" spans="2:34" x14ac:dyDescent="0.25">
      <c r="B675" s="16">
        <v>216.24799999999999</v>
      </c>
      <c r="C675" s="16">
        <v>7945</v>
      </c>
      <c r="D675" s="16">
        <v>672</v>
      </c>
      <c r="E675" s="113">
        <v>146</v>
      </c>
      <c r="F675" s="113">
        <v>138.9</v>
      </c>
      <c r="G675" s="113">
        <v>128.6</v>
      </c>
      <c r="H675" s="113">
        <f t="shared" si="75"/>
        <v>35.722222222222221</v>
      </c>
      <c r="I675" s="113">
        <v>17.3</v>
      </c>
      <c r="J675" s="113">
        <v>38.049999999999997</v>
      </c>
      <c r="K675" s="113">
        <v>22.3</v>
      </c>
      <c r="L675" s="183"/>
      <c r="M675" s="16">
        <v>672</v>
      </c>
      <c r="N675" s="16">
        <f t="shared" si="77"/>
        <v>2.5269092609066537E-2</v>
      </c>
      <c r="O675" s="16">
        <v>3</v>
      </c>
      <c r="P675" s="16">
        <f t="shared" si="73"/>
        <v>10.596205962059623</v>
      </c>
      <c r="Q675" s="16">
        <f t="shared" si="78"/>
        <v>39.574036767794368</v>
      </c>
      <c r="R675" s="113">
        <f t="shared" si="74"/>
        <v>345.36</v>
      </c>
      <c r="S675" s="16">
        <f>IF(S674=15800,15800,ROUND((((Q675*60)/'Gearing Calculator'!$C$14)*'Track Data'!P675),-2))</f>
        <v>12700</v>
      </c>
      <c r="T675" s="16">
        <f t="shared" si="76"/>
        <v>5.5089295873629895</v>
      </c>
      <c r="U675" s="16">
        <f>IF(AC675=100,Braking!$AG$2354,IF(AC675=50,Braking!$AG$1179,IF(AC675=75,Braking!$AG$1767,0)))</f>
        <v>0</v>
      </c>
      <c r="V675" s="16">
        <f>0.5*'Gearing Calculator'!$C$15*'Gearing Calculator'!$C$20*'Gearing Calculator'!$W$20*('Track Data'!Q675^2)</f>
        <v>165.75648822469066</v>
      </c>
      <c r="W675" s="16">
        <f>('Gearing Calculator'!$U$9*'Track Data'!T675)+'Track Data'!V675</f>
        <v>1632.2335443807185</v>
      </c>
      <c r="X675" s="16">
        <f>('Gearing Calculator'!$U$9*9.81)*('Gearing Calculator'!$U$16/'Gearing Calculator'!$C$7)-(('Track Data'!W675)*('Gearing Calculator'!$U$17/'Gearing Calculator'!$C$7))</f>
        <v>511.48354699040738</v>
      </c>
      <c r="Y675" s="16">
        <f>('Gearing Calculator'!$U$9*9.81)*(('Gearing Calculator'!$C$7-'Gearing Calculator'!$U$16)/'Gearing Calculator'!$C$7)+(('Track Data'!W675)*('Gearing Calculator'!$U$17/'Gearing Calculator'!$C$7))</f>
        <v>2099.9384530095926</v>
      </c>
      <c r="Z675" s="16">
        <f>((X675*COS('Gearing Calculator'!$C$21))/'Gearing Calculator'!$C$22)/2</f>
        <v>15.813453588308835</v>
      </c>
      <c r="AA675" s="16">
        <f>Y675/'Gearing Calculator'!$C$24</f>
        <v>29.322184094578887</v>
      </c>
      <c r="AB675" s="16">
        <f t="shared" si="72"/>
        <v>182.28327698677964</v>
      </c>
      <c r="AC675" s="16">
        <v>0</v>
      </c>
      <c r="AD675" s="16">
        <v>51.415226335993168</v>
      </c>
      <c r="AE675" s="16">
        <v>672</v>
      </c>
      <c r="AF675" s="16">
        <f>IF(AC675=0,IF(O675=6,INDEX(Acceleration!$V$4:$V$110,MATCH('Track Data'!S675,Acceleration!$K$4:$K$110,0)),IF('Track Data'!O675=5,INDEX(Acceleration!$U$4:$U$110,MATCH('Track Data'!S675,Acceleration!$K$4:$K$110,0)),1)),U675)</f>
        <v>1</v>
      </c>
      <c r="AG675" s="16">
        <f>IF(AC675=0,IF(O675=4,INDEX(Acceleration!$T$4:$T$110,MATCH('Track Data'!S675,Acceleration!$K$4:$K$110,0)),IF('Track Data'!O675=3,INDEX(Acceleration!$S$4:$S$110,MATCH('Track Data'!S675,Acceleration!$K$4:$K$110,0)),'Track Data'!AF675)),'Track Data'!U675)</f>
        <v>5.5089295873629895</v>
      </c>
      <c r="AH675" s="16">
        <f>IF(AC675=0,IF(O675=2,INDEX(Acceleration!$R$4:$R$110,MATCH('Track Data'!S675,Acceleration!$K$4:$K$110,0)),IF('Track Data'!O675=1,INDEX(Acceleration!$Q$4:$Q$110,MATCH('Track Data'!S675,Acceleration!$K$4:$K$110,0)),'Track Data'!AG675)),'Track Data'!U675)</f>
        <v>5.5089295873629895</v>
      </c>
    </row>
    <row r="676" spans="2:34" x14ac:dyDescent="0.25">
      <c r="B676" s="16">
        <v>216.273</v>
      </c>
      <c r="C676" s="16">
        <v>7946</v>
      </c>
      <c r="D676" s="16">
        <v>673</v>
      </c>
      <c r="E676" s="113">
        <v>148</v>
      </c>
      <c r="F676" s="113">
        <v>138.80000000000001</v>
      </c>
      <c r="G676" s="113">
        <v>129</v>
      </c>
      <c r="H676" s="113">
        <f t="shared" si="75"/>
        <v>35.833333333333336</v>
      </c>
      <c r="I676" s="113">
        <v>16.100000000000001</v>
      </c>
      <c r="J676" s="113">
        <v>40.46</v>
      </c>
      <c r="K676" s="113">
        <v>35.6</v>
      </c>
      <c r="L676" s="183"/>
      <c r="M676" s="16">
        <v>673</v>
      </c>
      <c r="N676" s="16">
        <f t="shared" si="77"/>
        <v>2.5269092609066537E-2</v>
      </c>
      <c r="O676" s="16">
        <v>3</v>
      </c>
      <c r="P676" s="16">
        <f t="shared" si="73"/>
        <v>10.596205962059623</v>
      </c>
      <c r="Q676" s="16">
        <f t="shared" si="78"/>
        <v>39.574036767794368</v>
      </c>
      <c r="R676" s="113">
        <f t="shared" si="74"/>
        <v>345.36</v>
      </c>
      <c r="S676" s="16">
        <f>IF(S675=15800,15800,ROUND((((Q676*60)/'Gearing Calculator'!$C$14)*'Track Data'!P676),-2))</f>
        <v>12700</v>
      </c>
      <c r="T676" s="16">
        <f t="shared" si="76"/>
        <v>5.5089295873629895</v>
      </c>
      <c r="U676" s="16">
        <f>IF(AC676=100,Braking!$AG$2354,IF(AC676=50,Braking!$AG$1179,IF(AC676=75,Braking!$AG$1767,0)))</f>
        <v>0</v>
      </c>
      <c r="V676" s="16">
        <f>0.5*'Gearing Calculator'!$C$15*'Gearing Calculator'!$C$20*'Gearing Calculator'!$W$20*('Track Data'!Q676^2)</f>
        <v>165.75648822469066</v>
      </c>
      <c r="W676" s="16">
        <f>('Gearing Calculator'!$U$9*'Track Data'!T676)+'Track Data'!V676</f>
        <v>1632.2335443807185</v>
      </c>
      <c r="X676" s="16">
        <f>('Gearing Calculator'!$U$9*9.81)*('Gearing Calculator'!$U$16/'Gearing Calculator'!$C$7)-(('Track Data'!W676)*('Gearing Calculator'!$U$17/'Gearing Calculator'!$C$7))</f>
        <v>511.48354699040738</v>
      </c>
      <c r="Y676" s="16">
        <f>('Gearing Calculator'!$U$9*9.81)*(('Gearing Calculator'!$C$7-'Gearing Calculator'!$U$16)/'Gearing Calculator'!$C$7)+(('Track Data'!W676)*('Gearing Calculator'!$U$17/'Gearing Calculator'!$C$7))</f>
        <v>2099.9384530095926</v>
      </c>
      <c r="Z676" s="16">
        <f>((X676*COS('Gearing Calculator'!$C$21))/'Gearing Calculator'!$C$22)/2</f>
        <v>15.813453588308835</v>
      </c>
      <c r="AA676" s="16">
        <f>Y676/'Gearing Calculator'!$C$24</f>
        <v>29.322184094578887</v>
      </c>
      <c r="AB676" s="16">
        <f t="shared" si="72"/>
        <v>182.28327698677964</v>
      </c>
      <c r="AC676" s="16">
        <v>0</v>
      </c>
      <c r="AD676" s="16">
        <v>51.415226335993168</v>
      </c>
      <c r="AE676" s="16">
        <v>673</v>
      </c>
      <c r="AF676" s="16">
        <f>IF(AC676=0,IF(O676=6,INDEX(Acceleration!$V$4:$V$110,MATCH('Track Data'!S676,Acceleration!$K$4:$K$110,0)),IF('Track Data'!O676=5,INDEX(Acceleration!$U$4:$U$110,MATCH('Track Data'!S676,Acceleration!$K$4:$K$110,0)),1)),U676)</f>
        <v>1</v>
      </c>
      <c r="AG676" s="16">
        <f>IF(AC676=0,IF(O676=4,INDEX(Acceleration!$T$4:$T$110,MATCH('Track Data'!S676,Acceleration!$K$4:$K$110,0)),IF('Track Data'!O676=3,INDEX(Acceleration!$S$4:$S$110,MATCH('Track Data'!S676,Acceleration!$K$4:$K$110,0)),'Track Data'!AF676)),'Track Data'!U676)</f>
        <v>5.5089295873629895</v>
      </c>
      <c r="AH676" s="16">
        <f>IF(AC676=0,IF(O676=2,INDEX(Acceleration!$R$4:$R$110,MATCH('Track Data'!S676,Acceleration!$K$4:$K$110,0)),IF('Track Data'!O676=1,INDEX(Acceleration!$Q$4:$Q$110,MATCH('Track Data'!S676,Acceleration!$K$4:$K$110,0)),'Track Data'!AG676)),'Track Data'!U676)</f>
        <v>5.5089295873629895</v>
      </c>
    </row>
    <row r="677" spans="2:34" x14ac:dyDescent="0.25">
      <c r="B677" s="16">
        <v>216.29900000000001</v>
      </c>
      <c r="C677" s="16">
        <v>7947</v>
      </c>
      <c r="D677" s="16">
        <v>674</v>
      </c>
      <c r="E677" s="113">
        <v>148</v>
      </c>
      <c r="F677" s="113">
        <v>139</v>
      </c>
      <c r="G677" s="113">
        <v>129.19999999999999</v>
      </c>
      <c r="H677" s="113">
        <f t="shared" si="75"/>
        <v>35.888888888888886</v>
      </c>
      <c r="I677" s="113">
        <v>14.3</v>
      </c>
      <c r="J677" s="113">
        <v>40.46</v>
      </c>
      <c r="K677" s="113">
        <v>44.5</v>
      </c>
      <c r="L677" s="183"/>
      <c r="M677" s="16">
        <v>674</v>
      </c>
      <c r="N677" s="16">
        <f t="shared" si="77"/>
        <v>2.5269092609066537E-2</v>
      </c>
      <c r="O677" s="16">
        <v>3</v>
      </c>
      <c r="P677" s="16">
        <f t="shared" si="73"/>
        <v>10.596205962059623</v>
      </c>
      <c r="Q677" s="16">
        <f t="shared" si="78"/>
        <v>39.574036767794368</v>
      </c>
      <c r="R677" s="113">
        <f t="shared" si="74"/>
        <v>345.36</v>
      </c>
      <c r="S677" s="16">
        <f>IF(S676=15800,15800,ROUND((((Q677*60)/'Gearing Calculator'!$C$14)*'Track Data'!P677),-2))</f>
        <v>12700</v>
      </c>
      <c r="T677" s="16">
        <f t="shared" si="76"/>
        <v>5.5089295873629895</v>
      </c>
      <c r="U677" s="16">
        <f>IF(AC677=100,Braking!$AG$2354,IF(AC677=50,Braking!$AG$1179,IF(AC677=75,Braking!$AG$1767,0)))</f>
        <v>0</v>
      </c>
      <c r="V677" s="16">
        <f>0.5*'Gearing Calculator'!$C$15*'Gearing Calculator'!$C$20*'Gearing Calculator'!$W$20*('Track Data'!Q677^2)</f>
        <v>165.75648822469066</v>
      </c>
      <c r="W677" s="16">
        <f>('Gearing Calculator'!$U$9*'Track Data'!T677)+'Track Data'!V677</f>
        <v>1632.2335443807185</v>
      </c>
      <c r="X677" s="16">
        <f>('Gearing Calculator'!$U$9*9.81)*('Gearing Calculator'!$U$16/'Gearing Calculator'!$C$7)-(('Track Data'!W677)*('Gearing Calculator'!$U$17/'Gearing Calculator'!$C$7))</f>
        <v>511.48354699040738</v>
      </c>
      <c r="Y677" s="16">
        <f>('Gearing Calculator'!$U$9*9.81)*(('Gearing Calculator'!$C$7-'Gearing Calculator'!$U$16)/'Gearing Calculator'!$C$7)+(('Track Data'!W677)*('Gearing Calculator'!$U$17/'Gearing Calculator'!$C$7))</f>
        <v>2099.9384530095926</v>
      </c>
      <c r="Z677" s="16">
        <f>((X677*COS('Gearing Calculator'!$C$21))/'Gearing Calculator'!$C$22)/2</f>
        <v>15.813453588308835</v>
      </c>
      <c r="AA677" s="16">
        <f>Y677/'Gearing Calculator'!$C$24</f>
        <v>29.322184094578887</v>
      </c>
      <c r="AB677" s="16">
        <f t="shared" si="72"/>
        <v>182.28327698677964</v>
      </c>
      <c r="AC677" s="16">
        <v>0</v>
      </c>
      <c r="AD677" s="16">
        <v>51.415226335993168</v>
      </c>
      <c r="AE677" s="16">
        <v>674</v>
      </c>
      <c r="AF677" s="16">
        <f>IF(AC677=0,IF(O677=6,INDEX(Acceleration!$V$4:$V$110,MATCH('Track Data'!S677,Acceleration!$K$4:$K$110,0)),IF('Track Data'!O677=5,INDEX(Acceleration!$U$4:$U$110,MATCH('Track Data'!S677,Acceleration!$K$4:$K$110,0)),1)),U677)</f>
        <v>1</v>
      </c>
      <c r="AG677" s="16">
        <f>IF(AC677=0,IF(O677=4,INDEX(Acceleration!$T$4:$T$110,MATCH('Track Data'!S677,Acceleration!$K$4:$K$110,0)),IF('Track Data'!O677=3,INDEX(Acceleration!$S$4:$S$110,MATCH('Track Data'!S677,Acceleration!$K$4:$K$110,0)),'Track Data'!AF677)),'Track Data'!U677)</f>
        <v>5.5089295873629895</v>
      </c>
      <c r="AH677" s="16">
        <f>IF(AC677=0,IF(O677=2,INDEX(Acceleration!$R$4:$R$110,MATCH('Track Data'!S677,Acceleration!$K$4:$K$110,0)),IF('Track Data'!O677=1,INDEX(Acceleration!$Q$4:$Q$110,MATCH('Track Data'!S677,Acceleration!$K$4:$K$110,0)),'Track Data'!AG677)),'Track Data'!U677)</f>
        <v>5.5089295873629895</v>
      </c>
    </row>
    <row r="678" spans="2:34" x14ac:dyDescent="0.25">
      <c r="B678" s="16">
        <v>216.32499999999999</v>
      </c>
      <c r="C678" s="16">
        <v>7948</v>
      </c>
      <c r="D678" s="16">
        <v>675</v>
      </c>
      <c r="E678" s="113">
        <v>148</v>
      </c>
      <c r="F678" s="113">
        <v>139.4</v>
      </c>
      <c r="G678" s="113">
        <v>129.5</v>
      </c>
      <c r="H678" s="113">
        <f t="shared" si="75"/>
        <v>35.972222222222221</v>
      </c>
      <c r="I678" s="113">
        <v>13.6</v>
      </c>
      <c r="J678" s="113">
        <v>34.96</v>
      </c>
      <c r="K678" s="113">
        <v>56.2</v>
      </c>
      <c r="L678" s="183"/>
      <c r="M678" s="16">
        <v>675</v>
      </c>
      <c r="N678" s="16">
        <f t="shared" si="77"/>
        <v>2.5269092609066537E-2</v>
      </c>
      <c r="O678" s="16">
        <v>3</v>
      </c>
      <c r="P678" s="16">
        <f t="shared" si="73"/>
        <v>10.596205962059623</v>
      </c>
      <c r="Q678" s="16">
        <f t="shared" si="78"/>
        <v>39.574036767794368</v>
      </c>
      <c r="R678" s="113">
        <f t="shared" si="74"/>
        <v>345.36</v>
      </c>
      <c r="S678" s="16">
        <f>IF(S677=15800,15800,ROUND((((Q678*60)/'Gearing Calculator'!$C$14)*'Track Data'!P678),-2))</f>
        <v>12700</v>
      </c>
      <c r="T678" s="16">
        <f t="shared" si="76"/>
        <v>5.5089295873629895</v>
      </c>
      <c r="U678" s="16">
        <f>IF(AC678=100,Braking!$AG$2354,IF(AC678=50,Braking!$AG$1179,IF(AC678=75,Braking!$AG$1767,0)))</f>
        <v>0</v>
      </c>
      <c r="V678" s="16">
        <f>0.5*'Gearing Calculator'!$C$15*'Gearing Calculator'!$C$20*'Gearing Calculator'!$W$20*('Track Data'!Q678^2)</f>
        <v>165.75648822469066</v>
      </c>
      <c r="W678" s="16">
        <f>('Gearing Calculator'!$U$9*'Track Data'!T678)+'Track Data'!V678</f>
        <v>1632.2335443807185</v>
      </c>
      <c r="X678" s="16">
        <f>('Gearing Calculator'!$U$9*9.81)*('Gearing Calculator'!$U$16/'Gearing Calculator'!$C$7)-(('Track Data'!W678)*('Gearing Calculator'!$U$17/'Gearing Calculator'!$C$7))</f>
        <v>511.48354699040738</v>
      </c>
      <c r="Y678" s="16">
        <f>('Gearing Calculator'!$U$9*9.81)*(('Gearing Calculator'!$C$7-'Gearing Calculator'!$U$16)/'Gearing Calculator'!$C$7)+(('Track Data'!W678)*('Gearing Calculator'!$U$17/'Gearing Calculator'!$C$7))</f>
        <v>2099.9384530095926</v>
      </c>
      <c r="Z678" s="16">
        <f>((X678*COS('Gearing Calculator'!$C$21))/'Gearing Calculator'!$C$22)/2</f>
        <v>15.813453588308835</v>
      </c>
      <c r="AA678" s="16">
        <f>Y678/'Gearing Calculator'!$C$24</f>
        <v>29.322184094578887</v>
      </c>
      <c r="AB678" s="16">
        <f t="shared" si="72"/>
        <v>182.28327698677964</v>
      </c>
      <c r="AC678" s="16">
        <v>0</v>
      </c>
      <c r="AD678" s="16">
        <v>51.415226335993168</v>
      </c>
      <c r="AE678" s="16">
        <v>675</v>
      </c>
      <c r="AF678" s="16">
        <f>IF(AC678=0,IF(O678=6,INDEX(Acceleration!$V$4:$V$110,MATCH('Track Data'!S678,Acceleration!$K$4:$K$110,0)),IF('Track Data'!O678=5,INDEX(Acceleration!$U$4:$U$110,MATCH('Track Data'!S678,Acceleration!$K$4:$K$110,0)),1)),U678)</f>
        <v>1</v>
      </c>
      <c r="AG678" s="16">
        <f>IF(AC678=0,IF(O678=4,INDEX(Acceleration!$T$4:$T$110,MATCH('Track Data'!S678,Acceleration!$K$4:$K$110,0)),IF('Track Data'!O678=3,INDEX(Acceleration!$S$4:$S$110,MATCH('Track Data'!S678,Acceleration!$K$4:$K$110,0)),'Track Data'!AF678)),'Track Data'!U678)</f>
        <v>5.5089295873629895</v>
      </c>
      <c r="AH678" s="16">
        <f>IF(AC678=0,IF(O678=2,INDEX(Acceleration!$R$4:$R$110,MATCH('Track Data'!S678,Acceleration!$K$4:$K$110,0)),IF('Track Data'!O678=1,INDEX(Acceleration!$Q$4:$Q$110,MATCH('Track Data'!S678,Acceleration!$K$4:$K$110,0)),'Track Data'!AG678)),'Track Data'!U678)</f>
        <v>5.5089295873629895</v>
      </c>
    </row>
    <row r="679" spans="2:34" x14ac:dyDescent="0.25">
      <c r="B679" s="16">
        <v>216.351</v>
      </c>
      <c r="C679" s="16">
        <v>7949</v>
      </c>
      <c r="D679" s="16">
        <v>676</v>
      </c>
      <c r="E679" s="113">
        <v>149</v>
      </c>
      <c r="F679" s="113">
        <v>139.6</v>
      </c>
      <c r="G679" s="113">
        <v>129.9</v>
      </c>
      <c r="H679" s="113">
        <f t="shared" si="75"/>
        <v>36.083333333333336</v>
      </c>
      <c r="I679" s="113">
        <v>13.1</v>
      </c>
      <c r="J679" s="113">
        <v>34.659999999999997</v>
      </c>
      <c r="K679" s="113">
        <v>56.1</v>
      </c>
      <c r="L679" s="183"/>
      <c r="M679" s="16">
        <v>676</v>
      </c>
      <c r="N679" s="16">
        <f t="shared" si="77"/>
        <v>2.5269092609066537E-2</v>
      </c>
      <c r="O679" s="16">
        <v>3</v>
      </c>
      <c r="P679" s="16">
        <f t="shared" si="73"/>
        <v>10.596205962059623</v>
      </c>
      <c r="Q679" s="16">
        <f t="shared" si="78"/>
        <v>39.574036767794368</v>
      </c>
      <c r="R679" s="113">
        <f t="shared" si="74"/>
        <v>345.36</v>
      </c>
      <c r="S679" s="16">
        <f>IF(S678=15800,15800,ROUND((((Q679*60)/'Gearing Calculator'!$C$14)*'Track Data'!P679),-2))</f>
        <v>12700</v>
      </c>
      <c r="T679" s="16">
        <f t="shared" si="76"/>
        <v>5.5089295873629895</v>
      </c>
      <c r="U679" s="16">
        <f>IF(AC679=100,Braking!$AG$2354,IF(AC679=50,Braking!$AG$1179,IF(AC679=75,Braking!$AG$1767,0)))</f>
        <v>0</v>
      </c>
      <c r="V679" s="16">
        <f>0.5*'Gearing Calculator'!$C$15*'Gearing Calculator'!$C$20*'Gearing Calculator'!$W$20*('Track Data'!Q679^2)</f>
        <v>165.75648822469066</v>
      </c>
      <c r="W679" s="16">
        <f>('Gearing Calculator'!$U$9*'Track Data'!T679)+'Track Data'!V679</f>
        <v>1632.2335443807185</v>
      </c>
      <c r="X679" s="16">
        <f>('Gearing Calculator'!$U$9*9.81)*('Gearing Calculator'!$U$16/'Gearing Calculator'!$C$7)-(('Track Data'!W679)*('Gearing Calculator'!$U$17/'Gearing Calculator'!$C$7))</f>
        <v>511.48354699040738</v>
      </c>
      <c r="Y679" s="16">
        <f>('Gearing Calculator'!$U$9*9.81)*(('Gearing Calculator'!$C$7-'Gearing Calculator'!$U$16)/'Gearing Calculator'!$C$7)+(('Track Data'!W679)*('Gearing Calculator'!$U$17/'Gearing Calculator'!$C$7))</f>
        <v>2099.9384530095926</v>
      </c>
      <c r="Z679" s="16">
        <f>((X679*COS('Gearing Calculator'!$C$21))/'Gearing Calculator'!$C$22)/2</f>
        <v>15.813453588308835</v>
      </c>
      <c r="AA679" s="16">
        <f>Y679/'Gearing Calculator'!$C$24</f>
        <v>29.322184094578887</v>
      </c>
      <c r="AB679" s="16">
        <f t="shared" si="72"/>
        <v>182.28327698677964</v>
      </c>
      <c r="AC679" s="16">
        <v>0</v>
      </c>
      <c r="AD679" s="16">
        <v>51.415226335993168</v>
      </c>
      <c r="AE679" s="16">
        <v>676</v>
      </c>
      <c r="AF679" s="16">
        <f>IF(AC679=0,IF(O679=6,INDEX(Acceleration!$V$4:$V$110,MATCH('Track Data'!S679,Acceleration!$K$4:$K$110,0)),IF('Track Data'!O679=5,INDEX(Acceleration!$U$4:$U$110,MATCH('Track Data'!S679,Acceleration!$K$4:$K$110,0)),1)),U679)</f>
        <v>1</v>
      </c>
      <c r="AG679" s="16">
        <f>IF(AC679=0,IF(O679=4,INDEX(Acceleration!$T$4:$T$110,MATCH('Track Data'!S679,Acceleration!$K$4:$K$110,0)),IF('Track Data'!O679=3,INDEX(Acceleration!$S$4:$S$110,MATCH('Track Data'!S679,Acceleration!$K$4:$K$110,0)),'Track Data'!AF679)),'Track Data'!U679)</f>
        <v>5.5089295873629895</v>
      </c>
      <c r="AH679" s="16">
        <f>IF(AC679=0,IF(O679=2,INDEX(Acceleration!$R$4:$R$110,MATCH('Track Data'!S679,Acceleration!$K$4:$K$110,0)),IF('Track Data'!O679=1,INDEX(Acceleration!$Q$4:$Q$110,MATCH('Track Data'!S679,Acceleration!$K$4:$K$110,0)),'Track Data'!AG679)),'Track Data'!U679)</f>
        <v>5.5089295873629895</v>
      </c>
    </row>
    <row r="680" spans="2:34" x14ac:dyDescent="0.25">
      <c r="B680" s="16">
        <v>216.376</v>
      </c>
      <c r="C680" s="16">
        <v>7950</v>
      </c>
      <c r="D680" s="16">
        <v>677</v>
      </c>
      <c r="E680" s="113">
        <v>149</v>
      </c>
      <c r="F680" s="113">
        <v>139.80000000000001</v>
      </c>
      <c r="G680" s="113">
        <v>130.1</v>
      </c>
      <c r="H680" s="113">
        <f t="shared" si="75"/>
        <v>36.138888888888886</v>
      </c>
      <c r="I680" s="113">
        <v>12</v>
      </c>
      <c r="J680" s="113">
        <v>34.630000000000003</v>
      </c>
      <c r="K680" s="113">
        <v>56</v>
      </c>
      <c r="L680" s="183"/>
      <c r="M680" s="16">
        <v>677</v>
      </c>
      <c r="N680" s="16">
        <f t="shared" si="77"/>
        <v>2.5269092609066537E-2</v>
      </c>
      <c r="O680" s="16">
        <v>3</v>
      </c>
      <c r="P680" s="16">
        <f t="shared" si="73"/>
        <v>10.596205962059623</v>
      </c>
      <c r="Q680" s="16">
        <f t="shared" si="78"/>
        <v>39.574036767794368</v>
      </c>
      <c r="R680" s="113">
        <f t="shared" si="74"/>
        <v>345.36</v>
      </c>
      <c r="S680" s="16">
        <f>IF(S679=15800,15800,ROUND((((Q680*60)/'Gearing Calculator'!$C$14)*'Track Data'!P680),-2))</f>
        <v>12700</v>
      </c>
      <c r="T680" s="16">
        <f t="shared" si="76"/>
        <v>5.5089295873629895</v>
      </c>
      <c r="U680" s="16">
        <f>IF(AC680=100,Braking!$AG$2354,IF(AC680=50,Braking!$AG$1179,IF(AC680=75,Braking!$AG$1767,0)))</f>
        <v>0</v>
      </c>
      <c r="V680" s="16">
        <f>0.5*'Gearing Calculator'!$C$15*'Gearing Calculator'!$C$20*'Gearing Calculator'!$W$20*('Track Data'!Q680^2)</f>
        <v>165.75648822469066</v>
      </c>
      <c r="W680" s="16">
        <f>('Gearing Calculator'!$U$9*'Track Data'!T680)+'Track Data'!V680</f>
        <v>1632.2335443807185</v>
      </c>
      <c r="X680" s="16">
        <f>('Gearing Calculator'!$U$9*9.81)*('Gearing Calculator'!$U$16/'Gearing Calculator'!$C$7)-(('Track Data'!W680)*('Gearing Calculator'!$U$17/'Gearing Calculator'!$C$7))</f>
        <v>511.48354699040738</v>
      </c>
      <c r="Y680" s="16">
        <f>('Gearing Calculator'!$U$9*9.81)*(('Gearing Calculator'!$C$7-'Gearing Calculator'!$U$16)/'Gearing Calculator'!$C$7)+(('Track Data'!W680)*('Gearing Calculator'!$U$17/'Gearing Calculator'!$C$7))</f>
        <v>2099.9384530095926</v>
      </c>
      <c r="Z680" s="16">
        <f>((X680*COS('Gearing Calculator'!$C$21))/'Gearing Calculator'!$C$22)/2</f>
        <v>15.813453588308835</v>
      </c>
      <c r="AA680" s="16">
        <f>Y680/'Gearing Calculator'!$C$24</f>
        <v>29.322184094578887</v>
      </c>
      <c r="AB680" s="16">
        <f t="shared" si="72"/>
        <v>182.28327698677964</v>
      </c>
      <c r="AC680" s="16">
        <v>0</v>
      </c>
      <c r="AD680" s="16">
        <v>51.415226335993168</v>
      </c>
      <c r="AE680" s="16">
        <v>677</v>
      </c>
      <c r="AF680" s="16">
        <f>IF(AC680=0,IF(O680=6,INDEX(Acceleration!$V$4:$V$110,MATCH('Track Data'!S680,Acceleration!$K$4:$K$110,0)),IF('Track Data'!O680=5,INDEX(Acceleration!$U$4:$U$110,MATCH('Track Data'!S680,Acceleration!$K$4:$K$110,0)),1)),U680)</f>
        <v>1</v>
      </c>
      <c r="AG680" s="16">
        <f>IF(AC680=0,IF(O680=4,INDEX(Acceleration!$T$4:$T$110,MATCH('Track Data'!S680,Acceleration!$K$4:$K$110,0)),IF('Track Data'!O680=3,INDEX(Acceleration!$S$4:$S$110,MATCH('Track Data'!S680,Acceleration!$K$4:$K$110,0)),'Track Data'!AF680)),'Track Data'!U680)</f>
        <v>5.5089295873629895</v>
      </c>
      <c r="AH680" s="16">
        <f>IF(AC680=0,IF(O680=2,INDEX(Acceleration!$R$4:$R$110,MATCH('Track Data'!S680,Acceleration!$K$4:$K$110,0)),IF('Track Data'!O680=1,INDEX(Acceleration!$Q$4:$Q$110,MATCH('Track Data'!S680,Acceleration!$K$4:$K$110,0)),'Track Data'!AG680)),'Track Data'!U680)</f>
        <v>5.5089295873629895</v>
      </c>
    </row>
    <row r="681" spans="2:34" x14ac:dyDescent="0.25">
      <c r="B681" s="16">
        <v>216.40199999999999</v>
      </c>
      <c r="C681" s="16">
        <v>7951</v>
      </c>
      <c r="D681" s="16">
        <v>678</v>
      </c>
      <c r="E681" s="113">
        <v>150</v>
      </c>
      <c r="F681" s="113">
        <v>140.1</v>
      </c>
      <c r="G681" s="113">
        <v>130.5</v>
      </c>
      <c r="H681" s="113">
        <f t="shared" si="75"/>
        <v>36.25</v>
      </c>
      <c r="I681" s="113">
        <v>10.6</v>
      </c>
      <c r="J681" s="113">
        <v>31.59</v>
      </c>
      <c r="K681" s="113">
        <v>55.7</v>
      </c>
      <c r="L681" s="183"/>
      <c r="M681" s="16">
        <v>678</v>
      </c>
      <c r="N681" s="16">
        <f t="shared" si="77"/>
        <v>2.5269092609066537E-2</v>
      </c>
      <c r="O681" s="16">
        <v>3</v>
      </c>
      <c r="P681" s="16">
        <f t="shared" si="73"/>
        <v>10.596205962059623</v>
      </c>
      <c r="Q681" s="16">
        <f t="shared" si="78"/>
        <v>39.574036767794368</v>
      </c>
      <c r="R681" s="113">
        <f t="shared" si="74"/>
        <v>345.36</v>
      </c>
      <c r="S681" s="16">
        <f>IF(S680=15800,15800,ROUND((((Q681*60)/'Gearing Calculator'!$C$14)*'Track Data'!P681),-2))</f>
        <v>12700</v>
      </c>
      <c r="T681" s="16">
        <f t="shared" si="76"/>
        <v>5.5089295873629895</v>
      </c>
      <c r="U681" s="16">
        <f>IF(AC681=100,Braking!$AG$2354,IF(AC681=50,Braking!$AG$1179,IF(AC681=75,Braking!$AG$1767,0)))</f>
        <v>0</v>
      </c>
      <c r="V681" s="16">
        <f>0.5*'Gearing Calculator'!$C$15*'Gearing Calculator'!$C$20*'Gearing Calculator'!$W$20*('Track Data'!Q681^2)</f>
        <v>165.75648822469066</v>
      </c>
      <c r="W681" s="16">
        <f>('Gearing Calculator'!$U$9*'Track Data'!T681)+'Track Data'!V681</f>
        <v>1632.2335443807185</v>
      </c>
      <c r="X681" s="16">
        <f>('Gearing Calculator'!$U$9*9.81)*('Gearing Calculator'!$U$16/'Gearing Calculator'!$C$7)-(('Track Data'!W681)*('Gearing Calculator'!$U$17/'Gearing Calculator'!$C$7))</f>
        <v>511.48354699040738</v>
      </c>
      <c r="Y681" s="16">
        <f>('Gearing Calculator'!$U$9*9.81)*(('Gearing Calculator'!$C$7-'Gearing Calculator'!$U$16)/'Gearing Calculator'!$C$7)+(('Track Data'!W681)*('Gearing Calculator'!$U$17/'Gearing Calculator'!$C$7))</f>
        <v>2099.9384530095926</v>
      </c>
      <c r="Z681" s="16">
        <f>((X681*COS('Gearing Calculator'!$C$21))/'Gearing Calculator'!$C$22)/2</f>
        <v>15.813453588308835</v>
      </c>
      <c r="AA681" s="16">
        <f>Y681/'Gearing Calculator'!$C$24</f>
        <v>29.322184094578887</v>
      </c>
      <c r="AB681" s="16">
        <f t="shared" si="72"/>
        <v>182.28327698677964</v>
      </c>
      <c r="AC681" s="16">
        <v>0</v>
      </c>
      <c r="AD681" s="16">
        <v>51.415226335993168</v>
      </c>
      <c r="AE681" s="16">
        <v>678</v>
      </c>
      <c r="AF681" s="16">
        <f>IF(AC681=0,IF(O681=6,INDEX(Acceleration!$V$4:$V$110,MATCH('Track Data'!S681,Acceleration!$K$4:$K$110,0)),IF('Track Data'!O681=5,INDEX(Acceleration!$U$4:$U$110,MATCH('Track Data'!S681,Acceleration!$K$4:$K$110,0)),1)),U681)</f>
        <v>1</v>
      </c>
      <c r="AG681" s="16">
        <f>IF(AC681=0,IF(O681=4,INDEX(Acceleration!$T$4:$T$110,MATCH('Track Data'!S681,Acceleration!$K$4:$K$110,0)),IF('Track Data'!O681=3,INDEX(Acceleration!$S$4:$S$110,MATCH('Track Data'!S681,Acceleration!$K$4:$K$110,0)),'Track Data'!AF681)),'Track Data'!U681)</f>
        <v>5.5089295873629895</v>
      </c>
      <c r="AH681" s="16">
        <f>IF(AC681=0,IF(O681=2,INDEX(Acceleration!$R$4:$R$110,MATCH('Track Data'!S681,Acceleration!$K$4:$K$110,0)),IF('Track Data'!O681=1,INDEX(Acceleration!$Q$4:$Q$110,MATCH('Track Data'!S681,Acceleration!$K$4:$K$110,0)),'Track Data'!AG681)),'Track Data'!U681)</f>
        <v>5.5089295873629895</v>
      </c>
    </row>
    <row r="682" spans="2:34" x14ac:dyDescent="0.25">
      <c r="B682" s="16">
        <v>216.428</v>
      </c>
      <c r="C682" s="16">
        <v>7952</v>
      </c>
      <c r="D682" s="16">
        <v>679</v>
      </c>
      <c r="E682" s="113">
        <v>151</v>
      </c>
      <c r="F682" s="113">
        <v>140.5</v>
      </c>
      <c r="G682" s="113">
        <v>130.69999999999999</v>
      </c>
      <c r="H682" s="113">
        <f t="shared" si="75"/>
        <v>36.30555555555555</v>
      </c>
      <c r="I682" s="113">
        <v>9.6</v>
      </c>
      <c r="J682" s="113">
        <v>28.38</v>
      </c>
      <c r="K682" s="113">
        <v>54.9</v>
      </c>
      <c r="L682" s="183"/>
      <c r="M682" s="16">
        <v>679</v>
      </c>
      <c r="N682" s="16">
        <f t="shared" si="77"/>
        <v>2.5269092609066537E-2</v>
      </c>
      <c r="O682" s="16">
        <v>3</v>
      </c>
      <c r="P682" s="16">
        <f t="shared" si="73"/>
        <v>10.596205962059623</v>
      </c>
      <c r="Q682" s="16">
        <f t="shared" si="78"/>
        <v>39.574036767794368</v>
      </c>
      <c r="R682" s="113">
        <f t="shared" si="74"/>
        <v>345.36</v>
      </c>
      <c r="S682" s="16">
        <f>IF(S681=15800,15800,ROUND((((Q682*60)/'Gearing Calculator'!$C$14)*'Track Data'!P682),-2))</f>
        <v>12700</v>
      </c>
      <c r="T682" s="16">
        <f t="shared" si="76"/>
        <v>5.5089295873629895</v>
      </c>
      <c r="U682" s="16">
        <f>IF(AC682=100,Braking!$AG$2354,IF(AC682=50,Braking!$AG$1179,IF(AC682=75,Braking!$AG$1767,0)))</f>
        <v>0</v>
      </c>
      <c r="V682" s="16">
        <f>0.5*'Gearing Calculator'!$C$15*'Gearing Calculator'!$C$20*'Gearing Calculator'!$W$20*('Track Data'!Q682^2)</f>
        <v>165.75648822469066</v>
      </c>
      <c r="W682" s="16">
        <f>('Gearing Calculator'!$U$9*'Track Data'!T682)+'Track Data'!V682</f>
        <v>1632.2335443807185</v>
      </c>
      <c r="X682" s="16">
        <f>('Gearing Calculator'!$U$9*9.81)*('Gearing Calculator'!$U$16/'Gearing Calculator'!$C$7)-(('Track Data'!W682)*('Gearing Calculator'!$U$17/'Gearing Calculator'!$C$7))</f>
        <v>511.48354699040738</v>
      </c>
      <c r="Y682" s="16">
        <f>('Gearing Calculator'!$U$9*9.81)*(('Gearing Calculator'!$C$7-'Gearing Calculator'!$U$16)/'Gearing Calculator'!$C$7)+(('Track Data'!W682)*('Gearing Calculator'!$U$17/'Gearing Calculator'!$C$7))</f>
        <v>2099.9384530095926</v>
      </c>
      <c r="Z682" s="16">
        <f>((X682*COS('Gearing Calculator'!$C$21))/'Gearing Calculator'!$C$22)/2</f>
        <v>15.813453588308835</v>
      </c>
      <c r="AA682" s="16">
        <f>Y682/'Gearing Calculator'!$C$24</f>
        <v>29.322184094578887</v>
      </c>
      <c r="AB682" s="16">
        <f t="shared" si="72"/>
        <v>182.28327698677964</v>
      </c>
      <c r="AC682" s="16">
        <v>0</v>
      </c>
      <c r="AD682" s="16">
        <v>51.415226335993168</v>
      </c>
      <c r="AE682" s="16">
        <v>679</v>
      </c>
      <c r="AF682" s="16">
        <f>IF(AC682=0,IF(O682=6,INDEX(Acceleration!$V$4:$V$110,MATCH('Track Data'!S682,Acceleration!$K$4:$K$110,0)),IF('Track Data'!O682=5,INDEX(Acceleration!$U$4:$U$110,MATCH('Track Data'!S682,Acceleration!$K$4:$K$110,0)),1)),U682)</f>
        <v>1</v>
      </c>
      <c r="AG682" s="16">
        <f>IF(AC682=0,IF(O682=4,INDEX(Acceleration!$T$4:$T$110,MATCH('Track Data'!S682,Acceleration!$K$4:$K$110,0)),IF('Track Data'!O682=3,INDEX(Acceleration!$S$4:$S$110,MATCH('Track Data'!S682,Acceleration!$K$4:$K$110,0)),'Track Data'!AF682)),'Track Data'!U682)</f>
        <v>5.5089295873629895</v>
      </c>
      <c r="AH682" s="16">
        <f>IF(AC682=0,IF(O682=2,INDEX(Acceleration!$R$4:$R$110,MATCH('Track Data'!S682,Acceleration!$K$4:$K$110,0)),IF('Track Data'!O682=1,INDEX(Acceleration!$Q$4:$Q$110,MATCH('Track Data'!S682,Acceleration!$K$4:$K$110,0)),'Track Data'!AG682)),'Track Data'!U682)</f>
        <v>5.5089295873629895</v>
      </c>
    </row>
    <row r="683" spans="2:34" x14ac:dyDescent="0.25">
      <c r="B683" s="16">
        <v>216.453</v>
      </c>
      <c r="C683" s="16">
        <v>7953</v>
      </c>
      <c r="D683" s="16">
        <v>680</v>
      </c>
      <c r="E683" s="113">
        <v>151</v>
      </c>
      <c r="F683" s="113">
        <v>141.1</v>
      </c>
      <c r="G683" s="113">
        <v>131.1</v>
      </c>
      <c r="H683" s="113">
        <f t="shared" si="75"/>
        <v>36.416666666666664</v>
      </c>
      <c r="I683" s="113">
        <v>8.5</v>
      </c>
      <c r="J683" s="113">
        <v>29.84</v>
      </c>
      <c r="K683" s="113">
        <v>53.7</v>
      </c>
      <c r="L683" s="183"/>
      <c r="M683" s="16">
        <v>680</v>
      </c>
      <c r="N683" s="16">
        <f t="shared" si="77"/>
        <v>2.5269092609066537E-2</v>
      </c>
      <c r="O683" s="16">
        <v>3</v>
      </c>
      <c r="P683" s="16">
        <f t="shared" si="73"/>
        <v>10.596205962059623</v>
      </c>
      <c r="Q683" s="16">
        <f t="shared" si="78"/>
        <v>39.574036767794368</v>
      </c>
      <c r="R683" s="113">
        <f t="shared" si="74"/>
        <v>345.36</v>
      </c>
      <c r="S683" s="16">
        <f>IF(S682=15800,15800,ROUND((((Q683*60)/'Gearing Calculator'!$C$14)*'Track Data'!P683),-2))</f>
        <v>12700</v>
      </c>
      <c r="T683" s="16">
        <f t="shared" si="76"/>
        <v>5.5089295873629895</v>
      </c>
      <c r="U683" s="16">
        <f>IF(AC683=100,Braking!$AG$2354,IF(AC683=50,Braking!$AG$1179,IF(AC683=75,Braking!$AG$1767,0)))</f>
        <v>0</v>
      </c>
      <c r="V683" s="16">
        <f>0.5*'Gearing Calculator'!$C$15*'Gearing Calculator'!$C$20*'Gearing Calculator'!$W$20*('Track Data'!Q683^2)</f>
        <v>165.75648822469066</v>
      </c>
      <c r="W683" s="16">
        <f>('Gearing Calculator'!$U$9*'Track Data'!T683)+'Track Data'!V683</f>
        <v>1632.2335443807185</v>
      </c>
      <c r="X683" s="16">
        <f>('Gearing Calculator'!$U$9*9.81)*('Gearing Calculator'!$U$16/'Gearing Calculator'!$C$7)-(('Track Data'!W683)*('Gearing Calculator'!$U$17/'Gearing Calculator'!$C$7))</f>
        <v>511.48354699040738</v>
      </c>
      <c r="Y683" s="16">
        <f>('Gearing Calculator'!$U$9*9.81)*(('Gearing Calculator'!$C$7-'Gearing Calculator'!$U$16)/'Gearing Calculator'!$C$7)+(('Track Data'!W683)*('Gearing Calculator'!$U$17/'Gearing Calculator'!$C$7))</f>
        <v>2099.9384530095926</v>
      </c>
      <c r="Z683" s="16">
        <f>((X683*COS('Gearing Calculator'!$C$21))/'Gearing Calculator'!$C$22)/2</f>
        <v>15.813453588308835</v>
      </c>
      <c r="AA683" s="16">
        <f>Y683/'Gearing Calculator'!$C$24</f>
        <v>29.322184094578887</v>
      </c>
      <c r="AB683" s="16">
        <f t="shared" si="72"/>
        <v>182.28327698677964</v>
      </c>
      <c r="AC683" s="16">
        <v>0</v>
      </c>
      <c r="AD683" s="16">
        <v>51.415226335993168</v>
      </c>
      <c r="AE683" s="16">
        <v>680</v>
      </c>
      <c r="AF683" s="16">
        <f>IF(AC683=0,IF(O683=6,INDEX(Acceleration!$V$4:$V$110,MATCH('Track Data'!S683,Acceleration!$K$4:$K$110,0)),IF('Track Data'!O683=5,INDEX(Acceleration!$U$4:$U$110,MATCH('Track Data'!S683,Acceleration!$K$4:$K$110,0)),1)),U683)</f>
        <v>1</v>
      </c>
      <c r="AG683" s="16">
        <f>IF(AC683=0,IF(O683=4,INDEX(Acceleration!$T$4:$T$110,MATCH('Track Data'!S683,Acceleration!$K$4:$K$110,0)),IF('Track Data'!O683=3,INDEX(Acceleration!$S$4:$S$110,MATCH('Track Data'!S683,Acceleration!$K$4:$K$110,0)),'Track Data'!AF683)),'Track Data'!U683)</f>
        <v>5.5089295873629895</v>
      </c>
      <c r="AH683" s="16">
        <f>IF(AC683=0,IF(O683=2,INDEX(Acceleration!$R$4:$R$110,MATCH('Track Data'!S683,Acceleration!$K$4:$K$110,0)),IF('Track Data'!O683=1,INDEX(Acceleration!$Q$4:$Q$110,MATCH('Track Data'!S683,Acceleration!$K$4:$K$110,0)),'Track Data'!AG683)),'Track Data'!U683)</f>
        <v>5.5089295873629895</v>
      </c>
    </row>
    <row r="684" spans="2:34" x14ac:dyDescent="0.25">
      <c r="B684" s="16">
        <v>216.47900000000001</v>
      </c>
      <c r="C684" s="16">
        <v>7954</v>
      </c>
      <c r="D684" s="16">
        <v>681</v>
      </c>
      <c r="E684" s="113">
        <v>152</v>
      </c>
      <c r="F684" s="113">
        <v>141.5</v>
      </c>
      <c r="G684" s="113">
        <v>131.30000000000001</v>
      </c>
      <c r="H684" s="113">
        <f t="shared" si="75"/>
        <v>36.472222222222221</v>
      </c>
      <c r="I684" s="113">
        <v>8.4</v>
      </c>
      <c r="J684" s="113">
        <v>29.55</v>
      </c>
      <c r="K684" s="113">
        <v>52.7</v>
      </c>
      <c r="L684" s="183"/>
      <c r="M684" s="16">
        <v>681</v>
      </c>
      <c r="N684" s="16">
        <f t="shared" si="77"/>
        <v>2.5269092609066537E-2</v>
      </c>
      <c r="O684" s="16">
        <v>3</v>
      </c>
      <c r="P684" s="16">
        <f t="shared" si="73"/>
        <v>10.596205962059623</v>
      </c>
      <c r="Q684" s="16">
        <f t="shared" si="78"/>
        <v>39.574036767794368</v>
      </c>
      <c r="R684" s="113">
        <f t="shared" si="74"/>
        <v>345.36</v>
      </c>
      <c r="S684" s="16">
        <f>IF(S683=15800,15800,ROUND((((Q684*60)/'Gearing Calculator'!$C$14)*'Track Data'!P684),-2))</f>
        <v>12700</v>
      </c>
      <c r="T684" s="16">
        <f t="shared" si="76"/>
        <v>5.5089295873629895</v>
      </c>
      <c r="U684" s="16">
        <f>IF(AC684=100,Braking!$AG$2354,IF(AC684=50,Braking!$AG$1179,IF(AC684=75,Braking!$AG$1767,0)))</f>
        <v>0</v>
      </c>
      <c r="V684" s="16">
        <f>0.5*'Gearing Calculator'!$C$15*'Gearing Calculator'!$C$20*'Gearing Calculator'!$W$20*('Track Data'!Q684^2)</f>
        <v>165.75648822469066</v>
      </c>
      <c r="W684" s="16">
        <f>('Gearing Calculator'!$U$9*'Track Data'!T684)+'Track Data'!V684</f>
        <v>1632.2335443807185</v>
      </c>
      <c r="X684" s="16">
        <f>('Gearing Calculator'!$U$9*9.81)*('Gearing Calculator'!$U$16/'Gearing Calculator'!$C$7)-(('Track Data'!W684)*('Gearing Calculator'!$U$17/'Gearing Calculator'!$C$7))</f>
        <v>511.48354699040738</v>
      </c>
      <c r="Y684" s="16">
        <f>('Gearing Calculator'!$U$9*9.81)*(('Gearing Calculator'!$C$7-'Gearing Calculator'!$U$16)/'Gearing Calculator'!$C$7)+(('Track Data'!W684)*('Gearing Calculator'!$U$17/'Gearing Calculator'!$C$7))</f>
        <v>2099.9384530095926</v>
      </c>
      <c r="Z684" s="16">
        <f>((X684*COS('Gearing Calculator'!$C$21))/'Gearing Calculator'!$C$22)/2</f>
        <v>15.813453588308835</v>
      </c>
      <c r="AA684" s="16">
        <f>Y684/'Gearing Calculator'!$C$24</f>
        <v>29.322184094578887</v>
      </c>
      <c r="AB684" s="16">
        <f t="shared" si="72"/>
        <v>182.28327698677964</v>
      </c>
      <c r="AC684" s="16">
        <v>0</v>
      </c>
      <c r="AD684" s="16">
        <v>51.415226335993168</v>
      </c>
      <c r="AE684" s="16">
        <v>681</v>
      </c>
      <c r="AF684" s="16">
        <f>IF(AC684=0,IF(O684=6,INDEX(Acceleration!$V$4:$V$110,MATCH('Track Data'!S684,Acceleration!$K$4:$K$110,0)),IF('Track Data'!O684=5,INDEX(Acceleration!$U$4:$U$110,MATCH('Track Data'!S684,Acceleration!$K$4:$K$110,0)),1)),U684)</f>
        <v>1</v>
      </c>
      <c r="AG684" s="16">
        <f>IF(AC684=0,IF(O684=4,INDEX(Acceleration!$T$4:$T$110,MATCH('Track Data'!S684,Acceleration!$K$4:$K$110,0)),IF('Track Data'!O684=3,INDEX(Acceleration!$S$4:$S$110,MATCH('Track Data'!S684,Acceleration!$K$4:$K$110,0)),'Track Data'!AF684)),'Track Data'!U684)</f>
        <v>5.5089295873629895</v>
      </c>
      <c r="AH684" s="16">
        <f>IF(AC684=0,IF(O684=2,INDEX(Acceleration!$R$4:$R$110,MATCH('Track Data'!S684,Acceleration!$K$4:$K$110,0)),IF('Track Data'!O684=1,INDEX(Acceleration!$Q$4:$Q$110,MATCH('Track Data'!S684,Acceleration!$K$4:$K$110,0)),'Track Data'!AG684)),'Track Data'!U684)</f>
        <v>5.5089295873629895</v>
      </c>
    </row>
    <row r="685" spans="2:34" x14ac:dyDescent="0.25">
      <c r="B685" s="16">
        <v>216.50399999999999</v>
      </c>
      <c r="C685" s="16">
        <v>7955</v>
      </c>
      <c r="D685" s="16">
        <v>682</v>
      </c>
      <c r="E685" s="113">
        <v>151</v>
      </c>
      <c r="F685" s="113">
        <v>141.9</v>
      </c>
      <c r="G685" s="113">
        <v>131.6</v>
      </c>
      <c r="H685" s="113">
        <f t="shared" si="75"/>
        <v>36.55555555555555</v>
      </c>
      <c r="I685" s="113">
        <v>9.5</v>
      </c>
      <c r="J685" s="113">
        <v>29.58</v>
      </c>
      <c r="K685" s="113">
        <v>50.4</v>
      </c>
      <c r="L685" s="183"/>
      <c r="M685" s="16">
        <v>682</v>
      </c>
      <c r="N685" s="16">
        <f t="shared" si="77"/>
        <v>2.5269092609066537E-2</v>
      </c>
      <c r="O685" s="16">
        <v>3</v>
      </c>
      <c r="P685" s="16">
        <f t="shared" si="73"/>
        <v>10.596205962059623</v>
      </c>
      <c r="Q685" s="16">
        <f t="shared" si="78"/>
        <v>39.574036767794368</v>
      </c>
      <c r="R685" s="113">
        <f t="shared" si="74"/>
        <v>345.36</v>
      </c>
      <c r="S685" s="16">
        <f>IF(S684=15800,15800,ROUND((((Q685*60)/'Gearing Calculator'!$C$14)*'Track Data'!P685),-2))</f>
        <v>12700</v>
      </c>
      <c r="T685" s="16">
        <f t="shared" si="76"/>
        <v>5.5089295873629895</v>
      </c>
      <c r="U685" s="16">
        <f>IF(AC685=100,Braking!$AG$2354,IF(AC685=50,Braking!$AG$1179,IF(AC685=75,Braking!$AG$1767,0)))</f>
        <v>0</v>
      </c>
      <c r="V685" s="16">
        <f>0.5*'Gearing Calculator'!$C$15*'Gearing Calculator'!$C$20*'Gearing Calculator'!$W$20*('Track Data'!Q685^2)</f>
        <v>165.75648822469066</v>
      </c>
      <c r="W685" s="16">
        <f>('Gearing Calculator'!$U$9*'Track Data'!T685)+'Track Data'!V685</f>
        <v>1632.2335443807185</v>
      </c>
      <c r="X685" s="16">
        <f>('Gearing Calculator'!$U$9*9.81)*('Gearing Calculator'!$U$16/'Gearing Calculator'!$C$7)-(('Track Data'!W685)*('Gearing Calculator'!$U$17/'Gearing Calculator'!$C$7))</f>
        <v>511.48354699040738</v>
      </c>
      <c r="Y685" s="16">
        <f>('Gearing Calculator'!$U$9*9.81)*(('Gearing Calculator'!$C$7-'Gearing Calculator'!$U$16)/'Gearing Calculator'!$C$7)+(('Track Data'!W685)*('Gearing Calculator'!$U$17/'Gearing Calculator'!$C$7))</f>
        <v>2099.9384530095926</v>
      </c>
      <c r="Z685" s="16">
        <f>((X685*COS('Gearing Calculator'!$C$21))/'Gearing Calculator'!$C$22)/2</f>
        <v>15.813453588308835</v>
      </c>
      <c r="AA685" s="16">
        <f>Y685/'Gearing Calculator'!$C$24</f>
        <v>29.322184094578887</v>
      </c>
      <c r="AB685" s="16">
        <f t="shared" si="72"/>
        <v>182.28327698677964</v>
      </c>
      <c r="AC685" s="16">
        <v>0</v>
      </c>
      <c r="AD685" s="16">
        <v>51.415226335993168</v>
      </c>
      <c r="AE685" s="16">
        <v>682</v>
      </c>
      <c r="AF685" s="16">
        <f>IF(AC685=0,IF(O685=6,INDEX(Acceleration!$V$4:$V$110,MATCH('Track Data'!S685,Acceleration!$K$4:$K$110,0)),IF('Track Data'!O685=5,INDEX(Acceleration!$U$4:$U$110,MATCH('Track Data'!S685,Acceleration!$K$4:$K$110,0)),1)),U685)</f>
        <v>1</v>
      </c>
      <c r="AG685" s="16">
        <f>IF(AC685=0,IF(O685=4,INDEX(Acceleration!$T$4:$T$110,MATCH('Track Data'!S685,Acceleration!$K$4:$K$110,0)),IF('Track Data'!O685=3,INDEX(Acceleration!$S$4:$S$110,MATCH('Track Data'!S685,Acceleration!$K$4:$K$110,0)),'Track Data'!AF685)),'Track Data'!U685)</f>
        <v>5.5089295873629895</v>
      </c>
      <c r="AH685" s="16">
        <f>IF(AC685=0,IF(O685=2,INDEX(Acceleration!$R$4:$R$110,MATCH('Track Data'!S685,Acceleration!$K$4:$K$110,0)),IF('Track Data'!O685=1,INDEX(Acceleration!$Q$4:$Q$110,MATCH('Track Data'!S685,Acceleration!$K$4:$K$110,0)),'Track Data'!AG685)),'Track Data'!U685)</f>
        <v>5.5089295873629895</v>
      </c>
    </row>
    <row r="686" spans="2:34" x14ac:dyDescent="0.25">
      <c r="B686" s="16">
        <v>216.529</v>
      </c>
      <c r="C686" s="16">
        <v>7956</v>
      </c>
      <c r="D686" s="16">
        <v>683</v>
      </c>
      <c r="E686" s="113">
        <v>151</v>
      </c>
      <c r="F686" s="113">
        <v>142.1</v>
      </c>
      <c r="G686" s="113">
        <v>131.9</v>
      </c>
      <c r="H686" s="113">
        <f t="shared" si="75"/>
        <v>36.638888888888893</v>
      </c>
      <c r="I686" s="113">
        <v>10.3</v>
      </c>
      <c r="J686" s="113">
        <v>32.31</v>
      </c>
      <c r="K686" s="113">
        <v>48.7</v>
      </c>
      <c r="L686" s="183"/>
      <c r="M686" s="16">
        <v>683</v>
      </c>
      <c r="N686" s="16">
        <f t="shared" si="77"/>
        <v>2.5269092609066537E-2</v>
      </c>
      <c r="O686" s="16">
        <v>3</v>
      </c>
      <c r="P686" s="16">
        <f t="shared" si="73"/>
        <v>10.596205962059623</v>
      </c>
      <c r="Q686" s="16">
        <f t="shared" si="78"/>
        <v>39.574036767794368</v>
      </c>
      <c r="R686" s="113">
        <f t="shared" si="74"/>
        <v>345.36</v>
      </c>
      <c r="S686" s="16">
        <f>IF(S685=15800,15800,ROUND((((Q686*60)/'Gearing Calculator'!$C$14)*'Track Data'!P686),-2))</f>
        <v>12700</v>
      </c>
      <c r="T686" s="16">
        <f t="shared" si="76"/>
        <v>5.5089295873629895</v>
      </c>
      <c r="U686" s="16">
        <f>IF(AC686=100,Braking!$AG$2354,IF(AC686=50,Braking!$AG$1179,IF(AC686=75,Braking!$AG$1767,0)))</f>
        <v>0</v>
      </c>
      <c r="V686" s="16">
        <f>0.5*'Gearing Calculator'!$C$15*'Gearing Calculator'!$C$20*'Gearing Calculator'!$W$20*('Track Data'!Q686^2)</f>
        <v>165.75648822469066</v>
      </c>
      <c r="W686" s="16">
        <f>('Gearing Calculator'!$U$9*'Track Data'!T686)+'Track Data'!V686</f>
        <v>1632.2335443807185</v>
      </c>
      <c r="X686" s="16">
        <f>('Gearing Calculator'!$U$9*9.81)*('Gearing Calculator'!$U$16/'Gearing Calculator'!$C$7)-(('Track Data'!W686)*('Gearing Calculator'!$U$17/'Gearing Calculator'!$C$7))</f>
        <v>511.48354699040738</v>
      </c>
      <c r="Y686" s="16">
        <f>('Gearing Calculator'!$U$9*9.81)*(('Gearing Calculator'!$C$7-'Gearing Calculator'!$U$16)/'Gearing Calculator'!$C$7)+(('Track Data'!W686)*('Gearing Calculator'!$U$17/'Gearing Calculator'!$C$7))</f>
        <v>2099.9384530095926</v>
      </c>
      <c r="Z686" s="16">
        <f>((X686*COS('Gearing Calculator'!$C$21))/'Gearing Calculator'!$C$22)/2</f>
        <v>15.813453588308835</v>
      </c>
      <c r="AA686" s="16">
        <f>Y686/'Gearing Calculator'!$C$24</f>
        <v>29.322184094578887</v>
      </c>
      <c r="AB686" s="16">
        <f t="shared" si="72"/>
        <v>182.28327698677964</v>
      </c>
      <c r="AC686" s="16">
        <v>0</v>
      </c>
      <c r="AD686" s="16">
        <v>51.415226335993168</v>
      </c>
      <c r="AE686" s="16">
        <v>683</v>
      </c>
      <c r="AF686" s="16">
        <f>IF(AC686=0,IF(O686=6,INDEX(Acceleration!$V$4:$V$110,MATCH('Track Data'!S686,Acceleration!$K$4:$K$110,0)),IF('Track Data'!O686=5,INDEX(Acceleration!$U$4:$U$110,MATCH('Track Data'!S686,Acceleration!$K$4:$K$110,0)),1)),U686)</f>
        <v>1</v>
      </c>
      <c r="AG686" s="16">
        <f>IF(AC686=0,IF(O686=4,INDEX(Acceleration!$T$4:$T$110,MATCH('Track Data'!S686,Acceleration!$K$4:$K$110,0)),IF('Track Data'!O686=3,INDEX(Acceleration!$S$4:$S$110,MATCH('Track Data'!S686,Acceleration!$K$4:$K$110,0)),'Track Data'!AF686)),'Track Data'!U686)</f>
        <v>5.5089295873629895</v>
      </c>
      <c r="AH686" s="16">
        <f>IF(AC686=0,IF(O686=2,INDEX(Acceleration!$R$4:$R$110,MATCH('Track Data'!S686,Acceleration!$K$4:$K$110,0)),IF('Track Data'!O686=1,INDEX(Acceleration!$Q$4:$Q$110,MATCH('Track Data'!S686,Acceleration!$K$4:$K$110,0)),'Track Data'!AG686)),'Track Data'!U686)</f>
        <v>5.5089295873629895</v>
      </c>
    </row>
    <row r="687" spans="2:34" x14ac:dyDescent="0.25">
      <c r="B687" s="16">
        <v>216.55500000000001</v>
      </c>
      <c r="C687" s="16">
        <v>7957</v>
      </c>
      <c r="D687" s="16">
        <v>684</v>
      </c>
      <c r="E687" s="113">
        <v>151</v>
      </c>
      <c r="F687" s="113">
        <v>142.5</v>
      </c>
      <c r="G687" s="113">
        <v>132.19999999999999</v>
      </c>
      <c r="H687" s="113">
        <f t="shared" si="75"/>
        <v>36.722222222222221</v>
      </c>
      <c r="I687" s="113">
        <v>11.8</v>
      </c>
      <c r="J687" s="113">
        <v>33.57</v>
      </c>
      <c r="K687" s="113">
        <v>46.1</v>
      </c>
      <c r="L687" s="183"/>
      <c r="M687" s="16">
        <v>684</v>
      </c>
      <c r="N687" s="16">
        <f t="shared" si="77"/>
        <v>2.5269092609066537E-2</v>
      </c>
      <c r="O687" s="16">
        <v>3</v>
      </c>
      <c r="P687" s="16">
        <f t="shared" si="73"/>
        <v>10.596205962059623</v>
      </c>
      <c r="Q687" s="16">
        <f t="shared" si="78"/>
        <v>39.574036767794368</v>
      </c>
      <c r="R687" s="113">
        <f t="shared" si="74"/>
        <v>345.36</v>
      </c>
      <c r="S687" s="16">
        <f>IF(S686=15800,15800,ROUND((((Q687*60)/'Gearing Calculator'!$C$14)*'Track Data'!P687),-2))</f>
        <v>12700</v>
      </c>
      <c r="T687" s="16">
        <f t="shared" si="76"/>
        <v>5.5089295873629895</v>
      </c>
      <c r="U687" s="16">
        <f>IF(AC687=100,Braking!$AG$2354,IF(AC687=50,Braking!$AG$1179,IF(AC687=75,Braking!$AG$1767,0)))</f>
        <v>0</v>
      </c>
      <c r="V687" s="16">
        <f>0.5*'Gearing Calculator'!$C$15*'Gearing Calculator'!$C$20*'Gearing Calculator'!$W$20*('Track Data'!Q687^2)</f>
        <v>165.75648822469066</v>
      </c>
      <c r="W687" s="16">
        <f>('Gearing Calculator'!$U$9*'Track Data'!T687)+'Track Data'!V687</f>
        <v>1632.2335443807185</v>
      </c>
      <c r="X687" s="16">
        <f>('Gearing Calculator'!$U$9*9.81)*('Gearing Calculator'!$U$16/'Gearing Calculator'!$C$7)-(('Track Data'!W687)*('Gearing Calculator'!$U$17/'Gearing Calculator'!$C$7))</f>
        <v>511.48354699040738</v>
      </c>
      <c r="Y687" s="16">
        <f>('Gearing Calculator'!$U$9*9.81)*(('Gearing Calculator'!$C$7-'Gearing Calculator'!$U$16)/'Gearing Calculator'!$C$7)+(('Track Data'!W687)*('Gearing Calculator'!$U$17/'Gearing Calculator'!$C$7))</f>
        <v>2099.9384530095926</v>
      </c>
      <c r="Z687" s="16">
        <f>((X687*COS('Gearing Calculator'!$C$21))/'Gearing Calculator'!$C$22)/2</f>
        <v>15.813453588308835</v>
      </c>
      <c r="AA687" s="16">
        <f>Y687/'Gearing Calculator'!$C$24</f>
        <v>29.322184094578887</v>
      </c>
      <c r="AB687" s="16">
        <f t="shared" si="72"/>
        <v>182.28327698677964</v>
      </c>
      <c r="AC687" s="16">
        <v>0</v>
      </c>
      <c r="AD687" s="16">
        <v>51.415226335993168</v>
      </c>
      <c r="AE687" s="16">
        <v>684</v>
      </c>
      <c r="AF687" s="16">
        <f>IF(AC687=0,IF(O687=6,INDEX(Acceleration!$V$4:$V$110,MATCH('Track Data'!S687,Acceleration!$K$4:$K$110,0)),IF('Track Data'!O687=5,INDEX(Acceleration!$U$4:$U$110,MATCH('Track Data'!S687,Acceleration!$K$4:$K$110,0)),1)),U687)</f>
        <v>1</v>
      </c>
      <c r="AG687" s="16">
        <f>IF(AC687=0,IF(O687=4,INDEX(Acceleration!$T$4:$T$110,MATCH('Track Data'!S687,Acceleration!$K$4:$K$110,0)),IF('Track Data'!O687=3,INDEX(Acceleration!$S$4:$S$110,MATCH('Track Data'!S687,Acceleration!$K$4:$K$110,0)),'Track Data'!AF687)),'Track Data'!U687)</f>
        <v>5.5089295873629895</v>
      </c>
      <c r="AH687" s="16">
        <f>IF(AC687=0,IF(O687=2,INDEX(Acceleration!$R$4:$R$110,MATCH('Track Data'!S687,Acceleration!$K$4:$K$110,0)),IF('Track Data'!O687=1,INDEX(Acceleration!$Q$4:$Q$110,MATCH('Track Data'!S687,Acceleration!$K$4:$K$110,0)),'Track Data'!AG687)),'Track Data'!U687)</f>
        <v>5.5089295873629895</v>
      </c>
    </row>
    <row r="688" spans="2:34" x14ac:dyDescent="0.25">
      <c r="B688" s="16">
        <v>216.58</v>
      </c>
      <c r="C688" s="16">
        <v>7958</v>
      </c>
      <c r="D688" s="16">
        <v>685</v>
      </c>
      <c r="E688" s="113">
        <v>151</v>
      </c>
      <c r="F688" s="113">
        <v>142.69999999999999</v>
      </c>
      <c r="G688" s="113">
        <v>132.6</v>
      </c>
      <c r="H688" s="113">
        <f t="shared" si="75"/>
        <v>36.833333333333329</v>
      </c>
      <c r="I688" s="113">
        <v>14.7</v>
      </c>
      <c r="J688" s="113">
        <v>31.68</v>
      </c>
      <c r="K688" s="113">
        <v>45.5</v>
      </c>
      <c r="L688" s="183"/>
      <c r="M688" s="16">
        <v>685</v>
      </c>
      <c r="N688" s="16">
        <f t="shared" si="77"/>
        <v>2.5269092609066537E-2</v>
      </c>
      <c r="O688" s="16">
        <v>3</v>
      </c>
      <c r="P688" s="16">
        <f t="shared" si="73"/>
        <v>10.596205962059623</v>
      </c>
      <c r="Q688" s="16">
        <f t="shared" si="78"/>
        <v>39.574036767794368</v>
      </c>
      <c r="R688" s="113">
        <f t="shared" si="74"/>
        <v>345.36</v>
      </c>
      <c r="S688" s="16">
        <f>IF(S687=15800,15800,ROUND((((Q688*60)/'Gearing Calculator'!$C$14)*'Track Data'!P688),-2))</f>
        <v>12700</v>
      </c>
      <c r="T688" s="16">
        <f t="shared" si="76"/>
        <v>5.5089295873629895</v>
      </c>
      <c r="U688" s="16">
        <f>IF(AC688=100,Braking!$AG$2354,IF(AC688=50,Braking!$AG$1179,IF(AC688=75,Braking!$AG$1767,0)))</f>
        <v>0</v>
      </c>
      <c r="V688" s="16">
        <f>0.5*'Gearing Calculator'!$C$15*'Gearing Calculator'!$C$20*'Gearing Calculator'!$W$20*('Track Data'!Q688^2)</f>
        <v>165.75648822469066</v>
      </c>
      <c r="W688" s="16">
        <f>('Gearing Calculator'!$U$9*'Track Data'!T688)+'Track Data'!V688</f>
        <v>1632.2335443807185</v>
      </c>
      <c r="X688" s="16">
        <f>('Gearing Calculator'!$U$9*9.81)*('Gearing Calculator'!$U$16/'Gearing Calculator'!$C$7)-(('Track Data'!W688)*('Gearing Calculator'!$U$17/'Gearing Calculator'!$C$7))</f>
        <v>511.48354699040738</v>
      </c>
      <c r="Y688" s="16">
        <f>('Gearing Calculator'!$U$9*9.81)*(('Gearing Calculator'!$C$7-'Gearing Calculator'!$U$16)/'Gearing Calculator'!$C$7)+(('Track Data'!W688)*('Gearing Calculator'!$U$17/'Gearing Calculator'!$C$7))</f>
        <v>2099.9384530095926</v>
      </c>
      <c r="Z688" s="16">
        <f>((X688*COS('Gearing Calculator'!$C$21))/'Gearing Calculator'!$C$22)/2</f>
        <v>15.813453588308835</v>
      </c>
      <c r="AA688" s="16">
        <f>Y688/'Gearing Calculator'!$C$24</f>
        <v>29.322184094578887</v>
      </c>
      <c r="AB688" s="16">
        <f t="shared" si="72"/>
        <v>182.28327698677964</v>
      </c>
      <c r="AC688" s="16">
        <v>0</v>
      </c>
      <c r="AD688" s="16">
        <v>51.415226335993168</v>
      </c>
      <c r="AE688" s="16">
        <v>685</v>
      </c>
      <c r="AF688" s="16">
        <f>IF(AC688=0,IF(O688=6,INDEX(Acceleration!$V$4:$V$110,MATCH('Track Data'!S688,Acceleration!$K$4:$K$110,0)),IF('Track Data'!O688=5,INDEX(Acceleration!$U$4:$U$110,MATCH('Track Data'!S688,Acceleration!$K$4:$K$110,0)),1)),U688)</f>
        <v>1</v>
      </c>
      <c r="AG688" s="16">
        <f>IF(AC688=0,IF(O688=4,INDEX(Acceleration!$T$4:$T$110,MATCH('Track Data'!S688,Acceleration!$K$4:$K$110,0)),IF('Track Data'!O688=3,INDEX(Acceleration!$S$4:$S$110,MATCH('Track Data'!S688,Acceleration!$K$4:$K$110,0)),'Track Data'!AF688)),'Track Data'!U688)</f>
        <v>5.5089295873629895</v>
      </c>
      <c r="AH688" s="16">
        <f>IF(AC688=0,IF(O688=2,INDEX(Acceleration!$R$4:$R$110,MATCH('Track Data'!S688,Acceleration!$K$4:$K$110,0)),IF('Track Data'!O688=1,INDEX(Acceleration!$Q$4:$Q$110,MATCH('Track Data'!S688,Acceleration!$K$4:$K$110,0)),'Track Data'!AG688)),'Track Data'!U688)</f>
        <v>5.5089295873629895</v>
      </c>
    </row>
    <row r="689" spans="2:34" x14ac:dyDescent="0.25">
      <c r="B689" s="16">
        <v>216.60499999999999</v>
      </c>
      <c r="C689" s="16">
        <v>7959</v>
      </c>
      <c r="D689" s="16">
        <v>686</v>
      </c>
      <c r="E689" s="113">
        <v>151</v>
      </c>
      <c r="F689" s="113">
        <v>142.80000000000001</v>
      </c>
      <c r="G689" s="113">
        <v>132.80000000000001</v>
      </c>
      <c r="H689" s="113">
        <f t="shared" si="75"/>
        <v>36.888888888888893</v>
      </c>
      <c r="I689" s="113">
        <v>15.4</v>
      </c>
      <c r="J689" s="113">
        <v>31.57</v>
      </c>
      <c r="K689" s="113">
        <v>45.5</v>
      </c>
      <c r="L689" s="183"/>
      <c r="M689" s="16">
        <v>686</v>
      </c>
      <c r="N689" s="16">
        <f t="shared" si="77"/>
        <v>2.5269092609066537E-2</v>
      </c>
      <c r="O689" s="16">
        <v>3</v>
      </c>
      <c r="P689" s="16">
        <f t="shared" si="73"/>
        <v>10.596205962059623</v>
      </c>
      <c r="Q689" s="16">
        <f t="shared" si="78"/>
        <v>39.574036767794368</v>
      </c>
      <c r="R689" s="113">
        <f t="shared" si="74"/>
        <v>345.36</v>
      </c>
      <c r="S689" s="16">
        <f>IF(S688=15800,15800,ROUND((((Q689*60)/'Gearing Calculator'!$C$14)*'Track Data'!P689),-2))</f>
        <v>12700</v>
      </c>
      <c r="T689" s="16">
        <f t="shared" si="76"/>
        <v>5.5089295873629895</v>
      </c>
      <c r="U689" s="16">
        <f>IF(AC689=100,Braking!$AG$2354,IF(AC689=50,Braking!$AG$1179,IF(AC689=75,Braking!$AG$1767,0)))</f>
        <v>0</v>
      </c>
      <c r="V689" s="16">
        <f>0.5*'Gearing Calculator'!$C$15*'Gearing Calculator'!$C$20*'Gearing Calculator'!$W$20*('Track Data'!Q689^2)</f>
        <v>165.75648822469066</v>
      </c>
      <c r="W689" s="16">
        <f>('Gearing Calculator'!$U$9*'Track Data'!T689)+'Track Data'!V689</f>
        <v>1632.2335443807185</v>
      </c>
      <c r="X689" s="16">
        <f>('Gearing Calculator'!$U$9*9.81)*('Gearing Calculator'!$U$16/'Gearing Calculator'!$C$7)-(('Track Data'!W689)*('Gearing Calculator'!$U$17/'Gearing Calculator'!$C$7))</f>
        <v>511.48354699040738</v>
      </c>
      <c r="Y689" s="16">
        <f>('Gearing Calculator'!$U$9*9.81)*(('Gearing Calculator'!$C$7-'Gearing Calculator'!$U$16)/'Gearing Calculator'!$C$7)+(('Track Data'!W689)*('Gearing Calculator'!$U$17/'Gearing Calculator'!$C$7))</f>
        <v>2099.9384530095926</v>
      </c>
      <c r="Z689" s="16">
        <f>((X689*COS('Gearing Calculator'!$C$21))/'Gearing Calculator'!$C$22)/2</f>
        <v>15.813453588308835</v>
      </c>
      <c r="AA689" s="16">
        <f>Y689/'Gearing Calculator'!$C$24</f>
        <v>29.322184094578887</v>
      </c>
      <c r="AB689" s="16">
        <f t="shared" si="72"/>
        <v>182.28327698677964</v>
      </c>
      <c r="AC689" s="16">
        <v>0</v>
      </c>
      <c r="AD689" s="16">
        <v>51.415226335993168</v>
      </c>
      <c r="AE689" s="16">
        <v>686</v>
      </c>
      <c r="AF689" s="16">
        <f>IF(AC689=0,IF(O689=6,INDEX(Acceleration!$V$4:$V$110,MATCH('Track Data'!S689,Acceleration!$K$4:$K$110,0)),IF('Track Data'!O689=5,INDEX(Acceleration!$U$4:$U$110,MATCH('Track Data'!S689,Acceleration!$K$4:$K$110,0)),1)),U689)</f>
        <v>1</v>
      </c>
      <c r="AG689" s="16">
        <f>IF(AC689=0,IF(O689=4,INDEX(Acceleration!$T$4:$T$110,MATCH('Track Data'!S689,Acceleration!$K$4:$K$110,0)),IF('Track Data'!O689=3,INDEX(Acceleration!$S$4:$S$110,MATCH('Track Data'!S689,Acceleration!$K$4:$K$110,0)),'Track Data'!AF689)),'Track Data'!U689)</f>
        <v>5.5089295873629895</v>
      </c>
      <c r="AH689" s="16">
        <f>IF(AC689=0,IF(O689=2,INDEX(Acceleration!$R$4:$R$110,MATCH('Track Data'!S689,Acceleration!$K$4:$K$110,0)),IF('Track Data'!O689=1,INDEX(Acceleration!$Q$4:$Q$110,MATCH('Track Data'!S689,Acceleration!$K$4:$K$110,0)),'Track Data'!AG689)),'Track Data'!U689)</f>
        <v>5.5089295873629895</v>
      </c>
    </row>
    <row r="690" spans="2:34" x14ac:dyDescent="0.25">
      <c r="B690" s="16">
        <v>216.63</v>
      </c>
      <c r="C690" s="16">
        <v>7960</v>
      </c>
      <c r="D690" s="16">
        <v>687</v>
      </c>
      <c r="E690" s="113">
        <v>152</v>
      </c>
      <c r="F690" s="113">
        <v>143</v>
      </c>
      <c r="G690" s="113">
        <v>133.19999999999999</v>
      </c>
      <c r="H690" s="113">
        <f t="shared" si="75"/>
        <v>36.999999999999993</v>
      </c>
      <c r="I690" s="113">
        <v>15.4</v>
      </c>
      <c r="J690" s="113">
        <v>32.520000000000003</v>
      </c>
      <c r="K690" s="113">
        <v>45.5</v>
      </c>
      <c r="L690" s="183"/>
      <c r="M690" s="16">
        <v>687</v>
      </c>
      <c r="N690" s="16">
        <f t="shared" si="77"/>
        <v>2.5269092609066537E-2</v>
      </c>
      <c r="O690" s="16">
        <v>3</v>
      </c>
      <c r="P690" s="16">
        <f t="shared" si="73"/>
        <v>10.596205962059623</v>
      </c>
      <c r="Q690" s="16">
        <f t="shared" si="78"/>
        <v>39.574036767794368</v>
      </c>
      <c r="R690" s="113">
        <f t="shared" si="74"/>
        <v>345.36</v>
      </c>
      <c r="S690" s="16">
        <f>IF(S689=15800,15800,ROUND((((Q690*60)/'Gearing Calculator'!$C$14)*'Track Data'!P690),-2))</f>
        <v>12700</v>
      </c>
      <c r="T690" s="16">
        <f t="shared" si="76"/>
        <v>5.5089295873629895</v>
      </c>
      <c r="U690" s="16">
        <f>IF(AC690=100,Braking!$AG$2354,IF(AC690=50,Braking!$AG$1179,IF(AC690=75,Braking!$AG$1767,0)))</f>
        <v>0</v>
      </c>
      <c r="V690" s="16">
        <f>0.5*'Gearing Calculator'!$C$15*'Gearing Calculator'!$C$20*'Gearing Calculator'!$W$20*('Track Data'!Q690^2)</f>
        <v>165.75648822469066</v>
      </c>
      <c r="W690" s="16">
        <f>('Gearing Calculator'!$U$9*'Track Data'!T690)+'Track Data'!V690</f>
        <v>1632.2335443807185</v>
      </c>
      <c r="X690" s="16">
        <f>('Gearing Calculator'!$U$9*9.81)*('Gearing Calculator'!$U$16/'Gearing Calculator'!$C$7)-(('Track Data'!W690)*('Gearing Calculator'!$U$17/'Gearing Calculator'!$C$7))</f>
        <v>511.48354699040738</v>
      </c>
      <c r="Y690" s="16">
        <f>('Gearing Calculator'!$U$9*9.81)*(('Gearing Calculator'!$C$7-'Gearing Calculator'!$U$16)/'Gearing Calculator'!$C$7)+(('Track Data'!W690)*('Gearing Calculator'!$U$17/'Gearing Calculator'!$C$7))</f>
        <v>2099.9384530095926</v>
      </c>
      <c r="Z690" s="16">
        <f>((X690*COS('Gearing Calculator'!$C$21))/'Gearing Calculator'!$C$22)/2</f>
        <v>15.813453588308835</v>
      </c>
      <c r="AA690" s="16">
        <f>Y690/'Gearing Calculator'!$C$24</f>
        <v>29.322184094578887</v>
      </c>
      <c r="AB690" s="16">
        <f t="shared" si="72"/>
        <v>182.28327698677964</v>
      </c>
      <c r="AC690" s="16">
        <v>0</v>
      </c>
      <c r="AD690" s="16">
        <v>51.415226335993168</v>
      </c>
      <c r="AE690" s="16">
        <v>687</v>
      </c>
      <c r="AF690" s="16">
        <f>IF(AC690=0,IF(O690=6,INDEX(Acceleration!$V$4:$V$110,MATCH('Track Data'!S690,Acceleration!$K$4:$K$110,0)),IF('Track Data'!O690=5,INDEX(Acceleration!$U$4:$U$110,MATCH('Track Data'!S690,Acceleration!$K$4:$K$110,0)),1)),U690)</f>
        <v>1</v>
      </c>
      <c r="AG690" s="16">
        <f>IF(AC690=0,IF(O690=4,INDEX(Acceleration!$T$4:$T$110,MATCH('Track Data'!S690,Acceleration!$K$4:$K$110,0)),IF('Track Data'!O690=3,INDEX(Acceleration!$S$4:$S$110,MATCH('Track Data'!S690,Acceleration!$K$4:$K$110,0)),'Track Data'!AF690)),'Track Data'!U690)</f>
        <v>5.5089295873629895</v>
      </c>
      <c r="AH690" s="16">
        <f>IF(AC690=0,IF(O690=2,INDEX(Acceleration!$R$4:$R$110,MATCH('Track Data'!S690,Acceleration!$K$4:$K$110,0)),IF('Track Data'!O690=1,INDEX(Acceleration!$Q$4:$Q$110,MATCH('Track Data'!S690,Acceleration!$K$4:$K$110,0)),'Track Data'!AG690)),'Track Data'!U690)</f>
        <v>5.5089295873629895</v>
      </c>
    </row>
    <row r="691" spans="2:34" x14ac:dyDescent="0.25">
      <c r="B691" s="16">
        <v>216.65600000000001</v>
      </c>
      <c r="C691" s="16">
        <v>7961</v>
      </c>
      <c r="D691" s="16">
        <v>688</v>
      </c>
      <c r="E691" s="113">
        <v>152</v>
      </c>
      <c r="F691" s="113">
        <v>143.19999999999999</v>
      </c>
      <c r="G691" s="113">
        <v>133.4</v>
      </c>
      <c r="H691" s="113">
        <f t="shared" si="75"/>
        <v>37.055555555555557</v>
      </c>
      <c r="I691" s="113">
        <v>15.1</v>
      </c>
      <c r="J691" s="113">
        <v>30.64</v>
      </c>
      <c r="K691" s="113">
        <v>45.5</v>
      </c>
      <c r="L691" s="183"/>
      <c r="M691" s="16">
        <v>688</v>
      </c>
      <c r="N691" s="16">
        <f t="shared" si="77"/>
        <v>2.5269092609066537E-2</v>
      </c>
      <c r="O691" s="16">
        <v>3</v>
      </c>
      <c r="P691" s="16">
        <f t="shared" si="73"/>
        <v>10.596205962059623</v>
      </c>
      <c r="Q691" s="16">
        <f t="shared" si="78"/>
        <v>39.574036767794368</v>
      </c>
      <c r="R691" s="113">
        <f t="shared" si="74"/>
        <v>345.36</v>
      </c>
      <c r="S691" s="16">
        <f>IF(S690=15800,15800,ROUND((((Q691*60)/'Gearing Calculator'!$C$14)*'Track Data'!P691),-2))</f>
        <v>12700</v>
      </c>
      <c r="T691" s="16">
        <f t="shared" si="76"/>
        <v>5.5089295873629895</v>
      </c>
      <c r="U691" s="16">
        <f>IF(AC691=100,Braking!$AG$2354,IF(AC691=50,Braking!$AG$1179,IF(AC691=75,Braking!$AG$1767,0)))</f>
        <v>0</v>
      </c>
      <c r="V691" s="16">
        <f>0.5*'Gearing Calculator'!$C$15*'Gearing Calculator'!$C$20*'Gearing Calculator'!$W$20*('Track Data'!Q691^2)</f>
        <v>165.75648822469066</v>
      </c>
      <c r="W691" s="16">
        <f>('Gearing Calculator'!$U$9*'Track Data'!T691)+'Track Data'!V691</f>
        <v>1632.2335443807185</v>
      </c>
      <c r="X691" s="16">
        <f>('Gearing Calculator'!$U$9*9.81)*('Gearing Calculator'!$U$16/'Gearing Calculator'!$C$7)-(('Track Data'!W691)*('Gearing Calculator'!$U$17/'Gearing Calculator'!$C$7))</f>
        <v>511.48354699040738</v>
      </c>
      <c r="Y691" s="16">
        <f>('Gearing Calculator'!$U$9*9.81)*(('Gearing Calculator'!$C$7-'Gearing Calculator'!$U$16)/'Gearing Calculator'!$C$7)+(('Track Data'!W691)*('Gearing Calculator'!$U$17/'Gearing Calculator'!$C$7))</f>
        <v>2099.9384530095926</v>
      </c>
      <c r="Z691" s="16">
        <f>((X691*COS('Gearing Calculator'!$C$21))/'Gearing Calculator'!$C$22)/2</f>
        <v>15.813453588308835</v>
      </c>
      <c r="AA691" s="16">
        <f>Y691/'Gearing Calculator'!$C$24</f>
        <v>29.322184094578887</v>
      </c>
      <c r="AB691" s="16">
        <f t="shared" si="72"/>
        <v>182.28327698677964</v>
      </c>
      <c r="AC691" s="16">
        <v>0</v>
      </c>
      <c r="AD691" s="16">
        <v>51.415226335993168</v>
      </c>
      <c r="AE691" s="16">
        <v>688</v>
      </c>
      <c r="AF691" s="16">
        <f>IF(AC691=0,IF(O691=6,INDEX(Acceleration!$V$4:$V$110,MATCH('Track Data'!S691,Acceleration!$K$4:$K$110,0)),IF('Track Data'!O691=5,INDEX(Acceleration!$U$4:$U$110,MATCH('Track Data'!S691,Acceleration!$K$4:$K$110,0)),1)),U691)</f>
        <v>1</v>
      </c>
      <c r="AG691" s="16">
        <f>IF(AC691=0,IF(O691=4,INDEX(Acceleration!$T$4:$T$110,MATCH('Track Data'!S691,Acceleration!$K$4:$K$110,0)),IF('Track Data'!O691=3,INDEX(Acceleration!$S$4:$S$110,MATCH('Track Data'!S691,Acceleration!$K$4:$K$110,0)),'Track Data'!AF691)),'Track Data'!U691)</f>
        <v>5.5089295873629895</v>
      </c>
      <c r="AH691" s="16">
        <f>IF(AC691=0,IF(O691=2,INDEX(Acceleration!$R$4:$R$110,MATCH('Track Data'!S691,Acceleration!$K$4:$K$110,0)),IF('Track Data'!O691=1,INDEX(Acceleration!$Q$4:$Q$110,MATCH('Track Data'!S691,Acceleration!$K$4:$K$110,0)),'Track Data'!AG691)),'Track Data'!U691)</f>
        <v>5.5089295873629895</v>
      </c>
    </row>
    <row r="692" spans="2:34" x14ac:dyDescent="0.25">
      <c r="B692" s="16">
        <v>216.68100000000001</v>
      </c>
      <c r="C692" s="16">
        <v>7962</v>
      </c>
      <c r="D692" s="16">
        <v>689</v>
      </c>
      <c r="E692" s="113">
        <v>153</v>
      </c>
      <c r="F692" s="113">
        <v>143.6</v>
      </c>
      <c r="G692" s="113">
        <v>133.80000000000001</v>
      </c>
      <c r="H692" s="113">
        <f t="shared" si="75"/>
        <v>37.166666666666671</v>
      </c>
      <c r="I692" s="113">
        <v>14.3</v>
      </c>
      <c r="J692" s="113">
        <v>29.66</v>
      </c>
      <c r="K692" s="113">
        <v>45.5</v>
      </c>
      <c r="L692" s="183"/>
      <c r="M692" s="16">
        <v>689</v>
      </c>
      <c r="N692" s="16">
        <f t="shared" si="77"/>
        <v>2.5269092609066537E-2</v>
      </c>
      <c r="O692" s="16">
        <v>3</v>
      </c>
      <c r="P692" s="16">
        <f t="shared" si="73"/>
        <v>10.596205962059623</v>
      </c>
      <c r="Q692" s="16">
        <f t="shared" si="78"/>
        <v>39.574036767794368</v>
      </c>
      <c r="R692" s="113">
        <f t="shared" si="74"/>
        <v>345.36</v>
      </c>
      <c r="S692" s="16">
        <f>IF(S691=15800,15800,ROUND((((Q692*60)/'Gearing Calculator'!$C$14)*'Track Data'!P692),-2))</f>
        <v>12700</v>
      </c>
      <c r="T692" s="16">
        <f t="shared" si="76"/>
        <v>5.5089295873629895</v>
      </c>
      <c r="U692" s="16">
        <f>IF(AC692=100,Braking!$AG$2354,IF(AC692=50,Braking!$AG$1179,IF(AC692=75,Braking!$AG$1767,0)))</f>
        <v>0</v>
      </c>
      <c r="V692" s="16">
        <f>0.5*'Gearing Calculator'!$C$15*'Gearing Calculator'!$C$20*'Gearing Calculator'!$W$20*('Track Data'!Q692^2)</f>
        <v>165.75648822469066</v>
      </c>
      <c r="W692" s="16">
        <f>('Gearing Calculator'!$U$9*'Track Data'!T692)+'Track Data'!V692</f>
        <v>1632.2335443807185</v>
      </c>
      <c r="X692" s="16">
        <f>('Gearing Calculator'!$U$9*9.81)*('Gearing Calculator'!$U$16/'Gearing Calculator'!$C$7)-(('Track Data'!W692)*('Gearing Calculator'!$U$17/'Gearing Calculator'!$C$7))</f>
        <v>511.48354699040738</v>
      </c>
      <c r="Y692" s="16">
        <f>('Gearing Calculator'!$U$9*9.81)*(('Gearing Calculator'!$C$7-'Gearing Calculator'!$U$16)/'Gearing Calculator'!$C$7)+(('Track Data'!W692)*('Gearing Calculator'!$U$17/'Gearing Calculator'!$C$7))</f>
        <v>2099.9384530095926</v>
      </c>
      <c r="Z692" s="16">
        <f>((X692*COS('Gearing Calculator'!$C$21))/'Gearing Calculator'!$C$22)/2</f>
        <v>15.813453588308835</v>
      </c>
      <c r="AA692" s="16">
        <f>Y692/'Gearing Calculator'!$C$24</f>
        <v>29.322184094578887</v>
      </c>
      <c r="AB692" s="16">
        <f t="shared" si="72"/>
        <v>182.28327698677964</v>
      </c>
      <c r="AC692" s="16">
        <v>0</v>
      </c>
      <c r="AD692" s="16">
        <v>51.415226335993168</v>
      </c>
      <c r="AE692" s="16">
        <v>689</v>
      </c>
      <c r="AF692" s="16">
        <f>IF(AC692=0,IF(O692=6,INDEX(Acceleration!$V$4:$V$110,MATCH('Track Data'!S692,Acceleration!$K$4:$K$110,0)),IF('Track Data'!O692=5,INDEX(Acceleration!$U$4:$U$110,MATCH('Track Data'!S692,Acceleration!$K$4:$K$110,0)),1)),U692)</f>
        <v>1</v>
      </c>
      <c r="AG692" s="16">
        <f>IF(AC692=0,IF(O692=4,INDEX(Acceleration!$T$4:$T$110,MATCH('Track Data'!S692,Acceleration!$K$4:$K$110,0)),IF('Track Data'!O692=3,INDEX(Acceleration!$S$4:$S$110,MATCH('Track Data'!S692,Acceleration!$K$4:$K$110,0)),'Track Data'!AF692)),'Track Data'!U692)</f>
        <v>5.5089295873629895</v>
      </c>
      <c r="AH692" s="16">
        <f>IF(AC692=0,IF(O692=2,INDEX(Acceleration!$R$4:$R$110,MATCH('Track Data'!S692,Acceleration!$K$4:$K$110,0)),IF('Track Data'!O692=1,INDEX(Acceleration!$Q$4:$Q$110,MATCH('Track Data'!S692,Acceleration!$K$4:$K$110,0)),'Track Data'!AG692)),'Track Data'!U692)</f>
        <v>5.5089295873629895</v>
      </c>
    </row>
    <row r="693" spans="2:34" x14ac:dyDescent="0.25">
      <c r="B693" s="16">
        <v>216.70599999999999</v>
      </c>
      <c r="C693" s="16">
        <v>7963</v>
      </c>
      <c r="D693" s="16">
        <v>690</v>
      </c>
      <c r="E693" s="113">
        <v>154</v>
      </c>
      <c r="F693" s="113">
        <v>143.9</v>
      </c>
      <c r="G693" s="113">
        <v>134.1</v>
      </c>
      <c r="H693" s="113">
        <f t="shared" si="75"/>
        <v>37.25</v>
      </c>
      <c r="I693" s="113">
        <v>13.7</v>
      </c>
      <c r="J693" s="113">
        <v>30.16</v>
      </c>
      <c r="K693" s="113">
        <v>45.5</v>
      </c>
      <c r="L693" s="183"/>
      <c r="M693" s="16">
        <v>690</v>
      </c>
      <c r="N693" s="16">
        <f t="shared" si="77"/>
        <v>2.5269092609066537E-2</v>
      </c>
      <c r="O693" s="16">
        <v>3</v>
      </c>
      <c r="P693" s="16">
        <f t="shared" si="73"/>
        <v>10.596205962059623</v>
      </c>
      <c r="Q693" s="16">
        <f t="shared" si="78"/>
        <v>39.574036767794368</v>
      </c>
      <c r="R693" s="113">
        <f t="shared" si="74"/>
        <v>345.36</v>
      </c>
      <c r="S693" s="16">
        <f>IF(S692=15800,15800,ROUND((((Q693*60)/'Gearing Calculator'!$C$14)*'Track Data'!P693),-2))</f>
        <v>12700</v>
      </c>
      <c r="T693" s="16">
        <f t="shared" si="76"/>
        <v>5.5089295873629895</v>
      </c>
      <c r="U693" s="16">
        <f>IF(AC693=100,Braking!$AG$2354,IF(AC693=50,Braking!$AG$1179,IF(AC693=75,Braking!$AG$1767,0)))</f>
        <v>0</v>
      </c>
      <c r="V693" s="16">
        <f>0.5*'Gearing Calculator'!$C$15*'Gearing Calculator'!$C$20*'Gearing Calculator'!$W$20*('Track Data'!Q693^2)</f>
        <v>165.75648822469066</v>
      </c>
      <c r="W693" s="16">
        <f>('Gearing Calculator'!$U$9*'Track Data'!T693)+'Track Data'!V693</f>
        <v>1632.2335443807185</v>
      </c>
      <c r="X693" s="16">
        <f>('Gearing Calculator'!$U$9*9.81)*('Gearing Calculator'!$U$16/'Gearing Calculator'!$C$7)-(('Track Data'!W693)*('Gearing Calculator'!$U$17/'Gearing Calculator'!$C$7))</f>
        <v>511.48354699040738</v>
      </c>
      <c r="Y693" s="16">
        <f>('Gearing Calculator'!$U$9*9.81)*(('Gearing Calculator'!$C$7-'Gearing Calculator'!$U$16)/'Gearing Calculator'!$C$7)+(('Track Data'!W693)*('Gearing Calculator'!$U$17/'Gearing Calculator'!$C$7))</f>
        <v>2099.9384530095926</v>
      </c>
      <c r="Z693" s="16">
        <f>((X693*COS('Gearing Calculator'!$C$21))/'Gearing Calculator'!$C$22)/2</f>
        <v>15.813453588308835</v>
      </c>
      <c r="AA693" s="16">
        <f>Y693/'Gearing Calculator'!$C$24</f>
        <v>29.322184094578887</v>
      </c>
      <c r="AB693" s="16">
        <f t="shared" si="72"/>
        <v>182.28327698677964</v>
      </c>
      <c r="AC693" s="16">
        <v>0</v>
      </c>
      <c r="AD693" s="16">
        <v>51.415226335993168</v>
      </c>
      <c r="AE693" s="16">
        <v>690</v>
      </c>
      <c r="AF693" s="16">
        <f>IF(AC693=0,IF(O693=6,INDEX(Acceleration!$V$4:$V$110,MATCH('Track Data'!S693,Acceleration!$K$4:$K$110,0)),IF('Track Data'!O693=5,INDEX(Acceleration!$U$4:$U$110,MATCH('Track Data'!S693,Acceleration!$K$4:$K$110,0)),1)),U693)</f>
        <v>1</v>
      </c>
      <c r="AG693" s="16">
        <f>IF(AC693=0,IF(O693=4,INDEX(Acceleration!$T$4:$T$110,MATCH('Track Data'!S693,Acceleration!$K$4:$K$110,0)),IF('Track Data'!O693=3,INDEX(Acceleration!$S$4:$S$110,MATCH('Track Data'!S693,Acceleration!$K$4:$K$110,0)),'Track Data'!AF693)),'Track Data'!U693)</f>
        <v>5.5089295873629895</v>
      </c>
      <c r="AH693" s="16">
        <f>IF(AC693=0,IF(O693=2,INDEX(Acceleration!$R$4:$R$110,MATCH('Track Data'!S693,Acceleration!$K$4:$K$110,0)),IF('Track Data'!O693=1,INDEX(Acceleration!$Q$4:$Q$110,MATCH('Track Data'!S693,Acceleration!$K$4:$K$110,0)),'Track Data'!AG693)),'Track Data'!U693)</f>
        <v>5.5089295873629895</v>
      </c>
    </row>
    <row r="694" spans="2:34" x14ac:dyDescent="0.25">
      <c r="B694" s="16">
        <v>216.73099999999999</v>
      </c>
      <c r="C694" s="16">
        <v>7964</v>
      </c>
      <c r="D694" s="16">
        <v>691</v>
      </c>
      <c r="E694" s="113">
        <v>154</v>
      </c>
      <c r="F694" s="113">
        <v>144.4</v>
      </c>
      <c r="G694" s="113">
        <v>134.4</v>
      </c>
      <c r="H694" s="113">
        <f t="shared" si="75"/>
        <v>37.333333333333336</v>
      </c>
      <c r="I694" s="113">
        <v>13.3</v>
      </c>
      <c r="J694" s="113">
        <v>32.22</v>
      </c>
      <c r="K694" s="113">
        <v>45.9</v>
      </c>
      <c r="L694" s="183"/>
      <c r="M694" s="16">
        <v>691</v>
      </c>
      <c r="N694" s="16">
        <f t="shared" si="77"/>
        <v>2.5269092609066537E-2</v>
      </c>
      <c r="O694" s="16">
        <v>3</v>
      </c>
      <c r="P694" s="16">
        <f t="shared" si="73"/>
        <v>10.596205962059623</v>
      </c>
      <c r="Q694" s="16">
        <f t="shared" si="78"/>
        <v>39.574036767794368</v>
      </c>
      <c r="R694" s="113">
        <f t="shared" si="74"/>
        <v>345.36</v>
      </c>
      <c r="S694" s="16">
        <f>IF(S693=15800,15800,ROUND((((Q694*60)/'Gearing Calculator'!$C$14)*'Track Data'!P694),-2))</f>
        <v>12700</v>
      </c>
      <c r="T694" s="16">
        <f t="shared" si="76"/>
        <v>5.5089295873629895</v>
      </c>
      <c r="U694" s="16">
        <f>IF(AC694=100,Braking!$AG$2354,IF(AC694=50,Braking!$AG$1179,IF(AC694=75,Braking!$AG$1767,0)))</f>
        <v>0</v>
      </c>
      <c r="V694" s="16">
        <f>0.5*'Gearing Calculator'!$C$15*'Gearing Calculator'!$C$20*'Gearing Calculator'!$W$20*('Track Data'!Q694^2)</f>
        <v>165.75648822469066</v>
      </c>
      <c r="W694" s="16">
        <f>('Gearing Calculator'!$U$9*'Track Data'!T694)+'Track Data'!V694</f>
        <v>1632.2335443807185</v>
      </c>
      <c r="X694" s="16">
        <f>('Gearing Calculator'!$U$9*9.81)*('Gearing Calculator'!$U$16/'Gearing Calculator'!$C$7)-(('Track Data'!W694)*('Gearing Calculator'!$U$17/'Gearing Calculator'!$C$7))</f>
        <v>511.48354699040738</v>
      </c>
      <c r="Y694" s="16">
        <f>('Gearing Calculator'!$U$9*9.81)*(('Gearing Calculator'!$C$7-'Gearing Calculator'!$U$16)/'Gearing Calculator'!$C$7)+(('Track Data'!W694)*('Gearing Calculator'!$U$17/'Gearing Calculator'!$C$7))</f>
        <v>2099.9384530095926</v>
      </c>
      <c r="Z694" s="16">
        <f>((X694*COS('Gearing Calculator'!$C$21))/'Gearing Calculator'!$C$22)/2</f>
        <v>15.813453588308835</v>
      </c>
      <c r="AA694" s="16">
        <f>Y694/'Gearing Calculator'!$C$24</f>
        <v>29.322184094578887</v>
      </c>
      <c r="AB694" s="16">
        <f t="shared" ref="AB694:AB757" si="79">(T694*O694)+V694</f>
        <v>182.28327698677964</v>
      </c>
      <c r="AC694" s="16">
        <v>0</v>
      </c>
      <c r="AD694" s="16">
        <v>51.415226335993168</v>
      </c>
      <c r="AE694" s="16">
        <v>691</v>
      </c>
      <c r="AF694" s="16">
        <f>IF(AC694=0,IF(O694=6,INDEX(Acceleration!$V$4:$V$110,MATCH('Track Data'!S694,Acceleration!$K$4:$K$110,0)),IF('Track Data'!O694=5,INDEX(Acceleration!$U$4:$U$110,MATCH('Track Data'!S694,Acceleration!$K$4:$K$110,0)),1)),U694)</f>
        <v>1</v>
      </c>
      <c r="AG694" s="16">
        <f>IF(AC694=0,IF(O694=4,INDEX(Acceleration!$T$4:$T$110,MATCH('Track Data'!S694,Acceleration!$K$4:$K$110,0)),IF('Track Data'!O694=3,INDEX(Acceleration!$S$4:$S$110,MATCH('Track Data'!S694,Acceleration!$K$4:$K$110,0)),'Track Data'!AF694)),'Track Data'!U694)</f>
        <v>5.5089295873629895</v>
      </c>
      <c r="AH694" s="16">
        <f>IF(AC694=0,IF(O694=2,INDEX(Acceleration!$R$4:$R$110,MATCH('Track Data'!S694,Acceleration!$K$4:$K$110,0)),IF('Track Data'!O694=1,INDEX(Acceleration!$Q$4:$Q$110,MATCH('Track Data'!S694,Acceleration!$K$4:$K$110,0)),'Track Data'!AG694)),'Track Data'!U694)</f>
        <v>5.5089295873629895</v>
      </c>
    </row>
    <row r="695" spans="2:34" ht="15.75" thickBot="1" x14ac:dyDescent="0.3">
      <c r="B695" s="16">
        <v>216.756</v>
      </c>
      <c r="C695" s="16">
        <v>7965</v>
      </c>
      <c r="D695" s="16">
        <v>692</v>
      </c>
      <c r="E695" s="113">
        <v>154</v>
      </c>
      <c r="F695" s="113">
        <v>144.6</v>
      </c>
      <c r="G695" s="113">
        <v>134.69999999999999</v>
      </c>
      <c r="H695" s="113">
        <f t="shared" si="75"/>
        <v>37.416666666666664</v>
      </c>
      <c r="I695" s="113">
        <v>13.2</v>
      </c>
      <c r="J695" s="113">
        <v>31.12</v>
      </c>
      <c r="K695" s="113">
        <v>46.7</v>
      </c>
      <c r="L695" s="194"/>
      <c r="M695" s="16">
        <v>692</v>
      </c>
      <c r="N695" s="16">
        <f t="shared" si="77"/>
        <v>2.5269092609066537E-2</v>
      </c>
      <c r="O695" s="16">
        <v>3</v>
      </c>
      <c r="P695" s="16">
        <f t="shared" si="73"/>
        <v>10.596205962059623</v>
      </c>
      <c r="Q695" s="16">
        <f t="shared" si="78"/>
        <v>39.574036767794368</v>
      </c>
      <c r="R695" s="113">
        <f t="shared" si="74"/>
        <v>345.36</v>
      </c>
      <c r="S695" s="16">
        <f>IF(S694=15800,15800,ROUND((((Q695*60)/'Gearing Calculator'!$C$14)*'Track Data'!P695),-2))</f>
        <v>12700</v>
      </c>
      <c r="T695" s="16">
        <f t="shared" si="76"/>
        <v>5.5089295873629895</v>
      </c>
      <c r="U695" s="16">
        <f>IF(AC695=100,Braking!$AG$2354,IF(AC695=50,Braking!$AG$1179,IF(AC695=75,Braking!$AG$1767,0)))</f>
        <v>0</v>
      </c>
      <c r="V695" s="16">
        <f>0.5*'Gearing Calculator'!$C$15*'Gearing Calculator'!$C$20*'Gearing Calculator'!$W$20*('Track Data'!Q695^2)</f>
        <v>165.75648822469066</v>
      </c>
      <c r="W695" s="16">
        <f>('Gearing Calculator'!$U$9*'Track Data'!T695)+'Track Data'!V695</f>
        <v>1632.2335443807185</v>
      </c>
      <c r="X695" s="16">
        <f>('Gearing Calculator'!$U$9*9.81)*('Gearing Calculator'!$U$16/'Gearing Calculator'!$C$7)-(('Track Data'!W695)*('Gearing Calculator'!$U$17/'Gearing Calculator'!$C$7))</f>
        <v>511.48354699040738</v>
      </c>
      <c r="Y695" s="16">
        <f>('Gearing Calculator'!$U$9*9.81)*(('Gearing Calculator'!$C$7-'Gearing Calculator'!$U$16)/'Gearing Calculator'!$C$7)+(('Track Data'!W695)*('Gearing Calculator'!$U$17/'Gearing Calculator'!$C$7))</f>
        <v>2099.9384530095926</v>
      </c>
      <c r="Z695" s="16">
        <f>((X695*COS('Gearing Calculator'!$C$21))/'Gearing Calculator'!$C$22)/2</f>
        <v>15.813453588308835</v>
      </c>
      <c r="AA695" s="16">
        <f>Y695/'Gearing Calculator'!$C$24</f>
        <v>29.322184094578887</v>
      </c>
      <c r="AB695" s="16">
        <f t="shared" si="79"/>
        <v>182.28327698677964</v>
      </c>
      <c r="AC695" s="16">
        <v>0</v>
      </c>
      <c r="AD695" s="16">
        <v>51.415226335993168</v>
      </c>
      <c r="AE695" s="16">
        <v>692</v>
      </c>
      <c r="AF695" s="16">
        <f>IF(AC695=0,IF(O695=6,INDEX(Acceleration!$V$4:$V$110,MATCH('Track Data'!S695,Acceleration!$K$4:$K$110,0)),IF('Track Data'!O695=5,INDEX(Acceleration!$U$4:$U$110,MATCH('Track Data'!S695,Acceleration!$K$4:$K$110,0)),1)),U695)</f>
        <v>1</v>
      </c>
      <c r="AG695" s="16">
        <f>IF(AC695=0,IF(O695=4,INDEX(Acceleration!$T$4:$T$110,MATCH('Track Data'!S695,Acceleration!$K$4:$K$110,0)),IF('Track Data'!O695=3,INDEX(Acceleration!$S$4:$S$110,MATCH('Track Data'!S695,Acceleration!$K$4:$K$110,0)),'Track Data'!AF695)),'Track Data'!U695)</f>
        <v>5.5089295873629895</v>
      </c>
      <c r="AH695" s="16">
        <f>IF(AC695=0,IF(O695=2,INDEX(Acceleration!$R$4:$R$110,MATCH('Track Data'!S695,Acceleration!$K$4:$K$110,0)),IF('Track Data'!O695=1,INDEX(Acceleration!$Q$4:$Q$110,MATCH('Track Data'!S695,Acceleration!$K$4:$K$110,0)),'Track Data'!AG695)),'Track Data'!U695)</f>
        <v>5.5089295873629895</v>
      </c>
    </row>
    <row r="696" spans="2:34" x14ac:dyDescent="0.25">
      <c r="B696" s="16">
        <v>216.78</v>
      </c>
      <c r="C696" s="16">
        <v>7966</v>
      </c>
      <c r="D696" s="16">
        <v>693</v>
      </c>
      <c r="E696" s="113">
        <v>155</v>
      </c>
      <c r="F696" s="113">
        <v>145</v>
      </c>
      <c r="G696" s="113">
        <v>135.1</v>
      </c>
      <c r="H696" s="113">
        <f t="shared" si="75"/>
        <v>37.527777777777779</v>
      </c>
      <c r="I696" s="113">
        <v>13.1</v>
      </c>
      <c r="J696" s="113">
        <v>31.65</v>
      </c>
      <c r="K696" s="113">
        <v>47.7</v>
      </c>
      <c r="L696" s="184" t="s">
        <v>190</v>
      </c>
      <c r="M696" s="16">
        <v>693</v>
      </c>
      <c r="N696" s="16">
        <f t="shared" si="77"/>
        <v>2.5269092609066537E-2</v>
      </c>
      <c r="O696" s="16">
        <v>3</v>
      </c>
      <c r="P696" s="16">
        <f t="shared" si="73"/>
        <v>10.596205962059623</v>
      </c>
      <c r="Q696" s="134">
        <f t="shared" si="78"/>
        <v>39.574036767794368</v>
      </c>
      <c r="R696" s="113">
        <f t="shared" si="74"/>
        <v>345.36</v>
      </c>
      <c r="S696" s="16">
        <f>IF(S695=15800,15800,ROUND((((Q696*60)/'Gearing Calculator'!$C$14)*'Track Data'!P696),-2))</f>
        <v>12700</v>
      </c>
      <c r="T696" s="16">
        <f t="shared" si="76"/>
        <v>5.5089295873629895</v>
      </c>
      <c r="U696" s="16">
        <f>IF(AC696=100,Braking!$AG$2354,IF(AC696=50,Braking!$AG$1179,IF(AC696=75,Braking!$AG$1767,0)))</f>
        <v>0</v>
      </c>
      <c r="V696" s="16">
        <f>0.5*'Gearing Calculator'!$C$15*'Gearing Calculator'!$C$20*'Gearing Calculator'!$W$20*('Track Data'!Q696^2)</f>
        <v>165.75648822469066</v>
      </c>
      <c r="W696" s="16">
        <f>('Gearing Calculator'!$U$9*'Track Data'!T696)+'Track Data'!V696</f>
        <v>1632.2335443807185</v>
      </c>
      <c r="X696" s="16">
        <f>('Gearing Calculator'!$U$9*9.81)*('Gearing Calculator'!$U$16/'Gearing Calculator'!$C$7)-(('Track Data'!W696)*('Gearing Calculator'!$U$17/'Gearing Calculator'!$C$7))</f>
        <v>511.48354699040738</v>
      </c>
      <c r="Y696" s="16">
        <f>('Gearing Calculator'!$U$9*9.81)*(('Gearing Calculator'!$C$7-'Gearing Calculator'!$U$16)/'Gearing Calculator'!$C$7)+(('Track Data'!W696)*('Gearing Calculator'!$U$17/'Gearing Calculator'!$C$7))</f>
        <v>2099.9384530095926</v>
      </c>
      <c r="Z696" s="16">
        <f>((X696*COS('Gearing Calculator'!$C$21))/'Gearing Calculator'!$C$22)/2</f>
        <v>15.813453588308835</v>
      </c>
      <c r="AA696" s="16">
        <f>Y696/'Gearing Calculator'!$C$24</f>
        <v>29.322184094578887</v>
      </c>
      <c r="AB696" s="16">
        <f t="shared" si="79"/>
        <v>182.28327698677964</v>
      </c>
      <c r="AC696" s="16">
        <v>0</v>
      </c>
      <c r="AD696" s="16">
        <v>0</v>
      </c>
      <c r="AE696" s="16">
        <v>693</v>
      </c>
      <c r="AF696" s="16">
        <f>IF(AC696=0,IF(O696=6,INDEX(Acceleration!$V$4:$V$110,MATCH('Track Data'!S696,Acceleration!$K$4:$K$110,0)),IF('Track Data'!O696=5,INDEX(Acceleration!$U$4:$U$110,MATCH('Track Data'!S696,Acceleration!$K$4:$K$110,0)),1)),U696)</f>
        <v>1</v>
      </c>
      <c r="AG696" s="16">
        <f>IF(AC696=0,IF(O696=4,INDEX(Acceleration!$T$4:$T$110,MATCH('Track Data'!S696,Acceleration!$K$4:$K$110,0)),IF('Track Data'!O696=3,INDEX(Acceleration!$S$4:$S$110,MATCH('Track Data'!S696,Acceleration!$K$4:$K$110,0)),'Track Data'!AF696)),'Track Data'!U696)</f>
        <v>5.5089295873629895</v>
      </c>
      <c r="AH696" s="16">
        <f>IF(AC696=0,IF(O696=2,INDEX(Acceleration!$R$4:$R$110,MATCH('Track Data'!S696,Acceleration!$K$4:$K$110,0)),IF('Track Data'!O696=1,INDEX(Acceleration!$Q$4:$Q$110,MATCH('Track Data'!S696,Acceleration!$K$4:$K$110,0)),'Track Data'!AG696)),'Track Data'!U696)</f>
        <v>5.5089295873629895</v>
      </c>
    </row>
    <row r="697" spans="2:34" x14ac:dyDescent="0.25">
      <c r="B697" s="16">
        <v>216.80500000000001</v>
      </c>
      <c r="C697" s="16">
        <v>7967</v>
      </c>
      <c r="D697" s="16">
        <v>694</v>
      </c>
      <c r="E697" s="113">
        <v>155</v>
      </c>
      <c r="F697" s="113">
        <v>145.30000000000001</v>
      </c>
      <c r="G697" s="113">
        <v>135.30000000000001</v>
      </c>
      <c r="H697" s="113">
        <f t="shared" si="75"/>
        <v>37.583333333333336</v>
      </c>
      <c r="I697" s="113">
        <v>12.5</v>
      </c>
      <c r="J697" s="113">
        <v>32.67</v>
      </c>
      <c r="K697" s="113">
        <v>48.3</v>
      </c>
      <c r="L697" s="185"/>
      <c r="M697" s="16">
        <v>694</v>
      </c>
      <c r="N697" s="16">
        <f t="shared" si="77"/>
        <v>2.5180672304419439E-2</v>
      </c>
      <c r="O697" s="16">
        <v>3</v>
      </c>
      <c r="P697" s="16">
        <f t="shared" si="73"/>
        <v>10.596205962059623</v>
      </c>
      <c r="Q697" s="16">
        <f t="shared" si="78"/>
        <v>39.712998442241386</v>
      </c>
      <c r="R697" s="113">
        <f t="shared" si="74"/>
        <v>345.36</v>
      </c>
      <c r="S697" s="16">
        <f>IF(S696=15800,15800,ROUND((((Q697*60)/'Gearing Calculator'!$C$14)*'Track Data'!P697),-2))</f>
        <v>12800</v>
      </c>
      <c r="T697" s="16">
        <f t="shared" si="76"/>
        <v>5.4839296655418766</v>
      </c>
      <c r="U697" s="16">
        <f>IF(AC697=100,Braking!$AG$2354,IF(AC697=50,Braking!$AG$1179,IF(AC697=75,Braking!$AG$1767,0)))</f>
        <v>0</v>
      </c>
      <c r="V697" s="16">
        <f>0.5*'Gearing Calculator'!$C$15*'Gearing Calculator'!$C$20*'Gearing Calculator'!$W$20*('Track Data'!Q697^2)</f>
        <v>166.9226184397437</v>
      </c>
      <c r="W697" s="16">
        <f>('Gearing Calculator'!$U$9*'Track Data'!T697)+'Track Data'!V697</f>
        <v>1626.7446954069912</v>
      </c>
      <c r="X697" s="16">
        <f>('Gearing Calculator'!$U$9*9.81)*('Gearing Calculator'!$U$16/'Gearing Calculator'!$C$7)-(('Track Data'!W697)*('Gearing Calculator'!$U$17/'Gearing Calculator'!$C$7))</f>
        <v>514.47534453507581</v>
      </c>
      <c r="Y697" s="16">
        <f>('Gearing Calculator'!$U$9*9.81)*(('Gearing Calculator'!$C$7-'Gearing Calculator'!$U$16)/'Gearing Calculator'!$C$7)+(('Track Data'!W697)*('Gearing Calculator'!$U$17/'Gearing Calculator'!$C$7))</f>
        <v>2096.9466554649243</v>
      </c>
      <c r="Z697" s="16">
        <f>((X697*COS('Gearing Calculator'!$C$21))/'Gearing Calculator'!$C$22)/2</f>
        <v>15.90595050614052</v>
      </c>
      <c r="AA697" s="16">
        <f>Y697/'Gearing Calculator'!$C$24</f>
        <v>29.280408566228164</v>
      </c>
      <c r="AB697" s="16">
        <f t="shared" si="79"/>
        <v>183.37440743636932</v>
      </c>
      <c r="AC697" s="16">
        <v>0</v>
      </c>
      <c r="AD697" s="16">
        <v>0</v>
      </c>
      <c r="AE697" s="16">
        <v>694</v>
      </c>
      <c r="AF697" s="16">
        <f>IF(AC697=0,IF(O697=6,INDEX(Acceleration!$V$4:$V$110,MATCH('Track Data'!S697,Acceleration!$K$4:$K$110,0)),IF('Track Data'!O697=5,INDEX(Acceleration!$U$4:$U$110,MATCH('Track Data'!S697,Acceleration!$K$4:$K$110,0)),1)),U697)</f>
        <v>1</v>
      </c>
      <c r="AG697" s="16">
        <f>IF(AC697=0,IF(O697=4,INDEX(Acceleration!$T$4:$T$110,MATCH('Track Data'!S697,Acceleration!$K$4:$K$110,0)),IF('Track Data'!O697=3,INDEX(Acceleration!$S$4:$S$110,MATCH('Track Data'!S697,Acceleration!$K$4:$K$110,0)),'Track Data'!AF697)),'Track Data'!U697)</f>
        <v>5.4839296655418766</v>
      </c>
      <c r="AH697" s="16">
        <f>IF(AC697=0,IF(O697=2,INDEX(Acceleration!$R$4:$R$110,MATCH('Track Data'!S697,Acceleration!$K$4:$K$110,0)),IF('Track Data'!O697=1,INDEX(Acceleration!$Q$4:$Q$110,MATCH('Track Data'!S697,Acceleration!$K$4:$K$110,0)),'Track Data'!AG697)),'Track Data'!U697)</f>
        <v>5.4839296655418766</v>
      </c>
    </row>
    <row r="698" spans="2:34" x14ac:dyDescent="0.25">
      <c r="B698" s="16">
        <v>216.83</v>
      </c>
      <c r="C698" s="16">
        <v>7968</v>
      </c>
      <c r="D698" s="16">
        <v>695</v>
      </c>
      <c r="E698" s="113">
        <v>156</v>
      </c>
      <c r="F698" s="113">
        <v>145.6</v>
      </c>
      <c r="G698" s="113">
        <v>135.69999999999999</v>
      </c>
      <c r="H698" s="113">
        <f t="shared" si="75"/>
        <v>37.694444444444443</v>
      </c>
      <c r="I698" s="113">
        <v>11.7</v>
      </c>
      <c r="J698" s="113">
        <v>32.409999999999997</v>
      </c>
      <c r="K698" s="113">
        <v>49</v>
      </c>
      <c r="L698" s="185"/>
      <c r="M698" s="16">
        <v>695</v>
      </c>
      <c r="N698" s="16">
        <f t="shared" si="77"/>
        <v>2.5093568755248177E-2</v>
      </c>
      <c r="O698" s="16">
        <v>3</v>
      </c>
      <c r="P698" s="16">
        <f t="shared" si="73"/>
        <v>10.596205962059623</v>
      </c>
      <c r="Q698" s="16">
        <f t="shared" si="78"/>
        <v>39.850848229423555</v>
      </c>
      <c r="R698" s="113">
        <f t="shared" si="74"/>
        <v>345.36</v>
      </c>
      <c r="S698" s="16">
        <f>IF(S697=15800,15800,ROUND((((Q698*60)/'Gearing Calculator'!$C$14)*'Track Data'!P698),-2))</f>
        <v>12800</v>
      </c>
      <c r="T698" s="16">
        <f t="shared" si="76"/>
        <v>5.4839296655418766</v>
      </c>
      <c r="U698" s="16">
        <f>IF(AC698=100,Braking!$AG$2354,IF(AC698=50,Braking!$AG$1179,IF(AC698=75,Braking!$AG$1767,0)))</f>
        <v>0</v>
      </c>
      <c r="V698" s="16">
        <f>0.5*'Gearing Calculator'!$C$15*'Gearing Calculator'!$C$20*'Gearing Calculator'!$W$20*('Track Data'!Q698^2)</f>
        <v>168.0834566713456</v>
      </c>
      <c r="W698" s="16">
        <f>('Gearing Calculator'!$U$9*'Track Data'!T698)+'Track Data'!V698</f>
        <v>1627.9055336385932</v>
      </c>
      <c r="X698" s="16">
        <f>('Gearing Calculator'!$U$9*9.81)*('Gearing Calculator'!$U$16/'Gearing Calculator'!$C$7)-(('Track Data'!W698)*('Gearing Calculator'!$U$17/'Gearing Calculator'!$C$7))</f>
        <v>513.84260842087633</v>
      </c>
      <c r="Y698" s="16">
        <f>('Gearing Calculator'!$U$9*9.81)*(('Gearing Calculator'!$C$7-'Gearing Calculator'!$U$16)/'Gearing Calculator'!$C$7)+(('Track Data'!W698)*('Gearing Calculator'!$U$17/'Gearing Calculator'!$C$7))</f>
        <v>2097.5793915791237</v>
      </c>
      <c r="Z698" s="16">
        <f>((X698*COS('Gearing Calculator'!$C$21))/'Gearing Calculator'!$C$22)/2</f>
        <v>15.886388306663306</v>
      </c>
      <c r="AA698" s="16">
        <f>Y698/'Gearing Calculator'!$C$24</f>
        <v>29.28924368460854</v>
      </c>
      <c r="AB698" s="16">
        <f t="shared" si="79"/>
        <v>184.53524566797122</v>
      </c>
      <c r="AC698" s="16">
        <v>0</v>
      </c>
      <c r="AD698" s="16">
        <v>0</v>
      </c>
      <c r="AE698" s="16">
        <v>695</v>
      </c>
      <c r="AF698" s="16">
        <f>IF(AC698=0,IF(O698=6,INDEX(Acceleration!$V$4:$V$110,MATCH('Track Data'!S698,Acceleration!$K$4:$K$110,0)),IF('Track Data'!O698=5,INDEX(Acceleration!$U$4:$U$110,MATCH('Track Data'!S698,Acceleration!$K$4:$K$110,0)),1)),U698)</f>
        <v>1</v>
      </c>
      <c r="AG698" s="16">
        <f>IF(AC698=0,IF(O698=4,INDEX(Acceleration!$T$4:$T$110,MATCH('Track Data'!S698,Acceleration!$K$4:$K$110,0)),IF('Track Data'!O698=3,INDEX(Acceleration!$S$4:$S$110,MATCH('Track Data'!S698,Acceleration!$K$4:$K$110,0)),'Track Data'!AF698)),'Track Data'!U698)</f>
        <v>5.4839296655418766</v>
      </c>
      <c r="AH698" s="16">
        <f>IF(AC698=0,IF(O698=2,INDEX(Acceleration!$R$4:$R$110,MATCH('Track Data'!S698,Acceleration!$K$4:$K$110,0)),IF('Track Data'!O698=1,INDEX(Acceleration!$Q$4:$Q$110,MATCH('Track Data'!S698,Acceleration!$K$4:$K$110,0)),'Track Data'!AG698)),'Track Data'!U698)</f>
        <v>5.4839296655418766</v>
      </c>
    </row>
    <row r="699" spans="2:34" x14ac:dyDescent="0.25">
      <c r="B699" s="16">
        <v>216.85400000000001</v>
      </c>
      <c r="C699" s="16">
        <v>7969</v>
      </c>
      <c r="D699" s="16">
        <v>696</v>
      </c>
      <c r="E699" s="113">
        <v>156</v>
      </c>
      <c r="F699" s="113">
        <v>145.80000000000001</v>
      </c>
      <c r="G699" s="113">
        <v>136</v>
      </c>
      <c r="H699" s="113">
        <f t="shared" si="75"/>
        <v>37.777777777777779</v>
      </c>
      <c r="I699" s="113">
        <v>11.5</v>
      </c>
      <c r="J699" s="113">
        <v>31.18</v>
      </c>
      <c r="K699" s="113">
        <v>49.5</v>
      </c>
      <c r="L699" s="185"/>
      <c r="M699" s="16">
        <v>696</v>
      </c>
      <c r="N699" s="16">
        <f t="shared" si="77"/>
        <v>2.5007362908221063E-2</v>
      </c>
      <c r="O699" s="16">
        <v>3</v>
      </c>
      <c r="P699" s="16">
        <f t="shared" si="73"/>
        <v>10.596205962059623</v>
      </c>
      <c r="Q699" s="16">
        <f t="shared" si="78"/>
        <v>39.988222815419469</v>
      </c>
      <c r="R699" s="113">
        <f t="shared" si="74"/>
        <v>345.36</v>
      </c>
      <c r="S699" s="16">
        <f>IF(S698=15800,15800,ROUND((((Q699*60)/'Gearing Calculator'!$C$14)*'Track Data'!P699),-2))</f>
        <v>12800</v>
      </c>
      <c r="T699" s="16">
        <f t="shared" si="76"/>
        <v>5.4839296655418766</v>
      </c>
      <c r="U699" s="16">
        <f>IF(AC699=100,Braking!$AG$2354,IF(AC699=50,Braking!$AG$1179,IF(AC699=75,Braking!$AG$1767,0)))</f>
        <v>0</v>
      </c>
      <c r="V699" s="16">
        <f>0.5*'Gearing Calculator'!$C$15*'Gearing Calculator'!$C$20*'Gearing Calculator'!$W$20*('Track Data'!Q699^2)</f>
        <v>169.2442949029475</v>
      </c>
      <c r="W699" s="16">
        <f>('Gearing Calculator'!$U$9*'Track Data'!T699)+'Track Data'!V699</f>
        <v>1629.0663718701951</v>
      </c>
      <c r="X699" s="16">
        <f>('Gearing Calculator'!$U$9*9.81)*('Gearing Calculator'!$U$16/'Gearing Calculator'!$C$7)-(('Track Data'!W699)*('Gearing Calculator'!$U$17/'Gearing Calculator'!$C$7))</f>
        <v>513.20987230667686</v>
      </c>
      <c r="Y699" s="16">
        <f>('Gearing Calculator'!$U$9*9.81)*(('Gearing Calculator'!$C$7-'Gearing Calculator'!$U$16)/'Gearing Calculator'!$C$7)+(('Track Data'!W699)*('Gearing Calculator'!$U$17/'Gearing Calculator'!$C$7))</f>
        <v>2098.2121276933231</v>
      </c>
      <c r="Z699" s="16">
        <f>((X699*COS('Gearing Calculator'!$C$21))/'Gearing Calculator'!$C$22)/2</f>
        <v>15.866826107186091</v>
      </c>
      <c r="AA699" s="16">
        <f>Y699/'Gearing Calculator'!$C$24</f>
        <v>29.298078802988915</v>
      </c>
      <c r="AB699" s="16">
        <f t="shared" si="79"/>
        <v>185.69608389957313</v>
      </c>
      <c r="AC699" s="16">
        <v>0</v>
      </c>
      <c r="AD699" s="16">
        <v>0</v>
      </c>
      <c r="AE699" s="16">
        <v>696</v>
      </c>
      <c r="AF699" s="16">
        <f>IF(AC699=0,IF(O699=6,INDEX(Acceleration!$V$4:$V$110,MATCH('Track Data'!S699,Acceleration!$K$4:$K$110,0)),IF('Track Data'!O699=5,INDEX(Acceleration!$U$4:$U$110,MATCH('Track Data'!S699,Acceleration!$K$4:$K$110,0)),1)),U699)</f>
        <v>1</v>
      </c>
      <c r="AG699" s="16">
        <f>IF(AC699=0,IF(O699=4,INDEX(Acceleration!$T$4:$T$110,MATCH('Track Data'!S699,Acceleration!$K$4:$K$110,0)),IF('Track Data'!O699=3,INDEX(Acceleration!$S$4:$S$110,MATCH('Track Data'!S699,Acceleration!$K$4:$K$110,0)),'Track Data'!AF699)),'Track Data'!U699)</f>
        <v>5.4839296655418766</v>
      </c>
      <c r="AH699" s="16">
        <f>IF(AC699=0,IF(O699=2,INDEX(Acceleration!$R$4:$R$110,MATCH('Track Data'!S699,Acceleration!$K$4:$K$110,0)),IF('Track Data'!O699=1,INDEX(Acceleration!$Q$4:$Q$110,MATCH('Track Data'!S699,Acceleration!$K$4:$K$110,0)),'Track Data'!AG699)),'Track Data'!U699)</f>
        <v>5.4839296655418766</v>
      </c>
    </row>
    <row r="700" spans="2:34" x14ac:dyDescent="0.25">
      <c r="B700" s="16">
        <v>216.87899999999999</v>
      </c>
      <c r="C700" s="16">
        <v>7970</v>
      </c>
      <c r="D700" s="16">
        <v>697</v>
      </c>
      <c r="E700" s="113">
        <v>156</v>
      </c>
      <c r="F700" s="113">
        <v>146</v>
      </c>
      <c r="G700" s="113">
        <v>136.19999999999999</v>
      </c>
      <c r="H700" s="113">
        <f t="shared" si="75"/>
        <v>37.833333333333329</v>
      </c>
      <c r="I700" s="113">
        <v>11.1</v>
      </c>
      <c r="J700" s="113">
        <v>29.54</v>
      </c>
      <c r="K700" s="113">
        <v>49.9</v>
      </c>
      <c r="L700" s="185"/>
      <c r="M700" s="16">
        <v>697</v>
      </c>
      <c r="N700" s="16">
        <f t="shared" si="77"/>
        <v>2.492203944877772E-2</v>
      </c>
      <c r="O700" s="16">
        <v>3</v>
      </c>
      <c r="P700" s="16">
        <f t="shared" si="73"/>
        <v>10.596205962059623</v>
      </c>
      <c r="Q700" s="16">
        <f t="shared" si="78"/>
        <v>40.125127081003967</v>
      </c>
      <c r="R700" s="113">
        <f t="shared" si="74"/>
        <v>345.36</v>
      </c>
      <c r="S700" s="16">
        <f>IF(S699=15800,15800,ROUND((((Q700*60)/'Gearing Calculator'!$C$14)*'Track Data'!P700),-2))</f>
        <v>12900</v>
      </c>
      <c r="T700" s="16">
        <f t="shared" si="76"/>
        <v>5.4591763880024979</v>
      </c>
      <c r="U700" s="16">
        <f>IF(AC700=100,Braking!$AG$2354,IF(AC700=50,Braking!$AG$1179,IF(AC700=75,Braking!$AG$1767,0)))</f>
        <v>0</v>
      </c>
      <c r="V700" s="16">
        <f>0.5*'Gearing Calculator'!$C$15*'Gearing Calculator'!$C$20*'Gearing Calculator'!$W$20*('Track Data'!Q700^2)</f>
        <v>170.4051331345494</v>
      </c>
      <c r="W700" s="16">
        <f>('Gearing Calculator'!$U$9*'Track Data'!T700)+'Track Data'!V700</f>
        <v>1623.6378876208144</v>
      </c>
      <c r="X700" s="16">
        <f>('Gearing Calculator'!$U$9*9.81)*('Gearing Calculator'!$U$16/'Gearing Calculator'!$C$7)-(('Track Data'!W700)*('Gearing Calculator'!$U$17/'Gearing Calculator'!$C$7))</f>
        <v>516.16876695404403</v>
      </c>
      <c r="Y700" s="16">
        <f>('Gearing Calculator'!$U$9*9.81)*(('Gearing Calculator'!$C$7-'Gearing Calculator'!$U$16)/'Gearing Calculator'!$C$7)+(('Track Data'!W700)*('Gearing Calculator'!$U$17/'Gearing Calculator'!$C$7))</f>
        <v>2095.2532330459562</v>
      </c>
      <c r="Z700" s="16">
        <f>((X700*COS('Gearing Calculator'!$C$21))/'Gearing Calculator'!$C$22)/2</f>
        <v>15.958305771496219</v>
      </c>
      <c r="AA700" s="16">
        <f>Y700/'Gearing Calculator'!$C$24</f>
        <v>29.256762709442359</v>
      </c>
      <c r="AB700" s="16">
        <f t="shared" si="79"/>
        <v>186.78266229855689</v>
      </c>
      <c r="AC700" s="16">
        <v>0</v>
      </c>
      <c r="AD700" s="16">
        <v>0</v>
      </c>
      <c r="AE700" s="16">
        <v>697</v>
      </c>
      <c r="AF700" s="16">
        <f>IF(AC700=0,IF(O700=6,INDEX(Acceleration!$V$4:$V$110,MATCH('Track Data'!S700,Acceleration!$K$4:$K$110,0)),IF('Track Data'!O700=5,INDEX(Acceleration!$U$4:$U$110,MATCH('Track Data'!S700,Acceleration!$K$4:$K$110,0)),1)),U700)</f>
        <v>1</v>
      </c>
      <c r="AG700" s="16">
        <f>IF(AC700=0,IF(O700=4,INDEX(Acceleration!$T$4:$T$110,MATCH('Track Data'!S700,Acceleration!$K$4:$K$110,0)),IF('Track Data'!O700=3,INDEX(Acceleration!$S$4:$S$110,MATCH('Track Data'!S700,Acceleration!$K$4:$K$110,0)),'Track Data'!AF700)),'Track Data'!U700)</f>
        <v>5.4591763880024979</v>
      </c>
      <c r="AH700" s="16">
        <f>IF(AC700=0,IF(O700=2,INDEX(Acceleration!$R$4:$R$110,MATCH('Track Data'!S700,Acceleration!$K$4:$K$110,0)),IF('Track Data'!O700=1,INDEX(Acceleration!$Q$4:$Q$110,MATCH('Track Data'!S700,Acceleration!$K$4:$K$110,0)),'Track Data'!AG700)),'Track Data'!U700)</f>
        <v>5.4591763880024979</v>
      </c>
    </row>
    <row r="701" spans="2:34" x14ac:dyDescent="0.25">
      <c r="B701" s="16">
        <v>216.904</v>
      </c>
      <c r="C701" s="16">
        <v>7971</v>
      </c>
      <c r="D701" s="16">
        <v>698</v>
      </c>
      <c r="E701" s="113">
        <v>157</v>
      </c>
      <c r="F701" s="113">
        <v>146.1</v>
      </c>
      <c r="G701" s="113">
        <v>136.5</v>
      </c>
      <c r="H701" s="113">
        <f t="shared" si="75"/>
        <v>37.916666666666664</v>
      </c>
      <c r="I701" s="113">
        <v>9.6</v>
      </c>
      <c r="J701" s="113">
        <v>25.72</v>
      </c>
      <c r="K701" s="113">
        <v>48.9</v>
      </c>
      <c r="L701" s="185"/>
      <c r="M701" s="16">
        <v>698</v>
      </c>
      <c r="N701" s="16">
        <f t="shared" si="77"/>
        <v>2.4837962715020593E-2</v>
      </c>
      <c r="O701" s="16">
        <v>3</v>
      </c>
      <c r="P701" s="16">
        <f t="shared" si="73"/>
        <v>10.596205962059623</v>
      </c>
      <c r="Q701" s="16">
        <f t="shared" si="78"/>
        <v>40.260951007678926</v>
      </c>
      <c r="R701" s="113">
        <f t="shared" si="74"/>
        <v>345.36</v>
      </c>
      <c r="S701" s="16">
        <f>IF(S700=15800,15800,ROUND((((Q701*60)/'Gearing Calculator'!$C$14)*'Track Data'!P701),-2))</f>
        <v>12900</v>
      </c>
      <c r="T701" s="16">
        <f t="shared" si="76"/>
        <v>5.4591763880024979</v>
      </c>
      <c r="U701" s="16">
        <f>IF(AC701=100,Braking!$AG$2354,IF(AC701=50,Braking!$AG$1179,IF(AC701=75,Braking!$AG$1767,0)))</f>
        <v>0</v>
      </c>
      <c r="V701" s="16">
        <f>0.5*'Gearing Calculator'!$C$15*'Gearing Calculator'!$C$20*'Gearing Calculator'!$W$20*('Track Data'!Q701^2)</f>
        <v>171.56073159236178</v>
      </c>
      <c r="W701" s="16">
        <f>('Gearing Calculator'!$U$9*'Track Data'!T701)+'Track Data'!V701</f>
        <v>1624.7934860786268</v>
      </c>
      <c r="X701" s="16">
        <f>('Gearing Calculator'!$U$9*9.81)*('Gearing Calculator'!$U$16/'Gearing Calculator'!$C$7)-(('Track Data'!W701)*('Gearing Calculator'!$U$17/'Gearing Calculator'!$C$7))</f>
        <v>515.5388868744036</v>
      </c>
      <c r="Y701" s="16">
        <f>('Gearing Calculator'!$U$9*9.81)*(('Gearing Calculator'!$C$7-'Gearing Calculator'!$U$16)/'Gearing Calculator'!$C$7)+(('Track Data'!W701)*('Gearing Calculator'!$U$17/'Gearing Calculator'!$C$7))</f>
        <v>2095.8831131255965</v>
      </c>
      <c r="Z701" s="16">
        <f>((X701*COS('Gearing Calculator'!$C$21))/'Gearing Calculator'!$C$22)/2</f>
        <v>15.938831871574699</v>
      </c>
      <c r="AA701" s="16">
        <f>Y701/'Gearing Calculator'!$C$24</f>
        <v>29.265557948001021</v>
      </c>
      <c r="AB701" s="16">
        <f t="shared" si="79"/>
        <v>187.93826075636926</v>
      </c>
      <c r="AC701" s="16">
        <v>0</v>
      </c>
      <c r="AD701" s="16">
        <v>0</v>
      </c>
      <c r="AE701" s="16">
        <v>698</v>
      </c>
      <c r="AF701" s="16">
        <f>IF(AC701=0,IF(O701=6,INDEX(Acceleration!$V$4:$V$110,MATCH('Track Data'!S701,Acceleration!$K$4:$K$110,0)),IF('Track Data'!O701=5,INDEX(Acceleration!$U$4:$U$110,MATCH('Track Data'!S701,Acceleration!$K$4:$K$110,0)),1)),U701)</f>
        <v>1</v>
      </c>
      <c r="AG701" s="16">
        <f>IF(AC701=0,IF(O701=4,INDEX(Acceleration!$T$4:$T$110,MATCH('Track Data'!S701,Acceleration!$K$4:$K$110,0)),IF('Track Data'!O701=3,INDEX(Acceleration!$S$4:$S$110,MATCH('Track Data'!S701,Acceleration!$K$4:$K$110,0)),'Track Data'!AF701)),'Track Data'!U701)</f>
        <v>5.4591763880024979</v>
      </c>
      <c r="AH701" s="16">
        <f>IF(AC701=0,IF(O701=2,INDEX(Acceleration!$R$4:$R$110,MATCH('Track Data'!S701,Acceleration!$K$4:$K$110,0)),IF('Track Data'!O701=1,INDEX(Acceleration!$Q$4:$Q$110,MATCH('Track Data'!S701,Acceleration!$K$4:$K$110,0)),'Track Data'!AG701)),'Track Data'!U701)</f>
        <v>5.4591763880024979</v>
      </c>
    </row>
    <row r="702" spans="2:34" x14ac:dyDescent="0.25">
      <c r="B702" s="16">
        <v>216.928</v>
      </c>
      <c r="C702" s="16">
        <v>7972</v>
      </c>
      <c r="D702" s="16">
        <v>699</v>
      </c>
      <c r="E702" s="113">
        <v>157</v>
      </c>
      <c r="F702" s="113">
        <v>146.1</v>
      </c>
      <c r="G702" s="113">
        <v>136.80000000000001</v>
      </c>
      <c r="H702" s="113">
        <f t="shared" si="75"/>
        <v>38</v>
      </c>
      <c r="I702" s="113">
        <v>8.3000000000000007</v>
      </c>
      <c r="J702" s="113">
        <v>23.69</v>
      </c>
      <c r="K702" s="113">
        <v>47.9</v>
      </c>
      <c r="L702" s="185"/>
      <c r="M702" s="16">
        <v>699</v>
      </c>
      <c r="N702" s="16">
        <f t="shared" si="77"/>
        <v>2.4754731201196079E-2</v>
      </c>
      <c r="O702" s="16">
        <v>3</v>
      </c>
      <c r="P702" s="16">
        <f t="shared" si="73"/>
        <v>10.596205962059623</v>
      </c>
      <c r="Q702" s="16">
        <f t="shared" si="78"/>
        <v>40.3963182582117</v>
      </c>
      <c r="R702" s="113">
        <f t="shared" si="74"/>
        <v>345.36</v>
      </c>
      <c r="S702" s="16">
        <f>IF(S701=15800,15800,ROUND((((Q702*60)/'Gearing Calculator'!$C$14)*'Track Data'!P702),-2))</f>
        <v>13000</v>
      </c>
      <c r="T702" s="16">
        <f t="shared" si="76"/>
        <v>5.4080201494171201</v>
      </c>
      <c r="U702" s="16">
        <f>IF(AC702=100,Braking!$AG$2354,IF(AC702=50,Braking!$AG$1179,IF(AC702=75,Braking!$AG$1767,0)))</f>
        <v>0</v>
      </c>
      <c r="V702" s="16">
        <f>0.5*'Gearing Calculator'!$C$15*'Gearing Calculator'!$C$20*'Gearing Calculator'!$W$20*('Track Data'!Q702^2)</f>
        <v>172.71633005017415</v>
      </c>
      <c r="W702" s="16">
        <f>('Gearing Calculator'!$U$9*'Track Data'!T702)+'Track Data'!V702</f>
        <v>1612.3312938250115</v>
      </c>
      <c r="X702" s="16">
        <f>('Gearing Calculator'!$U$9*9.81)*('Gearing Calculator'!$U$16/'Gearing Calculator'!$C$7)-(('Track Data'!W702)*('Gearing Calculator'!$U$17/'Gearing Calculator'!$C$7))</f>
        <v>522.33163274225603</v>
      </c>
      <c r="Y702" s="16">
        <f>('Gearing Calculator'!$U$9*9.81)*(('Gearing Calculator'!$C$7-'Gearing Calculator'!$U$16)/'Gearing Calculator'!$C$7)+(('Track Data'!W702)*('Gearing Calculator'!$U$17/'Gearing Calculator'!$C$7))</f>
        <v>2089.0903672577442</v>
      </c>
      <c r="Z702" s="16">
        <f>((X702*COS('Gearing Calculator'!$C$21))/'Gearing Calculator'!$C$22)/2</f>
        <v>16.148842090183894</v>
      </c>
      <c r="AA702" s="16">
        <f>Y702/'Gearing Calculator'!$C$24</f>
        <v>29.170708432502412</v>
      </c>
      <c r="AB702" s="16">
        <f t="shared" si="79"/>
        <v>188.9403904984255</v>
      </c>
      <c r="AC702" s="16">
        <v>0</v>
      </c>
      <c r="AD702" s="16">
        <v>0</v>
      </c>
      <c r="AE702" s="16">
        <v>699</v>
      </c>
      <c r="AF702" s="16">
        <f>IF(AC702=0,IF(O702=6,INDEX(Acceleration!$V$4:$V$110,MATCH('Track Data'!S702,Acceleration!$K$4:$K$110,0)),IF('Track Data'!O702=5,INDEX(Acceleration!$U$4:$U$110,MATCH('Track Data'!S702,Acceleration!$K$4:$K$110,0)),1)),U702)</f>
        <v>1</v>
      </c>
      <c r="AG702" s="16">
        <f>IF(AC702=0,IF(O702=4,INDEX(Acceleration!$T$4:$T$110,MATCH('Track Data'!S702,Acceleration!$K$4:$K$110,0)),IF('Track Data'!O702=3,INDEX(Acceleration!$S$4:$S$110,MATCH('Track Data'!S702,Acceleration!$K$4:$K$110,0)),'Track Data'!AF702)),'Track Data'!U702)</f>
        <v>5.4080201494171201</v>
      </c>
      <c r="AH702" s="16">
        <f>IF(AC702=0,IF(O702=2,INDEX(Acceleration!$R$4:$R$110,MATCH('Track Data'!S702,Acceleration!$K$4:$K$110,0)),IF('Track Data'!O702=1,INDEX(Acceleration!$Q$4:$Q$110,MATCH('Track Data'!S702,Acceleration!$K$4:$K$110,0)),'Track Data'!AG702)),'Track Data'!U702)</f>
        <v>5.4080201494171201</v>
      </c>
    </row>
    <row r="703" spans="2:34" x14ac:dyDescent="0.25">
      <c r="B703" s="16">
        <v>216.952</v>
      </c>
      <c r="C703" s="16">
        <v>7973</v>
      </c>
      <c r="D703" s="16">
        <v>700</v>
      </c>
      <c r="E703" s="113">
        <v>158</v>
      </c>
      <c r="F703" s="113">
        <v>146.5</v>
      </c>
      <c r="G703" s="113">
        <v>137.1</v>
      </c>
      <c r="H703" s="113">
        <f t="shared" si="75"/>
        <v>38.083333333333329</v>
      </c>
      <c r="I703" s="113">
        <v>6.8</v>
      </c>
      <c r="J703" s="113">
        <v>20.27</v>
      </c>
      <c r="K703" s="113">
        <v>46.5</v>
      </c>
      <c r="L703" s="185"/>
      <c r="M703" s="16">
        <v>700</v>
      </c>
      <c r="N703" s="16">
        <f t="shared" si="77"/>
        <v>2.4673099172856379E-2</v>
      </c>
      <c r="O703" s="16">
        <v>3</v>
      </c>
      <c r="P703" s="16">
        <f t="shared" si="73"/>
        <v>10.596205962059623</v>
      </c>
      <c r="Q703" s="16">
        <f t="shared" si="78"/>
        <v>40.529971244963427</v>
      </c>
      <c r="R703" s="113">
        <f t="shared" si="74"/>
        <v>345.36</v>
      </c>
      <c r="S703" s="16">
        <f>IF(S702=15800,15800,ROUND((((Q703*60)/'Gearing Calculator'!$C$14)*'Track Data'!P703),-2))</f>
        <v>13000</v>
      </c>
      <c r="T703" s="16">
        <f t="shared" si="76"/>
        <v>5.4080201494171201</v>
      </c>
      <c r="U703" s="16">
        <f>IF(AC703=100,Braking!$AG$2354,IF(AC703=50,Braking!$AG$1179,IF(AC703=75,Braking!$AG$1767,0)))</f>
        <v>0</v>
      </c>
      <c r="V703" s="16">
        <f>0.5*'Gearing Calculator'!$C$15*'Gearing Calculator'!$C$20*'Gearing Calculator'!$W$20*('Track Data'!Q703^2)</f>
        <v>173.86109975540279</v>
      </c>
      <c r="W703" s="16">
        <f>('Gearing Calculator'!$U$9*'Track Data'!T703)+'Track Data'!V703</f>
        <v>1613.4760635302403</v>
      </c>
      <c r="X703" s="16">
        <f>('Gearing Calculator'!$U$9*9.81)*('Gearing Calculator'!$U$16/'Gearing Calculator'!$C$7)-(('Track Data'!W703)*('Gearing Calculator'!$U$17/'Gearing Calculator'!$C$7))</f>
        <v>521.70765507230954</v>
      </c>
      <c r="Y703" s="16">
        <f>('Gearing Calculator'!$U$9*9.81)*(('Gearing Calculator'!$C$7-'Gearing Calculator'!$U$16)/'Gearing Calculator'!$C$7)+(('Track Data'!W703)*('Gearing Calculator'!$U$17/'Gearing Calculator'!$C$7))</f>
        <v>2089.7143449276905</v>
      </c>
      <c r="Z703" s="16">
        <f>((X703*COS('Gearing Calculator'!$C$21))/'Gearing Calculator'!$C$22)/2</f>
        <v>16.129550674102379</v>
      </c>
      <c r="AA703" s="16">
        <f>Y703/'Gearing Calculator'!$C$24</f>
        <v>29.179421253624788</v>
      </c>
      <c r="AB703" s="16">
        <f t="shared" si="79"/>
        <v>190.08516020365414</v>
      </c>
      <c r="AC703" s="16">
        <v>0</v>
      </c>
      <c r="AD703" s="16">
        <v>0</v>
      </c>
      <c r="AE703" s="16">
        <v>700</v>
      </c>
      <c r="AF703" s="16">
        <f>IF(AC703=0,IF(O703=6,INDEX(Acceleration!$V$4:$V$110,MATCH('Track Data'!S703,Acceleration!$K$4:$K$110,0)),IF('Track Data'!O703=5,INDEX(Acceleration!$U$4:$U$110,MATCH('Track Data'!S703,Acceleration!$K$4:$K$110,0)),1)),U703)</f>
        <v>1</v>
      </c>
      <c r="AG703" s="16">
        <f>IF(AC703=0,IF(O703=4,INDEX(Acceleration!$T$4:$T$110,MATCH('Track Data'!S703,Acceleration!$K$4:$K$110,0)),IF('Track Data'!O703=3,INDEX(Acceleration!$S$4:$S$110,MATCH('Track Data'!S703,Acceleration!$K$4:$K$110,0)),'Track Data'!AF703)),'Track Data'!U703)</f>
        <v>5.4080201494171201</v>
      </c>
      <c r="AH703" s="16">
        <f>IF(AC703=0,IF(O703=2,INDEX(Acceleration!$R$4:$R$110,MATCH('Track Data'!S703,Acceleration!$K$4:$K$110,0)),IF('Track Data'!O703=1,INDEX(Acceleration!$Q$4:$Q$110,MATCH('Track Data'!S703,Acceleration!$K$4:$K$110,0)),'Track Data'!AG703)),'Track Data'!U703)</f>
        <v>5.4080201494171201</v>
      </c>
    </row>
    <row r="704" spans="2:34" x14ac:dyDescent="0.25">
      <c r="B704" s="16">
        <v>216.977</v>
      </c>
      <c r="C704" s="16">
        <v>7974</v>
      </c>
      <c r="D704" s="16">
        <v>701</v>
      </c>
      <c r="E704" s="113">
        <v>158</v>
      </c>
      <c r="F704" s="113">
        <v>147</v>
      </c>
      <c r="G704" s="113">
        <v>137.30000000000001</v>
      </c>
      <c r="H704" s="113">
        <f t="shared" si="75"/>
        <v>38.138888888888893</v>
      </c>
      <c r="I704" s="113">
        <v>6.3</v>
      </c>
      <c r="J704" s="113">
        <v>19.79</v>
      </c>
      <c r="K704" s="113">
        <v>46.2</v>
      </c>
      <c r="L704" s="185"/>
      <c r="M704" s="16">
        <v>701</v>
      </c>
      <c r="N704" s="16">
        <f t="shared" si="77"/>
        <v>2.4592269432168815E-2</v>
      </c>
      <c r="O704" s="16">
        <v>3</v>
      </c>
      <c r="P704" s="16">
        <f t="shared" si="73"/>
        <v>10.596205962059623</v>
      </c>
      <c r="Q704" s="16">
        <f t="shared" si="78"/>
        <v>40.663184939406754</v>
      </c>
      <c r="R704" s="113">
        <f t="shared" si="74"/>
        <v>345.36</v>
      </c>
      <c r="S704" s="16">
        <f>IF(S703=15800,15800,ROUND((((Q704*60)/'Gearing Calculator'!$C$14)*'Track Data'!P704),-2))</f>
        <v>13100</v>
      </c>
      <c r="T704" s="16">
        <f t="shared" si="76"/>
        <v>5.3575039538904825</v>
      </c>
      <c r="U704" s="16">
        <f>IF(AC704=100,Braking!$AG$2354,IF(AC704=50,Braking!$AG$1179,IF(AC704=75,Braking!$AG$1767,0)))</f>
        <v>0</v>
      </c>
      <c r="V704" s="16">
        <f>0.5*'Gearing Calculator'!$C$15*'Gearing Calculator'!$C$20*'Gearing Calculator'!$W$20*('Track Data'!Q704^2)</f>
        <v>175.00586946063137</v>
      </c>
      <c r="W704" s="16">
        <f>('Gearing Calculator'!$U$9*'Track Data'!T704)+'Track Data'!V704</f>
        <v>1601.1734219862778</v>
      </c>
      <c r="X704" s="16">
        <f>('Gearing Calculator'!$U$9*9.81)*('Gearing Calculator'!$U$16/'Gearing Calculator'!$C$7)-(('Track Data'!W704)*('Gearing Calculator'!$U$17/'Gearing Calculator'!$C$7))</f>
        <v>528.41343490708766</v>
      </c>
      <c r="Y704" s="16">
        <f>('Gearing Calculator'!$U$9*9.81)*(('Gearing Calculator'!$C$7-'Gearing Calculator'!$U$16)/'Gearing Calculator'!$C$7)+(('Track Data'!W704)*('Gearing Calculator'!$U$17/'Gearing Calculator'!$C$7))</f>
        <v>2083.0085650929122</v>
      </c>
      <c r="Z704" s="16">
        <f>((X704*COS('Gearing Calculator'!$C$21))/'Gearing Calculator'!$C$22)/2</f>
        <v>16.336872178019046</v>
      </c>
      <c r="AA704" s="16">
        <f>Y704/'Gearing Calculator'!$C$24</f>
        <v>29.085786075635987</v>
      </c>
      <c r="AB704" s="16">
        <f t="shared" si="79"/>
        <v>191.07838132230282</v>
      </c>
      <c r="AC704" s="16">
        <v>0</v>
      </c>
      <c r="AD704" s="16">
        <v>0</v>
      </c>
      <c r="AE704" s="16">
        <v>701</v>
      </c>
      <c r="AF704" s="16">
        <f>IF(AC704=0,IF(O704=6,INDEX(Acceleration!$V$4:$V$110,MATCH('Track Data'!S704,Acceleration!$K$4:$K$110,0)),IF('Track Data'!O704=5,INDEX(Acceleration!$U$4:$U$110,MATCH('Track Data'!S704,Acceleration!$K$4:$K$110,0)),1)),U704)</f>
        <v>1</v>
      </c>
      <c r="AG704" s="16">
        <f>IF(AC704=0,IF(O704=4,INDEX(Acceleration!$T$4:$T$110,MATCH('Track Data'!S704,Acceleration!$K$4:$K$110,0)),IF('Track Data'!O704=3,INDEX(Acceleration!$S$4:$S$110,MATCH('Track Data'!S704,Acceleration!$K$4:$K$110,0)),'Track Data'!AF704)),'Track Data'!U704)</f>
        <v>5.3575039538904825</v>
      </c>
      <c r="AH704" s="16">
        <f>IF(AC704=0,IF(O704=2,INDEX(Acceleration!$R$4:$R$110,MATCH('Track Data'!S704,Acceleration!$K$4:$K$110,0)),IF('Track Data'!O704=1,INDEX(Acceleration!$Q$4:$Q$110,MATCH('Track Data'!S704,Acceleration!$K$4:$K$110,0)),'Track Data'!AG704)),'Track Data'!U704)</f>
        <v>5.3575039538904825</v>
      </c>
    </row>
    <row r="705" spans="2:34" x14ac:dyDescent="0.25">
      <c r="B705" s="16">
        <v>217.00200000000001</v>
      </c>
      <c r="C705" s="16">
        <v>7975</v>
      </c>
      <c r="D705" s="16">
        <v>702</v>
      </c>
      <c r="E705" s="113">
        <v>158</v>
      </c>
      <c r="F705" s="113">
        <v>147.69999999999999</v>
      </c>
      <c r="G705" s="113">
        <v>137.6</v>
      </c>
      <c r="H705" s="113">
        <f t="shared" si="75"/>
        <v>38.222222222222221</v>
      </c>
      <c r="I705" s="113">
        <v>6.1</v>
      </c>
      <c r="J705" s="113">
        <v>18.829999999999998</v>
      </c>
      <c r="K705" s="113">
        <v>46.2</v>
      </c>
      <c r="L705" s="185"/>
      <c r="M705" s="16">
        <v>702</v>
      </c>
      <c r="N705" s="16">
        <f t="shared" si="77"/>
        <v>2.4512972967396365E-2</v>
      </c>
      <c r="O705" s="16">
        <v>3</v>
      </c>
      <c r="P705" s="16">
        <f t="shared" si="73"/>
        <v>10.596205962059623</v>
      </c>
      <c r="Q705" s="16">
        <f t="shared" si="78"/>
        <v>40.794725361548608</v>
      </c>
      <c r="R705" s="113">
        <f t="shared" si="74"/>
        <v>345.36</v>
      </c>
      <c r="S705" s="16">
        <f>IF(S704=15800,15800,ROUND((((Q705*60)/'Gearing Calculator'!$C$14)*'Track Data'!P705),-2))</f>
        <v>13100</v>
      </c>
      <c r="T705" s="16">
        <f t="shared" si="76"/>
        <v>5.3575039538904825</v>
      </c>
      <c r="U705" s="16">
        <f>IF(AC705=100,Braking!$AG$2354,IF(AC705=50,Braking!$AG$1179,IF(AC705=75,Braking!$AG$1767,0)))</f>
        <v>0</v>
      </c>
      <c r="V705" s="16">
        <f>0.5*'Gearing Calculator'!$C$15*'Gearing Calculator'!$C$20*'Gearing Calculator'!$W$20*('Track Data'!Q705^2)</f>
        <v>176.13994589759088</v>
      </c>
      <c r="W705" s="16">
        <f>('Gearing Calculator'!$U$9*'Track Data'!T705)+'Track Data'!V705</f>
        <v>1602.3074984232373</v>
      </c>
      <c r="X705" s="16">
        <f>('Gearing Calculator'!$U$9*9.81)*('Gearing Calculator'!$U$16/'Gearing Calculator'!$C$7)-(('Track Data'!W705)*('Gearing Calculator'!$U$17/'Gearing Calculator'!$C$7))</f>
        <v>527.79528579863108</v>
      </c>
      <c r="Y705" s="16">
        <f>('Gearing Calculator'!$U$9*9.81)*(('Gearing Calculator'!$C$7-'Gearing Calculator'!$U$16)/'Gearing Calculator'!$C$7)+(('Track Data'!W705)*('Gearing Calculator'!$U$17/'Gearing Calculator'!$C$7))</f>
        <v>2083.6267142013689</v>
      </c>
      <c r="Z705" s="16">
        <f>((X705*COS('Gearing Calculator'!$C$21))/'Gearing Calculator'!$C$22)/2</f>
        <v>16.317760962624632</v>
      </c>
      <c r="AA705" s="16">
        <f>Y705/'Gearing Calculator'!$C$24</f>
        <v>29.094417510490704</v>
      </c>
      <c r="AB705" s="16">
        <f t="shared" si="79"/>
        <v>192.21245775926232</v>
      </c>
      <c r="AC705" s="16">
        <v>0</v>
      </c>
      <c r="AD705" s="16">
        <v>0</v>
      </c>
      <c r="AE705" s="16">
        <v>702</v>
      </c>
      <c r="AF705" s="16">
        <f>IF(AC705=0,IF(O705=6,INDEX(Acceleration!$V$4:$V$110,MATCH('Track Data'!S705,Acceleration!$K$4:$K$110,0)),IF('Track Data'!O705=5,INDEX(Acceleration!$U$4:$U$110,MATCH('Track Data'!S705,Acceleration!$K$4:$K$110,0)),1)),U705)</f>
        <v>1</v>
      </c>
      <c r="AG705" s="16">
        <f>IF(AC705=0,IF(O705=4,INDEX(Acceleration!$T$4:$T$110,MATCH('Track Data'!S705,Acceleration!$K$4:$K$110,0)),IF('Track Data'!O705=3,INDEX(Acceleration!$S$4:$S$110,MATCH('Track Data'!S705,Acceleration!$K$4:$K$110,0)),'Track Data'!AF705)),'Track Data'!U705)</f>
        <v>5.3575039538904825</v>
      </c>
      <c r="AH705" s="16">
        <f>IF(AC705=0,IF(O705=2,INDEX(Acceleration!$R$4:$R$110,MATCH('Track Data'!S705,Acceleration!$K$4:$K$110,0)),IF('Track Data'!O705=1,INDEX(Acceleration!$Q$4:$Q$110,MATCH('Track Data'!S705,Acceleration!$K$4:$K$110,0)),'Track Data'!AG705)),'Track Data'!U705)</f>
        <v>5.3575039538904825</v>
      </c>
    </row>
    <row r="706" spans="2:34" x14ac:dyDescent="0.25">
      <c r="B706" s="16">
        <v>217.02600000000001</v>
      </c>
      <c r="C706" s="16">
        <v>7976</v>
      </c>
      <c r="D706" s="16">
        <v>703</v>
      </c>
      <c r="E706" s="113">
        <v>159</v>
      </c>
      <c r="F706" s="113">
        <v>148.1</v>
      </c>
      <c r="G706" s="113">
        <v>137.80000000000001</v>
      </c>
      <c r="H706" s="113">
        <f t="shared" si="75"/>
        <v>38.277777777777779</v>
      </c>
      <c r="I706" s="113">
        <v>6.1</v>
      </c>
      <c r="J706" s="113">
        <v>20.79</v>
      </c>
      <c r="K706" s="113">
        <v>46.2</v>
      </c>
      <c r="L706" s="185"/>
      <c r="M706" s="16">
        <v>703</v>
      </c>
      <c r="N706" s="16">
        <f t="shared" si="77"/>
        <v>2.4434438650623884E-2</v>
      </c>
      <c r="O706" s="16">
        <v>3</v>
      </c>
      <c r="P706" s="16">
        <f t="shared" si="73"/>
        <v>10.596205962059623</v>
      </c>
      <c r="Q706" s="16">
        <f t="shared" si="78"/>
        <v>40.925842999649475</v>
      </c>
      <c r="R706" s="113">
        <f t="shared" si="74"/>
        <v>345.36</v>
      </c>
      <c r="S706" s="16">
        <f>IF(S705=15800,15800,ROUND((((Q706*60)/'Gearing Calculator'!$C$14)*'Track Data'!P706),-2))</f>
        <v>13100</v>
      </c>
      <c r="T706" s="16">
        <f t="shared" si="76"/>
        <v>5.3575039538904825</v>
      </c>
      <c r="U706" s="16">
        <f>IF(AC706=100,Braking!$AG$2354,IF(AC706=50,Braking!$AG$1179,IF(AC706=75,Braking!$AG$1767,0)))</f>
        <v>0</v>
      </c>
      <c r="V706" s="16">
        <f>0.5*'Gearing Calculator'!$C$15*'Gearing Calculator'!$C$20*'Gearing Calculator'!$W$20*('Track Data'!Q706^2)</f>
        <v>177.27402233455044</v>
      </c>
      <c r="W706" s="16">
        <f>('Gearing Calculator'!$U$9*'Track Data'!T706)+'Track Data'!V706</f>
        <v>1603.4415748601969</v>
      </c>
      <c r="X706" s="16">
        <f>('Gearing Calculator'!$U$9*9.81)*('Gearing Calculator'!$U$16/'Gearing Calculator'!$C$7)-(('Track Data'!W706)*('Gearing Calculator'!$U$17/'Gearing Calculator'!$C$7))</f>
        <v>527.17713669017462</v>
      </c>
      <c r="Y706" s="16">
        <f>('Gearing Calculator'!$U$9*9.81)*(('Gearing Calculator'!$C$7-'Gearing Calculator'!$U$16)/'Gearing Calculator'!$C$7)+(('Track Data'!W706)*('Gearing Calculator'!$U$17/'Gearing Calculator'!$C$7))</f>
        <v>2084.2448633098256</v>
      </c>
      <c r="Z706" s="16">
        <f>((X706*COS('Gearing Calculator'!$C$21))/'Gearing Calculator'!$C$22)/2</f>
        <v>16.298649747230222</v>
      </c>
      <c r="AA706" s="16">
        <f>Y706/'Gearing Calculator'!$C$24</f>
        <v>29.103048945345417</v>
      </c>
      <c r="AB706" s="16">
        <f t="shared" si="79"/>
        <v>193.34653419622188</v>
      </c>
      <c r="AC706" s="16">
        <v>0</v>
      </c>
      <c r="AD706" s="16">
        <v>0</v>
      </c>
      <c r="AE706" s="16">
        <v>703</v>
      </c>
      <c r="AF706" s="16">
        <f>IF(AC706=0,IF(O706=6,INDEX(Acceleration!$V$4:$V$110,MATCH('Track Data'!S706,Acceleration!$K$4:$K$110,0)),IF('Track Data'!O706=5,INDEX(Acceleration!$U$4:$U$110,MATCH('Track Data'!S706,Acceleration!$K$4:$K$110,0)),1)),U706)</f>
        <v>1</v>
      </c>
      <c r="AG706" s="16">
        <f>IF(AC706=0,IF(O706=4,INDEX(Acceleration!$T$4:$T$110,MATCH('Track Data'!S706,Acceleration!$K$4:$K$110,0)),IF('Track Data'!O706=3,INDEX(Acceleration!$S$4:$S$110,MATCH('Track Data'!S706,Acceleration!$K$4:$K$110,0)),'Track Data'!AF706)),'Track Data'!U706)</f>
        <v>5.3575039538904825</v>
      </c>
      <c r="AH706" s="16">
        <f>IF(AC706=0,IF(O706=2,INDEX(Acceleration!$R$4:$R$110,MATCH('Track Data'!S706,Acceleration!$K$4:$K$110,0)),IF('Track Data'!O706=1,INDEX(Acceleration!$Q$4:$Q$110,MATCH('Track Data'!S706,Acceleration!$K$4:$K$110,0)),'Track Data'!AG706)),'Track Data'!U706)</f>
        <v>5.3575039538904825</v>
      </c>
    </row>
    <row r="707" spans="2:34" x14ac:dyDescent="0.25">
      <c r="B707" s="16">
        <v>217.05</v>
      </c>
      <c r="C707" s="16">
        <v>7977</v>
      </c>
      <c r="D707" s="16">
        <v>704</v>
      </c>
      <c r="E707" s="113">
        <v>159</v>
      </c>
      <c r="F707" s="113">
        <v>148.6</v>
      </c>
      <c r="G707" s="113">
        <v>138.19999999999999</v>
      </c>
      <c r="H707" s="113">
        <f t="shared" si="75"/>
        <v>38.388888888888886</v>
      </c>
      <c r="I707" s="113">
        <v>6.1</v>
      </c>
      <c r="J707" s="113">
        <v>21.72</v>
      </c>
      <c r="K707" s="113">
        <v>45.5</v>
      </c>
      <c r="L707" s="185"/>
      <c r="M707" s="16">
        <v>704</v>
      </c>
      <c r="N707" s="16">
        <f t="shared" si="77"/>
        <v>2.4356654350745695E-2</v>
      </c>
      <c r="O707" s="16">
        <v>3</v>
      </c>
      <c r="P707" s="16">
        <f t="shared" si="73"/>
        <v>10.596205962059623</v>
      </c>
      <c r="Q707" s="16">
        <f t="shared" si="78"/>
        <v>41.056541904302399</v>
      </c>
      <c r="R707" s="113">
        <f t="shared" si="74"/>
        <v>345.36</v>
      </c>
      <c r="S707" s="16">
        <f>IF(S706=15800,15800,ROUND((((Q707*60)/'Gearing Calculator'!$C$14)*'Track Data'!P707),-2))</f>
        <v>13200</v>
      </c>
      <c r="T707" s="16">
        <f t="shared" si="76"/>
        <v>5.3076121788334669</v>
      </c>
      <c r="U707" s="16">
        <f>IF(AC707=100,Braking!$AG$2354,IF(AC707=50,Braking!$AG$1179,IF(AC707=75,Braking!$AG$1767,0)))</f>
        <v>0</v>
      </c>
      <c r="V707" s="16">
        <f>0.5*'Gearing Calculator'!$C$15*'Gearing Calculator'!$C$20*'Gearing Calculator'!$W$20*('Track Data'!Q707^2)</f>
        <v>178.40809877150994</v>
      </c>
      <c r="W707" s="16">
        <f>('Gearing Calculator'!$U$9*'Track Data'!T707)+'Track Data'!V707</f>
        <v>1591.2944607769787</v>
      </c>
      <c r="X707" s="16">
        <f>('Gearing Calculator'!$U$9*9.81)*('Gearing Calculator'!$U$16/'Gearing Calculator'!$C$7)-(('Track Data'!W707)*('Gearing Calculator'!$U$17/'Gearing Calculator'!$C$7))</f>
        <v>533.79814343729618</v>
      </c>
      <c r="Y707" s="16">
        <f>('Gearing Calculator'!$U$9*9.81)*(('Gearing Calculator'!$C$7-'Gearing Calculator'!$U$16)/'Gearing Calculator'!$C$7)+(('Track Data'!W707)*('Gearing Calculator'!$U$17/'Gearing Calculator'!$C$7))</f>
        <v>2077.6238565627036</v>
      </c>
      <c r="Z707" s="16">
        <f>((X707*COS('Gearing Calculator'!$C$21))/'Gearing Calculator'!$C$22)/2</f>
        <v>16.503350335390977</v>
      </c>
      <c r="AA707" s="16">
        <f>Y707/'Gearing Calculator'!$C$24</f>
        <v>29.010597483993148</v>
      </c>
      <c r="AB707" s="16">
        <f t="shared" si="79"/>
        <v>194.33093530801034</v>
      </c>
      <c r="AC707" s="16">
        <v>0</v>
      </c>
      <c r="AD707" s="16">
        <v>0</v>
      </c>
      <c r="AE707" s="16">
        <v>704</v>
      </c>
      <c r="AF707" s="16">
        <f>IF(AC707=0,IF(O707=6,INDEX(Acceleration!$V$4:$V$110,MATCH('Track Data'!S707,Acceleration!$K$4:$K$110,0)),IF('Track Data'!O707=5,INDEX(Acceleration!$U$4:$U$110,MATCH('Track Data'!S707,Acceleration!$K$4:$K$110,0)),1)),U707)</f>
        <v>1</v>
      </c>
      <c r="AG707" s="16">
        <f>IF(AC707=0,IF(O707=4,INDEX(Acceleration!$T$4:$T$110,MATCH('Track Data'!S707,Acceleration!$K$4:$K$110,0)),IF('Track Data'!O707=3,INDEX(Acceleration!$S$4:$S$110,MATCH('Track Data'!S707,Acceleration!$K$4:$K$110,0)),'Track Data'!AF707)),'Track Data'!U707)</f>
        <v>5.3076121788334669</v>
      </c>
      <c r="AH707" s="16">
        <f>IF(AC707=0,IF(O707=2,INDEX(Acceleration!$R$4:$R$110,MATCH('Track Data'!S707,Acceleration!$K$4:$K$110,0)),IF('Track Data'!O707=1,INDEX(Acceleration!$Q$4:$Q$110,MATCH('Track Data'!S707,Acceleration!$K$4:$K$110,0)),'Track Data'!AG707)),'Track Data'!U707)</f>
        <v>5.3076121788334669</v>
      </c>
    </row>
    <row r="708" spans="2:34" x14ac:dyDescent="0.25">
      <c r="B708" s="16">
        <v>217.07400000000001</v>
      </c>
      <c r="C708" s="16">
        <v>7978</v>
      </c>
      <c r="D708" s="16">
        <v>705</v>
      </c>
      <c r="E708" s="113">
        <v>159</v>
      </c>
      <c r="F708" s="113">
        <v>148.9</v>
      </c>
      <c r="G708" s="113">
        <v>138.4</v>
      </c>
      <c r="H708" s="113">
        <f t="shared" si="75"/>
        <v>38.444444444444443</v>
      </c>
      <c r="I708" s="113">
        <v>6.3</v>
      </c>
      <c r="J708" s="113">
        <v>23</v>
      </c>
      <c r="K708" s="113">
        <v>44.7</v>
      </c>
      <c r="L708" s="185"/>
      <c r="M708" s="16">
        <v>705</v>
      </c>
      <c r="N708" s="16">
        <f t="shared" si="77"/>
        <v>2.4280322328467524E-2</v>
      </c>
      <c r="O708" s="16">
        <v>3</v>
      </c>
      <c r="P708" s="16">
        <f t="shared" ref="P708:P771" si="80">VLOOKUP(O708,$AJ$5:$AK$10,2,FALSE)</f>
        <v>10.596205962059623</v>
      </c>
      <c r="Q708" s="16">
        <f t="shared" si="78"/>
        <v>41.185614691265755</v>
      </c>
      <c r="R708" s="113">
        <f t="shared" ref="R708:R771" si="81">VLOOKUP(O708,$AJ$5:$AL$10,3,FALSE)</f>
        <v>345.36</v>
      </c>
      <c r="S708" s="16">
        <f>IF(S707=15800,15800,ROUND((((Q708*60)/'Gearing Calculator'!$C$14)*'Track Data'!P708),-2))</f>
        <v>13200</v>
      </c>
      <c r="T708" s="16">
        <f t="shared" si="76"/>
        <v>5.3076121788334669</v>
      </c>
      <c r="U708" s="16">
        <f>IF(AC708=100,Braking!$AG$2354,IF(AC708=50,Braking!$AG$1179,IF(AC708=75,Braking!$AG$1767,0)))</f>
        <v>0</v>
      </c>
      <c r="V708" s="16">
        <f>0.5*'Gearing Calculator'!$C$15*'Gearing Calculator'!$C$20*'Gearing Calculator'!$W$20*('Track Data'!Q708^2)</f>
        <v>179.53161411752538</v>
      </c>
      <c r="W708" s="16">
        <f>('Gearing Calculator'!$U$9*'Track Data'!T708)+'Track Data'!V708</f>
        <v>1592.4179761229941</v>
      </c>
      <c r="X708" s="16">
        <f>('Gearing Calculator'!$U$9*9.81)*('Gearing Calculator'!$U$16/'Gearing Calculator'!$C$7)-(('Track Data'!W708)*('Gearing Calculator'!$U$17/'Gearing Calculator'!$C$7))</f>
        <v>533.18575084466056</v>
      </c>
      <c r="Y708" s="16">
        <f>('Gearing Calculator'!$U$9*9.81)*(('Gearing Calculator'!$C$7-'Gearing Calculator'!$U$16)/'Gearing Calculator'!$C$7)+(('Track Data'!W708)*('Gearing Calculator'!$U$17/'Gearing Calculator'!$C$7))</f>
        <v>2078.2362491553395</v>
      </c>
      <c r="Z708" s="16">
        <f>((X708*COS('Gearing Calculator'!$C$21))/'Gearing Calculator'!$C$22)/2</f>
        <v>16.484417093259438</v>
      </c>
      <c r="AA708" s="16">
        <f>Y708/'Gearing Calculator'!$C$24</f>
        <v>29.019148538579387</v>
      </c>
      <c r="AB708" s="16">
        <f t="shared" si="79"/>
        <v>195.45445065402578</v>
      </c>
      <c r="AC708" s="16">
        <v>0</v>
      </c>
      <c r="AD708" s="16">
        <v>0</v>
      </c>
      <c r="AE708" s="16">
        <v>705</v>
      </c>
      <c r="AF708" s="16">
        <f>IF(AC708=0,IF(O708=6,INDEX(Acceleration!$V$4:$V$110,MATCH('Track Data'!S708,Acceleration!$K$4:$K$110,0)),IF('Track Data'!O708=5,INDEX(Acceleration!$U$4:$U$110,MATCH('Track Data'!S708,Acceleration!$K$4:$K$110,0)),1)),U708)</f>
        <v>1</v>
      </c>
      <c r="AG708" s="16">
        <f>IF(AC708=0,IF(O708=4,INDEX(Acceleration!$T$4:$T$110,MATCH('Track Data'!S708,Acceleration!$K$4:$K$110,0)),IF('Track Data'!O708=3,INDEX(Acceleration!$S$4:$S$110,MATCH('Track Data'!S708,Acceleration!$K$4:$K$110,0)),'Track Data'!AF708)),'Track Data'!U708)</f>
        <v>5.3076121788334669</v>
      </c>
      <c r="AH708" s="16">
        <f>IF(AC708=0,IF(O708=2,INDEX(Acceleration!$R$4:$R$110,MATCH('Track Data'!S708,Acceleration!$K$4:$K$110,0)),IF('Track Data'!O708=1,INDEX(Acceleration!$Q$4:$Q$110,MATCH('Track Data'!S708,Acceleration!$K$4:$K$110,0)),'Track Data'!AG708)),'Track Data'!U708)</f>
        <v>5.3076121788334669</v>
      </c>
    </row>
    <row r="709" spans="2:34" x14ac:dyDescent="0.25">
      <c r="B709" s="16">
        <v>217.09899999999999</v>
      </c>
      <c r="C709" s="16">
        <v>7979</v>
      </c>
      <c r="D709" s="16">
        <v>706</v>
      </c>
      <c r="E709" s="113">
        <v>159</v>
      </c>
      <c r="F709" s="113">
        <v>149.19999999999999</v>
      </c>
      <c r="G709" s="113">
        <v>138.6</v>
      </c>
      <c r="H709" s="113">
        <f t="shared" ref="H709:H772" si="82">G709/3.6</f>
        <v>38.5</v>
      </c>
      <c r="I709" s="113">
        <v>7.1</v>
      </c>
      <c r="J709" s="113">
        <v>22.13</v>
      </c>
      <c r="K709" s="113">
        <v>43.7</v>
      </c>
      <c r="L709" s="185"/>
      <c r="M709" s="16">
        <v>706</v>
      </c>
      <c r="N709" s="16">
        <f t="shared" si="77"/>
        <v>2.4204703494571444E-2</v>
      </c>
      <c r="O709" s="16">
        <v>3</v>
      </c>
      <c r="P709" s="16">
        <f t="shared" si="80"/>
        <v>10.596205962059623</v>
      </c>
      <c r="Q709" s="16">
        <f t="shared" si="78"/>
        <v>41.314284235056917</v>
      </c>
      <c r="R709" s="113">
        <f t="shared" si="81"/>
        <v>345.36</v>
      </c>
      <c r="S709" s="16">
        <f>IF(S708=15800,15800,ROUND((((Q709*60)/'Gearing Calculator'!$C$14)*'Track Data'!P709),-2))</f>
        <v>13300</v>
      </c>
      <c r="T709" s="16">
        <f t="shared" ref="T709:T772" si="83">AH709</f>
        <v>5.2583296715092471</v>
      </c>
      <c r="U709" s="16">
        <f>IF(AC709=100,Braking!$AG$2354,IF(AC709=50,Braking!$AG$1179,IF(AC709=75,Braking!$AG$1767,0)))</f>
        <v>0</v>
      </c>
      <c r="V709" s="16">
        <f>0.5*'Gearing Calculator'!$C$15*'Gearing Calculator'!$C$20*'Gearing Calculator'!$W$20*('Track Data'!Q709^2)</f>
        <v>180.65512946354085</v>
      </c>
      <c r="W709" s="16">
        <f>('Gearing Calculator'!$U$9*'Track Data'!T709)+'Track Data'!V709</f>
        <v>1580.4224880193024</v>
      </c>
      <c r="X709" s="16">
        <f>('Gearing Calculator'!$U$9*9.81)*('Gearing Calculator'!$U$16/'Gearing Calculator'!$C$7)-(('Track Data'!W709)*('Gearing Calculator'!$U$17/'Gearing Calculator'!$C$7))</f>
        <v>539.72411107783603</v>
      </c>
      <c r="Y709" s="16">
        <f>('Gearing Calculator'!$U$9*9.81)*(('Gearing Calculator'!$C$7-'Gearing Calculator'!$U$16)/'Gearing Calculator'!$C$7)+(('Track Data'!W709)*('Gearing Calculator'!$U$17/'Gearing Calculator'!$C$7))</f>
        <v>2071.6978889221641</v>
      </c>
      <c r="Z709" s="16">
        <f>((X709*COS('Gearing Calculator'!$C$21))/'Gearing Calculator'!$C$22)/2</f>
        <v>16.686562512597636</v>
      </c>
      <c r="AA709" s="16">
        <f>Y709/'Gearing Calculator'!$C$24</f>
        <v>28.927851099762037</v>
      </c>
      <c r="AB709" s="16">
        <f t="shared" si="79"/>
        <v>196.43011847806858</v>
      </c>
      <c r="AC709" s="16">
        <v>0</v>
      </c>
      <c r="AD709" s="16">
        <v>0</v>
      </c>
      <c r="AE709" s="16">
        <v>706</v>
      </c>
      <c r="AF709" s="16">
        <f>IF(AC709=0,IF(O709=6,INDEX(Acceleration!$V$4:$V$110,MATCH('Track Data'!S709,Acceleration!$K$4:$K$110,0)),IF('Track Data'!O709=5,INDEX(Acceleration!$U$4:$U$110,MATCH('Track Data'!S709,Acceleration!$K$4:$K$110,0)),1)),U709)</f>
        <v>1</v>
      </c>
      <c r="AG709" s="16">
        <f>IF(AC709=0,IF(O709=4,INDEX(Acceleration!$T$4:$T$110,MATCH('Track Data'!S709,Acceleration!$K$4:$K$110,0)),IF('Track Data'!O709=3,INDEX(Acceleration!$S$4:$S$110,MATCH('Track Data'!S709,Acceleration!$K$4:$K$110,0)),'Track Data'!AF709)),'Track Data'!U709)</f>
        <v>5.2583296715092471</v>
      </c>
      <c r="AH709" s="16">
        <f>IF(AC709=0,IF(O709=2,INDEX(Acceleration!$R$4:$R$110,MATCH('Track Data'!S709,Acceleration!$K$4:$K$110,0)),IF('Track Data'!O709=1,INDEX(Acceleration!$Q$4:$Q$110,MATCH('Track Data'!S709,Acceleration!$K$4:$K$110,0)),'Track Data'!AG709)),'Track Data'!U709)</f>
        <v>5.2583296715092471</v>
      </c>
    </row>
    <row r="710" spans="2:34" x14ac:dyDescent="0.25">
      <c r="B710" s="16">
        <v>217.12299999999999</v>
      </c>
      <c r="C710" s="16">
        <v>7980</v>
      </c>
      <c r="D710" s="16">
        <v>707</v>
      </c>
      <c r="E710" s="113">
        <v>159</v>
      </c>
      <c r="F710" s="113">
        <v>149.69999999999999</v>
      </c>
      <c r="G710" s="113">
        <v>138.9</v>
      </c>
      <c r="H710" s="113">
        <f t="shared" si="82"/>
        <v>38.583333333333336</v>
      </c>
      <c r="I710" s="113">
        <v>8</v>
      </c>
      <c r="J710" s="113">
        <v>22.53</v>
      </c>
      <c r="K710" s="113">
        <v>41.3</v>
      </c>
      <c r="L710" s="185"/>
      <c r="M710" s="16">
        <v>707</v>
      </c>
      <c r="N710" s="16">
        <f t="shared" ref="N710:N773" si="84">1/Q710</f>
        <v>2.4130479235701215E-2</v>
      </c>
      <c r="O710" s="16">
        <v>3</v>
      </c>
      <c r="P710" s="16">
        <f t="shared" si="80"/>
        <v>10.596205962059623</v>
      </c>
      <c r="Q710" s="16">
        <f t="shared" ref="Q710:Q773" si="85">IF(AD709=0,SQRT(Q709^2+(2*T709)),Q709)</f>
        <v>41.441365098149106</v>
      </c>
      <c r="R710" s="113">
        <f t="shared" si="81"/>
        <v>345.36</v>
      </c>
      <c r="S710" s="16">
        <f>IF(S709=15800,15800,ROUND((((Q710*60)/'Gearing Calculator'!$C$14)*'Track Data'!P710),-2))</f>
        <v>13300</v>
      </c>
      <c r="T710" s="16">
        <f t="shared" si="83"/>
        <v>5.2583296715092471</v>
      </c>
      <c r="U710" s="16">
        <f>IF(AC710=100,Braking!$AG$2354,IF(AC710=50,Braking!$AG$1179,IF(AC710=75,Braking!$AG$1767,0)))</f>
        <v>0</v>
      </c>
      <c r="V710" s="16">
        <f>0.5*'Gearing Calculator'!$C$15*'Gearing Calculator'!$C$20*'Gearing Calculator'!$W$20*('Track Data'!Q710^2)</f>
        <v>181.76821268840592</v>
      </c>
      <c r="W710" s="16">
        <f>('Gearing Calculator'!$U$9*'Track Data'!T710)+'Track Data'!V710</f>
        <v>1581.5355712441674</v>
      </c>
      <c r="X710" s="16">
        <f>('Gearing Calculator'!$U$9*9.81)*('Gearing Calculator'!$U$16/'Gearing Calculator'!$C$7)-(('Track Data'!W710)*('Gearing Calculator'!$U$17/'Gearing Calculator'!$C$7))</f>
        <v>539.11740470367579</v>
      </c>
      <c r="Y710" s="16">
        <f>('Gearing Calculator'!$U$9*9.81)*(('Gearing Calculator'!$C$7-'Gearing Calculator'!$U$16)/'Gearing Calculator'!$C$7)+(('Track Data'!W710)*('Gearing Calculator'!$U$17/'Gearing Calculator'!$C$7))</f>
        <v>2072.3045952963244</v>
      </c>
      <c r="Z710" s="16">
        <f>((X710*COS('Gearing Calculator'!$C$21))/'Gearing Calculator'!$C$22)/2</f>
        <v>16.667805070357378</v>
      </c>
      <c r="AA710" s="16">
        <f>Y710/'Gearing Calculator'!$C$24</f>
        <v>28.936322755666517</v>
      </c>
      <c r="AB710" s="16">
        <f t="shared" si="79"/>
        <v>197.54320170293366</v>
      </c>
      <c r="AC710" s="16">
        <v>0</v>
      </c>
      <c r="AD710" s="16">
        <v>0</v>
      </c>
      <c r="AE710" s="16">
        <v>707</v>
      </c>
      <c r="AF710" s="16">
        <f>IF(AC710=0,IF(O710=6,INDEX(Acceleration!$V$4:$V$110,MATCH('Track Data'!S710,Acceleration!$K$4:$K$110,0)),IF('Track Data'!O710=5,INDEX(Acceleration!$U$4:$U$110,MATCH('Track Data'!S710,Acceleration!$K$4:$K$110,0)),1)),U710)</f>
        <v>1</v>
      </c>
      <c r="AG710" s="16">
        <f>IF(AC710=0,IF(O710=4,INDEX(Acceleration!$T$4:$T$110,MATCH('Track Data'!S710,Acceleration!$K$4:$K$110,0)),IF('Track Data'!O710=3,INDEX(Acceleration!$S$4:$S$110,MATCH('Track Data'!S710,Acceleration!$K$4:$K$110,0)),'Track Data'!AF710)),'Track Data'!U710)</f>
        <v>5.2583296715092471</v>
      </c>
      <c r="AH710" s="16">
        <f>IF(AC710=0,IF(O710=2,INDEX(Acceleration!$R$4:$R$110,MATCH('Track Data'!S710,Acceleration!$K$4:$K$110,0)),IF('Track Data'!O710=1,INDEX(Acceleration!$Q$4:$Q$110,MATCH('Track Data'!S710,Acceleration!$K$4:$K$110,0)),'Track Data'!AG710)),'Track Data'!U710)</f>
        <v>5.2583296715092471</v>
      </c>
    </row>
    <row r="711" spans="2:34" x14ac:dyDescent="0.25">
      <c r="B711" s="16">
        <v>217.14699999999999</v>
      </c>
      <c r="C711" s="16">
        <v>7981</v>
      </c>
      <c r="D711" s="16">
        <v>708</v>
      </c>
      <c r="E711" s="113">
        <v>160</v>
      </c>
      <c r="F711" s="113">
        <v>149.9</v>
      </c>
      <c r="G711" s="113">
        <v>139.1</v>
      </c>
      <c r="H711" s="113">
        <f t="shared" si="82"/>
        <v>38.638888888888886</v>
      </c>
      <c r="I711" s="113">
        <v>8.6</v>
      </c>
      <c r="J711" s="113">
        <v>23.07</v>
      </c>
      <c r="K711" s="113">
        <v>34.6</v>
      </c>
      <c r="L711" s="185"/>
      <c r="M711" s="16">
        <v>708</v>
      </c>
      <c r="N711" s="16">
        <f t="shared" si="84"/>
        <v>2.4056933646573381E-2</v>
      </c>
      <c r="O711" s="16">
        <v>3</v>
      </c>
      <c r="P711" s="16">
        <f t="shared" si="80"/>
        <v>10.596205962059623</v>
      </c>
      <c r="Q711" s="16">
        <f t="shared" si="85"/>
        <v>41.568057454505968</v>
      </c>
      <c r="R711" s="113">
        <f t="shared" si="81"/>
        <v>345.36</v>
      </c>
      <c r="S711" s="16">
        <f>IF(S710=15800,15800,ROUND((((Q711*60)/'Gearing Calculator'!$C$14)*'Track Data'!P711),-2))</f>
        <v>13400</v>
      </c>
      <c r="T711" s="16">
        <f t="shared" si="83"/>
        <v>5.2096417315015078</v>
      </c>
      <c r="U711" s="16">
        <f>IF(AC711=100,Braking!$AG$2354,IF(AC711=50,Braking!$AG$1179,IF(AC711=75,Braking!$AG$1767,0)))</f>
        <v>0</v>
      </c>
      <c r="V711" s="16">
        <f>0.5*'Gearing Calculator'!$C$15*'Gearing Calculator'!$C$20*'Gearing Calculator'!$W$20*('Track Data'!Q711^2)</f>
        <v>182.88129591327098</v>
      </c>
      <c r="W711" s="16">
        <f>('Gearing Calculator'!$U$9*'Track Data'!T711)+'Track Data'!V711</f>
        <v>1569.6879248389723</v>
      </c>
      <c r="X711" s="16">
        <f>('Gearing Calculator'!$U$9*9.81)*('Gearing Calculator'!$U$16/'Gearing Calculator'!$C$7)-(('Track Data'!W711)*('Gearing Calculator'!$U$17/'Gearing Calculator'!$C$7))</f>
        <v>545.57518111450906</v>
      </c>
      <c r="Y711" s="16">
        <f>('Gearing Calculator'!$U$9*9.81)*(('Gearing Calculator'!$C$7-'Gearing Calculator'!$U$16)/'Gearing Calculator'!$C$7)+(('Track Data'!W711)*('Gearing Calculator'!$U$17/'Gearing Calculator'!$C$7))</f>
        <v>2065.8468188854908</v>
      </c>
      <c r="Z711" s="16">
        <f>((X711*COS('Gearing Calculator'!$C$21))/'Gearing Calculator'!$C$22)/2</f>
        <v>16.867459092773672</v>
      </c>
      <c r="AA711" s="16">
        <f>Y711/'Gearing Calculator'!$C$24</f>
        <v>28.846150537290924</v>
      </c>
      <c r="AB711" s="16">
        <f t="shared" si="79"/>
        <v>198.51022110777549</v>
      </c>
      <c r="AC711" s="16">
        <v>0</v>
      </c>
      <c r="AD711" s="16">
        <v>0</v>
      </c>
      <c r="AE711" s="16">
        <v>708</v>
      </c>
      <c r="AF711" s="16">
        <f>IF(AC711=0,IF(O711=6,INDEX(Acceleration!$V$4:$V$110,MATCH('Track Data'!S711,Acceleration!$K$4:$K$110,0)),IF('Track Data'!O711=5,INDEX(Acceleration!$U$4:$U$110,MATCH('Track Data'!S711,Acceleration!$K$4:$K$110,0)),1)),U711)</f>
        <v>1</v>
      </c>
      <c r="AG711" s="16">
        <f>IF(AC711=0,IF(O711=4,INDEX(Acceleration!$T$4:$T$110,MATCH('Track Data'!S711,Acceleration!$K$4:$K$110,0)),IF('Track Data'!O711=3,INDEX(Acceleration!$S$4:$S$110,MATCH('Track Data'!S711,Acceleration!$K$4:$K$110,0)),'Track Data'!AF711)),'Track Data'!U711)</f>
        <v>5.2096417315015078</v>
      </c>
      <c r="AH711" s="16">
        <f>IF(AC711=0,IF(O711=2,INDEX(Acceleration!$R$4:$R$110,MATCH('Track Data'!S711,Acceleration!$K$4:$K$110,0)),IF('Track Data'!O711=1,INDEX(Acceleration!$Q$4:$Q$110,MATCH('Track Data'!S711,Acceleration!$K$4:$K$110,0)),'Track Data'!AG711)),'Track Data'!U711)</f>
        <v>5.2096417315015078</v>
      </c>
    </row>
    <row r="712" spans="2:34" x14ac:dyDescent="0.25">
      <c r="B712" s="16">
        <v>217.17099999999999</v>
      </c>
      <c r="C712" s="16">
        <v>7982</v>
      </c>
      <c r="D712" s="16">
        <v>709</v>
      </c>
      <c r="E712" s="113">
        <v>160</v>
      </c>
      <c r="F712" s="113">
        <v>150.30000000000001</v>
      </c>
      <c r="G712" s="113">
        <v>139.4</v>
      </c>
      <c r="H712" s="113">
        <f t="shared" si="82"/>
        <v>38.722222222222221</v>
      </c>
      <c r="I712" s="113">
        <v>9.5</v>
      </c>
      <c r="J712" s="113">
        <v>24.2</v>
      </c>
      <c r="K712" s="113">
        <v>24.7</v>
      </c>
      <c r="L712" s="185"/>
      <c r="M712" s="16">
        <v>709</v>
      </c>
      <c r="N712" s="16">
        <f t="shared" si="84"/>
        <v>2.39847281972882E-2</v>
      </c>
      <c r="O712" s="16">
        <v>3</v>
      </c>
      <c r="P712" s="16">
        <f t="shared" si="80"/>
        <v>10.596205962059623</v>
      </c>
      <c r="Q712" s="16">
        <f t="shared" si="85"/>
        <v>41.693197095019137</v>
      </c>
      <c r="R712" s="113">
        <f t="shared" si="81"/>
        <v>345.36</v>
      </c>
      <c r="S712" s="16">
        <f>IF(S711=15800,15800,ROUND((((Q712*60)/'Gearing Calculator'!$C$14)*'Track Data'!P712),-2))</f>
        <v>13400</v>
      </c>
      <c r="T712" s="16">
        <f t="shared" si="83"/>
        <v>5.2096417315015078</v>
      </c>
      <c r="U712" s="16">
        <f>IF(AC712=100,Braking!$AG$2354,IF(AC712=50,Braking!$AG$1179,IF(AC712=75,Braking!$AG$1767,0)))</f>
        <v>0</v>
      </c>
      <c r="V712" s="16">
        <f>0.5*'Gearing Calculator'!$C$15*'Gearing Calculator'!$C$20*'Gearing Calculator'!$W$20*('Track Data'!Q712^2)</f>
        <v>183.98407287499523</v>
      </c>
      <c r="W712" s="16">
        <f>('Gearing Calculator'!$U$9*'Track Data'!T712)+'Track Data'!V712</f>
        <v>1570.7907018006965</v>
      </c>
      <c r="X712" s="16">
        <f>('Gearing Calculator'!$U$9*9.81)*('Gearing Calculator'!$U$16/'Gearing Calculator'!$C$7)-(('Track Data'!W712)*('Gearing Calculator'!$U$17/'Gearing Calculator'!$C$7))</f>
        <v>544.97409235761381</v>
      </c>
      <c r="Y712" s="16">
        <f>('Gearing Calculator'!$U$9*9.81)*(('Gearing Calculator'!$C$7-'Gearing Calculator'!$U$16)/'Gearing Calculator'!$C$7)+(('Track Data'!W712)*('Gearing Calculator'!$U$17/'Gearing Calculator'!$C$7))</f>
        <v>2066.4479076423863</v>
      </c>
      <c r="Z712" s="16">
        <f>((X712*COS('Gearing Calculator'!$C$21))/'Gearing Calculator'!$C$22)/2</f>
        <v>16.848875329492241</v>
      </c>
      <c r="AA712" s="16">
        <f>Y712/'Gearing Calculator'!$C$24</f>
        <v>28.854543752416639</v>
      </c>
      <c r="AB712" s="16">
        <f t="shared" si="79"/>
        <v>199.61299806949975</v>
      </c>
      <c r="AC712" s="16">
        <v>0</v>
      </c>
      <c r="AD712" s="16">
        <v>0</v>
      </c>
      <c r="AE712" s="16">
        <v>709</v>
      </c>
      <c r="AF712" s="16">
        <f>IF(AC712=0,IF(O712=6,INDEX(Acceleration!$V$4:$V$110,MATCH('Track Data'!S712,Acceleration!$K$4:$K$110,0)),IF('Track Data'!O712=5,INDEX(Acceleration!$U$4:$U$110,MATCH('Track Data'!S712,Acceleration!$K$4:$K$110,0)),1)),U712)</f>
        <v>1</v>
      </c>
      <c r="AG712" s="16">
        <f>IF(AC712=0,IF(O712=4,INDEX(Acceleration!$T$4:$T$110,MATCH('Track Data'!S712,Acceleration!$K$4:$K$110,0)),IF('Track Data'!O712=3,INDEX(Acceleration!$S$4:$S$110,MATCH('Track Data'!S712,Acceleration!$K$4:$K$110,0)),'Track Data'!AF712)),'Track Data'!U712)</f>
        <v>5.2096417315015078</v>
      </c>
      <c r="AH712" s="16">
        <f>IF(AC712=0,IF(O712=2,INDEX(Acceleration!$R$4:$R$110,MATCH('Track Data'!S712,Acceleration!$K$4:$K$110,0)),IF('Track Data'!O712=1,INDEX(Acceleration!$Q$4:$Q$110,MATCH('Track Data'!S712,Acceleration!$K$4:$K$110,0)),'Track Data'!AG712)),'Track Data'!U712)</f>
        <v>5.2096417315015078</v>
      </c>
    </row>
    <row r="713" spans="2:34" x14ac:dyDescent="0.25">
      <c r="B713" s="16">
        <v>217.19399999999999</v>
      </c>
      <c r="C713" s="16">
        <v>7983</v>
      </c>
      <c r="D713" s="16">
        <v>710</v>
      </c>
      <c r="E713" s="113">
        <v>160</v>
      </c>
      <c r="F713" s="113">
        <v>150.69999999999999</v>
      </c>
      <c r="G713" s="113">
        <v>139.6</v>
      </c>
      <c r="H713" s="113">
        <f t="shared" si="82"/>
        <v>38.777777777777779</v>
      </c>
      <c r="I713" s="113">
        <v>10.1</v>
      </c>
      <c r="J713" s="113">
        <v>23.7</v>
      </c>
      <c r="K713" s="113">
        <v>18.100000000000001</v>
      </c>
      <c r="L713" s="185"/>
      <c r="M713" s="16">
        <v>710</v>
      </c>
      <c r="N713" s="16">
        <f t="shared" si="84"/>
        <v>2.3913169030439704E-2</v>
      </c>
      <c r="O713" s="16">
        <v>3</v>
      </c>
      <c r="P713" s="16">
        <f t="shared" si="80"/>
        <v>10.596205962059623</v>
      </c>
      <c r="Q713" s="16">
        <f t="shared" si="85"/>
        <v>41.817962258664821</v>
      </c>
      <c r="R713" s="113">
        <f t="shared" si="81"/>
        <v>345.36</v>
      </c>
      <c r="S713" s="16">
        <f>IF(S712=15800,15800,ROUND((((Q713*60)/'Gearing Calculator'!$C$14)*'Track Data'!P713),-2))</f>
        <v>13400</v>
      </c>
      <c r="T713" s="16">
        <f t="shared" si="83"/>
        <v>5.2096417315015078</v>
      </c>
      <c r="U713" s="16">
        <f>IF(AC713=100,Braking!$AG$2354,IF(AC713=50,Braking!$AG$1179,IF(AC713=75,Braking!$AG$1767,0)))</f>
        <v>0</v>
      </c>
      <c r="V713" s="16">
        <f>0.5*'Gearing Calculator'!$C$15*'Gearing Calculator'!$C$20*'Gearing Calculator'!$W$20*('Track Data'!Q713^2)</f>
        <v>185.08684983671947</v>
      </c>
      <c r="W713" s="16">
        <f>('Gearing Calculator'!$U$9*'Track Data'!T713)+'Track Data'!V713</f>
        <v>1571.8934787624207</v>
      </c>
      <c r="X713" s="16">
        <f>('Gearing Calculator'!$U$9*9.81)*('Gearing Calculator'!$U$16/'Gearing Calculator'!$C$7)-(('Track Data'!W713)*('Gearing Calculator'!$U$17/'Gearing Calculator'!$C$7))</f>
        <v>544.37300360071856</v>
      </c>
      <c r="Y713" s="16">
        <f>('Gearing Calculator'!$U$9*9.81)*(('Gearing Calculator'!$C$7-'Gearing Calculator'!$U$16)/'Gearing Calculator'!$C$7)+(('Track Data'!W713)*('Gearing Calculator'!$U$17/'Gearing Calculator'!$C$7))</f>
        <v>2067.0489963992814</v>
      </c>
      <c r="Z713" s="16">
        <f>((X713*COS('Gearing Calculator'!$C$21))/'Gearing Calculator'!$C$22)/2</f>
        <v>16.830291566210807</v>
      </c>
      <c r="AA713" s="16">
        <f>Y713/'Gearing Calculator'!$C$24</f>
        <v>28.862936967542346</v>
      </c>
      <c r="AB713" s="16">
        <f t="shared" si="79"/>
        <v>200.71577503122398</v>
      </c>
      <c r="AC713" s="16">
        <v>0</v>
      </c>
      <c r="AD713" s="16">
        <v>0</v>
      </c>
      <c r="AE713" s="16">
        <v>710</v>
      </c>
      <c r="AF713" s="16">
        <f>IF(AC713=0,IF(O713=6,INDEX(Acceleration!$V$4:$V$110,MATCH('Track Data'!S713,Acceleration!$K$4:$K$110,0)),IF('Track Data'!O713=5,INDEX(Acceleration!$U$4:$U$110,MATCH('Track Data'!S713,Acceleration!$K$4:$K$110,0)),1)),U713)</f>
        <v>1</v>
      </c>
      <c r="AG713" s="16">
        <f>IF(AC713=0,IF(O713=4,INDEX(Acceleration!$T$4:$T$110,MATCH('Track Data'!S713,Acceleration!$K$4:$K$110,0)),IF('Track Data'!O713=3,INDEX(Acceleration!$S$4:$S$110,MATCH('Track Data'!S713,Acceleration!$K$4:$K$110,0)),'Track Data'!AF713)),'Track Data'!U713)</f>
        <v>5.2096417315015078</v>
      </c>
      <c r="AH713" s="16">
        <f>IF(AC713=0,IF(O713=2,INDEX(Acceleration!$R$4:$R$110,MATCH('Track Data'!S713,Acceleration!$K$4:$K$110,0)),IF('Track Data'!O713=1,INDEX(Acceleration!$Q$4:$Q$110,MATCH('Track Data'!S713,Acceleration!$K$4:$K$110,0)),'Track Data'!AG713)),'Track Data'!U713)</f>
        <v>5.2096417315015078</v>
      </c>
    </row>
    <row r="714" spans="2:34" x14ac:dyDescent="0.25">
      <c r="B714" s="16">
        <v>217.21799999999999</v>
      </c>
      <c r="C714" s="16">
        <v>7984</v>
      </c>
      <c r="D714" s="16">
        <v>711</v>
      </c>
      <c r="E714" s="113">
        <v>160</v>
      </c>
      <c r="F714" s="113">
        <v>150.9</v>
      </c>
      <c r="G714" s="113">
        <v>139.80000000000001</v>
      </c>
      <c r="H714" s="113">
        <f t="shared" si="82"/>
        <v>38.833333333333336</v>
      </c>
      <c r="I714" s="113">
        <v>10.199999999999999</v>
      </c>
      <c r="J714" s="113">
        <v>24.77</v>
      </c>
      <c r="K714" s="113">
        <v>19.899999999999999</v>
      </c>
      <c r="L714" s="185"/>
      <c r="M714" s="16">
        <v>711</v>
      </c>
      <c r="N714" s="16">
        <f t="shared" si="84"/>
        <v>2.3842246562170238E-2</v>
      </c>
      <c r="O714" s="16">
        <v>3</v>
      </c>
      <c r="P714" s="16">
        <f t="shared" si="80"/>
        <v>10.596205962059623</v>
      </c>
      <c r="Q714" s="16">
        <f t="shared" si="85"/>
        <v>41.942356287291709</v>
      </c>
      <c r="R714" s="113">
        <f t="shared" si="81"/>
        <v>345.36</v>
      </c>
      <c r="S714" s="16">
        <f>IF(S713=15800,15800,ROUND((((Q714*60)/'Gearing Calculator'!$C$14)*'Track Data'!P714),-2))</f>
        <v>13500</v>
      </c>
      <c r="T714" s="16">
        <f t="shared" si="83"/>
        <v>5.1615340939618166</v>
      </c>
      <c r="U714" s="16">
        <f>IF(AC714=100,Braking!$AG$2354,IF(AC714=50,Braking!$AG$1179,IF(AC714=75,Braking!$AG$1767,0)))</f>
        <v>0</v>
      </c>
      <c r="V714" s="16">
        <f>0.5*'Gearing Calculator'!$C$15*'Gearing Calculator'!$C$20*'Gearing Calculator'!$W$20*('Track Data'!Q714^2)</f>
        <v>186.1896267984437</v>
      </c>
      <c r="W714" s="16">
        <f>('Gearing Calculator'!$U$9*'Track Data'!T714)+'Track Data'!V714</f>
        <v>1560.1900026110791</v>
      </c>
      <c r="X714" s="16">
        <f>('Gearing Calculator'!$U$9*9.81)*('Gearing Calculator'!$U$16/'Gearing Calculator'!$C$7)-(('Track Data'!W714)*('Gearing Calculator'!$U$17/'Gearing Calculator'!$C$7))</f>
        <v>550.75219737727684</v>
      </c>
      <c r="Y714" s="16">
        <f>('Gearing Calculator'!$U$9*9.81)*(('Gearing Calculator'!$C$7-'Gearing Calculator'!$U$16)/'Gearing Calculator'!$C$7)+(('Track Data'!W714)*('Gearing Calculator'!$U$17/'Gearing Calculator'!$C$7))</f>
        <v>2060.6698026227232</v>
      </c>
      <c r="Z714" s="16">
        <f>((X714*COS('Gearing Calculator'!$C$21))/'Gearing Calculator'!$C$22)/2</f>
        <v>17.027516062111012</v>
      </c>
      <c r="AA714" s="16">
        <f>Y714/'Gearing Calculator'!$C$24</f>
        <v>28.773862026311022</v>
      </c>
      <c r="AB714" s="16">
        <f t="shared" si="79"/>
        <v>201.67422908032916</v>
      </c>
      <c r="AC714" s="16">
        <v>0</v>
      </c>
      <c r="AD714" s="16">
        <v>0</v>
      </c>
      <c r="AE714" s="16">
        <v>711</v>
      </c>
      <c r="AF714" s="16">
        <f>IF(AC714=0,IF(O714=6,INDEX(Acceleration!$V$4:$V$110,MATCH('Track Data'!S714,Acceleration!$K$4:$K$110,0)),IF('Track Data'!O714=5,INDEX(Acceleration!$U$4:$U$110,MATCH('Track Data'!S714,Acceleration!$K$4:$K$110,0)),1)),U714)</f>
        <v>1</v>
      </c>
      <c r="AG714" s="16">
        <f>IF(AC714=0,IF(O714=4,INDEX(Acceleration!$T$4:$T$110,MATCH('Track Data'!S714,Acceleration!$K$4:$K$110,0)),IF('Track Data'!O714=3,INDEX(Acceleration!$S$4:$S$110,MATCH('Track Data'!S714,Acceleration!$K$4:$K$110,0)),'Track Data'!AF714)),'Track Data'!U714)</f>
        <v>5.1615340939618166</v>
      </c>
      <c r="AH714" s="16">
        <f>IF(AC714=0,IF(O714=2,INDEX(Acceleration!$R$4:$R$110,MATCH('Track Data'!S714,Acceleration!$K$4:$K$110,0)),IF('Track Data'!O714=1,INDEX(Acceleration!$Q$4:$Q$110,MATCH('Track Data'!S714,Acceleration!$K$4:$K$110,0)),'Track Data'!AG714)),'Track Data'!U714)</f>
        <v>5.1615340939618166</v>
      </c>
    </row>
    <row r="715" spans="2:34" x14ac:dyDescent="0.25">
      <c r="B715" s="16">
        <v>217.24199999999999</v>
      </c>
      <c r="C715" s="16">
        <v>7985</v>
      </c>
      <c r="D715" s="16">
        <v>712</v>
      </c>
      <c r="E715" s="113">
        <v>161</v>
      </c>
      <c r="F715" s="113">
        <v>151.30000000000001</v>
      </c>
      <c r="G715" s="113">
        <v>140.19999999999999</v>
      </c>
      <c r="H715" s="113">
        <f t="shared" si="82"/>
        <v>38.944444444444443</v>
      </c>
      <c r="I715" s="113">
        <v>10.1</v>
      </c>
      <c r="J715" s="113">
        <v>24.61</v>
      </c>
      <c r="K715" s="113">
        <v>28.5</v>
      </c>
      <c r="L715" s="185"/>
      <c r="M715" s="16">
        <v>712</v>
      </c>
      <c r="N715" s="16">
        <f t="shared" si="84"/>
        <v>2.3772597694641701E-2</v>
      </c>
      <c r="O715" s="16">
        <v>3</v>
      </c>
      <c r="P715" s="16">
        <f t="shared" si="80"/>
        <v>10.596205962059623</v>
      </c>
      <c r="Q715" s="16">
        <f t="shared" si="85"/>
        <v>42.065238845370196</v>
      </c>
      <c r="R715" s="113">
        <f t="shared" si="81"/>
        <v>345.36</v>
      </c>
      <c r="S715" s="16">
        <f>IF(S714=15800,15800,ROUND((((Q715*60)/'Gearing Calculator'!$C$14)*'Track Data'!P715),-2))</f>
        <v>13500</v>
      </c>
      <c r="T715" s="16">
        <f t="shared" si="83"/>
        <v>5.1615340939618166</v>
      </c>
      <c r="U715" s="16">
        <f>IF(AC715=100,Braking!$AG$2354,IF(AC715=50,Braking!$AG$1179,IF(AC715=75,Braking!$AG$1767,0)))</f>
        <v>0</v>
      </c>
      <c r="V715" s="16">
        <f>0.5*'Gearing Calculator'!$C$15*'Gearing Calculator'!$C$20*'Gearing Calculator'!$W$20*('Track Data'!Q715^2)</f>
        <v>187.2822203354535</v>
      </c>
      <c r="W715" s="16">
        <f>('Gearing Calculator'!$U$9*'Track Data'!T715)+'Track Data'!V715</f>
        <v>1561.2825961480889</v>
      </c>
      <c r="X715" s="16">
        <f>('Gearing Calculator'!$U$9*9.81)*('Gearing Calculator'!$U$16/'Gearing Calculator'!$C$7)-(('Track Data'!W715)*('Gearing Calculator'!$U$17/'Gearing Calculator'!$C$7))</f>
        <v>550.1566592823151</v>
      </c>
      <c r="Y715" s="16">
        <f>('Gearing Calculator'!$U$9*9.81)*(('Gearing Calculator'!$C$7-'Gearing Calculator'!$U$16)/'Gearing Calculator'!$C$7)+(('Track Data'!W715)*('Gearing Calculator'!$U$17/'Gearing Calculator'!$C$7))</f>
        <v>2061.2653407176849</v>
      </c>
      <c r="Z715" s="16">
        <f>((X715*COS('Gearing Calculator'!$C$21))/'Gearing Calculator'!$C$22)/2</f>
        <v>17.00910390774132</v>
      </c>
      <c r="AA715" s="16">
        <f>Y715/'Gearing Calculator'!$C$24</f>
        <v>28.782177735578966</v>
      </c>
      <c r="AB715" s="16">
        <f t="shared" si="79"/>
        <v>202.76682261733896</v>
      </c>
      <c r="AC715" s="16">
        <v>0</v>
      </c>
      <c r="AD715" s="16">
        <v>0</v>
      </c>
      <c r="AE715" s="16">
        <v>712</v>
      </c>
      <c r="AF715" s="16">
        <f>IF(AC715=0,IF(O715=6,INDEX(Acceleration!$V$4:$V$110,MATCH('Track Data'!S715,Acceleration!$K$4:$K$110,0)),IF('Track Data'!O715=5,INDEX(Acceleration!$U$4:$U$110,MATCH('Track Data'!S715,Acceleration!$K$4:$K$110,0)),1)),U715)</f>
        <v>1</v>
      </c>
      <c r="AG715" s="16">
        <f>IF(AC715=0,IF(O715=4,INDEX(Acceleration!$T$4:$T$110,MATCH('Track Data'!S715,Acceleration!$K$4:$K$110,0)),IF('Track Data'!O715=3,INDEX(Acceleration!$S$4:$S$110,MATCH('Track Data'!S715,Acceleration!$K$4:$K$110,0)),'Track Data'!AF715)),'Track Data'!U715)</f>
        <v>5.1615340939618166</v>
      </c>
      <c r="AH715" s="16">
        <f>IF(AC715=0,IF(O715=2,INDEX(Acceleration!$R$4:$R$110,MATCH('Track Data'!S715,Acceleration!$K$4:$K$110,0)),IF('Track Data'!O715=1,INDEX(Acceleration!$Q$4:$Q$110,MATCH('Track Data'!S715,Acceleration!$K$4:$K$110,0)),'Track Data'!AG715)),'Track Data'!U715)</f>
        <v>5.1615340939618166</v>
      </c>
    </row>
    <row r="716" spans="2:34" x14ac:dyDescent="0.25">
      <c r="B716" s="16">
        <v>217.26599999999999</v>
      </c>
      <c r="C716" s="16">
        <v>7986</v>
      </c>
      <c r="D716" s="16">
        <v>713</v>
      </c>
      <c r="E716" s="113">
        <v>162</v>
      </c>
      <c r="F716" s="113">
        <v>151.80000000000001</v>
      </c>
      <c r="G716" s="113">
        <v>140.5</v>
      </c>
      <c r="H716" s="113">
        <f t="shared" si="82"/>
        <v>39.027777777777779</v>
      </c>
      <c r="I716" s="113">
        <v>9.6999999999999993</v>
      </c>
      <c r="J716" s="113">
        <v>22.2</v>
      </c>
      <c r="K716" s="113">
        <v>34.299999999999997</v>
      </c>
      <c r="L716" s="185"/>
      <c r="M716" s="16">
        <v>713</v>
      </c>
      <c r="N716" s="16">
        <f t="shared" si="84"/>
        <v>2.3703555665210069E-2</v>
      </c>
      <c r="O716" s="16">
        <v>3</v>
      </c>
      <c r="P716" s="16">
        <f t="shared" si="80"/>
        <v>10.596205962059623</v>
      </c>
      <c r="Q716" s="16">
        <f t="shared" si="85"/>
        <v>42.187763478359045</v>
      </c>
      <c r="R716" s="113">
        <f t="shared" si="81"/>
        <v>345.36</v>
      </c>
      <c r="S716" s="16">
        <f>IF(S715=15800,15800,ROUND((((Q716*60)/'Gearing Calculator'!$C$14)*'Track Data'!P716),-2))</f>
        <v>13600</v>
      </c>
      <c r="T716" s="16">
        <f t="shared" si="83"/>
        <v>5.1139929135961175</v>
      </c>
      <c r="U716" s="16">
        <f>IF(AC716=100,Braking!$AG$2354,IF(AC716=50,Braking!$AG$1179,IF(AC716=75,Braking!$AG$1767,0)))</f>
        <v>0</v>
      </c>
      <c r="V716" s="16">
        <f>0.5*'Gearing Calculator'!$C$15*'Gearing Calculator'!$C$20*'Gearing Calculator'!$W$20*('Track Data'!Q716^2)</f>
        <v>188.37481387246333</v>
      </c>
      <c r="W716" s="16">
        <f>('Gearing Calculator'!$U$9*'Track Data'!T716)+'Track Data'!V716</f>
        <v>1549.7197274717498</v>
      </c>
      <c r="X716" s="16">
        <f>('Gearing Calculator'!$U$9*9.81)*('Gearing Calculator'!$U$16/'Gearing Calculator'!$C$7)-(('Track Data'!W716)*('Gearing Calculator'!$U$17/'Gearing Calculator'!$C$7))</f>
        <v>556.45921238238759</v>
      </c>
      <c r="Y716" s="16">
        <f>('Gearing Calculator'!$U$9*9.81)*(('Gearing Calculator'!$C$7-'Gearing Calculator'!$U$16)/'Gearing Calculator'!$C$7)+(('Track Data'!W716)*('Gearing Calculator'!$U$17/'Gearing Calculator'!$C$7))</f>
        <v>2054.9627876176123</v>
      </c>
      <c r="Z716" s="16">
        <f>((X716*COS('Gearing Calculator'!$C$21))/'Gearing Calculator'!$C$22)/2</f>
        <v>17.203958916318392</v>
      </c>
      <c r="AA716" s="16">
        <f>Y716/'Gearing Calculator'!$C$24</f>
        <v>28.694172955247748</v>
      </c>
      <c r="AB716" s="16">
        <f t="shared" si="79"/>
        <v>203.7167926132517</v>
      </c>
      <c r="AC716" s="16">
        <v>0</v>
      </c>
      <c r="AD716" s="16">
        <v>0</v>
      </c>
      <c r="AE716" s="16">
        <v>713</v>
      </c>
      <c r="AF716" s="16">
        <f>IF(AC716=0,IF(O716=6,INDEX(Acceleration!$V$4:$V$110,MATCH('Track Data'!S716,Acceleration!$K$4:$K$110,0)),IF('Track Data'!O716=5,INDEX(Acceleration!$U$4:$U$110,MATCH('Track Data'!S716,Acceleration!$K$4:$K$110,0)),1)),U716)</f>
        <v>1</v>
      </c>
      <c r="AG716" s="16">
        <f>IF(AC716=0,IF(O716=4,INDEX(Acceleration!$T$4:$T$110,MATCH('Track Data'!S716,Acceleration!$K$4:$K$110,0)),IF('Track Data'!O716=3,INDEX(Acceleration!$S$4:$S$110,MATCH('Track Data'!S716,Acceleration!$K$4:$K$110,0)),'Track Data'!AF716)),'Track Data'!U716)</f>
        <v>5.1139929135961175</v>
      </c>
      <c r="AH716" s="16">
        <f>IF(AC716=0,IF(O716=2,INDEX(Acceleration!$R$4:$R$110,MATCH('Track Data'!S716,Acceleration!$K$4:$K$110,0)),IF('Track Data'!O716=1,INDEX(Acceleration!$Q$4:$Q$110,MATCH('Track Data'!S716,Acceleration!$K$4:$K$110,0)),'Track Data'!AG716)),'Track Data'!U716)</f>
        <v>5.1139929135961175</v>
      </c>
    </row>
    <row r="717" spans="2:34" x14ac:dyDescent="0.25">
      <c r="B717" s="16">
        <v>217.28899999999999</v>
      </c>
      <c r="C717" s="16">
        <v>7987</v>
      </c>
      <c r="D717" s="16">
        <v>714</v>
      </c>
      <c r="E717" s="113">
        <v>162</v>
      </c>
      <c r="F717" s="113">
        <v>152.30000000000001</v>
      </c>
      <c r="G717" s="113">
        <v>140.80000000000001</v>
      </c>
      <c r="H717" s="113">
        <f t="shared" si="82"/>
        <v>39.111111111111114</v>
      </c>
      <c r="I717" s="113">
        <v>9.1</v>
      </c>
      <c r="J717" s="113">
        <v>25.7</v>
      </c>
      <c r="K717" s="113">
        <v>39</v>
      </c>
      <c r="L717" s="185"/>
      <c r="M717" s="16">
        <v>714</v>
      </c>
      <c r="N717" s="16">
        <f t="shared" si="84"/>
        <v>2.3635739424356771E-2</v>
      </c>
      <c r="O717" s="16">
        <v>3</v>
      </c>
      <c r="P717" s="16">
        <f t="shared" si="80"/>
        <v>10.596205962059623</v>
      </c>
      <c r="Q717" s="16">
        <f t="shared" si="85"/>
        <v>42.308809639756561</v>
      </c>
      <c r="R717" s="113">
        <f t="shared" si="81"/>
        <v>345.36</v>
      </c>
      <c r="S717" s="16">
        <f>IF(S716=15800,15800,ROUND((((Q717*60)/'Gearing Calculator'!$C$14)*'Track Data'!P717),-2))</f>
        <v>13600</v>
      </c>
      <c r="T717" s="16">
        <f t="shared" si="83"/>
        <v>5.1139929135961175</v>
      </c>
      <c r="U717" s="16">
        <f>IF(AC717=100,Braking!$AG$2354,IF(AC717=50,Braking!$AG$1179,IF(AC717=75,Braking!$AG$1767,0)))</f>
        <v>0</v>
      </c>
      <c r="V717" s="16">
        <f>0.5*'Gearing Calculator'!$C$15*'Gearing Calculator'!$C$20*'Gearing Calculator'!$W$20*('Track Data'!Q717^2)</f>
        <v>189.45734389241341</v>
      </c>
      <c r="W717" s="16">
        <f>('Gearing Calculator'!$U$9*'Track Data'!T717)+'Track Data'!V717</f>
        <v>1550.8022574916999</v>
      </c>
      <c r="X717" s="16">
        <f>('Gearing Calculator'!$U$9*9.81)*('Gearing Calculator'!$U$16/'Gearing Calculator'!$C$7)-(('Track Data'!W717)*('Gearing Calculator'!$U$17/'Gearing Calculator'!$C$7))</f>
        <v>555.86915959149849</v>
      </c>
      <c r="Y717" s="16">
        <f>('Gearing Calculator'!$U$9*9.81)*(('Gearing Calculator'!$C$7-'Gearing Calculator'!$U$16)/'Gearing Calculator'!$C$7)+(('Track Data'!W717)*('Gearing Calculator'!$U$17/'Gearing Calculator'!$C$7))</f>
        <v>2055.5528404085017</v>
      </c>
      <c r="Z717" s="16">
        <f>((X717*COS('Gearing Calculator'!$C$21))/'Gearing Calculator'!$C$22)/2</f>
        <v>17.185716350202082</v>
      </c>
      <c r="AA717" s="16">
        <f>Y717/'Gearing Calculator'!$C$24</f>
        <v>28.702412071272875</v>
      </c>
      <c r="AB717" s="16">
        <f t="shared" si="79"/>
        <v>204.79932263320177</v>
      </c>
      <c r="AC717" s="16">
        <v>0</v>
      </c>
      <c r="AD717" s="16">
        <v>0</v>
      </c>
      <c r="AE717" s="16">
        <v>714</v>
      </c>
      <c r="AF717" s="16">
        <f>IF(AC717=0,IF(O717=6,INDEX(Acceleration!$V$4:$V$110,MATCH('Track Data'!S717,Acceleration!$K$4:$K$110,0)),IF('Track Data'!O717=5,INDEX(Acceleration!$U$4:$U$110,MATCH('Track Data'!S717,Acceleration!$K$4:$K$110,0)),1)),U717)</f>
        <v>1</v>
      </c>
      <c r="AG717" s="16">
        <f>IF(AC717=0,IF(O717=4,INDEX(Acceleration!$T$4:$T$110,MATCH('Track Data'!S717,Acceleration!$K$4:$K$110,0)),IF('Track Data'!O717=3,INDEX(Acceleration!$S$4:$S$110,MATCH('Track Data'!S717,Acceleration!$K$4:$K$110,0)),'Track Data'!AF717)),'Track Data'!U717)</f>
        <v>5.1139929135961175</v>
      </c>
      <c r="AH717" s="16">
        <f>IF(AC717=0,IF(O717=2,INDEX(Acceleration!$R$4:$R$110,MATCH('Track Data'!S717,Acceleration!$K$4:$K$110,0)),IF('Track Data'!O717=1,INDEX(Acceleration!$Q$4:$Q$110,MATCH('Track Data'!S717,Acceleration!$K$4:$K$110,0)),'Track Data'!AG717)),'Track Data'!U717)</f>
        <v>5.1139929135961175</v>
      </c>
    </row>
    <row r="718" spans="2:34" x14ac:dyDescent="0.25">
      <c r="B718" s="16">
        <v>217.31299999999999</v>
      </c>
      <c r="C718" s="16">
        <v>7988</v>
      </c>
      <c r="D718" s="16">
        <v>715</v>
      </c>
      <c r="E718" s="113">
        <v>164</v>
      </c>
      <c r="F718" s="113">
        <v>153.30000000000001</v>
      </c>
      <c r="G718" s="113">
        <v>141.19999999999999</v>
      </c>
      <c r="H718" s="113">
        <f t="shared" si="82"/>
        <v>39.222222222222221</v>
      </c>
      <c r="I718" s="113">
        <v>8.4</v>
      </c>
      <c r="J718" s="113">
        <v>39.68</v>
      </c>
      <c r="K718" s="113">
        <v>39.6</v>
      </c>
      <c r="L718" s="185"/>
      <c r="M718" s="16">
        <v>715</v>
      </c>
      <c r="N718" s="16">
        <f t="shared" si="84"/>
        <v>2.3568501942565833E-2</v>
      </c>
      <c r="O718" s="16">
        <v>3</v>
      </c>
      <c r="P718" s="16">
        <f t="shared" si="80"/>
        <v>10.596205962059623</v>
      </c>
      <c r="Q718" s="16">
        <f t="shared" si="85"/>
        <v>42.429510472787094</v>
      </c>
      <c r="R718" s="113">
        <f t="shared" si="81"/>
        <v>345.36</v>
      </c>
      <c r="S718" s="16">
        <f>IF(S717=15800,15800,ROUND((((Q718*60)/'Gearing Calculator'!$C$14)*'Track Data'!P718),-2))</f>
        <v>13600</v>
      </c>
      <c r="T718" s="16">
        <f t="shared" si="83"/>
        <v>5.1139929135961175</v>
      </c>
      <c r="U718" s="16">
        <f>IF(AC718=100,Braking!$AG$2354,IF(AC718=50,Braking!$AG$1179,IF(AC718=75,Braking!$AG$1767,0)))</f>
        <v>0</v>
      </c>
      <c r="V718" s="16">
        <f>0.5*'Gearing Calculator'!$C$15*'Gearing Calculator'!$C$20*'Gearing Calculator'!$W$20*('Track Data'!Q718^2)</f>
        <v>190.53987391236339</v>
      </c>
      <c r="W718" s="16">
        <f>('Gearing Calculator'!$U$9*'Track Data'!T718)+'Track Data'!V718</f>
        <v>1551.8847875116498</v>
      </c>
      <c r="X718" s="16">
        <f>('Gearing Calculator'!$U$9*9.81)*('Gearing Calculator'!$U$16/'Gearing Calculator'!$C$7)-(('Track Data'!W718)*('Gearing Calculator'!$U$17/'Gearing Calculator'!$C$7))</f>
        <v>555.2791068006095</v>
      </c>
      <c r="Y718" s="16">
        <f>('Gearing Calculator'!$U$9*9.81)*(('Gearing Calculator'!$C$7-'Gearing Calculator'!$U$16)/'Gearing Calculator'!$C$7)+(('Track Data'!W718)*('Gearing Calculator'!$U$17/'Gearing Calculator'!$C$7))</f>
        <v>2056.1428931993905</v>
      </c>
      <c r="Z718" s="16">
        <f>((X718*COS('Gearing Calculator'!$C$21))/'Gearing Calculator'!$C$22)/2</f>
        <v>17.167473784085775</v>
      </c>
      <c r="AA718" s="16">
        <f>Y718/'Gearing Calculator'!$C$24</f>
        <v>28.710651187297998</v>
      </c>
      <c r="AB718" s="16">
        <f t="shared" si="79"/>
        <v>205.88185265315175</v>
      </c>
      <c r="AC718" s="16">
        <v>0</v>
      </c>
      <c r="AD718" s="16">
        <v>0</v>
      </c>
      <c r="AE718" s="16">
        <v>715</v>
      </c>
      <c r="AF718" s="16">
        <f>IF(AC718=0,IF(O718=6,INDEX(Acceleration!$V$4:$V$110,MATCH('Track Data'!S718,Acceleration!$K$4:$K$110,0)),IF('Track Data'!O718=5,INDEX(Acceleration!$U$4:$U$110,MATCH('Track Data'!S718,Acceleration!$K$4:$K$110,0)),1)),U718)</f>
        <v>1</v>
      </c>
      <c r="AG718" s="16">
        <f>IF(AC718=0,IF(O718=4,INDEX(Acceleration!$T$4:$T$110,MATCH('Track Data'!S718,Acceleration!$K$4:$K$110,0)),IF('Track Data'!O718=3,INDEX(Acceleration!$S$4:$S$110,MATCH('Track Data'!S718,Acceleration!$K$4:$K$110,0)),'Track Data'!AF718)),'Track Data'!U718)</f>
        <v>5.1139929135961175</v>
      </c>
      <c r="AH718" s="16">
        <f>IF(AC718=0,IF(O718=2,INDEX(Acceleration!$R$4:$R$110,MATCH('Track Data'!S718,Acceleration!$K$4:$K$110,0)),IF('Track Data'!O718=1,INDEX(Acceleration!$Q$4:$Q$110,MATCH('Track Data'!S718,Acceleration!$K$4:$K$110,0)),'Track Data'!AG718)),'Track Data'!U718)</f>
        <v>5.1139929135961175</v>
      </c>
    </row>
    <row r="719" spans="2:34" x14ac:dyDescent="0.25">
      <c r="B719" s="16">
        <v>217.33699999999999</v>
      </c>
      <c r="C719" s="16">
        <v>7989</v>
      </c>
      <c r="D719" s="16">
        <v>716</v>
      </c>
      <c r="E719" s="113">
        <v>163</v>
      </c>
      <c r="F719" s="113">
        <v>153.6</v>
      </c>
      <c r="G719" s="113">
        <v>141.5</v>
      </c>
      <c r="H719" s="113">
        <f t="shared" si="82"/>
        <v>39.305555555555557</v>
      </c>
      <c r="I719" s="113">
        <v>11.5</v>
      </c>
      <c r="J719" s="113">
        <v>36.68</v>
      </c>
      <c r="K719" s="113">
        <v>40</v>
      </c>
      <c r="L719" s="185"/>
      <c r="M719" s="16">
        <v>716</v>
      </c>
      <c r="N719" s="16">
        <f t="shared" si="84"/>
        <v>2.3501835034297605E-2</v>
      </c>
      <c r="O719" s="16">
        <v>3</v>
      </c>
      <c r="P719" s="16">
        <f t="shared" si="80"/>
        <v>10.596205962059623</v>
      </c>
      <c r="Q719" s="16">
        <f t="shared" si="85"/>
        <v>42.549868916220433</v>
      </c>
      <c r="R719" s="113">
        <f t="shared" si="81"/>
        <v>345.36</v>
      </c>
      <c r="S719" s="16">
        <f>IF(S718=15800,15800,ROUND((((Q719*60)/'Gearing Calculator'!$C$14)*'Track Data'!P719),-2))</f>
        <v>13700</v>
      </c>
      <c r="T719" s="16">
        <f t="shared" si="83"/>
        <v>5.0670047493525079</v>
      </c>
      <c r="U719" s="16">
        <f>IF(AC719=100,Braking!$AG$2354,IF(AC719=50,Braking!$AG$1179,IF(AC719=75,Braking!$AG$1767,0)))</f>
        <v>0</v>
      </c>
      <c r="V719" s="16">
        <f>0.5*'Gearing Calculator'!$C$15*'Gearing Calculator'!$C$20*'Gearing Calculator'!$W$20*('Track Data'!Q719^2)</f>
        <v>191.6224039323134</v>
      </c>
      <c r="W719" s="16">
        <f>('Gearing Calculator'!$U$9*'Track Data'!T719)+'Track Data'!V719</f>
        <v>1540.4590682099508</v>
      </c>
      <c r="X719" s="16">
        <f>('Gearing Calculator'!$U$9*9.81)*('Gearing Calculator'!$U$16/'Gearing Calculator'!$C$7)-(('Track Data'!W719)*('Gearing Calculator'!$U$17/'Gearing Calculator'!$C$7))</f>
        <v>561.50690412506037</v>
      </c>
      <c r="Y719" s="16">
        <f>('Gearing Calculator'!$U$9*9.81)*(('Gearing Calculator'!$C$7-'Gearing Calculator'!$U$16)/'Gearing Calculator'!$C$7)+(('Track Data'!W719)*('Gearing Calculator'!$U$17/'Gearing Calculator'!$C$7))</f>
        <v>2049.9150958749397</v>
      </c>
      <c r="Z719" s="16">
        <f>((X719*COS('Gearing Calculator'!$C$21))/'Gearing Calculator'!$C$22)/2</f>
        <v>17.360017580513006</v>
      </c>
      <c r="AA719" s="16">
        <f>Y719/'Gearing Calculator'!$C$24</f>
        <v>28.623690248328785</v>
      </c>
      <c r="AB719" s="16">
        <f t="shared" si="79"/>
        <v>206.82341818037094</v>
      </c>
      <c r="AC719" s="16">
        <v>0</v>
      </c>
      <c r="AD719" s="16">
        <v>0</v>
      </c>
      <c r="AE719" s="16">
        <v>716</v>
      </c>
      <c r="AF719" s="16">
        <f>IF(AC719=0,IF(O719=6,INDEX(Acceleration!$V$4:$V$110,MATCH('Track Data'!S719,Acceleration!$K$4:$K$110,0)),IF('Track Data'!O719=5,INDEX(Acceleration!$U$4:$U$110,MATCH('Track Data'!S719,Acceleration!$K$4:$K$110,0)),1)),U719)</f>
        <v>1</v>
      </c>
      <c r="AG719" s="16">
        <f>IF(AC719=0,IF(O719=4,INDEX(Acceleration!$T$4:$T$110,MATCH('Track Data'!S719,Acceleration!$K$4:$K$110,0)),IF('Track Data'!O719=3,INDEX(Acceleration!$S$4:$S$110,MATCH('Track Data'!S719,Acceleration!$K$4:$K$110,0)),'Track Data'!AF719)),'Track Data'!U719)</f>
        <v>5.0670047493525079</v>
      </c>
      <c r="AH719" s="16">
        <f>IF(AC719=0,IF(O719=2,INDEX(Acceleration!$R$4:$R$110,MATCH('Track Data'!S719,Acceleration!$K$4:$K$110,0)),IF('Track Data'!O719=1,INDEX(Acceleration!$Q$4:$Q$110,MATCH('Track Data'!S719,Acceleration!$K$4:$K$110,0)),'Track Data'!AG719)),'Track Data'!U719)</f>
        <v>5.0670047493525079</v>
      </c>
    </row>
    <row r="720" spans="2:34" x14ac:dyDescent="0.25">
      <c r="B720" s="16">
        <v>217.36</v>
      </c>
      <c r="C720" s="16">
        <v>7990</v>
      </c>
      <c r="D720" s="16">
        <v>717</v>
      </c>
      <c r="E720" s="113">
        <v>161</v>
      </c>
      <c r="F720" s="113">
        <v>153.80000000000001</v>
      </c>
      <c r="G720" s="113">
        <v>142</v>
      </c>
      <c r="H720" s="113">
        <f t="shared" si="82"/>
        <v>39.444444444444443</v>
      </c>
      <c r="I720" s="113">
        <v>17.100000000000001</v>
      </c>
      <c r="J720" s="113">
        <v>38.409999999999997</v>
      </c>
      <c r="K720" s="113">
        <v>40.5</v>
      </c>
      <c r="L720" s="185"/>
      <c r="M720" s="16">
        <v>717</v>
      </c>
      <c r="N720" s="16">
        <f t="shared" si="84"/>
        <v>2.3436335515570728E-2</v>
      </c>
      <c r="O720" s="16">
        <v>3</v>
      </c>
      <c r="P720" s="16">
        <f t="shared" si="80"/>
        <v>10.596205962059623</v>
      </c>
      <c r="Q720" s="16">
        <f t="shared" si="85"/>
        <v>42.668786651207306</v>
      </c>
      <c r="R720" s="113">
        <f t="shared" si="81"/>
        <v>345.36</v>
      </c>
      <c r="S720" s="16">
        <f>IF(S719=15800,15800,ROUND((((Q720*60)/'Gearing Calculator'!$C$14)*'Track Data'!P720),-2))</f>
        <v>13700</v>
      </c>
      <c r="T720" s="16">
        <f t="shared" si="83"/>
        <v>5.0670047493525079</v>
      </c>
      <c r="U720" s="16">
        <f>IF(AC720=100,Braking!$AG$2354,IF(AC720=50,Braking!$AG$1179,IF(AC720=75,Braking!$AG$1767,0)))</f>
        <v>0</v>
      </c>
      <c r="V720" s="16">
        <f>0.5*'Gearing Calculator'!$C$15*'Gearing Calculator'!$C$20*'Gearing Calculator'!$W$20*('Track Data'!Q720^2)</f>
        <v>192.69498749765634</v>
      </c>
      <c r="W720" s="16">
        <f>('Gearing Calculator'!$U$9*'Track Data'!T720)+'Track Data'!V720</f>
        <v>1541.5316517752938</v>
      </c>
      <c r="X720" s="16">
        <f>('Gearing Calculator'!$U$9*9.81)*('Gearing Calculator'!$U$16/'Gearing Calculator'!$C$7)-(('Track Data'!W720)*('Gearing Calculator'!$U$17/'Gearing Calculator'!$C$7))</f>
        <v>560.92227283121269</v>
      </c>
      <c r="Y720" s="16">
        <f>('Gearing Calculator'!$U$9*9.81)*(('Gearing Calculator'!$C$7-'Gearing Calculator'!$U$16)/'Gearing Calculator'!$C$7)+(('Track Data'!W720)*('Gearing Calculator'!$U$17/'Gearing Calculator'!$C$7))</f>
        <v>2050.4997271687871</v>
      </c>
      <c r="Z720" s="16">
        <f>((X720*COS('Gearing Calculator'!$C$21))/'Gearing Calculator'!$C$22)/2</f>
        <v>17.341942629938483</v>
      </c>
      <c r="AA720" s="16">
        <f>Y720/'Gearing Calculator'!$C$24</f>
        <v>28.631853662071258</v>
      </c>
      <c r="AB720" s="16">
        <f t="shared" si="79"/>
        <v>207.89600174571387</v>
      </c>
      <c r="AC720" s="16">
        <v>0</v>
      </c>
      <c r="AD720" s="16">
        <v>0</v>
      </c>
      <c r="AE720" s="16">
        <v>717</v>
      </c>
      <c r="AF720" s="16">
        <f>IF(AC720=0,IF(O720=6,INDEX(Acceleration!$V$4:$V$110,MATCH('Track Data'!S720,Acceleration!$K$4:$K$110,0)),IF('Track Data'!O720=5,INDEX(Acceleration!$U$4:$U$110,MATCH('Track Data'!S720,Acceleration!$K$4:$K$110,0)),1)),U720)</f>
        <v>1</v>
      </c>
      <c r="AG720" s="16">
        <f>IF(AC720=0,IF(O720=4,INDEX(Acceleration!$T$4:$T$110,MATCH('Track Data'!S720,Acceleration!$K$4:$K$110,0)),IF('Track Data'!O720=3,INDEX(Acceleration!$S$4:$S$110,MATCH('Track Data'!S720,Acceleration!$K$4:$K$110,0)),'Track Data'!AF720)),'Track Data'!U720)</f>
        <v>5.0670047493525079</v>
      </c>
      <c r="AH720" s="16">
        <f>IF(AC720=0,IF(O720=2,INDEX(Acceleration!$R$4:$R$110,MATCH('Track Data'!S720,Acceleration!$K$4:$K$110,0)),IF('Track Data'!O720=1,INDEX(Acceleration!$Q$4:$Q$110,MATCH('Track Data'!S720,Acceleration!$K$4:$K$110,0)),'Track Data'!AG720)),'Track Data'!U720)</f>
        <v>5.0670047493525079</v>
      </c>
    </row>
    <row r="721" spans="2:34" x14ac:dyDescent="0.25">
      <c r="B721" s="16">
        <v>217.38300000000001</v>
      </c>
      <c r="C721" s="16">
        <v>7991</v>
      </c>
      <c r="D721" s="16">
        <v>718</v>
      </c>
      <c r="E721" s="113">
        <v>162</v>
      </c>
      <c r="F721" s="113">
        <v>153.80000000000001</v>
      </c>
      <c r="G721" s="113">
        <v>142.30000000000001</v>
      </c>
      <c r="H721" s="113">
        <f t="shared" si="82"/>
        <v>39.527777777777779</v>
      </c>
      <c r="I721" s="113">
        <v>17.899999999999999</v>
      </c>
      <c r="J721" s="113">
        <v>40.630000000000003</v>
      </c>
      <c r="K721" s="113">
        <v>40.5</v>
      </c>
      <c r="L721" s="185"/>
      <c r="M721" s="16">
        <v>718</v>
      </c>
      <c r="N721" s="16">
        <f t="shared" si="84"/>
        <v>2.3371380602594419E-2</v>
      </c>
      <c r="O721" s="16">
        <v>3</v>
      </c>
      <c r="P721" s="16">
        <f t="shared" si="80"/>
        <v>10.596205962059623</v>
      </c>
      <c r="Q721" s="16">
        <f t="shared" si="85"/>
        <v>42.787373882781729</v>
      </c>
      <c r="R721" s="113">
        <f t="shared" si="81"/>
        <v>345.36</v>
      </c>
      <c r="S721" s="16">
        <f>IF(S720=15800,15800,ROUND((((Q721*60)/'Gearing Calculator'!$C$14)*'Track Data'!P721),-2))</f>
        <v>13700</v>
      </c>
      <c r="T721" s="16">
        <f t="shared" si="83"/>
        <v>5.0670047493525079</v>
      </c>
      <c r="U721" s="16">
        <f>IF(AC721=100,Braking!$AG$2354,IF(AC721=50,Braking!$AG$1179,IF(AC721=75,Braking!$AG$1767,0)))</f>
        <v>0</v>
      </c>
      <c r="V721" s="16">
        <f>0.5*'Gearing Calculator'!$C$15*'Gearing Calculator'!$C$20*'Gearing Calculator'!$W$20*('Track Data'!Q721^2)</f>
        <v>193.76757106299931</v>
      </c>
      <c r="W721" s="16">
        <f>('Gearing Calculator'!$U$9*'Track Data'!T721)+'Track Data'!V721</f>
        <v>1542.6042353406369</v>
      </c>
      <c r="X721" s="16">
        <f>('Gearing Calculator'!$U$9*9.81)*('Gearing Calculator'!$U$16/'Gearing Calculator'!$C$7)-(('Track Data'!W721)*('Gearing Calculator'!$U$17/'Gearing Calculator'!$C$7))</f>
        <v>560.3376415373649</v>
      </c>
      <c r="Y721" s="16">
        <f>('Gearing Calculator'!$U$9*9.81)*(('Gearing Calculator'!$C$7-'Gearing Calculator'!$U$16)/'Gearing Calculator'!$C$7)+(('Track Data'!W721)*('Gearing Calculator'!$U$17/'Gearing Calculator'!$C$7))</f>
        <v>2051.084358462635</v>
      </c>
      <c r="Z721" s="16">
        <f>((X721*COS('Gearing Calculator'!$C$21))/'Gearing Calculator'!$C$22)/2</f>
        <v>17.323867679363957</v>
      </c>
      <c r="AA721" s="16">
        <f>Y721/'Gearing Calculator'!$C$24</f>
        <v>28.640017075813738</v>
      </c>
      <c r="AB721" s="16">
        <f t="shared" si="79"/>
        <v>208.96858531105684</v>
      </c>
      <c r="AC721" s="16">
        <v>0</v>
      </c>
      <c r="AD721" s="16">
        <v>0</v>
      </c>
      <c r="AE721" s="16">
        <v>718</v>
      </c>
      <c r="AF721" s="16">
        <f>IF(AC721=0,IF(O721=6,INDEX(Acceleration!$V$4:$V$110,MATCH('Track Data'!S721,Acceleration!$K$4:$K$110,0)),IF('Track Data'!O721=5,INDEX(Acceleration!$U$4:$U$110,MATCH('Track Data'!S721,Acceleration!$K$4:$K$110,0)),1)),U721)</f>
        <v>1</v>
      </c>
      <c r="AG721" s="16">
        <f>IF(AC721=0,IF(O721=4,INDEX(Acceleration!$T$4:$T$110,MATCH('Track Data'!S721,Acceleration!$K$4:$K$110,0)),IF('Track Data'!O721=3,INDEX(Acceleration!$S$4:$S$110,MATCH('Track Data'!S721,Acceleration!$K$4:$K$110,0)),'Track Data'!AF721)),'Track Data'!U721)</f>
        <v>5.0670047493525079</v>
      </c>
      <c r="AH721" s="16">
        <f>IF(AC721=0,IF(O721=2,INDEX(Acceleration!$R$4:$R$110,MATCH('Track Data'!S721,Acceleration!$K$4:$K$110,0)),IF('Track Data'!O721=1,INDEX(Acceleration!$Q$4:$Q$110,MATCH('Track Data'!S721,Acceleration!$K$4:$K$110,0)),'Track Data'!AG721)),'Track Data'!U721)</f>
        <v>5.0670047493525079</v>
      </c>
    </row>
    <row r="722" spans="2:34" x14ac:dyDescent="0.25">
      <c r="B722" s="16">
        <v>217.40700000000001</v>
      </c>
      <c r="C722" s="16">
        <v>7992</v>
      </c>
      <c r="D722" s="16">
        <v>719</v>
      </c>
      <c r="E722" s="113">
        <v>162</v>
      </c>
      <c r="F722" s="113">
        <v>153.80000000000001</v>
      </c>
      <c r="G722" s="113">
        <v>142.6</v>
      </c>
      <c r="H722" s="113">
        <f t="shared" si="82"/>
        <v>39.611111111111107</v>
      </c>
      <c r="I722" s="113">
        <v>18.600000000000001</v>
      </c>
      <c r="J722" s="113">
        <v>39.630000000000003</v>
      </c>
      <c r="K722" s="113">
        <v>40.5</v>
      </c>
      <c r="L722" s="185"/>
      <c r="M722" s="16">
        <v>719</v>
      </c>
      <c r="N722" s="16">
        <f t="shared" si="84"/>
        <v>2.3306962789949634E-2</v>
      </c>
      <c r="O722" s="16">
        <v>3</v>
      </c>
      <c r="P722" s="16">
        <f t="shared" si="80"/>
        <v>10.596205962059623</v>
      </c>
      <c r="Q722" s="16">
        <f t="shared" si="85"/>
        <v>42.905633351387053</v>
      </c>
      <c r="R722" s="113">
        <f t="shared" si="81"/>
        <v>345.36</v>
      </c>
      <c r="S722" s="16">
        <f>IF(S721=15800,15800,ROUND((((Q722*60)/'Gearing Calculator'!$C$14)*'Track Data'!P722),-2))</f>
        <v>13800</v>
      </c>
      <c r="T722" s="16">
        <f t="shared" si="83"/>
        <v>5.0456548592470503</v>
      </c>
      <c r="U722" s="16">
        <f>IF(AC722=100,Braking!$AG$2354,IF(AC722=50,Braking!$AG$1179,IF(AC722=75,Braking!$AG$1767,0)))</f>
        <v>0</v>
      </c>
      <c r="V722" s="16">
        <f>0.5*'Gearing Calculator'!$C$15*'Gearing Calculator'!$C$20*'Gearing Calculator'!$W$20*('Track Data'!Q722^2)</f>
        <v>194.84015462834222</v>
      </c>
      <c r="W722" s="16">
        <f>('Gearing Calculator'!$U$9*'Track Data'!T722)+'Track Data'!V722</f>
        <v>1537.9934781599068</v>
      </c>
      <c r="X722" s="16">
        <f>('Gearing Calculator'!$U$9*9.81)*('Gearing Calculator'!$U$16/'Gearing Calculator'!$C$7)-(('Track Data'!W722)*('Gearing Calculator'!$U$17/'Gearing Calculator'!$C$7))</f>
        <v>562.85081908668326</v>
      </c>
      <c r="Y722" s="16">
        <f>('Gearing Calculator'!$U$9*9.81)*(('Gearing Calculator'!$C$7-'Gearing Calculator'!$U$16)/'Gearing Calculator'!$C$7)+(('Track Data'!W722)*('Gearing Calculator'!$U$17/'Gearing Calculator'!$C$7))</f>
        <v>2048.5711809133168</v>
      </c>
      <c r="Z722" s="16">
        <f>((X722*COS('Gearing Calculator'!$C$21))/'Gearing Calculator'!$C$22)/2</f>
        <v>17.401567180685493</v>
      </c>
      <c r="AA722" s="16">
        <f>Y722/'Gearing Calculator'!$C$24</f>
        <v>28.604924687911673</v>
      </c>
      <c r="AB722" s="16">
        <f t="shared" si="79"/>
        <v>209.97711920608336</v>
      </c>
      <c r="AC722" s="16">
        <v>0</v>
      </c>
      <c r="AD722" s="16">
        <v>0</v>
      </c>
      <c r="AE722" s="16">
        <v>719</v>
      </c>
      <c r="AF722" s="16">
        <f>IF(AC722=0,IF(O722=6,INDEX(Acceleration!$V$4:$V$110,MATCH('Track Data'!S722,Acceleration!$K$4:$K$110,0)),IF('Track Data'!O722=5,INDEX(Acceleration!$U$4:$U$110,MATCH('Track Data'!S722,Acceleration!$K$4:$K$110,0)),1)),U722)</f>
        <v>1</v>
      </c>
      <c r="AG722" s="16">
        <f>IF(AC722=0,IF(O722=4,INDEX(Acceleration!$T$4:$T$110,MATCH('Track Data'!S722,Acceleration!$K$4:$K$110,0)),IF('Track Data'!O722=3,INDEX(Acceleration!$S$4:$S$110,MATCH('Track Data'!S722,Acceleration!$K$4:$K$110,0)),'Track Data'!AF722)),'Track Data'!U722)</f>
        <v>5.0456548592470503</v>
      </c>
      <c r="AH722" s="16">
        <f>IF(AC722=0,IF(O722=2,INDEX(Acceleration!$R$4:$R$110,MATCH('Track Data'!S722,Acceleration!$K$4:$K$110,0)),IF('Track Data'!O722=1,INDEX(Acceleration!$Q$4:$Q$110,MATCH('Track Data'!S722,Acceleration!$K$4:$K$110,0)),'Track Data'!AG722)),'Track Data'!U722)</f>
        <v>5.0456548592470503</v>
      </c>
    </row>
    <row r="723" spans="2:34" x14ac:dyDescent="0.25">
      <c r="B723" s="16">
        <v>217.43</v>
      </c>
      <c r="C723" s="16">
        <v>7993</v>
      </c>
      <c r="D723" s="16">
        <v>720</v>
      </c>
      <c r="E723" s="113">
        <v>162</v>
      </c>
      <c r="F723" s="113">
        <v>153.9</v>
      </c>
      <c r="G723" s="113">
        <v>143.1</v>
      </c>
      <c r="H723" s="113">
        <f t="shared" si="82"/>
        <v>39.75</v>
      </c>
      <c r="I723" s="113">
        <v>19.8</v>
      </c>
      <c r="J723" s="113">
        <v>38.130000000000003</v>
      </c>
      <c r="K723" s="113">
        <v>40.5</v>
      </c>
      <c r="L723" s="185"/>
      <c r="M723" s="16">
        <v>720</v>
      </c>
      <c r="N723" s="16">
        <f t="shared" si="84"/>
        <v>2.3243342808256108E-2</v>
      </c>
      <c r="O723" s="16">
        <v>3</v>
      </c>
      <c r="P723" s="16">
        <f t="shared" si="80"/>
        <v>10.596205962059623</v>
      </c>
      <c r="Q723" s="16">
        <f t="shared" si="85"/>
        <v>43.023071519850269</v>
      </c>
      <c r="R723" s="113">
        <f t="shared" si="81"/>
        <v>345.36</v>
      </c>
      <c r="S723" s="16">
        <f>IF(S722=15800,15800,ROUND((((Q723*60)/'Gearing Calculator'!$C$14)*'Track Data'!P723),-2))</f>
        <v>13800</v>
      </c>
      <c r="T723" s="16">
        <f t="shared" si="83"/>
        <v>5.0456548592470503</v>
      </c>
      <c r="U723" s="16">
        <f>IF(AC723=100,Braking!$AG$2354,IF(AC723=50,Braking!$AG$1179,IF(AC723=75,Braking!$AG$1767,0)))</f>
        <v>0</v>
      </c>
      <c r="V723" s="16">
        <f>0.5*'Gearing Calculator'!$C$15*'Gearing Calculator'!$C$20*'Gearing Calculator'!$W$20*('Track Data'!Q723^2)</f>
        <v>195.90821884894768</v>
      </c>
      <c r="W723" s="16">
        <f>('Gearing Calculator'!$U$9*'Track Data'!T723)+'Track Data'!V723</f>
        <v>1539.0615423805123</v>
      </c>
      <c r="X723" s="16">
        <f>('Gearing Calculator'!$U$9*9.81)*('Gearing Calculator'!$U$16/'Gearing Calculator'!$C$7)-(('Track Data'!W723)*('Gearing Calculator'!$U$17/'Gearing Calculator'!$C$7))</f>
        <v>562.26865114436043</v>
      </c>
      <c r="Y723" s="16">
        <f>('Gearing Calculator'!$U$9*9.81)*(('Gearing Calculator'!$C$7-'Gearing Calculator'!$U$16)/'Gearing Calculator'!$C$7)+(('Track Data'!W723)*('Gearing Calculator'!$U$17/'Gearing Calculator'!$C$7))</f>
        <v>2049.1533488556397</v>
      </c>
      <c r="Z723" s="16">
        <f>((X723*COS('Gearing Calculator'!$C$21))/'Gearing Calculator'!$C$22)/2</f>
        <v>17.3835683891492</v>
      </c>
      <c r="AA723" s="16">
        <f>Y723/'Gearing Calculator'!$C$24</f>
        <v>28.61305370500467</v>
      </c>
      <c r="AB723" s="16">
        <f t="shared" si="79"/>
        <v>211.04518342668882</v>
      </c>
      <c r="AC723" s="16">
        <v>0</v>
      </c>
      <c r="AD723" s="16">
        <v>0</v>
      </c>
      <c r="AE723" s="16">
        <v>720</v>
      </c>
      <c r="AF723" s="16">
        <f>IF(AC723=0,IF(O723=6,INDEX(Acceleration!$V$4:$V$110,MATCH('Track Data'!S723,Acceleration!$K$4:$K$110,0)),IF('Track Data'!O723=5,INDEX(Acceleration!$U$4:$U$110,MATCH('Track Data'!S723,Acceleration!$K$4:$K$110,0)),1)),U723)</f>
        <v>1</v>
      </c>
      <c r="AG723" s="16">
        <f>IF(AC723=0,IF(O723=4,INDEX(Acceleration!$T$4:$T$110,MATCH('Track Data'!S723,Acceleration!$K$4:$K$110,0)),IF('Track Data'!O723=3,INDEX(Acceleration!$S$4:$S$110,MATCH('Track Data'!S723,Acceleration!$K$4:$K$110,0)),'Track Data'!AF723)),'Track Data'!U723)</f>
        <v>5.0456548592470503</v>
      </c>
      <c r="AH723" s="16">
        <f>IF(AC723=0,IF(O723=2,INDEX(Acceleration!$R$4:$R$110,MATCH('Track Data'!S723,Acceleration!$K$4:$K$110,0)),IF('Track Data'!O723=1,INDEX(Acceleration!$Q$4:$Q$110,MATCH('Track Data'!S723,Acceleration!$K$4:$K$110,0)),'Track Data'!AG723)),'Track Data'!U723)</f>
        <v>5.0456548592470503</v>
      </c>
    </row>
    <row r="724" spans="2:34" x14ac:dyDescent="0.25">
      <c r="B724" s="16">
        <v>217.453</v>
      </c>
      <c r="C724" s="16">
        <v>7994</v>
      </c>
      <c r="D724" s="16">
        <v>721</v>
      </c>
      <c r="E724" s="113">
        <v>163</v>
      </c>
      <c r="F724" s="113">
        <v>153.9</v>
      </c>
      <c r="G724" s="113">
        <v>143.5</v>
      </c>
      <c r="H724" s="113">
        <f t="shared" si="82"/>
        <v>39.861111111111107</v>
      </c>
      <c r="I724" s="113">
        <v>20.100000000000001</v>
      </c>
      <c r="J724" s="113">
        <v>36.61</v>
      </c>
      <c r="K724" s="113">
        <v>41.6</v>
      </c>
      <c r="L724" s="185"/>
      <c r="M724" s="16">
        <v>721</v>
      </c>
      <c r="N724" s="16">
        <f t="shared" si="84"/>
        <v>2.3180240980359219E-2</v>
      </c>
      <c r="O724" s="16">
        <v>3</v>
      </c>
      <c r="P724" s="16">
        <f t="shared" si="80"/>
        <v>10.596205962059623</v>
      </c>
      <c r="Q724" s="16">
        <f t="shared" si="85"/>
        <v>43.140189994025818</v>
      </c>
      <c r="R724" s="113">
        <f t="shared" si="81"/>
        <v>345.36</v>
      </c>
      <c r="S724" s="16">
        <f>IF(S723=15800,15800,ROUND((((Q724*60)/'Gearing Calculator'!$C$14)*'Track Data'!P724),-2))</f>
        <v>13900</v>
      </c>
      <c r="T724" s="16">
        <f t="shared" si="83"/>
        <v>5.0244711311777763</v>
      </c>
      <c r="U724" s="16">
        <f>IF(AC724=100,Braking!$AG$2354,IF(AC724=50,Braking!$AG$1179,IF(AC724=75,Braking!$AG$1767,0)))</f>
        <v>0</v>
      </c>
      <c r="V724" s="16">
        <f>0.5*'Gearing Calculator'!$C$15*'Gearing Calculator'!$C$20*'Gearing Calculator'!$W$20*('Track Data'!Q724^2)</f>
        <v>196.97628306955306</v>
      </c>
      <c r="W724" s="16">
        <f>('Gearing Calculator'!$U$9*'Track Data'!T724)+'Track Data'!V724</f>
        <v>1534.490498189077</v>
      </c>
      <c r="X724" s="16">
        <f>('Gearing Calculator'!$U$9*9.81)*('Gearing Calculator'!$U$16/'Gearing Calculator'!$C$7)-(('Track Data'!W724)*('Gearing Calculator'!$U$17/'Gearing Calculator'!$C$7))</f>
        <v>564.76018240236488</v>
      </c>
      <c r="Y724" s="16">
        <f>('Gearing Calculator'!$U$9*9.81)*(('Gearing Calculator'!$C$7-'Gearing Calculator'!$U$16)/'Gearing Calculator'!$C$7)+(('Track Data'!W724)*('Gearing Calculator'!$U$17/'Gearing Calculator'!$C$7))</f>
        <v>2046.661817597635</v>
      </c>
      <c r="Z724" s="16">
        <f>((X724*COS('Gearing Calculator'!$C$21))/'Gearing Calculator'!$C$22)/2</f>
        <v>17.460598655604699</v>
      </c>
      <c r="AA724" s="16">
        <f>Y724/'Gearing Calculator'!$C$24</f>
        <v>28.578263571932006</v>
      </c>
      <c r="AB724" s="16">
        <f t="shared" si="79"/>
        <v>212.04969646308638</v>
      </c>
      <c r="AC724" s="16">
        <v>0</v>
      </c>
      <c r="AD724" s="16">
        <v>0</v>
      </c>
      <c r="AE724" s="16">
        <v>721</v>
      </c>
      <c r="AF724" s="16">
        <f>IF(AC724=0,IF(O724=6,INDEX(Acceleration!$V$4:$V$110,MATCH('Track Data'!S724,Acceleration!$K$4:$K$110,0)),IF('Track Data'!O724=5,INDEX(Acceleration!$U$4:$U$110,MATCH('Track Data'!S724,Acceleration!$K$4:$K$110,0)),1)),U724)</f>
        <v>1</v>
      </c>
      <c r="AG724" s="16">
        <f>IF(AC724=0,IF(O724=4,INDEX(Acceleration!$T$4:$T$110,MATCH('Track Data'!S724,Acceleration!$K$4:$K$110,0)),IF('Track Data'!O724=3,INDEX(Acceleration!$S$4:$S$110,MATCH('Track Data'!S724,Acceleration!$K$4:$K$110,0)),'Track Data'!AF724)),'Track Data'!U724)</f>
        <v>5.0244711311777763</v>
      </c>
      <c r="AH724" s="16">
        <f>IF(AC724=0,IF(O724=2,INDEX(Acceleration!$R$4:$R$110,MATCH('Track Data'!S724,Acceleration!$K$4:$K$110,0)),IF('Track Data'!O724=1,INDEX(Acceleration!$Q$4:$Q$110,MATCH('Track Data'!S724,Acceleration!$K$4:$K$110,0)),'Track Data'!AG724)),'Track Data'!U724)</f>
        <v>5.0244711311777763</v>
      </c>
    </row>
    <row r="725" spans="2:34" x14ac:dyDescent="0.25">
      <c r="B725" s="16">
        <v>217.477</v>
      </c>
      <c r="C725" s="16">
        <v>7995</v>
      </c>
      <c r="D725" s="16">
        <v>722</v>
      </c>
      <c r="E725" s="113">
        <v>164</v>
      </c>
      <c r="F725" s="113">
        <v>154</v>
      </c>
      <c r="G725" s="113">
        <v>143.80000000000001</v>
      </c>
      <c r="H725" s="113">
        <f t="shared" si="82"/>
        <v>39.94444444444445</v>
      </c>
      <c r="I725" s="113">
        <v>19.100000000000001</v>
      </c>
      <c r="J725" s="113">
        <v>36.47</v>
      </c>
      <c r="K725" s="113">
        <v>43.2</v>
      </c>
      <c r="L725" s="185"/>
      <c r="M725" s="16">
        <v>722</v>
      </c>
      <c r="N725" s="16">
        <f t="shared" si="84"/>
        <v>2.3117912033082652E-2</v>
      </c>
      <c r="O725" s="16">
        <v>3</v>
      </c>
      <c r="P725" s="16">
        <f t="shared" si="80"/>
        <v>10.596205962059623</v>
      </c>
      <c r="Q725" s="16">
        <f t="shared" si="85"/>
        <v>43.256501649844509</v>
      </c>
      <c r="R725" s="113">
        <f t="shared" si="81"/>
        <v>345.36</v>
      </c>
      <c r="S725" s="16">
        <f>IF(S724=15800,15800,ROUND((((Q725*60)/'Gearing Calculator'!$C$14)*'Track Data'!P725),-2))</f>
        <v>13900</v>
      </c>
      <c r="T725" s="16">
        <f t="shared" si="83"/>
        <v>5.0244711311777763</v>
      </c>
      <c r="U725" s="16">
        <f>IF(AC725=100,Braking!$AG$2354,IF(AC725=50,Braking!$AG$1179,IF(AC725=75,Braking!$AG$1767,0)))</f>
        <v>0</v>
      </c>
      <c r="V725" s="16">
        <f>0.5*'Gearing Calculator'!$C$15*'Gearing Calculator'!$C$20*'Gearing Calculator'!$W$20*('Track Data'!Q725^2)</f>
        <v>198.03986311860078</v>
      </c>
      <c r="W725" s="16">
        <f>('Gearing Calculator'!$U$9*'Track Data'!T725)+'Track Data'!V725</f>
        <v>1535.5540782381247</v>
      </c>
      <c r="X725" s="16">
        <f>('Gearing Calculator'!$U$9*9.81)*('Gearing Calculator'!$U$16/'Gearing Calculator'!$C$7)-(('Track Data'!W725)*('Gearing Calculator'!$U$17/'Gearing Calculator'!$C$7))</f>
        <v>564.18045863978182</v>
      </c>
      <c r="Y725" s="16">
        <f>('Gearing Calculator'!$U$9*9.81)*(('Gearing Calculator'!$C$7-'Gearing Calculator'!$U$16)/'Gearing Calculator'!$C$7)+(('Track Data'!W725)*('Gearing Calculator'!$U$17/'Gearing Calculator'!$C$7))</f>
        <v>2047.2415413602182</v>
      </c>
      <c r="Z725" s="16">
        <f>((X725*COS('Gearing Calculator'!$C$21))/'Gearing Calculator'!$C$22)/2</f>
        <v>17.442675430375679</v>
      </c>
      <c r="AA725" s="16">
        <f>Y725/'Gearing Calculator'!$C$24</f>
        <v>28.586358460077943</v>
      </c>
      <c r="AB725" s="16">
        <f t="shared" si="79"/>
        <v>213.11327651213412</v>
      </c>
      <c r="AC725" s="16">
        <v>0</v>
      </c>
      <c r="AD725" s="16">
        <v>0</v>
      </c>
      <c r="AE725" s="16">
        <v>722</v>
      </c>
      <c r="AF725" s="16">
        <f>IF(AC725=0,IF(O725=6,INDEX(Acceleration!$V$4:$V$110,MATCH('Track Data'!S725,Acceleration!$K$4:$K$110,0)),IF('Track Data'!O725=5,INDEX(Acceleration!$U$4:$U$110,MATCH('Track Data'!S725,Acceleration!$K$4:$K$110,0)),1)),U725)</f>
        <v>1</v>
      </c>
      <c r="AG725" s="16">
        <f>IF(AC725=0,IF(O725=4,INDEX(Acceleration!$T$4:$T$110,MATCH('Track Data'!S725,Acceleration!$K$4:$K$110,0)),IF('Track Data'!O725=3,INDEX(Acceleration!$S$4:$S$110,MATCH('Track Data'!S725,Acceleration!$K$4:$K$110,0)),'Track Data'!AF725)),'Track Data'!U725)</f>
        <v>5.0244711311777763</v>
      </c>
      <c r="AH725" s="16">
        <f>IF(AC725=0,IF(O725=2,INDEX(Acceleration!$R$4:$R$110,MATCH('Track Data'!S725,Acceleration!$K$4:$K$110,0)),IF('Track Data'!O725=1,INDEX(Acceleration!$Q$4:$Q$110,MATCH('Track Data'!S725,Acceleration!$K$4:$K$110,0)),'Track Data'!AG725)),'Track Data'!U725)</f>
        <v>5.0244711311777763</v>
      </c>
    </row>
    <row r="726" spans="2:34" x14ac:dyDescent="0.25">
      <c r="B726" s="16">
        <v>217.5</v>
      </c>
      <c r="C726" s="16">
        <v>7996</v>
      </c>
      <c r="D726" s="16">
        <v>723</v>
      </c>
      <c r="E726" s="113">
        <v>165</v>
      </c>
      <c r="F726" s="113">
        <v>154.6</v>
      </c>
      <c r="G726" s="113">
        <v>144.30000000000001</v>
      </c>
      <c r="H726" s="113">
        <f t="shared" si="82"/>
        <v>40.083333333333336</v>
      </c>
      <c r="I726" s="113">
        <v>17</v>
      </c>
      <c r="J726" s="113">
        <v>34.96</v>
      </c>
      <c r="K726" s="113">
        <v>45.5</v>
      </c>
      <c r="L726" s="185"/>
      <c r="M726" s="16">
        <v>723</v>
      </c>
      <c r="N726" s="16">
        <f t="shared" si="84"/>
        <v>2.3056083182672524E-2</v>
      </c>
      <c r="O726" s="16">
        <v>3</v>
      </c>
      <c r="P726" s="16">
        <f t="shared" si="80"/>
        <v>10.596205962059623</v>
      </c>
      <c r="Q726" s="16">
        <f t="shared" si="85"/>
        <v>43.372501394839517</v>
      </c>
      <c r="R726" s="113">
        <f t="shared" si="81"/>
        <v>345.36</v>
      </c>
      <c r="S726" s="16">
        <f>IF(S725=15800,15800,ROUND((((Q726*60)/'Gearing Calculator'!$C$14)*'Track Data'!P726),-2))</f>
        <v>13900</v>
      </c>
      <c r="T726" s="16">
        <f t="shared" si="83"/>
        <v>5.0244711311777763</v>
      </c>
      <c r="U726" s="16">
        <f>IF(AC726=100,Braking!$AG$2354,IF(AC726=50,Braking!$AG$1179,IF(AC726=75,Braking!$AG$1767,0)))</f>
        <v>0</v>
      </c>
      <c r="V726" s="16">
        <f>0.5*'Gearing Calculator'!$C$15*'Gearing Calculator'!$C$20*'Gearing Calculator'!$W$20*('Track Data'!Q726^2)</f>
        <v>199.10344316764846</v>
      </c>
      <c r="W726" s="16">
        <f>('Gearing Calculator'!$U$9*'Track Data'!T726)+'Track Data'!V726</f>
        <v>1536.6176582871724</v>
      </c>
      <c r="X726" s="16">
        <f>('Gearing Calculator'!$U$9*9.81)*('Gearing Calculator'!$U$16/'Gearing Calculator'!$C$7)-(('Track Data'!W726)*('Gearing Calculator'!$U$17/'Gearing Calculator'!$C$7))</f>
        <v>563.60073487719876</v>
      </c>
      <c r="Y726" s="16">
        <f>('Gearing Calculator'!$U$9*9.81)*(('Gearing Calculator'!$C$7-'Gearing Calculator'!$U$16)/'Gearing Calculator'!$C$7)+(('Track Data'!W726)*('Gearing Calculator'!$U$17/'Gearing Calculator'!$C$7))</f>
        <v>2047.8212651228014</v>
      </c>
      <c r="Z726" s="16">
        <f>((X726*COS('Gearing Calculator'!$C$21))/'Gearing Calculator'!$C$22)/2</f>
        <v>17.42475220514666</v>
      </c>
      <c r="AA726" s="16">
        <f>Y726/'Gearing Calculator'!$C$24</f>
        <v>28.59445334822388</v>
      </c>
      <c r="AB726" s="16">
        <f t="shared" si="79"/>
        <v>214.17685656118181</v>
      </c>
      <c r="AC726" s="16">
        <v>0</v>
      </c>
      <c r="AD726" s="16">
        <v>0</v>
      </c>
      <c r="AE726" s="16">
        <v>723</v>
      </c>
      <c r="AF726" s="16">
        <f>IF(AC726=0,IF(O726=6,INDEX(Acceleration!$V$4:$V$110,MATCH('Track Data'!S726,Acceleration!$K$4:$K$110,0)),IF('Track Data'!O726=5,INDEX(Acceleration!$U$4:$U$110,MATCH('Track Data'!S726,Acceleration!$K$4:$K$110,0)),1)),U726)</f>
        <v>1</v>
      </c>
      <c r="AG726" s="16">
        <f>IF(AC726=0,IF(O726=4,INDEX(Acceleration!$T$4:$T$110,MATCH('Track Data'!S726,Acceleration!$K$4:$K$110,0)),IF('Track Data'!O726=3,INDEX(Acceleration!$S$4:$S$110,MATCH('Track Data'!S726,Acceleration!$K$4:$K$110,0)),'Track Data'!AF726)),'Track Data'!U726)</f>
        <v>5.0244711311777763</v>
      </c>
      <c r="AH726" s="16">
        <f>IF(AC726=0,IF(O726=2,INDEX(Acceleration!$R$4:$R$110,MATCH('Track Data'!S726,Acceleration!$K$4:$K$110,0)),IF('Track Data'!O726=1,INDEX(Acceleration!$Q$4:$Q$110,MATCH('Track Data'!S726,Acceleration!$K$4:$K$110,0)),'Track Data'!AG726)),'Track Data'!U726)</f>
        <v>5.0244711311777763</v>
      </c>
    </row>
    <row r="727" spans="2:34" x14ac:dyDescent="0.25">
      <c r="B727" s="16">
        <v>217.523</v>
      </c>
      <c r="C727" s="16">
        <v>7997</v>
      </c>
      <c r="D727" s="16">
        <v>724</v>
      </c>
      <c r="E727" s="113">
        <v>165</v>
      </c>
      <c r="F727" s="113">
        <v>155</v>
      </c>
      <c r="G727" s="113">
        <v>144.6</v>
      </c>
      <c r="H727" s="113">
        <f t="shared" si="82"/>
        <v>40.166666666666664</v>
      </c>
      <c r="I727" s="113">
        <v>15.3</v>
      </c>
      <c r="J727" s="113">
        <v>32.75</v>
      </c>
      <c r="K727" s="113">
        <v>47</v>
      </c>
      <c r="L727" s="185"/>
      <c r="M727" s="16">
        <v>724</v>
      </c>
      <c r="N727" s="16">
        <f t="shared" si="84"/>
        <v>2.2994747777149608E-2</v>
      </c>
      <c r="O727" s="16">
        <v>3</v>
      </c>
      <c r="P727" s="16">
        <f t="shared" si="80"/>
        <v>10.596205962059623</v>
      </c>
      <c r="Q727" s="16">
        <f t="shared" si="85"/>
        <v>43.488191724969568</v>
      </c>
      <c r="R727" s="113">
        <f t="shared" si="81"/>
        <v>345.36</v>
      </c>
      <c r="S727" s="16">
        <f>IF(S726=15800,15800,ROUND((((Q727*60)/'Gearing Calculator'!$C$14)*'Track Data'!P727),-2))</f>
        <v>14000</v>
      </c>
      <c r="T727" s="16">
        <f t="shared" si="83"/>
        <v>5.02818875206236</v>
      </c>
      <c r="U727" s="16">
        <f>IF(AC727=100,Braking!$AG$2354,IF(AC727=50,Braking!$AG$1179,IF(AC727=75,Braking!$AG$1767,0)))</f>
        <v>0</v>
      </c>
      <c r="V727" s="16">
        <f>0.5*'Gearing Calculator'!$C$15*'Gearing Calculator'!$C$20*'Gearing Calculator'!$W$20*('Track Data'!Q727^2)</f>
        <v>200.16702321669618</v>
      </c>
      <c r="W727" s="16">
        <f>('Gearing Calculator'!$U$9*'Track Data'!T727)+'Track Data'!V727</f>
        <v>1538.6708690156963</v>
      </c>
      <c r="X727" s="16">
        <f>('Gearing Calculator'!$U$9*9.81)*('Gearing Calculator'!$U$16/'Gearing Calculator'!$C$7)-(('Track Data'!W727)*('Gearing Calculator'!$U$17/'Gearing Calculator'!$C$7))</f>
        <v>562.48159480872766</v>
      </c>
      <c r="Y727" s="16">
        <f>('Gearing Calculator'!$U$9*9.81)*(('Gearing Calculator'!$C$7-'Gearing Calculator'!$U$16)/'Gearing Calculator'!$C$7)+(('Track Data'!W727)*('Gearing Calculator'!$U$17/'Gearing Calculator'!$C$7))</f>
        <v>2048.9404051912725</v>
      </c>
      <c r="Z727" s="16">
        <f>((X727*COS('Gearing Calculator'!$C$21))/'Gearing Calculator'!$C$22)/2</f>
        <v>17.390151933768006</v>
      </c>
      <c r="AA727" s="16">
        <f>Y727/'Gearing Calculator'!$C$24</f>
        <v>28.610080297227217</v>
      </c>
      <c r="AB727" s="16">
        <f t="shared" si="79"/>
        <v>215.25158947288327</v>
      </c>
      <c r="AC727" s="16">
        <v>0</v>
      </c>
      <c r="AD727" s="16">
        <v>0</v>
      </c>
      <c r="AE727" s="16">
        <v>724</v>
      </c>
      <c r="AF727" s="16">
        <f>IF(AC727=0,IF(O727=6,INDEX(Acceleration!$V$4:$V$110,MATCH('Track Data'!S727,Acceleration!$K$4:$K$110,0)),IF('Track Data'!O727=5,INDEX(Acceleration!$U$4:$U$110,MATCH('Track Data'!S727,Acceleration!$K$4:$K$110,0)),1)),U727)</f>
        <v>1</v>
      </c>
      <c r="AG727" s="16">
        <f>IF(AC727=0,IF(O727=4,INDEX(Acceleration!$T$4:$T$110,MATCH('Track Data'!S727,Acceleration!$K$4:$K$110,0)),IF('Track Data'!O727=3,INDEX(Acceleration!$S$4:$S$110,MATCH('Track Data'!S727,Acceleration!$K$4:$K$110,0)),'Track Data'!AF727)),'Track Data'!U727)</f>
        <v>5.02818875206236</v>
      </c>
      <c r="AH727" s="16">
        <f>IF(AC727=0,IF(O727=2,INDEX(Acceleration!$R$4:$R$110,MATCH('Track Data'!S727,Acceleration!$K$4:$K$110,0)),IF('Track Data'!O727=1,INDEX(Acceleration!$Q$4:$Q$110,MATCH('Track Data'!S727,Acceleration!$K$4:$K$110,0)),'Track Data'!AG727)),'Track Data'!U727)</f>
        <v>5.02818875206236</v>
      </c>
    </row>
    <row r="728" spans="2:34" x14ac:dyDescent="0.25">
      <c r="B728" s="16">
        <v>217.54599999999999</v>
      </c>
      <c r="C728" s="16">
        <v>7998</v>
      </c>
      <c r="D728" s="16">
        <v>725</v>
      </c>
      <c r="E728" s="113">
        <v>166</v>
      </c>
      <c r="F728" s="113">
        <v>155.19999999999999</v>
      </c>
      <c r="G728" s="113">
        <v>145</v>
      </c>
      <c r="H728" s="113">
        <f t="shared" si="82"/>
        <v>40.277777777777779</v>
      </c>
      <c r="I728" s="113">
        <v>13.8</v>
      </c>
      <c r="J728" s="113">
        <v>32.61</v>
      </c>
      <c r="K728" s="113">
        <v>48.1</v>
      </c>
      <c r="L728" s="185"/>
      <c r="M728" s="16">
        <v>725</v>
      </c>
      <c r="N728" s="16">
        <f t="shared" si="84"/>
        <v>2.2933854444455708E-2</v>
      </c>
      <c r="O728" s="16">
        <v>3</v>
      </c>
      <c r="P728" s="16">
        <f t="shared" si="80"/>
        <v>10.596205962059623</v>
      </c>
      <c r="Q728" s="16">
        <f t="shared" si="85"/>
        <v>43.603660362541085</v>
      </c>
      <c r="R728" s="113">
        <f t="shared" si="81"/>
        <v>345.36</v>
      </c>
      <c r="S728" s="16">
        <f>IF(S727=15800,15800,ROUND((((Q728*60)/'Gearing Calculator'!$C$14)*'Track Data'!P728),-2))</f>
        <v>14000</v>
      </c>
      <c r="T728" s="16">
        <f t="shared" si="83"/>
        <v>5.02818875206236</v>
      </c>
      <c r="U728" s="16">
        <f>IF(AC728=100,Braking!$AG$2354,IF(AC728=50,Braking!$AG$1179,IF(AC728=75,Braking!$AG$1767,0)))</f>
        <v>0</v>
      </c>
      <c r="V728" s="16">
        <f>0.5*'Gearing Calculator'!$C$15*'Gearing Calculator'!$C$20*'Gearing Calculator'!$W$20*('Track Data'!Q728^2)</f>
        <v>201.23139021173276</v>
      </c>
      <c r="W728" s="16">
        <f>('Gearing Calculator'!$U$9*'Track Data'!T728)+'Track Data'!V728</f>
        <v>1539.7352360107329</v>
      </c>
      <c r="X728" s="16">
        <f>('Gearing Calculator'!$U$9*9.81)*('Gearing Calculator'!$U$16/'Gearing Calculator'!$C$7)-(('Track Data'!W728)*('Gearing Calculator'!$U$17/'Gearing Calculator'!$C$7))</f>
        <v>561.90144210683718</v>
      </c>
      <c r="Y728" s="16">
        <f>('Gearing Calculator'!$U$9*9.81)*(('Gearing Calculator'!$C$7-'Gearing Calculator'!$U$16)/'Gearing Calculator'!$C$7)+(('Track Data'!W728)*('Gearing Calculator'!$U$17/'Gearing Calculator'!$C$7))</f>
        <v>2049.5205578931627</v>
      </c>
      <c r="Z728" s="16">
        <f>((X728*COS('Gearing Calculator'!$C$21))/'Gearing Calculator'!$C$22)/2</f>
        <v>17.37221544709222</v>
      </c>
      <c r="AA728" s="16">
        <f>Y728/'Gearing Calculator'!$C$24</f>
        <v>28.618181174804565</v>
      </c>
      <c r="AB728" s="16">
        <f t="shared" si="79"/>
        <v>216.31595646791985</v>
      </c>
      <c r="AC728" s="16">
        <v>0</v>
      </c>
      <c r="AD728" s="16">
        <v>0</v>
      </c>
      <c r="AE728" s="16">
        <v>725</v>
      </c>
      <c r="AF728" s="16">
        <f>IF(AC728=0,IF(O728=6,INDEX(Acceleration!$V$4:$V$110,MATCH('Track Data'!S728,Acceleration!$K$4:$K$110,0)),IF('Track Data'!O728=5,INDEX(Acceleration!$U$4:$U$110,MATCH('Track Data'!S728,Acceleration!$K$4:$K$110,0)),1)),U728)</f>
        <v>1</v>
      </c>
      <c r="AG728" s="16">
        <f>IF(AC728=0,IF(O728=4,INDEX(Acceleration!$T$4:$T$110,MATCH('Track Data'!S728,Acceleration!$K$4:$K$110,0)),IF('Track Data'!O728=3,INDEX(Acceleration!$S$4:$S$110,MATCH('Track Data'!S728,Acceleration!$K$4:$K$110,0)),'Track Data'!AF728)),'Track Data'!U728)</f>
        <v>5.02818875206236</v>
      </c>
      <c r="AH728" s="16">
        <f>IF(AC728=0,IF(O728=2,INDEX(Acceleration!$R$4:$R$110,MATCH('Track Data'!S728,Acceleration!$K$4:$K$110,0)),IF('Track Data'!O728=1,INDEX(Acceleration!$Q$4:$Q$110,MATCH('Track Data'!S728,Acceleration!$K$4:$K$110,0)),'Track Data'!AG728)),'Track Data'!U728)</f>
        <v>5.02818875206236</v>
      </c>
    </row>
    <row r="729" spans="2:34" x14ac:dyDescent="0.25">
      <c r="B729" s="16">
        <v>217.56899999999999</v>
      </c>
      <c r="C729" s="16">
        <v>7999</v>
      </c>
      <c r="D729" s="16">
        <v>726</v>
      </c>
      <c r="E729" s="113">
        <v>166</v>
      </c>
      <c r="F729" s="113">
        <v>155.4</v>
      </c>
      <c r="G729" s="113">
        <v>145.30000000000001</v>
      </c>
      <c r="H729" s="113">
        <f t="shared" si="82"/>
        <v>40.361111111111114</v>
      </c>
      <c r="I729" s="113">
        <v>12.2</v>
      </c>
      <c r="J729" s="113">
        <v>34.65</v>
      </c>
      <c r="K729" s="113">
        <v>49.1</v>
      </c>
      <c r="L729" s="185"/>
      <c r="M729" s="16">
        <v>726</v>
      </c>
      <c r="N729" s="16">
        <f t="shared" si="84"/>
        <v>2.2873442326054202E-2</v>
      </c>
      <c r="O729" s="16">
        <v>3</v>
      </c>
      <c r="P729" s="16">
        <f t="shared" si="80"/>
        <v>10.596205962059623</v>
      </c>
      <c r="Q729" s="16">
        <f t="shared" si="85"/>
        <v>43.718824029426514</v>
      </c>
      <c r="R729" s="113">
        <f t="shared" si="81"/>
        <v>345.36</v>
      </c>
      <c r="S729" s="16">
        <f>IF(S728=15800,15800,ROUND((((Q729*60)/'Gearing Calculator'!$C$14)*'Track Data'!P729),-2))</f>
        <v>14000</v>
      </c>
      <c r="T729" s="16">
        <f t="shared" si="83"/>
        <v>5.02818875206236</v>
      </c>
      <c r="U729" s="16">
        <f>IF(AC729=100,Braking!$AG$2354,IF(AC729=50,Braking!$AG$1179,IF(AC729=75,Braking!$AG$1767,0)))</f>
        <v>0</v>
      </c>
      <c r="V729" s="16">
        <f>0.5*'Gearing Calculator'!$C$15*'Gearing Calculator'!$C$20*'Gearing Calculator'!$W$20*('Track Data'!Q729^2)</f>
        <v>202.29575720676934</v>
      </c>
      <c r="W729" s="16">
        <f>('Gearing Calculator'!$U$9*'Track Data'!T729)+'Track Data'!V729</f>
        <v>1540.7996030057695</v>
      </c>
      <c r="X729" s="16">
        <f>('Gearing Calculator'!$U$9*9.81)*('Gearing Calculator'!$U$16/'Gearing Calculator'!$C$7)-(('Track Data'!W729)*('Gearing Calculator'!$U$17/'Gearing Calculator'!$C$7))</f>
        <v>561.3212894049467</v>
      </c>
      <c r="Y729" s="16">
        <f>('Gearing Calculator'!$U$9*9.81)*(('Gearing Calculator'!$C$7-'Gearing Calculator'!$U$16)/'Gearing Calculator'!$C$7)+(('Track Data'!W729)*('Gearing Calculator'!$U$17/'Gearing Calculator'!$C$7))</f>
        <v>2050.1007105950534</v>
      </c>
      <c r="Z729" s="16">
        <f>((X729*COS('Gearing Calculator'!$C$21))/'Gearing Calculator'!$C$22)/2</f>
        <v>17.354278960416437</v>
      </c>
      <c r="AA729" s="16">
        <f>Y729/'Gearing Calculator'!$C$24</f>
        <v>28.626282052381917</v>
      </c>
      <c r="AB729" s="16">
        <f t="shared" si="79"/>
        <v>217.38032346295643</v>
      </c>
      <c r="AC729" s="16">
        <v>0</v>
      </c>
      <c r="AD729" s="16">
        <v>0</v>
      </c>
      <c r="AE729" s="16">
        <v>726</v>
      </c>
      <c r="AF729" s="16">
        <f>IF(AC729=0,IF(O729=6,INDEX(Acceleration!$V$4:$V$110,MATCH('Track Data'!S729,Acceleration!$K$4:$K$110,0)),IF('Track Data'!O729=5,INDEX(Acceleration!$U$4:$U$110,MATCH('Track Data'!S729,Acceleration!$K$4:$K$110,0)),1)),U729)</f>
        <v>1</v>
      </c>
      <c r="AG729" s="16">
        <f>IF(AC729=0,IF(O729=4,INDEX(Acceleration!$T$4:$T$110,MATCH('Track Data'!S729,Acceleration!$K$4:$K$110,0)),IF('Track Data'!O729=3,INDEX(Acceleration!$S$4:$S$110,MATCH('Track Data'!S729,Acceleration!$K$4:$K$110,0)),'Track Data'!AF729)),'Track Data'!U729)</f>
        <v>5.02818875206236</v>
      </c>
      <c r="AH729" s="16">
        <f>IF(AC729=0,IF(O729=2,INDEX(Acceleration!$R$4:$R$110,MATCH('Track Data'!S729,Acceleration!$K$4:$K$110,0)),IF('Track Data'!O729=1,INDEX(Acceleration!$Q$4:$Q$110,MATCH('Track Data'!S729,Acceleration!$K$4:$K$110,0)),'Track Data'!AG729)),'Track Data'!U729)</f>
        <v>5.02818875206236</v>
      </c>
    </row>
    <row r="730" spans="2:34" x14ac:dyDescent="0.25">
      <c r="B730" s="16">
        <v>217.59299999999999</v>
      </c>
      <c r="C730" s="16">
        <v>8000</v>
      </c>
      <c r="D730" s="16">
        <v>727</v>
      </c>
      <c r="E730" s="113">
        <v>167</v>
      </c>
      <c r="F730" s="113">
        <v>155.6</v>
      </c>
      <c r="G730" s="113">
        <v>145.80000000000001</v>
      </c>
      <c r="H730" s="113">
        <f t="shared" si="82"/>
        <v>40.5</v>
      </c>
      <c r="I730" s="113">
        <v>11.8</v>
      </c>
      <c r="J730" s="113">
        <v>31.25</v>
      </c>
      <c r="K730" s="113">
        <v>50.7</v>
      </c>
      <c r="L730" s="185"/>
      <c r="M730" s="16">
        <v>727</v>
      </c>
      <c r="N730" s="16">
        <f t="shared" si="84"/>
        <v>2.2813505117098652E-2</v>
      </c>
      <c r="O730" s="16">
        <v>3</v>
      </c>
      <c r="P730" s="16">
        <f t="shared" si="80"/>
        <v>10.596205962059623</v>
      </c>
      <c r="Q730" s="16">
        <f t="shared" si="85"/>
        <v>43.833685129362394</v>
      </c>
      <c r="R730" s="113">
        <f t="shared" si="81"/>
        <v>345.36</v>
      </c>
      <c r="S730" s="16">
        <f>IF(S729=15800,15800,ROUND((((Q730*60)/'Gearing Calculator'!$C$14)*'Track Data'!P730),-2))</f>
        <v>14100</v>
      </c>
      <c r="T730" s="16">
        <f t="shared" si="83"/>
        <v>5.0071482927249686</v>
      </c>
      <c r="U730" s="16">
        <f>IF(AC730=100,Braking!$AG$2354,IF(AC730=50,Braking!$AG$1179,IF(AC730=75,Braking!$AG$1767,0)))</f>
        <v>0</v>
      </c>
      <c r="V730" s="16">
        <f>0.5*'Gearing Calculator'!$C$15*'Gearing Calculator'!$C$20*'Gearing Calculator'!$W$20*('Track Data'!Q730^2)</f>
        <v>203.36012420180586</v>
      </c>
      <c r="W730" s="16">
        <f>('Gearing Calculator'!$U$9*'Track Data'!T730)+'Track Data'!V730</f>
        <v>1536.2629997251925</v>
      </c>
      <c r="X730" s="16">
        <f>('Gearing Calculator'!$U$9*9.81)*('Gearing Calculator'!$U$16/'Gearing Calculator'!$C$7)-(('Track Data'!W730)*('Gearing Calculator'!$U$17/'Gearing Calculator'!$C$7))</f>
        <v>563.79404801443502</v>
      </c>
      <c r="Y730" s="16">
        <f>('Gearing Calculator'!$U$9*9.81)*(('Gearing Calculator'!$C$7-'Gearing Calculator'!$U$16)/'Gearing Calculator'!$C$7)+(('Track Data'!W730)*('Gearing Calculator'!$U$17/'Gearing Calculator'!$C$7))</f>
        <v>2047.627951985565</v>
      </c>
      <c r="Z730" s="16">
        <f>((X730*COS('Gearing Calculator'!$C$21))/'Gearing Calculator'!$C$22)/2</f>
        <v>17.430728835952642</v>
      </c>
      <c r="AA730" s="16">
        <f>Y730/'Gearing Calculator'!$C$24</f>
        <v>28.59175404844687</v>
      </c>
      <c r="AB730" s="16">
        <f t="shared" si="79"/>
        <v>218.38156907998078</v>
      </c>
      <c r="AC730" s="16">
        <v>0</v>
      </c>
      <c r="AD730" s="16">
        <v>0</v>
      </c>
      <c r="AE730" s="16">
        <v>727</v>
      </c>
      <c r="AF730" s="16">
        <f>IF(AC730=0,IF(O730=6,INDEX(Acceleration!$V$4:$V$110,MATCH('Track Data'!S730,Acceleration!$K$4:$K$110,0)),IF('Track Data'!O730=5,INDEX(Acceleration!$U$4:$U$110,MATCH('Track Data'!S730,Acceleration!$K$4:$K$110,0)),1)),U730)</f>
        <v>1</v>
      </c>
      <c r="AG730" s="16">
        <f>IF(AC730=0,IF(O730=4,INDEX(Acceleration!$T$4:$T$110,MATCH('Track Data'!S730,Acceleration!$K$4:$K$110,0)),IF('Track Data'!O730=3,INDEX(Acceleration!$S$4:$S$110,MATCH('Track Data'!S730,Acceleration!$K$4:$K$110,0)),'Track Data'!AF730)),'Track Data'!U730)</f>
        <v>5.0071482927249686</v>
      </c>
      <c r="AH730" s="16">
        <f>IF(AC730=0,IF(O730=2,INDEX(Acceleration!$R$4:$R$110,MATCH('Track Data'!S730,Acceleration!$K$4:$K$110,0)),IF('Track Data'!O730=1,INDEX(Acceleration!$Q$4:$Q$110,MATCH('Track Data'!S730,Acceleration!$K$4:$K$110,0)),'Track Data'!AG730)),'Track Data'!U730)</f>
        <v>5.0071482927249686</v>
      </c>
    </row>
    <row r="731" spans="2:34" x14ac:dyDescent="0.25">
      <c r="B731" s="16">
        <v>217.61600000000001</v>
      </c>
      <c r="C731" s="16">
        <v>8001</v>
      </c>
      <c r="D731" s="16">
        <v>728</v>
      </c>
      <c r="E731" s="113">
        <v>167</v>
      </c>
      <c r="F731" s="113">
        <v>156</v>
      </c>
      <c r="G731" s="113">
        <v>146.19999999999999</v>
      </c>
      <c r="H731" s="113">
        <f t="shared" si="82"/>
        <v>40.611111111111107</v>
      </c>
      <c r="I731" s="113">
        <v>11.6</v>
      </c>
      <c r="J731" s="113">
        <v>27.63</v>
      </c>
      <c r="K731" s="113">
        <v>50.6</v>
      </c>
      <c r="L731" s="185"/>
      <c r="M731" s="16">
        <v>728</v>
      </c>
      <c r="N731" s="16">
        <f t="shared" si="84"/>
        <v>2.275428450561013E-2</v>
      </c>
      <c r="O731" s="16">
        <v>3</v>
      </c>
      <c r="P731" s="16">
        <f t="shared" si="80"/>
        <v>10.596205962059623</v>
      </c>
      <c r="Q731" s="16">
        <f t="shared" si="85"/>
        <v>43.947767276683535</v>
      </c>
      <c r="R731" s="113">
        <f t="shared" si="81"/>
        <v>345.36</v>
      </c>
      <c r="S731" s="16">
        <f>IF(S730=15800,15800,ROUND((((Q731*60)/'Gearing Calculator'!$C$14)*'Track Data'!P731),-2))</f>
        <v>14100</v>
      </c>
      <c r="T731" s="16">
        <f t="shared" si="83"/>
        <v>5.0071482927249686</v>
      </c>
      <c r="U731" s="16">
        <f>IF(AC731=100,Braking!$AG$2354,IF(AC731=50,Braking!$AG$1179,IF(AC731=75,Braking!$AG$1767,0)))</f>
        <v>0</v>
      </c>
      <c r="V731" s="16">
        <f>0.5*'Gearing Calculator'!$C$15*'Gearing Calculator'!$C$20*'Gearing Calculator'!$W$20*('Track Data'!Q731^2)</f>
        <v>204.42003735240993</v>
      </c>
      <c r="W731" s="16">
        <f>('Gearing Calculator'!$U$9*'Track Data'!T731)+'Track Data'!V731</f>
        <v>1537.3229128757966</v>
      </c>
      <c r="X731" s="16">
        <f>('Gearing Calculator'!$U$9*9.81)*('Gearing Calculator'!$U$16/'Gearing Calculator'!$C$7)-(('Track Data'!W731)*('Gearing Calculator'!$U$17/'Gearing Calculator'!$C$7))</f>
        <v>563.2163229619299</v>
      </c>
      <c r="Y731" s="16">
        <f>('Gearing Calculator'!$U$9*9.81)*(('Gearing Calculator'!$C$7-'Gearing Calculator'!$U$16)/'Gearing Calculator'!$C$7)+(('Track Data'!W731)*('Gearing Calculator'!$U$17/'Gearing Calculator'!$C$7))</f>
        <v>2048.20567703807</v>
      </c>
      <c r="Z731" s="16">
        <f>((X731*COS('Gearing Calculator'!$C$21))/'Gearing Calculator'!$C$22)/2</f>
        <v>17.412867404517851</v>
      </c>
      <c r="AA731" s="16">
        <f>Y731/'Gearing Calculator'!$C$24</f>
        <v>28.599821027896351</v>
      </c>
      <c r="AB731" s="16">
        <f t="shared" si="79"/>
        <v>219.44148223058485</v>
      </c>
      <c r="AC731" s="16">
        <v>0</v>
      </c>
      <c r="AD731" s="16">
        <v>0</v>
      </c>
      <c r="AE731" s="16">
        <v>728</v>
      </c>
      <c r="AF731" s="16">
        <f>IF(AC731=0,IF(O731=6,INDEX(Acceleration!$V$4:$V$110,MATCH('Track Data'!S731,Acceleration!$K$4:$K$110,0)),IF('Track Data'!O731=5,INDEX(Acceleration!$U$4:$U$110,MATCH('Track Data'!S731,Acceleration!$K$4:$K$110,0)),1)),U731)</f>
        <v>1</v>
      </c>
      <c r="AG731" s="16">
        <f>IF(AC731=0,IF(O731=4,INDEX(Acceleration!$T$4:$T$110,MATCH('Track Data'!S731,Acceleration!$K$4:$K$110,0)),IF('Track Data'!O731=3,INDEX(Acceleration!$S$4:$S$110,MATCH('Track Data'!S731,Acceleration!$K$4:$K$110,0)),'Track Data'!AF731)),'Track Data'!U731)</f>
        <v>5.0071482927249686</v>
      </c>
      <c r="AH731" s="16">
        <f>IF(AC731=0,IF(O731=2,INDEX(Acceleration!$R$4:$R$110,MATCH('Track Data'!S731,Acceleration!$K$4:$K$110,0)),IF('Track Data'!O731=1,INDEX(Acceleration!$Q$4:$Q$110,MATCH('Track Data'!S731,Acceleration!$K$4:$K$110,0)),'Track Data'!AG731)),'Track Data'!U731)</f>
        <v>5.0071482927249686</v>
      </c>
    </row>
    <row r="732" spans="2:34" x14ac:dyDescent="0.25">
      <c r="B732" s="16">
        <v>217.63900000000001</v>
      </c>
      <c r="C732" s="16">
        <v>8002</v>
      </c>
      <c r="D732" s="16">
        <v>729</v>
      </c>
      <c r="E732" s="113">
        <v>168</v>
      </c>
      <c r="F732" s="113">
        <v>156.30000000000001</v>
      </c>
      <c r="G732" s="113">
        <v>146.5</v>
      </c>
      <c r="H732" s="113">
        <f t="shared" si="82"/>
        <v>40.694444444444443</v>
      </c>
      <c r="I732" s="113">
        <v>10.3</v>
      </c>
      <c r="J732" s="113">
        <v>25.43</v>
      </c>
      <c r="K732" s="113">
        <v>50.1</v>
      </c>
      <c r="L732" s="185"/>
      <c r="M732" s="16">
        <v>729</v>
      </c>
      <c r="N732" s="16">
        <f t="shared" si="84"/>
        <v>2.2695522697487602E-2</v>
      </c>
      <c r="O732" s="16">
        <v>3</v>
      </c>
      <c r="P732" s="16">
        <f t="shared" si="80"/>
        <v>10.596205962059623</v>
      </c>
      <c r="Q732" s="16">
        <f t="shared" si="85"/>
        <v>44.061554048750779</v>
      </c>
      <c r="R732" s="113">
        <f t="shared" si="81"/>
        <v>345.36</v>
      </c>
      <c r="S732" s="16">
        <f>IF(S731=15800,15800,ROUND((((Q732*60)/'Gearing Calculator'!$C$14)*'Track Data'!P732),-2))</f>
        <v>14200</v>
      </c>
      <c r="T732" s="16">
        <f t="shared" si="83"/>
        <v>4.9862631256673522</v>
      </c>
      <c r="U732" s="16">
        <f>IF(AC732=100,Braking!$AG$2354,IF(AC732=50,Braking!$AG$1179,IF(AC732=75,Braking!$AG$1767,0)))</f>
        <v>0</v>
      </c>
      <c r="V732" s="16">
        <f>0.5*'Gearing Calculator'!$C$15*'Gearing Calculator'!$C$20*'Gearing Calculator'!$W$20*('Track Data'!Q732^2)</f>
        <v>205.47995050301395</v>
      </c>
      <c r="W732" s="16">
        <f>('Gearing Calculator'!$U$9*'Track Data'!T732)+'Track Data'!V732</f>
        <v>1532.8231945556631</v>
      </c>
      <c r="X732" s="16">
        <f>('Gearing Calculator'!$U$9*9.81)*('Gearing Calculator'!$U$16/'Gearing Calculator'!$C$7)-(('Track Data'!W732)*('Gearing Calculator'!$U$17/'Gearing Calculator'!$C$7))</f>
        <v>565.66897674896484</v>
      </c>
      <c r="Y732" s="16">
        <f>('Gearing Calculator'!$U$9*9.81)*(('Gearing Calculator'!$C$7-'Gearing Calculator'!$U$16)/'Gearing Calculator'!$C$7)+(('Track Data'!W732)*('Gearing Calculator'!$U$17/'Gearing Calculator'!$C$7))</f>
        <v>2045.7530232510353</v>
      </c>
      <c r="Z732" s="16">
        <f>((X732*COS('Gearing Calculator'!$C$21))/'Gearing Calculator'!$C$22)/2</f>
        <v>17.488695702529938</v>
      </c>
      <c r="AA732" s="16">
        <f>Y732/'Gearing Calculator'!$C$24</f>
        <v>28.565573754715256</v>
      </c>
      <c r="AB732" s="16">
        <f t="shared" si="79"/>
        <v>220.43873988001602</v>
      </c>
      <c r="AC732" s="16">
        <v>0</v>
      </c>
      <c r="AD732" s="16">
        <v>0</v>
      </c>
      <c r="AE732" s="16">
        <v>729</v>
      </c>
      <c r="AF732" s="16">
        <f>IF(AC732=0,IF(O732=6,INDEX(Acceleration!$V$4:$V$110,MATCH('Track Data'!S732,Acceleration!$K$4:$K$110,0)),IF('Track Data'!O732=5,INDEX(Acceleration!$U$4:$U$110,MATCH('Track Data'!S732,Acceleration!$K$4:$K$110,0)),1)),U732)</f>
        <v>1</v>
      </c>
      <c r="AG732" s="16">
        <f>IF(AC732=0,IF(O732=4,INDEX(Acceleration!$T$4:$T$110,MATCH('Track Data'!S732,Acceleration!$K$4:$K$110,0)),IF('Track Data'!O732=3,INDEX(Acceleration!$S$4:$S$110,MATCH('Track Data'!S732,Acceleration!$K$4:$K$110,0)),'Track Data'!AF732)),'Track Data'!U732)</f>
        <v>4.9862631256673522</v>
      </c>
      <c r="AH732" s="16">
        <f>IF(AC732=0,IF(O732=2,INDEX(Acceleration!$R$4:$R$110,MATCH('Track Data'!S732,Acceleration!$K$4:$K$110,0)),IF('Track Data'!O732=1,INDEX(Acceleration!$Q$4:$Q$110,MATCH('Track Data'!S732,Acceleration!$K$4:$K$110,0)),'Track Data'!AG732)),'Track Data'!U732)</f>
        <v>4.9862631256673522</v>
      </c>
    </row>
    <row r="733" spans="2:34" x14ac:dyDescent="0.25">
      <c r="B733" s="16">
        <v>217.66200000000001</v>
      </c>
      <c r="C733" s="16">
        <v>8003</v>
      </c>
      <c r="D733" s="16">
        <v>730</v>
      </c>
      <c r="E733" s="113">
        <v>169</v>
      </c>
      <c r="F733" s="113">
        <v>157.1</v>
      </c>
      <c r="G733" s="113">
        <v>147</v>
      </c>
      <c r="H733" s="113">
        <f t="shared" si="82"/>
        <v>40.833333333333336</v>
      </c>
      <c r="I733" s="113">
        <v>7.2</v>
      </c>
      <c r="J733" s="113">
        <v>28.46</v>
      </c>
      <c r="K733" s="113">
        <v>49.2</v>
      </c>
      <c r="L733" s="185"/>
      <c r="M733" s="16">
        <v>730</v>
      </c>
      <c r="N733" s="16">
        <f t="shared" si="84"/>
        <v>2.2637456076898061E-2</v>
      </c>
      <c r="O733" s="16">
        <v>3</v>
      </c>
      <c r="P733" s="16">
        <f t="shared" si="80"/>
        <v>10.596205962059623</v>
      </c>
      <c r="Q733" s="16">
        <f t="shared" si="85"/>
        <v>44.174574943538744</v>
      </c>
      <c r="R733" s="113">
        <f t="shared" si="81"/>
        <v>345.36</v>
      </c>
      <c r="S733" s="16">
        <f>IF(S732=15800,15800,ROUND((((Q733*60)/'Gearing Calculator'!$C$14)*'Track Data'!P733),-2))</f>
        <v>14200</v>
      </c>
      <c r="T733" s="16">
        <f t="shared" si="83"/>
        <v>4.9862631256673522</v>
      </c>
      <c r="U733" s="16">
        <f>IF(AC733=100,Braking!$AG$2354,IF(AC733=50,Braking!$AG$1179,IF(AC733=75,Braking!$AG$1767,0)))</f>
        <v>0</v>
      </c>
      <c r="V733" s="16">
        <f>0.5*'Gearing Calculator'!$C$15*'Gearing Calculator'!$C$20*'Gearing Calculator'!$W$20*('Track Data'!Q733^2)</f>
        <v>206.53544268145524</v>
      </c>
      <c r="W733" s="16">
        <f>('Gearing Calculator'!$U$9*'Track Data'!T733)+'Track Data'!V733</f>
        <v>1533.8786867341043</v>
      </c>
      <c r="X733" s="16">
        <f>('Gearing Calculator'!$U$9*9.81)*('Gearing Calculator'!$U$16/'Gearing Calculator'!$C$7)-(('Track Data'!W733)*('Gearing Calculator'!$U$17/'Gearing Calculator'!$C$7))</f>
        <v>565.09366142821318</v>
      </c>
      <c r="Y733" s="16">
        <f>('Gearing Calculator'!$U$9*9.81)*(('Gearing Calculator'!$C$7-'Gearing Calculator'!$U$16)/'Gearing Calculator'!$C$7)+(('Track Data'!W733)*('Gearing Calculator'!$U$17/'Gearing Calculator'!$C$7))</f>
        <v>2046.3283385717868</v>
      </c>
      <c r="Z733" s="16">
        <f>((X733*COS('Gearing Calculator'!$C$21))/'Gearing Calculator'!$C$22)/2</f>
        <v>17.47090877237963</v>
      </c>
      <c r="AA733" s="16">
        <f>Y733/'Gearing Calculator'!$C$24</f>
        <v>28.57360708622711</v>
      </c>
      <c r="AB733" s="16">
        <f t="shared" si="79"/>
        <v>221.4942320584573</v>
      </c>
      <c r="AC733" s="16">
        <v>0</v>
      </c>
      <c r="AD733" s="16">
        <v>0</v>
      </c>
      <c r="AE733" s="16">
        <v>730</v>
      </c>
      <c r="AF733" s="16">
        <f>IF(AC733=0,IF(O733=6,INDEX(Acceleration!$V$4:$V$110,MATCH('Track Data'!S733,Acceleration!$K$4:$K$110,0)),IF('Track Data'!O733=5,INDEX(Acceleration!$U$4:$U$110,MATCH('Track Data'!S733,Acceleration!$K$4:$K$110,0)),1)),U733)</f>
        <v>1</v>
      </c>
      <c r="AG733" s="16">
        <f>IF(AC733=0,IF(O733=4,INDEX(Acceleration!$T$4:$T$110,MATCH('Track Data'!S733,Acceleration!$K$4:$K$110,0)),IF('Track Data'!O733=3,INDEX(Acceleration!$S$4:$S$110,MATCH('Track Data'!S733,Acceleration!$K$4:$K$110,0)),'Track Data'!AF733)),'Track Data'!U733)</f>
        <v>4.9862631256673522</v>
      </c>
      <c r="AH733" s="16">
        <f>IF(AC733=0,IF(O733=2,INDEX(Acceleration!$R$4:$R$110,MATCH('Track Data'!S733,Acceleration!$K$4:$K$110,0)),IF('Track Data'!O733=1,INDEX(Acceleration!$Q$4:$Q$110,MATCH('Track Data'!S733,Acceleration!$K$4:$K$110,0)),'Track Data'!AG733)),'Track Data'!U733)</f>
        <v>4.9862631256673522</v>
      </c>
    </row>
    <row r="734" spans="2:34" x14ac:dyDescent="0.25">
      <c r="B734" s="16">
        <v>217.684</v>
      </c>
      <c r="C734" s="16">
        <v>8004</v>
      </c>
      <c r="D734" s="16">
        <v>731</v>
      </c>
      <c r="E734" s="113">
        <v>170</v>
      </c>
      <c r="F734" s="113">
        <v>157.6</v>
      </c>
      <c r="G734" s="113">
        <v>147.30000000000001</v>
      </c>
      <c r="H734" s="113">
        <f t="shared" si="82"/>
        <v>40.916666666666671</v>
      </c>
      <c r="I734" s="113">
        <v>7</v>
      </c>
      <c r="J734" s="113">
        <v>25.97</v>
      </c>
      <c r="K734" s="113">
        <v>48.5</v>
      </c>
      <c r="L734" s="185"/>
      <c r="M734" s="16">
        <v>731</v>
      </c>
      <c r="N734" s="16">
        <f t="shared" si="84"/>
        <v>2.2579832879102146E-2</v>
      </c>
      <c r="O734" s="16">
        <v>3</v>
      </c>
      <c r="P734" s="16">
        <f t="shared" si="80"/>
        <v>10.596205962059623</v>
      </c>
      <c r="Q734" s="16">
        <f t="shared" si="85"/>
        <v>44.287307410743047</v>
      </c>
      <c r="R734" s="113">
        <f t="shared" si="81"/>
        <v>345.36</v>
      </c>
      <c r="S734" s="16">
        <f>IF(S733=15800,15800,ROUND((((Q734*60)/'Gearing Calculator'!$C$14)*'Track Data'!P734),-2))</f>
        <v>14200</v>
      </c>
      <c r="T734" s="16">
        <f t="shared" si="83"/>
        <v>4.9862631256673522</v>
      </c>
      <c r="U734" s="16">
        <f>IF(AC734=100,Braking!$AG$2354,IF(AC734=50,Braking!$AG$1179,IF(AC734=75,Braking!$AG$1767,0)))</f>
        <v>0</v>
      </c>
      <c r="V734" s="16">
        <f>0.5*'Gearing Calculator'!$C$15*'Gearing Calculator'!$C$20*'Gearing Calculator'!$W$20*('Track Data'!Q734^2)</f>
        <v>207.59093485989652</v>
      </c>
      <c r="W734" s="16">
        <f>('Gearing Calculator'!$U$9*'Track Data'!T734)+'Track Data'!V734</f>
        <v>1534.9341789125458</v>
      </c>
      <c r="X734" s="16">
        <f>('Gearing Calculator'!$U$9*9.81)*('Gearing Calculator'!$U$16/'Gearing Calculator'!$C$7)-(('Track Data'!W734)*('Gearing Calculator'!$U$17/'Gearing Calculator'!$C$7))</f>
        <v>564.51834610746141</v>
      </c>
      <c r="Y734" s="16">
        <f>('Gearing Calculator'!$U$9*9.81)*(('Gearing Calculator'!$C$7-'Gearing Calculator'!$U$16)/'Gearing Calculator'!$C$7)+(('Track Data'!W734)*('Gearing Calculator'!$U$17/'Gearing Calculator'!$C$7))</f>
        <v>2046.9036538925386</v>
      </c>
      <c r="Z734" s="16">
        <f>((X734*COS('Gearing Calculator'!$C$21))/'Gearing Calculator'!$C$22)/2</f>
        <v>17.453121842229319</v>
      </c>
      <c r="AA734" s="16">
        <f>Y734/'Gearing Calculator'!$C$24</f>
        <v>28.581640417738964</v>
      </c>
      <c r="AB734" s="16">
        <f t="shared" si="79"/>
        <v>222.54972423689858</v>
      </c>
      <c r="AC734" s="16">
        <v>0</v>
      </c>
      <c r="AD734" s="16">
        <v>0</v>
      </c>
      <c r="AE734" s="16">
        <v>731</v>
      </c>
      <c r="AF734" s="16">
        <f>IF(AC734=0,IF(O734=6,INDEX(Acceleration!$V$4:$V$110,MATCH('Track Data'!S734,Acceleration!$K$4:$K$110,0)),IF('Track Data'!O734=5,INDEX(Acceleration!$U$4:$U$110,MATCH('Track Data'!S734,Acceleration!$K$4:$K$110,0)),1)),U734)</f>
        <v>1</v>
      </c>
      <c r="AG734" s="16">
        <f>IF(AC734=0,IF(O734=4,INDEX(Acceleration!$T$4:$T$110,MATCH('Track Data'!S734,Acceleration!$K$4:$K$110,0)),IF('Track Data'!O734=3,INDEX(Acceleration!$S$4:$S$110,MATCH('Track Data'!S734,Acceleration!$K$4:$K$110,0)),'Track Data'!AF734)),'Track Data'!U734)</f>
        <v>4.9862631256673522</v>
      </c>
      <c r="AH734" s="16">
        <f>IF(AC734=0,IF(O734=2,INDEX(Acceleration!$R$4:$R$110,MATCH('Track Data'!S734,Acceleration!$K$4:$K$110,0)),IF('Track Data'!O734=1,INDEX(Acceleration!$Q$4:$Q$110,MATCH('Track Data'!S734,Acceleration!$K$4:$K$110,0)),'Track Data'!AG734)),'Track Data'!U734)</f>
        <v>4.9862631256673522</v>
      </c>
    </row>
    <row r="735" spans="2:34" x14ac:dyDescent="0.25">
      <c r="B735" s="16">
        <v>217.708</v>
      </c>
      <c r="C735" s="16">
        <v>8005</v>
      </c>
      <c r="D735" s="16">
        <v>732</v>
      </c>
      <c r="E735" s="113">
        <v>169</v>
      </c>
      <c r="F735" s="113">
        <v>157.80000000000001</v>
      </c>
      <c r="G735" s="113">
        <v>147.6</v>
      </c>
      <c r="H735" s="113">
        <f t="shared" si="82"/>
        <v>41</v>
      </c>
      <c r="I735" s="113">
        <v>7.6</v>
      </c>
      <c r="J735" s="113">
        <v>25.75</v>
      </c>
      <c r="K735" s="113">
        <v>47.3</v>
      </c>
      <c r="L735" s="185"/>
      <c r="M735" s="16">
        <v>732</v>
      </c>
      <c r="N735" s="16">
        <f t="shared" si="84"/>
        <v>2.2522647489053828E-2</v>
      </c>
      <c r="O735" s="16">
        <v>3</v>
      </c>
      <c r="P735" s="16">
        <f t="shared" si="80"/>
        <v>10.596205962059623</v>
      </c>
      <c r="Q735" s="16">
        <f t="shared" si="85"/>
        <v>44.399753647345733</v>
      </c>
      <c r="R735" s="113">
        <f t="shared" si="81"/>
        <v>345.36</v>
      </c>
      <c r="S735" s="16">
        <f>IF(S734=15800,15800,ROUND((((Q735*60)/'Gearing Calculator'!$C$14)*'Track Data'!P735),-2))</f>
        <v>14300</v>
      </c>
      <c r="T735" s="16">
        <f t="shared" si="83"/>
        <v>4.9413082534307797</v>
      </c>
      <c r="U735" s="16">
        <f>IF(AC735=100,Braking!$AG$2354,IF(AC735=50,Braking!$AG$1179,IF(AC735=75,Braking!$AG$1767,0)))</f>
        <v>0</v>
      </c>
      <c r="V735" s="16">
        <f>0.5*'Gearing Calculator'!$C$15*'Gearing Calculator'!$C$20*'Gearing Calculator'!$W$20*('Track Data'!Q735^2)</f>
        <v>208.64642703833781</v>
      </c>
      <c r="W735" s="16">
        <f>('Gearing Calculator'!$U$9*'Track Data'!T735)+'Track Data'!V735</f>
        <v>1524.0226841016113</v>
      </c>
      <c r="X735" s="16">
        <f>('Gearing Calculator'!$U$9*9.81)*('Gearing Calculator'!$U$16/'Gearing Calculator'!$C$7)-(('Track Data'!W735)*('Gearing Calculator'!$U$17/'Gearing Calculator'!$C$7))</f>
        <v>570.46585596613545</v>
      </c>
      <c r="Y735" s="16">
        <f>('Gearing Calculator'!$U$9*9.81)*(('Gearing Calculator'!$C$7-'Gearing Calculator'!$U$16)/'Gearing Calculator'!$C$7)+(('Track Data'!W735)*('Gearing Calculator'!$U$17/'Gearing Calculator'!$C$7))</f>
        <v>2040.9561440338646</v>
      </c>
      <c r="Z735" s="16">
        <f>((X735*COS('Gearing Calculator'!$C$21))/'Gearing Calculator'!$C$22)/2</f>
        <v>17.637000036688455</v>
      </c>
      <c r="AA735" s="16">
        <f>Y735/'Gearing Calculator'!$C$24</f>
        <v>28.4985932318891</v>
      </c>
      <c r="AB735" s="16">
        <f t="shared" si="79"/>
        <v>223.47035179863013</v>
      </c>
      <c r="AC735" s="16">
        <v>0</v>
      </c>
      <c r="AD735" s="16">
        <v>0</v>
      </c>
      <c r="AE735" s="16">
        <v>732</v>
      </c>
      <c r="AF735" s="16">
        <f>IF(AC735=0,IF(O735=6,INDEX(Acceleration!$V$4:$V$110,MATCH('Track Data'!S735,Acceleration!$K$4:$K$110,0)),IF('Track Data'!O735=5,INDEX(Acceleration!$U$4:$U$110,MATCH('Track Data'!S735,Acceleration!$K$4:$K$110,0)),1)),U735)</f>
        <v>1</v>
      </c>
      <c r="AG735" s="16">
        <f>IF(AC735=0,IF(O735=4,INDEX(Acceleration!$T$4:$T$110,MATCH('Track Data'!S735,Acceleration!$K$4:$K$110,0)),IF('Track Data'!O735=3,INDEX(Acceleration!$S$4:$S$110,MATCH('Track Data'!S735,Acceleration!$K$4:$K$110,0)),'Track Data'!AF735)),'Track Data'!U735)</f>
        <v>4.9413082534307797</v>
      </c>
      <c r="AH735" s="16">
        <f>IF(AC735=0,IF(O735=2,INDEX(Acceleration!$R$4:$R$110,MATCH('Track Data'!S735,Acceleration!$K$4:$K$110,0)),IF('Track Data'!O735=1,INDEX(Acceleration!$Q$4:$Q$110,MATCH('Track Data'!S735,Acceleration!$K$4:$K$110,0)),'Track Data'!AG735)),'Track Data'!U735)</f>
        <v>4.9413082534307797</v>
      </c>
    </row>
    <row r="736" spans="2:34" x14ac:dyDescent="0.25">
      <c r="B736" s="16">
        <v>217.73</v>
      </c>
      <c r="C736" s="16">
        <v>8006</v>
      </c>
      <c r="D736" s="16">
        <v>733</v>
      </c>
      <c r="E736" s="113">
        <v>169</v>
      </c>
      <c r="F736" s="113">
        <v>158.19999999999999</v>
      </c>
      <c r="G736" s="113">
        <v>148.1</v>
      </c>
      <c r="H736" s="113">
        <f t="shared" si="82"/>
        <v>41.138888888888886</v>
      </c>
      <c r="I736" s="113">
        <v>9.8000000000000007</v>
      </c>
      <c r="J736" s="113">
        <v>28.6</v>
      </c>
      <c r="K736" s="113">
        <v>45.3</v>
      </c>
      <c r="L736" s="185"/>
      <c r="M736" s="16">
        <v>733</v>
      </c>
      <c r="N736" s="16">
        <f t="shared" si="84"/>
        <v>2.2466404147150825E-2</v>
      </c>
      <c r="O736" s="16">
        <v>4</v>
      </c>
      <c r="P736" s="16">
        <f t="shared" si="80"/>
        <v>9.1833785004516724</v>
      </c>
      <c r="Q736" s="16">
        <f t="shared" si="85"/>
        <v>44.510905859708721</v>
      </c>
      <c r="R736" s="113">
        <f t="shared" si="81"/>
        <v>329.49099999999999</v>
      </c>
      <c r="S736" s="16">
        <f>IF(S735=15800,15800,ROUND((((Q736*60)/'Gearing Calculator'!$C$14)*'Track Data'!P736),-2))</f>
        <v>12400</v>
      </c>
      <c r="T736" s="16">
        <f t="shared" si="83"/>
        <v>4.820458184523007</v>
      </c>
      <c r="U736" s="16">
        <f>IF(AC736=100,Braking!$AG$2354,IF(AC736=50,Braking!$AG$1179,IF(AC736=75,Braking!$AG$1767,0)))</f>
        <v>0</v>
      </c>
      <c r="V736" s="16">
        <f>0.5*'Gearing Calculator'!$C$15*'Gearing Calculator'!$C$20*'Gearing Calculator'!$W$20*('Track Data'!Q736^2)</f>
        <v>209.69240316942401</v>
      </c>
      <c r="W736" s="16">
        <f>('Gearing Calculator'!$U$9*'Track Data'!T736)+'Track Data'!V736</f>
        <v>1492.8983718894485</v>
      </c>
      <c r="X736" s="16">
        <f>('Gearing Calculator'!$U$9*9.81)*('Gearing Calculator'!$U$16/'Gearing Calculator'!$C$7)-(('Track Data'!W736)*('Gearing Calculator'!$U$17/'Gearing Calculator'!$C$7))</f>
        <v>587.43073171723654</v>
      </c>
      <c r="Y736" s="16">
        <f>('Gearing Calculator'!$U$9*9.81)*(('Gearing Calculator'!$C$7-'Gearing Calculator'!$U$16)/'Gearing Calculator'!$C$7)+(('Track Data'!W736)*('Gearing Calculator'!$U$17/'Gearing Calculator'!$C$7))</f>
        <v>2023.9912682827635</v>
      </c>
      <c r="Z736" s="16">
        <f>((X736*COS('Gearing Calculator'!$C$21))/'Gearing Calculator'!$C$22)/2</f>
        <v>18.161500339581863</v>
      </c>
      <c r="AA736" s="16">
        <f>Y736/'Gearing Calculator'!$C$24</f>
        <v>28.261706665426871</v>
      </c>
      <c r="AB736" s="16">
        <f t="shared" si="79"/>
        <v>228.97423590751603</v>
      </c>
      <c r="AC736" s="16">
        <v>0</v>
      </c>
      <c r="AD736" s="16">
        <v>0</v>
      </c>
      <c r="AE736" s="16">
        <v>733</v>
      </c>
      <c r="AF736" s="16">
        <f>IF(AC736=0,IF(O736=6,INDEX(Acceleration!$V$4:$V$110,MATCH('Track Data'!S736,Acceleration!$K$4:$K$110,0)),IF('Track Data'!O736=5,INDEX(Acceleration!$U$4:$U$110,MATCH('Track Data'!S736,Acceleration!$K$4:$K$110,0)),1)),U736)</f>
        <v>1</v>
      </c>
      <c r="AG736" s="16">
        <f>IF(AC736=0,IF(O736=4,INDEX(Acceleration!$T$4:$T$110,MATCH('Track Data'!S736,Acceleration!$K$4:$K$110,0)),IF('Track Data'!O736=3,INDEX(Acceleration!$S$4:$S$110,MATCH('Track Data'!S736,Acceleration!$K$4:$K$110,0)),'Track Data'!AF736)),'Track Data'!U736)</f>
        <v>4.820458184523007</v>
      </c>
      <c r="AH736" s="16">
        <f>IF(AC736=0,IF(O736=2,INDEX(Acceleration!$R$4:$R$110,MATCH('Track Data'!S736,Acceleration!$K$4:$K$110,0)),IF('Track Data'!O736=1,INDEX(Acceleration!$Q$4:$Q$110,MATCH('Track Data'!S736,Acceleration!$K$4:$K$110,0)),'Track Data'!AG736)),'Track Data'!U736)</f>
        <v>4.820458184523007</v>
      </c>
    </row>
    <row r="737" spans="2:34" x14ac:dyDescent="0.25">
      <c r="B737" s="16">
        <v>217.75299999999999</v>
      </c>
      <c r="C737" s="16">
        <v>8007</v>
      </c>
      <c r="D737" s="16">
        <v>734</v>
      </c>
      <c r="E737" s="113">
        <v>168</v>
      </c>
      <c r="F737" s="113">
        <v>158.4</v>
      </c>
      <c r="G737" s="113">
        <v>148.4</v>
      </c>
      <c r="H737" s="113">
        <f t="shared" si="82"/>
        <v>41.222222222222221</v>
      </c>
      <c r="I737" s="113">
        <v>11.5</v>
      </c>
      <c r="J737" s="113">
        <v>28.83</v>
      </c>
      <c r="K737" s="113">
        <v>44</v>
      </c>
      <c r="L737" s="185"/>
      <c r="M737" s="16">
        <v>734</v>
      </c>
      <c r="N737" s="16">
        <f t="shared" si="84"/>
        <v>2.2411940397347657E-2</v>
      </c>
      <c r="O737" s="16">
        <v>4</v>
      </c>
      <c r="P737" s="16">
        <f t="shared" si="80"/>
        <v>9.1833785004516724</v>
      </c>
      <c r="Q737" s="16">
        <f t="shared" si="85"/>
        <v>44.619072792034778</v>
      </c>
      <c r="R737" s="113">
        <f t="shared" si="81"/>
        <v>329.49099999999999</v>
      </c>
      <c r="S737" s="16">
        <f>IF(S736=15800,15800,ROUND((((Q737*60)/'Gearing Calculator'!$C$14)*'Track Data'!P737),-2))</f>
        <v>12400</v>
      </c>
      <c r="T737" s="16">
        <f t="shared" si="83"/>
        <v>4.820458184523007</v>
      </c>
      <c r="U737" s="16">
        <f>IF(AC737=100,Braking!$AG$2354,IF(AC737=50,Braking!$AG$1179,IF(AC737=75,Braking!$AG$1767,0)))</f>
        <v>0</v>
      </c>
      <c r="V737" s="16">
        <f>0.5*'Gearing Calculator'!$C$15*'Gearing Calculator'!$C$20*'Gearing Calculator'!$W$20*('Track Data'!Q737^2)</f>
        <v>210.71279775792385</v>
      </c>
      <c r="W737" s="16">
        <f>('Gearing Calculator'!$U$9*'Track Data'!T737)+'Track Data'!V737</f>
        <v>1493.9187664779483</v>
      </c>
      <c r="X737" s="16">
        <f>('Gearing Calculator'!$U$9*9.81)*('Gearing Calculator'!$U$16/'Gearing Calculator'!$C$7)-(('Track Data'!W737)*('Gearing Calculator'!$U$17/'Gearing Calculator'!$C$7))</f>
        <v>586.87454697994849</v>
      </c>
      <c r="Y737" s="16">
        <f>('Gearing Calculator'!$U$9*9.81)*(('Gearing Calculator'!$C$7-'Gearing Calculator'!$U$16)/'Gearing Calculator'!$C$7)+(('Track Data'!W737)*('Gearing Calculator'!$U$17/'Gearing Calculator'!$C$7))</f>
        <v>2024.5474530200515</v>
      </c>
      <c r="Z737" s="16">
        <f>((X737*COS('Gearing Calculator'!$C$21))/'Gearing Calculator'!$C$22)/2</f>
        <v>18.144304866567371</v>
      </c>
      <c r="AA737" s="16">
        <f>Y737/'Gearing Calculator'!$C$24</f>
        <v>28.269472869828711</v>
      </c>
      <c r="AB737" s="16">
        <f t="shared" si="79"/>
        <v>229.99463049601587</v>
      </c>
      <c r="AC737" s="16">
        <v>0</v>
      </c>
      <c r="AD737" s="16">
        <v>0</v>
      </c>
      <c r="AE737" s="16">
        <v>734</v>
      </c>
      <c r="AF737" s="16">
        <f>IF(AC737=0,IF(O737=6,INDEX(Acceleration!$V$4:$V$110,MATCH('Track Data'!S737,Acceleration!$K$4:$K$110,0)),IF('Track Data'!O737=5,INDEX(Acceleration!$U$4:$U$110,MATCH('Track Data'!S737,Acceleration!$K$4:$K$110,0)),1)),U737)</f>
        <v>1</v>
      </c>
      <c r="AG737" s="16">
        <f>IF(AC737=0,IF(O737=4,INDEX(Acceleration!$T$4:$T$110,MATCH('Track Data'!S737,Acceleration!$K$4:$K$110,0)),IF('Track Data'!O737=3,INDEX(Acceleration!$S$4:$S$110,MATCH('Track Data'!S737,Acceleration!$K$4:$K$110,0)),'Track Data'!AF737)),'Track Data'!U737)</f>
        <v>4.820458184523007</v>
      </c>
      <c r="AH737" s="16">
        <f>IF(AC737=0,IF(O737=2,INDEX(Acceleration!$R$4:$R$110,MATCH('Track Data'!S737,Acceleration!$K$4:$K$110,0)),IF('Track Data'!O737=1,INDEX(Acceleration!$Q$4:$Q$110,MATCH('Track Data'!S737,Acceleration!$K$4:$K$110,0)),'Track Data'!AG737)),'Track Data'!U737)</f>
        <v>4.820458184523007</v>
      </c>
    </row>
    <row r="738" spans="2:34" x14ac:dyDescent="0.25">
      <c r="B738" s="16">
        <v>217.77600000000001</v>
      </c>
      <c r="C738" s="16">
        <v>8008</v>
      </c>
      <c r="D738" s="16">
        <v>735</v>
      </c>
      <c r="E738" s="113">
        <v>168</v>
      </c>
      <c r="F738" s="113">
        <v>158.4</v>
      </c>
      <c r="G738" s="113">
        <v>148.69999999999999</v>
      </c>
      <c r="H738" s="113">
        <f t="shared" si="82"/>
        <v>41.30555555555555</v>
      </c>
      <c r="I738" s="113">
        <v>13.9</v>
      </c>
      <c r="J738" s="113">
        <v>27.61</v>
      </c>
      <c r="K738" s="113">
        <v>43.6</v>
      </c>
      <c r="L738" s="185"/>
      <c r="M738" s="16">
        <v>735</v>
      </c>
      <c r="N738" s="16">
        <f t="shared" si="84"/>
        <v>2.2357870834832611E-2</v>
      </c>
      <c r="O738" s="16">
        <v>4</v>
      </c>
      <c r="P738" s="16">
        <f t="shared" si="80"/>
        <v>9.1833785004516724</v>
      </c>
      <c r="Q738" s="16">
        <f t="shared" si="85"/>
        <v>44.726978136131038</v>
      </c>
      <c r="R738" s="113">
        <f t="shared" si="81"/>
        <v>329.49099999999999</v>
      </c>
      <c r="S738" s="16">
        <f>IF(S737=15800,15800,ROUND((((Q738*60)/'Gearing Calculator'!$C$14)*'Track Data'!P738),-2))</f>
        <v>12500</v>
      </c>
      <c r="T738" s="16">
        <f t="shared" si="83"/>
        <v>4.8199451432580522</v>
      </c>
      <c r="U738" s="16">
        <f>IF(AC738=100,Braking!$AG$2354,IF(AC738=50,Braking!$AG$1179,IF(AC738=75,Braking!$AG$1767,0)))</f>
        <v>0</v>
      </c>
      <c r="V738" s="16">
        <f>0.5*'Gearing Calculator'!$C$15*'Gearing Calculator'!$C$20*'Gearing Calculator'!$W$20*('Track Data'!Q738^2)</f>
        <v>211.73319234642364</v>
      </c>
      <c r="W738" s="16">
        <f>('Gearing Calculator'!$U$9*'Track Data'!T738)+'Track Data'!V738</f>
        <v>1494.8025894817172</v>
      </c>
      <c r="X738" s="16">
        <f>('Gearing Calculator'!$U$9*9.81)*('Gearing Calculator'!$U$16/'Gearing Calculator'!$C$7)-(('Track Data'!W738)*('Gearing Calculator'!$U$17/'Gearing Calculator'!$C$7))</f>
        <v>586.39280308332206</v>
      </c>
      <c r="Y738" s="16">
        <f>('Gearing Calculator'!$U$9*9.81)*(('Gearing Calculator'!$C$7-'Gearing Calculator'!$U$16)/'Gearing Calculator'!$C$7)+(('Track Data'!W738)*('Gearing Calculator'!$U$17/'Gearing Calculator'!$C$7))</f>
        <v>2025.0291969166778</v>
      </c>
      <c r="Z738" s="16">
        <f>((X738*COS('Gearing Calculator'!$C$21))/'Gearing Calculator'!$C$22)/2</f>
        <v>18.129410868909815</v>
      </c>
      <c r="AA738" s="16">
        <f>Y738/'Gearing Calculator'!$C$24</f>
        <v>28.276199630416894</v>
      </c>
      <c r="AB738" s="16">
        <f t="shared" si="79"/>
        <v>231.01297291945585</v>
      </c>
      <c r="AC738" s="16">
        <v>0</v>
      </c>
      <c r="AD738" s="16">
        <v>0</v>
      </c>
      <c r="AE738" s="16">
        <v>735</v>
      </c>
      <c r="AF738" s="16">
        <f>IF(AC738=0,IF(O738=6,INDEX(Acceleration!$V$4:$V$110,MATCH('Track Data'!S738,Acceleration!$K$4:$K$110,0)),IF('Track Data'!O738=5,INDEX(Acceleration!$U$4:$U$110,MATCH('Track Data'!S738,Acceleration!$K$4:$K$110,0)),1)),U738)</f>
        <v>1</v>
      </c>
      <c r="AG738" s="16">
        <f>IF(AC738=0,IF(O738=4,INDEX(Acceleration!$T$4:$T$110,MATCH('Track Data'!S738,Acceleration!$K$4:$K$110,0)),IF('Track Data'!O738=3,INDEX(Acceleration!$S$4:$S$110,MATCH('Track Data'!S738,Acceleration!$K$4:$K$110,0)),'Track Data'!AF738)),'Track Data'!U738)</f>
        <v>4.8199451432580522</v>
      </c>
      <c r="AH738" s="16">
        <f>IF(AC738=0,IF(O738=2,INDEX(Acceleration!$R$4:$R$110,MATCH('Track Data'!S738,Acceleration!$K$4:$K$110,0)),IF('Track Data'!O738=1,INDEX(Acceleration!$Q$4:$Q$110,MATCH('Track Data'!S738,Acceleration!$K$4:$K$110,0)),'Track Data'!AG738)),'Track Data'!U738)</f>
        <v>4.8199451432580522</v>
      </c>
    </row>
    <row r="739" spans="2:34" x14ac:dyDescent="0.25">
      <c r="B739" s="16">
        <v>217.798</v>
      </c>
      <c r="C739" s="16">
        <v>8009</v>
      </c>
      <c r="D739" s="16">
        <v>736</v>
      </c>
      <c r="E739" s="113">
        <v>168</v>
      </c>
      <c r="F739" s="113">
        <v>158.30000000000001</v>
      </c>
      <c r="G739" s="113">
        <v>149</v>
      </c>
      <c r="H739" s="113">
        <f t="shared" si="82"/>
        <v>41.388888888888886</v>
      </c>
      <c r="I739" s="113">
        <v>15.4</v>
      </c>
      <c r="J739" s="113">
        <v>27.38</v>
      </c>
      <c r="K739" s="113">
        <v>43.6</v>
      </c>
      <c r="L739" s="185"/>
      <c r="M739" s="16">
        <v>736</v>
      </c>
      <c r="N739" s="16">
        <f t="shared" si="84"/>
        <v>2.2304196420094458E-2</v>
      </c>
      <c r="O739" s="16">
        <v>4</v>
      </c>
      <c r="P739" s="16">
        <f t="shared" si="80"/>
        <v>9.1833785004516724</v>
      </c>
      <c r="Q739" s="16">
        <f t="shared" si="85"/>
        <v>44.834612337751508</v>
      </c>
      <c r="R739" s="113">
        <f t="shared" si="81"/>
        <v>329.49099999999999</v>
      </c>
      <c r="S739" s="16">
        <f>IF(S738=15800,15800,ROUND((((Q739*60)/'Gearing Calculator'!$C$14)*'Track Data'!P739),-2))</f>
        <v>12500</v>
      </c>
      <c r="T739" s="16">
        <f t="shared" si="83"/>
        <v>4.8199451432580522</v>
      </c>
      <c r="U739" s="16">
        <f>IF(AC739=100,Braking!$AG$2354,IF(AC739=50,Braking!$AG$1179,IF(AC739=75,Braking!$AG$1767,0)))</f>
        <v>0</v>
      </c>
      <c r="V739" s="16">
        <f>0.5*'Gearing Calculator'!$C$15*'Gearing Calculator'!$C$20*'Gearing Calculator'!$W$20*('Track Data'!Q739^2)</f>
        <v>212.7534783343485</v>
      </c>
      <c r="W739" s="16">
        <f>('Gearing Calculator'!$U$9*'Track Data'!T739)+'Track Data'!V739</f>
        <v>1495.822875469642</v>
      </c>
      <c r="X739" s="16">
        <f>('Gearing Calculator'!$U$9*9.81)*('Gearing Calculator'!$U$16/'Gearing Calculator'!$C$7)-(('Track Data'!W739)*('Gearing Calculator'!$U$17/'Gearing Calculator'!$C$7))</f>
        <v>585.83667754076407</v>
      </c>
      <c r="Y739" s="16">
        <f>('Gearing Calculator'!$U$9*9.81)*(('Gearing Calculator'!$C$7-'Gearing Calculator'!$U$16)/'Gearing Calculator'!$C$7)+(('Track Data'!W739)*('Gearing Calculator'!$U$17/'Gearing Calculator'!$C$7))</f>
        <v>2025.5853224592361</v>
      </c>
      <c r="Z739" s="16">
        <f>((X739*COS('Gearing Calculator'!$C$21))/'Gearing Calculator'!$C$22)/2</f>
        <v>18.112217226009161</v>
      </c>
      <c r="AA739" s="16">
        <f>Y739/'Gearing Calculator'!$C$24</f>
        <v>28.283965008261763</v>
      </c>
      <c r="AB739" s="16">
        <f t="shared" si="79"/>
        <v>232.03325890738071</v>
      </c>
      <c r="AC739" s="16">
        <v>0</v>
      </c>
      <c r="AD739" s="16">
        <v>0</v>
      </c>
      <c r="AE739" s="16">
        <v>736</v>
      </c>
      <c r="AF739" s="16">
        <f>IF(AC739=0,IF(O739=6,INDEX(Acceleration!$V$4:$V$110,MATCH('Track Data'!S739,Acceleration!$K$4:$K$110,0)),IF('Track Data'!O739=5,INDEX(Acceleration!$U$4:$U$110,MATCH('Track Data'!S739,Acceleration!$K$4:$K$110,0)),1)),U739)</f>
        <v>1</v>
      </c>
      <c r="AG739" s="16">
        <f>IF(AC739=0,IF(O739=4,INDEX(Acceleration!$T$4:$T$110,MATCH('Track Data'!S739,Acceleration!$K$4:$K$110,0)),IF('Track Data'!O739=3,INDEX(Acceleration!$S$4:$S$110,MATCH('Track Data'!S739,Acceleration!$K$4:$K$110,0)),'Track Data'!AF739)),'Track Data'!U739)</f>
        <v>4.8199451432580522</v>
      </c>
      <c r="AH739" s="16">
        <f>IF(AC739=0,IF(O739=2,INDEX(Acceleration!$R$4:$R$110,MATCH('Track Data'!S739,Acceleration!$K$4:$K$110,0)),IF('Track Data'!O739=1,INDEX(Acceleration!$Q$4:$Q$110,MATCH('Track Data'!S739,Acceleration!$K$4:$K$110,0)),'Track Data'!AG739)),'Track Data'!U739)</f>
        <v>4.8199451432580522</v>
      </c>
    </row>
    <row r="740" spans="2:34" x14ac:dyDescent="0.25">
      <c r="B740" s="16">
        <v>217.821</v>
      </c>
      <c r="C740" s="16">
        <v>8010</v>
      </c>
      <c r="D740" s="16">
        <v>737</v>
      </c>
      <c r="E740" s="113">
        <v>169</v>
      </c>
      <c r="F740" s="113">
        <v>158.19999999999999</v>
      </c>
      <c r="G740" s="113">
        <v>149.5</v>
      </c>
      <c r="H740" s="113">
        <f t="shared" si="82"/>
        <v>41.527777777777779</v>
      </c>
      <c r="I740" s="113">
        <v>16.3</v>
      </c>
      <c r="J740" s="113">
        <v>26.8</v>
      </c>
      <c r="K740" s="113">
        <v>43.6</v>
      </c>
      <c r="L740" s="185"/>
      <c r="M740" s="16">
        <v>737</v>
      </c>
      <c r="N740" s="16">
        <f t="shared" si="84"/>
        <v>2.2250906726126646E-2</v>
      </c>
      <c r="O740" s="16">
        <v>4</v>
      </c>
      <c r="P740" s="16">
        <f t="shared" si="80"/>
        <v>9.1833785004516724</v>
      </c>
      <c r="Q740" s="16">
        <f t="shared" si="85"/>
        <v>44.941988760656507</v>
      </c>
      <c r="R740" s="113">
        <f t="shared" si="81"/>
        <v>329.49099999999999</v>
      </c>
      <c r="S740" s="16">
        <f>IF(S739=15800,15800,ROUND((((Q740*60)/'Gearing Calculator'!$C$14)*'Track Data'!P740),-2))</f>
        <v>12500</v>
      </c>
      <c r="T740" s="16">
        <f t="shared" si="83"/>
        <v>4.8199451432580522</v>
      </c>
      <c r="U740" s="16">
        <f>IF(AC740=100,Braking!$AG$2354,IF(AC740=50,Braking!$AG$1179,IF(AC740=75,Braking!$AG$1767,0)))</f>
        <v>0</v>
      </c>
      <c r="V740" s="16">
        <f>0.5*'Gearing Calculator'!$C$15*'Gearing Calculator'!$C$20*'Gearing Calculator'!$W$20*('Track Data'!Q740^2)</f>
        <v>213.77376432227334</v>
      </c>
      <c r="W740" s="16">
        <f>('Gearing Calculator'!$U$9*'Track Data'!T740)+'Track Data'!V740</f>
        <v>1496.8431614575668</v>
      </c>
      <c r="X740" s="16">
        <f>('Gearing Calculator'!$U$9*9.81)*('Gearing Calculator'!$U$16/'Gearing Calculator'!$C$7)-(('Track Data'!W740)*('Gearing Calculator'!$U$17/'Gearing Calculator'!$C$7))</f>
        <v>585.28055199820608</v>
      </c>
      <c r="Y740" s="16">
        <f>('Gearing Calculator'!$U$9*9.81)*(('Gearing Calculator'!$C$7-'Gearing Calculator'!$U$16)/'Gearing Calculator'!$C$7)+(('Track Data'!W740)*('Gearing Calculator'!$U$17/'Gearing Calculator'!$C$7))</f>
        <v>2026.1414480017938</v>
      </c>
      <c r="Z740" s="16">
        <f>((X740*COS('Gearing Calculator'!$C$21))/'Gearing Calculator'!$C$22)/2</f>
        <v>18.095023583108507</v>
      </c>
      <c r="AA740" s="16">
        <f>Y740/'Gearing Calculator'!$C$24</f>
        <v>28.291730386106625</v>
      </c>
      <c r="AB740" s="16">
        <f t="shared" si="79"/>
        <v>233.05354489530555</v>
      </c>
      <c r="AC740" s="16">
        <v>0</v>
      </c>
      <c r="AD740" s="16">
        <v>0</v>
      </c>
      <c r="AE740" s="16">
        <v>737</v>
      </c>
      <c r="AF740" s="16">
        <f>IF(AC740=0,IF(O740=6,INDEX(Acceleration!$V$4:$V$110,MATCH('Track Data'!S740,Acceleration!$K$4:$K$110,0)),IF('Track Data'!O740=5,INDEX(Acceleration!$U$4:$U$110,MATCH('Track Data'!S740,Acceleration!$K$4:$K$110,0)),1)),U740)</f>
        <v>1</v>
      </c>
      <c r="AG740" s="16">
        <f>IF(AC740=0,IF(O740=4,INDEX(Acceleration!$T$4:$T$110,MATCH('Track Data'!S740,Acceleration!$K$4:$K$110,0)),IF('Track Data'!O740=3,INDEX(Acceleration!$S$4:$S$110,MATCH('Track Data'!S740,Acceleration!$K$4:$K$110,0)),'Track Data'!AF740)),'Track Data'!U740)</f>
        <v>4.8199451432580522</v>
      </c>
      <c r="AH740" s="16">
        <f>IF(AC740=0,IF(O740=2,INDEX(Acceleration!$R$4:$R$110,MATCH('Track Data'!S740,Acceleration!$K$4:$K$110,0)),IF('Track Data'!O740=1,INDEX(Acceleration!$Q$4:$Q$110,MATCH('Track Data'!S740,Acceleration!$K$4:$K$110,0)),'Track Data'!AG740)),'Track Data'!U740)</f>
        <v>4.8199451432580522</v>
      </c>
    </row>
    <row r="741" spans="2:34" x14ac:dyDescent="0.25">
      <c r="B741" s="16">
        <v>217.84399999999999</v>
      </c>
      <c r="C741" s="16">
        <v>8011</v>
      </c>
      <c r="D741" s="16">
        <v>738</v>
      </c>
      <c r="E741" s="113">
        <v>169</v>
      </c>
      <c r="F741" s="113">
        <v>158.30000000000001</v>
      </c>
      <c r="G741" s="113">
        <v>149.80000000000001</v>
      </c>
      <c r="H741" s="113">
        <f t="shared" si="82"/>
        <v>41.611111111111114</v>
      </c>
      <c r="I741" s="113">
        <v>16.2</v>
      </c>
      <c r="J741" s="113">
        <v>23.81</v>
      </c>
      <c r="K741" s="113">
        <v>43.8</v>
      </c>
      <c r="L741" s="185"/>
      <c r="M741" s="16">
        <v>738</v>
      </c>
      <c r="N741" s="16">
        <f t="shared" si="84"/>
        <v>2.2197997178859282E-2</v>
      </c>
      <c r="O741" s="16">
        <v>4</v>
      </c>
      <c r="P741" s="16">
        <f t="shared" si="80"/>
        <v>9.1833785004516724</v>
      </c>
      <c r="Q741" s="16">
        <f t="shared" si="85"/>
        <v>45.049109248124893</v>
      </c>
      <c r="R741" s="113">
        <f t="shared" si="81"/>
        <v>329.49099999999999</v>
      </c>
      <c r="S741" s="16">
        <f>IF(S740=15800,15800,ROUND((((Q741*60)/'Gearing Calculator'!$C$14)*'Track Data'!P741),-2))</f>
        <v>12500</v>
      </c>
      <c r="T741" s="16">
        <f t="shared" si="83"/>
        <v>4.8199451432580522</v>
      </c>
      <c r="U741" s="16">
        <f>IF(AC741=100,Braking!$AG$2354,IF(AC741=50,Braking!$AG$1179,IF(AC741=75,Braking!$AG$1767,0)))</f>
        <v>0</v>
      </c>
      <c r="V741" s="16">
        <f>0.5*'Gearing Calculator'!$C$15*'Gearing Calculator'!$C$20*'Gearing Calculator'!$W$20*('Track Data'!Q741^2)</f>
        <v>214.7940503101982</v>
      </c>
      <c r="W741" s="16">
        <f>('Gearing Calculator'!$U$9*'Track Data'!T741)+'Track Data'!V741</f>
        <v>1497.8634474454916</v>
      </c>
      <c r="X741" s="16">
        <f>('Gearing Calculator'!$U$9*9.81)*('Gearing Calculator'!$U$16/'Gearing Calculator'!$C$7)-(('Track Data'!W741)*('Gearing Calculator'!$U$17/'Gearing Calculator'!$C$7))</f>
        <v>584.72442645564809</v>
      </c>
      <c r="Y741" s="16">
        <f>('Gearing Calculator'!$U$9*9.81)*(('Gearing Calculator'!$C$7-'Gearing Calculator'!$U$16)/'Gearing Calculator'!$C$7)+(('Track Data'!W741)*('Gearing Calculator'!$U$17/'Gearing Calculator'!$C$7))</f>
        <v>2026.6975735443521</v>
      </c>
      <c r="Z741" s="16">
        <f>((X741*COS('Gearing Calculator'!$C$21))/'Gearing Calculator'!$C$22)/2</f>
        <v>18.077829940207849</v>
      </c>
      <c r="AA741" s="16">
        <f>Y741/'Gearing Calculator'!$C$24</f>
        <v>28.299495763951494</v>
      </c>
      <c r="AB741" s="16">
        <f t="shared" si="79"/>
        <v>234.07383088323041</v>
      </c>
      <c r="AC741" s="16">
        <v>0</v>
      </c>
      <c r="AD741" s="16">
        <v>0</v>
      </c>
      <c r="AE741" s="16">
        <v>738</v>
      </c>
      <c r="AF741" s="16">
        <f>IF(AC741=0,IF(O741=6,INDEX(Acceleration!$V$4:$V$110,MATCH('Track Data'!S741,Acceleration!$K$4:$K$110,0)),IF('Track Data'!O741=5,INDEX(Acceleration!$U$4:$U$110,MATCH('Track Data'!S741,Acceleration!$K$4:$K$110,0)),1)),U741)</f>
        <v>1</v>
      </c>
      <c r="AG741" s="16">
        <f>IF(AC741=0,IF(O741=4,INDEX(Acceleration!$T$4:$T$110,MATCH('Track Data'!S741,Acceleration!$K$4:$K$110,0)),IF('Track Data'!O741=3,INDEX(Acceleration!$S$4:$S$110,MATCH('Track Data'!S741,Acceleration!$K$4:$K$110,0)),'Track Data'!AF741)),'Track Data'!U741)</f>
        <v>4.8199451432580522</v>
      </c>
      <c r="AH741" s="16">
        <f>IF(AC741=0,IF(O741=2,INDEX(Acceleration!$R$4:$R$110,MATCH('Track Data'!S741,Acceleration!$K$4:$K$110,0)),IF('Track Data'!O741=1,INDEX(Acceleration!$Q$4:$Q$110,MATCH('Track Data'!S741,Acceleration!$K$4:$K$110,0)),'Track Data'!AG741)),'Track Data'!U741)</f>
        <v>4.8199451432580522</v>
      </c>
    </row>
    <row r="742" spans="2:34" x14ac:dyDescent="0.25">
      <c r="B742" s="16">
        <v>217.86600000000001</v>
      </c>
      <c r="C742" s="16">
        <v>8012</v>
      </c>
      <c r="D742" s="16">
        <v>739</v>
      </c>
      <c r="E742" s="113">
        <v>170</v>
      </c>
      <c r="F742" s="113">
        <v>158.6</v>
      </c>
      <c r="G742" s="113">
        <v>150</v>
      </c>
      <c r="H742" s="113">
        <f t="shared" si="82"/>
        <v>41.666666666666664</v>
      </c>
      <c r="I742" s="113">
        <v>14.9</v>
      </c>
      <c r="J742" s="113">
        <v>22.08</v>
      </c>
      <c r="K742" s="113">
        <v>44.9</v>
      </c>
      <c r="L742" s="185"/>
      <c r="M742" s="16">
        <v>739</v>
      </c>
      <c r="N742" s="16">
        <f t="shared" si="84"/>
        <v>2.2145463279997817E-2</v>
      </c>
      <c r="O742" s="16">
        <v>4</v>
      </c>
      <c r="P742" s="16">
        <f t="shared" si="80"/>
        <v>9.1833785004516724</v>
      </c>
      <c r="Q742" s="16">
        <f t="shared" si="85"/>
        <v>45.155975621572033</v>
      </c>
      <c r="R742" s="113">
        <f t="shared" si="81"/>
        <v>329.49099999999999</v>
      </c>
      <c r="S742" s="16">
        <f>IF(S741=15800,15800,ROUND((((Q742*60)/'Gearing Calculator'!$C$14)*'Track Data'!P742),-2))</f>
        <v>12600</v>
      </c>
      <c r="T742" s="16">
        <f t="shared" si="83"/>
        <v>4.8192435869194066</v>
      </c>
      <c r="U742" s="16">
        <f>IF(AC742=100,Braking!$AG$2354,IF(AC742=50,Braking!$AG$1179,IF(AC742=75,Braking!$AG$1767,0)))</f>
        <v>0</v>
      </c>
      <c r="V742" s="16">
        <f>0.5*'Gearing Calculator'!$C$15*'Gearing Calculator'!$C$20*'Gearing Calculator'!$W$20*('Track Data'!Q742^2)</f>
        <v>215.81433629812304</v>
      </c>
      <c r="W742" s="16">
        <f>('Gearing Calculator'!$U$9*'Track Data'!T742)+'Track Data'!V742</f>
        <v>1498.6969791360689</v>
      </c>
      <c r="X742" s="16">
        <f>('Gearing Calculator'!$U$9*9.81)*('Gearing Calculator'!$U$16/'Gearing Calculator'!$C$7)-(('Track Data'!W742)*('Gearing Calculator'!$U$17/'Gearing Calculator'!$C$7))</f>
        <v>584.27009475929265</v>
      </c>
      <c r="Y742" s="16">
        <f>('Gearing Calculator'!$U$9*9.81)*(('Gearing Calculator'!$C$7-'Gearing Calculator'!$U$16)/'Gearing Calculator'!$C$7)+(('Track Data'!W742)*('Gearing Calculator'!$U$17/'Gearing Calculator'!$C$7))</f>
        <v>2027.1519052407075</v>
      </c>
      <c r="Z742" s="16">
        <f>((X742*COS('Gearing Calculator'!$C$21))/'Gearing Calculator'!$C$22)/2</f>
        <v>18.06378344108527</v>
      </c>
      <c r="AA742" s="16">
        <f>Y742/'Gearing Calculator'!$C$24</f>
        <v>28.305839758282112</v>
      </c>
      <c r="AB742" s="16">
        <f t="shared" si="79"/>
        <v>235.09131064580066</v>
      </c>
      <c r="AC742" s="16">
        <v>0</v>
      </c>
      <c r="AD742" s="16">
        <v>0</v>
      </c>
      <c r="AE742" s="16">
        <v>739</v>
      </c>
      <c r="AF742" s="16">
        <f>IF(AC742=0,IF(O742=6,INDEX(Acceleration!$V$4:$V$110,MATCH('Track Data'!S742,Acceleration!$K$4:$K$110,0)),IF('Track Data'!O742=5,INDEX(Acceleration!$U$4:$U$110,MATCH('Track Data'!S742,Acceleration!$K$4:$K$110,0)),1)),U742)</f>
        <v>1</v>
      </c>
      <c r="AG742" s="16">
        <f>IF(AC742=0,IF(O742=4,INDEX(Acceleration!$T$4:$T$110,MATCH('Track Data'!S742,Acceleration!$K$4:$K$110,0)),IF('Track Data'!O742=3,INDEX(Acceleration!$S$4:$S$110,MATCH('Track Data'!S742,Acceleration!$K$4:$K$110,0)),'Track Data'!AF742)),'Track Data'!U742)</f>
        <v>4.8192435869194066</v>
      </c>
      <c r="AH742" s="16">
        <f>IF(AC742=0,IF(O742=2,INDEX(Acceleration!$R$4:$R$110,MATCH('Track Data'!S742,Acceleration!$K$4:$K$110,0)),IF('Track Data'!O742=1,INDEX(Acceleration!$Q$4:$Q$110,MATCH('Track Data'!S742,Acceleration!$K$4:$K$110,0)),'Track Data'!AG742)),'Track Data'!U742)</f>
        <v>4.8192435869194066</v>
      </c>
    </row>
    <row r="743" spans="2:34" x14ac:dyDescent="0.25">
      <c r="B743" s="16">
        <v>217.88900000000001</v>
      </c>
      <c r="C743" s="16">
        <v>8013</v>
      </c>
      <c r="D743" s="16">
        <v>740</v>
      </c>
      <c r="E743" s="113">
        <v>170</v>
      </c>
      <c r="F743" s="113">
        <v>159</v>
      </c>
      <c r="G743" s="113">
        <v>150.30000000000001</v>
      </c>
      <c r="H743" s="113">
        <f t="shared" si="82"/>
        <v>41.75</v>
      </c>
      <c r="I743" s="113">
        <v>12.3</v>
      </c>
      <c r="J743" s="113">
        <v>23.1</v>
      </c>
      <c r="K743" s="113">
        <v>45.9</v>
      </c>
      <c r="L743" s="185"/>
      <c r="M743" s="16">
        <v>740</v>
      </c>
      <c r="N743" s="16">
        <f t="shared" si="84"/>
        <v>2.2093308171037652E-2</v>
      </c>
      <c r="O743" s="16">
        <v>4</v>
      </c>
      <c r="P743" s="16">
        <f t="shared" si="80"/>
        <v>9.1833785004516724</v>
      </c>
      <c r="Q743" s="16">
        <f t="shared" si="85"/>
        <v>45.262574181213409</v>
      </c>
      <c r="R743" s="113">
        <f t="shared" si="81"/>
        <v>329.49099999999999</v>
      </c>
      <c r="S743" s="16">
        <f>IF(S742=15800,15800,ROUND((((Q743*60)/'Gearing Calculator'!$C$14)*'Track Data'!P743),-2))</f>
        <v>12600</v>
      </c>
      <c r="T743" s="16">
        <f t="shared" si="83"/>
        <v>4.8192435869194066</v>
      </c>
      <c r="U743" s="16">
        <f>IF(AC743=100,Braking!$AG$2354,IF(AC743=50,Braking!$AG$1179,IF(AC743=75,Braking!$AG$1767,0)))</f>
        <v>0</v>
      </c>
      <c r="V743" s="16">
        <f>0.5*'Gearing Calculator'!$C$15*'Gearing Calculator'!$C$20*'Gearing Calculator'!$W$20*('Track Data'!Q743^2)</f>
        <v>216.83447378060217</v>
      </c>
      <c r="W743" s="16">
        <f>('Gearing Calculator'!$U$9*'Track Data'!T743)+'Track Data'!V743</f>
        <v>1499.7171166185481</v>
      </c>
      <c r="X743" s="16">
        <f>('Gearing Calculator'!$U$9*9.81)*('Gearing Calculator'!$U$16/'Gearing Calculator'!$C$7)-(('Track Data'!W743)*('Gearing Calculator'!$U$17/'Gearing Calculator'!$C$7))</f>
        <v>583.71405016234439</v>
      </c>
      <c r="Y743" s="16">
        <f>('Gearing Calculator'!$U$9*9.81)*(('Gearing Calculator'!$C$7-'Gearing Calculator'!$U$16)/'Gearing Calculator'!$C$7)+(('Track Data'!W743)*('Gearing Calculator'!$U$17/'Gearing Calculator'!$C$7))</f>
        <v>2027.7079498376556</v>
      </c>
      <c r="Z743" s="16">
        <f>((X743*COS('Gearing Calculator'!$C$21))/'Gearing Calculator'!$C$22)/2</f>
        <v>18.046592300766857</v>
      </c>
      <c r="AA743" s="16">
        <f>Y743/'Gearing Calculator'!$C$24</f>
        <v>28.313604005854771</v>
      </c>
      <c r="AB743" s="16">
        <f t="shared" si="79"/>
        <v>236.11144812827979</v>
      </c>
      <c r="AC743" s="16">
        <v>0</v>
      </c>
      <c r="AD743" s="16">
        <v>0</v>
      </c>
      <c r="AE743" s="16">
        <v>740</v>
      </c>
      <c r="AF743" s="16">
        <f>IF(AC743=0,IF(O743=6,INDEX(Acceleration!$V$4:$V$110,MATCH('Track Data'!S743,Acceleration!$K$4:$K$110,0)),IF('Track Data'!O743=5,INDEX(Acceleration!$U$4:$U$110,MATCH('Track Data'!S743,Acceleration!$K$4:$K$110,0)),1)),U743)</f>
        <v>1</v>
      </c>
      <c r="AG743" s="16">
        <f>IF(AC743=0,IF(O743=4,INDEX(Acceleration!$T$4:$T$110,MATCH('Track Data'!S743,Acceleration!$K$4:$K$110,0)),IF('Track Data'!O743=3,INDEX(Acceleration!$S$4:$S$110,MATCH('Track Data'!S743,Acceleration!$K$4:$K$110,0)),'Track Data'!AF743)),'Track Data'!U743)</f>
        <v>4.8192435869194066</v>
      </c>
      <c r="AH743" s="16">
        <f>IF(AC743=0,IF(O743=2,INDEX(Acceleration!$R$4:$R$110,MATCH('Track Data'!S743,Acceleration!$K$4:$K$110,0)),IF('Track Data'!O743=1,INDEX(Acceleration!$Q$4:$Q$110,MATCH('Track Data'!S743,Acceleration!$K$4:$K$110,0)),'Track Data'!AG743)),'Track Data'!U743)</f>
        <v>4.8192435869194066</v>
      </c>
    </row>
    <row r="744" spans="2:34" x14ac:dyDescent="0.25">
      <c r="B744" s="16">
        <v>217.911</v>
      </c>
      <c r="C744" s="16">
        <v>8014</v>
      </c>
      <c r="D744" s="16">
        <v>741</v>
      </c>
      <c r="E744" s="113">
        <v>171</v>
      </c>
      <c r="F744" s="113">
        <v>159.6</v>
      </c>
      <c r="G744" s="113">
        <v>150.69999999999999</v>
      </c>
      <c r="H744" s="113">
        <f t="shared" si="82"/>
        <v>41.861111111111107</v>
      </c>
      <c r="I744" s="113">
        <v>9</v>
      </c>
      <c r="J744" s="113">
        <v>22.92</v>
      </c>
      <c r="K744" s="113">
        <v>47.6</v>
      </c>
      <c r="L744" s="185"/>
      <c r="M744" s="16">
        <v>741</v>
      </c>
      <c r="N744" s="16">
        <f t="shared" si="84"/>
        <v>2.2041519828671578E-2</v>
      </c>
      <c r="O744" s="16">
        <v>4</v>
      </c>
      <c r="P744" s="16">
        <f t="shared" si="80"/>
        <v>9.1833785004516724</v>
      </c>
      <c r="Q744" s="16">
        <f t="shared" si="85"/>
        <v>45.368922278181628</v>
      </c>
      <c r="R744" s="113">
        <f t="shared" si="81"/>
        <v>329.49099999999999</v>
      </c>
      <c r="S744" s="16">
        <f>IF(S743=15800,15800,ROUND((((Q744*60)/'Gearing Calculator'!$C$14)*'Track Data'!P744),-2))</f>
        <v>12600</v>
      </c>
      <c r="T744" s="16">
        <f t="shared" si="83"/>
        <v>4.8192435869194066</v>
      </c>
      <c r="U744" s="16">
        <f>IF(AC744=100,Braking!$AG$2354,IF(AC744=50,Braking!$AG$1179,IF(AC744=75,Braking!$AG$1767,0)))</f>
        <v>0</v>
      </c>
      <c r="V744" s="16">
        <f>0.5*'Gearing Calculator'!$C$15*'Gearing Calculator'!$C$20*'Gearing Calculator'!$W$20*('Track Data'!Q744^2)</f>
        <v>217.85461126308124</v>
      </c>
      <c r="W744" s="16">
        <f>('Gearing Calculator'!$U$9*'Track Data'!T744)+'Track Data'!V744</f>
        <v>1500.7372541010272</v>
      </c>
      <c r="X744" s="16">
        <f>('Gearing Calculator'!$U$9*9.81)*('Gearing Calculator'!$U$16/'Gearing Calculator'!$C$7)-(('Track Data'!W744)*('Gearing Calculator'!$U$17/'Gearing Calculator'!$C$7))</f>
        <v>583.15800556539625</v>
      </c>
      <c r="Y744" s="16">
        <f>('Gearing Calculator'!$U$9*9.81)*(('Gearing Calculator'!$C$7-'Gearing Calculator'!$U$16)/'Gearing Calculator'!$C$7)+(('Track Data'!W744)*('Gearing Calculator'!$U$17/'Gearing Calculator'!$C$7))</f>
        <v>2028.2639944346038</v>
      </c>
      <c r="Z744" s="16">
        <f>((X744*COS('Gearing Calculator'!$C$21))/'Gearing Calculator'!$C$22)/2</f>
        <v>18.029401160448451</v>
      </c>
      <c r="AA744" s="16">
        <f>Y744/'Gearing Calculator'!$C$24</f>
        <v>28.321368253427426</v>
      </c>
      <c r="AB744" s="16">
        <f t="shared" si="79"/>
        <v>237.13158561075886</v>
      </c>
      <c r="AC744" s="16">
        <v>0</v>
      </c>
      <c r="AD744" s="16">
        <v>0</v>
      </c>
      <c r="AE744" s="16">
        <v>741</v>
      </c>
      <c r="AF744" s="16">
        <f>IF(AC744=0,IF(O744=6,INDEX(Acceleration!$V$4:$V$110,MATCH('Track Data'!S744,Acceleration!$K$4:$K$110,0)),IF('Track Data'!O744=5,INDEX(Acceleration!$U$4:$U$110,MATCH('Track Data'!S744,Acceleration!$K$4:$K$110,0)),1)),U744)</f>
        <v>1</v>
      </c>
      <c r="AG744" s="16">
        <f>IF(AC744=0,IF(O744=4,INDEX(Acceleration!$T$4:$T$110,MATCH('Track Data'!S744,Acceleration!$K$4:$K$110,0)),IF('Track Data'!O744=3,INDEX(Acceleration!$S$4:$S$110,MATCH('Track Data'!S744,Acceleration!$K$4:$K$110,0)),'Track Data'!AF744)),'Track Data'!U744)</f>
        <v>4.8192435869194066</v>
      </c>
      <c r="AH744" s="16">
        <f>IF(AC744=0,IF(O744=2,INDEX(Acceleration!$R$4:$R$110,MATCH('Track Data'!S744,Acceleration!$K$4:$K$110,0)),IF('Track Data'!O744=1,INDEX(Acceleration!$Q$4:$Q$110,MATCH('Track Data'!S744,Acceleration!$K$4:$K$110,0)),'Track Data'!AG744)),'Track Data'!U744)</f>
        <v>4.8192435869194066</v>
      </c>
    </row>
    <row r="745" spans="2:34" x14ac:dyDescent="0.25">
      <c r="B745" s="16">
        <v>217.934</v>
      </c>
      <c r="C745" s="16">
        <v>8015</v>
      </c>
      <c r="D745" s="16">
        <v>742</v>
      </c>
      <c r="E745" s="113">
        <v>171</v>
      </c>
      <c r="F745" s="113">
        <v>159.9</v>
      </c>
      <c r="G745" s="113">
        <v>151</v>
      </c>
      <c r="H745" s="113">
        <f t="shared" si="82"/>
        <v>41.944444444444443</v>
      </c>
      <c r="I745" s="113">
        <v>7.9</v>
      </c>
      <c r="J745" s="113">
        <v>23.22</v>
      </c>
      <c r="K745" s="113">
        <v>48</v>
      </c>
      <c r="L745" s="185"/>
      <c r="M745" s="16">
        <v>742</v>
      </c>
      <c r="N745" s="16">
        <f t="shared" si="84"/>
        <v>2.1990093974310787E-2</v>
      </c>
      <c r="O745" s="16">
        <v>4</v>
      </c>
      <c r="P745" s="16">
        <f t="shared" si="80"/>
        <v>9.1833785004516724</v>
      </c>
      <c r="Q745" s="16">
        <f t="shared" si="85"/>
        <v>45.475021669676245</v>
      </c>
      <c r="R745" s="113">
        <f t="shared" si="81"/>
        <v>329.49099999999999</v>
      </c>
      <c r="S745" s="16">
        <f>IF(S744=15800,15800,ROUND((((Q745*60)/'Gearing Calculator'!$C$14)*'Track Data'!P745),-2))</f>
        <v>12700</v>
      </c>
      <c r="T745" s="16">
        <f t="shared" si="83"/>
        <v>4.8183564077382988</v>
      </c>
      <c r="U745" s="16">
        <f>IF(AC745=100,Braking!$AG$2354,IF(AC745=50,Braking!$AG$1179,IF(AC745=75,Braking!$AG$1767,0)))</f>
        <v>0</v>
      </c>
      <c r="V745" s="16">
        <f>0.5*'Gearing Calculator'!$C$15*'Gearing Calculator'!$C$20*'Gearing Calculator'!$W$20*('Track Data'!Q745^2)</f>
        <v>218.87474874556034</v>
      </c>
      <c r="W745" s="16">
        <f>('Gearing Calculator'!$U$9*'Track Data'!T745)+'Track Data'!V745</f>
        <v>1501.5212244854954</v>
      </c>
      <c r="X745" s="16">
        <f>('Gearing Calculator'!$U$9*9.81)*('Gearing Calculator'!$U$16/'Gearing Calculator'!$C$7)-(('Track Data'!W745)*('Gearing Calculator'!$U$17/'Gearing Calculator'!$C$7))</f>
        <v>582.73068816559692</v>
      </c>
      <c r="Y745" s="16">
        <f>('Gearing Calculator'!$U$9*9.81)*(('Gearing Calculator'!$C$7-'Gearing Calculator'!$U$16)/'Gearing Calculator'!$C$7)+(('Track Data'!W745)*('Gearing Calculator'!$U$17/'Gearing Calculator'!$C$7))</f>
        <v>2028.6913118344032</v>
      </c>
      <c r="Z745" s="16">
        <f>((X745*COS('Gearing Calculator'!$C$21))/'Gearing Calculator'!$C$22)/2</f>
        <v>18.016189857936446</v>
      </c>
      <c r="AA745" s="16">
        <f>Y745/'Gearing Calculator'!$C$24</f>
        <v>28.327335037570922</v>
      </c>
      <c r="AB745" s="16">
        <f t="shared" si="79"/>
        <v>238.14817437651354</v>
      </c>
      <c r="AC745" s="16">
        <v>0</v>
      </c>
      <c r="AD745" s="16">
        <v>0</v>
      </c>
      <c r="AE745" s="16">
        <v>742</v>
      </c>
      <c r="AF745" s="16">
        <f>IF(AC745=0,IF(O745=6,INDEX(Acceleration!$V$4:$V$110,MATCH('Track Data'!S745,Acceleration!$K$4:$K$110,0)),IF('Track Data'!O745=5,INDEX(Acceleration!$U$4:$U$110,MATCH('Track Data'!S745,Acceleration!$K$4:$K$110,0)),1)),U745)</f>
        <v>1</v>
      </c>
      <c r="AG745" s="16">
        <f>IF(AC745=0,IF(O745=4,INDEX(Acceleration!$T$4:$T$110,MATCH('Track Data'!S745,Acceleration!$K$4:$K$110,0)),IF('Track Data'!O745=3,INDEX(Acceleration!$S$4:$S$110,MATCH('Track Data'!S745,Acceleration!$K$4:$K$110,0)),'Track Data'!AF745)),'Track Data'!U745)</f>
        <v>4.8183564077382988</v>
      </c>
      <c r="AH745" s="16">
        <f>IF(AC745=0,IF(O745=2,INDEX(Acceleration!$R$4:$R$110,MATCH('Track Data'!S745,Acceleration!$K$4:$K$110,0)),IF('Track Data'!O745=1,INDEX(Acceleration!$Q$4:$Q$110,MATCH('Track Data'!S745,Acceleration!$K$4:$K$110,0)),'Track Data'!AG745)),'Track Data'!U745)</f>
        <v>4.8183564077382988</v>
      </c>
    </row>
    <row r="746" spans="2:34" x14ac:dyDescent="0.25">
      <c r="B746" s="16">
        <v>217.95599999999999</v>
      </c>
      <c r="C746" s="16">
        <v>8016</v>
      </c>
      <c r="D746" s="16">
        <v>743</v>
      </c>
      <c r="E746" s="113">
        <v>171</v>
      </c>
      <c r="F746" s="113">
        <v>160.19999999999999</v>
      </c>
      <c r="G746" s="113">
        <v>151.19999999999999</v>
      </c>
      <c r="H746" s="113">
        <f t="shared" si="82"/>
        <v>41.999999999999993</v>
      </c>
      <c r="I746" s="113">
        <v>7.5</v>
      </c>
      <c r="J746" s="113">
        <v>25.14</v>
      </c>
      <c r="K746" s="113">
        <v>48.1</v>
      </c>
      <c r="L746" s="185"/>
      <c r="M746" s="16">
        <v>743</v>
      </c>
      <c r="N746" s="16">
        <f t="shared" si="84"/>
        <v>2.1939035767281987E-2</v>
      </c>
      <c r="O746" s="16">
        <v>4</v>
      </c>
      <c r="P746" s="16">
        <f t="shared" si="80"/>
        <v>9.1833785004516724</v>
      </c>
      <c r="Q746" s="16">
        <f t="shared" si="85"/>
        <v>45.580854628593798</v>
      </c>
      <c r="R746" s="113">
        <f t="shared" si="81"/>
        <v>329.49099999999999</v>
      </c>
      <c r="S746" s="16">
        <f>IF(S745=15800,15800,ROUND((((Q746*60)/'Gearing Calculator'!$C$14)*'Track Data'!P746),-2))</f>
        <v>12700</v>
      </c>
      <c r="T746" s="16">
        <f t="shared" si="83"/>
        <v>4.8183564077382988</v>
      </c>
      <c r="U746" s="16">
        <f>IF(AC746=100,Braking!$AG$2354,IF(AC746=50,Braking!$AG$1179,IF(AC746=75,Braking!$AG$1767,0)))</f>
        <v>0</v>
      </c>
      <c r="V746" s="16">
        <f>0.5*'Gearing Calculator'!$C$15*'Gearing Calculator'!$C$20*'Gearing Calculator'!$W$20*('Track Data'!Q746^2)</f>
        <v>219.89469842995038</v>
      </c>
      <c r="W746" s="16">
        <f>('Gearing Calculator'!$U$9*'Track Data'!T746)+'Track Data'!V746</f>
        <v>1502.5411741698854</v>
      </c>
      <c r="X746" s="16">
        <f>('Gearing Calculator'!$U$9*9.81)*('Gearing Calculator'!$U$16/'Gearing Calculator'!$C$7)-(('Track Data'!W746)*('Gearing Calculator'!$U$17/'Gearing Calculator'!$C$7))</f>
        <v>582.17474593143277</v>
      </c>
      <c r="Y746" s="16">
        <f>('Gearing Calculator'!$U$9*9.81)*(('Gearing Calculator'!$C$7-'Gearing Calculator'!$U$16)/'Gearing Calculator'!$C$7)+(('Track Data'!W746)*('Gearing Calculator'!$U$17/'Gearing Calculator'!$C$7))</f>
        <v>2029.2472540685671</v>
      </c>
      <c r="Z746" s="16">
        <f>((X746*COS('Gearing Calculator'!$C$21))/'Gearing Calculator'!$C$22)/2</f>
        <v>17.999001882351571</v>
      </c>
      <c r="AA746" s="16">
        <f>Y746/'Gearing Calculator'!$C$24</f>
        <v>28.335097855815782</v>
      </c>
      <c r="AB746" s="16">
        <f t="shared" si="79"/>
        <v>239.16812406090358</v>
      </c>
      <c r="AC746" s="16">
        <v>0</v>
      </c>
      <c r="AD746" s="16">
        <v>0</v>
      </c>
      <c r="AE746" s="16">
        <v>743</v>
      </c>
      <c r="AF746" s="16">
        <f>IF(AC746=0,IF(O746=6,INDEX(Acceleration!$V$4:$V$110,MATCH('Track Data'!S746,Acceleration!$K$4:$K$110,0)),IF('Track Data'!O746=5,INDEX(Acceleration!$U$4:$U$110,MATCH('Track Data'!S746,Acceleration!$K$4:$K$110,0)),1)),U746)</f>
        <v>1</v>
      </c>
      <c r="AG746" s="16">
        <f>IF(AC746=0,IF(O746=4,INDEX(Acceleration!$T$4:$T$110,MATCH('Track Data'!S746,Acceleration!$K$4:$K$110,0)),IF('Track Data'!O746=3,INDEX(Acceleration!$S$4:$S$110,MATCH('Track Data'!S746,Acceleration!$K$4:$K$110,0)),'Track Data'!AF746)),'Track Data'!U746)</f>
        <v>4.8183564077382988</v>
      </c>
      <c r="AH746" s="16">
        <f>IF(AC746=0,IF(O746=2,INDEX(Acceleration!$R$4:$R$110,MATCH('Track Data'!S746,Acceleration!$K$4:$K$110,0)),IF('Track Data'!O746=1,INDEX(Acceleration!$Q$4:$Q$110,MATCH('Track Data'!S746,Acceleration!$K$4:$K$110,0)),'Track Data'!AG746)),'Track Data'!U746)</f>
        <v>4.8183564077382988</v>
      </c>
    </row>
    <row r="747" spans="2:34" x14ac:dyDescent="0.25">
      <c r="B747" s="16">
        <v>217.97900000000001</v>
      </c>
      <c r="C747" s="16">
        <v>8017</v>
      </c>
      <c r="D747" s="16">
        <v>744</v>
      </c>
      <c r="E747" s="113">
        <v>171</v>
      </c>
      <c r="F747" s="113">
        <v>160.30000000000001</v>
      </c>
      <c r="G747" s="113">
        <v>151.5</v>
      </c>
      <c r="H747" s="113">
        <f t="shared" si="82"/>
        <v>42.083333333333336</v>
      </c>
      <c r="I747" s="113">
        <v>8.1</v>
      </c>
      <c r="J747" s="113">
        <v>26.4</v>
      </c>
      <c r="K747" s="113">
        <v>48.3</v>
      </c>
      <c r="L747" s="185"/>
      <c r="M747" s="16">
        <v>744</v>
      </c>
      <c r="N747" s="16">
        <f t="shared" si="84"/>
        <v>2.1888331568672436E-2</v>
      </c>
      <c r="O747" s="16">
        <v>4</v>
      </c>
      <c r="P747" s="16">
        <f t="shared" si="80"/>
        <v>9.1833785004516724</v>
      </c>
      <c r="Q747" s="16">
        <f t="shared" si="85"/>
        <v>45.68644242539002</v>
      </c>
      <c r="R747" s="113">
        <f t="shared" si="81"/>
        <v>329.49099999999999</v>
      </c>
      <c r="S747" s="16">
        <f>IF(S746=15800,15800,ROUND((((Q747*60)/'Gearing Calculator'!$C$14)*'Track Data'!P747),-2))</f>
        <v>12700</v>
      </c>
      <c r="T747" s="16">
        <f t="shared" si="83"/>
        <v>4.8183564077382988</v>
      </c>
      <c r="U747" s="16">
        <f>IF(AC747=100,Braking!$AG$2354,IF(AC747=50,Braking!$AG$1179,IF(AC747=75,Braking!$AG$1767,0)))</f>
        <v>0</v>
      </c>
      <c r="V747" s="16">
        <f>0.5*'Gearing Calculator'!$C$15*'Gearing Calculator'!$C$20*'Gearing Calculator'!$W$20*('Track Data'!Q747^2)</f>
        <v>220.91464811434037</v>
      </c>
      <c r="W747" s="16">
        <f>('Gearing Calculator'!$U$9*'Track Data'!T747)+'Track Data'!V747</f>
        <v>1503.5611238542756</v>
      </c>
      <c r="X747" s="16">
        <f>('Gearing Calculator'!$U$9*9.81)*('Gearing Calculator'!$U$16/'Gearing Calculator'!$C$7)-(('Track Data'!W747)*('Gearing Calculator'!$U$17/'Gearing Calculator'!$C$7))</f>
        <v>581.61880369726862</v>
      </c>
      <c r="Y747" s="16">
        <f>('Gearing Calculator'!$U$9*9.81)*(('Gearing Calculator'!$C$7-'Gearing Calculator'!$U$16)/'Gearing Calculator'!$C$7)+(('Track Data'!W747)*('Gearing Calculator'!$U$17/'Gearing Calculator'!$C$7))</f>
        <v>2029.8031963027315</v>
      </c>
      <c r="Z747" s="16">
        <f>((X747*COS('Gearing Calculator'!$C$21))/'Gearing Calculator'!$C$22)/2</f>
        <v>17.981813906766696</v>
      </c>
      <c r="AA747" s="16">
        <f>Y747/'Gearing Calculator'!$C$24</f>
        <v>28.342860674060649</v>
      </c>
      <c r="AB747" s="16">
        <f t="shared" si="79"/>
        <v>240.18807374529356</v>
      </c>
      <c r="AC747" s="16">
        <v>0</v>
      </c>
      <c r="AD747" s="16">
        <v>0</v>
      </c>
      <c r="AE747" s="16">
        <v>744</v>
      </c>
      <c r="AF747" s="16">
        <f>IF(AC747=0,IF(O747=6,INDEX(Acceleration!$V$4:$V$110,MATCH('Track Data'!S747,Acceleration!$K$4:$K$110,0)),IF('Track Data'!O747=5,INDEX(Acceleration!$U$4:$U$110,MATCH('Track Data'!S747,Acceleration!$K$4:$K$110,0)),1)),U747)</f>
        <v>1</v>
      </c>
      <c r="AG747" s="16">
        <f>IF(AC747=0,IF(O747=4,INDEX(Acceleration!$T$4:$T$110,MATCH('Track Data'!S747,Acceleration!$K$4:$K$110,0)),IF('Track Data'!O747=3,INDEX(Acceleration!$S$4:$S$110,MATCH('Track Data'!S747,Acceleration!$K$4:$K$110,0)),'Track Data'!AF747)),'Track Data'!U747)</f>
        <v>4.8183564077382988</v>
      </c>
      <c r="AH747" s="16">
        <f>IF(AC747=0,IF(O747=2,INDEX(Acceleration!$R$4:$R$110,MATCH('Track Data'!S747,Acceleration!$K$4:$K$110,0)),IF('Track Data'!O747=1,INDEX(Acceleration!$Q$4:$Q$110,MATCH('Track Data'!S747,Acceleration!$K$4:$K$110,0)),'Track Data'!AG747)),'Track Data'!U747)</f>
        <v>4.8183564077382988</v>
      </c>
    </row>
    <row r="748" spans="2:34" x14ac:dyDescent="0.25">
      <c r="B748" s="16">
        <v>218.001</v>
      </c>
      <c r="C748" s="16">
        <v>8018</v>
      </c>
      <c r="D748" s="16">
        <v>745</v>
      </c>
      <c r="E748" s="113">
        <v>171</v>
      </c>
      <c r="F748" s="113">
        <v>160.30000000000001</v>
      </c>
      <c r="G748" s="113">
        <v>151.9</v>
      </c>
      <c r="H748" s="113">
        <f t="shared" si="82"/>
        <v>42.194444444444443</v>
      </c>
      <c r="I748" s="113">
        <v>10.199999999999999</v>
      </c>
      <c r="J748" s="113">
        <v>24.06</v>
      </c>
      <c r="K748" s="113">
        <v>48.2</v>
      </c>
      <c r="L748" s="185"/>
      <c r="M748" s="16">
        <v>745</v>
      </c>
      <c r="N748" s="16">
        <f t="shared" si="84"/>
        <v>2.1837977306480467E-2</v>
      </c>
      <c r="O748" s="16">
        <v>4</v>
      </c>
      <c r="P748" s="16">
        <f t="shared" si="80"/>
        <v>9.1833785004516724</v>
      </c>
      <c r="Q748" s="16">
        <f t="shared" si="85"/>
        <v>45.791786755966989</v>
      </c>
      <c r="R748" s="113">
        <f t="shared" si="81"/>
        <v>329.49099999999999</v>
      </c>
      <c r="S748" s="16">
        <f>IF(S747=15800,15800,ROUND((((Q748*60)/'Gearing Calculator'!$C$14)*'Track Data'!P748),-2))</f>
        <v>12700</v>
      </c>
      <c r="T748" s="16">
        <f t="shared" si="83"/>
        <v>4.8183564077382988</v>
      </c>
      <c r="U748" s="16">
        <f>IF(AC748=100,Braking!$AG$2354,IF(AC748=50,Braking!$AG$1179,IF(AC748=75,Braking!$AG$1767,0)))</f>
        <v>0</v>
      </c>
      <c r="V748" s="16">
        <f>0.5*'Gearing Calculator'!$C$15*'Gearing Calculator'!$C$20*'Gearing Calculator'!$W$20*('Track Data'!Q748^2)</f>
        <v>221.93459779873041</v>
      </c>
      <c r="W748" s="16">
        <f>('Gearing Calculator'!$U$9*'Track Data'!T748)+'Track Data'!V748</f>
        <v>1504.5810735386656</v>
      </c>
      <c r="X748" s="16">
        <f>('Gearing Calculator'!$U$9*9.81)*('Gearing Calculator'!$U$16/'Gearing Calculator'!$C$7)-(('Track Data'!W748)*('Gearing Calculator'!$U$17/'Gearing Calculator'!$C$7))</f>
        <v>581.06286146310447</v>
      </c>
      <c r="Y748" s="16">
        <f>('Gearing Calculator'!$U$9*9.81)*(('Gearing Calculator'!$C$7-'Gearing Calculator'!$U$16)/'Gearing Calculator'!$C$7)+(('Track Data'!W748)*('Gearing Calculator'!$U$17/'Gearing Calculator'!$C$7))</f>
        <v>2030.3591385368954</v>
      </c>
      <c r="Z748" s="16">
        <f>((X748*COS('Gearing Calculator'!$C$21))/'Gearing Calculator'!$C$22)/2</f>
        <v>17.964625931181825</v>
      </c>
      <c r="AA748" s="16">
        <f>Y748/'Gearing Calculator'!$C$24</f>
        <v>28.350623492305509</v>
      </c>
      <c r="AB748" s="16">
        <f t="shared" si="79"/>
        <v>241.20802342968361</v>
      </c>
      <c r="AC748" s="16">
        <v>0</v>
      </c>
      <c r="AD748" s="16">
        <v>0</v>
      </c>
      <c r="AE748" s="16">
        <v>745</v>
      </c>
      <c r="AF748" s="16">
        <f>IF(AC748=0,IF(O748=6,INDEX(Acceleration!$V$4:$V$110,MATCH('Track Data'!S748,Acceleration!$K$4:$K$110,0)),IF('Track Data'!O748=5,INDEX(Acceleration!$U$4:$U$110,MATCH('Track Data'!S748,Acceleration!$K$4:$K$110,0)),1)),U748)</f>
        <v>1</v>
      </c>
      <c r="AG748" s="16">
        <f>IF(AC748=0,IF(O748=4,INDEX(Acceleration!$T$4:$T$110,MATCH('Track Data'!S748,Acceleration!$K$4:$K$110,0)),IF('Track Data'!O748=3,INDEX(Acceleration!$S$4:$S$110,MATCH('Track Data'!S748,Acceleration!$K$4:$K$110,0)),'Track Data'!AF748)),'Track Data'!U748)</f>
        <v>4.8183564077382988</v>
      </c>
      <c r="AH748" s="16">
        <f>IF(AC748=0,IF(O748=2,INDEX(Acceleration!$R$4:$R$110,MATCH('Track Data'!S748,Acceleration!$K$4:$K$110,0)),IF('Track Data'!O748=1,INDEX(Acceleration!$Q$4:$Q$110,MATCH('Track Data'!S748,Acceleration!$K$4:$K$110,0)),'Track Data'!AG748)),'Track Data'!U748)</f>
        <v>4.8183564077382988</v>
      </c>
    </row>
    <row r="749" spans="2:34" x14ac:dyDescent="0.25">
      <c r="B749" s="16">
        <v>218.024</v>
      </c>
      <c r="C749" s="16">
        <v>8019</v>
      </c>
      <c r="D749" s="16">
        <v>746</v>
      </c>
      <c r="E749" s="113">
        <v>171</v>
      </c>
      <c r="F749" s="113">
        <v>160.19999999999999</v>
      </c>
      <c r="G749" s="113">
        <v>152.1</v>
      </c>
      <c r="H749" s="113">
        <f t="shared" si="82"/>
        <v>42.25</v>
      </c>
      <c r="I749" s="113">
        <v>11.2</v>
      </c>
      <c r="J749" s="113">
        <v>21.98</v>
      </c>
      <c r="K749" s="113">
        <v>46.4</v>
      </c>
      <c r="L749" s="185"/>
      <c r="M749" s="16">
        <v>746</v>
      </c>
      <c r="N749" s="16">
        <f t="shared" si="84"/>
        <v>2.1787968973977962E-2</v>
      </c>
      <c r="O749" s="16">
        <v>4</v>
      </c>
      <c r="P749" s="16">
        <f t="shared" si="80"/>
        <v>9.1833785004516724</v>
      </c>
      <c r="Q749" s="16">
        <f t="shared" si="85"/>
        <v>45.896889296764222</v>
      </c>
      <c r="R749" s="113">
        <f t="shared" si="81"/>
        <v>329.49099999999999</v>
      </c>
      <c r="S749" s="16">
        <f>IF(S748=15800,15800,ROUND((((Q749*60)/'Gearing Calculator'!$C$14)*'Track Data'!P749),-2))</f>
        <v>12800</v>
      </c>
      <c r="T749" s="16">
        <f t="shared" si="83"/>
        <v>4.792705712495037</v>
      </c>
      <c r="U749" s="16">
        <f>IF(AC749=100,Braking!$AG$2354,IF(AC749=50,Braking!$AG$1179,IF(AC749=75,Braking!$AG$1767,0)))</f>
        <v>0</v>
      </c>
      <c r="V749" s="16">
        <f>0.5*'Gearing Calculator'!$C$15*'Gearing Calculator'!$C$20*'Gearing Calculator'!$W$20*('Track Data'!Q749^2)</f>
        <v>222.95454748312045</v>
      </c>
      <c r="W749" s="16">
        <f>('Gearing Calculator'!$U$9*'Track Data'!T749)+'Track Data'!V749</f>
        <v>1498.7728081492992</v>
      </c>
      <c r="X749" s="16">
        <f>('Gearing Calculator'!$U$9*9.81)*('Gearing Calculator'!$U$16/'Gearing Calculator'!$C$7)-(('Track Data'!W749)*('Gearing Calculator'!$U$17/'Gearing Calculator'!$C$7))</f>
        <v>584.22876276843567</v>
      </c>
      <c r="Y749" s="16">
        <f>('Gearing Calculator'!$U$9*9.81)*(('Gearing Calculator'!$C$7-'Gearing Calculator'!$U$16)/'Gearing Calculator'!$C$7)+(('Track Data'!W749)*('Gearing Calculator'!$U$17/'Gearing Calculator'!$C$7))</f>
        <v>2027.1932372315644</v>
      </c>
      <c r="Z749" s="16">
        <f>((X749*COS('Gearing Calculator'!$C$21))/'Gearing Calculator'!$C$22)/2</f>
        <v>18.062505586649923</v>
      </c>
      <c r="AA749" s="16">
        <f>Y749/'Gearing Calculator'!$C$24</f>
        <v>28.306416891503879</v>
      </c>
      <c r="AB749" s="16">
        <f t="shared" si="79"/>
        <v>242.12537033310059</v>
      </c>
      <c r="AC749" s="16">
        <v>0</v>
      </c>
      <c r="AD749" s="16">
        <v>0</v>
      </c>
      <c r="AE749" s="16">
        <v>746</v>
      </c>
      <c r="AF749" s="16">
        <f>IF(AC749=0,IF(O749=6,INDEX(Acceleration!$V$4:$V$110,MATCH('Track Data'!S749,Acceleration!$K$4:$K$110,0)),IF('Track Data'!O749=5,INDEX(Acceleration!$U$4:$U$110,MATCH('Track Data'!S749,Acceleration!$K$4:$K$110,0)),1)),U749)</f>
        <v>1</v>
      </c>
      <c r="AG749" s="16">
        <f>IF(AC749=0,IF(O749=4,INDEX(Acceleration!$T$4:$T$110,MATCH('Track Data'!S749,Acceleration!$K$4:$K$110,0)),IF('Track Data'!O749=3,INDEX(Acceleration!$S$4:$S$110,MATCH('Track Data'!S749,Acceleration!$K$4:$K$110,0)),'Track Data'!AF749)),'Track Data'!U749)</f>
        <v>4.792705712495037</v>
      </c>
      <c r="AH749" s="16">
        <f>IF(AC749=0,IF(O749=2,INDEX(Acceleration!$R$4:$R$110,MATCH('Track Data'!S749,Acceleration!$K$4:$K$110,0)),IF('Track Data'!O749=1,INDEX(Acceleration!$Q$4:$Q$110,MATCH('Track Data'!S749,Acceleration!$K$4:$K$110,0)),'Track Data'!AG749)),'Track Data'!U749)</f>
        <v>4.792705712495037</v>
      </c>
    </row>
    <row r="750" spans="2:34" x14ac:dyDescent="0.25">
      <c r="B750" s="16">
        <v>218.04599999999999</v>
      </c>
      <c r="C750" s="16">
        <v>8020</v>
      </c>
      <c r="D750" s="16">
        <v>747</v>
      </c>
      <c r="E750" s="113">
        <v>171</v>
      </c>
      <c r="F750" s="113">
        <v>160.1</v>
      </c>
      <c r="G750" s="113">
        <v>152.30000000000001</v>
      </c>
      <c r="H750" s="113">
        <f t="shared" si="82"/>
        <v>42.305555555555557</v>
      </c>
      <c r="I750" s="113">
        <v>10.7</v>
      </c>
      <c r="J750" s="113">
        <v>20.57</v>
      </c>
      <c r="K750" s="113">
        <v>44.6</v>
      </c>
      <c r="L750" s="185"/>
      <c r="M750" s="16">
        <v>747</v>
      </c>
      <c r="N750" s="16">
        <f t="shared" si="84"/>
        <v>2.1738566130378913E-2</v>
      </c>
      <c r="O750" s="16">
        <v>4</v>
      </c>
      <c r="P750" s="16">
        <f t="shared" si="80"/>
        <v>9.1833785004516724</v>
      </c>
      <c r="Q750" s="16">
        <f t="shared" si="85"/>
        <v>46.001194099114649</v>
      </c>
      <c r="R750" s="113">
        <f t="shared" si="81"/>
        <v>329.49099999999999</v>
      </c>
      <c r="S750" s="16">
        <f>IF(S749=15800,15800,ROUND((((Q750*60)/'Gearing Calculator'!$C$14)*'Track Data'!P750),-2))</f>
        <v>12800</v>
      </c>
      <c r="T750" s="16">
        <f t="shared" si="83"/>
        <v>4.792705712495037</v>
      </c>
      <c r="U750" s="16">
        <f>IF(AC750=100,Braking!$AG$2354,IF(AC750=50,Braking!$AG$1179,IF(AC750=75,Braking!$AG$1767,0)))</f>
        <v>0</v>
      </c>
      <c r="V750" s="16">
        <f>0.5*'Gearing Calculator'!$C$15*'Gearing Calculator'!$C$20*'Gearing Calculator'!$W$20*('Track Data'!Q750^2)</f>
        <v>223.96906742834145</v>
      </c>
      <c r="W750" s="16">
        <f>('Gearing Calculator'!$U$9*'Track Data'!T750)+'Track Data'!V750</f>
        <v>1499.7873280945203</v>
      </c>
      <c r="X750" s="16">
        <f>('Gearing Calculator'!$U$9*9.81)*('Gearing Calculator'!$U$16/'Gearing Calculator'!$C$7)-(('Track Data'!W750)*('Gearing Calculator'!$U$17/'Gearing Calculator'!$C$7))</f>
        <v>583.67578011293574</v>
      </c>
      <c r="Y750" s="16">
        <f>('Gearing Calculator'!$U$9*9.81)*(('Gearing Calculator'!$C$7-'Gearing Calculator'!$U$16)/'Gearing Calculator'!$C$7)+(('Track Data'!W750)*('Gearing Calculator'!$U$17/'Gearing Calculator'!$C$7))</f>
        <v>2027.7462198870644</v>
      </c>
      <c r="Z750" s="16">
        <f>((X750*COS('Gearing Calculator'!$C$21))/'Gearing Calculator'!$C$22)/2</f>
        <v>18.045409111876996</v>
      </c>
      <c r="AA750" s="16">
        <f>Y750/'Gearing Calculator'!$C$24</f>
        <v>28.31413838410403</v>
      </c>
      <c r="AB750" s="16">
        <f t="shared" si="79"/>
        <v>243.13989027832159</v>
      </c>
      <c r="AC750" s="16">
        <v>0</v>
      </c>
      <c r="AD750" s="16">
        <v>0</v>
      </c>
      <c r="AE750" s="16">
        <v>747</v>
      </c>
      <c r="AF750" s="16">
        <f>IF(AC750=0,IF(O750=6,INDEX(Acceleration!$V$4:$V$110,MATCH('Track Data'!S750,Acceleration!$K$4:$K$110,0)),IF('Track Data'!O750=5,INDEX(Acceleration!$U$4:$U$110,MATCH('Track Data'!S750,Acceleration!$K$4:$K$110,0)),1)),U750)</f>
        <v>1</v>
      </c>
      <c r="AG750" s="16">
        <f>IF(AC750=0,IF(O750=4,INDEX(Acceleration!$T$4:$T$110,MATCH('Track Data'!S750,Acceleration!$K$4:$K$110,0)),IF('Track Data'!O750=3,INDEX(Acceleration!$S$4:$S$110,MATCH('Track Data'!S750,Acceleration!$K$4:$K$110,0)),'Track Data'!AF750)),'Track Data'!U750)</f>
        <v>4.792705712495037</v>
      </c>
      <c r="AH750" s="16">
        <f>IF(AC750=0,IF(O750=2,INDEX(Acceleration!$R$4:$R$110,MATCH('Track Data'!S750,Acceleration!$K$4:$K$110,0)),IF('Track Data'!O750=1,INDEX(Acceleration!$Q$4:$Q$110,MATCH('Track Data'!S750,Acceleration!$K$4:$K$110,0)),'Track Data'!AG750)),'Track Data'!U750)</f>
        <v>4.792705712495037</v>
      </c>
    </row>
    <row r="751" spans="2:34" x14ac:dyDescent="0.25">
      <c r="B751" s="16">
        <v>218.06899999999999</v>
      </c>
      <c r="C751" s="16">
        <v>8021</v>
      </c>
      <c r="D751" s="16">
        <v>748</v>
      </c>
      <c r="E751" s="113">
        <v>171</v>
      </c>
      <c r="F751" s="113">
        <v>160.5</v>
      </c>
      <c r="G751" s="113">
        <v>152.6</v>
      </c>
      <c r="H751" s="113">
        <f t="shared" si="82"/>
        <v>42.388888888888886</v>
      </c>
      <c r="I751" s="113">
        <v>10</v>
      </c>
      <c r="J751" s="113">
        <v>16.93</v>
      </c>
      <c r="K751" s="113">
        <v>42.8</v>
      </c>
      <c r="L751" s="185"/>
      <c r="M751" s="16">
        <v>748</v>
      </c>
      <c r="N751" s="16">
        <f t="shared" si="84"/>
        <v>2.1689497823466873E-2</v>
      </c>
      <c r="O751" s="16">
        <v>4</v>
      </c>
      <c r="P751" s="16">
        <f t="shared" si="80"/>
        <v>9.1833785004516724</v>
      </c>
      <c r="Q751" s="16">
        <f t="shared" si="85"/>
        <v>46.105262931355362</v>
      </c>
      <c r="R751" s="113">
        <f t="shared" si="81"/>
        <v>329.49099999999999</v>
      </c>
      <c r="S751" s="16">
        <f>IF(S750=15800,15800,ROUND((((Q751*60)/'Gearing Calculator'!$C$14)*'Track Data'!P751),-2))</f>
        <v>12800</v>
      </c>
      <c r="T751" s="16">
        <f t="shared" si="83"/>
        <v>4.792705712495037</v>
      </c>
      <c r="U751" s="16">
        <f>IF(AC751=100,Braking!$AG$2354,IF(AC751=50,Braking!$AG$1179,IF(AC751=75,Braking!$AG$1767,0)))</f>
        <v>0</v>
      </c>
      <c r="V751" s="16">
        <f>0.5*'Gearing Calculator'!$C$15*'Gearing Calculator'!$C$20*'Gearing Calculator'!$W$20*('Track Data'!Q751^2)</f>
        <v>224.98358737356241</v>
      </c>
      <c r="W751" s="16">
        <f>('Gearing Calculator'!$U$9*'Track Data'!T751)+'Track Data'!V751</f>
        <v>1500.8018480397411</v>
      </c>
      <c r="X751" s="16">
        <f>('Gearing Calculator'!$U$9*9.81)*('Gearing Calculator'!$U$16/'Gearing Calculator'!$C$7)-(('Track Data'!W751)*('Gearing Calculator'!$U$17/'Gearing Calculator'!$C$7))</f>
        <v>583.12279745743604</v>
      </c>
      <c r="Y751" s="16">
        <f>('Gearing Calculator'!$U$9*9.81)*(('Gearing Calculator'!$C$7-'Gearing Calculator'!$U$16)/'Gearing Calculator'!$C$7)+(('Track Data'!W751)*('Gearing Calculator'!$U$17/'Gearing Calculator'!$C$7))</f>
        <v>2028.299202542564</v>
      </c>
      <c r="Z751" s="16">
        <f>((X751*COS('Gearing Calculator'!$C$21))/'Gearing Calculator'!$C$22)/2</f>
        <v>18.028312637104079</v>
      </c>
      <c r="AA751" s="16">
        <f>Y751/'Gearing Calculator'!$C$24</f>
        <v>28.32185987670417</v>
      </c>
      <c r="AB751" s="16">
        <f t="shared" si="79"/>
        <v>244.15441022354256</v>
      </c>
      <c r="AC751" s="16">
        <v>0</v>
      </c>
      <c r="AD751" s="16">
        <v>0</v>
      </c>
      <c r="AE751" s="16">
        <v>748</v>
      </c>
      <c r="AF751" s="16">
        <f>IF(AC751=0,IF(O751=6,INDEX(Acceleration!$V$4:$V$110,MATCH('Track Data'!S751,Acceleration!$K$4:$K$110,0)),IF('Track Data'!O751=5,INDEX(Acceleration!$U$4:$U$110,MATCH('Track Data'!S751,Acceleration!$K$4:$K$110,0)),1)),U751)</f>
        <v>1</v>
      </c>
      <c r="AG751" s="16">
        <f>IF(AC751=0,IF(O751=4,INDEX(Acceleration!$T$4:$T$110,MATCH('Track Data'!S751,Acceleration!$K$4:$K$110,0)),IF('Track Data'!O751=3,INDEX(Acceleration!$S$4:$S$110,MATCH('Track Data'!S751,Acceleration!$K$4:$K$110,0)),'Track Data'!AF751)),'Track Data'!U751)</f>
        <v>4.792705712495037</v>
      </c>
      <c r="AH751" s="16">
        <f>IF(AC751=0,IF(O751=2,INDEX(Acceleration!$R$4:$R$110,MATCH('Track Data'!S751,Acceleration!$K$4:$K$110,0)),IF('Track Data'!O751=1,INDEX(Acceleration!$Q$4:$Q$110,MATCH('Track Data'!S751,Acceleration!$K$4:$K$110,0)),'Track Data'!AG751)),'Track Data'!U751)</f>
        <v>4.792705712495037</v>
      </c>
    </row>
    <row r="752" spans="2:34" x14ac:dyDescent="0.25">
      <c r="B752" s="16">
        <v>218.09100000000001</v>
      </c>
      <c r="C752" s="16">
        <v>8022</v>
      </c>
      <c r="D752" s="16">
        <v>749</v>
      </c>
      <c r="E752" s="113">
        <v>171</v>
      </c>
      <c r="F752" s="113">
        <v>160.9</v>
      </c>
      <c r="G752" s="113">
        <v>152.9</v>
      </c>
      <c r="H752" s="113">
        <f t="shared" si="82"/>
        <v>42.472222222222221</v>
      </c>
      <c r="I752" s="113">
        <v>7.5</v>
      </c>
      <c r="J752" s="113">
        <v>19.55</v>
      </c>
      <c r="K752" s="113">
        <v>37.299999999999997</v>
      </c>
      <c r="L752" s="185"/>
      <c r="M752" s="16">
        <v>749</v>
      </c>
      <c r="N752" s="16">
        <f t="shared" si="84"/>
        <v>2.1640760294621138E-2</v>
      </c>
      <c r="O752" s="16">
        <v>4</v>
      </c>
      <c r="P752" s="16">
        <f t="shared" si="80"/>
        <v>9.1833785004516724</v>
      </c>
      <c r="Q752" s="16">
        <f t="shared" si="85"/>
        <v>46.209097387791516</v>
      </c>
      <c r="R752" s="113">
        <f t="shared" si="81"/>
        <v>329.49099999999999</v>
      </c>
      <c r="S752" s="16">
        <f>IF(S751=15800,15800,ROUND((((Q752*60)/'Gearing Calculator'!$C$14)*'Track Data'!P752),-2))</f>
        <v>12900</v>
      </c>
      <c r="T752" s="16">
        <f t="shared" si="83"/>
        <v>4.7672560072758658</v>
      </c>
      <c r="U752" s="16">
        <f>IF(AC752=100,Braking!$AG$2354,IF(AC752=50,Braking!$AG$1179,IF(AC752=75,Braking!$AG$1767,0)))</f>
        <v>0</v>
      </c>
      <c r="V752" s="16">
        <f>0.5*'Gearing Calculator'!$C$15*'Gearing Calculator'!$C$20*'Gearing Calculator'!$W$20*('Track Data'!Q752^2)</f>
        <v>225.99810731878335</v>
      </c>
      <c r="W752" s="16">
        <f>('Gearing Calculator'!$U$9*'Track Data'!T752)+'Track Data'!V752</f>
        <v>1495.041656455619</v>
      </c>
      <c r="X752" s="16">
        <f>('Gearing Calculator'!$U$9*9.81)*('Gearing Calculator'!$U$16/'Gearing Calculator'!$C$7)-(('Track Data'!W752)*('Gearing Calculator'!$U$17/'Gearing Calculator'!$C$7))</f>
        <v>586.26249525576941</v>
      </c>
      <c r="Y752" s="16">
        <f>('Gearing Calculator'!$U$9*9.81)*(('Gearing Calculator'!$C$7-'Gearing Calculator'!$U$16)/'Gearing Calculator'!$C$7)+(('Track Data'!W752)*('Gearing Calculator'!$U$17/'Gearing Calculator'!$C$7))</f>
        <v>2025.1595047442306</v>
      </c>
      <c r="Z752" s="16">
        <f>((X752*COS('Gearing Calculator'!$C$21))/'Gearing Calculator'!$C$22)/2</f>
        <v>18.125382163010435</v>
      </c>
      <c r="AA752" s="16">
        <f>Y752/'Gearing Calculator'!$C$24</f>
        <v>28.278019164748002</v>
      </c>
      <c r="AB752" s="16">
        <f t="shared" si="79"/>
        <v>245.06713134788683</v>
      </c>
      <c r="AC752" s="16">
        <v>0</v>
      </c>
      <c r="AD752" s="16">
        <v>0</v>
      </c>
      <c r="AE752" s="16">
        <v>749</v>
      </c>
      <c r="AF752" s="16">
        <f>IF(AC752=0,IF(O752=6,INDEX(Acceleration!$V$4:$V$110,MATCH('Track Data'!S752,Acceleration!$K$4:$K$110,0)),IF('Track Data'!O752=5,INDEX(Acceleration!$U$4:$U$110,MATCH('Track Data'!S752,Acceleration!$K$4:$K$110,0)),1)),U752)</f>
        <v>1</v>
      </c>
      <c r="AG752" s="16">
        <f>IF(AC752=0,IF(O752=4,INDEX(Acceleration!$T$4:$T$110,MATCH('Track Data'!S752,Acceleration!$K$4:$K$110,0)),IF('Track Data'!O752=3,INDEX(Acceleration!$S$4:$S$110,MATCH('Track Data'!S752,Acceleration!$K$4:$K$110,0)),'Track Data'!AF752)),'Track Data'!U752)</f>
        <v>4.7672560072758658</v>
      </c>
      <c r="AH752" s="16">
        <f>IF(AC752=0,IF(O752=2,INDEX(Acceleration!$R$4:$R$110,MATCH('Track Data'!S752,Acceleration!$K$4:$K$110,0)),IF('Track Data'!O752=1,INDEX(Acceleration!$Q$4:$Q$110,MATCH('Track Data'!S752,Acceleration!$K$4:$K$110,0)),'Track Data'!AG752)),'Track Data'!U752)</f>
        <v>4.7672560072758658</v>
      </c>
    </row>
    <row r="753" spans="2:34" x14ac:dyDescent="0.25">
      <c r="B753" s="16">
        <v>218.113</v>
      </c>
      <c r="C753" s="16">
        <v>8023</v>
      </c>
      <c r="D753" s="16">
        <v>750</v>
      </c>
      <c r="E753" s="113">
        <v>171</v>
      </c>
      <c r="F753" s="113">
        <v>161.1</v>
      </c>
      <c r="G753" s="113">
        <v>153.1</v>
      </c>
      <c r="H753" s="113">
        <f t="shared" si="82"/>
        <v>42.527777777777779</v>
      </c>
      <c r="I753" s="113">
        <v>7</v>
      </c>
      <c r="J753" s="113">
        <v>22.11</v>
      </c>
      <c r="K753" s="113">
        <v>31.6</v>
      </c>
      <c r="L753" s="185"/>
      <c r="M753" s="16">
        <v>750</v>
      </c>
      <c r="N753" s="16">
        <f t="shared" si="84"/>
        <v>2.1592606050616872E-2</v>
      </c>
      <c r="O753" s="16">
        <v>4</v>
      </c>
      <c r="P753" s="16">
        <f t="shared" si="80"/>
        <v>9.1833785004516724</v>
      </c>
      <c r="Q753" s="16">
        <f t="shared" si="85"/>
        <v>46.312149522657144</v>
      </c>
      <c r="R753" s="113">
        <f t="shared" si="81"/>
        <v>329.49099999999999</v>
      </c>
      <c r="S753" s="16">
        <f>IF(S752=15800,15800,ROUND((((Q753*60)/'Gearing Calculator'!$C$14)*'Track Data'!P753),-2))</f>
        <v>12900</v>
      </c>
      <c r="T753" s="16">
        <f t="shared" si="83"/>
        <v>4.7672560072758658</v>
      </c>
      <c r="U753" s="16">
        <f>IF(AC753=100,Braking!$AG$2354,IF(AC753=50,Braking!$AG$1179,IF(AC753=75,Braking!$AG$1767,0)))</f>
        <v>0</v>
      </c>
      <c r="V753" s="16">
        <f>0.5*'Gearing Calculator'!$C$15*'Gearing Calculator'!$C$20*'Gearing Calculator'!$W$20*('Track Data'!Q753^2)</f>
        <v>227.0072400704035</v>
      </c>
      <c r="W753" s="16">
        <f>('Gearing Calculator'!$U$9*'Track Data'!T753)+'Track Data'!V753</f>
        <v>1496.0507892072389</v>
      </c>
      <c r="X753" s="16">
        <f>('Gearing Calculator'!$U$9*9.81)*('Gearing Calculator'!$U$16/'Gearing Calculator'!$C$7)-(('Track Data'!W753)*('Gearing Calculator'!$U$17/'Gearing Calculator'!$C$7))</f>
        <v>585.71244898869372</v>
      </c>
      <c r="Y753" s="16">
        <f>('Gearing Calculator'!$U$9*9.81)*(('Gearing Calculator'!$C$7-'Gearing Calculator'!$U$16)/'Gearing Calculator'!$C$7)+(('Track Data'!W753)*('Gearing Calculator'!$U$17/'Gearing Calculator'!$C$7))</f>
        <v>2025.7095510113063</v>
      </c>
      <c r="Z753" s="16">
        <f>((X753*COS('Gearing Calculator'!$C$21))/'Gearing Calculator'!$C$22)/2</f>
        <v>18.108376472080582</v>
      </c>
      <c r="AA753" s="16">
        <f>Y753/'Gearing Calculator'!$C$24</f>
        <v>28.285699655516964</v>
      </c>
      <c r="AB753" s="16">
        <f t="shared" si="79"/>
        <v>246.07626409950697</v>
      </c>
      <c r="AC753" s="16">
        <v>0</v>
      </c>
      <c r="AD753" s="16">
        <v>0</v>
      </c>
      <c r="AE753" s="16">
        <v>750</v>
      </c>
      <c r="AF753" s="16">
        <f>IF(AC753=0,IF(O753=6,INDEX(Acceleration!$V$4:$V$110,MATCH('Track Data'!S753,Acceleration!$K$4:$K$110,0)),IF('Track Data'!O753=5,INDEX(Acceleration!$U$4:$U$110,MATCH('Track Data'!S753,Acceleration!$K$4:$K$110,0)),1)),U753)</f>
        <v>1</v>
      </c>
      <c r="AG753" s="16">
        <f>IF(AC753=0,IF(O753=4,INDEX(Acceleration!$T$4:$T$110,MATCH('Track Data'!S753,Acceleration!$K$4:$K$110,0)),IF('Track Data'!O753=3,INDEX(Acceleration!$S$4:$S$110,MATCH('Track Data'!S753,Acceleration!$K$4:$K$110,0)),'Track Data'!AF753)),'Track Data'!U753)</f>
        <v>4.7672560072758658</v>
      </c>
      <c r="AH753" s="16">
        <f>IF(AC753=0,IF(O753=2,INDEX(Acceleration!$R$4:$R$110,MATCH('Track Data'!S753,Acceleration!$K$4:$K$110,0)),IF('Track Data'!O753=1,INDEX(Acceleration!$Q$4:$Q$110,MATCH('Track Data'!S753,Acceleration!$K$4:$K$110,0)),'Track Data'!AG753)),'Track Data'!U753)</f>
        <v>4.7672560072758658</v>
      </c>
    </row>
    <row r="754" spans="2:34" x14ac:dyDescent="0.25">
      <c r="B754" s="16">
        <v>218.136</v>
      </c>
      <c r="C754" s="16">
        <v>8024</v>
      </c>
      <c r="D754" s="16">
        <v>751</v>
      </c>
      <c r="E754" s="113">
        <v>170</v>
      </c>
      <c r="F754" s="113">
        <v>161.19999999999999</v>
      </c>
      <c r="G754" s="113">
        <v>153.30000000000001</v>
      </c>
      <c r="H754" s="113">
        <f t="shared" si="82"/>
        <v>42.583333333333336</v>
      </c>
      <c r="I754" s="113">
        <v>6.9</v>
      </c>
      <c r="J754" s="113">
        <v>23.33</v>
      </c>
      <c r="K754" s="113">
        <v>25.9</v>
      </c>
      <c r="L754" s="185"/>
      <c r="M754" s="16">
        <v>751</v>
      </c>
      <c r="N754" s="16">
        <f t="shared" si="84"/>
        <v>2.15447718359324E-2</v>
      </c>
      <c r="O754" s="16">
        <v>4</v>
      </c>
      <c r="P754" s="16">
        <f t="shared" si="80"/>
        <v>9.1833785004516724</v>
      </c>
      <c r="Q754" s="16">
        <f t="shared" si="85"/>
        <v>46.414972858157569</v>
      </c>
      <c r="R754" s="113">
        <f t="shared" si="81"/>
        <v>329.49099999999999</v>
      </c>
      <c r="S754" s="16">
        <f>IF(S753=15800,15800,ROUND((((Q754*60)/'Gearing Calculator'!$C$14)*'Track Data'!P754),-2))</f>
        <v>12900</v>
      </c>
      <c r="T754" s="16">
        <f t="shared" si="83"/>
        <v>4.7672560072758658</v>
      </c>
      <c r="U754" s="16">
        <f>IF(AC754=100,Braking!$AG$2354,IF(AC754=50,Braking!$AG$1179,IF(AC754=75,Braking!$AG$1767,0)))</f>
        <v>0</v>
      </c>
      <c r="V754" s="16">
        <f>0.5*'Gearing Calculator'!$C$15*'Gearing Calculator'!$C$20*'Gearing Calculator'!$W$20*('Track Data'!Q754^2)</f>
        <v>228.01637282202358</v>
      </c>
      <c r="W754" s="16">
        <f>('Gearing Calculator'!$U$9*'Track Data'!T754)+'Track Data'!V754</f>
        <v>1497.0599219588591</v>
      </c>
      <c r="X754" s="16">
        <f>('Gearing Calculator'!$U$9*9.81)*('Gearing Calculator'!$U$16/'Gearing Calculator'!$C$7)-(('Track Data'!W754)*('Gearing Calculator'!$U$17/'Gearing Calculator'!$C$7))</f>
        <v>585.16240272161792</v>
      </c>
      <c r="Y754" s="16">
        <f>('Gearing Calculator'!$U$9*9.81)*(('Gearing Calculator'!$C$7-'Gearing Calculator'!$U$16)/'Gearing Calculator'!$C$7)+(('Track Data'!W754)*('Gearing Calculator'!$U$17/'Gearing Calculator'!$C$7))</f>
        <v>2026.259597278382</v>
      </c>
      <c r="Z754" s="16">
        <f>((X754*COS('Gearing Calculator'!$C$21))/'Gearing Calculator'!$C$22)/2</f>
        <v>18.091370781150726</v>
      </c>
      <c r="AA754" s="16">
        <f>Y754/'Gearing Calculator'!$C$24</f>
        <v>28.293380146285926</v>
      </c>
      <c r="AB754" s="16">
        <f t="shared" si="79"/>
        <v>247.08539685112706</v>
      </c>
      <c r="AC754" s="16">
        <v>0</v>
      </c>
      <c r="AD754" s="16">
        <v>0</v>
      </c>
      <c r="AE754" s="16">
        <v>751</v>
      </c>
      <c r="AF754" s="16">
        <f>IF(AC754=0,IF(O754=6,INDEX(Acceleration!$V$4:$V$110,MATCH('Track Data'!S754,Acceleration!$K$4:$K$110,0)),IF('Track Data'!O754=5,INDEX(Acceleration!$U$4:$U$110,MATCH('Track Data'!S754,Acceleration!$K$4:$K$110,0)),1)),U754)</f>
        <v>1</v>
      </c>
      <c r="AG754" s="16">
        <f>IF(AC754=0,IF(O754=4,INDEX(Acceleration!$T$4:$T$110,MATCH('Track Data'!S754,Acceleration!$K$4:$K$110,0)),IF('Track Data'!O754=3,INDEX(Acceleration!$S$4:$S$110,MATCH('Track Data'!S754,Acceleration!$K$4:$K$110,0)),'Track Data'!AF754)),'Track Data'!U754)</f>
        <v>4.7672560072758658</v>
      </c>
      <c r="AH754" s="16">
        <f>IF(AC754=0,IF(O754=2,INDEX(Acceleration!$R$4:$R$110,MATCH('Track Data'!S754,Acceleration!$K$4:$K$110,0)),IF('Track Data'!O754=1,INDEX(Acceleration!$Q$4:$Q$110,MATCH('Track Data'!S754,Acceleration!$K$4:$K$110,0)),'Track Data'!AG754)),'Track Data'!U754)</f>
        <v>4.7672560072758658</v>
      </c>
    </row>
    <row r="755" spans="2:34" x14ac:dyDescent="0.25">
      <c r="B755" s="16">
        <v>218.15700000000001</v>
      </c>
      <c r="C755" s="16">
        <v>8025</v>
      </c>
      <c r="D755" s="16">
        <v>752</v>
      </c>
      <c r="E755" s="113">
        <v>169</v>
      </c>
      <c r="F755" s="113">
        <v>161.5</v>
      </c>
      <c r="G755" s="113">
        <v>153.4</v>
      </c>
      <c r="H755" s="113">
        <f t="shared" si="82"/>
        <v>42.611111111111114</v>
      </c>
      <c r="I755" s="113">
        <v>8</v>
      </c>
      <c r="J755" s="113">
        <v>22.69</v>
      </c>
      <c r="K755" s="113">
        <v>20.100000000000001</v>
      </c>
      <c r="L755" s="185"/>
      <c r="M755" s="16">
        <v>752</v>
      </c>
      <c r="N755" s="16">
        <f t="shared" si="84"/>
        <v>2.1497254121385128E-2</v>
      </c>
      <c r="O755" s="16">
        <v>4</v>
      </c>
      <c r="P755" s="16">
        <f t="shared" si="80"/>
        <v>9.1833785004516724</v>
      </c>
      <c r="Q755" s="16">
        <f t="shared" si="85"/>
        <v>46.517568911520463</v>
      </c>
      <c r="R755" s="113">
        <f t="shared" si="81"/>
        <v>329.49099999999999</v>
      </c>
      <c r="S755" s="16">
        <f>IF(S754=15800,15800,ROUND((((Q755*60)/'Gearing Calculator'!$C$14)*'Track Data'!P755),-2))</f>
        <v>13000</v>
      </c>
      <c r="T755" s="16">
        <f t="shared" si="83"/>
        <v>4.7177985984598587</v>
      </c>
      <c r="U755" s="16">
        <f>IF(AC755=100,Braking!$AG$2354,IF(AC755=50,Braking!$AG$1179,IF(AC755=75,Braking!$AG$1767,0)))</f>
        <v>0</v>
      </c>
      <c r="V755" s="16">
        <f>0.5*'Gearing Calculator'!$C$15*'Gearing Calculator'!$C$20*'Gearing Calculator'!$W$20*('Track Data'!Q755^2)</f>
        <v>229.02550557364373</v>
      </c>
      <c r="W755" s="16">
        <f>('Gearing Calculator'!$U$9*'Track Data'!T755)+'Track Data'!V755</f>
        <v>1484.9034924836583</v>
      </c>
      <c r="X755" s="16">
        <f>('Gearing Calculator'!$U$9*9.81)*('Gearing Calculator'!$U$16/'Gearing Calculator'!$C$7)-(('Track Data'!W755)*('Gearing Calculator'!$U$17/'Gearing Calculator'!$C$7))</f>
        <v>591.78848699355285</v>
      </c>
      <c r="Y755" s="16">
        <f>('Gearing Calculator'!$U$9*9.81)*(('Gearing Calculator'!$C$7-'Gearing Calculator'!$U$16)/'Gearing Calculator'!$C$7)+(('Track Data'!W755)*('Gearing Calculator'!$U$17/'Gearing Calculator'!$C$7))</f>
        <v>2019.6335130064472</v>
      </c>
      <c r="Z755" s="16">
        <f>((X755*COS('Gearing Calculator'!$C$21))/'Gearing Calculator'!$C$22)/2</f>
        <v>18.296228350319868</v>
      </c>
      <c r="AA755" s="16">
        <f>Y755/'Gearing Calculator'!$C$24</f>
        <v>28.200857785657018</v>
      </c>
      <c r="AB755" s="16">
        <f t="shared" si="79"/>
        <v>247.89669996748316</v>
      </c>
      <c r="AC755" s="16">
        <v>0</v>
      </c>
      <c r="AD755" s="16">
        <v>0</v>
      </c>
      <c r="AE755" s="16">
        <v>752</v>
      </c>
      <c r="AF755" s="16">
        <f>IF(AC755=0,IF(O755=6,INDEX(Acceleration!$V$4:$V$110,MATCH('Track Data'!S755,Acceleration!$K$4:$K$110,0)),IF('Track Data'!O755=5,INDEX(Acceleration!$U$4:$U$110,MATCH('Track Data'!S755,Acceleration!$K$4:$K$110,0)),1)),U755)</f>
        <v>1</v>
      </c>
      <c r="AG755" s="16">
        <f>IF(AC755=0,IF(O755=4,INDEX(Acceleration!$T$4:$T$110,MATCH('Track Data'!S755,Acceleration!$K$4:$K$110,0)),IF('Track Data'!O755=3,INDEX(Acceleration!$S$4:$S$110,MATCH('Track Data'!S755,Acceleration!$K$4:$K$110,0)),'Track Data'!AF755)),'Track Data'!U755)</f>
        <v>4.7177985984598587</v>
      </c>
      <c r="AH755" s="16">
        <f>IF(AC755=0,IF(O755=2,INDEX(Acceleration!$R$4:$R$110,MATCH('Track Data'!S755,Acceleration!$K$4:$K$110,0)),IF('Track Data'!O755=1,INDEX(Acceleration!$Q$4:$Q$110,MATCH('Track Data'!S755,Acceleration!$K$4:$K$110,0)),'Track Data'!AG755)),'Track Data'!U755)</f>
        <v>4.7177985984598587</v>
      </c>
    </row>
    <row r="756" spans="2:34" x14ac:dyDescent="0.25">
      <c r="B756" s="16">
        <v>218.18</v>
      </c>
      <c r="C756" s="16">
        <v>8026</v>
      </c>
      <c r="D756" s="16">
        <v>753</v>
      </c>
      <c r="E756" s="113">
        <v>169</v>
      </c>
      <c r="F756" s="113">
        <v>161.6</v>
      </c>
      <c r="G756" s="113">
        <v>153.6</v>
      </c>
      <c r="H756" s="113">
        <f t="shared" si="82"/>
        <v>42.666666666666664</v>
      </c>
      <c r="I756" s="113">
        <v>8</v>
      </c>
      <c r="J756" s="113">
        <v>23.59</v>
      </c>
      <c r="K756" s="113">
        <v>18.3</v>
      </c>
      <c r="L756" s="185"/>
      <c r="M756" s="16">
        <v>753</v>
      </c>
      <c r="N756" s="16">
        <f t="shared" si="84"/>
        <v>2.1450537557066472E-2</v>
      </c>
      <c r="O756" s="16">
        <v>4</v>
      </c>
      <c r="P756" s="16">
        <f t="shared" si="80"/>
        <v>9.1833785004516724</v>
      </c>
      <c r="Q756" s="16">
        <f t="shared" si="85"/>
        <v>46.618878307344282</v>
      </c>
      <c r="R756" s="113">
        <f t="shared" si="81"/>
        <v>329.49099999999999</v>
      </c>
      <c r="S756" s="16">
        <f>IF(S755=15800,15800,ROUND((((Q756*60)/'Gearing Calculator'!$C$14)*'Track Data'!P756),-2))</f>
        <v>13000</v>
      </c>
      <c r="T756" s="16">
        <f t="shared" si="83"/>
        <v>4.7177985984598587</v>
      </c>
      <c r="U756" s="16">
        <f>IF(AC756=100,Braking!$AG$2354,IF(AC756=50,Braking!$AG$1179,IF(AC756=75,Braking!$AG$1767,0)))</f>
        <v>0</v>
      </c>
      <c r="V756" s="16">
        <f>0.5*'Gearing Calculator'!$C$15*'Gearing Calculator'!$C$20*'Gearing Calculator'!$W$20*('Track Data'!Q756^2)</f>
        <v>230.02416918096577</v>
      </c>
      <c r="W756" s="16">
        <f>('Gearing Calculator'!$U$9*'Track Data'!T756)+'Track Data'!V756</f>
        <v>1485.9021560909803</v>
      </c>
      <c r="X756" s="16">
        <f>('Gearing Calculator'!$U$9*9.81)*('Gearing Calculator'!$U$16/'Gearing Calculator'!$C$7)-(('Track Data'!W756)*('Gearing Calculator'!$U$17/'Gearing Calculator'!$C$7))</f>
        <v>591.24414712509645</v>
      </c>
      <c r="Y756" s="16">
        <f>('Gearing Calculator'!$U$9*9.81)*(('Gearing Calculator'!$C$7-'Gearing Calculator'!$U$16)/'Gearing Calculator'!$C$7)+(('Track Data'!W756)*('Gearing Calculator'!$U$17/'Gearing Calculator'!$C$7))</f>
        <v>2020.1778528749037</v>
      </c>
      <c r="Z756" s="16">
        <f>((X756*COS('Gearing Calculator'!$C$21))/'Gearing Calculator'!$C$22)/2</f>
        <v>18.279399083187524</v>
      </c>
      <c r="AA756" s="16">
        <f>Y756/'Gearing Calculator'!$C$24</f>
        <v>28.208458595961734</v>
      </c>
      <c r="AB756" s="16">
        <f t="shared" si="79"/>
        <v>248.8953635748052</v>
      </c>
      <c r="AC756" s="16">
        <v>0</v>
      </c>
      <c r="AD756" s="16">
        <v>0</v>
      </c>
      <c r="AE756" s="16">
        <v>753</v>
      </c>
      <c r="AF756" s="16">
        <f>IF(AC756=0,IF(O756=6,INDEX(Acceleration!$V$4:$V$110,MATCH('Track Data'!S756,Acceleration!$K$4:$K$110,0)),IF('Track Data'!O756=5,INDEX(Acceleration!$U$4:$U$110,MATCH('Track Data'!S756,Acceleration!$K$4:$K$110,0)),1)),U756)</f>
        <v>1</v>
      </c>
      <c r="AG756" s="16">
        <f>IF(AC756=0,IF(O756=4,INDEX(Acceleration!$T$4:$T$110,MATCH('Track Data'!S756,Acceleration!$K$4:$K$110,0)),IF('Track Data'!O756=3,INDEX(Acceleration!$S$4:$S$110,MATCH('Track Data'!S756,Acceleration!$K$4:$K$110,0)),'Track Data'!AF756)),'Track Data'!U756)</f>
        <v>4.7177985984598587</v>
      </c>
      <c r="AH756" s="16">
        <f>IF(AC756=0,IF(O756=2,INDEX(Acceleration!$R$4:$R$110,MATCH('Track Data'!S756,Acceleration!$K$4:$K$110,0)),IF('Track Data'!O756=1,INDEX(Acceleration!$Q$4:$Q$110,MATCH('Track Data'!S756,Acceleration!$K$4:$K$110,0)),'Track Data'!AG756)),'Track Data'!U756)</f>
        <v>4.7177985984598587</v>
      </c>
    </row>
    <row r="757" spans="2:34" x14ac:dyDescent="0.25">
      <c r="B757" s="16">
        <v>218.202</v>
      </c>
      <c r="C757" s="16">
        <v>8027</v>
      </c>
      <c r="D757" s="16">
        <v>754</v>
      </c>
      <c r="E757" s="113">
        <v>169</v>
      </c>
      <c r="F757" s="113">
        <v>161.6</v>
      </c>
      <c r="G757" s="113">
        <v>153.69999999999999</v>
      </c>
      <c r="H757" s="113">
        <f t="shared" si="82"/>
        <v>42.694444444444443</v>
      </c>
      <c r="I757" s="113">
        <v>7.9</v>
      </c>
      <c r="J757" s="113">
        <v>23.24</v>
      </c>
      <c r="K757" s="113">
        <v>18.3</v>
      </c>
      <c r="L757" s="185"/>
      <c r="M757" s="16">
        <v>754</v>
      </c>
      <c r="N757" s="16">
        <f t="shared" si="84"/>
        <v>2.1404124240031155E-2</v>
      </c>
      <c r="O757" s="16">
        <v>4</v>
      </c>
      <c r="P757" s="16">
        <f t="shared" si="80"/>
        <v>9.1833785004516724</v>
      </c>
      <c r="Q757" s="16">
        <f t="shared" si="85"/>
        <v>46.719968020450267</v>
      </c>
      <c r="R757" s="113">
        <f t="shared" si="81"/>
        <v>329.49099999999999</v>
      </c>
      <c r="S757" s="16">
        <f>IF(S756=15800,15800,ROUND((((Q757*60)/'Gearing Calculator'!$C$14)*'Track Data'!P757),-2))</f>
        <v>13000</v>
      </c>
      <c r="T757" s="16">
        <f t="shared" si="83"/>
        <v>4.7177985984598587</v>
      </c>
      <c r="U757" s="16">
        <f>IF(AC757=100,Braking!$AG$2354,IF(AC757=50,Braking!$AG$1179,IF(AC757=75,Braking!$AG$1767,0)))</f>
        <v>0</v>
      </c>
      <c r="V757" s="16">
        <f>0.5*'Gearing Calculator'!$C$15*'Gearing Calculator'!$C$20*'Gearing Calculator'!$W$20*('Track Data'!Q757^2)</f>
        <v>231.02283278828781</v>
      </c>
      <c r="W757" s="16">
        <f>('Gearing Calculator'!$U$9*'Track Data'!T757)+'Track Data'!V757</f>
        <v>1486.9008196983023</v>
      </c>
      <c r="X757" s="16">
        <f>('Gearing Calculator'!$U$9*9.81)*('Gearing Calculator'!$U$16/'Gearing Calculator'!$C$7)-(('Track Data'!W757)*('Gearing Calculator'!$U$17/'Gearing Calculator'!$C$7))</f>
        <v>590.69980725664016</v>
      </c>
      <c r="Y757" s="16">
        <f>('Gearing Calculator'!$U$9*9.81)*(('Gearing Calculator'!$C$7-'Gearing Calculator'!$U$16)/'Gearing Calculator'!$C$7)+(('Track Data'!W757)*('Gearing Calculator'!$U$17/'Gearing Calculator'!$C$7))</f>
        <v>2020.7221927433598</v>
      </c>
      <c r="Z757" s="16">
        <f>((X757*COS('Gearing Calculator'!$C$21))/'Gearing Calculator'!$C$22)/2</f>
        <v>18.26256981605518</v>
      </c>
      <c r="AA757" s="16">
        <f>Y757/'Gearing Calculator'!$C$24</f>
        <v>28.216059406266442</v>
      </c>
      <c r="AB757" s="16">
        <f t="shared" si="79"/>
        <v>249.89402718212725</v>
      </c>
      <c r="AC757" s="16">
        <v>0</v>
      </c>
      <c r="AD757" s="16">
        <v>0</v>
      </c>
      <c r="AE757" s="16">
        <v>754</v>
      </c>
      <c r="AF757" s="16">
        <f>IF(AC757=0,IF(O757=6,INDEX(Acceleration!$V$4:$V$110,MATCH('Track Data'!S757,Acceleration!$K$4:$K$110,0)),IF('Track Data'!O757=5,INDEX(Acceleration!$U$4:$U$110,MATCH('Track Data'!S757,Acceleration!$K$4:$K$110,0)),1)),U757)</f>
        <v>1</v>
      </c>
      <c r="AG757" s="16">
        <f>IF(AC757=0,IF(O757=4,INDEX(Acceleration!$T$4:$T$110,MATCH('Track Data'!S757,Acceleration!$K$4:$K$110,0)),IF('Track Data'!O757=3,INDEX(Acceleration!$S$4:$S$110,MATCH('Track Data'!S757,Acceleration!$K$4:$K$110,0)),'Track Data'!AF757)),'Track Data'!U757)</f>
        <v>4.7177985984598587</v>
      </c>
      <c r="AH757" s="16">
        <f>IF(AC757=0,IF(O757=2,INDEX(Acceleration!$R$4:$R$110,MATCH('Track Data'!S757,Acceleration!$K$4:$K$110,0)),IF('Track Data'!O757=1,INDEX(Acceleration!$Q$4:$Q$110,MATCH('Track Data'!S757,Acceleration!$K$4:$K$110,0)),'Track Data'!AG757)),'Track Data'!U757)</f>
        <v>4.7177985984598587</v>
      </c>
    </row>
    <row r="758" spans="2:34" x14ac:dyDescent="0.25">
      <c r="B758" s="16">
        <v>218.22399999999999</v>
      </c>
      <c r="C758" s="16">
        <v>8028</v>
      </c>
      <c r="D758" s="16">
        <v>755</v>
      </c>
      <c r="E758" s="113">
        <v>168</v>
      </c>
      <c r="F758" s="113">
        <v>161.6</v>
      </c>
      <c r="G758" s="113">
        <v>153.9</v>
      </c>
      <c r="H758" s="113">
        <f t="shared" si="82"/>
        <v>42.75</v>
      </c>
      <c r="I758" s="113">
        <v>7.7</v>
      </c>
      <c r="J758" s="113">
        <v>23.2</v>
      </c>
      <c r="K758" s="113">
        <v>18.3</v>
      </c>
      <c r="L758" s="185"/>
      <c r="M758" s="16">
        <v>755</v>
      </c>
      <c r="N758" s="16">
        <f t="shared" si="84"/>
        <v>2.1358010903673726E-2</v>
      </c>
      <c r="O758" s="16">
        <v>4</v>
      </c>
      <c r="P758" s="16">
        <f t="shared" si="80"/>
        <v>9.1833785004516724</v>
      </c>
      <c r="Q758" s="16">
        <f t="shared" si="85"/>
        <v>46.820839473772956</v>
      </c>
      <c r="R758" s="113">
        <f t="shared" si="81"/>
        <v>329.49099999999999</v>
      </c>
      <c r="S758" s="16">
        <f>IF(S757=15800,15800,ROUND((((Q758*60)/'Gearing Calculator'!$C$14)*'Track Data'!P758),-2))</f>
        <v>13000</v>
      </c>
      <c r="T758" s="16">
        <f t="shared" si="83"/>
        <v>4.7177985984598587</v>
      </c>
      <c r="U758" s="16">
        <f>IF(AC758=100,Braking!$AG$2354,IF(AC758=50,Braking!$AG$1179,IF(AC758=75,Braking!$AG$1767,0)))</f>
        <v>0</v>
      </c>
      <c r="V758" s="16">
        <f>0.5*'Gearing Calculator'!$C$15*'Gearing Calculator'!$C$20*'Gearing Calculator'!$W$20*('Track Data'!Q758^2)</f>
        <v>232.02149639560983</v>
      </c>
      <c r="W758" s="16">
        <f>('Gearing Calculator'!$U$9*'Track Data'!T758)+'Track Data'!V758</f>
        <v>1487.8994833056242</v>
      </c>
      <c r="X758" s="16">
        <f>('Gearing Calculator'!$U$9*9.81)*('Gearing Calculator'!$U$16/'Gearing Calculator'!$C$7)-(('Track Data'!W758)*('Gearing Calculator'!$U$17/'Gearing Calculator'!$C$7))</f>
        <v>590.15546738818375</v>
      </c>
      <c r="Y758" s="16">
        <f>('Gearing Calculator'!$U$9*9.81)*(('Gearing Calculator'!$C$7-'Gearing Calculator'!$U$16)/'Gearing Calculator'!$C$7)+(('Track Data'!W758)*('Gearing Calculator'!$U$17/'Gearing Calculator'!$C$7))</f>
        <v>2021.2665326118163</v>
      </c>
      <c r="Z758" s="16">
        <f>((X758*COS('Gearing Calculator'!$C$21))/'Gearing Calculator'!$C$22)/2</f>
        <v>18.245740548922832</v>
      </c>
      <c r="AA758" s="16">
        <f>Y758/'Gearing Calculator'!$C$24</f>
        <v>28.223660216571155</v>
      </c>
      <c r="AB758" s="16">
        <f t="shared" ref="AB758:AB821" si="86">(T758*O758)+V758</f>
        <v>250.89269078944926</v>
      </c>
      <c r="AC758" s="16">
        <v>0</v>
      </c>
      <c r="AD758" s="16">
        <v>0</v>
      </c>
      <c r="AE758" s="16">
        <v>755</v>
      </c>
      <c r="AF758" s="16">
        <f>IF(AC758=0,IF(O758=6,INDEX(Acceleration!$V$4:$V$110,MATCH('Track Data'!S758,Acceleration!$K$4:$K$110,0)),IF('Track Data'!O758=5,INDEX(Acceleration!$U$4:$U$110,MATCH('Track Data'!S758,Acceleration!$K$4:$K$110,0)),1)),U758)</f>
        <v>1</v>
      </c>
      <c r="AG758" s="16">
        <f>IF(AC758=0,IF(O758=4,INDEX(Acceleration!$T$4:$T$110,MATCH('Track Data'!S758,Acceleration!$K$4:$K$110,0)),IF('Track Data'!O758=3,INDEX(Acceleration!$S$4:$S$110,MATCH('Track Data'!S758,Acceleration!$K$4:$K$110,0)),'Track Data'!AF758)),'Track Data'!U758)</f>
        <v>4.7177985984598587</v>
      </c>
      <c r="AH758" s="16">
        <f>IF(AC758=0,IF(O758=2,INDEX(Acceleration!$R$4:$R$110,MATCH('Track Data'!S758,Acceleration!$K$4:$K$110,0)),IF('Track Data'!O758=1,INDEX(Acceleration!$Q$4:$Q$110,MATCH('Track Data'!S758,Acceleration!$K$4:$K$110,0)),'Track Data'!AG758)),'Track Data'!U758)</f>
        <v>4.7177985984598587</v>
      </c>
    </row>
    <row r="759" spans="2:34" x14ac:dyDescent="0.25">
      <c r="B759" s="16">
        <v>218.24700000000001</v>
      </c>
      <c r="C759" s="16">
        <v>8029</v>
      </c>
      <c r="D759" s="16">
        <v>756</v>
      </c>
      <c r="E759" s="113">
        <v>167</v>
      </c>
      <c r="F759" s="113">
        <v>161.6</v>
      </c>
      <c r="G759" s="113">
        <v>154</v>
      </c>
      <c r="H759" s="113">
        <f t="shared" si="82"/>
        <v>42.777777777777779</v>
      </c>
      <c r="I759" s="113">
        <v>8.1999999999999993</v>
      </c>
      <c r="J759" s="113">
        <v>24.08</v>
      </c>
      <c r="K759" s="113">
        <v>19.600000000000001</v>
      </c>
      <c r="L759" s="185"/>
      <c r="M759" s="16">
        <v>756</v>
      </c>
      <c r="N759" s="16">
        <f t="shared" si="84"/>
        <v>2.131219433044082E-2</v>
      </c>
      <c r="O759" s="16">
        <v>4</v>
      </c>
      <c r="P759" s="16">
        <f t="shared" si="80"/>
        <v>9.1833785004516724</v>
      </c>
      <c r="Q759" s="16">
        <f t="shared" si="85"/>
        <v>46.921494074951788</v>
      </c>
      <c r="R759" s="113">
        <f t="shared" si="81"/>
        <v>329.49099999999999</v>
      </c>
      <c r="S759" s="16">
        <f>IF(S758=15800,15800,ROUND((((Q759*60)/'Gearing Calculator'!$C$14)*'Track Data'!P759),-2))</f>
        <v>13100</v>
      </c>
      <c r="T759" s="16">
        <f t="shared" si="83"/>
        <v>4.668899545953348</v>
      </c>
      <c r="U759" s="16">
        <f>IF(AC759=100,Braking!$AG$2354,IF(AC759=50,Braking!$AG$1179,IF(AC759=75,Braking!$AG$1767,0)))</f>
        <v>0</v>
      </c>
      <c r="V759" s="16">
        <f>0.5*'Gearing Calculator'!$C$15*'Gearing Calculator'!$C$20*'Gearing Calculator'!$W$20*('Track Data'!Q759^2)</f>
        <v>233.02016000293187</v>
      </c>
      <c r="W759" s="16">
        <f>('Gearing Calculator'!$U$9*'Track Data'!T759)+'Track Data'!V759</f>
        <v>1475.8812191357131</v>
      </c>
      <c r="X759" s="16">
        <f>('Gearing Calculator'!$U$9*9.81)*('Gearing Calculator'!$U$16/'Gearing Calculator'!$C$7)-(('Track Data'!W759)*('Gearing Calculator'!$U$17/'Gearing Calculator'!$C$7))</f>
        <v>596.70624213291137</v>
      </c>
      <c r="Y759" s="16">
        <f>('Gearing Calculator'!$U$9*9.81)*(('Gearing Calculator'!$C$7-'Gearing Calculator'!$U$16)/'Gearing Calculator'!$C$7)+(('Track Data'!W759)*('Gearing Calculator'!$U$17/'Gearing Calculator'!$C$7))</f>
        <v>2014.7157578670885</v>
      </c>
      <c r="Z759" s="16">
        <f>((X759*COS('Gearing Calculator'!$C$21))/'Gearing Calculator'!$C$22)/2</f>
        <v>18.448269785694468</v>
      </c>
      <c r="AA759" s="16">
        <f>Y759/'Gearing Calculator'!$C$24</f>
        <v>28.132189429533689</v>
      </c>
      <c r="AB759" s="16">
        <f t="shared" si="86"/>
        <v>251.69575818674525</v>
      </c>
      <c r="AC759" s="16">
        <v>0</v>
      </c>
      <c r="AD759" s="16">
        <v>0</v>
      </c>
      <c r="AE759" s="16">
        <v>756</v>
      </c>
      <c r="AF759" s="16">
        <f>IF(AC759=0,IF(O759=6,INDEX(Acceleration!$V$4:$V$110,MATCH('Track Data'!S759,Acceleration!$K$4:$K$110,0)),IF('Track Data'!O759=5,INDEX(Acceleration!$U$4:$U$110,MATCH('Track Data'!S759,Acceleration!$K$4:$K$110,0)),1)),U759)</f>
        <v>1</v>
      </c>
      <c r="AG759" s="16">
        <f>IF(AC759=0,IF(O759=4,INDEX(Acceleration!$T$4:$T$110,MATCH('Track Data'!S759,Acceleration!$K$4:$K$110,0)),IF('Track Data'!O759=3,INDEX(Acceleration!$S$4:$S$110,MATCH('Track Data'!S759,Acceleration!$K$4:$K$110,0)),'Track Data'!AF759)),'Track Data'!U759)</f>
        <v>4.668899545953348</v>
      </c>
      <c r="AH759" s="16">
        <f>IF(AC759=0,IF(O759=2,INDEX(Acceleration!$R$4:$R$110,MATCH('Track Data'!S759,Acceleration!$K$4:$K$110,0)),IF('Track Data'!O759=1,INDEX(Acceleration!$Q$4:$Q$110,MATCH('Track Data'!S759,Acceleration!$K$4:$K$110,0)),'Track Data'!AG759)),'Track Data'!U759)</f>
        <v>4.668899545953348</v>
      </c>
    </row>
    <row r="760" spans="2:34" x14ac:dyDescent="0.25">
      <c r="B760" s="16">
        <v>218.26900000000001</v>
      </c>
      <c r="C760" s="16">
        <v>8030</v>
      </c>
      <c r="D760" s="16">
        <v>757</v>
      </c>
      <c r="E760" s="113">
        <v>166</v>
      </c>
      <c r="F760" s="113">
        <v>161.6</v>
      </c>
      <c r="G760" s="113">
        <v>154.1</v>
      </c>
      <c r="H760" s="113">
        <f t="shared" si="82"/>
        <v>42.80555555555555</v>
      </c>
      <c r="I760" s="113">
        <v>8.1999999999999993</v>
      </c>
      <c r="J760" s="113">
        <v>28.78</v>
      </c>
      <c r="K760" s="113">
        <v>26.6</v>
      </c>
      <c r="L760" s="185"/>
      <c r="M760" s="16">
        <v>757</v>
      </c>
      <c r="N760" s="16">
        <f t="shared" si="84"/>
        <v>2.1267141692507891E-2</v>
      </c>
      <c r="O760" s="16">
        <v>4</v>
      </c>
      <c r="P760" s="16">
        <f t="shared" si="80"/>
        <v>9.1833785004516724</v>
      </c>
      <c r="Q760" s="16">
        <f t="shared" si="85"/>
        <v>47.02089328498176</v>
      </c>
      <c r="R760" s="113">
        <f t="shared" si="81"/>
        <v>329.49099999999999</v>
      </c>
      <c r="S760" s="16">
        <f>IF(S759=15800,15800,ROUND((((Q760*60)/'Gearing Calculator'!$C$14)*'Track Data'!P760),-2))</f>
        <v>13100</v>
      </c>
      <c r="T760" s="16">
        <f t="shared" si="83"/>
        <v>4.668899545953348</v>
      </c>
      <c r="U760" s="16">
        <f>IF(AC760=100,Braking!$AG$2354,IF(AC760=50,Braking!$AG$1179,IF(AC760=75,Braking!$AG$1767,0)))</f>
        <v>0</v>
      </c>
      <c r="V760" s="16">
        <f>0.5*'Gearing Calculator'!$C$15*'Gearing Calculator'!$C$20*'Gearing Calculator'!$W$20*('Track Data'!Q760^2)</f>
        <v>234.00847265881927</v>
      </c>
      <c r="W760" s="16">
        <f>('Gearing Calculator'!$U$9*'Track Data'!T760)+'Track Data'!V760</f>
        <v>1476.8695317916006</v>
      </c>
      <c r="X760" s="16">
        <f>('Gearing Calculator'!$U$9*9.81)*('Gearing Calculator'!$U$16/'Gearing Calculator'!$C$7)-(('Track Data'!W760)*('Gearing Calculator'!$U$17/'Gearing Calculator'!$C$7))</f>
        <v>596.16754423989187</v>
      </c>
      <c r="Y760" s="16">
        <f>('Gearing Calculator'!$U$9*9.81)*(('Gearing Calculator'!$C$7-'Gearing Calculator'!$U$16)/'Gearing Calculator'!$C$7)+(('Track Data'!W760)*('Gearing Calculator'!$U$17/'Gearing Calculator'!$C$7))</f>
        <v>2015.2544557601082</v>
      </c>
      <c r="Z760" s="16">
        <f>((X760*COS('Gearing Calculator'!$C$21))/'Gearing Calculator'!$C$22)/2</f>
        <v>18.431614950598583</v>
      </c>
      <c r="AA760" s="16">
        <f>Y760/'Gearing Calculator'!$C$24</f>
        <v>28.13971145893786</v>
      </c>
      <c r="AB760" s="16">
        <f t="shared" si="86"/>
        <v>252.68407084263265</v>
      </c>
      <c r="AC760" s="16">
        <v>0</v>
      </c>
      <c r="AD760" s="16">
        <v>0</v>
      </c>
      <c r="AE760" s="16">
        <v>757</v>
      </c>
      <c r="AF760" s="16">
        <f>IF(AC760=0,IF(O760=6,INDEX(Acceleration!$V$4:$V$110,MATCH('Track Data'!S760,Acceleration!$K$4:$K$110,0)),IF('Track Data'!O760=5,INDEX(Acceleration!$U$4:$U$110,MATCH('Track Data'!S760,Acceleration!$K$4:$K$110,0)),1)),U760)</f>
        <v>1</v>
      </c>
      <c r="AG760" s="16">
        <f>IF(AC760=0,IF(O760=4,INDEX(Acceleration!$T$4:$T$110,MATCH('Track Data'!S760,Acceleration!$K$4:$K$110,0)),IF('Track Data'!O760=3,INDEX(Acceleration!$S$4:$S$110,MATCH('Track Data'!S760,Acceleration!$K$4:$K$110,0)),'Track Data'!AF760)),'Track Data'!U760)</f>
        <v>4.668899545953348</v>
      </c>
      <c r="AH760" s="16">
        <f>IF(AC760=0,IF(O760=2,INDEX(Acceleration!$R$4:$R$110,MATCH('Track Data'!S760,Acceleration!$K$4:$K$110,0)),IF('Track Data'!O760=1,INDEX(Acceleration!$Q$4:$Q$110,MATCH('Track Data'!S760,Acceleration!$K$4:$K$110,0)),'Track Data'!AG760)),'Track Data'!U760)</f>
        <v>4.668899545953348</v>
      </c>
    </row>
    <row r="761" spans="2:34" x14ac:dyDescent="0.25">
      <c r="B761" s="16">
        <v>218.291</v>
      </c>
      <c r="C761" s="16">
        <v>8031</v>
      </c>
      <c r="D761" s="16">
        <v>758</v>
      </c>
      <c r="E761" s="113">
        <v>166</v>
      </c>
      <c r="F761" s="113">
        <v>161.6</v>
      </c>
      <c r="G761" s="113">
        <v>154.19999999999999</v>
      </c>
      <c r="H761" s="113">
        <f t="shared" si="82"/>
        <v>42.833333333333329</v>
      </c>
      <c r="I761" s="113">
        <v>8.9</v>
      </c>
      <c r="J761" s="113">
        <v>35.14</v>
      </c>
      <c r="K761" s="113">
        <v>37.1</v>
      </c>
      <c r="L761" s="185"/>
      <c r="M761" s="16">
        <v>758</v>
      </c>
      <c r="N761" s="16">
        <f t="shared" si="84"/>
        <v>2.122237356722843E-2</v>
      </c>
      <c r="O761" s="16">
        <v>4</v>
      </c>
      <c r="P761" s="16">
        <f t="shared" si="80"/>
        <v>9.1833785004516724</v>
      </c>
      <c r="Q761" s="16">
        <f t="shared" si="85"/>
        <v>47.120082814120238</v>
      </c>
      <c r="R761" s="113">
        <f t="shared" si="81"/>
        <v>329.49099999999999</v>
      </c>
      <c r="S761" s="16">
        <f>IF(S760=15800,15800,ROUND((((Q761*60)/'Gearing Calculator'!$C$14)*'Track Data'!P761),-2))</f>
        <v>13100</v>
      </c>
      <c r="T761" s="16">
        <f t="shared" si="83"/>
        <v>4.668899545953348</v>
      </c>
      <c r="U761" s="16">
        <f>IF(AC761=100,Braking!$AG$2354,IF(AC761=50,Braking!$AG$1179,IF(AC761=75,Braking!$AG$1767,0)))</f>
        <v>0</v>
      </c>
      <c r="V761" s="16">
        <f>0.5*'Gearing Calculator'!$C$15*'Gearing Calculator'!$C$20*'Gearing Calculator'!$W$20*('Track Data'!Q761^2)</f>
        <v>234.99678531470667</v>
      </c>
      <c r="W761" s="16">
        <f>('Gearing Calculator'!$U$9*'Track Data'!T761)+'Track Data'!V761</f>
        <v>1477.8578444474879</v>
      </c>
      <c r="X761" s="16">
        <f>('Gearing Calculator'!$U$9*9.81)*('Gearing Calculator'!$U$16/'Gearing Calculator'!$C$7)-(('Track Data'!W761)*('Gearing Calculator'!$U$17/'Gearing Calculator'!$C$7))</f>
        <v>595.62884634687248</v>
      </c>
      <c r="Y761" s="16">
        <f>('Gearing Calculator'!$U$9*9.81)*(('Gearing Calculator'!$C$7-'Gearing Calculator'!$U$16)/'Gearing Calculator'!$C$7)+(('Track Data'!W761)*('Gearing Calculator'!$U$17/'Gearing Calculator'!$C$7))</f>
        <v>2015.7931536531275</v>
      </c>
      <c r="Z761" s="16">
        <f>((X761*COS('Gearing Calculator'!$C$21))/'Gearing Calculator'!$C$22)/2</f>
        <v>18.414960115502701</v>
      </c>
      <c r="AA761" s="16">
        <f>Y761/'Gearing Calculator'!$C$24</f>
        <v>28.147233488342025</v>
      </c>
      <c r="AB761" s="16">
        <f t="shared" si="86"/>
        <v>253.67238349852005</v>
      </c>
      <c r="AC761" s="16">
        <v>0</v>
      </c>
      <c r="AD761" s="16">
        <v>0</v>
      </c>
      <c r="AE761" s="16">
        <v>758</v>
      </c>
      <c r="AF761" s="16">
        <f>IF(AC761=0,IF(O761=6,INDEX(Acceleration!$V$4:$V$110,MATCH('Track Data'!S761,Acceleration!$K$4:$K$110,0)),IF('Track Data'!O761=5,INDEX(Acceleration!$U$4:$U$110,MATCH('Track Data'!S761,Acceleration!$K$4:$K$110,0)),1)),U761)</f>
        <v>1</v>
      </c>
      <c r="AG761" s="16">
        <f>IF(AC761=0,IF(O761=4,INDEX(Acceleration!$T$4:$T$110,MATCH('Track Data'!S761,Acceleration!$K$4:$K$110,0)),IF('Track Data'!O761=3,INDEX(Acceleration!$S$4:$S$110,MATCH('Track Data'!S761,Acceleration!$K$4:$K$110,0)),'Track Data'!AF761)),'Track Data'!U761)</f>
        <v>4.668899545953348</v>
      </c>
      <c r="AH761" s="16">
        <f>IF(AC761=0,IF(O761=2,INDEX(Acceleration!$R$4:$R$110,MATCH('Track Data'!S761,Acceleration!$K$4:$K$110,0)),IF('Track Data'!O761=1,INDEX(Acceleration!$Q$4:$Q$110,MATCH('Track Data'!S761,Acceleration!$K$4:$K$110,0)),'Track Data'!AG761)),'Track Data'!U761)</f>
        <v>4.668899545953348</v>
      </c>
    </row>
    <row r="762" spans="2:34" x14ac:dyDescent="0.25">
      <c r="B762" s="16">
        <v>218.31299999999999</v>
      </c>
      <c r="C762" s="16">
        <v>8032</v>
      </c>
      <c r="D762" s="16">
        <v>759</v>
      </c>
      <c r="E762" s="113">
        <v>165</v>
      </c>
      <c r="F762" s="113">
        <v>161.6</v>
      </c>
      <c r="G762" s="113">
        <v>154.30000000000001</v>
      </c>
      <c r="H762" s="113">
        <f t="shared" si="82"/>
        <v>42.861111111111114</v>
      </c>
      <c r="I762" s="113">
        <v>10.1</v>
      </c>
      <c r="J762" s="113">
        <v>37.409999999999997</v>
      </c>
      <c r="K762" s="113">
        <v>44</v>
      </c>
      <c r="L762" s="185"/>
      <c r="M762" s="16">
        <v>759</v>
      </c>
      <c r="N762" s="16">
        <f t="shared" si="84"/>
        <v>2.1177886972603803E-2</v>
      </c>
      <c r="O762" s="16">
        <v>4</v>
      </c>
      <c r="P762" s="16">
        <f t="shared" si="80"/>
        <v>9.1833785004516724</v>
      </c>
      <c r="Q762" s="16">
        <f t="shared" si="85"/>
        <v>47.219063983749784</v>
      </c>
      <c r="R762" s="113">
        <f t="shared" si="81"/>
        <v>329.49099999999999</v>
      </c>
      <c r="S762" s="16">
        <f>IF(S761=15800,15800,ROUND((((Q762*60)/'Gearing Calculator'!$C$14)*'Track Data'!P762),-2))</f>
        <v>13100</v>
      </c>
      <c r="T762" s="16">
        <f t="shared" si="83"/>
        <v>4.668899545953348</v>
      </c>
      <c r="U762" s="16">
        <f>IF(AC762=100,Braking!$AG$2354,IF(AC762=50,Braking!$AG$1179,IF(AC762=75,Braking!$AG$1767,0)))</f>
        <v>0</v>
      </c>
      <c r="V762" s="16">
        <f>0.5*'Gearing Calculator'!$C$15*'Gearing Calculator'!$C$20*'Gearing Calculator'!$W$20*('Track Data'!Q762^2)</f>
        <v>235.9850979705941</v>
      </c>
      <c r="W762" s="16">
        <f>('Gearing Calculator'!$U$9*'Track Data'!T762)+'Track Data'!V762</f>
        <v>1478.8461571033754</v>
      </c>
      <c r="X762" s="16">
        <f>('Gearing Calculator'!$U$9*9.81)*('Gearing Calculator'!$U$16/'Gearing Calculator'!$C$7)-(('Track Data'!W762)*('Gearing Calculator'!$U$17/'Gearing Calculator'!$C$7))</f>
        <v>595.09014845385309</v>
      </c>
      <c r="Y762" s="16">
        <f>('Gearing Calculator'!$U$9*9.81)*(('Gearing Calculator'!$C$7-'Gearing Calculator'!$U$16)/'Gearing Calculator'!$C$7)+(('Track Data'!W762)*('Gearing Calculator'!$U$17/'Gearing Calculator'!$C$7))</f>
        <v>2016.3318515461469</v>
      </c>
      <c r="Z762" s="16">
        <f>((X762*COS('Gearing Calculator'!$C$21))/'Gearing Calculator'!$C$22)/2</f>
        <v>18.39830528040682</v>
      </c>
      <c r="AA762" s="16">
        <f>Y762/'Gearing Calculator'!$C$24</f>
        <v>28.154755517746189</v>
      </c>
      <c r="AB762" s="16">
        <f t="shared" si="86"/>
        <v>254.6606961544075</v>
      </c>
      <c r="AC762" s="16">
        <v>0</v>
      </c>
      <c r="AD762" s="16">
        <v>0</v>
      </c>
      <c r="AE762" s="16">
        <v>759</v>
      </c>
      <c r="AF762" s="16">
        <f>IF(AC762=0,IF(O762=6,INDEX(Acceleration!$V$4:$V$110,MATCH('Track Data'!S762,Acceleration!$K$4:$K$110,0)),IF('Track Data'!O762=5,INDEX(Acceleration!$U$4:$U$110,MATCH('Track Data'!S762,Acceleration!$K$4:$K$110,0)),1)),U762)</f>
        <v>1</v>
      </c>
      <c r="AG762" s="16">
        <f>IF(AC762=0,IF(O762=4,INDEX(Acceleration!$T$4:$T$110,MATCH('Track Data'!S762,Acceleration!$K$4:$K$110,0)),IF('Track Data'!O762=3,INDEX(Acceleration!$S$4:$S$110,MATCH('Track Data'!S762,Acceleration!$K$4:$K$110,0)),'Track Data'!AF762)),'Track Data'!U762)</f>
        <v>4.668899545953348</v>
      </c>
      <c r="AH762" s="16">
        <f>IF(AC762=0,IF(O762=2,INDEX(Acceleration!$R$4:$R$110,MATCH('Track Data'!S762,Acceleration!$K$4:$K$110,0)),IF('Track Data'!O762=1,INDEX(Acceleration!$Q$4:$Q$110,MATCH('Track Data'!S762,Acceleration!$K$4:$K$110,0)),'Track Data'!AG762)),'Track Data'!U762)</f>
        <v>4.668899545953348</v>
      </c>
    </row>
    <row r="763" spans="2:34" x14ac:dyDescent="0.25">
      <c r="B763" s="16">
        <v>218.33600000000001</v>
      </c>
      <c r="C763" s="16">
        <v>8033</v>
      </c>
      <c r="D763" s="16">
        <v>760</v>
      </c>
      <c r="E763" s="113">
        <v>165</v>
      </c>
      <c r="F763" s="113">
        <v>161.5</v>
      </c>
      <c r="G763" s="113">
        <v>154.30000000000001</v>
      </c>
      <c r="H763" s="113">
        <f t="shared" si="82"/>
        <v>42.861111111111114</v>
      </c>
      <c r="I763" s="113">
        <v>11.1</v>
      </c>
      <c r="J763" s="113">
        <v>39.630000000000003</v>
      </c>
      <c r="K763" s="113">
        <v>45.5</v>
      </c>
      <c r="L763" s="185"/>
      <c r="M763" s="16">
        <v>760</v>
      </c>
      <c r="N763" s="16">
        <f t="shared" si="84"/>
        <v>2.1133678970209104E-2</v>
      </c>
      <c r="O763" s="16">
        <v>4</v>
      </c>
      <c r="P763" s="16">
        <f t="shared" si="80"/>
        <v>9.1833785004516724</v>
      </c>
      <c r="Q763" s="16">
        <f t="shared" si="85"/>
        <v>47.317838101432351</v>
      </c>
      <c r="R763" s="113">
        <f t="shared" si="81"/>
        <v>329.49099999999999</v>
      </c>
      <c r="S763" s="16">
        <f>IF(S762=15800,15800,ROUND((((Q763*60)/'Gearing Calculator'!$C$14)*'Track Data'!P763),-2))</f>
        <v>13200</v>
      </c>
      <c r="T763" s="16">
        <f t="shared" si="83"/>
        <v>4.6205446580837366</v>
      </c>
      <c r="U763" s="16">
        <f>IF(AC763=100,Braking!$AG$2354,IF(AC763=50,Braking!$AG$1179,IF(AC763=75,Braking!$AG$1767,0)))</f>
        <v>0</v>
      </c>
      <c r="V763" s="16">
        <f>0.5*'Gearing Calculator'!$C$15*'Gearing Calculator'!$C$20*'Gearing Calculator'!$W$20*('Track Data'!Q763^2)</f>
        <v>236.9734106264815</v>
      </c>
      <c r="W763" s="16">
        <f>('Gearing Calculator'!$U$9*'Track Data'!T763)+'Track Data'!V763</f>
        <v>1466.962398608372</v>
      </c>
      <c r="X763" s="16">
        <f>('Gearing Calculator'!$U$9*9.81)*('Gearing Calculator'!$U$16/'Gearing Calculator'!$C$7)-(('Track Data'!W763)*('Gearing Calculator'!$U$17/'Gearing Calculator'!$C$7))</f>
        <v>601.56760841986124</v>
      </c>
      <c r="Y763" s="16">
        <f>('Gearing Calculator'!$U$9*9.81)*(('Gearing Calculator'!$C$7-'Gearing Calculator'!$U$16)/'Gearing Calculator'!$C$7)+(('Track Data'!W763)*('Gearing Calculator'!$U$17/'Gearing Calculator'!$C$7))</f>
        <v>2009.8543915801388</v>
      </c>
      <c r="Z763" s="16">
        <f>((X763*COS('Gearing Calculator'!$C$21))/'Gearing Calculator'!$C$22)/2</f>
        <v>18.598567856095336</v>
      </c>
      <c r="AA763" s="16">
        <f>Y763/'Gearing Calculator'!$C$24</f>
        <v>28.064308450920805</v>
      </c>
      <c r="AB763" s="16">
        <f t="shared" si="86"/>
        <v>255.45558925881645</v>
      </c>
      <c r="AC763" s="16">
        <v>0</v>
      </c>
      <c r="AD763" s="16">
        <v>0</v>
      </c>
      <c r="AE763" s="16">
        <v>760</v>
      </c>
      <c r="AF763" s="16">
        <f>IF(AC763=0,IF(O763=6,INDEX(Acceleration!$V$4:$V$110,MATCH('Track Data'!S763,Acceleration!$K$4:$K$110,0)),IF('Track Data'!O763=5,INDEX(Acceleration!$U$4:$U$110,MATCH('Track Data'!S763,Acceleration!$K$4:$K$110,0)),1)),U763)</f>
        <v>1</v>
      </c>
      <c r="AG763" s="16">
        <f>IF(AC763=0,IF(O763=4,INDEX(Acceleration!$T$4:$T$110,MATCH('Track Data'!S763,Acceleration!$K$4:$K$110,0)),IF('Track Data'!O763=3,INDEX(Acceleration!$S$4:$S$110,MATCH('Track Data'!S763,Acceleration!$K$4:$K$110,0)),'Track Data'!AF763)),'Track Data'!U763)</f>
        <v>4.6205446580837366</v>
      </c>
      <c r="AH763" s="16">
        <f>IF(AC763=0,IF(O763=2,INDEX(Acceleration!$R$4:$R$110,MATCH('Track Data'!S763,Acceleration!$K$4:$K$110,0)),IF('Track Data'!O763=1,INDEX(Acceleration!$Q$4:$Q$110,MATCH('Track Data'!S763,Acceleration!$K$4:$K$110,0)),'Track Data'!AG763)),'Track Data'!U763)</f>
        <v>4.6205446580837366</v>
      </c>
    </row>
    <row r="764" spans="2:34" x14ac:dyDescent="0.25">
      <c r="B764" s="16">
        <v>218.357</v>
      </c>
      <c r="C764" s="16">
        <v>8034</v>
      </c>
      <c r="D764" s="16">
        <v>761</v>
      </c>
      <c r="E764" s="113">
        <v>164</v>
      </c>
      <c r="F764" s="113">
        <v>161.4</v>
      </c>
      <c r="G764" s="113">
        <v>154.30000000000001</v>
      </c>
      <c r="H764" s="113">
        <f t="shared" si="82"/>
        <v>42.861111111111114</v>
      </c>
      <c r="I764" s="113">
        <v>11.1</v>
      </c>
      <c r="J764" s="113">
        <v>45.19</v>
      </c>
      <c r="K764" s="113">
        <v>44.5</v>
      </c>
      <c r="L764" s="185"/>
      <c r="M764" s="16">
        <v>761</v>
      </c>
      <c r="N764" s="16">
        <f t="shared" si="84"/>
        <v>2.1090200259609337E-2</v>
      </c>
      <c r="O764" s="16">
        <v>4</v>
      </c>
      <c r="P764" s="16">
        <f t="shared" si="80"/>
        <v>9.1833785004516724</v>
      </c>
      <c r="Q764" s="16">
        <f t="shared" si="85"/>
        <v>47.41538665780898</v>
      </c>
      <c r="R764" s="113">
        <f t="shared" si="81"/>
        <v>329.49099999999999</v>
      </c>
      <c r="S764" s="16">
        <f>IF(S763=15800,15800,ROUND((((Q764*60)/'Gearing Calculator'!$C$14)*'Track Data'!P764),-2))</f>
        <v>13200</v>
      </c>
      <c r="T764" s="16">
        <f t="shared" si="83"/>
        <v>4.6205446580837366</v>
      </c>
      <c r="U764" s="16">
        <f>IF(AC764=100,Braking!$AG$2354,IF(AC764=50,Braking!$AG$1179,IF(AC764=75,Braking!$AG$1767,0)))</f>
        <v>0</v>
      </c>
      <c r="V764" s="16">
        <f>0.5*'Gearing Calculator'!$C$15*'Gearing Calculator'!$C$20*'Gearing Calculator'!$W$20*('Track Data'!Q764^2)</f>
        <v>237.95148751970461</v>
      </c>
      <c r="W764" s="16">
        <f>('Gearing Calculator'!$U$9*'Track Data'!T764)+'Track Data'!V764</f>
        <v>1467.9404755015953</v>
      </c>
      <c r="X764" s="16">
        <f>('Gearing Calculator'!$U$9*9.81)*('Gearing Calculator'!$U$16/'Gearing Calculator'!$C$7)-(('Track Data'!W764)*('Gearing Calculator'!$U$17/'Gearing Calculator'!$C$7))</f>
        <v>601.03448971653222</v>
      </c>
      <c r="Y764" s="16">
        <f>('Gearing Calculator'!$U$9*9.81)*(('Gearing Calculator'!$C$7-'Gearing Calculator'!$U$16)/'Gearing Calculator'!$C$7)+(('Track Data'!W764)*('Gearing Calculator'!$U$17/'Gearing Calculator'!$C$7))</f>
        <v>2010.3875102834677</v>
      </c>
      <c r="Z764" s="16">
        <f>((X764*COS('Gearing Calculator'!$C$21))/'Gearing Calculator'!$C$22)/2</f>
        <v>18.582085511899209</v>
      </c>
      <c r="AA764" s="16">
        <f>Y764/'Gearing Calculator'!$C$24</f>
        <v>28.07175257612403</v>
      </c>
      <c r="AB764" s="16">
        <f t="shared" si="86"/>
        <v>256.43366615203956</v>
      </c>
      <c r="AC764" s="16">
        <v>0</v>
      </c>
      <c r="AD764" s="16">
        <v>0</v>
      </c>
      <c r="AE764" s="16">
        <v>761</v>
      </c>
      <c r="AF764" s="16">
        <f>IF(AC764=0,IF(O764=6,INDEX(Acceleration!$V$4:$V$110,MATCH('Track Data'!S764,Acceleration!$K$4:$K$110,0)),IF('Track Data'!O764=5,INDEX(Acceleration!$U$4:$U$110,MATCH('Track Data'!S764,Acceleration!$K$4:$K$110,0)),1)),U764)</f>
        <v>1</v>
      </c>
      <c r="AG764" s="16">
        <f>IF(AC764=0,IF(O764=4,INDEX(Acceleration!$T$4:$T$110,MATCH('Track Data'!S764,Acceleration!$K$4:$K$110,0)),IF('Track Data'!O764=3,INDEX(Acceleration!$S$4:$S$110,MATCH('Track Data'!S764,Acceleration!$K$4:$K$110,0)),'Track Data'!AF764)),'Track Data'!U764)</f>
        <v>4.6205446580837366</v>
      </c>
      <c r="AH764" s="16">
        <f>IF(AC764=0,IF(O764=2,INDEX(Acceleration!$R$4:$R$110,MATCH('Track Data'!S764,Acceleration!$K$4:$K$110,0)),IF('Track Data'!O764=1,INDEX(Acceleration!$Q$4:$Q$110,MATCH('Track Data'!S764,Acceleration!$K$4:$K$110,0)),'Track Data'!AG764)),'Track Data'!U764)</f>
        <v>4.6205446580837366</v>
      </c>
    </row>
    <row r="765" spans="2:34" x14ac:dyDescent="0.25">
      <c r="B765" s="16">
        <v>218.38</v>
      </c>
      <c r="C765" s="16">
        <v>8035</v>
      </c>
      <c r="D765" s="16">
        <v>762</v>
      </c>
      <c r="E765" s="113">
        <v>163</v>
      </c>
      <c r="F765" s="113">
        <v>161.1</v>
      </c>
      <c r="G765" s="113">
        <v>154.30000000000001</v>
      </c>
      <c r="H765" s="113">
        <f t="shared" si="82"/>
        <v>42.861111111111114</v>
      </c>
      <c r="I765" s="113">
        <v>11.5</v>
      </c>
      <c r="J765" s="113">
        <v>44</v>
      </c>
      <c r="K765" s="113">
        <v>42.9</v>
      </c>
      <c r="L765" s="185"/>
      <c r="M765" s="16">
        <v>762</v>
      </c>
      <c r="N765" s="16">
        <f t="shared" si="84"/>
        <v>2.1046988798242319E-2</v>
      </c>
      <c r="O765" s="16">
        <v>4</v>
      </c>
      <c r="P765" s="16">
        <f t="shared" si="80"/>
        <v>9.1833785004516724</v>
      </c>
      <c r="Q765" s="16">
        <f t="shared" si="85"/>
        <v>47.512734937337555</v>
      </c>
      <c r="R765" s="113">
        <f t="shared" si="81"/>
        <v>329.49099999999999</v>
      </c>
      <c r="S765" s="16">
        <f>IF(S764=15800,15800,ROUND((((Q765*60)/'Gearing Calculator'!$C$14)*'Track Data'!P765),-2))</f>
        <v>13200</v>
      </c>
      <c r="T765" s="16">
        <f t="shared" si="83"/>
        <v>4.6205446580837366</v>
      </c>
      <c r="U765" s="16">
        <f>IF(AC765=100,Braking!$AG$2354,IF(AC765=50,Braking!$AG$1179,IF(AC765=75,Braking!$AG$1767,0)))</f>
        <v>0</v>
      </c>
      <c r="V765" s="16">
        <f>0.5*'Gearing Calculator'!$C$15*'Gearing Calculator'!$C$20*'Gearing Calculator'!$W$20*('Track Data'!Q765^2)</f>
        <v>238.9295644129277</v>
      </c>
      <c r="W765" s="16">
        <f>('Gearing Calculator'!$U$9*'Track Data'!T765)+'Track Data'!V765</f>
        <v>1468.9185523948183</v>
      </c>
      <c r="X765" s="16">
        <f>('Gearing Calculator'!$U$9*9.81)*('Gearing Calculator'!$U$16/'Gearing Calculator'!$C$7)-(('Track Data'!W765)*('Gearing Calculator'!$U$17/'Gearing Calculator'!$C$7))</f>
        <v>600.50137101320331</v>
      </c>
      <c r="Y765" s="16">
        <f>('Gearing Calculator'!$U$9*9.81)*(('Gearing Calculator'!$C$7-'Gearing Calculator'!$U$16)/'Gearing Calculator'!$C$7)+(('Track Data'!W765)*('Gearing Calculator'!$U$17/'Gearing Calculator'!$C$7))</f>
        <v>2010.9206289867966</v>
      </c>
      <c r="Z765" s="16">
        <f>((X765*COS('Gearing Calculator'!$C$21))/'Gearing Calculator'!$C$22)/2</f>
        <v>18.565603167703081</v>
      </c>
      <c r="AA765" s="16">
        <f>Y765/'Gearing Calculator'!$C$24</f>
        <v>28.079196701327259</v>
      </c>
      <c r="AB765" s="16">
        <f t="shared" si="86"/>
        <v>257.41174304526265</v>
      </c>
      <c r="AC765" s="16">
        <v>0</v>
      </c>
      <c r="AD765" s="16">
        <v>0</v>
      </c>
      <c r="AE765" s="16">
        <v>762</v>
      </c>
      <c r="AF765" s="16">
        <f>IF(AC765=0,IF(O765=6,INDEX(Acceleration!$V$4:$V$110,MATCH('Track Data'!S765,Acceleration!$K$4:$K$110,0)),IF('Track Data'!O765=5,INDEX(Acceleration!$U$4:$U$110,MATCH('Track Data'!S765,Acceleration!$K$4:$K$110,0)),1)),U765)</f>
        <v>1</v>
      </c>
      <c r="AG765" s="16">
        <f>IF(AC765=0,IF(O765=4,INDEX(Acceleration!$T$4:$T$110,MATCH('Track Data'!S765,Acceleration!$K$4:$K$110,0)),IF('Track Data'!O765=3,INDEX(Acceleration!$S$4:$S$110,MATCH('Track Data'!S765,Acceleration!$K$4:$K$110,0)),'Track Data'!AF765)),'Track Data'!U765)</f>
        <v>4.6205446580837366</v>
      </c>
      <c r="AH765" s="16">
        <f>IF(AC765=0,IF(O765=2,INDEX(Acceleration!$R$4:$R$110,MATCH('Track Data'!S765,Acceleration!$K$4:$K$110,0)),IF('Track Data'!O765=1,INDEX(Acceleration!$Q$4:$Q$110,MATCH('Track Data'!S765,Acceleration!$K$4:$K$110,0)),'Track Data'!AG765)),'Track Data'!U765)</f>
        <v>4.6205446580837366</v>
      </c>
    </row>
    <row r="766" spans="2:34" x14ac:dyDescent="0.25">
      <c r="B766" s="16">
        <v>218.40299999999999</v>
      </c>
      <c r="C766" s="16">
        <v>8036</v>
      </c>
      <c r="D766" s="16">
        <v>763</v>
      </c>
      <c r="E766" s="113">
        <v>162</v>
      </c>
      <c r="F766" s="113">
        <v>160.80000000000001</v>
      </c>
      <c r="G766" s="113">
        <v>154.30000000000001</v>
      </c>
      <c r="H766" s="113">
        <f t="shared" si="82"/>
        <v>42.861111111111114</v>
      </c>
      <c r="I766" s="113">
        <v>11.6</v>
      </c>
      <c r="J766" s="113">
        <v>44.57</v>
      </c>
      <c r="K766" s="113">
        <v>41.8</v>
      </c>
      <c r="L766" s="185"/>
      <c r="M766" s="16">
        <v>763</v>
      </c>
      <c r="N766" s="16">
        <f t="shared" si="84"/>
        <v>2.1004041859458505E-2</v>
      </c>
      <c r="O766" s="16">
        <v>4</v>
      </c>
      <c r="P766" s="16">
        <f t="shared" si="80"/>
        <v>9.1833785004516724</v>
      </c>
      <c r="Q766" s="16">
        <f t="shared" si="85"/>
        <v>47.609884168540717</v>
      </c>
      <c r="R766" s="113">
        <f t="shared" si="81"/>
        <v>329.49099999999999</v>
      </c>
      <c r="S766" s="16">
        <f>IF(S765=15800,15800,ROUND((((Q766*60)/'Gearing Calculator'!$C$14)*'Track Data'!P766),-2))</f>
        <v>13300</v>
      </c>
      <c r="T766" s="16">
        <f t="shared" si="83"/>
        <v>4.5727201699956463</v>
      </c>
      <c r="U766" s="16">
        <f>IF(AC766=100,Braking!$AG$2354,IF(AC766=50,Braking!$AG$1179,IF(AC766=75,Braking!$AG$1767,0)))</f>
        <v>0</v>
      </c>
      <c r="V766" s="16">
        <f>0.5*'Gearing Calculator'!$C$15*'Gearing Calculator'!$C$20*'Gearing Calculator'!$W$20*('Track Data'!Q766^2)</f>
        <v>239.90764130615085</v>
      </c>
      <c r="W766" s="16">
        <f>('Gearing Calculator'!$U$9*'Track Data'!T766)+'Track Data'!V766</f>
        <v>1457.1657505589919</v>
      </c>
      <c r="X766" s="16">
        <f>('Gearing Calculator'!$U$9*9.81)*('Gearing Calculator'!$U$16/'Gearing Calculator'!$C$7)-(('Track Data'!W766)*('Gearing Calculator'!$U$17/'Gearing Calculator'!$C$7))</f>
        <v>606.90745065644091</v>
      </c>
      <c r="Y766" s="16">
        <f>('Gearing Calculator'!$U$9*9.81)*(('Gearing Calculator'!$C$7-'Gearing Calculator'!$U$16)/'Gearing Calculator'!$C$7)+(('Track Data'!W766)*('Gearing Calculator'!$U$17/'Gearing Calculator'!$C$7))</f>
        <v>2004.5145493435591</v>
      </c>
      <c r="Z766" s="16">
        <f>((X766*COS('Gearing Calculator'!$C$21))/'Gearing Calculator'!$C$22)/2</f>
        <v>18.763658889568262</v>
      </c>
      <c r="AA766" s="16">
        <f>Y766/'Gearing Calculator'!$C$24</f>
        <v>27.989746343220649</v>
      </c>
      <c r="AB766" s="16">
        <f t="shared" si="86"/>
        <v>258.19852198613341</v>
      </c>
      <c r="AC766" s="16">
        <v>0</v>
      </c>
      <c r="AD766" s="16">
        <v>0</v>
      </c>
      <c r="AE766" s="16">
        <v>763</v>
      </c>
      <c r="AF766" s="16">
        <f>IF(AC766=0,IF(O766=6,INDEX(Acceleration!$V$4:$V$110,MATCH('Track Data'!S766,Acceleration!$K$4:$K$110,0)),IF('Track Data'!O766=5,INDEX(Acceleration!$U$4:$U$110,MATCH('Track Data'!S766,Acceleration!$K$4:$K$110,0)),1)),U766)</f>
        <v>1</v>
      </c>
      <c r="AG766" s="16">
        <f>IF(AC766=0,IF(O766=4,INDEX(Acceleration!$T$4:$T$110,MATCH('Track Data'!S766,Acceleration!$K$4:$K$110,0)),IF('Track Data'!O766=3,INDEX(Acceleration!$S$4:$S$110,MATCH('Track Data'!S766,Acceleration!$K$4:$K$110,0)),'Track Data'!AF766)),'Track Data'!U766)</f>
        <v>4.5727201699956463</v>
      </c>
      <c r="AH766" s="16">
        <f>IF(AC766=0,IF(O766=2,INDEX(Acceleration!$R$4:$R$110,MATCH('Track Data'!S766,Acceleration!$K$4:$K$110,0)),IF('Track Data'!O766=1,INDEX(Acceleration!$Q$4:$Q$110,MATCH('Track Data'!S766,Acceleration!$K$4:$K$110,0)),'Track Data'!AG766)),'Track Data'!U766)</f>
        <v>4.5727201699956463</v>
      </c>
    </row>
    <row r="767" spans="2:34" x14ac:dyDescent="0.25">
      <c r="B767" s="16">
        <v>218.42400000000001</v>
      </c>
      <c r="C767" s="16">
        <v>8037</v>
      </c>
      <c r="D767" s="16">
        <v>764</v>
      </c>
      <c r="E767" s="113">
        <v>159</v>
      </c>
      <c r="F767" s="113">
        <v>160.19999999999999</v>
      </c>
      <c r="G767" s="113">
        <v>154.30000000000001</v>
      </c>
      <c r="H767" s="113">
        <f t="shared" si="82"/>
        <v>42.861111111111114</v>
      </c>
      <c r="I767" s="113">
        <v>10.7</v>
      </c>
      <c r="J767" s="113">
        <v>45.41</v>
      </c>
      <c r="K767" s="113">
        <v>40.200000000000003</v>
      </c>
      <c r="L767" s="185"/>
      <c r="M767" s="16">
        <v>764</v>
      </c>
      <c r="N767" s="16">
        <f t="shared" si="84"/>
        <v>2.0961797231333495E-2</v>
      </c>
      <c r="O767" s="16">
        <v>4</v>
      </c>
      <c r="P767" s="16">
        <f t="shared" si="80"/>
        <v>9.1833785004516724</v>
      </c>
      <c r="Q767" s="16">
        <f t="shared" si="85"/>
        <v>47.705833090743262</v>
      </c>
      <c r="R767" s="113">
        <f t="shared" si="81"/>
        <v>329.49099999999999</v>
      </c>
      <c r="S767" s="16">
        <f>IF(S766=15800,15800,ROUND((((Q767*60)/'Gearing Calculator'!$C$14)*'Track Data'!P767),-2))</f>
        <v>13300</v>
      </c>
      <c r="T767" s="16">
        <f t="shared" si="83"/>
        <v>4.5727201699956463</v>
      </c>
      <c r="U767" s="16">
        <f>IF(AC767=100,Braking!$AG$2354,IF(AC767=50,Braking!$AG$1179,IF(AC767=75,Braking!$AG$1767,0)))</f>
        <v>0</v>
      </c>
      <c r="V767" s="16">
        <f>0.5*'Gearing Calculator'!$C$15*'Gearing Calculator'!$C$20*'Gearing Calculator'!$W$20*('Track Data'!Q767^2)</f>
        <v>240.87559471173552</v>
      </c>
      <c r="W767" s="16">
        <f>('Gearing Calculator'!$U$9*'Track Data'!T767)+'Track Data'!V767</f>
        <v>1458.1337039645764</v>
      </c>
      <c r="X767" s="16">
        <f>('Gearing Calculator'!$U$9*9.81)*('Gearing Calculator'!$U$16/'Gearing Calculator'!$C$7)-(('Track Data'!W767)*('Gearing Calculator'!$U$17/'Gearing Calculator'!$C$7))</f>
        <v>606.37984994524584</v>
      </c>
      <c r="Y767" s="16">
        <f>('Gearing Calculator'!$U$9*9.81)*(('Gearing Calculator'!$C$7-'Gearing Calculator'!$U$16)/'Gearing Calculator'!$C$7)+(('Track Data'!W767)*('Gearing Calculator'!$U$17/'Gearing Calculator'!$C$7))</f>
        <v>2005.0421500547541</v>
      </c>
      <c r="Z767" s="16">
        <f>((X767*COS('Gearing Calculator'!$C$21))/'Gearing Calculator'!$C$22)/2</f>
        <v>18.747347144236993</v>
      </c>
      <c r="AA767" s="16">
        <f>Y767/'Gearing Calculator'!$C$24</f>
        <v>27.997113418746086</v>
      </c>
      <c r="AB767" s="16">
        <f t="shared" si="86"/>
        <v>259.16647539171811</v>
      </c>
      <c r="AC767" s="16">
        <v>0</v>
      </c>
      <c r="AD767" s="16">
        <v>0</v>
      </c>
      <c r="AE767" s="16">
        <v>764</v>
      </c>
      <c r="AF767" s="16">
        <f>IF(AC767=0,IF(O767=6,INDEX(Acceleration!$V$4:$V$110,MATCH('Track Data'!S767,Acceleration!$K$4:$K$110,0)),IF('Track Data'!O767=5,INDEX(Acceleration!$U$4:$U$110,MATCH('Track Data'!S767,Acceleration!$K$4:$K$110,0)),1)),U767)</f>
        <v>1</v>
      </c>
      <c r="AG767" s="16">
        <f>IF(AC767=0,IF(O767=4,INDEX(Acceleration!$T$4:$T$110,MATCH('Track Data'!S767,Acceleration!$K$4:$K$110,0)),IF('Track Data'!O767=3,INDEX(Acceleration!$S$4:$S$110,MATCH('Track Data'!S767,Acceleration!$K$4:$K$110,0)),'Track Data'!AF767)),'Track Data'!U767)</f>
        <v>4.5727201699956463</v>
      </c>
      <c r="AH767" s="16">
        <f>IF(AC767=0,IF(O767=2,INDEX(Acceleration!$R$4:$R$110,MATCH('Track Data'!S767,Acceleration!$K$4:$K$110,0)),IF('Track Data'!O767=1,INDEX(Acceleration!$Q$4:$Q$110,MATCH('Track Data'!S767,Acceleration!$K$4:$K$110,0)),'Track Data'!AG767)),'Track Data'!U767)</f>
        <v>4.5727201699956463</v>
      </c>
    </row>
    <row r="768" spans="2:34" x14ac:dyDescent="0.25">
      <c r="B768" s="16">
        <v>218.447</v>
      </c>
      <c r="C768" s="16">
        <v>8038</v>
      </c>
      <c r="D768" s="16">
        <v>765</v>
      </c>
      <c r="E768" s="113">
        <v>157</v>
      </c>
      <c r="F768" s="113">
        <v>159.69999999999999</v>
      </c>
      <c r="G768" s="113">
        <v>154.19999999999999</v>
      </c>
      <c r="H768" s="113">
        <f t="shared" si="82"/>
        <v>42.833333333333329</v>
      </c>
      <c r="I768" s="113">
        <v>10.4</v>
      </c>
      <c r="J768" s="113">
        <v>45.23</v>
      </c>
      <c r="K768" s="113">
        <v>38.700000000000003</v>
      </c>
      <c r="L768" s="185"/>
      <c r="M768" s="16">
        <v>765</v>
      </c>
      <c r="N768" s="16">
        <f t="shared" si="84"/>
        <v>2.0919806477191816E-2</v>
      </c>
      <c r="O768" s="16">
        <v>4</v>
      </c>
      <c r="P768" s="16">
        <f t="shared" si="80"/>
        <v>9.1833785004516724</v>
      </c>
      <c r="Q768" s="16">
        <f t="shared" si="85"/>
        <v>47.801589421501937</v>
      </c>
      <c r="R768" s="113">
        <f t="shared" si="81"/>
        <v>329.49099999999999</v>
      </c>
      <c r="S768" s="16">
        <f>IF(S767=15800,15800,ROUND((((Q768*60)/'Gearing Calculator'!$C$14)*'Track Data'!P768),-2))</f>
        <v>13300</v>
      </c>
      <c r="T768" s="16">
        <f t="shared" si="83"/>
        <v>4.5727201699956463</v>
      </c>
      <c r="U768" s="16">
        <f>IF(AC768=100,Braking!$AG$2354,IF(AC768=50,Braking!$AG$1179,IF(AC768=75,Braking!$AG$1767,0)))</f>
        <v>0</v>
      </c>
      <c r="V768" s="16">
        <f>0.5*'Gearing Calculator'!$C$15*'Gearing Calculator'!$C$20*'Gearing Calculator'!$W$20*('Track Data'!Q768^2)</f>
        <v>241.84354811732013</v>
      </c>
      <c r="W768" s="16">
        <f>('Gearing Calculator'!$U$9*'Track Data'!T768)+'Track Data'!V768</f>
        <v>1459.1016573701611</v>
      </c>
      <c r="X768" s="16">
        <f>('Gearing Calculator'!$U$9*9.81)*('Gearing Calculator'!$U$16/'Gearing Calculator'!$C$7)-(('Track Data'!W768)*('Gearing Calculator'!$U$17/'Gearing Calculator'!$C$7))</f>
        <v>605.85224923405053</v>
      </c>
      <c r="Y768" s="16">
        <f>('Gearing Calculator'!$U$9*9.81)*(('Gearing Calculator'!$C$7-'Gearing Calculator'!$U$16)/'Gearing Calculator'!$C$7)+(('Track Data'!W768)*('Gearing Calculator'!$U$17/'Gearing Calculator'!$C$7))</f>
        <v>2005.5697507659495</v>
      </c>
      <c r="Z768" s="16">
        <f>((X768*COS('Gearing Calculator'!$C$21))/'Gearing Calculator'!$C$22)/2</f>
        <v>18.731035398905718</v>
      </c>
      <c r="AA768" s="16">
        <f>Y768/'Gearing Calculator'!$C$24</f>
        <v>28.00448049427153</v>
      </c>
      <c r="AB768" s="16">
        <f t="shared" si="86"/>
        <v>260.13442879730269</v>
      </c>
      <c r="AC768" s="16">
        <v>0</v>
      </c>
      <c r="AD768" s="16">
        <v>0</v>
      </c>
      <c r="AE768" s="16">
        <v>765</v>
      </c>
      <c r="AF768" s="16">
        <f>IF(AC768=0,IF(O768=6,INDEX(Acceleration!$V$4:$V$110,MATCH('Track Data'!S768,Acceleration!$K$4:$K$110,0)),IF('Track Data'!O768=5,INDEX(Acceleration!$U$4:$U$110,MATCH('Track Data'!S768,Acceleration!$K$4:$K$110,0)),1)),U768)</f>
        <v>1</v>
      </c>
      <c r="AG768" s="16">
        <f>IF(AC768=0,IF(O768=4,INDEX(Acceleration!$T$4:$T$110,MATCH('Track Data'!S768,Acceleration!$K$4:$K$110,0)),IF('Track Data'!O768=3,INDEX(Acceleration!$S$4:$S$110,MATCH('Track Data'!S768,Acceleration!$K$4:$K$110,0)),'Track Data'!AF768)),'Track Data'!U768)</f>
        <v>4.5727201699956463</v>
      </c>
      <c r="AH768" s="16">
        <f>IF(AC768=0,IF(O768=2,INDEX(Acceleration!$R$4:$R$110,MATCH('Track Data'!S768,Acceleration!$K$4:$K$110,0)),IF('Track Data'!O768=1,INDEX(Acceleration!$Q$4:$Q$110,MATCH('Track Data'!S768,Acceleration!$K$4:$K$110,0)),'Track Data'!AG768)),'Track Data'!U768)</f>
        <v>4.5727201699956463</v>
      </c>
    </row>
    <row r="769" spans="2:34" x14ac:dyDescent="0.25">
      <c r="B769" s="16">
        <v>218.46899999999999</v>
      </c>
      <c r="C769" s="16">
        <v>8039</v>
      </c>
      <c r="D769" s="16">
        <v>766</v>
      </c>
      <c r="E769" s="113">
        <v>156</v>
      </c>
      <c r="F769" s="113">
        <v>159.30000000000001</v>
      </c>
      <c r="G769" s="113">
        <v>154</v>
      </c>
      <c r="H769" s="113">
        <f t="shared" si="82"/>
        <v>42.777777777777779</v>
      </c>
      <c r="I769" s="113">
        <v>8.8000000000000007</v>
      </c>
      <c r="J769" s="113">
        <v>47.23</v>
      </c>
      <c r="K769" s="113">
        <v>37.1</v>
      </c>
      <c r="L769" s="185"/>
      <c r="M769" s="16">
        <v>766</v>
      </c>
      <c r="N769" s="16">
        <f t="shared" si="84"/>
        <v>2.0878067064370179E-2</v>
      </c>
      <c r="O769" s="16">
        <v>4</v>
      </c>
      <c r="P769" s="16">
        <f t="shared" si="80"/>
        <v>9.1833785004516724</v>
      </c>
      <c r="Q769" s="16">
        <f t="shared" si="85"/>
        <v>47.897154315907294</v>
      </c>
      <c r="R769" s="113">
        <f t="shared" si="81"/>
        <v>329.49099999999999</v>
      </c>
      <c r="S769" s="16">
        <f>IF(S768=15800,15800,ROUND((((Q769*60)/'Gearing Calculator'!$C$14)*'Track Data'!P769),-2))</f>
        <v>13300</v>
      </c>
      <c r="T769" s="16">
        <f t="shared" si="83"/>
        <v>4.5727201699956463</v>
      </c>
      <c r="U769" s="16">
        <f>IF(AC769=100,Braking!$AG$2354,IF(AC769=50,Braking!$AG$1179,IF(AC769=75,Braking!$AG$1767,0)))</f>
        <v>0</v>
      </c>
      <c r="V769" s="16">
        <f>0.5*'Gearing Calculator'!$C$15*'Gearing Calculator'!$C$20*'Gearing Calculator'!$W$20*('Track Data'!Q769^2)</f>
        <v>242.81150152290473</v>
      </c>
      <c r="W769" s="16">
        <f>('Gearing Calculator'!$U$9*'Track Data'!T769)+'Track Data'!V769</f>
        <v>1460.0696107757458</v>
      </c>
      <c r="X769" s="16">
        <f>('Gearing Calculator'!$U$9*9.81)*('Gearing Calculator'!$U$16/'Gearing Calculator'!$C$7)-(('Track Data'!W769)*('Gearing Calculator'!$U$17/'Gearing Calculator'!$C$7))</f>
        <v>605.32464852285534</v>
      </c>
      <c r="Y769" s="16">
        <f>('Gearing Calculator'!$U$9*9.81)*(('Gearing Calculator'!$C$7-'Gearing Calculator'!$U$16)/'Gearing Calculator'!$C$7)+(('Track Data'!W769)*('Gearing Calculator'!$U$17/'Gearing Calculator'!$C$7))</f>
        <v>2006.0973514771447</v>
      </c>
      <c r="Z769" s="16">
        <f>((X769*COS('Gearing Calculator'!$C$21))/'Gearing Calculator'!$C$22)/2</f>
        <v>18.714723653574442</v>
      </c>
      <c r="AA769" s="16">
        <f>Y769/'Gearing Calculator'!$C$24</f>
        <v>28.01184756979697</v>
      </c>
      <c r="AB769" s="16">
        <f t="shared" si="86"/>
        <v>261.10238220288733</v>
      </c>
      <c r="AC769" s="16">
        <v>0</v>
      </c>
      <c r="AD769" s="16">
        <v>0</v>
      </c>
      <c r="AE769" s="16">
        <v>766</v>
      </c>
      <c r="AF769" s="16">
        <f>IF(AC769=0,IF(O769=6,INDEX(Acceleration!$V$4:$V$110,MATCH('Track Data'!S769,Acceleration!$K$4:$K$110,0)),IF('Track Data'!O769=5,INDEX(Acceleration!$U$4:$U$110,MATCH('Track Data'!S769,Acceleration!$K$4:$K$110,0)),1)),U769)</f>
        <v>1</v>
      </c>
      <c r="AG769" s="16">
        <f>IF(AC769=0,IF(O769=4,INDEX(Acceleration!$T$4:$T$110,MATCH('Track Data'!S769,Acceleration!$K$4:$K$110,0)),IF('Track Data'!O769=3,INDEX(Acceleration!$S$4:$S$110,MATCH('Track Data'!S769,Acceleration!$K$4:$K$110,0)),'Track Data'!AF769)),'Track Data'!U769)</f>
        <v>4.5727201699956463</v>
      </c>
      <c r="AH769" s="16">
        <f>IF(AC769=0,IF(O769=2,INDEX(Acceleration!$R$4:$R$110,MATCH('Track Data'!S769,Acceleration!$K$4:$K$110,0)),IF('Track Data'!O769=1,INDEX(Acceleration!$Q$4:$Q$110,MATCH('Track Data'!S769,Acceleration!$K$4:$K$110,0)),'Track Data'!AG769)),'Track Data'!U769)</f>
        <v>4.5727201699956463</v>
      </c>
    </row>
    <row r="770" spans="2:34" x14ac:dyDescent="0.25">
      <c r="B770" s="16">
        <v>218.49199999999999</v>
      </c>
      <c r="C770" s="16">
        <v>8040</v>
      </c>
      <c r="D770" s="16">
        <v>767</v>
      </c>
      <c r="E770" s="113">
        <v>156</v>
      </c>
      <c r="F770" s="113">
        <v>158.80000000000001</v>
      </c>
      <c r="G770" s="113">
        <v>153.80000000000001</v>
      </c>
      <c r="H770" s="113">
        <f t="shared" si="82"/>
        <v>42.722222222222221</v>
      </c>
      <c r="I770" s="113">
        <v>7.8</v>
      </c>
      <c r="J770" s="113">
        <v>49.46</v>
      </c>
      <c r="K770" s="113">
        <v>35.6</v>
      </c>
      <c r="L770" s="185"/>
      <c r="M770" s="16">
        <v>767</v>
      </c>
      <c r="N770" s="16">
        <f t="shared" si="84"/>
        <v>2.0836576495437145E-2</v>
      </c>
      <c r="O770" s="16">
        <v>4</v>
      </c>
      <c r="P770" s="16">
        <f t="shared" si="80"/>
        <v>9.1833785004516724</v>
      </c>
      <c r="Q770" s="16">
        <f t="shared" si="85"/>
        <v>47.992528917549528</v>
      </c>
      <c r="R770" s="113">
        <f t="shared" si="81"/>
        <v>329.49099999999999</v>
      </c>
      <c r="S770" s="16">
        <f>IF(S769=15800,15800,ROUND((((Q770*60)/'Gearing Calculator'!$C$14)*'Track Data'!P770),-2))</f>
        <v>13400</v>
      </c>
      <c r="T770" s="16">
        <f t="shared" si="83"/>
        <v>4.5254127277249072</v>
      </c>
      <c r="U770" s="16">
        <f>IF(AC770=100,Braking!$AG$2354,IF(AC770=50,Braking!$AG$1179,IF(AC770=75,Braking!$AG$1767,0)))</f>
        <v>0</v>
      </c>
      <c r="V770" s="16">
        <f>0.5*'Gearing Calculator'!$C$15*'Gearing Calculator'!$C$20*'Gearing Calculator'!$W$20*('Track Data'!Q770^2)</f>
        <v>243.7794549284894</v>
      </c>
      <c r="W770" s="16">
        <f>('Gearing Calculator'!$U$9*'Track Data'!T770)+'Track Data'!V770</f>
        <v>1448.4443230488598</v>
      </c>
      <c r="X770" s="16">
        <f>('Gearing Calculator'!$U$9*9.81)*('Gearing Calculator'!$U$16/'Gearing Calculator'!$C$7)-(('Track Data'!W770)*('Gearing Calculator'!$U$17/'Gearing Calculator'!$C$7))</f>
        <v>611.66122426830589</v>
      </c>
      <c r="Y770" s="16">
        <f>('Gearing Calculator'!$U$9*9.81)*(('Gearing Calculator'!$C$7-'Gearing Calculator'!$U$16)/'Gearing Calculator'!$C$7)+(('Track Data'!W770)*('Gearing Calculator'!$U$17/'Gearing Calculator'!$C$7))</f>
        <v>1999.7607757316941</v>
      </c>
      <c r="Z770" s="16">
        <f>((X770*COS('Gearing Calculator'!$C$21))/'Gearing Calculator'!$C$22)/2</f>
        <v>18.910630534742147</v>
      </c>
      <c r="AA770" s="16">
        <f>Y770/'Gearing Calculator'!$C$24</f>
        <v>27.92336771922275</v>
      </c>
      <c r="AB770" s="16">
        <f t="shared" si="86"/>
        <v>261.88110583938902</v>
      </c>
      <c r="AC770" s="16">
        <v>0</v>
      </c>
      <c r="AD770" s="16">
        <v>0</v>
      </c>
      <c r="AE770" s="16">
        <v>767</v>
      </c>
      <c r="AF770" s="16">
        <f>IF(AC770=0,IF(O770=6,INDEX(Acceleration!$V$4:$V$110,MATCH('Track Data'!S770,Acceleration!$K$4:$K$110,0)),IF('Track Data'!O770=5,INDEX(Acceleration!$U$4:$U$110,MATCH('Track Data'!S770,Acceleration!$K$4:$K$110,0)),1)),U770)</f>
        <v>1</v>
      </c>
      <c r="AG770" s="16">
        <f>IF(AC770=0,IF(O770=4,INDEX(Acceleration!$T$4:$T$110,MATCH('Track Data'!S770,Acceleration!$K$4:$K$110,0)),IF('Track Data'!O770=3,INDEX(Acceleration!$S$4:$S$110,MATCH('Track Data'!S770,Acceleration!$K$4:$K$110,0)),'Track Data'!AF770)),'Track Data'!U770)</f>
        <v>4.5254127277249072</v>
      </c>
      <c r="AH770" s="16">
        <f>IF(AC770=0,IF(O770=2,INDEX(Acceleration!$R$4:$R$110,MATCH('Track Data'!S770,Acceleration!$K$4:$K$110,0)),IF('Track Data'!O770=1,INDEX(Acceleration!$Q$4:$Q$110,MATCH('Track Data'!S770,Acceleration!$K$4:$K$110,0)),'Track Data'!AG770)),'Track Data'!U770)</f>
        <v>4.5254127277249072</v>
      </c>
    </row>
    <row r="771" spans="2:34" x14ac:dyDescent="0.25">
      <c r="B771" s="16">
        <v>218.51400000000001</v>
      </c>
      <c r="C771" s="16">
        <v>8041</v>
      </c>
      <c r="D771" s="16">
        <v>768</v>
      </c>
      <c r="E771" s="113">
        <v>155</v>
      </c>
      <c r="F771" s="113">
        <v>158.4</v>
      </c>
      <c r="G771" s="113">
        <v>153.6</v>
      </c>
      <c r="H771" s="113">
        <f t="shared" si="82"/>
        <v>42.666666666666664</v>
      </c>
      <c r="I771" s="113">
        <v>7.3</v>
      </c>
      <c r="J771" s="113">
        <v>51.83</v>
      </c>
      <c r="K771" s="113">
        <v>35.299999999999997</v>
      </c>
      <c r="L771" s="185"/>
      <c r="M771" s="16">
        <v>768</v>
      </c>
      <c r="N771" s="16">
        <f t="shared" si="84"/>
        <v>2.079575774959299E-2</v>
      </c>
      <c r="O771" s="16">
        <v>4</v>
      </c>
      <c r="P771" s="16">
        <f t="shared" si="80"/>
        <v>9.1833785004516724</v>
      </c>
      <c r="Q771" s="16">
        <f t="shared" si="85"/>
        <v>48.086730574632305</v>
      </c>
      <c r="R771" s="113">
        <f t="shared" si="81"/>
        <v>329.49099999999999</v>
      </c>
      <c r="S771" s="16">
        <f>IF(S770=15800,15800,ROUND((((Q771*60)/'Gearing Calculator'!$C$14)*'Track Data'!P771),-2))</f>
        <v>13400</v>
      </c>
      <c r="T771" s="16">
        <f t="shared" si="83"/>
        <v>4.5254127277249072</v>
      </c>
      <c r="U771" s="16">
        <f>IF(AC771=100,Braking!$AG$2354,IF(AC771=50,Braking!$AG$1179,IF(AC771=75,Braking!$AG$1767,0)))</f>
        <v>0</v>
      </c>
      <c r="V771" s="16">
        <f>0.5*'Gearing Calculator'!$C$15*'Gearing Calculator'!$C$20*'Gearing Calculator'!$W$20*('Track Data'!Q771^2)</f>
        <v>244.73739429469421</v>
      </c>
      <c r="W771" s="16">
        <f>('Gearing Calculator'!$U$9*'Track Data'!T771)+'Track Data'!V771</f>
        <v>1449.4022624150646</v>
      </c>
      <c r="X771" s="16">
        <f>('Gearing Calculator'!$U$9*9.81)*('Gearing Calculator'!$U$16/'Gearing Calculator'!$C$7)-(('Track Data'!W771)*('Gearing Calculator'!$U$17/'Gearing Calculator'!$C$7))</f>
        <v>611.13908189246888</v>
      </c>
      <c r="Y771" s="16">
        <f>('Gearing Calculator'!$U$9*9.81)*(('Gearing Calculator'!$C$7-'Gearing Calculator'!$U$16)/'Gearing Calculator'!$C$7)+(('Track Data'!W771)*('Gearing Calculator'!$U$17/'Gearing Calculator'!$C$7))</f>
        <v>2000.2829181075313</v>
      </c>
      <c r="Z771" s="16">
        <f>((X771*COS('Gearing Calculator'!$C$21))/'Gearing Calculator'!$C$22)/2</f>
        <v>18.894487543876906</v>
      </c>
      <c r="AA771" s="16">
        <f>Y771/'Gearing Calculator'!$C$24</f>
        <v>27.930658578079083</v>
      </c>
      <c r="AB771" s="16">
        <f t="shared" si="86"/>
        <v>262.83904520559383</v>
      </c>
      <c r="AC771" s="16">
        <v>0</v>
      </c>
      <c r="AD771" s="16">
        <v>0</v>
      </c>
      <c r="AE771" s="16">
        <v>768</v>
      </c>
      <c r="AF771" s="16">
        <f>IF(AC771=0,IF(O771=6,INDEX(Acceleration!$V$4:$V$110,MATCH('Track Data'!S771,Acceleration!$K$4:$K$110,0)),IF('Track Data'!O771=5,INDEX(Acceleration!$U$4:$U$110,MATCH('Track Data'!S771,Acceleration!$K$4:$K$110,0)),1)),U771)</f>
        <v>1</v>
      </c>
      <c r="AG771" s="16">
        <f>IF(AC771=0,IF(O771=4,INDEX(Acceleration!$T$4:$T$110,MATCH('Track Data'!S771,Acceleration!$K$4:$K$110,0)),IF('Track Data'!O771=3,INDEX(Acceleration!$S$4:$S$110,MATCH('Track Data'!S771,Acceleration!$K$4:$K$110,0)),'Track Data'!AF771)),'Track Data'!U771)</f>
        <v>4.5254127277249072</v>
      </c>
      <c r="AH771" s="16">
        <f>IF(AC771=0,IF(O771=2,INDEX(Acceleration!$R$4:$R$110,MATCH('Track Data'!S771,Acceleration!$K$4:$K$110,0)),IF('Track Data'!O771=1,INDEX(Acceleration!$Q$4:$Q$110,MATCH('Track Data'!S771,Acceleration!$K$4:$K$110,0)),'Track Data'!AG771)),'Track Data'!U771)</f>
        <v>4.5254127277249072</v>
      </c>
    </row>
    <row r="772" spans="2:34" x14ac:dyDescent="0.25">
      <c r="B772" s="16">
        <v>218.53700000000001</v>
      </c>
      <c r="C772" s="16">
        <v>8042</v>
      </c>
      <c r="D772" s="16">
        <v>769</v>
      </c>
      <c r="E772" s="113">
        <v>155</v>
      </c>
      <c r="F772" s="113">
        <v>158</v>
      </c>
      <c r="G772" s="113">
        <v>153.4</v>
      </c>
      <c r="H772" s="113">
        <f t="shared" si="82"/>
        <v>42.611111111111114</v>
      </c>
      <c r="I772" s="113">
        <v>6.8</v>
      </c>
      <c r="J772" s="113">
        <v>55.29</v>
      </c>
      <c r="K772" s="113">
        <v>34.9</v>
      </c>
      <c r="L772" s="185"/>
      <c r="M772" s="16">
        <v>769</v>
      </c>
      <c r="N772" s="16">
        <f t="shared" si="84"/>
        <v>2.0755177958815083E-2</v>
      </c>
      <c r="O772" s="16">
        <v>4</v>
      </c>
      <c r="P772" s="16">
        <f t="shared" ref="P772:P835" si="87">VLOOKUP(O772,$AJ$5:$AK$10,2,FALSE)</f>
        <v>9.1833785004516724</v>
      </c>
      <c r="Q772" s="16">
        <f t="shared" si="85"/>
        <v>48.180748051610067</v>
      </c>
      <c r="R772" s="113">
        <f t="shared" ref="R772:R835" si="88">VLOOKUP(O772,$AJ$5:$AL$10,3,FALSE)</f>
        <v>329.49099999999999</v>
      </c>
      <c r="S772" s="16">
        <f>IF(S771=15800,15800,ROUND((((Q772*60)/'Gearing Calculator'!$C$14)*'Track Data'!P772),-2))</f>
        <v>13400</v>
      </c>
      <c r="T772" s="16">
        <f t="shared" si="83"/>
        <v>4.5254127277249072</v>
      </c>
      <c r="U772" s="16">
        <f>IF(AC772=100,Braking!$AG$2354,IF(AC772=50,Braking!$AG$1179,IF(AC772=75,Braking!$AG$1767,0)))</f>
        <v>0</v>
      </c>
      <c r="V772" s="16">
        <f>0.5*'Gearing Calculator'!$C$15*'Gearing Calculator'!$C$20*'Gearing Calculator'!$W$20*('Track Data'!Q772^2)</f>
        <v>245.69533366089902</v>
      </c>
      <c r="W772" s="16">
        <f>('Gearing Calculator'!$U$9*'Track Data'!T772)+'Track Data'!V772</f>
        <v>1450.3602017812693</v>
      </c>
      <c r="X772" s="16">
        <f>('Gearing Calculator'!$U$9*9.81)*('Gearing Calculator'!$U$16/'Gearing Calculator'!$C$7)-(('Track Data'!W772)*('Gearing Calculator'!$U$17/'Gearing Calculator'!$C$7))</f>
        <v>610.61693951663187</v>
      </c>
      <c r="Y772" s="16">
        <f>('Gearing Calculator'!$U$9*9.81)*(('Gearing Calculator'!$C$7-'Gearing Calculator'!$U$16)/'Gearing Calculator'!$C$7)+(('Track Data'!W772)*('Gearing Calculator'!$U$17/'Gearing Calculator'!$C$7))</f>
        <v>2000.8050604833682</v>
      </c>
      <c r="Z772" s="16">
        <f>((X772*COS('Gearing Calculator'!$C$21))/'Gearing Calculator'!$C$22)/2</f>
        <v>18.878344553011662</v>
      </c>
      <c r="AA772" s="16">
        <f>Y772/'Gearing Calculator'!$C$24</f>
        <v>27.937949436935412</v>
      </c>
      <c r="AB772" s="16">
        <f t="shared" si="86"/>
        <v>263.79698457179865</v>
      </c>
      <c r="AC772" s="16">
        <v>0</v>
      </c>
      <c r="AD772" s="16">
        <v>0</v>
      </c>
      <c r="AE772" s="16">
        <v>769</v>
      </c>
      <c r="AF772" s="16">
        <f>IF(AC772=0,IF(O772=6,INDEX(Acceleration!$V$4:$V$110,MATCH('Track Data'!S772,Acceleration!$K$4:$K$110,0)),IF('Track Data'!O772=5,INDEX(Acceleration!$U$4:$U$110,MATCH('Track Data'!S772,Acceleration!$K$4:$K$110,0)),1)),U772)</f>
        <v>1</v>
      </c>
      <c r="AG772" s="16">
        <f>IF(AC772=0,IF(O772=4,INDEX(Acceleration!$T$4:$T$110,MATCH('Track Data'!S772,Acceleration!$K$4:$K$110,0)),IF('Track Data'!O772=3,INDEX(Acceleration!$S$4:$S$110,MATCH('Track Data'!S772,Acceleration!$K$4:$K$110,0)),'Track Data'!AF772)),'Track Data'!U772)</f>
        <v>4.5254127277249072</v>
      </c>
      <c r="AH772" s="16">
        <f>IF(AC772=0,IF(O772=2,INDEX(Acceleration!$R$4:$R$110,MATCH('Track Data'!S772,Acceleration!$K$4:$K$110,0)),IF('Track Data'!O772=1,INDEX(Acceleration!$Q$4:$Q$110,MATCH('Track Data'!S772,Acceleration!$K$4:$K$110,0)),'Track Data'!AG772)),'Track Data'!U772)</f>
        <v>4.5254127277249072</v>
      </c>
    </row>
    <row r="773" spans="2:34" x14ac:dyDescent="0.25">
      <c r="B773" s="16">
        <v>218.56</v>
      </c>
      <c r="C773" s="16">
        <v>8043</v>
      </c>
      <c r="D773" s="16">
        <v>770</v>
      </c>
      <c r="E773" s="113">
        <v>155</v>
      </c>
      <c r="F773" s="113">
        <v>157.5</v>
      </c>
      <c r="G773" s="113">
        <v>153</v>
      </c>
      <c r="H773" s="113">
        <f t="shared" ref="H773:H836" si="89">G773/3.6</f>
        <v>42.5</v>
      </c>
      <c r="I773" s="113">
        <v>6.6</v>
      </c>
      <c r="J773" s="113">
        <v>57.54</v>
      </c>
      <c r="K773" s="113">
        <v>34.5</v>
      </c>
      <c r="L773" s="185"/>
      <c r="M773" s="16">
        <v>770</v>
      </c>
      <c r="N773" s="16">
        <f t="shared" si="84"/>
        <v>2.071483480073975E-2</v>
      </c>
      <c r="O773" s="16">
        <v>4</v>
      </c>
      <c r="P773" s="16">
        <f t="shared" si="87"/>
        <v>9.1833785004516724</v>
      </c>
      <c r="Q773" s="16">
        <f t="shared" si="85"/>
        <v>48.274582424586306</v>
      </c>
      <c r="R773" s="113">
        <f t="shared" si="88"/>
        <v>329.49099999999999</v>
      </c>
      <c r="S773" s="16">
        <f>IF(S772=15800,15800,ROUND((((Q773*60)/'Gearing Calculator'!$C$14)*'Track Data'!P773),-2))</f>
        <v>13400</v>
      </c>
      <c r="T773" s="16">
        <f t="shared" ref="T773:T836" si="90">AH773</f>
        <v>4.5254127277249072</v>
      </c>
      <c r="U773" s="16">
        <f>IF(AC773=100,Braking!$AG$2354,IF(AC773=50,Braking!$AG$1179,IF(AC773=75,Braking!$AG$1767,0)))</f>
        <v>0</v>
      </c>
      <c r="V773" s="16">
        <f>0.5*'Gearing Calculator'!$C$15*'Gearing Calculator'!$C$20*'Gearing Calculator'!$W$20*('Track Data'!Q773^2)</f>
        <v>246.65327302710381</v>
      </c>
      <c r="W773" s="16">
        <f>('Gearing Calculator'!$U$9*'Track Data'!T773)+'Track Data'!V773</f>
        <v>1451.3181411474741</v>
      </c>
      <c r="X773" s="16">
        <f>('Gearing Calculator'!$U$9*9.81)*('Gearing Calculator'!$U$16/'Gearing Calculator'!$C$7)-(('Track Data'!W773)*('Gearing Calculator'!$U$17/'Gearing Calculator'!$C$7))</f>
        <v>610.09479714079475</v>
      </c>
      <c r="Y773" s="16">
        <f>('Gearing Calculator'!$U$9*9.81)*(('Gearing Calculator'!$C$7-'Gearing Calculator'!$U$16)/'Gearing Calculator'!$C$7)+(('Track Data'!W773)*('Gearing Calculator'!$U$17/'Gearing Calculator'!$C$7))</f>
        <v>2001.3272028592053</v>
      </c>
      <c r="Z773" s="16">
        <f>((X773*COS('Gearing Calculator'!$C$21))/'Gearing Calculator'!$C$22)/2</f>
        <v>18.862201562146421</v>
      </c>
      <c r="AA773" s="16">
        <f>Y773/'Gearing Calculator'!$C$24</f>
        <v>27.945240295791741</v>
      </c>
      <c r="AB773" s="16">
        <f t="shared" si="86"/>
        <v>264.75492393800346</v>
      </c>
      <c r="AC773" s="16">
        <v>0</v>
      </c>
      <c r="AD773" s="16">
        <v>0</v>
      </c>
      <c r="AE773" s="16">
        <v>770</v>
      </c>
      <c r="AF773" s="16">
        <f>IF(AC773=0,IF(O773=6,INDEX(Acceleration!$V$4:$V$110,MATCH('Track Data'!S773,Acceleration!$K$4:$K$110,0)),IF('Track Data'!O773=5,INDEX(Acceleration!$U$4:$U$110,MATCH('Track Data'!S773,Acceleration!$K$4:$K$110,0)),1)),U773)</f>
        <v>1</v>
      </c>
      <c r="AG773" s="16">
        <f>IF(AC773=0,IF(O773=4,INDEX(Acceleration!$T$4:$T$110,MATCH('Track Data'!S773,Acceleration!$K$4:$K$110,0)),IF('Track Data'!O773=3,INDEX(Acceleration!$S$4:$S$110,MATCH('Track Data'!S773,Acceleration!$K$4:$K$110,0)),'Track Data'!AF773)),'Track Data'!U773)</f>
        <v>4.5254127277249072</v>
      </c>
      <c r="AH773" s="16">
        <f>IF(AC773=0,IF(O773=2,INDEX(Acceleration!$R$4:$R$110,MATCH('Track Data'!S773,Acceleration!$K$4:$K$110,0)),IF('Track Data'!O773=1,INDEX(Acceleration!$Q$4:$Q$110,MATCH('Track Data'!S773,Acceleration!$K$4:$K$110,0)),'Track Data'!AG773)),'Track Data'!U773)</f>
        <v>4.5254127277249072</v>
      </c>
    </row>
    <row r="774" spans="2:34" x14ac:dyDescent="0.25">
      <c r="B774" s="16">
        <v>218.583</v>
      </c>
      <c r="C774" s="16">
        <v>8044</v>
      </c>
      <c r="D774" s="16">
        <v>771</v>
      </c>
      <c r="E774" s="113">
        <v>154</v>
      </c>
      <c r="F774" s="113">
        <v>156.69999999999999</v>
      </c>
      <c r="G774" s="113">
        <v>152.80000000000001</v>
      </c>
      <c r="H774" s="113">
        <f t="shared" si="89"/>
        <v>42.44444444444445</v>
      </c>
      <c r="I774" s="113">
        <v>6.4</v>
      </c>
      <c r="J774" s="113">
        <v>58.71</v>
      </c>
      <c r="K774" s="113">
        <v>34.5</v>
      </c>
      <c r="L774" s="185"/>
      <c r="M774" s="16">
        <v>771</v>
      </c>
      <c r="N774" s="16">
        <f t="shared" ref="N774:N837" si="91">1/Q774</f>
        <v>2.0674725984479905E-2</v>
      </c>
      <c r="O774" s="16">
        <v>4</v>
      </c>
      <c r="P774" s="16">
        <f t="shared" si="87"/>
        <v>9.1833785004516724</v>
      </c>
      <c r="Q774" s="16">
        <f t="shared" ref="Q774:Q837" si="92">IF(AD773=0,SQRT(Q773^2+(2*T773)),Q773)</f>
        <v>48.36823475922629</v>
      </c>
      <c r="R774" s="113">
        <f t="shared" si="88"/>
        <v>329.49099999999999</v>
      </c>
      <c r="S774" s="16">
        <f>IF(S773=15800,15800,ROUND((((Q774*60)/'Gearing Calculator'!$C$14)*'Track Data'!P774),-2))</f>
        <v>13500</v>
      </c>
      <c r="T774" s="16">
        <f t="shared" si="90"/>
        <v>4.4786093729803564</v>
      </c>
      <c r="U774" s="16">
        <f>IF(AC774=100,Braking!$AG$2354,IF(AC774=50,Braking!$AG$1179,IF(AC774=75,Braking!$AG$1767,0)))</f>
        <v>0</v>
      </c>
      <c r="V774" s="16">
        <f>0.5*'Gearing Calculator'!$C$15*'Gearing Calculator'!$C$20*'Gearing Calculator'!$W$20*('Track Data'!Q774^2)</f>
        <v>247.61121239330856</v>
      </c>
      <c r="W774" s="16">
        <f>('Gearing Calculator'!$U$9*'Track Data'!T774)+'Track Data'!V774</f>
        <v>1439.8170274806794</v>
      </c>
      <c r="X774" s="16">
        <f>('Gearing Calculator'!$U$9*9.81)*('Gearing Calculator'!$U$16/'Gearing Calculator'!$C$7)-(('Track Data'!W774)*('Gearing Calculator'!$U$17/'Gearing Calculator'!$C$7))</f>
        <v>616.3636895431855</v>
      </c>
      <c r="Y774" s="16">
        <f>('Gearing Calculator'!$U$9*9.81)*(('Gearing Calculator'!$C$7-'Gearing Calculator'!$U$16)/'Gearing Calculator'!$C$7)+(('Track Data'!W774)*('Gearing Calculator'!$U$17/'Gearing Calculator'!$C$7))</f>
        <v>1995.0583104568145</v>
      </c>
      <c r="Z774" s="16">
        <f>((X774*COS('Gearing Calculator'!$C$21))/'Gearing Calculator'!$C$22)/2</f>
        <v>19.05601588841089</v>
      </c>
      <c r="AA774" s="16">
        <f>Y774/'Gearing Calculator'!$C$24</f>
        <v>27.857705531699697</v>
      </c>
      <c r="AB774" s="16">
        <f t="shared" si="86"/>
        <v>265.52564988523</v>
      </c>
      <c r="AC774" s="16">
        <v>0</v>
      </c>
      <c r="AD774" s="16">
        <v>0</v>
      </c>
      <c r="AE774" s="16">
        <v>771</v>
      </c>
      <c r="AF774" s="16">
        <f>IF(AC774=0,IF(O774=6,INDEX(Acceleration!$V$4:$V$110,MATCH('Track Data'!S774,Acceleration!$K$4:$K$110,0)),IF('Track Data'!O774=5,INDEX(Acceleration!$U$4:$U$110,MATCH('Track Data'!S774,Acceleration!$K$4:$K$110,0)),1)),U774)</f>
        <v>1</v>
      </c>
      <c r="AG774" s="16">
        <f>IF(AC774=0,IF(O774=4,INDEX(Acceleration!$T$4:$T$110,MATCH('Track Data'!S774,Acceleration!$K$4:$K$110,0)),IF('Track Data'!O774=3,INDEX(Acceleration!$S$4:$S$110,MATCH('Track Data'!S774,Acceleration!$K$4:$K$110,0)),'Track Data'!AF774)),'Track Data'!U774)</f>
        <v>4.4786093729803564</v>
      </c>
      <c r="AH774" s="16">
        <f>IF(AC774=0,IF(O774=2,INDEX(Acceleration!$R$4:$R$110,MATCH('Track Data'!S774,Acceleration!$K$4:$K$110,0)),IF('Track Data'!O774=1,INDEX(Acceleration!$Q$4:$Q$110,MATCH('Track Data'!S774,Acceleration!$K$4:$K$110,0)),'Track Data'!AG774)),'Track Data'!U774)</f>
        <v>4.4786093729803564</v>
      </c>
    </row>
    <row r="775" spans="2:34" x14ac:dyDescent="0.25">
      <c r="B775" s="16">
        <v>218.60599999999999</v>
      </c>
      <c r="C775" s="16">
        <v>8045</v>
      </c>
      <c r="D775" s="16">
        <v>772</v>
      </c>
      <c r="E775" s="113">
        <v>154</v>
      </c>
      <c r="F775" s="113">
        <v>156.1</v>
      </c>
      <c r="G775" s="113">
        <v>152.5</v>
      </c>
      <c r="H775" s="113">
        <f t="shared" si="89"/>
        <v>42.361111111111107</v>
      </c>
      <c r="I775" s="113">
        <v>6.4</v>
      </c>
      <c r="J775" s="113">
        <v>63.29</v>
      </c>
      <c r="K775" s="113">
        <v>34.5</v>
      </c>
      <c r="L775" s="185"/>
      <c r="M775" s="16">
        <v>772</v>
      </c>
      <c r="N775" s="16">
        <f t="shared" si="91"/>
        <v>2.0635260488674163E-2</v>
      </c>
      <c r="O775" s="16">
        <v>4</v>
      </c>
      <c r="P775" s="16">
        <f t="shared" si="87"/>
        <v>9.1833785004516724</v>
      </c>
      <c r="Q775" s="16">
        <f t="shared" si="92"/>
        <v>48.460740321105156</v>
      </c>
      <c r="R775" s="113">
        <f t="shared" si="88"/>
        <v>329.49099999999999</v>
      </c>
      <c r="S775" s="16">
        <f>IF(S774=15800,15800,ROUND((((Q775*60)/'Gearing Calculator'!$C$14)*'Track Data'!P775),-2))</f>
        <v>13500</v>
      </c>
      <c r="T775" s="16">
        <f t="shared" si="90"/>
        <v>4.4786093729803564</v>
      </c>
      <c r="U775" s="16">
        <f>IF(AC775=100,Braking!$AG$2354,IF(AC775=50,Braking!$AG$1179,IF(AC775=75,Braking!$AG$1767,0)))</f>
        <v>0</v>
      </c>
      <c r="V775" s="16">
        <f>0.5*'Gearing Calculator'!$C$15*'Gearing Calculator'!$C$20*'Gearing Calculator'!$W$20*('Track Data'!Q775^2)</f>
        <v>248.55924442538105</v>
      </c>
      <c r="W775" s="16">
        <f>('Gearing Calculator'!$U$9*'Track Data'!T775)+'Track Data'!V775</f>
        <v>1440.765059512752</v>
      </c>
      <c r="X775" s="16">
        <f>('Gearing Calculator'!$U$9*9.81)*('Gearing Calculator'!$U$16/'Gearing Calculator'!$C$7)-(('Track Data'!W775)*('Gearing Calculator'!$U$17/'Gearing Calculator'!$C$7))</f>
        <v>615.84694734105926</v>
      </c>
      <c r="Y775" s="16">
        <f>('Gearing Calculator'!$U$9*9.81)*(('Gearing Calculator'!$C$7-'Gearing Calculator'!$U$16)/'Gearing Calculator'!$C$7)+(('Track Data'!W775)*('Gearing Calculator'!$U$17/'Gearing Calculator'!$C$7))</f>
        <v>1995.5750526589409</v>
      </c>
      <c r="Z775" s="16">
        <f>((X775*COS('Gearing Calculator'!$C$21))/'Gearing Calculator'!$C$22)/2</f>
        <v>19.040039853837492</v>
      </c>
      <c r="AA775" s="16">
        <f>Y775/'Gearing Calculator'!$C$24</f>
        <v>27.864920986018596</v>
      </c>
      <c r="AB775" s="16">
        <f t="shared" si="86"/>
        <v>266.47368191730249</v>
      </c>
      <c r="AC775" s="16">
        <v>0</v>
      </c>
      <c r="AD775" s="16">
        <v>0</v>
      </c>
      <c r="AE775" s="16">
        <v>772</v>
      </c>
      <c r="AF775" s="16">
        <f>IF(AC775=0,IF(O775=6,INDEX(Acceleration!$V$4:$V$110,MATCH('Track Data'!S775,Acceleration!$K$4:$K$110,0)),IF('Track Data'!O775=5,INDEX(Acceleration!$U$4:$U$110,MATCH('Track Data'!S775,Acceleration!$K$4:$K$110,0)),1)),U775)</f>
        <v>1</v>
      </c>
      <c r="AG775" s="16">
        <f>IF(AC775=0,IF(O775=4,INDEX(Acceleration!$T$4:$T$110,MATCH('Track Data'!S775,Acceleration!$K$4:$K$110,0)),IF('Track Data'!O775=3,INDEX(Acceleration!$S$4:$S$110,MATCH('Track Data'!S775,Acceleration!$K$4:$K$110,0)),'Track Data'!AF775)),'Track Data'!U775)</f>
        <v>4.4786093729803564</v>
      </c>
      <c r="AH775" s="16">
        <f>IF(AC775=0,IF(O775=2,INDEX(Acceleration!$R$4:$R$110,MATCH('Track Data'!S775,Acceleration!$K$4:$K$110,0)),IF('Track Data'!O775=1,INDEX(Acceleration!$Q$4:$Q$110,MATCH('Track Data'!S775,Acceleration!$K$4:$K$110,0)),'Track Data'!AG775)),'Track Data'!U775)</f>
        <v>4.4786093729803564</v>
      </c>
    </row>
    <row r="776" spans="2:34" x14ac:dyDescent="0.25">
      <c r="B776" s="16">
        <v>218.62799999999999</v>
      </c>
      <c r="C776" s="16">
        <v>8046</v>
      </c>
      <c r="D776" s="16">
        <v>773</v>
      </c>
      <c r="E776" s="113">
        <v>154</v>
      </c>
      <c r="F776" s="113">
        <v>156</v>
      </c>
      <c r="G776" s="113">
        <v>152.19999999999999</v>
      </c>
      <c r="H776" s="113">
        <f t="shared" si="89"/>
        <v>42.277777777777771</v>
      </c>
      <c r="I776" s="113">
        <v>6.3</v>
      </c>
      <c r="J776" s="113">
        <v>62.51</v>
      </c>
      <c r="K776" s="113">
        <v>34.5</v>
      </c>
      <c r="L776" s="185"/>
      <c r="M776" s="16">
        <v>773</v>
      </c>
      <c r="N776" s="16">
        <f t="shared" si="91"/>
        <v>2.059602013771393E-2</v>
      </c>
      <c r="O776" s="16">
        <v>4</v>
      </c>
      <c r="P776" s="16">
        <f t="shared" si="87"/>
        <v>9.1833785004516724</v>
      </c>
      <c r="Q776" s="16">
        <f t="shared" si="92"/>
        <v>48.553069637413735</v>
      </c>
      <c r="R776" s="113">
        <f t="shared" si="88"/>
        <v>329.49099999999999</v>
      </c>
      <c r="S776" s="16">
        <f>IF(S775=15800,15800,ROUND((((Q776*60)/'Gearing Calculator'!$C$14)*'Track Data'!P776),-2))</f>
        <v>13500</v>
      </c>
      <c r="T776" s="16">
        <f t="shared" si="90"/>
        <v>4.4786093729803564</v>
      </c>
      <c r="U776" s="16">
        <f>IF(AC776=100,Braking!$AG$2354,IF(AC776=50,Braking!$AG$1179,IF(AC776=75,Braking!$AG$1767,0)))</f>
        <v>0</v>
      </c>
      <c r="V776" s="16">
        <f>0.5*'Gearing Calculator'!$C$15*'Gearing Calculator'!$C$20*'Gearing Calculator'!$W$20*('Track Data'!Q776^2)</f>
        <v>249.50727645745354</v>
      </c>
      <c r="W776" s="16">
        <f>('Gearing Calculator'!$U$9*'Track Data'!T776)+'Track Data'!V776</f>
        <v>1441.7130915448245</v>
      </c>
      <c r="X776" s="16">
        <f>('Gearing Calculator'!$U$9*9.81)*('Gearing Calculator'!$U$16/'Gearing Calculator'!$C$7)-(('Track Data'!W776)*('Gearing Calculator'!$U$17/'Gearing Calculator'!$C$7))</f>
        <v>615.33020513893325</v>
      </c>
      <c r="Y776" s="16">
        <f>('Gearing Calculator'!$U$9*9.81)*(('Gearing Calculator'!$C$7-'Gearing Calculator'!$U$16)/'Gearing Calculator'!$C$7)+(('Track Data'!W776)*('Gearing Calculator'!$U$17/'Gearing Calculator'!$C$7))</f>
        <v>1996.0917948610668</v>
      </c>
      <c r="Z776" s="16">
        <f>((X776*COS('Gearing Calculator'!$C$21))/'Gearing Calculator'!$C$22)/2</f>
        <v>19.0240638192641</v>
      </c>
      <c r="AA776" s="16">
        <f>Y776/'Gearing Calculator'!$C$24</f>
        <v>27.872136440337485</v>
      </c>
      <c r="AB776" s="16">
        <f t="shared" si="86"/>
        <v>267.42171394937498</v>
      </c>
      <c r="AC776" s="16">
        <v>0</v>
      </c>
      <c r="AD776" s="16">
        <v>0</v>
      </c>
      <c r="AE776" s="16">
        <v>773</v>
      </c>
      <c r="AF776" s="16">
        <f>IF(AC776=0,IF(O776=6,INDEX(Acceleration!$V$4:$V$110,MATCH('Track Data'!S776,Acceleration!$K$4:$K$110,0)),IF('Track Data'!O776=5,INDEX(Acceleration!$U$4:$U$110,MATCH('Track Data'!S776,Acceleration!$K$4:$K$110,0)),1)),U776)</f>
        <v>1</v>
      </c>
      <c r="AG776" s="16">
        <f>IF(AC776=0,IF(O776=4,INDEX(Acceleration!$T$4:$T$110,MATCH('Track Data'!S776,Acceleration!$K$4:$K$110,0)),IF('Track Data'!O776=3,INDEX(Acceleration!$S$4:$S$110,MATCH('Track Data'!S776,Acceleration!$K$4:$K$110,0)),'Track Data'!AF776)),'Track Data'!U776)</f>
        <v>4.4786093729803564</v>
      </c>
      <c r="AH776" s="16">
        <f>IF(AC776=0,IF(O776=2,INDEX(Acceleration!$R$4:$R$110,MATCH('Track Data'!S776,Acceleration!$K$4:$K$110,0)),IF('Track Data'!O776=1,INDEX(Acceleration!$Q$4:$Q$110,MATCH('Track Data'!S776,Acceleration!$K$4:$K$110,0)),'Track Data'!AG776)),'Track Data'!U776)</f>
        <v>4.4786093729803564</v>
      </c>
    </row>
    <row r="777" spans="2:34" x14ac:dyDescent="0.25">
      <c r="B777" s="16">
        <v>218.65100000000001</v>
      </c>
      <c r="C777" s="16">
        <v>8047</v>
      </c>
      <c r="D777" s="16">
        <v>774</v>
      </c>
      <c r="E777" s="113">
        <v>154</v>
      </c>
      <c r="F777" s="113">
        <v>155.6</v>
      </c>
      <c r="G777" s="113">
        <v>151.69999999999999</v>
      </c>
      <c r="H777" s="113">
        <f t="shared" si="89"/>
        <v>42.138888888888886</v>
      </c>
      <c r="I777" s="113">
        <v>6.1</v>
      </c>
      <c r="J777" s="113">
        <v>64.87</v>
      </c>
      <c r="K777" s="113">
        <v>34.700000000000003</v>
      </c>
      <c r="L777" s="185"/>
      <c r="M777" s="16">
        <v>774</v>
      </c>
      <c r="N777" s="16">
        <f t="shared" si="91"/>
        <v>2.0557002799011643E-2</v>
      </c>
      <c r="O777" s="16">
        <v>4</v>
      </c>
      <c r="P777" s="16">
        <f t="shared" si="87"/>
        <v>9.1833785004516724</v>
      </c>
      <c r="Q777" s="16">
        <f t="shared" si="92"/>
        <v>48.645223711701732</v>
      </c>
      <c r="R777" s="113">
        <f t="shared" si="88"/>
        <v>329.49099999999999</v>
      </c>
      <c r="S777" s="16">
        <f>IF(S776=15800,15800,ROUND((((Q777*60)/'Gearing Calculator'!$C$14)*'Track Data'!P777),-2))</f>
        <v>13500</v>
      </c>
      <c r="T777" s="16">
        <f t="shared" si="90"/>
        <v>4.4786093729803564</v>
      </c>
      <c r="U777" s="16">
        <f>IF(AC777=100,Braking!$AG$2354,IF(AC777=50,Braking!$AG$1179,IF(AC777=75,Braking!$AG$1767,0)))</f>
        <v>0</v>
      </c>
      <c r="V777" s="16">
        <f>0.5*'Gearing Calculator'!$C$15*'Gearing Calculator'!$C$20*'Gearing Calculator'!$W$20*('Track Data'!Q777^2)</f>
        <v>250.45530848952603</v>
      </c>
      <c r="W777" s="16">
        <f>('Gearing Calculator'!$U$9*'Track Data'!T777)+'Track Data'!V777</f>
        <v>1442.6611235768969</v>
      </c>
      <c r="X777" s="16">
        <f>('Gearing Calculator'!$U$9*9.81)*('Gearing Calculator'!$U$16/'Gearing Calculator'!$C$7)-(('Track Data'!W777)*('Gearing Calculator'!$U$17/'Gearing Calculator'!$C$7))</f>
        <v>614.81346293680713</v>
      </c>
      <c r="Y777" s="16">
        <f>('Gearing Calculator'!$U$9*9.81)*(('Gearing Calculator'!$C$7-'Gearing Calculator'!$U$16)/'Gearing Calculator'!$C$7)+(('Track Data'!W777)*('Gearing Calculator'!$U$17/'Gearing Calculator'!$C$7))</f>
        <v>1996.6085370631929</v>
      </c>
      <c r="Z777" s="16">
        <f>((X777*COS('Gearing Calculator'!$C$21))/'Gearing Calculator'!$C$22)/2</f>
        <v>19.008087784690701</v>
      </c>
      <c r="AA777" s="16">
        <f>Y777/'Gearing Calculator'!$C$24</f>
        <v>27.879351894656381</v>
      </c>
      <c r="AB777" s="16">
        <f t="shared" si="86"/>
        <v>268.36974598144747</v>
      </c>
      <c r="AC777" s="16">
        <v>0</v>
      </c>
      <c r="AD777" s="16">
        <v>0</v>
      </c>
      <c r="AE777" s="16">
        <v>774</v>
      </c>
      <c r="AF777" s="16">
        <f>IF(AC777=0,IF(O777=6,INDEX(Acceleration!$V$4:$V$110,MATCH('Track Data'!S777,Acceleration!$K$4:$K$110,0)),IF('Track Data'!O777=5,INDEX(Acceleration!$U$4:$U$110,MATCH('Track Data'!S777,Acceleration!$K$4:$K$110,0)),1)),U777)</f>
        <v>1</v>
      </c>
      <c r="AG777" s="16">
        <f>IF(AC777=0,IF(O777=4,INDEX(Acceleration!$T$4:$T$110,MATCH('Track Data'!S777,Acceleration!$K$4:$K$110,0)),IF('Track Data'!O777=3,INDEX(Acceleration!$S$4:$S$110,MATCH('Track Data'!S777,Acceleration!$K$4:$K$110,0)),'Track Data'!AF777)),'Track Data'!U777)</f>
        <v>4.4786093729803564</v>
      </c>
      <c r="AH777" s="16">
        <f>IF(AC777=0,IF(O777=2,INDEX(Acceleration!$R$4:$R$110,MATCH('Track Data'!S777,Acceleration!$K$4:$K$110,0)),IF('Track Data'!O777=1,INDEX(Acceleration!$Q$4:$Q$110,MATCH('Track Data'!S777,Acceleration!$K$4:$K$110,0)),'Track Data'!AG777)),'Track Data'!U777)</f>
        <v>4.4786093729803564</v>
      </c>
    </row>
    <row r="778" spans="2:34" x14ac:dyDescent="0.25">
      <c r="B778" s="16">
        <v>218.67400000000001</v>
      </c>
      <c r="C778" s="16">
        <v>8048</v>
      </c>
      <c r="D778" s="16">
        <v>775</v>
      </c>
      <c r="E778" s="113">
        <v>153</v>
      </c>
      <c r="F778" s="113">
        <v>155.19999999999999</v>
      </c>
      <c r="G778" s="113">
        <v>151.30000000000001</v>
      </c>
      <c r="H778" s="113">
        <f t="shared" si="89"/>
        <v>42.027777777777779</v>
      </c>
      <c r="I778" s="113">
        <v>4.5999999999999996</v>
      </c>
      <c r="J778" s="113">
        <v>67.61</v>
      </c>
      <c r="K778" s="113">
        <v>35.1</v>
      </c>
      <c r="L778" s="185"/>
      <c r="M778" s="16">
        <v>775</v>
      </c>
      <c r="N778" s="16">
        <f t="shared" si="91"/>
        <v>2.0518206368153036E-2</v>
      </c>
      <c r="O778" s="16">
        <v>4</v>
      </c>
      <c r="P778" s="16">
        <f t="shared" si="87"/>
        <v>9.1833785004516724</v>
      </c>
      <c r="Q778" s="16">
        <f t="shared" si="92"/>
        <v>48.737203538031082</v>
      </c>
      <c r="R778" s="113">
        <f t="shared" si="88"/>
        <v>329.49099999999999</v>
      </c>
      <c r="S778" s="16">
        <f>IF(S777=15800,15800,ROUND((((Q778*60)/'Gearing Calculator'!$C$14)*'Track Data'!P778),-2))</f>
        <v>13600</v>
      </c>
      <c r="T778" s="16">
        <f t="shared" si="90"/>
        <v>4.4322975285970454</v>
      </c>
      <c r="U778" s="16">
        <f>IF(AC778=100,Braking!$AG$2354,IF(AC778=50,Braking!$AG$1179,IF(AC778=75,Braking!$AG$1767,0)))</f>
        <v>0</v>
      </c>
      <c r="V778" s="16">
        <f>0.5*'Gearing Calculator'!$C$15*'Gearing Calculator'!$C$20*'Gearing Calculator'!$W$20*('Track Data'!Q778^2)</f>
        <v>251.40334052159855</v>
      </c>
      <c r="W778" s="16">
        <f>('Gearing Calculator'!$U$9*'Track Data'!T778)+'Track Data'!V778</f>
        <v>1431.2809426341319</v>
      </c>
      <c r="X778" s="16">
        <f>('Gearing Calculator'!$U$9*9.81)*('Gearing Calculator'!$U$16/'Gearing Calculator'!$C$7)-(('Track Data'!W778)*('Gearing Calculator'!$U$17/'Gearing Calculator'!$C$7))</f>
        <v>621.01643874565445</v>
      </c>
      <c r="Y778" s="16">
        <f>('Gearing Calculator'!$U$9*9.81)*(('Gearing Calculator'!$C$7-'Gearing Calculator'!$U$16)/'Gearing Calculator'!$C$7)+(('Track Data'!W778)*('Gearing Calculator'!$U$17/'Gearing Calculator'!$C$7))</f>
        <v>1990.4055612543457</v>
      </c>
      <c r="Z778" s="16">
        <f>((X778*COS('Gearing Calculator'!$C$21))/'Gearing Calculator'!$C$22)/2</f>
        <v>19.199864178359235</v>
      </c>
      <c r="AA778" s="16">
        <f>Y778/'Gearing Calculator'!$C$24</f>
        <v>27.792737547297502</v>
      </c>
      <c r="AB778" s="16">
        <f t="shared" si="86"/>
        <v>269.13253063598671</v>
      </c>
      <c r="AC778" s="16">
        <v>0</v>
      </c>
      <c r="AD778" s="16">
        <v>0</v>
      </c>
      <c r="AE778" s="16">
        <v>775</v>
      </c>
      <c r="AF778" s="16">
        <f>IF(AC778=0,IF(O778=6,INDEX(Acceleration!$V$4:$V$110,MATCH('Track Data'!S778,Acceleration!$K$4:$K$110,0)),IF('Track Data'!O778=5,INDEX(Acceleration!$U$4:$U$110,MATCH('Track Data'!S778,Acceleration!$K$4:$K$110,0)),1)),U778)</f>
        <v>1</v>
      </c>
      <c r="AG778" s="16">
        <f>IF(AC778=0,IF(O778=4,INDEX(Acceleration!$T$4:$T$110,MATCH('Track Data'!S778,Acceleration!$K$4:$K$110,0)),IF('Track Data'!O778=3,INDEX(Acceleration!$S$4:$S$110,MATCH('Track Data'!S778,Acceleration!$K$4:$K$110,0)),'Track Data'!AF778)),'Track Data'!U778)</f>
        <v>4.4322975285970454</v>
      </c>
      <c r="AH778" s="16">
        <f>IF(AC778=0,IF(O778=2,INDEX(Acceleration!$R$4:$R$110,MATCH('Track Data'!S778,Acceleration!$K$4:$K$110,0)),IF('Track Data'!O778=1,INDEX(Acceleration!$Q$4:$Q$110,MATCH('Track Data'!S778,Acceleration!$K$4:$K$110,0)),'Track Data'!AG778)),'Track Data'!U778)</f>
        <v>4.4322975285970454</v>
      </c>
    </row>
    <row r="779" spans="2:34" x14ac:dyDescent="0.25">
      <c r="B779" s="16">
        <v>218.697</v>
      </c>
      <c r="C779" s="16">
        <v>8049</v>
      </c>
      <c r="D779" s="16">
        <v>776</v>
      </c>
      <c r="E779" s="113">
        <v>153</v>
      </c>
      <c r="F779" s="113">
        <v>154.6</v>
      </c>
      <c r="G779" s="113">
        <v>150.9</v>
      </c>
      <c r="H779" s="113">
        <f t="shared" si="89"/>
        <v>41.916666666666664</v>
      </c>
      <c r="I779" s="113">
        <v>4.5</v>
      </c>
      <c r="J779" s="113">
        <v>67.150000000000006</v>
      </c>
      <c r="K779" s="113">
        <v>35.4</v>
      </c>
      <c r="L779" s="185"/>
      <c r="M779" s="16">
        <v>776</v>
      </c>
      <c r="N779" s="16">
        <f t="shared" si="91"/>
        <v>2.0480026574092255E-2</v>
      </c>
      <c r="O779" s="16">
        <v>4</v>
      </c>
      <c r="P779" s="16">
        <f t="shared" si="87"/>
        <v>9.1833785004516724</v>
      </c>
      <c r="Q779" s="16">
        <f t="shared" si="92"/>
        <v>48.828061642509049</v>
      </c>
      <c r="R779" s="113">
        <f t="shared" si="88"/>
        <v>329.49099999999999</v>
      </c>
      <c r="S779" s="16">
        <f>IF(S778=15800,15800,ROUND((((Q779*60)/'Gearing Calculator'!$C$14)*'Track Data'!P779),-2))</f>
        <v>13600</v>
      </c>
      <c r="T779" s="16">
        <f t="shared" si="90"/>
        <v>4.4322975285970454</v>
      </c>
      <c r="U779" s="16">
        <f>IF(AC779=100,Braking!$AG$2354,IF(AC779=50,Braking!$AG$1179,IF(AC779=75,Braking!$AG$1767,0)))</f>
        <v>0</v>
      </c>
      <c r="V779" s="16">
        <f>0.5*'Gearing Calculator'!$C$15*'Gearing Calculator'!$C$20*'Gearing Calculator'!$W$20*('Track Data'!Q779^2)</f>
        <v>252.34156926245197</v>
      </c>
      <c r="W779" s="16">
        <f>('Gearing Calculator'!$U$9*'Track Data'!T779)+'Track Data'!V779</f>
        <v>1432.2191713749853</v>
      </c>
      <c r="X779" s="16">
        <f>('Gearing Calculator'!$U$9*9.81)*('Gearing Calculator'!$U$16/'Gearing Calculator'!$C$7)-(('Track Data'!W779)*('Gearing Calculator'!$U$17/'Gearing Calculator'!$C$7))</f>
        <v>620.50504000674607</v>
      </c>
      <c r="Y779" s="16">
        <f>('Gearing Calculator'!$U$9*9.81)*(('Gearing Calculator'!$C$7-'Gearing Calculator'!$U$16)/'Gearing Calculator'!$C$7)+(('Track Data'!W779)*('Gearing Calculator'!$U$17/'Gearing Calculator'!$C$7))</f>
        <v>1990.9169599932538</v>
      </c>
      <c r="Z779" s="16">
        <f>((X779*COS('Gearing Calculator'!$C$21))/'Gearing Calculator'!$C$22)/2</f>
        <v>19.184053346768597</v>
      </c>
      <c r="AA779" s="16">
        <f>Y779/'Gearing Calculator'!$C$24</f>
        <v>27.799878388947651</v>
      </c>
      <c r="AB779" s="16">
        <f t="shared" si="86"/>
        <v>270.07075937684016</v>
      </c>
      <c r="AC779" s="16">
        <v>0</v>
      </c>
      <c r="AD779" s="16">
        <v>0</v>
      </c>
      <c r="AE779" s="16">
        <v>776</v>
      </c>
      <c r="AF779" s="16">
        <f>IF(AC779=0,IF(O779=6,INDEX(Acceleration!$V$4:$V$110,MATCH('Track Data'!S779,Acceleration!$K$4:$K$110,0)),IF('Track Data'!O779=5,INDEX(Acceleration!$U$4:$U$110,MATCH('Track Data'!S779,Acceleration!$K$4:$K$110,0)),1)),U779)</f>
        <v>1</v>
      </c>
      <c r="AG779" s="16">
        <f>IF(AC779=0,IF(O779=4,INDEX(Acceleration!$T$4:$T$110,MATCH('Track Data'!S779,Acceleration!$K$4:$K$110,0)),IF('Track Data'!O779=3,INDEX(Acceleration!$S$4:$S$110,MATCH('Track Data'!S779,Acceleration!$K$4:$K$110,0)),'Track Data'!AF779)),'Track Data'!U779)</f>
        <v>4.4322975285970454</v>
      </c>
      <c r="AH779" s="16">
        <f>IF(AC779=0,IF(O779=2,INDEX(Acceleration!$R$4:$R$110,MATCH('Track Data'!S779,Acceleration!$K$4:$K$110,0)),IF('Track Data'!O779=1,INDEX(Acceleration!$Q$4:$Q$110,MATCH('Track Data'!S779,Acceleration!$K$4:$K$110,0)),'Track Data'!AG779)),'Track Data'!U779)</f>
        <v>4.4322975285970454</v>
      </c>
    </row>
    <row r="780" spans="2:34" x14ac:dyDescent="0.25">
      <c r="B780" s="16">
        <v>218.721</v>
      </c>
      <c r="C780" s="16">
        <v>8050</v>
      </c>
      <c r="D780" s="16">
        <v>777</v>
      </c>
      <c r="E780" s="113">
        <v>152</v>
      </c>
      <c r="F780" s="113">
        <v>153.6</v>
      </c>
      <c r="G780" s="113">
        <v>150.4</v>
      </c>
      <c r="H780" s="113">
        <f t="shared" si="89"/>
        <v>41.777777777777779</v>
      </c>
      <c r="I780" s="113">
        <v>5.6</v>
      </c>
      <c r="J780" s="113">
        <v>71.040000000000006</v>
      </c>
      <c r="K780" s="113">
        <v>35.700000000000003</v>
      </c>
      <c r="L780" s="185"/>
      <c r="M780" s="16">
        <v>777</v>
      </c>
      <c r="N780" s="16">
        <f t="shared" si="91"/>
        <v>2.0442059122089944E-2</v>
      </c>
      <c r="O780" s="16">
        <v>4</v>
      </c>
      <c r="P780" s="16">
        <f t="shared" si="87"/>
        <v>9.1833785004516724</v>
      </c>
      <c r="Q780" s="16">
        <f t="shared" si="92"/>
        <v>48.918750994090779</v>
      </c>
      <c r="R780" s="113">
        <f t="shared" si="88"/>
        <v>329.49099999999999</v>
      </c>
      <c r="S780" s="16">
        <f>IF(S779=15800,15800,ROUND((((Q780*60)/'Gearing Calculator'!$C$14)*'Track Data'!P780),-2))</f>
        <v>13600</v>
      </c>
      <c r="T780" s="16">
        <f t="shared" si="90"/>
        <v>4.4322975285970454</v>
      </c>
      <c r="U780" s="16">
        <f>IF(AC780=100,Braking!$AG$2354,IF(AC780=50,Braking!$AG$1179,IF(AC780=75,Braking!$AG$1767,0)))</f>
        <v>0</v>
      </c>
      <c r="V780" s="16">
        <f>0.5*'Gearing Calculator'!$C$15*'Gearing Calculator'!$C$20*'Gearing Calculator'!$W$20*('Track Data'!Q780^2)</f>
        <v>253.27979800330539</v>
      </c>
      <c r="W780" s="16">
        <f>('Gearing Calculator'!$U$9*'Track Data'!T780)+'Track Data'!V780</f>
        <v>1433.1574001158388</v>
      </c>
      <c r="X780" s="16">
        <f>('Gearing Calculator'!$U$9*9.81)*('Gearing Calculator'!$U$16/'Gearing Calculator'!$C$7)-(('Track Data'!W780)*('Gearing Calculator'!$U$17/'Gearing Calculator'!$C$7))</f>
        <v>619.99364126783769</v>
      </c>
      <c r="Y780" s="16">
        <f>('Gearing Calculator'!$U$9*9.81)*(('Gearing Calculator'!$C$7-'Gearing Calculator'!$U$16)/'Gearing Calculator'!$C$7)+(('Track Data'!W780)*('Gearing Calculator'!$U$17/'Gearing Calculator'!$C$7))</f>
        <v>1991.4283587321625</v>
      </c>
      <c r="Z780" s="16">
        <f>((X780*COS('Gearing Calculator'!$C$21))/'Gearing Calculator'!$C$22)/2</f>
        <v>19.168242515177958</v>
      </c>
      <c r="AA780" s="16">
        <f>Y780/'Gearing Calculator'!$C$24</f>
        <v>27.807019230597806</v>
      </c>
      <c r="AB780" s="16">
        <f t="shared" si="86"/>
        <v>271.00898811769355</v>
      </c>
      <c r="AC780" s="16">
        <v>0</v>
      </c>
      <c r="AD780" s="16">
        <v>0</v>
      </c>
      <c r="AE780" s="16">
        <v>777</v>
      </c>
      <c r="AF780" s="16">
        <f>IF(AC780=0,IF(O780=6,INDEX(Acceleration!$V$4:$V$110,MATCH('Track Data'!S780,Acceleration!$K$4:$K$110,0)),IF('Track Data'!O780=5,INDEX(Acceleration!$U$4:$U$110,MATCH('Track Data'!S780,Acceleration!$K$4:$K$110,0)),1)),U780)</f>
        <v>1</v>
      </c>
      <c r="AG780" s="16">
        <f>IF(AC780=0,IF(O780=4,INDEX(Acceleration!$T$4:$T$110,MATCH('Track Data'!S780,Acceleration!$K$4:$K$110,0)),IF('Track Data'!O780=3,INDEX(Acceleration!$S$4:$S$110,MATCH('Track Data'!S780,Acceleration!$K$4:$K$110,0)),'Track Data'!AF780)),'Track Data'!U780)</f>
        <v>4.4322975285970454</v>
      </c>
      <c r="AH780" s="16">
        <f>IF(AC780=0,IF(O780=2,INDEX(Acceleration!$R$4:$R$110,MATCH('Track Data'!S780,Acceleration!$K$4:$K$110,0)),IF('Track Data'!O780=1,INDEX(Acceleration!$Q$4:$Q$110,MATCH('Track Data'!S780,Acceleration!$K$4:$K$110,0)),'Track Data'!AG780)),'Track Data'!U780)</f>
        <v>4.4322975285970454</v>
      </c>
    </row>
    <row r="781" spans="2:34" x14ac:dyDescent="0.25">
      <c r="B781" s="16">
        <v>218.744</v>
      </c>
      <c r="C781" s="16">
        <v>8051</v>
      </c>
      <c r="D781" s="16">
        <v>778</v>
      </c>
      <c r="E781" s="113">
        <v>151</v>
      </c>
      <c r="F781" s="113">
        <v>153.1</v>
      </c>
      <c r="G781" s="113">
        <v>149.9</v>
      </c>
      <c r="H781" s="113">
        <f t="shared" si="89"/>
        <v>41.638888888888893</v>
      </c>
      <c r="I781" s="113">
        <v>5.9</v>
      </c>
      <c r="J781" s="113">
        <v>73.17</v>
      </c>
      <c r="K781" s="113">
        <v>35.1</v>
      </c>
      <c r="L781" s="185"/>
      <c r="M781" s="16">
        <v>778</v>
      </c>
      <c r="N781" s="16">
        <f t="shared" si="91"/>
        <v>2.0404302051134426E-2</v>
      </c>
      <c r="O781" s="16">
        <v>4</v>
      </c>
      <c r="P781" s="16">
        <f t="shared" si="87"/>
        <v>9.1833785004516724</v>
      </c>
      <c r="Q781" s="16">
        <f t="shared" si="92"/>
        <v>49.009272529584152</v>
      </c>
      <c r="R781" s="113">
        <f t="shared" si="88"/>
        <v>329.49099999999999</v>
      </c>
      <c r="S781" s="16">
        <f>IF(S780=15800,15800,ROUND((((Q781*60)/'Gearing Calculator'!$C$14)*'Track Data'!P781),-2))</f>
        <v>13600</v>
      </c>
      <c r="T781" s="16">
        <f t="shared" si="90"/>
        <v>4.4322975285970454</v>
      </c>
      <c r="U781" s="16">
        <f>IF(AC781=100,Braking!$AG$2354,IF(AC781=50,Braking!$AG$1179,IF(AC781=75,Braking!$AG$1767,0)))</f>
        <v>0</v>
      </c>
      <c r="V781" s="16">
        <f>0.5*'Gearing Calculator'!$C$15*'Gearing Calculator'!$C$20*'Gearing Calculator'!$W$20*('Track Data'!Q781^2)</f>
        <v>254.21802674415881</v>
      </c>
      <c r="W781" s="16">
        <f>('Gearing Calculator'!$U$9*'Track Data'!T781)+'Track Data'!V781</f>
        <v>1434.0956288566922</v>
      </c>
      <c r="X781" s="16">
        <f>('Gearing Calculator'!$U$9*9.81)*('Gearing Calculator'!$U$16/'Gearing Calculator'!$C$7)-(('Track Data'!W781)*('Gearing Calculator'!$U$17/'Gearing Calculator'!$C$7))</f>
        <v>619.48224252892931</v>
      </c>
      <c r="Y781" s="16">
        <f>('Gearing Calculator'!$U$9*9.81)*(('Gearing Calculator'!$C$7-'Gearing Calculator'!$U$16)/'Gearing Calculator'!$C$7)+(('Track Data'!W781)*('Gearing Calculator'!$U$17/'Gearing Calculator'!$C$7))</f>
        <v>1991.9397574710706</v>
      </c>
      <c r="Z781" s="16">
        <f>((X781*COS('Gearing Calculator'!$C$21))/'Gearing Calculator'!$C$22)/2</f>
        <v>19.15243168358732</v>
      </c>
      <c r="AA781" s="16">
        <f>Y781/'Gearing Calculator'!$C$24</f>
        <v>27.814160072247955</v>
      </c>
      <c r="AB781" s="16">
        <f t="shared" si="86"/>
        <v>271.94721685854699</v>
      </c>
      <c r="AC781" s="16">
        <v>0</v>
      </c>
      <c r="AD781" s="16">
        <v>0</v>
      </c>
      <c r="AE781" s="16">
        <v>778</v>
      </c>
      <c r="AF781" s="16">
        <f>IF(AC781=0,IF(O781=6,INDEX(Acceleration!$V$4:$V$110,MATCH('Track Data'!S781,Acceleration!$K$4:$K$110,0)),IF('Track Data'!O781=5,INDEX(Acceleration!$U$4:$U$110,MATCH('Track Data'!S781,Acceleration!$K$4:$K$110,0)),1)),U781)</f>
        <v>1</v>
      </c>
      <c r="AG781" s="16">
        <f>IF(AC781=0,IF(O781=4,INDEX(Acceleration!$T$4:$T$110,MATCH('Track Data'!S781,Acceleration!$K$4:$K$110,0)),IF('Track Data'!O781=3,INDEX(Acceleration!$S$4:$S$110,MATCH('Track Data'!S781,Acceleration!$K$4:$K$110,0)),'Track Data'!AF781)),'Track Data'!U781)</f>
        <v>4.4322975285970454</v>
      </c>
      <c r="AH781" s="16">
        <f>IF(AC781=0,IF(O781=2,INDEX(Acceleration!$R$4:$R$110,MATCH('Track Data'!S781,Acceleration!$K$4:$K$110,0)),IF('Track Data'!O781=1,INDEX(Acceleration!$Q$4:$Q$110,MATCH('Track Data'!S781,Acceleration!$K$4:$K$110,0)),'Track Data'!AG781)),'Track Data'!U781)</f>
        <v>4.4322975285970454</v>
      </c>
    </row>
    <row r="782" spans="2:34" x14ac:dyDescent="0.25">
      <c r="B782" s="16">
        <v>218.768</v>
      </c>
      <c r="C782" s="16">
        <v>8052</v>
      </c>
      <c r="D782" s="16">
        <v>779</v>
      </c>
      <c r="E782" s="113">
        <v>151</v>
      </c>
      <c r="F782" s="113">
        <v>152.6</v>
      </c>
      <c r="G782" s="113">
        <v>149.5</v>
      </c>
      <c r="H782" s="113">
        <f t="shared" si="89"/>
        <v>41.527777777777779</v>
      </c>
      <c r="I782" s="113">
        <v>6.7</v>
      </c>
      <c r="J782" s="113">
        <v>74.05</v>
      </c>
      <c r="K782" s="113">
        <v>34.6</v>
      </c>
      <c r="L782" s="185"/>
      <c r="M782" s="16">
        <v>779</v>
      </c>
      <c r="N782" s="16">
        <f t="shared" si="91"/>
        <v>2.0366753425475056E-2</v>
      </c>
      <c r="O782" s="16">
        <v>4</v>
      </c>
      <c r="P782" s="16">
        <f t="shared" si="87"/>
        <v>9.1833785004516724</v>
      </c>
      <c r="Q782" s="16">
        <f t="shared" si="92"/>
        <v>49.099627177161395</v>
      </c>
      <c r="R782" s="113">
        <f t="shared" si="88"/>
        <v>329.49099999999999</v>
      </c>
      <c r="S782" s="16">
        <f>IF(S781=15800,15800,ROUND((((Q782*60)/'Gearing Calculator'!$C$14)*'Track Data'!P782),-2))</f>
        <v>13700</v>
      </c>
      <c r="T782" s="16">
        <f t="shared" si="90"/>
        <v>4.3864649846265227</v>
      </c>
      <c r="U782" s="16">
        <f>IF(AC782=100,Braking!$AG$2354,IF(AC782=50,Braking!$AG$1179,IF(AC782=75,Braking!$AG$1767,0)))</f>
        <v>0</v>
      </c>
      <c r="V782" s="16">
        <f>0.5*'Gearing Calculator'!$C$15*'Gearing Calculator'!$C$20*'Gearing Calculator'!$W$20*('Track Data'!Q782^2)</f>
        <v>255.15625548501222</v>
      </c>
      <c r="W782" s="16">
        <f>('Gearing Calculator'!$U$9*'Track Data'!T782)+'Track Data'!V782</f>
        <v>1422.8332343925924</v>
      </c>
      <c r="X782" s="16">
        <f>('Gearing Calculator'!$U$9*9.81)*('Gearing Calculator'!$U$16/'Gearing Calculator'!$C$7)-(('Track Data'!W782)*('Gearing Calculator'!$U$17/'Gearing Calculator'!$C$7))</f>
        <v>625.6210166628257</v>
      </c>
      <c r="Y782" s="16">
        <f>('Gearing Calculator'!$U$9*9.81)*(('Gearing Calculator'!$C$7-'Gearing Calculator'!$U$16)/'Gearing Calculator'!$C$7)+(('Track Data'!W782)*('Gearing Calculator'!$U$17/'Gearing Calculator'!$C$7))</f>
        <v>1985.8009833371743</v>
      </c>
      <c r="Z782" s="16">
        <f>((X782*COS('Gearing Calculator'!$C$21))/'Gearing Calculator'!$C$22)/2</f>
        <v>19.342223164518966</v>
      </c>
      <c r="AA782" s="16">
        <f>Y782/'Gearing Calculator'!$C$24</f>
        <v>27.728442195606778</v>
      </c>
      <c r="AB782" s="16">
        <f t="shared" si="86"/>
        <v>272.70211542351831</v>
      </c>
      <c r="AC782" s="16">
        <v>0</v>
      </c>
      <c r="AD782" s="16">
        <v>0</v>
      </c>
      <c r="AE782" s="16">
        <v>779</v>
      </c>
      <c r="AF782" s="16">
        <f>IF(AC782=0,IF(O782=6,INDEX(Acceleration!$V$4:$V$110,MATCH('Track Data'!S782,Acceleration!$K$4:$K$110,0)),IF('Track Data'!O782=5,INDEX(Acceleration!$U$4:$U$110,MATCH('Track Data'!S782,Acceleration!$K$4:$K$110,0)),1)),U782)</f>
        <v>1</v>
      </c>
      <c r="AG782" s="16">
        <f>IF(AC782=0,IF(O782=4,INDEX(Acceleration!$T$4:$T$110,MATCH('Track Data'!S782,Acceleration!$K$4:$K$110,0)),IF('Track Data'!O782=3,INDEX(Acceleration!$S$4:$S$110,MATCH('Track Data'!S782,Acceleration!$K$4:$K$110,0)),'Track Data'!AF782)),'Track Data'!U782)</f>
        <v>4.3864649846265227</v>
      </c>
      <c r="AH782" s="16">
        <f>IF(AC782=0,IF(O782=2,INDEX(Acceleration!$R$4:$R$110,MATCH('Track Data'!S782,Acceleration!$K$4:$K$110,0)),IF('Track Data'!O782=1,INDEX(Acceleration!$Q$4:$Q$110,MATCH('Track Data'!S782,Acceleration!$K$4:$K$110,0)),'Track Data'!AG782)),'Track Data'!U782)</f>
        <v>4.3864649846265227</v>
      </c>
    </row>
    <row r="783" spans="2:34" x14ac:dyDescent="0.25">
      <c r="B783" s="16">
        <v>218.791</v>
      </c>
      <c r="C783" s="16">
        <v>8053</v>
      </c>
      <c r="D783" s="16">
        <v>780</v>
      </c>
      <c r="E783" s="113">
        <v>151</v>
      </c>
      <c r="F783" s="113">
        <v>151.69999999999999</v>
      </c>
      <c r="G783" s="113">
        <v>148.69999999999999</v>
      </c>
      <c r="H783" s="113">
        <f t="shared" si="89"/>
        <v>41.30555555555555</v>
      </c>
      <c r="I783" s="113">
        <v>6.6</v>
      </c>
      <c r="J783" s="113">
        <v>79.78</v>
      </c>
      <c r="K783" s="113">
        <v>33.799999999999997</v>
      </c>
      <c r="L783" s="185"/>
      <c r="M783" s="16">
        <v>780</v>
      </c>
      <c r="N783" s="16">
        <f t="shared" si="91"/>
        <v>2.0329796422850682E-2</v>
      </c>
      <c r="O783" s="16">
        <v>4</v>
      </c>
      <c r="P783" s="16">
        <f t="shared" si="87"/>
        <v>9.1833785004516724</v>
      </c>
      <c r="Q783" s="16">
        <f t="shared" si="92"/>
        <v>49.188884099006543</v>
      </c>
      <c r="R783" s="113">
        <f t="shared" si="88"/>
        <v>329.49099999999999</v>
      </c>
      <c r="S783" s="16">
        <f>IF(S782=15800,15800,ROUND((((Q783*60)/'Gearing Calculator'!$C$14)*'Track Data'!P783),-2))</f>
        <v>13700</v>
      </c>
      <c r="T783" s="16">
        <f t="shared" si="90"/>
        <v>4.3864649846265227</v>
      </c>
      <c r="U783" s="16">
        <f>IF(AC783=100,Braking!$AG$2354,IF(AC783=50,Braking!$AG$1179,IF(AC783=75,Braking!$AG$1767,0)))</f>
        <v>0</v>
      </c>
      <c r="V783" s="16">
        <f>0.5*'Gearing Calculator'!$C$15*'Gearing Calculator'!$C$20*'Gearing Calculator'!$W$20*('Track Data'!Q783^2)</f>
        <v>256.08478239295795</v>
      </c>
      <c r="W783" s="16">
        <f>('Gearing Calculator'!$U$9*'Track Data'!T783)+'Track Data'!V783</f>
        <v>1423.7617613005382</v>
      </c>
      <c r="X783" s="16">
        <f>('Gearing Calculator'!$U$9*9.81)*('Gearing Calculator'!$U$16/'Gearing Calculator'!$C$7)-(('Track Data'!W783)*('Gearing Calculator'!$U$17/'Gearing Calculator'!$C$7))</f>
        <v>625.11490608542647</v>
      </c>
      <c r="Y783" s="16">
        <f>('Gearing Calculator'!$U$9*9.81)*(('Gearing Calculator'!$C$7-'Gearing Calculator'!$U$16)/'Gearing Calculator'!$C$7)+(('Track Data'!W783)*('Gearing Calculator'!$U$17/'Gearing Calculator'!$C$7))</f>
        <v>1986.3070939145737</v>
      </c>
      <c r="Z783" s="16">
        <f>((X783*COS('Gearing Calculator'!$C$21))/'Gearing Calculator'!$C$22)/2</f>
        <v>19.326575826157164</v>
      </c>
      <c r="AA783" s="16">
        <f>Y783/'Gearing Calculator'!$C$24</f>
        <v>27.735509196785525</v>
      </c>
      <c r="AB783" s="16">
        <f t="shared" si="86"/>
        <v>273.63064233146406</v>
      </c>
      <c r="AC783" s="16">
        <v>0</v>
      </c>
      <c r="AD783" s="16">
        <v>0</v>
      </c>
      <c r="AE783" s="16">
        <v>780</v>
      </c>
      <c r="AF783" s="16">
        <f>IF(AC783=0,IF(O783=6,INDEX(Acceleration!$V$4:$V$110,MATCH('Track Data'!S783,Acceleration!$K$4:$K$110,0)),IF('Track Data'!O783=5,INDEX(Acceleration!$U$4:$U$110,MATCH('Track Data'!S783,Acceleration!$K$4:$K$110,0)),1)),U783)</f>
        <v>1</v>
      </c>
      <c r="AG783" s="16">
        <f>IF(AC783=0,IF(O783=4,INDEX(Acceleration!$T$4:$T$110,MATCH('Track Data'!S783,Acceleration!$K$4:$K$110,0)),IF('Track Data'!O783=3,INDEX(Acceleration!$S$4:$S$110,MATCH('Track Data'!S783,Acceleration!$K$4:$K$110,0)),'Track Data'!AF783)),'Track Data'!U783)</f>
        <v>4.3864649846265227</v>
      </c>
      <c r="AH783" s="16">
        <f>IF(AC783=0,IF(O783=2,INDEX(Acceleration!$R$4:$R$110,MATCH('Track Data'!S783,Acceleration!$K$4:$K$110,0)),IF('Track Data'!O783=1,INDEX(Acceleration!$Q$4:$Q$110,MATCH('Track Data'!S783,Acceleration!$K$4:$K$110,0)),'Track Data'!AG783)),'Track Data'!U783)</f>
        <v>4.3864649846265227</v>
      </c>
    </row>
    <row r="784" spans="2:34" x14ac:dyDescent="0.25">
      <c r="B784" s="16">
        <v>218.81399999999999</v>
      </c>
      <c r="C784" s="16">
        <v>8054</v>
      </c>
      <c r="D784" s="16">
        <v>781</v>
      </c>
      <c r="E784" s="113">
        <v>151</v>
      </c>
      <c r="F784" s="113">
        <v>150.80000000000001</v>
      </c>
      <c r="G784" s="113">
        <v>148.30000000000001</v>
      </c>
      <c r="H784" s="113">
        <f t="shared" si="89"/>
        <v>41.19444444444445</v>
      </c>
      <c r="I784" s="113">
        <v>6.8</v>
      </c>
      <c r="J784" s="113">
        <v>79.900000000000006</v>
      </c>
      <c r="K784" s="113">
        <v>33.9</v>
      </c>
      <c r="L784" s="185"/>
      <c r="M784" s="16">
        <v>781</v>
      </c>
      <c r="N784" s="16">
        <f t="shared" si="91"/>
        <v>2.0293039876614297E-2</v>
      </c>
      <c r="O784" s="16">
        <v>4</v>
      </c>
      <c r="P784" s="16">
        <f t="shared" si="87"/>
        <v>9.1833785004516724</v>
      </c>
      <c r="Q784" s="16">
        <f t="shared" si="92"/>
        <v>49.277979350565417</v>
      </c>
      <c r="R784" s="113">
        <f t="shared" si="88"/>
        <v>329.49099999999999</v>
      </c>
      <c r="S784" s="16">
        <f>IF(S783=15800,15800,ROUND((((Q784*60)/'Gearing Calculator'!$C$14)*'Track Data'!P784),-2))</f>
        <v>13700</v>
      </c>
      <c r="T784" s="16">
        <f t="shared" si="90"/>
        <v>4.3864649846265227</v>
      </c>
      <c r="U784" s="16">
        <f>IF(AC784=100,Braking!$AG$2354,IF(AC784=50,Braking!$AG$1179,IF(AC784=75,Braking!$AG$1767,0)))</f>
        <v>0</v>
      </c>
      <c r="V784" s="16">
        <f>0.5*'Gearing Calculator'!$C$15*'Gearing Calculator'!$C$20*'Gearing Calculator'!$W$20*('Track Data'!Q784^2)</f>
        <v>257.0133093009037</v>
      </c>
      <c r="W784" s="16">
        <f>('Gearing Calculator'!$U$9*'Track Data'!T784)+'Track Data'!V784</f>
        <v>1424.6902882084839</v>
      </c>
      <c r="X784" s="16">
        <f>('Gearing Calculator'!$U$9*9.81)*('Gearing Calculator'!$U$16/'Gearing Calculator'!$C$7)-(('Track Data'!W784)*('Gearing Calculator'!$U$17/'Gearing Calculator'!$C$7))</f>
        <v>624.60879550802713</v>
      </c>
      <c r="Y784" s="16">
        <f>('Gearing Calculator'!$U$9*9.81)*(('Gearing Calculator'!$C$7-'Gearing Calculator'!$U$16)/'Gearing Calculator'!$C$7)+(('Track Data'!W784)*('Gearing Calculator'!$U$17/'Gearing Calculator'!$C$7))</f>
        <v>1986.813204491973</v>
      </c>
      <c r="Z784" s="16">
        <f>((X784*COS('Gearing Calculator'!$C$21))/'Gearing Calculator'!$C$22)/2</f>
        <v>19.310928487795355</v>
      </c>
      <c r="AA784" s="16">
        <f>Y784/'Gearing Calculator'!$C$24</f>
        <v>27.742576197964272</v>
      </c>
      <c r="AB784" s="16">
        <f t="shared" si="86"/>
        <v>274.55916923940981</v>
      </c>
      <c r="AC784" s="16">
        <v>0</v>
      </c>
      <c r="AD784" s="16">
        <v>0</v>
      </c>
      <c r="AE784" s="16">
        <v>781</v>
      </c>
      <c r="AF784" s="16">
        <f>IF(AC784=0,IF(O784=6,INDEX(Acceleration!$V$4:$V$110,MATCH('Track Data'!S784,Acceleration!$K$4:$K$110,0)),IF('Track Data'!O784=5,INDEX(Acceleration!$U$4:$U$110,MATCH('Track Data'!S784,Acceleration!$K$4:$K$110,0)),1)),U784)</f>
        <v>1</v>
      </c>
      <c r="AG784" s="16">
        <f>IF(AC784=0,IF(O784=4,INDEX(Acceleration!$T$4:$T$110,MATCH('Track Data'!S784,Acceleration!$K$4:$K$110,0)),IF('Track Data'!O784=3,INDEX(Acceleration!$S$4:$S$110,MATCH('Track Data'!S784,Acceleration!$K$4:$K$110,0)),'Track Data'!AF784)),'Track Data'!U784)</f>
        <v>4.3864649846265227</v>
      </c>
      <c r="AH784" s="16">
        <f>IF(AC784=0,IF(O784=2,INDEX(Acceleration!$R$4:$R$110,MATCH('Track Data'!S784,Acceleration!$K$4:$K$110,0)),IF('Track Data'!O784=1,INDEX(Acceleration!$Q$4:$Q$110,MATCH('Track Data'!S784,Acceleration!$K$4:$K$110,0)),'Track Data'!AG784)),'Track Data'!U784)</f>
        <v>4.3864649846265227</v>
      </c>
    </row>
    <row r="785" spans="2:34" x14ac:dyDescent="0.25">
      <c r="B785" s="16">
        <v>218.83799999999999</v>
      </c>
      <c r="C785" s="16">
        <v>8055</v>
      </c>
      <c r="D785" s="16">
        <v>782</v>
      </c>
      <c r="E785" s="113">
        <v>150</v>
      </c>
      <c r="F785" s="113">
        <v>150</v>
      </c>
      <c r="G785" s="113">
        <v>147.80000000000001</v>
      </c>
      <c r="H785" s="113">
        <f t="shared" si="89"/>
        <v>41.055555555555557</v>
      </c>
      <c r="I785" s="113">
        <v>7.7</v>
      </c>
      <c r="J785" s="113">
        <v>80.38</v>
      </c>
      <c r="K785" s="113">
        <v>34.299999999999997</v>
      </c>
      <c r="L785" s="185"/>
      <c r="M785" s="16">
        <v>782</v>
      </c>
      <c r="N785" s="16">
        <f t="shared" si="91"/>
        <v>2.0256481981153807E-2</v>
      </c>
      <c r="O785" s="16">
        <v>4</v>
      </c>
      <c r="P785" s="16">
        <f t="shared" si="87"/>
        <v>9.1833785004516724</v>
      </c>
      <c r="Q785" s="16">
        <f t="shared" si="92"/>
        <v>49.366913807164458</v>
      </c>
      <c r="R785" s="113">
        <f t="shared" si="88"/>
        <v>329.49099999999999</v>
      </c>
      <c r="S785" s="16">
        <f>IF(S784=15800,15800,ROUND((((Q785*60)/'Gearing Calculator'!$C$14)*'Track Data'!P785),-2))</f>
        <v>13700</v>
      </c>
      <c r="T785" s="16">
        <f t="shared" si="90"/>
        <v>4.3864649846265227</v>
      </c>
      <c r="U785" s="16">
        <f>IF(AC785=100,Braking!$AG$2354,IF(AC785=50,Braking!$AG$1179,IF(AC785=75,Braking!$AG$1767,0)))</f>
        <v>0</v>
      </c>
      <c r="V785" s="16">
        <f>0.5*'Gearing Calculator'!$C$15*'Gearing Calculator'!$C$20*'Gearing Calculator'!$W$20*('Track Data'!Q785^2)</f>
        <v>257.94183620884945</v>
      </c>
      <c r="W785" s="16">
        <f>('Gearing Calculator'!$U$9*'Track Data'!T785)+'Track Data'!V785</f>
        <v>1425.6188151164297</v>
      </c>
      <c r="X785" s="16">
        <f>('Gearing Calculator'!$U$9*9.81)*('Gearing Calculator'!$U$16/'Gearing Calculator'!$C$7)-(('Track Data'!W785)*('Gearing Calculator'!$U$17/'Gearing Calculator'!$C$7))</f>
        <v>624.10268493062779</v>
      </c>
      <c r="Y785" s="16">
        <f>('Gearing Calculator'!$U$9*9.81)*(('Gearing Calculator'!$C$7-'Gearing Calculator'!$U$16)/'Gearing Calculator'!$C$7)+(('Track Data'!W785)*('Gearing Calculator'!$U$17/'Gearing Calculator'!$C$7))</f>
        <v>1987.3193150693724</v>
      </c>
      <c r="Z785" s="16">
        <f>((X785*COS('Gearing Calculator'!$C$21))/'Gearing Calculator'!$C$22)/2</f>
        <v>19.295281149433546</v>
      </c>
      <c r="AA785" s="16">
        <f>Y785/'Gearing Calculator'!$C$24</f>
        <v>27.749643199143019</v>
      </c>
      <c r="AB785" s="16">
        <f t="shared" si="86"/>
        <v>275.48769614735556</v>
      </c>
      <c r="AC785" s="16">
        <v>0</v>
      </c>
      <c r="AD785" s="16">
        <v>0</v>
      </c>
      <c r="AE785" s="16">
        <v>782</v>
      </c>
      <c r="AF785" s="16">
        <f>IF(AC785=0,IF(O785=6,INDEX(Acceleration!$V$4:$V$110,MATCH('Track Data'!S785,Acceleration!$K$4:$K$110,0)),IF('Track Data'!O785=5,INDEX(Acceleration!$U$4:$U$110,MATCH('Track Data'!S785,Acceleration!$K$4:$K$110,0)),1)),U785)</f>
        <v>1</v>
      </c>
      <c r="AG785" s="16">
        <f>IF(AC785=0,IF(O785=4,INDEX(Acceleration!$T$4:$T$110,MATCH('Track Data'!S785,Acceleration!$K$4:$K$110,0)),IF('Track Data'!O785=3,INDEX(Acceleration!$S$4:$S$110,MATCH('Track Data'!S785,Acceleration!$K$4:$K$110,0)),'Track Data'!AF785)),'Track Data'!U785)</f>
        <v>4.3864649846265227</v>
      </c>
      <c r="AH785" s="16">
        <f>IF(AC785=0,IF(O785=2,INDEX(Acceleration!$R$4:$R$110,MATCH('Track Data'!S785,Acceleration!$K$4:$K$110,0)),IF('Track Data'!O785=1,INDEX(Acceleration!$Q$4:$Q$110,MATCH('Track Data'!S785,Acceleration!$K$4:$K$110,0)),'Track Data'!AG785)),'Track Data'!U785)</f>
        <v>4.3864649846265227</v>
      </c>
    </row>
    <row r="786" spans="2:34" x14ac:dyDescent="0.25">
      <c r="B786" s="16">
        <v>218.86199999999999</v>
      </c>
      <c r="C786" s="16">
        <v>8056</v>
      </c>
      <c r="D786" s="16">
        <v>783</v>
      </c>
      <c r="E786" s="113">
        <v>149</v>
      </c>
      <c r="F786" s="113">
        <v>149.30000000000001</v>
      </c>
      <c r="G786" s="113">
        <v>147.1</v>
      </c>
      <c r="H786" s="113">
        <f t="shared" si="89"/>
        <v>40.861111111111107</v>
      </c>
      <c r="I786" s="113">
        <v>7.3</v>
      </c>
      <c r="J786" s="113">
        <v>78.709999999999994</v>
      </c>
      <c r="K786" s="113">
        <v>35</v>
      </c>
      <c r="L786" s="185"/>
      <c r="M786" s="16">
        <v>783</v>
      </c>
      <c r="N786" s="16">
        <f t="shared" si="91"/>
        <v>2.0220120953545064E-2</v>
      </c>
      <c r="O786" s="16">
        <v>4</v>
      </c>
      <c r="P786" s="16">
        <f t="shared" si="87"/>
        <v>9.1833785004516724</v>
      </c>
      <c r="Q786" s="16">
        <f t="shared" si="92"/>
        <v>49.455688336259747</v>
      </c>
      <c r="R786" s="113">
        <f t="shared" si="88"/>
        <v>329.49099999999999</v>
      </c>
      <c r="S786" s="16">
        <f>IF(S785=15800,15800,ROUND((((Q786*60)/'Gearing Calculator'!$C$14)*'Track Data'!P786),-2))</f>
        <v>13800</v>
      </c>
      <c r="T786" s="16">
        <f t="shared" si="90"/>
        <v>4.3638993703129962</v>
      </c>
      <c r="U786" s="16">
        <f>IF(AC786=100,Braking!$AG$2354,IF(AC786=50,Braking!$AG$1179,IF(AC786=75,Braking!$AG$1767,0)))</f>
        <v>0</v>
      </c>
      <c r="V786" s="16">
        <f>0.5*'Gearing Calculator'!$C$15*'Gearing Calculator'!$C$20*'Gearing Calculator'!$W$20*('Track Data'!Q786^2)</f>
        <v>258.87036311679526</v>
      </c>
      <c r="W786" s="16">
        <f>('Gearing Calculator'!$U$9*'Track Data'!T786)+'Track Data'!V786</f>
        <v>1420.5403754941149</v>
      </c>
      <c r="X786" s="16">
        <f>('Gearing Calculator'!$U$9*9.81)*('Gearing Calculator'!$U$16/'Gearing Calculator'!$C$7)-(('Track Data'!W786)*('Gearing Calculator'!$U$17/'Gearing Calculator'!$C$7))</f>
        <v>626.87078135038973</v>
      </c>
      <c r="Y786" s="16">
        <f>('Gearing Calculator'!$U$9*9.81)*(('Gearing Calculator'!$C$7-'Gearing Calculator'!$U$16)/'Gearing Calculator'!$C$7)+(('Track Data'!W786)*('Gearing Calculator'!$U$17/'Gearing Calculator'!$C$7))</f>
        <v>1984.5512186496103</v>
      </c>
      <c r="Z786" s="16">
        <f>((X786*COS('Gearing Calculator'!$C$21))/'Gearing Calculator'!$C$22)/2</f>
        <v>19.3808619359895</v>
      </c>
      <c r="AA786" s="16">
        <f>Y786/'Gearing Calculator'!$C$24</f>
        <v>27.710991288799896</v>
      </c>
      <c r="AB786" s="16">
        <f t="shared" si="86"/>
        <v>276.32596059804723</v>
      </c>
      <c r="AC786" s="16">
        <v>0</v>
      </c>
      <c r="AD786" s="16">
        <v>0</v>
      </c>
      <c r="AE786" s="16">
        <v>783</v>
      </c>
      <c r="AF786" s="16">
        <f>IF(AC786=0,IF(O786=6,INDEX(Acceleration!$V$4:$V$110,MATCH('Track Data'!S786,Acceleration!$K$4:$K$110,0)),IF('Track Data'!O786=5,INDEX(Acceleration!$U$4:$U$110,MATCH('Track Data'!S786,Acceleration!$K$4:$K$110,0)),1)),U786)</f>
        <v>1</v>
      </c>
      <c r="AG786" s="16">
        <f>IF(AC786=0,IF(O786=4,INDEX(Acceleration!$T$4:$T$110,MATCH('Track Data'!S786,Acceleration!$K$4:$K$110,0)),IF('Track Data'!O786=3,INDEX(Acceleration!$S$4:$S$110,MATCH('Track Data'!S786,Acceleration!$K$4:$K$110,0)),'Track Data'!AF786)),'Track Data'!U786)</f>
        <v>4.3638993703129962</v>
      </c>
      <c r="AH786" s="16">
        <f>IF(AC786=0,IF(O786=2,INDEX(Acceleration!$R$4:$R$110,MATCH('Track Data'!S786,Acceleration!$K$4:$K$110,0)),IF('Track Data'!O786=1,INDEX(Acceleration!$Q$4:$Q$110,MATCH('Track Data'!S786,Acceleration!$K$4:$K$110,0)),'Track Data'!AG786)),'Track Data'!U786)</f>
        <v>4.3638993703129962</v>
      </c>
    </row>
    <row r="787" spans="2:34" x14ac:dyDescent="0.25">
      <c r="B787" s="16">
        <v>218.886</v>
      </c>
      <c r="C787" s="16">
        <v>8057</v>
      </c>
      <c r="D787" s="16">
        <v>784</v>
      </c>
      <c r="E787" s="113">
        <v>149</v>
      </c>
      <c r="F787" s="113">
        <v>149</v>
      </c>
      <c r="G787" s="113">
        <v>146.69999999999999</v>
      </c>
      <c r="H787" s="113">
        <f t="shared" si="89"/>
        <v>40.749999999999993</v>
      </c>
      <c r="I787" s="113">
        <v>5.8</v>
      </c>
      <c r="J787" s="113">
        <v>77.72</v>
      </c>
      <c r="K787" s="113">
        <v>35.6</v>
      </c>
      <c r="L787" s="185"/>
      <c r="M787" s="16">
        <v>784</v>
      </c>
      <c r="N787" s="16">
        <f t="shared" si="91"/>
        <v>2.0184140587886847E-2</v>
      </c>
      <c r="O787" s="16">
        <v>4</v>
      </c>
      <c r="P787" s="16">
        <f t="shared" si="87"/>
        <v>9.1833785004516724</v>
      </c>
      <c r="Q787" s="16">
        <f t="shared" si="92"/>
        <v>49.543848332097539</v>
      </c>
      <c r="R787" s="113">
        <f t="shared" si="88"/>
        <v>329.49099999999999</v>
      </c>
      <c r="S787" s="16">
        <f>IF(S786=15800,15800,ROUND((((Q787*60)/'Gearing Calculator'!$C$14)*'Track Data'!P787),-2))</f>
        <v>13800</v>
      </c>
      <c r="T787" s="16">
        <f t="shared" si="90"/>
        <v>4.3638993703129962</v>
      </c>
      <c r="U787" s="16">
        <f>IF(AC787=100,Braking!$AG$2354,IF(AC787=50,Braking!$AG$1179,IF(AC787=75,Braking!$AG$1767,0)))</f>
        <v>0</v>
      </c>
      <c r="V787" s="16">
        <f>0.5*'Gearing Calculator'!$C$15*'Gearing Calculator'!$C$20*'Gearing Calculator'!$W$20*('Track Data'!Q787^2)</f>
        <v>259.79411333550308</v>
      </c>
      <c r="W787" s="16">
        <f>('Gearing Calculator'!$U$9*'Track Data'!T787)+'Track Data'!V787</f>
        <v>1421.4641257128228</v>
      </c>
      <c r="X787" s="16">
        <f>('Gearing Calculator'!$U$9*9.81)*('Gearing Calculator'!$U$16/'Gearing Calculator'!$C$7)-(('Track Data'!W787)*('Gearing Calculator'!$U$17/'Gearing Calculator'!$C$7))</f>
        <v>626.36727439484298</v>
      </c>
      <c r="Y787" s="16">
        <f>('Gearing Calculator'!$U$9*9.81)*(('Gearing Calculator'!$C$7-'Gearing Calculator'!$U$16)/'Gearing Calculator'!$C$7)+(('Track Data'!W787)*('Gearing Calculator'!$U$17/'Gearing Calculator'!$C$7))</f>
        <v>1985.054725605157</v>
      </c>
      <c r="Z787" s="16">
        <f>((X787*COS('Gearing Calculator'!$C$21))/'Gearing Calculator'!$C$22)/2</f>
        <v>19.365295093380823</v>
      </c>
      <c r="AA787" s="16">
        <f>Y787/'Gearing Calculator'!$C$24</f>
        <v>27.718021934684913</v>
      </c>
      <c r="AB787" s="16">
        <f t="shared" si="86"/>
        <v>277.24971081675506</v>
      </c>
      <c r="AC787" s="16">
        <v>0</v>
      </c>
      <c r="AD787" s="16">
        <v>0</v>
      </c>
      <c r="AE787" s="16">
        <v>784</v>
      </c>
      <c r="AF787" s="16">
        <f>IF(AC787=0,IF(O787=6,INDEX(Acceleration!$V$4:$V$110,MATCH('Track Data'!S787,Acceleration!$K$4:$K$110,0)),IF('Track Data'!O787=5,INDEX(Acceleration!$U$4:$U$110,MATCH('Track Data'!S787,Acceleration!$K$4:$K$110,0)),1)),U787)</f>
        <v>1</v>
      </c>
      <c r="AG787" s="16">
        <f>IF(AC787=0,IF(O787=4,INDEX(Acceleration!$T$4:$T$110,MATCH('Track Data'!S787,Acceleration!$K$4:$K$110,0)),IF('Track Data'!O787=3,INDEX(Acceleration!$S$4:$S$110,MATCH('Track Data'!S787,Acceleration!$K$4:$K$110,0)),'Track Data'!AF787)),'Track Data'!U787)</f>
        <v>4.3638993703129962</v>
      </c>
      <c r="AH787" s="16">
        <f>IF(AC787=0,IF(O787=2,INDEX(Acceleration!$R$4:$R$110,MATCH('Track Data'!S787,Acceleration!$K$4:$K$110,0)),IF('Track Data'!O787=1,INDEX(Acceleration!$Q$4:$Q$110,MATCH('Track Data'!S787,Acceleration!$K$4:$K$110,0)),'Track Data'!AG787)),'Track Data'!U787)</f>
        <v>4.3638993703129962</v>
      </c>
    </row>
    <row r="788" spans="2:34" x14ac:dyDescent="0.25">
      <c r="B788" s="16">
        <v>218.91</v>
      </c>
      <c r="C788" s="16">
        <v>8058</v>
      </c>
      <c r="D788" s="16">
        <v>785</v>
      </c>
      <c r="E788" s="113">
        <v>147</v>
      </c>
      <c r="F788" s="113">
        <v>148.4</v>
      </c>
      <c r="G788" s="113">
        <v>146.1</v>
      </c>
      <c r="H788" s="113">
        <f t="shared" si="89"/>
        <v>40.583333333333329</v>
      </c>
      <c r="I788" s="113">
        <v>3.3</v>
      </c>
      <c r="J788" s="113">
        <v>76.150000000000006</v>
      </c>
      <c r="K788" s="113">
        <v>37.1</v>
      </c>
      <c r="L788" s="185"/>
      <c r="M788" s="16">
        <v>785</v>
      </c>
      <c r="N788" s="16">
        <f t="shared" si="91"/>
        <v>2.0148351615217976E-2</v>
      </c>
      <c r="O788" s="16">
        <v>4</v>
      </c>
      <c r="P788" s="16">
        <f t="shared" si="87"/>
        <v>9.1833785004516724</v>
      </c>
      <c r="Q788" s="16">
        <f t="shared" si="92"/>
        <v>49.631851731468878</v>
      </c>
      <c r="R788" s="113">
        <f t="shared" si="88"/>
        <v>329.49099999999999</v>
      </c>
      <c r="S788" s="16">
        <f>IF(S787=15800,15800,ROUND((((Q788*60)/'Gearing Calculator'!$C$14)*'Track Data'!P788),-2))</f>
        <v>13800</v>
      </c>
      <c r="T788" s="16">
        <f t="shared" si="90"/>
        <v>4.3638993703129962</v>
      </c>
      <c r="U788" s="16">
        <f>IF(AC788=100,Braking!$AG$2354,IF(AC788=50,Braking!$AG$1179,IF(AC788=75,Braking!$AG$1767,0)))</f>
        <v>0</v>
      </c>
      <c r="V788" s="16">
        <f>0.5*'Gearing Calculator'!$C$15*'Gearing Calculator'!$C$20*'Gearing Calculator'!$W$20*('Track Data'!Q788^2)</f>
        <v>260.71786355421096</v>
      </c>
      <c r="W788" s="16">
        <f>('Gearing Calculator'!$U$9*'Track Data'!T788)+'Track Data'!V788</f>
        <v>1422.3878759315305</v>
      </c>
      <c r="X788" s="16">
        <f>('Gearing Calculator'!$U$9*9.81)*('Gearing Calculator'!$U$16/'Gearing Calculator'!$C$7)-(('Track Data'!W788)*('Gearing Calculator'!$U$17/'Gearing Calculator'!$C$7))</f>
        <v>625.86376743929634</v>
      </c>
      <c r="Y788" s="16">
        <f>('Gearing Calculator'!$U$9*9.81)*(('Gearing Calculator'!$C$7-'Gearing Calculator'!$U$16)/'Gearing Calculator'!$C$7)+(('Track Data'!W788)*('Gearing Calculator'!$U$17/'Gearing Calculator'!$C$7))</f>
        <v>1985.5582325607038</v>
      </c>
      <c r="Z788" s="16">
        <f>((X788*COS('Gearing Calculator'!$C$21))/'Gearing Calculator'!$C$22)/2</f>
        <v>19.349728250772149</v>
      </c>
      <c r="AA788" s="16">
        <f>Y788/'Gearing Calculator'!$C$24</f>
        <v>27.72505258056993</v>
      </c>
      <c r="AB788" s="16">
        <f t="shared" si="86"/>
        <v>278.17346103546294</v>
      </c>
      <c r="AC788" s="16">
        <v>0</v>
      </c>
      <c r="AD788" s="16">
        <v>0</v>
      </c>
      <c r="AE788" s="16">
        <v>785</v>
      </c>
      <c r="AF788" s="16">
        <f>IF(AC788=0,IF(O788=6,INDEX(Acceleration!$V$4:$V$110,MATCH('Track Data'!S788,Acceleration!$K$4:$K$110,0)),IF('Track Data'!O788=5,INDEX(Acceleration!$U$4:$U$110,MATCH('Track Data'!S788,Acceleration!$K$4:$K$110,0)),1)),U788)</f>
        <v>1</v>
      </c>
      <c r="AG788" s="16">
        <f>IF(AC788=0,IF(O788=4,INDEX(Acceleration!$T$4:$T$110,MATCH('Track Data'!S788,Acceleration!$K$4:$K$110,0)),IF('Track Data'!O788=3,INDEX(Acceleration!$S$4:$S$110,MATCH('Track Data'!S788,Acceleration!$K$4:$K$110,0)),'Track Data'!AF788)),'Track Data'!U788)</f>
        <v>4.3638993703129962</v>
      </c>
      <c r="AH788" s="16">
        <f>IF(AC788=0,IF(O788=2,INDEX(Acceleration!$R$4:$R$110,MATCH('Track Data'!S788,Acceleration!$K$4:$K$110,0)),IF('Track Data'!O788=1,INDEX(Acceleration!$Q$4:$Q$110,MATCH('Track Data'!S788,Acceleration!$K$4:$K$110,0)),'Track Data'!AG788)),'Track Data'!U788)</f>
        <v>4.3638993703129962</v>
      </c>
    </row>
    <row r="789" spans="2:34" x14ac:dyDescent="0.25">
      <c r="B789" s="16">
        <v>218.934</v>
      </c>
      <c r="C789" s="16">
        <v>8059</v>
      </c>
      <c r="D789" s="16">
        <v>786</v>
      </c>
      <c r="E789" s="113">
        <v>147</v>
      </c>
      <c r="F789" s="113">
        <v>148</v>
      </c>
      <c r="G789" s="113">
        <v>145.6</v>
      </c>
      <c r="H789" s="113">
        <f t="shared" si="89"/>
        <v>40.444444444444443</v>
      </c>
      <c r="I789" s="113">
        <v>2.9</v>
      </c>
      <c r="J789" s="113">
        <v>75.09</v>
      </c>
      <c r="K789" s="113">
        <v>38</v>
      </c>
      <c r="L789" s="185"/>
      <c r="M789" s="16">
        <v>786</v>
      </c>
      <c r="N789" s="16">
        <f t="shared" si="91"/>
        <v>2.0112752344715781E-2</v>
      </c>
      <c r="O789" s="16">
        <v>4</v>
      </c>
      <c r="P789" s="16">
        <f t="shared" si="87"/>
        <v>9.1833785004516724</v>
      </c>
      <c r="Q789" s="16">
        <f t="shared" si="92"/>
        <v>49.719699365896574</v>
      </c>
      <c r="R789" s="113">
        <f t="shared" si="88"/>
        <v>329.49099999999999</v>
      </c>
      <c r="S789" s="16">
        <f>IF(S788=15800,15800,ROUND((((Q789*60)/'Gearing Calculator'!$C$14)*'Track Data'!P789),-2))</f>
        <v>13800</v>
      </c>
      <c r="T789" s="16">
        <f t="shared" si="90"/>
        <v>4.3638993703129962</v>
      </c>
      <c r="U789" s="16">
        <f>IF(AC789=100,Braking!$AG$2354,IF(AC789=50,Braking!$AG$1179,IF(AC789=75,Braking!$AG$1767,0)))</f>
        <v>0</v>
      </c>
      <c r="V789" s="16">
        <f>0.5*'Gearing Calculator'!$C$15*'Gearing Calculator'!$C$20*'Gearing Calculator'!$W$20*('Track Data'!Q789^2)</f>
        <v>261.64161377291879</v>
      </c>
      <c r="W789" s="16">
        <f>('Gearing Calculator'!$U$9*'Track Data'!T789)+'Track Data'!V789</f>
        <v>1423.3116261502385</v>
      </c>
      <c r="X789" s="16">
        <f>('Gearing Calculator'!$U$9*9.81)*('Gearing Calculator'!$U$16/'Gearing Calculator'!$C$7)-(('Track Data'!W789)*('Gearing Calculator'!$U$17/'Gearing Calculator'!$C$7))</f>
        <v>625.36026048374958</v>
      </c>
      <c r="Y789" s="16">
        <f>('Gearing Calculator'!$U$9*9.81)*(('Gearing Calculator'!$C$7-'Gearing Calculator'!$U$16)/'Gearing Calculator'!$C$7)+(('Track Data'!W789)*('Gearing Calculator'!$U$17/'Gearing Calculator'!$C$7))</f>
        <v>1986.0617395162503</v>
      </c>
      <c r="Z789" s="16">
        <f>((X789*COS('Gearing Calculator'!$C$21))/'Gearing Calculator'!$C$22)/2</f>
        <v>19.334161408163467</v>
      </c>
      <c r="AA789" s="16">
        <f>Y789/'Gearing Calculator'!$C$24</f>
        <v>27.732083226454947</v>
      </c>
      <c r="AB789" s="16">
        <f t="shared" si="86"/>
        <v>279.09721125417076</v>
      </c>
      <c r="AC789" s="16">
        <v>0</v>
      </c>
      <c r="AD789" s="16">
        <v>0</v>
      </c>
      <c r="AE789" s="16">
        <v>786</v>
      </c>
      <c r="AF789" s="16">
        <f>IF(AC789=0,IF(O789=6,INDEX(Acceleration!$V$4:$V$110,MATCH('Track Data'!S789,Acceleration!$K$4:$K$110,0)),IF('Track Data'!O789=5,INDEX(Acceleration!$U$4:$U$110,MATCH('Track Data'!S789,Acceleration!$K$4:$K$110,0)),1)),U789)</f>
        <v>1</v>
      </c>
      <c r="AG789" s="16">
        <f>IF(AC789=0,IF(O789=4,INDEX(Acceleration!$T$4:$T$110,MATCH('Track Data'!S789,Acceleration!$K$4:$K$110,0)),IF('Track Data'!O789=3,INDEX(Acceleration!$S$4:$S$110,MATCH('Track Data'!S789,Acceleration!$K$4:$K$110,0)),'Track Data'!AF789)),'Track Data'!U789)</f>
        <v>4.3638993703129962</v>
      </c>
      <c r="AH789" s="16">
        <f>IF(AC789=0,IF(O789=2,INDEX(Acceleration!$R$4:$R$110,MATCH('Track Data'!S789,Acceleration!$K$4:$K$110,0)),IF('Track Data'!O789=1,INDEX(Acceleration!$Q$4:$Q$110,MATCH('Track Data'!S789,Acceleration!$K$4:$K$110,0)),'Track Data'!AG789)),'Track Data'!U789)</f>
        <v>4.3638993703129962</v>
      </c>
    </row>
    <row r="790" spans="2:34" x14ac:dyDescent="0.25">
      <c r="B790" s="16">
        <v>218.959</v>
      </c>
      <c r="C790" s="16">
        <v>8060</v>
      </c>
      <c r="D790" s="16">
        <v>787</v>
      </c>
      <c r="E790" s="113">
        <v>146</v>
      </c>
      <c r="F790" s="113">
        <v>147.69999999999999</v>
      </c>
      <c r="G790" s="113">
        <v>145.1</v>
      </c>
      <c r="H790" s="113">
        <f t="shared" si="89"/>
        <v>40.30555555555555</v>
      </c>
      <c r="I790" s="113">
        <v>2.5</v>
      </c>
      <c r="J790" s="113">
        <v>74.63</v>
      </c>
      <c r="K790" s="113">
        <v>39</v>
      </c>
      <c r="L790" s="185"/>
      <c r="M790" s="16">
        <v>787</v>
      </c>
      <c r="N790" s="16">
        <f t="shared" si="91"/>
        <v>2.0077341106396085E-2</v>
      </c>
      <c r="O790" s="16">
        <v>4</v>
      </c>
      <c r="P790" s="16">
        <f t="shared" si="87"/>
        <v>9.1833785004516724</v>
      </c>
      <c r="Q790" s="16">
        <f t="shared" si="92"/>
        <v>49.807392059570461</v>
      </c>
      <c r="R790" s="113">
        <f t="shared" si="88"/>
        <v>329.49099999999999</v>
      </c>
      <c r="S790" s="16">
        <f>IF(S789=15800,15800,ROUND((((Q790*60)/'Gearing Calculator'!$C$14)*'Track Data'!P790),-2))</f>
        <v>13900</v>
      </c>
      <c r="T790" s="16">
        <f t="shared" si="90"/>
        <v>4.3414616353714317</v>
      </c>
      <c r="U790" s="16">
        <f>IF(AC790=100,Braking!$AG$2354,IF(AC790=50,Braking!$AG$1179,IF(AC790=75,Braking!$AG$1767,0)))</f>
        <v>0</v>
      </c>
      <c r="V790" s="16">
        <f>0.5*'Gearing Calculator'!$C$15*'Gearing Calculator'!$C$20*'Gearing Calculator'!$W$20*('Track Data'!Q790^2)</f>
        <v>262.56536399162673</v>
      </c>
      <c r="W790" s="16">
        <f>('Gearing Calculator'!$U$9*'Track Data'!T790)+'Track Data'!V790</f>
        <v>1418.2624513275018</v>
      </c>
      <c r="X790" s="16">
        <f>('Gearing Calculator'!$U$9*9.81)*('Gearing Calculator'!$U$16/'Gearing Calculator'!$C$7)-(('Track Data'!W790)*('Gearing Calculator'!$U$17/'Gearing Calculator'!$C$7))</f>
        <v>628.11240558913903</v>
      </c>
      <c r="Y790" s="16">
        <f>('Gearing Calculator'!$U$9*9.81)*(('Gearing Calculator'!$C$7-'Gearing Calculator'!$U$16)/'Gearing Calculator'!$C$7)+(('Track Data'!W790)*('Gearing Calculator'!$U$17/'Gearing Calculator'!$C$7))</f>
        <v>1983.3095944108609</v>
      </c>
      <c r="Z790" s="16">
        <f>((X790*COS('Gearing Calculator'!$C$21))/'Gearing Calculator'!$C$22)/2</f>
        <v>19.419249030528736</v>
      </c>
      <c r="AA790" s="16">
        <f>Y790/'Gearing Calculator'!$C$24</f>
        <v>27.693654049961907</v>
      </c>
      <c r="AB790" s="16">
        <f t="shared" si="86"/>
        <v>279.93121053311245</v>
      </c>
      <c r="AC790" s="16">
        <v>0</v>
      </c>
      <c r="AD790" s="16">
        <v>0</v>
      </c>
      <c r="AE790" s="16">
        <v>787</v>
      </c>
      <c r="AF790" s="16">
        <f>IF(AC790=0,IF(O790=6,INDEX(Acceleration!$V$4:$V$110,MATCH('Track Data'!S790,Acceleration!$K$4:$K$110,0)),IF('Track Data'!O790=5,INDEX(Acceleration!$U$4:$U$110,MATCH('Track Data'!S790,Acceleration!$K$4:$K$110,0)),1)),U790)</f>
        <v>1</v>
      </c>
      <c r="AG790" s="16">
        <f>IF(AC790=0,IF(O790=4,INDEX(Acceleration!$T$4:$T$110,MATCH('Track Data'!S790,Acceleration!$K$4:$K$110,0)),IF('Track Data'!O790=3,INDEX(Acceleration!$S$4:$S$110,MATCH('Track Data'!S790,Acceleration!$K$4:$K$110,0)),'Track Data'!AF790)),'Track Data'!U790)</f>
        <v>4.3414616353714317</v>
      </c>
      <c r="AH790" s="16">
        <f>IF(AC790=0,IF(O790=2,INDEX(Acceleration!$R$4:$R$110,MATCH('Track Data'!S790,Acceleration!$K$4:$K$110,0)),IF('Track Data'!O790=1,INDEX(Acceleration!$Q$4:$Q$110,MATCH('Track Data'!S790,Acceleration!$K$4:$K$110,0)),'Track Data'!AG790)),'Track Data'!U790)</f>
        <v>4.3414616353714317</v>
      </c>
    </row>
    <row r="791" spans="2:34" x14ac:dyDescent="0.25">
      <c r="B791" s="16">
        <v>218.983</v>
      </c>
      <c r="C791" s="16">
        <v>8061</v>
      </c>
      <c r="D791" s="16">
        <v>788</v>
      </c>
      <c r="E791" s="113">
        <v>145</v>
      </c>
      <c r="F791" s="113">
        <v>147</v>
      </c>
      <c r="G791" s="113">
        <v>144.4</v>
      </c>
      <c r="H791" s="113">
        <f t="shared" si="89"/>
        <v>40.111111111111114</v>
      </c>
      <c r="I791" s="113">
        <v>2.2999999999999998</v>
      </c>
      <c r="J791" s="113">
        <v>73.83</v>
      </c>
      <c r="K791" s="113">
        <v>39.299999999999997</v>
      </c>
      <c r="L791" s="185"/>
      <c r="M791" s="16">
        <v>788</v>
      </c>
      <c r="N791" s="16">
        <f t="shared" si="91"/>
        <v>2.0042296891487441E-2</v>
      </c>
      <c r="O791" s="16">
        <v>4</v>
      </c>
      <c r="P791" s="16">
        <f t="shared" si="87"/>
        <v>9.1833785004516724</v>
      </c>
      <c r="Q791" s="16">
        <f t="shared" si="92"/>
        <v>49.894480927718902</v>
      </c>
      <c r="R791" s="113">
        <f t="shared" si="88"/>
        <v>329.49099999999999</v>
      </c>
      <c r="S791" s="16">
        <f>IF(S790=15800,15800,ROUND((((Q791*60)/'Gearing Calculator'!$C$14)*'Track Data'!P791),-2))</f>
        <v>13900</v>
      </c>
      <c r="T791" s="16">
        <f t="shared" si="90"/>
        <v>4.3414616353714317</v>
      </c>
      <c r="U791" s="16">
        <f>IF(AC791=100,Braking!$AG$2354,IF(AC791=50,Braking!$AG$1179,IF(AC791=75,Braking!$AG$1767,0)))</f>
        <v>0</v>
      </c>
      <c r="V791" s="16">
        <f>0.5*'Gearing Calculator'!$C$15*'Gearing Calculator'!$C$20*'Gearing Calculator'!$W$20*('Track Data'!Q791^2)</f>
        <v>263.48436459060213</v>
      </c>
      <c r="W791" s="16">
        <f>('Gearing Calculator'!$U$9*'Track Data'!T791)+'Track Data'!V791</f>
        <v>1419.1814519264772</v>
      </c>
      <c r="X791" s="16">
        <f>('Gearing Calculator'!$U$9*9.81)*('Gearing Calculator'!$U$16/'Gearing Calculator'!$C$7)-(('Track Data'!W791)*('Gearing Calculator'!$U$17/'Gearing Calculator'!$C$7))</f>
        <v>627.61148750071573</v>
      </c>
      <c r="Y791" s="16">
        <f>('Gearing Calculator'!$U$9*9.81)*(('Gearing Calculator'!$C$7-'Gearing Calculator'!$U$16)/'Gearing Calculator'!$C$7)+(('Track Data'!W791)*('Gearing Calculator'!$U$17/'Gearing Calculator'!$C$7))</f>
        <v>1983.8105124992844</v>
      </c>
      <c r="Z791" s="16">
        <f>((X791*COS('Gearing Calculator'!$C$21))/'Gearing Calculator'!$C$22)/2</f>
        <v>19.40376222750362</v>
      </c>
      <c r="AA791" s="16">
        <f>Y791/'Gearing Calculator'!$C$24</f>
        <v>27.700648546578705</v>
      </c>
      <c r="AB791" s="16">
        <f t="shared" si="86"/>
        <v>280.85021113208785</v>
      </c>
      <c r="AC791" s="16">
        <v>0</v>
      </c>
      <c r="AD791" s="16">
        <v>0</v>
      </c>
      <c r="AE791" s="16">
        <v>788</v>
      </c>
      <c r="AF791" s="16">
        <f>IF(AC791=0,IF(O791=6,INDEX(Acceleration!$V$4:$V$110,MATCH('Track Data'!S791,Acceleration!$K$4:$K$110,0)),IF('Track Data'!O791=5,INDEX(Acceleration!$U$4:$U$110,MATCH('Track Data'!S791,Acceleration!$K$4:$K$110,0)),1)),U791)</f>
        <v>1</v>
      </c>
      <c r="AG791" s="16">
        <f>IF(AC791=0,IF(O791=4,INDEX(Acceleration!$T$4:$T$110,MATCH('Track Data'!S791,Acceleration!$K$4:$K$110,0)),IF('Track Data'!O791=3,INDEX(Acceleration!$S$4:$S$110,MATCH('Track Data'!S791,Acceleration!$K$4:$K$110,0)),'Track Data'!AF791)),'Track Data'!U791)</f>
        <v>4.3414616353714317</v>
      </c>
      <c r="AH791" s="16">
        <f>IF(AC791=0,IF(O791=2,INDEX(Acceleration!$R$4:$R$110,MATCH('Track Data'!S791,Acceleration!$K$4:$K$110,0)),IF('Track Data'!O791=1,INDEX(Acceleration!$Q$4:$Q$110,MATCH('Track Data'!S791,Acceleration!$K$4:$K$110,0)),'Track Data'!AG791)),'Track Data'!U791)</f>
        <v>4.3414616353714317</v>
      </c>
    </row>
    <row r="792" spans="2:34" x14ac:dyDescent="0.25">
      <c r="B792" s="16">
        <v>219.00700000000001</v>
      </c>
      <c r="C792" s="16">
        <v>8062</v>
      </c>
      <c r="D792" s="16">
        <v>789</v>
      </c>
      <c r="E792" s="113">
        <v>144</v>
      </c>
      <c r="F792" s="113">
        <v>146.4</v>
      </c>
      <c r="G792" s="113">
        <v>143.9</v>
      </c>
      <c r="H792" s="113">
        <f t="shared" si="89"/>
        <v>39.972222222222221</v>
      </c>
      <c r="I792" s="113">
        <v>2.2999999999999998</v>
      </c>
      <c r="J792" s="113">
        <v>74.069999999999993</v>
      </c>
      <c r="K792" s="113">
        <v>39.299999999999997</v>
      </c>
      <c r="L792" s="185"/>
      <c r="M792" s="16">
        <v>789</v>
      </c>
      <c r="N792" s="16">
        <f t="shared" si="91"/>
        <v>2.0007435543224233E-2</v>
      </c>
      <c r="O792" s="16">
        <v>4</v>
      </c>
      <c r="P792" s="16">
        <f t="shared" si="87"/>
        <v>9.1833785004516724</v>
      </c>
      <c r="Q792" s="16">
        <f t="shared" si="92"/>
        <v>49.981418050283928</v>
      </c>
      <c r="R792" s="113">
        <f t="shared" si="88"/>
        <v>329.49099999999999</v>
      </c>
      <c r="S792" s="16">
        <f>IF(S791=15800,15800,ROUND((((Q792*60)/'Gearing Calculator'!$C$14)*'Track Data'!P792),-2))</f>
        <v>13900</v>
      </c>
      <c r="T792" s="16">
        <f t="shared" si="90"/>
        <v>4.3414616353714317</v>
      </c>
      <c r="U792" s="16">
        <f>IF(AC792=100,Braking!$AG$2354,IF(AC792=50,Braking!$AG$1179,IF(AC792=75,Braking!$AG$1767,0)))</f>
        <v>0</v>
      </c>
      <c r="V792" s="16">
        <f>0.5*'Gearing Calculator'!$C$15*'Gearing Calculator'!$C$20*'Gearing Calculator'!$W$20*('Track Data'!Q792^2)</f>
        <v>264.40336518957753</v>
      </c>
      <c r="W792" s="16">
        <f>('Gearing Calculator'!$U$9*'Track Data'!T792)+'Track Data'!V792</f>
        <v>1420.1004525254525</v>
      </c>
      <c r="X792" s="16">
        <f>('Gearing Calculator'!$U$9*9.81)*('Gearing Calculator'!$U$16/'Gearing Calculator'!$C$7)-(('Track Data'!W792)*('Gearing Calculator'!$U$17/'Gearing Calculator'!$C$7))</f>
        <v>627.11056941229253</v>
      </c>
      <c r="Y792" s="16">
        <f>('Gearing Calculator'!$U$9*9.81)*(('Gearing Calculator'!$C$7-'Gearing Calculator'!$U$16)/'Gearing Calculator'!$C$7)+(('Track Data'!W792)*('Gearing Calculator'!$U$17/'Gearing Calculator'!$C$7))</f>
        <v>1984.3114305877075</v>
      </c>
      <c r="Z792" s="16">
        <f>((X792*COS('Gearing Calculator'!$C$21))/'Gearing Calculator'!$C$22)/2</f>
        <v>19.388275424478511</v>
      </c>
      <c r="AA792" s="16">
        <f>Y792/'Gearing Calculator'!$C$24</f>
        <v>27.707643043195496</v>
      </c>
      <c r="AB792" s="16">
        <f t="shared" si="86"/>
        <v>281.76921173106325</v>
      </c>
      <c r="AC792" s="16">
        <v>0</v>
      </c>
      <c r="AD792" s="16">
        <v>0</v>
      </c>
      <c r="AE792" s="16">
        <v>789</v>
      </c>
      <c r="AF792" s="16">
        <f>IF(AC792=0,IF(O792=6,INDEX(Acceleration!$V$4:$V$110,MATCH('Track Data'!S792,Acceleration!$K$4:$K$110,0)),IF('Track Data'!O792=5,INDEX(Acceleration!$U$4:$U$110,MATCH('Track Data'!S792,Acceleration!$K$4:$K$110,0)),1)),U792)</f>
        <v>1</v>
      </c>
      <c r="AG792" s="16">
        <f>IF(AC792=0,IF(O792=4,INDEX(Acceleration!$T$4:$T$110,MATCH('Track Data'!S792,Acceleration!$K$4:$K$110,0)),IF('Track Data'!O792=3,INDEX(Acceleration!$S$4:$S$110,MATCH('Track Data'!S792,Acceleration!$K$4:$K$110,0)),'Track Data'!AF792)),'Track Data'!U792)</f>
        <v>4.3414616353714317</v>
      </c>
      <c r="AH792" s="16">
        <f>IF(AC792=0,IF(O792=2,INDEX(Acceleration!$R$4:$R$110,MATCH('Track Data'!S792,Acceleration!$K$4:$K$110,0)),IF('Track Data'!O792=1,INDEX(Acceleration!$Q$4:$Q$110,MATCH('Track Data'!S792,Acceleration!$K$4:$K$110,0)),'Track Data'!AG792)),'Track Data'!U792)</f>
        <v>4.3414616353714317</v>
      </c>
    </row>
    <row r="793" spans="2:34" x14ac:dyDescent="0.25">
      <c r="B793" s="16">
        <v>219.03200000000001</v>
      </c>
      <c r="C793" s="16">
        <v>8063</v>
      </c>
      <c r="D793" s="16">
        <v>790</v>
      </c>
      <c r="E793" s="113">
        <v>143</v>
      </c>
      <c r="F793" s="113">
        <v>145.80000000000001</v>
      </c>
      <c r="G793" s="113">
        <v>143.19999999999999</v>
      </c>
      <c r="H793" s="113">
        <f t="shared" si="89"/>
        <v>39.777777777777771</v>
      </c>
      <c r="I793" s="113">
        <v>2.5</v>
      </c>
      <c r="J793" s="113">
        <v>73.489999999999995</v>
      </c>
      <c r="K793" s="113">
        <v>39.299999999999997</v>
      </c>
      <c r="L793" s="185"/>
      <c r="M793" s="16">
        <v>790</v>
      </c>
      <c r="N793" s="16">
        <f t="shared" si="91"/>
        <v>1.9972755476737228E-2</v>
      </c>
      <c r="O793" s="16">
        <v>4</v>
      </c>
      <c r="P793" s="16">
        <f t="shared" si="87"/>
        <v>9.1833785004516724</v>
      </c>
      <c r="Q793" s="16">
        <f t="shared" si="92"/>
        <v>50.068204217726752</v>
      </c>
      <c r="R793" s="113">
        <f t="shared" si="88"/>
        <v>329.49099999999999</v>
      </c>
      <c r="S793" s="16">
        <f>IF(S792=15800,15800,ROUND((((Q793*60)/'Gearing Calculator'!$C$14)*'Track Data'!P793),-2))</f>
        <v>13900</v>
      </c>
      <c r="T793" s="16">
        <f t="shared" si="90"/>
        <v>4.3414616353714317</v>
      </c>
      <c r="U793" s="16">
        <f>IF(AC793=100,Braking!$AG$2354,IF(AC793=50,Braking!$AG$1179,IF(AC793=75,Braking!$AG$1767,0)))</f>
        <v>0</v>
      </c>
      <c r="V793" s="16">
        <f>0.5*'Gearing Calculator'!$C$15*'Gearing Calculator'!$C$20*'Gearing Calculator'!$W$20*('Track Data'!Q793^2)</f>
        <v>265.32236578855293</v>
      </c>
      <c r="W793" s="16">
        <f>('Gearing Calculator'!$U$9*'Track Data'!T793)+'Track Data'!V793</f>
        <v>1421.0194531244279</v>
      </c>
      <c r="X793" s="16">
        <f>('Gearing Calculator'!$U$9*9.81)*('Gearing Calculator'!$U$16/'Gearing Calculator'!$C$7)-(('Track Data'!W793)*('Gearing Calculator'!$U$17/'Gearing Calculator'!$C$7))</f>
        <v>626.60965132386934</v>
      </c>
      <c r="Y793" s="16">
        <f>('Gearing Calculator'!$U$9*9.81)*(('Gearing Calculator'!$C$7-'Gearing Calculator'!$U$16)/'Gearing Calculator'!$C$7)+(('Track Data'!W793)*('Gearing Calculator'!$U$17/'Gearing Calculator'!$C$7))</f>
        <v>1984.8123486761306</v>
      </c>
      <c r="Z793" s="16">
        <f>((X793*COS('Gearing Calculator'!$C$21))/'Gearing Calculator'!$C$22)/2</f>
        <v>19.372788621453402</v>
      </c>
      <c r="AA793" s="16">
        <f>Y793/'Gearing Calculator'!$C$24</f>
        <v>27.714637539812287</v>
      </c>
      <c r="AB793" s="16">
        <f t="shared" si="86"/>
        <v>282.68821233003865</v>
      </c>
      <c r="AC793" s="16">
        <v>0</v>
      </c>
      <c r="AD793" s="16">
        <v>0</v>
      </c>
      <c r="AE793" s="16">
        <v>790</v>
      </c>
      <c r="AF793" s="16">
        <f>IF(AC793=0,IF(O793=6,INDEX(Acceleration!$V$4:$V$110,MATCH('Track Data'!S793,Acceleration!$K$4:$K$110,0)),IF('Track Data'!O793=5,INDEX(Acceleration!$U$4:$U$110,MATCH('Track Data'!S793,Acceleration!$K$4:$K$110,0)),1)),U793)</f>
        <v>1</v>
      </c>
      <c r="AG793" s="16">
        <f>IF(AC793=0,IF(O793=4,INDEX(Acceleration!$T$4:$T$110,MATCH('Track Data'!S793,Acceleration!$K$4:$K$110,0)),IF('Track Data'!O793=3,INDEX(Acceleration!$S$4:$S$110,MATCH('Track Data'!S793,Acceleration!$K$4:$K$110,0)),'Track Data'!AF793)),'Track Data'!U793)</f>
        <v>4.3414616353714317</v>
      </c>
      <c r="AH793" s="16">
        <f>IF(AC793=0,IF(O793=2,INDEX(Acceleration!$R$4:$R$110,MATCH('Track Data'!S793,Acceleration!$K$4:$K$110,0)),IF('Track Data'!O793=1,INDEX(Acceleration!$Q$4:$Q$110,MATCH('Track Data'!S793,Acceleration!$K$4:$K$110,0)),'Track Data'!AG793)),'Track Data'!U793)</f>
        <v>4.3414616353714317</v>
      </c>
    </row>
    <row r="794" spans="2:34" x14ac:dyDescent="0.25">
      <c r="B794" s="16">
        <v>219.05600000000001</v>
      </c>
      <c r="C794" s="16">
        <v>8064</v>
      </c>
      <c r="D794" s="16">
        <v>791</v>
      </c>
      <c r="E794" s="113">
        <v>143</v>
      </c>
      <c r="F794" s="113">
        <v>145.30000000000001</v>
      </c>
      <c r="G794" s="113">
        <v>142.6</v>
      </c>
      <c r="H794" s="113">
        <f t="shared" si="89"/>
        <v>39.611111111111107</v>
      </c>
      <c r="I794" s="113">
        <v>2.6</v>
      </c>
      <c r="J794" s="113">
        <v>73.42</v>
      </c>
      <c r="K794" s="113">
        <v>38</v>
      </c>
      <c r="L794" s="185"/>
      <c r="M794" s="16">
        <v>791</v>
      </c>
      <c r="N794" s="16">
        <f t="shared" si="91"/>
        <v>1.9938255126320813E-2</v>
      </c>
      <c r="O794" s="16">
        <v>4</v>
      </c>
      <c r="P794" s="16">
        <f t="shared" si="87"/>
        <v>9.1833785004516724</v>
      </c>
      <c r="Q794" s="16">
        <f t="shared" si="92"/>
        <v>50.154840213669644</v>
      </c>
      <c r="R794" s="113">
        <f t="shared" si="88"/>
        <v>329.49099999999999</v>
      </c>
      <c r="S794" s="16">
        <f>IF(S793=15800,15800,ROUND((((Q794*60)/'Gearing Calculator'!$C$14)*'Track Data'!P794),-2))</f>
        <v>14000</v>
      </c>
      <c r="T794" s="16">
        <f t="shared" si="90"/>
        <v>4.3416214019362878</v>
      </c>
      <c r="U794" s="16">
        <f>IF(AC794=100,Braking!$AG$2354,IF(AC794=50,Braking!$AG$1179,IF(AC794=75,Braking!$AG$1767,0)))</f>
        <v>0</v>
      </c>
      <c r="V794" s="16">
        <f>0.5*'Gearing Calculator'!$C$15*'Gearing Calculator'!$C$20*'Gearing Calculator'!$W$20*('Track Data'!Q794^2)</f>
        <v>266.24136638752839</v>
      </c>
      <c r="W794" s="16">
        <f>('Gearing Calculator'!$U$9*'Track Data'!T794)+'Track Data'!V794</f>
        <v>1421.9809835829681</v>
      </c>
      <c r="X794" s="16">
        <f>('Gearing Calculator'!$U$9*9.81)*('Gearing Calculator'!$U$16/'Gearing Calculator'!$C$7)-(('Track Data'!W794)*('Gearing Calculator'!$U$17/'Gearing Calculator'!$C$7))</f>
        <v>626.08555155746035</v>
      </c>
      <c r="Y794" s="16">
        <f>('Gearing Calculator'!$U$9*9.81)*(('Gearing Calculator'!$C$7-'Gearing Calculator'!$U$16)/'Gearing Calculator'!$C$7)+(('Track Data'!W794)*('Gearing Calculator'!$U$17/'Gearing Calculator'!$C$7))</f>
        <v>1985.3364484425397</v>
      </c>
      <c r="Z794" s="16">
        <f>((X794*COS('Gearing Calculator'!$C$21))/'Gearing Calculator'!$C$22)/2</f>
        <v>19.356585114262373</v>
      </c>
      <c r="AA794" s="16">
        <f>Y794/'Gearing Calculator'!$C$24</f>
        <v>27.721955730406183</v>
      </c>
      <c r="AB794" s="16">
        <f t="shared" si="86"/>
        <v>283.60785199527356</v>
      </c>
      <c r="AC794" s="16">
        <v>0</v>
      </c>
      <c r="AD794" s="16">
        <v>0</v>
      </c>
      <c r="AE794" s="16">
        <v>791</v>
      </c>
      <c r="AF794" s="16">
        <f>IF(AC794=0,IF(O794=6,INDEX(Acceleration!$V$4:$V$110,MATCH('Track Data'!S794,Acceleration!$K$4:$K$110,0)),IF('Track Data'!O794=5,INDEX(Acceleration!$U$4:$U$110,MATCH('Track Data'!S794,Acceleration!$K$4:$K$110,0)),1)),U794)</f>
        <v>1</v>
      </c>
      <c r="AG794" s="16">
        <f>IF(AC794=0,IF(O794=4,INDEX(Acceleration!$T$4:$T$110,MATCH('Track Data'!S794,Acceleration!$K$4:$K$110,0)),IF('Track Data'!O794=3,INDEX(Acceleration!$S$4:$S$110,MATCH('Track Data'!S794,Acceleration!$K$4:$K$110,0)),'Track Data'!AF794)),'Track Data'!U794)</f>
        <v>4.3416214019362878</v>
      </c>
      <c r="AH794" s="16">
        <f>IF(AC794=0,IF(O794=2,INDEX(Acceleration!$R$4:$R$110,MATCH('Track Data'!S794,Acceleration!$K$4:$K$110,0)),IF('Track Data'!O794=1,INDEX(Acceleration!$Q$4:$Q$110,MATCH('Track Data'!S794,Acceleration!$K$4:$K$110,0)),'Track Data'!AG794)),'Track Data'!U794)</f>
        <v>4.3416214019362878</v>
      </c>
    </row>
    <row r="795" spans="2:34" x14ac:dyDescent="0.25">
      <c r="B795" s="16">
        <v>219.08099999999999</v>
      </c>
      <c r="C795" s="16">
        <v>8065</v>
      </c>
      <c r="D795" s="16">
        <v>792</v>
      </c>
      <c r="E795" s="113">
        <v>142</v>
      </c>
      <c r="F795" s="113">
        <v>144.69999999999999</v>
      </c>
      <c r="G795" s="113">
        <v>141.80000000000001</v>
      </c>
      <c r="H795" s="113">
        <f t="shared" si="89"/>
        <v>39.388888888888893</v>
      </c>
      <c r="I795" s="113">
        <v>2.6</v>
      </c>
      <c r="J795" s="113">
        <v>73.900000000000006</v>
      </c>
      <c r="K795" s="113">
        <v>35.1</v>
      </c>
      <c r="L795" s="185"/>
      <c r="M795" s="16">
        <v>792</v>
      </c>
      <c r="N795" s="16">
        <f t="shared" si="91"/>
        <v>1.9903931685333335E-2</v>
      </c>
      <c r="O795" s="16">
        <v>4</v>
      </c>
      <c r="P795" s="16">
        <f t="shared" si="87"/>
        <v>9.1833785004516724</v>
      </c>
      <c r="Q795" s="16">
        <f t="shared" si="92"/>
        <v>50.241329994961383</v>
      </c>
      <c r="R795" s="113">
        <f t="shared" si="88"/>
        <v>329.49099999999999</v>
      </c>
      <c r="S795" s="16">
        <f>IF(S794=15800,15800,ROUND((((Q795*60)/'Gearing Calculator'!$C$14)*'Track Data'!P795),-2))</f>
        <v>14000</v>
      </c>
      <c r="T795" s="16">
        <f t="shared" si="90"/>
        <v>4.3416214019362878</v>
      </c>
      <c r="U795" s="16">
        <f>IF(AC795=100,Braking!$AG$2354,IF(AC795=50,Braking!$AG$1179,IF(AC795=75,Braking!$AG$1767,0)))</f>
        <v>0</v>
      </c>
      <c r="V795" s="16">
        <f>0.5*'Gearing Calculator'!$C$15*'Gearing Calculator'!$C$20*'Gearing Calculator'!$W$20*('Track Data'!Q795^2)</f>
        <v>267.16040080589022</v>
      </c>
      <c r="W795" s="16">
        <f>('Gearing Calculator'!$U$9*'Track Data'!T795)+'Track Data'!V795</f>
        <v>1422.90001800133</v>
      </c>
      <c r="X795" s="16">
        <f>('Gearing Calculator'!$U$9*9.81)*('Gearing Calculator'!$U$16/'Gearing Calculator'!$C$7)-(('Track Data'!W795)*('Gearing Calculator'!$U$17/'Gearing Calculator'!$C$7))</f>
        <v>625.58461503516185</v>
      </c>
      <c r="Y795" s="16">
        <f>('Gearing Calculator'!$U$9*9.81)*(('Gearing Calculator'!$C$7-'Gearing Calculator'!$U$16)/'Gearing Calculator'!$C$7)+(('Track Data'!W795)*('Gearing Calculator'!$U$17/'Gearing Calculator'!$C$7))</f>
        <v>1985.8373849648383</v>
      </c>
      <c r="Z795" s="16">
        <f>((X795*COS('Gearing Calculator'!$C$21))/'Gearing Calculator'!$C$22)/2</f>
        <v>19.341097741320141</v>
      </c>
      <c r="AA795" s="16">
        <f>Y795/'Gearing Calculator'!$C$24</f>
        <v>27.728950484421706</v>
      </c>
      <c r="AB795" s="16">
        <f t="shared" si="86"/>
        <v>284.5268864136354</v>
      </c>
      <c r="AC795" s="16">
        <v>0</v>
      </c>
      <c r="AD795" s="16">
        <v>0</v>
      </c>
      <c r="AE795" s="16">
        <v>792</v>
      </c>
      <c r="AF795" s="16">
        <f>IF(AC795=0,IF(O795=6,INDEX(Acceleration!$V$4:$V$110,MATCH('Track Data'!S795,Acceleration!$K$4:$K$110,0)),IF('Track Data'!O795=5,INDEX(Acceleration!$U$4:$U$110,MATCH('Track Data'!S795,Acceleration!$K$4:$K$110,0)),1)),U795)</f>
        <v>1</v>
      </c>
      <c r="AG795" s="16">
        <f>IF(AC795=0,IF(O795=4,INDEX(Acceleration!$T$4:$T$110,MATCH('Track Data'!S795,Acceleration!$K$4:$K$110,0)),IF('Track Data'!O795=3,INDEX(Acceleration!$S$4:$S$110,MATCH('Track Data'!S795,Acceleration!$K$4:$K$110,0)),'Track Data'!AF795)),'Track Data'!U795)</f>
        <v>4.3416214019362878</v>
      </c>
      <c r="AH795" s="16">
        <f>IF(AC795=0,IF(O795=2,INDEX(Acceleration!$R$4:$R$110,MATCH('Track Data'!S795,Acceleration!$K$4:$K$110,0)),IF('Track Data'!O795=1,INDEX(Acceleration!$Q$4:$Q$110,MATCH('Track Data'!S795,Acceleration!$K$4:$K$110,0)),'Track Data'!AG795)),'Track Data'!U795)</f>
        <v>4.3416214019362878</v>
      </c>
    </row>
    <row r="796" spans="2:34" x14ac:dyDescent="0.25">
      <c r="B796" s="16">
        <v>219.10599999999999</v>
      </c>
      <c r="C796" s="16">
        <v>8066</v>
      </c>
      <c r="D796" s="16">
        <v>793</v>
      </c>
      <c r="E796" s="113">
        <v>142</v>
      </c>
      <c r="F796" s="113">
        <v>144.4</v>
      </c>
      <c r="G796" s="113">
        <v>141.19999999999999</v>
      </c>
      <c r="H796" s="113">
        <f t="shared" si="89"/>
        <v>39.222222222222221</v>
      </c>
      <c r="I796" s="113">
        <v>2.7</v>
      </c>
      <c r="J796" s="113">
        <v>75.14</v>
      </c>
      <c r="K796" s="113">
        <v>33.1</v>
      </c>
      <c r="L796" s="185"/>
      <c r="M796" s="16">
        <v>793</v>
      </c>
      <c r="N796" s="16">
        <f t="shared" si="91"/>
        <v>1.9869784898259388E-2</v>
      </c>
      <c r="O796" s="16">
        <v>4</v>
      </c>
      <c r="P796" s="16">
        <f t="shared" si="87"/>
        <v>9.1833785004516724</v>
      </c>
      <c r="Q796" s="16">
        <f t="shared" si="92"/>
        <v>50.327671140899007</v>
      </c>
      <c r="R796" s="113">
        <f t="shared" si="88"/>
        <v>329.49099999999999</v>
      </c>
      <c r="S796" s="16">
        <f>IF(S795=15800,15800,ROUND((((Q796*60)/'Gearing Calculator'!$C$14)*'Track Data'!P796),-2))</f>
        <v>14000</v>
      </c>
      <c r="T796" s="16">
        <f t="shared" si="90"/>
        <v>4.3416214019362878</v>
      </c>
      <c r="U796" s="16">
        <f>IF(AC796=100,Braking!$AG$2354,IF(AC796=50,Braking!$AG$1179,IF(AC796=75,Braking!$AG$1767,0)))</f>
        <v>0</v>
      </c>
      <c r="V796" s="16">
        <f>0.5*'Gearing Calculator'!$C$15*'Gearing Calculator'!$C$20*'Gearing Calculator'!$W$20*('Track Data'!Q796^2)</f>
        <v>268.07943522425205</v>
      </c>
      <c r="W796" s="16">
        <f>('Gearing Calculator'!$U$9*'Track Data'!T796)+'Track Data'!V796</f>
        <v>1423.8190524196916</v>
      </c>
      <c r="X796" s="16">
        <f>('Gearing Calculator'!$U$9*9.81)*('Gearing Calculator'!$U$16/'Gearing Calculator'!$C$7)-(('Track Data'!W796)*('Gearing Calculator'!$U$17/'Gearing Calculator'!$C$7))</f>
        <v>625.08367851286346</v>
      </c>
      <c r="Y796" s="16">
        <f>('Gearing Calculator'!$U$9*9.81)*(('Gearing Calculator'!$C$7-'Gearing Calculator'!$U$16)/'Gearing Calculator'!$C$7)+(('Track Data'!W796)*('Gearing Calculator'!$U$17/'Gearing Calculator'!$C$7))</f>
        <v>1986.3383214871365</v>
      </c>
      <c r="Z796" s="16">
        <f>((X796*COS('Gearing Calculator'!$C$21))/'Gearing Calculator'!$C$22)/2</f>
        <v>19.325610368377912</v>
      </c>
      <c r="AA796" s="16">
        <f>Y796/'Gearing Calculator'!$C$24</f>
        <v>27.735945238437221</v>
      </c>
      <c r="AB796" s="16">
        <f t="shared" si="86"/>
        <v>285.44592083199723</v>
      </c>
      <c r="AC796" s="16">
        <v>0</v>
      </c>
      <c r="AD796" s="16">
        <v>0</v>
      </c>
      <c r="AE796" s="16">
        <v>793</v>
      </c>
      <c r="AF796" s="16">
        <f>IF(AC796=0,IF(O796=6,INDEX(Acceleration!$V$4:$V$110,MATCH('Track Data'!S796,Acceleration!$K$4:$K$110,0)),IF('Track Data'!O796=5,INDEX(Acceleration!$U$4:$U$110,MATCH('Track Data'!S796,Acceleration!$K$4:$K$110,0)),1)),U796)</f>
        <v>1</v>
      </c>
      <c r="AG796" s="16">
        <f>IF(AC796=0,IF(O796=4,INDEX(Acceleration!$T$4:$T$110,MATCH('Track Data'!S796,Acceleration!$K$4:$K$110,0)),IF('Track Data'!O796=3,INDEX(Acceleration!$S$4:$S$110,MATCH('Track Data'!S796,Acceleration!$K$4:$K$110,0)),'Track Data'!AF796)),'Track Data'!U796)</f>
        <v>4.3416214019362878</v>
      </c>
      <c r="AH796" s="16">
        <f>IF(AC796=0,IF(O796=2,INDEX(Acceleration!$R$4:$R$110,MATCH('Track Data'!S796,Acceleration!$K$4:$K$110,0)),IF('Track Data'!O796=1,INDEX(Acceleration!$Q$4:$Q$110,MATCH('Track Data'!S796,Acceleration!$K$4:$K$110,0)),'Track Data'!AG796)),'Track Data'!U796)</f>
        <v>4.3416214019362878</v>
      </c>
    </row>
    <row r="797" spans="2:34" x14ac:dyDescent="0.25">
      <c r="B797" s="16">
        <v>219.131</v>
      </c>
      <c r="C797" s="16">
        <v>8067</v>
      </c>
      <c r="D797" s="16">
        <v>794</v>
      </c>
      <c r="E797" s="113">
        <v>142</v>
      </c>
      <c r="F797" s="113">
        <v>143.80000000000001</v>
      </c>
      <c r="G797" s="113">
        <v>140.4</v>
      </c>
      <c r="H797" s="113">
        <f t="shared" si="89"/>
        <v>39</v>
      </c>
      <c r="I797" s="113">
        <v>4.0999999999999996</v>
      </c>
      <c r="J797" s="113">
        <v>75.63</v>
      </c>
      <c r="K797" s="113">
        <v>28.5</v>
      </c>
      <c r="L797" s="185"/>
      <c r="M797" s="16">
        <v>794</v>
      </c>
      <c r="N797" s="16">
        <f t="shared" si="91"/>
        <v>1.9835813254959415E-2</v>
      </c>
      <c r="O797" s="16">
        <v>4</v>
      </c>
      <c r="P797" s="16">
        <f t="shared" si="87"/>
        <v>9.1833785004516724</v>
      </c>
      <c r="Q797" s="16">
        <f t="shared" si="92"/>
        <v>50.413864415162138</v>
      </c>
      <c r="R797" s="113">
        <f t="shared" si="88"/>
        <v>329.49099999999999</v>
      </c>
      <c r="S797" s="16">
        <f>IF(S796=15800,15800,ROUND((((Q797*60)/'Gearing Calculator'!$C$14)*'Track Data'!P797),-2))</f>
        <v>14000</v>
      </c>
      <c r="T797" s="16">
        <f t="shared" si="90"/>
        <v>4.3416214019362878</v>
      </c>
      <c r="U797" s="16">
        <f>IF(AC797=100,Braking!$AG$2354,IF(AC797=50,Braking!$AG$1179,IF(AC797=75,Braking!$AG$1767,0)))</f>
        <v>0</v>
      </c>
      <c r="V797" s="16">
        <f>0.5*'Gearing Calculator'!$C$15*'Gearing Calculator'!$C$20*'Gearing Calculator'!$W$20*('Track Data'!Q797^2)</f>
        <v>268.99846964261394</v>
      </c>
      <c r="W797" s="16">
        <f>('Gearing Calculator'!$U$9*'Track Data'!T797)+'Track Data'!V797</f>
        <v>1424.7380868380537</v>
      </c>
      <c r="X797" s="16">
        <f>('Gearing Calculator'!$U$9*9.81)*('Gearing Calculator'!$U$16/'Gearing Calculator'!$C$7)-(('Track Data'!W797)*('Gearing Calculator'!$U$17/'Gearing Calculator'!$C$7))</f>
        <v>624.58274199056473</v>
      </c>
      <c r="Y797" s="16">
        <f>('Gearing Calculator'!$U$9*9.81)*(('Gearing Calculator'!$C$7-'Gearing Calculator'!$U$16)/'Gearing Calculator'!$C$7)+(('Track Data'!W797)*('Gearing Calculator'!$U$17/'Gearing Calculator'!$C$7))</f>
        <v>1986.8392580094353</v>
      </c>
      <c r="Z797" s="16">
        <f>((X797*COS('Gearing Calculator'!$C$21))/'Gearing Calculator'!$C$22)/2</f>
        <v>19.310122995435677</v>
      </c>
      <c r="AA797" s="16">
        <f>Y797/'Gearing Calculator'!$C$24</f>
        <v>27.742939992452747</v>
      </c>
      <c r="AB797" s="16">
        <f t="shared" si="86"/>
        <v>286.36495525035912</v>
      </c>
      <c r="AC797" s="16">
        <v>0</v>
      </c>
      <c r="AD797" s="16">
        <v>0</v>
      </c>
      <c r="AE797" s="16">
        <v>794</v>
      </c>
      <c r="AF797" s="16">
        <f>IF(AC797=0,IF(O797=6,INDEX(Acceleration!$V$4:$V$110,MATCH('Track Data'!S797,Acceleration!$K$4:$K$110,0)),IF('Track Data'!O797=5,INDEX(Acceleration!$U$4:$U$110,MATCH('Track Data'!S797,Acceleration!$K$4:$K$110,0)),1)),U797)</f>
        <v>1</v>
      </c>
      <c r="AG797" s="16">
        <f>IF(AC797=0,IF(O797=4,INDEX(Acceleration!$T$4:$T$110,MATCH('Track Data'!S797,Acceleration!$K$4:$K$110,0)),IF('Track Data'!O797=3,INDEX(Acceleration!$S$4:$S$110,MATCH('Track Data'!S797,Acceleration!$K$4:$K$110,0)),'Track Data'!AF797)),'Track Data'!U797)</f>
        <v>4.3416214019362878</v>
      </c>
      <c r="AH797" s="16">
        <f>IF(AC797=0,IF(O797=2,INDEX(Acceleration!$R$4:$R$110,MATCH('Track Data'!S797,Acceleration!$K$4:$K$110,0)),IF('Track Data'!O797=1,INDEX(Acceleration!$Q$4:$Q$110,MATCH('Track Data'!S797,Acceleration!$K$4:$K$110,0)),'Track Data'!AG797)),'Track Data'!U797)</f>
        <v>4.3416214019362878</v>
      </c>
    </row>
    <row r="798" spans="2:34" x14ac:dyDescent="0.25">
      <c r="B798" s="16">
        <v>219.15600000000001</v>
      </c>
      <c r="C798" s="16">
        <v>8068</v>
      </c>
      <c r="D798" s="16">
        <v>795</v>
      </c>
      <c r="E798" s="113">
        <v>141</v>
      </c>
      <c r="F798" s="113">
        <v>143.4</v>
      </c>
      <c r="G798" s="113">
        <v>139.80000000000001</v>
      </c>
      <c r="H798" s="113">
        <f t="shared" si="89"/>
        <v>38.833333333333336</v>
      </c>
      <c r="I798" s="113">
        <v>4.2</v>
      </c>
      <c r="J798" s="113">
        <v>79.290000000000006</v>
      </c>
      <c r="K798" s="113">
        <v>24</v>
      </c>
      <c r="L798" s="185"/>
      <c r="M798" s="16">
        <v>795</v>
      </c>
      <c r="N798" s="16">
        <f t="shared" si="91"/>
        <v>1.9802015263305644E-2</v>
      </c>
      <c r="O798" s="16">
        <v>4</v>
      </c>
      <c r="P798" s="16">
        <f t="shared" si="87"/>
        <v>9.1833785004516724</v>
      </c>
      <c r="Q798" s="16">
        <f t="shared" si="92"/>
        <v>50.499910574913137</v>
      </c>
      <c r="R798" s="113">
        <f t="shared" si="88"/>
        <v>329.49099999999999</v>
      </c>
      <c r="S798" s="16">
        <f>IF(S797=15800,15800,ROUND((((Q798*60)/'Gearing Calculator'!$C$14)*'Track Data'!P798),-2))</f>
        <v>14100</v>
      </c>
      <c r="T798" s="16">
        <f t="shared" si="90"/>
        <v>4.3192676865042872</v>
      </c>
      <c r="U798" s="16">
        <f>IF(AC798=100,Braking!$AG$2354,IF(AC798=50,Braking!$AG$1179,IF(AC798=75,Braking!$AG$1767,0)))</f>
        <v>0</v>
      </c>
      <c r="V798" s="16">
        <f>0.5*'Gearing Calculator'!$C$15*'Gearing Calculator'!$C$20*'Gearing Calculator'!$W$20*('Track Data'!Q798^2)</f>
        <v>269.91750406097583</v>
      </c>
      <c r="W798" s="16">
        <f>('Gearing Calculator'!$U$9*'Track Data'!T798)+'Track Data'!V798</f>
        <v>1419.7065622084169</v>
      </c>
      <c r="X798" s="16">
        <f>('Gearing Calculator'!$U$9*9.81)*('Gearing Calculator'!$U$16/'Gearing Calculator'!$C$7)-(('Track Data'!W798)*('Gearing Calculator'!$U$17/'Gearing Calculator'!$C$7))</f>
        <v>627.32526653531716</v>
      </c>
      <c r="Y798" s="16">
        <f>('Gearing Calculator'!$U$9*9.81)*(('Gearing Calculator'!$C$7-'Gearing Calculator'!$U$16)/'Gearing Calculator'!$C$7)+(('Track Data'!W798)*('Gearing Calculator'!$U$17/'Gearing Calculator'!$C$7))</f>
        <v>1984.096733464683</v>
      </c>
      <c r="Z798" s="16">
        <f>((X798*COS('Gearing Calculator'!$C$21))/'Gearing Calculator'!$C$22)/2</f>
        <v>19.394913180493283</v>
      </c>
      <c r="AA798" s="16">
        <f>Y798/'Gearing Calculator'!$C$24</f>
        <v>27.70464515125401</v>
      </c>
      <c r="AB798" s="16">
        <f t="shared" si="86"/>
        <v>287.19457480699299</v>
      </c>
      <c r="AC798" s="16">
        <v>0</v>
      </c>
      <c r="AD798" s="16">
        <v>0</v>
      </c>
      <c r="AE798" s="16">
        <v>795</v>
      </c>
      <c r="AF798" s="16">
        <f>IF(AC798=0,IF(O798=6,INDEX(Acceleration!$V$4:$V$110,MATCH('Track Data'!S798,Acceleration!$K$4:$K$110,0)),IF('Track Data'!O798=5,INDEX(Acceleration!$U$4:$U$110,MATCH('Track Data'!S798,Acceleration!$K$4:$K$110,0)),1)),U798)</f>
        <v>1</v>
      </c>
      <c r="AG798" s="16">
        <f>IF(AC798=0,IF(O798=4,INDEX(Acceleration!$T$4:$T$110,MATCH('Track Data'!S798,Acceleration!$K$4:$K$110,0)),IF('Track Data'!O798=3,INDEX(Acceleration!$S$4:$S$110,MATCH('Track Data'!S798,Acceleration!$K$4:$K$110,0)),'Track Data'!AF798)),'Track Data'!U798)</f>
        <v>4.3192676865042872</v>
      </c>
      <c r="AH798" s="16">
        <f>IF(AC798=0,IF(O798=2,INDEX(Acceleration!$R$4:$R$110,MATCH('Track Data'!S798,Acceleration!$K$4:$K$110,0)),IF('Track Data'!O798=1,INDEX(Acceleration!$Q$4:$Q$110,MATCH('Track Data'!S798,Acceleration!$K$4:$K$110,0)),'Track Data'!AG798)),'Track Data'!U798)</f>
        <v>4.3192676865042872</v>
      </c>
    </row>
    <row r="799" spans="2:34" x14ac:dyDescent="0.25">
      <c r="B799" s="16">
        <v>219.18100000000001</v>
      </c>
      <c r="C799" s="16">
        <v>8069</v>
      </c>
      <c r="D799" s="16">
        <v>796</v>
      </c>
      <c r="E799" s="113">
        <v>141</v>
      </c>
      <c r="F799" s="113">
        <v>143.1</v>
      </c>
      <c r="G799" s="113">
        <v>139</v>
      </c>
      <c r="H799" s="113">
        <f t="shared" si="89"/>
        <v>38.611111111111107</v>
      </c>
      <c r="I799" s="113">
        <v>4.5</v>
      </c>
      <c r="J799" s="113">
        <v>78.790000000000006</v>
      </c>
      <c r="K799" s="113">
        <v>17.3</v>
      </c>
      <c r="L799" s="185"/>
      <c r="M799" s="16">
        <v>796</v>
      </c>
      <c r="N799" s="16">
        <f t="shared" si="91"/>
        <v>1.9768562139735563E-2</v>
      </c>
      <c r="O799" s="16">
        <v>4</v>
      </c>
      <c r="P799" s="16">
        <f t="shared" si="87"/>
        <v>9.1833785004516724</v>
      </c>
      <c r="Q799" s="16">
        <f t="shared" si="92"/>
        <v>50.585368471992297</v>
      </c>
      <c r="R799" s="113">
        <f t="shared" si="88"/>
        <v>329.49099999999999</v>
      </c>
      <c r="S799" s="16">
        <f>IF(S798=15800,15800,ROUND((((Q799*60)/'Gearing Calculator'!$C$14)*'Track Data'!P799),-2))</f>
        <v>14100</v>
      </c>
      <c r="T799" s="16">
        <f t="shared" si="90"/>
        <v>4.3192676865042872</v>
      </c>
      <c r="U799" s="16">
        <f>IF(AC799=100,Braking!$AG$2354,IF(AC799=50,Braking!$AG$1179,IF(AC799=75,Braking!$AG$1767,0)))</f>
        <v>0</v>
      </c>
      <c r="V799" s="16">
        <f>0.5*'Gearing Calculator'!$C$15*'Gearing Calculator'!$C$20*'Gearing Calculator'!$W$20*('Track Data'!Q799^2)</f>
        <v>270.83180664485502</v>
      </c>
      <c r="W799" s="16">
        <f>('Gearing Calculator'!$U$9*'Track Data'!T799)+'Track Data'!V799</f>
        <v>1420.6208647922963</v>
      </c>
      <c r="X799" s="16">
        <f>('Gearing Calculator'!$U$9*9.81)*('Gearing Calculator'!$U$16/'Gearing Calculator'!$C$7)-(('Track Data'!W799)*('Gearing Calculator'!$U$17/'Gearing Calculator'!$C$7))</f>
        <v>626.8269091859662</v>
      </c>
      <c r="Y799" s="16">
        <f>('Gearing Calculator'!$U$9*9.81)*(('Gearing Calculator'!$C$7-'Gearing Calculator'!$U$16)/'Gearing Calculator'!$C$7)+(('Track Data'!W799)*('Gearing Calculator'!$U$17/'Gearing Calculator'!$C$7))</f>
        <v>1984.5950908140339</v>
      </c>
      <c r="Z799" s="16">
        <f>((X799*COS('Gearing Calculator'!$C$21))/'Gearing Calculator'!$C$22)/2</f>
        <v>19.379505547421363</v>
      </c>
      <c r="AA799" s="16">
        <f>Y799/'Gearing Calculator'!$C$24</f>
        <v>27.711603891364515</v>
      </c>
      <c r="AB799" s="16">
        <f t="shared" si="86"/>
        <v>288.10887739087218</v>
      </c>
      <c r="AC799" s="16">
        <v>0</v>
      </c>
      <c r="AD799" s="16">
        <v>0</v>
      </c>
      <c r="AE799" s="16">
        <v>796</v>
      </c>
      <c r="AF799" s="16">
        <f>IF(AC799=0,IF(O799=6,INDEX(Acceleration!$V$4:$V$110,MATCH('Track Data'!S799,Acceleration!$K$4:$K$110,0)),IF('Track Data'!O799=5,INDEX(Acceleration!$U$4:$U$110,MATCH('Track Data'!S799,Acceleration!$K$4:$K$110,0)),1)),U799)</f>
        <v>1</v>
      </c>
      <c r="AG799" s="16">
        <f>IF(AC799=0,IF(O799=4,INDEX(Acceleration!$T$4:$T$110,MATCH('Track Data'!S799,Acceleration!$K$4:$K$110,0)),IF('Track Data'!O799=3,INDEX(Acceleration!$S$4:$S$110,MATCH('Track Data'!S799,Acceleration!$K$4:$K$110,0)),'Track Data'!AF799)),'Track Data'!U799)</f>
        <v>4.3192676865042872</v>
      </c>
      <c r="AH799" s="16">
        <f>IF(AC799=0,IF(O799=2,INDEX(Acceleration!$R$4:$R$110,MATCH('Track Data'!S799,Acceleration!$K$4:$K$110,0)),IF('Track Data'!O799=1,INDEX(Acceleration!$Q$4:$Q$110,MATCH('Track Data'!S799,Acceleration!$K$4:$K$110,0)),'Track Data'!AG799)),'Track Data'!U799)</f>
        <v>4.3192676865042872</v>
      </c>
    </row>
    <row r="800" spans="2:34" x14ac:dyDescent="0.25">
      <c r="B800" s="16">
        <v>219.20599999999999</v>
      </c>
      <c r="C800" s="16">
        <v>8070</v>
      </c>
      <c r="D800" s="16">
        <v>797</v>
      </c>
      <c r="E800" s="113">
        <v>141</v>
      </c>
      <c r="F800" s="113">
        <v>142.9</v>
      </c>
      <c r="G800" s="113">
        <v>138.4</v>
      </c>
      <c r="H800" s="113">
        <f t="shared" si="89"/>
        <v>38.444444444444443</v>
      </c>
      <c r="I800" s="113">
        <v>5.0999999999999996</v>
      </c>
      <c r="J800" s="113">
        <v>78.84</v>
      </c>
      <c r="K800" s="113">
        <v>14.9</v>
      </c>
      <c r="L800" s="185"/>
      <c r="M800" s="16">
        <v>797</v>
      </c>
      <c r="N800" s="16">
        <f t="shared" si="91"/>
        <v>1.9735277990410732E-2</v>
      </c>
      <c r="O800" s="16">
        <v>4</v>
      </c>
      <c r="P800" s="16">
        <f t="shared" si="87"/>
        <v>9.1833785004516724</v>
      </c>
      <c r="Q800" s="16">
        <f t="shared" si="92"/>
        <v>50.670682241511614</v>
      </c>
      <c r="R800" s="113">
        <f t="shared" si="88"/>
        <v>329.49099999999999</v>
      </c>
      <c r="S800" s="16">
        <f>IF(S799=15800,15800,ROUND((((Q800*60)/'Gearing Calculator'!$C$14)*'Track Data'!P800),-2))</f>
        <v>14100</v>
      </c>
      <c r="T800" s="16">
        <f t="shared" si="90"/>
        <v>4.3192676865042872</v>
      </c>
      <c r="U800" s="16">
        <f>IF(AC800=100,Braking!$AG$2354,IF(AC800=50,Braking!$AG$1179,IF(AC800=75,Braking!$AG$1767,0)))</f>
        <v>0</v>
      </c>
      <c r="V800" s="16">
        <f>0.5*'Gearing Calculator'!$C$15*'Gearing Calculator'!$C$20*'Gearing Calculator'!$W$20*('Track Data'!Q800^2)</f>
        <v>271.74610922873421</v>
      </c>
      <c r="W800" s="16">
        <f>('Gearing Calculator'!$U$9*'Track Data'!T800)+'Track Data'!V800</f>
        <v>1421.5351673761754</v>
      </c>
      <c r="X800" s="16">
        <f>('Gearing Calculator'!$U$9*9.81)*('Gearing Calculator'!$U$16/'Gearing Calculator'!$C$7)-(('Track Data'!W800)*('Gearing Calculator'!$U$17/'Gearing Calculator'!$C$7))</f>
        <v>626.32855183661536</v>
      </c>
      <c r="Y800" s="16">
        <f>('Gearing Calculator'!$U$9*9.81)*(('Gearing Calculator'!$C$7-'Gearing Calculator'!$U$16)/'Gearing Calculator'!$C$7)+(('Track Data'!W800)*('Gearing Calculator'!$U$17/'Gearing Calculator'!$C$7))</f>
        <v>1985.0934481633847</v>
      </c>
      <c r="Z800" s="16">
        <f>((X800*COS('Gearing Calculator'!$C$21))/'Gearing Calculator'!$C$22)/2</f>
        <v>19.364097914349443</v>
      </c>
      <c r="AA800" s="16">
        <f>Y800/'Gearing Calculator'!$C$24</f>
        <v>27.71856263147502</v>
      </c>
      <c r="AB800" s="16">
        <f t="shared" si="86"/>
        <v>289.02317997475137</v>
      </c>
      <c r="AC800" s="16">
        <v>0</v>
      </c>
      <c r="AD800" s="16">
        <v>0</v>
      </c>
      <c r="AE800" s="16">
        <v>797</v>
      </c>
      <c r="AF800" s="16">
        <f>IF(AC800=0,IF(O800=6,INDEX(Acceleration!$V$4:$V$110,MATCH('Track Data'!S800,Acceleration!$K$4:$K$110,0)),IF('Track Data'!O800=5,INDEX(Acceleration!$U$4:$U$110,MATCH('Track Data'!S800,Acceleration!$K$4:$K$110,0)),1)),U800)</f>
        <v>1</v>
      </c>
      <c r="AG800" s="16">
        <f>IF(AC800=0,IF(O800=4,INDEX(Acceleration!$T$4:$T$110,MATCH('Track Data'!S800,Acceleration!$K$4:$K$110,0)),IF('Track Data'!O800=3,INDEX(Acceleration!$S$4:$S$110,MATCH('Track Data'!S800,Acceleration!$K$4:$K$110,0)),'Track Data'!AF800)),'Track Data'!U800)</f>
        <v>4.3192676865042872</v>
      </c>
      <c r="AH800" s="16">
        <f>IF(AC800=0,IF(O800=2,INDEX(Acceleration!$R$4:$R$110,MATCH('Track Data'!S800,Acceleration!$K$4:$K$110,0)),IF('Track Data'!O800=1,INDEX(Acceleration!$Q$4:$Q$110,MATCH('Track Data'!S800,Acceleration!$K$4:$K$110,0)),'Track Data'!AG800)),'Track Data'!U800)</f>
        <v>4.3192676865042872</v>
      </c>
    </row>
    <row r="801" spans="2:34" x14ac:dyDescent="0.25">
      <c r="B801" s="16">
        <v>219.23099999999999</v>
      </c>
      <c r="C801" s="16">
        <v>8071</v>
      </c>
      <c r="D801" s="16">
        <v>798</v>
      </c>
      <c r="E801" s="113">
        <v>141</v>
      </c>
      <c r="F801" s="113">
        <v>142.19999999999999</v>
      </c>
      <c r="G801" s="113">
        <v>137.6</v>
      </c>
      <c r="H801" s="113">
        <f t="shared" si="89"/>
        <v>38.222222222222221</v>
      </c>
      <c r="I801" s="113">
        <v>5.0999999999999996</v>
      </c>
      <c r="J801" s="113">
        <v>78.53</v>
      </c>
      <c r="K801" s="113">
        <v>25.5</v>
      </c>
      <c r="L801" s="185"/>
      <c r="M801" s="16">
        <v>798</v>
      </c>
      <c r="N801" s="16">
        <f t="shared" si="91"/>
        <v>1.9702161397601788E-2</v>
      </c>
      <c r="O801" s="16">
        <v>4</v>
      </c>
      <c r="P801" s="16">
        <f t="shared" si="87"/>
        <v>9.1833785004516724</v>
      </c>
      <c r="Q801" s="16">
        <f t="shared" si="92"/>
        <v>50.755852610248297</v>
      </c>
      <c r="R801" s="113">
        <f t="shared" si="88"/>
        <v>329.49099999999999</v>
      </c>
      <c r="S801" s="16">
        <f>IF(S800=15800,15800,ROUND((((Q801*60)/'Gearing Calculator'!$C$14)*'Track Data'!P801),-2))</f>
        <v>14100</v>
      </c>
      <c r="T801" s="16">
        <f t="shared" si="90"/>
        <v>4.3192676865042872</v>
      </c>
      <c r="U801" s="16">
        <f>IF(AC801=100,Braking!$AG$2354,IF(AC801=50,Braking!$AG$1179,IF(AC801=75,Braking!$AG$1767,0)))</f>
        <v>0</v>
      </c>
      <c r="V801" s="16">
        <f>0.5*'Gearing Calculator'!$C$15*'Gearing Calculator'!$C$20*'Gearing Calculator'!$W$20*('Track Data'!Q801^2)</f>
        <v>272.66041181261346</v>
      </c>
      <c r="W801" s="16">
        <f>('Gearing Calculator'!$U$9*'Track Data'!T801)+'Track Data'!V801</f>
        <v>1422.4494699600546</v>
      </c>
      <c r="X801" s="16">
        <f>('Gearing Calculator'!$U$9*9.81)*('Gearing Calculator'!$U$16/'Gearing Calculator'!$C$7)-(('Track Data'!W801)*('Gearing Calculator'!$U$17/'Gearing Calculator'!$C$7))</f>
        <v>625.83019448726463</v>
      </c>
      <c r="Y801" s="16">
        <f>('Gearing Calculator'!$U$9*9.81)*(('Gearing Calculator'!$C$7-'Gearing Calculator'!$U$16)/'Gearing Calculator'!$C$7)+(('Track Data'!W801)*('Gearing Calculator'!$U$17/'Gearing Calculator'!$C$7))</f>
        <v>1985.5918055127354</v>
      </c>
      <c r="Z801" s="16">
        <f>((X801*COS('Gearing Calculator'!$C$21))/'Gearing Calculator'!$C$22)/2</f>
        <v>19.348690281277527</v>
      </c>
      <c r="AA801" s="16">
        <f>Y801/'Gearing Calculator'!$C$24</f>
        <v>27.725521371585526</v>
      </c>
      <c r="AB801" s="16">
        <f t="shared" si="86"/>
        <v>289.93748255863062</v>
      </c>
      <c r="AC801" s="16">
        <v>0</v>
      </c>
      <c r="AD801" s="16">
        <v>0</v>
      </c>
      <c r="AE801" s="16">
        <v>798</v>
      </c>
      <c r="AF801" s="16">
        <f>IF(AC801=0,IF(O801=6,INDEX(Acceleration!$V$4:$V$110,MATCH('Track Data'!S801,Acceleration!$K$4:$K$110,0)),IF('Track Data'!O801=5,INDEX(Acceleration!$U$4:$U$110,MATCH('Track Data'!S801,Acceleration!$K$4:$K$110,0)),1)),U801)</f>
        <v>1</v>
      </c>
      <c r="AG801" s="16">
        <f>IF(AC801=0,IF(O801=4,INDEX(Acceleration!$T$4:$T$110,MATCH('Track Data'!S801,Acceleration!$K$4:$K$110,0)),IF('Track Data'!O801=3,INDEX(Acceleration!$S$4:$S$110,MATCH('Track Data'!S801,Acceleration!$K$4:$K$110,0)),'Track Data'!AF801)),'Track Data'!U801)</f>
        <v>4.3192676865042872</v>
      </c>
      <c r="AH801" s="16">
        <f>IF(AC801=0,IF(O801=2,INDEX(Acceleration!$R$4:$R$110,MATCH('Track Data'!S801,Acceleration!$K$4:$K$110,0)),IF('Track Data'!O801=1,INDEX(Acceleration!$Q$4:$Q$110,MATCH('Track Data'!S801,Acceleration!$K$4:$K$110,0)),'Track Data'!AG801)),'Track Data'!U801)</f>
        <v>4.3192676865042872</v>
      </c>
    </row>
    <row r="802" spans="2:34" x14ac:dyDescent="0.25">
      <c r="B802" s="16">
        <v>219.256</v>
      </c>
      <c r="C802" s="16">
        <v>8072</v>
      </c>
      <c r="D802" s="16">
        <v>799</v>
      </c>
      <c r="E802" s="113">
        <v>141</v>
      </c>
      <c r="F802" s="113">
        <v>141.9</v>
      </c>
      <c r="G802" s="113">
        <v>136.9</v>
      </c>
      <c r="H802" s="113">
        <f t="shared" si="89"/>
        <v>38.027777777777779</v>
      </c>
      <c r="I802" s="113">
        <v>5.0999999999999996</v>
      </c>
      <c r="J802" s="113">
        <v>78.12</v>
      </c>
      <c r="K802" s="113">
        <v>32.5</v>
      </c>
      <c r="L802" s="185"/>
      <c r="M802" s="16">
        <v>799</v>
      </c>
      <c r="N802" s="16">
        <f t="shared" si="91"/>
        <v>1.966921096017676E-2</v>
      </c>
      <c r="O802" s="16">
        <v>4</v>
      </c>
      <c r="P802" s="16">
        <f t="shared" si="87"/>
        <v>9.1833785004516724</v>
      </c>
      <c r="Q802" s="16">
        <f t="shared" si="92"/>
        <v>50.840880298891932</v>
      </c>
      <c r="R802" s="113">
        <f t="shared" si="88"/>
        <v>329.49099999999999</v>
      </c>
      <c r="S802" s="16">
        <f>IF(S801=15800,15800,ROUND((((Q802*60)/'Gearing Calculator'!$C$14)*'Track Data'!P802),-2))</f>
        <v>14200</v>
      </c>
      <c r="T802" s="16">
        <f t="shared" si="90"/>
        <v>-11.216477997530474</v>
      </c>
      <c r="U802" s="16">
        <f>IF(AC802=100,Braking!$AG$2354,IF(AC802=50,Braking!$AG$1179,IF(AC802=75,Braking!$AG$1767,0)))</f>
        <v>-11.216477997530474</v>
      </c>
      <c r="V802" s="16">
        <f>0.5*'Gearing Calculator'!$C$15*'Gearing Calculator'!$C$20*'Gearing Calculator'!$W$20*('Track Data'!Q802^2)</f>
        <v>273.57471439649271</v>
      </c>
      <c r="W802" s="16">
        <f>('Gearing Calculator'!$U$9*'Track Data'!T802)+'Track Data'!V802</f>
        <v>-2712.251728546119</v>
      </c>
      <c r="X802" s="16">
        <f>('Gearing Calculator'!$U$9*9.81)*('Gearing Calculator'!$U$16/'Gearing Calculator'!$C$7)-(('Track Data'!W802)*('Gearing Calculator'!$U$17/'Gearing Calculator'!$C$7))</f>
        <v>2879.5247218533914</v>
      </c>
      <c r="Y802" s="16">
        <f>('Gearing Calculator'!$U$9*9.81)*(('Gearing Calculator'!$C$7-'Gearing Calculator'!$U$16)/'Gearing Calculator'!$C$7)+(('Track Data'!W802)*('Gearing Calculator'!$U$17/'Gearing Calculator'!$C$7))</f>
        <v>-268.10272185339136</v>
      </c>
      <c r="Z802" s="16">
        <f>((X802*COS('Gearing Calculator'!$C$21))/'Gearing Calculator'!$C$22)/2</f>
        <v>89.025797238929584</v>
      </c>
      <c r="AA802" s="16">
        <f>Y802/'Gearing Calculator'!$C$24</f>
        <v>-3.7436132259857753</v>
      </c>
      <c r="AB802" s="16">
        <f t="shared" si="86"/>
        <v>228.70880240637081</v>
      </c>
      <c r="AC802" s="16">
        <v>50</v>
      </c>
      <c r="AD802" s="16">
        <v>0</v>
      </c>
      <c r="AE802" s="16">
        <v>799</v>
      </c>
      <c r="AF802" s="16">
        <f>IF(AC802=0,IF(O802=6,INDEX(Acceleration!$V$4:$V$110,MATCH('Track Data'!S802,Acceleration!$K$4:$K$110,0)),IF('Track Data'!O802=5,INDEX(Acceleration!$U$4:$U$110,MATCH('Track Data'!S802,Acceleration!$K$4:$K$110,0)),1)),U802)</f>
        <v>-11.216477997530474</v>
      </c>
      <c r="AG802" s="16">
        <f>IF(AC802=0,IF(O802=4,INDEX(Acceleration!$T$4:$T$110,MATCH('Track Data'!S802,Acceleration!$K$4:$K$110,0)),IF('Track Data'!O802=3,INDEX(Acceleration!$S$4:$S$110,MATCH('Track Data'!S802,Acceleration!$K$4:$K$110,0)),'Track Data'!AF802)),'Track Data'!U802)</f>
        <v>-11.216477997530474</v>
      </c>
      <c r="AH802" s="16">
        <f>IF(AC802=0,IF(O802=2,INDEX(Acceleration!$R$4:$R$110,MATCH('Track Data'!S802,Acceleration!$K$4:$K$110,0)),IF('Track Data'!O802=1,INDEX(Acceleration!$Q$4:$Q$110,MATCH('Track Data'!S802,Acceleration!$K$4:$K$110,0)),'Track Data'!AG802)),'Track Data'!U802)</f>
        <v>-11.216477997530474</v>
      </c>
    </row>
    <row r="803" spans="2:34" x14ac:dyDescent="0.25">
      <c r="B803" s="16">
        <v>219.28100000000001</v>
      </c>
      <c r="C803" s="16">
        <v>8073</v>
      </c>
      <c r="D803" s="16">
        <v>800</v>
      </c>
      <c r="E803" s="113">
        <v>140</v>
      </c>
      <c r="F803" s="113">
        <v>141.5</v>
      </c>
      <c r="G803" s="113">
        <v>136</v>
      </c>
      <c r="H803" s="113">
        <f t="shared" si="89"/>
        <v>37.777777777777779</v>
      </c>
      <c r="I803" s="113">
        <v>5.2</v>
      </c>
      <c r="J803" s="113">
        <v>76.739999999999995</v>
      </c>
      <c r="K803" s="113">
        <v>41.8</v>
      </c>
      <c r="L803" s="185"/>
      <c r="M803" s="16">
        <v>800</v>
      </c>
      <c r="N803" s="16">
        <f t="shared" si="91"/>
        <v>1.9755123291005375E-2</v>
      </c>
      <c r="O803" s="16">
        <v>4</v>
      </c>
      <c r="P803" s="16">
        <f t="shared" si="87"/>
        <v>9.1833785004516724</v>
      </c>
      <c r="Q803" s="16">
        <f t="shared" si="92"/>
        <v>50.619780260005051</v>
      </c>
      <c r="R803" s="113">
        <f t="shared" si="88"/>
        <v>329.49099999999999</v>
      </c>
      <c r="S803" s="16">
        <f>IF(S802=15800,15800,ROUND((((Q803*60)/'Gearing Calculator'!$C$14)*'Track Data'!P803),-2))</f>
        <v>14100</v>
      </c>
      <c r="T803" s="16">
        <f t="shared" si="90"/>
        <v>-11.216477997530474</v>
      </c>
      <c r="U803" s="16">
        <f>IF(AC803=100,Braking!$AG$2354,IF(AC803=50,Braking!$AG$1179,IF(AC803=75,Braking!$AG$1767,0)))</f>
        <v>-11.216477997530474</v>
      </c>
      <c r="V803" s="16">
        <f>0.5*'Gearing Calculator'!$C$15*'Gearing Calculator'!$C$20*'Gearing Calculator'!$W$20*('Track Data'!Q803^2)</f>
        <v>271.20041033397547</v>
      </c>
      <c r="W803" s="16">
        <f>('Gearing Calculator'!$U$9*'Track Data'!T803)+'Track Data'!V803</f>
        <v>-2714.6260326086363</v>
      </c>
      <c r="X803" s="16">
        <f>('Gearing Calculator'!$U$9*9.81)*('Gearing Calculator'!$U$16/'Gearing Calculator'!$C$7)-(('Track Data'!W803)*('Gearing Calculator'!$U$17/'Gearing Calculator'!$C$7))</f>
        <v>2880.8188797175517</v>
      </c>
      <c r="Y803" s="16">
        <f>('Gearing Calculator'!$U$9*9.81)*(('Gearing Calculator'!$C$7-'Gearing Calculator'!$U$16)/'Gearing Calculator'!$C$7)+(('Track Data'!W803)*('Gearing Calculator'!$U$17/'Gearing Calculator'!$C$7))</f>
        <v>-269.39687971755143</v>
      </c>
      <c r="Z803" s="16">
        <f>((X803*COS('Gearing Calculator'!$C$21))/'Gearing Calculator'!$C$22)/2</f>
        <v>89.065808507016811</v>
      </c>
      <c r="AA803" s="16">
        <f>Y803/'Gearing Calculator'!$C$24</f>
        <v>-3.7616840104347018</v>
      </c>
      <c r="AB803" s="16">
        <f t="shared" si="86"/>
        <v>226.33449834385357</v>
      </c>
      <c r="AC803" s="16">
        <v>50</v>
      </c>
      <c r="AD803" s="16">
        <v>0</v>
      </c>
      <c r="AE803" s="16">
        <v>800</v>
      </c>
      <c r="AF803" s="16">
        <f>IF(AC803=0,IF(O803=6,INDEX(Acceleration!$V$4:$V$110,MATCH('Track Data'!S803,Acceleration!$K$4:$K$110,0)),IF('Track Data'!O803=5,INDEX(Acceleration!$U$4:$U$110,MATCH('Track Data'!S803,Acceleration!$K$4:$K$110,0)),1)),U803)</f>
        <v>-11.216477997530474</v>
      </c>
      <c r="AG803" s="16">
        <f>IF(AC803=0,IF(O803=4,INDEX(Acceleration!$T$4:$T$110,MATCH('Track Data'!S803,Acceleration!$K$4:$K$110,0)),IF('Track Data'!O803=3,INDEX(Acceleration!$S$4:$S$110,MATCH('Track Data'!S803,Acceleration!$K$4:$K$110,0)),'Track Data'!AF803)),'Track Data'!U803)</f>
        <v>-11.216477997530474</v>
      </c>
      <c r="AH803" s="16">
        <f>IF(AC803=0,IF(O803=2,INDEX(Acceleration!$R$4:$R$110,MATCH('Track Data'!S803,Acceleration!$K$4:$K$110,0)),IF('Track Data'!O803=1,INDEX(Acceleration!$Q$4:$Q$110,MATCH('Track Data'!S803,Acceleration!$K$4:$K$110,0)),'Track Data'!AG803)),'Track Data'!U803)</f>
        <v>-11.216477997530474</v>
      </c>
    </row>
    <row r="804" spans="2:34" x14ac:dyDescent="0.25">
      <c r="B804" s="16">
        <v>219.30699999999999</v>
      </c>
      <c r="C804" s="16">
        <v>8074</v>
      </c>
      <c r="D804" s="16">
        <v>801</v>
      </c>
      <c r="E804" s="113">
        <v>140</v>
      </c>
      <c r="F804" s="113">
        <v>141</v>
      </c>
      <c r="G804" s="113">
        <v>135.4</v>
      </c>
      <c r="H804" s="113">
        <f t="shared" si="89"/>
        <v>37.611111111111114</v>
      </c>
      <c r="I804" s="113">
        <v>5.4</v>
      </c>
      <c r="J804" s="113">
        <v>76.75</v>
      </c>
      <c r="K804" s="113">
        <v>42</v>
      </c>
      <c r="L804" s="185"/>
      <c r="M804" s="16">
        <v>801</v>
      </c>
      <c r="N804" s="16">
        <f t="shared" si="91"/>
        <v>1.9842171305206043E-2</v>
      </c>
      <c r="O804" s="16">
        <v>4</v>
      </c>
      <c r="P804" s="16">
        <f t="shared" si="87"/>
        <v>9.1833785004516724</v>
      </c>
      <c r="Q804" s="16">
        <f t="shared" si="92"/>
        <v>50.397710241400212</v>
      </c>
      <c r="R804" s="113">
        <f t="shared" si="88"/>
        <v>329.49099999999999</v>
      </c>
      <c r="S804" s="16">
        <f>IF(S803=15800,15800,ROUND((((Q804*60)/'Gearing Calculator'!$C$14)*'Track Data'!P804),-2))</f>
        <v>14000</v>
      </c>
      <c r="T804" s="16">
        <f t="shared" si="90"/>
        <v>-11.216477997530474</v>
      </c>
      <c r="U804" s="16">
        <f>IF(AC804=100,Braking!$AG$2354,IF(AC804=50,Braking!$AG$1179,IF(AC804=75,Braking!$AG$1767,0)))</f>
        <v>-11.216477997530474</v>
      </c>
      <c r="V804" s="16">
        <f>0.5*'Gearing Calculator'!$C$15*'Gearing Calculator'!$C$20*'Gearing Calculator'!$W$20*('Track Data'!Q804^2)</f>
        <v>268.82610627145817</v>
      </c>
      <c r="W804" s="16">
        <f>('Gearing Calculator'!$U$9*'Track Data'!T804)+'Track Data'!V804</f>
        <v>-2717.0003366711535</v>
      </c>
      <c r="X804" s="16">
        <f>('Gearing Calculator'!$U$9*9.81)*('Gearing Calculator'!$U$16/'Gearing Calculator'!$C$7)-(('Track Data'!W804)*('Gearing Calculator'!$U$17/'Gearing Calculator'!$C$7))</f>
        <v>2882.1130375817111</v>
      </c>
      <c r="Y804" s="16">
        <f>('Gearing Calculator'!$U$9*9.81)*(('Gearing Calculator'!$C$7-'Gearing Calculator'!$U$16)/'Gearing Calculator'!$C$7)+(('Track Data'!W804)*('Gearing Calculator'!$U$17/'Gearing Calculator'!$C$7))</f>
        <v>-270.69103758171127</v>
      </c>
      <c r="Z804" s="16">
        <f>((X804*COS('Gearing Calculator'!$C$21))/'Gearing Calculator'!$C$22)/2</f>
        <v>89.105819775104024</v>
      </c>
      <c r="AA804" s="16">
        <f>Y804/'Gearing Calculator'!$C$24</f>
        <v>-3.7797547948836252</v>
      </c>
      <c r="AB804" s="16">
        <f t="shared" si="86"/>
        <v>223.96019428133627</v>
      </c>
      <c r="AC804" s="16">
        <v>50</v>
      </c>
      <c r="AD804" s="16">
        <v>0</v>
      </c>
      <c r="AE804" s="16">
        <v>801</v>
      </c>
      <c r="AF804" s="16">
        <f>IF(AC804=0,IF(O804=6,INDEX(Acceleration!$V$4:$V$110,MATCH('Track Data'!S804,Acceleration!$K$4:$K$110,0)),IF('Track Data'!O804=5,INDEX(Acceleration!$U$4:$U$110,MATCH('Track Data'!S804,Acceleration!$K$4:$K$110,0)),1)),U804)</f>
        <v>-11.216477997530474</v>
      </c>
      <c r="AG804" s="16">
        <f>IF(AC804=0,IF(O804=4,INDEX(Acceleration!$T$4:$T$110,MATCH('Track Data'!S804,Acceleration!$K$4:$K$110,0)),IF('Track Data'!O804=3,INDEX(Acceleration!$S$4:$S$110,MATCH('Track Data'!S804,Acceleration!$K$4:$K$110,0)),'Track Data'!AF804)),'Track Data'!U804)</f>
        <v>-11.216477997530474</v>
      </c>
      <c r="AH804" s="16">
        <f>IF(AC804=0,IF(O804=2,INDEX(Acceleration!$R$4:$R$110,MATCH('Track Data'!S804,Acceleration!$K$4:$K$110,0)),IF('Track Data'!O804=1,INDEX(Acceleration!$Q$4:$Q$110,MATCH('Track Data'!S804,Acceleration!$K$4:$K$110,0)),'Track Data'!AG804)),'Track Data'!U804)</f>
        <v>-11.216477997530474</v>
      </c>
    </row>
    <row r="805" spans="2:34" x14ac:dyDescent="0.25">
      <c r="B805" s="16">
        <v>219.33199999999999</v>
      </c>
      <c r="C805" s="16">
        <v>8075</v>
      </c>
      <c r="D805" s="16">
        <v>802</v>
      </c>
      <c r="E805" s="113">
        <v>140</v>
      </c>
      <c r="F805" s="113">
        <v>140.5</v>
      </c>
      <c r="G805" s="113">
        <v>134.5</v>
      </c>
      <c r="H805" s="113">
        <f t="shared" si="89"/>
        <v>37.361111111111107</v>
      </c>
      <c r="I805" s="113">
        <v>5.5</v>
      </c>
      <c r="J805" s="113">
        <v>74.540000000000006</v>
      </c>
      <c r="K805" s="113">
        <v>42.3</v>
      </c>
      <c r="L805" s="185"/>
      <c r="M805" s="16">
        <v>802</v>
      </c>
      <c r="N805" s="16">
        <f t="shared" si="91"/>
        <v>1.9930380246507066E-2</v>
      </c>
      <c r="O805" s="16">
        <v>4</v>
      </c>
      <c r="P805" s="16">
        <f t="shared" si="87"/>
        <v>9.1833785004516724</v>
      </c>
      <c r="Q805" s="16">
        <f t="shared" si="92"/>
        <v>50.174657363863233</v>
      </c>
      <c r="R805" s="113">
        <f t="shared" si="88"/>
        <v>329.49099999999999</v>
      </c>
      <c r="S805" s="16">
        <f>IF(S804=15800,15800,ROUND((((Q805*60)/'Gearing Calculator'!$C$14)*'Track Data'!P805),-2))</f>
        <v>14000</v>
      </c>
      <c r="T805" s="16">
        <f t="shared" si="90"/>
        <v>-11.216477997530474</v>
      </c>
      <c r="U805" s="16">
        <f>IF(AC805=100,Braking!$AG$2354,IF(AC805=50,Braking!$AG$1179,IF(AC805=75,Braking!$AG$1767,0)))</f>
        <v>-11.216477997530474</v>
      </c>
      <c r="V805" s="16">
        <f>0.5*'Gearing Calculator'!$C$15*'Gearing Calculator'!$C$20*'Gearing Calculator'!$W$20*('Track Data'!Q805^2)</f>
        <v>266.45180220894093</v>
      </c>
      <c r="W805" s="16">
        <f>('Gearing Calculator'!$U$9*'Track Data'!T805)+'Track Data'!V805</f>
        <v>-2719.3746407336707</v>
      </c>
      <c r="X805" s="16">
        <f>('Gearing Calculator'!$U$9*9.81)*('Gearing Calculator'!$U$16/'Gearing Calculator'!$C$7)-(('Track Data'!W805)*('Gearing Calculator'!$U$17/'Gearing Calculator'!$C$7))</f>
        <v>2883.4071954458714</v>
      </c>
      <c r="Y805" s="16">
        <f>('Gearing Calculator'!$U$9*9.81)*(('Gearing Calculator'!$C$7-'Gearing Calculator'!$U$16)/'Gearing Calculator'!$C$7)+(('Track Data'!W805)*('Gearing Calculator'!$U$17/'Gearing Calculator'!$C$7))</f>
        <v>-271.98519544587134</v>
      </c>
      <c r="Z805" s="16">
        <f>((X805*COS('Gearing Calculator'!$C$21))/'Gearing Calculator'!$C$22)/2</f>
        <v>89.145831043191251</v>
      </c>
      <c r="AA805" s="16">
        <f>Y805/'Gearing Calculator'!$C$24</f>
        <v>-3.7978255793325517</v>
      </c>
      <c r="AB805" s="16">
        <f t="shared" si="86"/>
        <v>221.58589021881903</v>
      </c>
      <c r="AC805" s="16">
        <v>50</v>
      </c>
      <c r="AD805" s="16">
        <v>0</v>
      </c>
      <c r="AE805" s="16">
        <v>802</v>
      </c>
      <c r="AF805" s="16">
        <f>IF(AC805=0,IF(O805=6,INDEX(Acceleration!$V$4:$V$110,MATCH('Track Data'!S805,Acceleration!$K$4:$K$110,0)),IF('Track Data'!O805=5,INDEX(Acceleration!$U$4:$U$110,MATCH('Track Data'!S805,Acceleration!$K$4:$K$110,0)),1)),U805)</f>
        <v>-11.216477997530474</v>
      </c>
      <c r="AG805" s="16">
        <f>IF(AC805=0,IF(O805=4,INDEX(Acceleration!$T$4:$T$110,MATCH('Track Data'!S805,Acceleration!$K$4:$K$110,0)),IF('Track Data'!O805=3,INDEX(Acceleration!$S$4:$S$110,MATCH('Track Data'!S805,Acceleration!$K$4:$K$110,0)),'Track Data'!AF805)),'Track Data'!U805)</f>
        <v>-11.216477997530474</v>
      </c>
      <c r="AH805" s="16">
        <f>IF(AC805=0,IF(O805=2,INDEX(Acceleration!$R$4:$R$110,MATCH('Track Data'!S805,Acceleration!$K$4:$K$110,0)),IF('Track Data'!O805=1,INDEX(Acceleration!$Q$4:$Q$110,MATCH('Track Data'!S805,Acceleration!$K$4:$K$110,0)),'Track Data'!AG805)),'Track Data'!U805)</f>
        <v>-11.216477997530474</v>
      </c>
    </row>
    <row r="806" spans="2:34" x14ac:dyDescent="0.25">
      <c r="B806" s="16">
        <v>219.357</v>
      </c>
      <c r="C806" s="16">
        <v>8076</v>
      </c>
      <c r="D806" s="16">
        <v>803</v>
      </c>
      <c r="E806" s="113">
        <v>139</v>
      </c>
      <c r="F806" s="113">
        <v>140.4</v>
      </c>
      <c r="G806" s="113">
        <v>133.9</v>
      </c>
      <c r="H806" s="113">
        <f t="shared" si="89"/>
        <v>37.194444444444443</v>
      </c>
      <c r="I806" s="113">
        <v>5.7</v>
      </c>
      <c r="J806" s="113">
        <v>73.62</v>
      </c>
      <c r="K806" s="113">
        <v>42.5</v>
      </c>
      <c r="L806" s="185"/>
      <c r="M806" s="16">
        <v>803</v>
      </c>
      <c r="N806" s="16">
        <f t="shared" si="91"/>
        <v>2.0019776151243653E-2</v>
      </c>
      <c r="O806" s="16">
        <v>4</v>
      </c>
      <c r="P806" s="16">
        <f t="shared" si="87"/>
        <v>9.1833785004516724</v>
      </c>
      <c r="Q806" s="16">
        <f t="shared" si="92"/>
        <v>49.950608460618518</v>
      </c>
      <c r="R806" s="113">
        <f t="shared" si="88"/>
        <v>329.49099999999999</v>
      </c>
      <c r="S806" s="16">
        <f>IF(S805=15800,15800,ROUND((((Q806*60)/'Gearing Calculator'!$C$14)*'Track Data'!P806),-2))</f>
        <v>13900</v>
      </c>
      <c r="T806" s="16">
        <f t="shared" si="90"/>
        <v>-11.216477997530474</v>
      </c>
      <c r="U806" s="16">
        <f>IF(AC806=100,Braking!$AG$2354,IF(AC806=50,Braking!$AG$1179,IF(AC806=75,Braking!$AG$1767,0)))</f>
        <v>-11.216477997530474</v>
      </c>
      <c r="V806" s="16">
        <f>0.5*'Gearing Calculator'!$C$15*'Gearing Calculator'!$C$20*'Gearing Calculator'!$W$20*('Track Data'!Q806^2)</f>
        <v>264.07749814642375</v>
      </c>
      <c r="W806" s="16">
        <f>('Gearing Calculator'!$U$9*'Track Data'!T806)+'Track Data'!V806</f>
        <v>-2721.748944796188</v>
      </c>
      <c r="X806" s="16">
        <f>('Gearing Calculator'!$U$9*9.81)*('Gearing Calculator'!$U$16/'Gearing Calculator'!$C$7)-(('Track Data'!W806)*('Gearing Calculator'!$U$17/'Gearing Calculator'!$C$7))</f>
        <v>2884.7013533100312</v>
      </c>
      <c r="Y806" s="16">
        <f>('Gearing Calculator'!$U$9*9.81)*(('Gearing Calculator'!$C$7-'Gearing Calculator'!$U$16)/'Gearing Calculator'!$C$7)+(('Track Data'!W806)*('Gearing Calculator'!$U$17/'Gearing Calculator'!$C$7))</f>
        <v>-273.27935331003118</v>
      </c>
      <c r="Z806" s="16">
        <f>((X806*COS('Gearing Calculator'!$C$21))/'Gearing Calculator'!$C$22)/2</f>
        <v>89.185842311278492</v>
      </c>
      <c r="AA806" s="16">
        <f>Y806/'Gearing Calculator'!$C$24</f>
        <v>-3.8158963637814751</v>
      </c>
      <c r="AB806" s="16">
        <f t="shared" si="86"/>
        <v>219.21158615630185</v>
      </c>
      <c r="AC806" s="16">
        <v>50</v>
      </c>
      <c r="AD806" s="16">
        <v>0</v>
      </c>
      <c r="AE806" s="16">
        <v>803</v>
      </c>
      <c r="AF806" s="16">
        <f>IF(AC806=0,IF(O806=6,INDEX(Acceleration!$V$4:$V$110,MATCH('Track Data'!S806,Acceleration!$K$4:$K$110,0)),IF('Track Data'!O806=5,INDEX(Acceleration!$U$4:$U$110,MATCH('Track Data'!S806,Acceleration!$K$4:$K$110,0)),1)),U806)</f>
        <v>-11.216477997530474</v>
      </c>
      <c r="AG806" s="16">
        <f>IF(AC806=0,IF(O806=4,INDEX(Acceleration!$T$4:$T$110,MATCH('Track Data'!S806,Acceleration!$K$4:$K$110,0)),IF('Track Data'!O806=3,INDEX(Acceleration!$S$4:$S$110,MATCH('Track Data'!S806,Acceleration!$K$4:$K$110,0)),'Track Data'!AF806)),'Track Data'!U806)</f>
        <v>-11.216477997530474</v>
      </c>
      <c r="AH806" s="16">
        <f>IF(AC806=0,IF(O806=2,INDEX(Acceleration!$R$4:$R$110,MATCH('Track Data'!S806,Acceleration!$K$4:$K$110,0)),IF('Track Data'!O806=1,INDEX(Acceleration!$Q$4:$Q$110,MATCH('Track Data'!S806,Acceleration!$K$4:$K$110,0)),'Track Data'!AG806)),'Track Data'!U806)</f>
        <v>-11.216477997530474</v>
      </c>
    </row>
    <row r="807" spans="2:34" x14ac:dyDescent="0.25">
      <c r="B807" s="16">
        <v>219.38300000000001</v>
      </c>
      <c r="C807" s="16">
        <v>8077</v>
      </c>
      <c r="D807" s="16">
        <v>804</v>
      </c>
      <c r="E807" s="113">
        <v>138</v>
      </c>
      <c r="F807" s="113">
        <v>139.5</v>
      </c>
      <c r="G807" s="113">
        <v>133.1</v>
      </c>
      <c r="H807" s="113">
        <f t="shared" si="89"/>
        <v>36.972222222222221</v>
      </c>
      <c r="I807" s="113">
        <v>5.3</v>
      </c>
      <c r="J807" s="113">
        <v>73.02</v>
      </c>
      <c r="K807" s="113">
        <v>42.5</v>
      </c>
      <c r="L807" s="185"/>
      <c r="M807" s="16">
        <v>804</v>
      </c>
      <c r="N807" s="16">
        <f t="shared" si="91"/>
        <v>2.0110385880644475E-2</v>
      </c>
      <c r="O807" s="16">
        <v>4</v>
      </c>
      <c r="P807" s="16">
        <f t="shared" si="87"/>
        <v>9.1833785004516724</v>
      </c>
      <c r="Q807" s="16">
        <f t="shared" si="92"/>
        <v>49.72555006825921</v>
      </c>
      <c r="R807" s="113">
        <f t="shared" si="88"/>
        <v>329.49099999999999</v>
      </c>
      <c r="S807" s="16">
        <f>IF(S806=15800,15800,ROUND((((Q807*60)/'Gearing Calculator'!$C$14)*'Track Data'!P807),-2))</f>
        <v>13800</v>
      </c>
      <c r="T807" s="16">
        <f t="shared" si="90"/>
        <v>-11.216477997530474</v>
      </c>
      <c r="U807" s="16">
        <f>IF(AC807=100,Braking!$AG$2354,IF(AC807=50,Braking!$AG$1179,IF(AC807=75,Braking!$AG$1767,0)))</f>
        <v>-11.216477997530474</v>
      </c>
      <c r="V807" s="16">
        <f>0.5*'Gearing Calculator'!$C$15*'Gearing Calculator'!$C$20*'Gearing Calculator'!$W$20*('Track Data'!Q807^2)</f>
        <v>261.70319408390645</v>
      </c>
      <c r="W807" s="16">
        <f>('Gearing Calculator'!$U$9*'Track Data'!T807)+'Track Data'!V807</f>
        <v>-2724.1232488587052</v>
      </c>
      <c r="X807" s="16">
        <f>('Gearing Calculator'!$U$9*9.81)*('Gearing Calculator'!$U$16/'Gearing Calculator'!$C$7)-(('Track Data'!W807)*('Gearing Calculator'!$U$17/'Gearing Calculator'!$C$7))</f>
        <v>2885.9955111741911</v>
      </c>
      <c r="Y807" s="16">
        <f>('Gearing Calculator'!$U$9*9.81)*(('Gearing Calculator'!$C$7-'Gearing Calculator'!$U$16)/'Gearing Calculator'!$C$7)+(('Track Data'!W807)*('Gearing Calculator'!$U$17/'Gearing Calculator'!$C$7))</f>
        <v>-274.57351117419103</v>
      </c>
      <c r="Z807" s="16">
        <f>((X807*COS('Gearing Calculator'!$C$21))/'Gearing Calculator'!$C$22)/2</f>
        <v>89.225853579365705</v>
      </c>
      <c r="AA807" s="16">
        <f>Y807/'Gearing Calculator'!$C$24</f>
        <v>-3.8339671482303985</v>
      </c>
      <c r="AB807" s="16">
        <f t="shared" si="86"/>
        <v>216.83728209378455</v>
      </c>
      <c r="AC807" s="16">
        <v>50</v>
      </c>
      <c r="AD807" s="16">
        <v>0</v>
      </c>
      <c r="AE807" s="16">
        <v>804</v>
      </c>
      <c r="AF807" s="16">
        <f>IF(AC807=0,IF(O807=6,INDEX(Acceleration!$V$4:$V$110,MATCH('Track Data'!S807,Acceleration!$K$4:$K$110,0)),IF('Track Data'!O807=5,INDEX(Acceleration!$U$4:$U$110,MATCH('Track Data'!S807,Acceleration!$K$4:$K$110,0)),1)),U807)</f>
        <v>-11.216477997530474</v>
      </c>
      <c r="AG807" s="16">
        <f>IF(AC807=0,IF(O807=4,INDEX(Acceleration!$T$4:$T$110,MATCH('Track Data'!S807,Acceleration!$K$4:$K$110,0)),IF('Track Data'!O807=3,INDEX(Acceleration!$S$4:$S$110,MATCH('Track Data'!S807,Acceleration!$K$4:$K$110,0)),'Track Data'!AF807)),'Track Data'!U807)</f>
        <v>-11.216477997530474</v>
      </c>
      <c r="AH807" s="16">
        <f>IF(AC807=0,IF(O807=2,INDEX(Acceleration!$R$4:$R$110,MATCH('Track Data'!S807,Acceleration!$K$4:$K$110,0)),IF('Track Data'!O807=1,INDEX(Acceleration!$Q$4:$Q$110,MATCH('Track Data'!S807,Acceleration!$K$4:$K$110,0)),'Track Data'!AG807)),'Track Data'!U807)</f>
        <v>-11.216477997530474</v>
      </c>
    </row>
    <row r="808" spans="2:34" x14ac:dyDescent="0.25">
      <c r="B808" s="16">
        <v>219.40899999999999</v>
      </c>
      <c r="C808" s="16">
        <v>8078</v>
      </c>
      <c r="D808" s="16">
        <v>805</v>
      </c>
      <c r="E808" s="113">
        <v>138</v>
      </c>
      <c r="F808" s="113">
        <v>139</v>
      </c>
      <c r="G808" s="113">
        <v>132.5</v>
      </c>
      <c r="H808" s="113">
        <f t="shared" si="89"/>
        <v>36.805555555555557</v>
      </c>
      <c r="I808" s="113">
        <v>5.4</v>
      </c>
      <c r="J808" s="113">
        <v>70.209999999999994</v>
      </c>
      <c r="K808" s="113">
        <v>42.5</v>
      </c>
      <c r="L808" s="185"/>
      <c r="M808" s="16">
        <v>805</v>
      </c>
      <c r="N808" s="16">
        <f t="shared" si="91"/>
        <v>2.0202237154740361E-2</v>
      </c>
      <c r="O808" s="16">
        <v>4</v>
      </c>
      <c r="P808" s="16">
        <f t="shared" si="87"/>
        <v>9.1833785004516724</v>
      </c>
      <c r="Q808" s="16">
        <f t="shared" si="92"/>
        <v>49.499468417306183</v>
      </c>
      <c r="R808" s="113">
        <f t="shared" si="88"/>
        <v>329.49099999999999</v>
      </c>
      <c r="S808" s="16">
        <f>IF(S807=15800,15800,ROUND((((Q808*60)/'Gearing Calculator'!$C$14)*'Track Data'!P808),-2))</f>
        <v>13800</v>
      </c>
      <c r="T808" s="16">
        <f t="shared" si="90"/>
        <v>-11.216477997530474</v>
      </c>
      <c r="U808" s="16">
        <f>IF(AC808=100,Braking!$AG$2354,IF(AC808=50,Braking!$AG$1179,IF(AC808=75,Braking!$AG$1767,0)))</f>
        <v>-11.216477997530474</v>
      </c>
      <c r="V808" s="16">
        <f>0.5*'Gearing Calculator'!$C$15*'Gearing Calculator'!$C$20*'Gearing Calculator'!$W$20*('Track Data'!Q808^2)</f>
        <v>259.32889002138921</v>
      </c>
      <c r="W808" s="16">
        <f>('Gearing Calculator'!$U$9*'Track Data'!T808)+'Track Data'!V808</f>
        <v>-2726.4975529212225</v>
      </c>
      <c r="X808" s="16">
        <f>('Gearing Calculator'!$U$9*9.81)*('Gearing Calculator'!$U$16/'Gearing Calculator'!$C$7)-(('Track Data'!W808)*('Gearing Calculator'!$U$17/'Gearing Calculator'!$C$7))</f>
        <v>2887.2896690383513</v>
      </c>
      <c r="Y808" s="16">
        <f>('Gearing Calculator'!$U$9*9.81)*(('Gearing Calculator'!$C$7-'Gearing Calculator'!$U$16)/'Gearing Calculator'!$C$7)+(('Track Data'!W808)*('Gearing Calculator'!$U$17/'Gearing Calculator'!$C$7))</f>
        <v>-275.8676690383511</v>
      </c>
      <c r="Z808" s="16">
        <f>((X808*COS('Gearing Calculator'!$C$21))/'Gearing Calculator'!$C$22)/2</f>
        <v>89.265864847452946</v>
      </c>
      <c r="AA808" s="16">
        <f>Y808/'Gearing Calculator'!$C$24</f>
        <v>-3.852037932679325</v>
      </c>
      <c r="AB808" s="16">
        <f t="shared" si="86"/>
        <v>214.46297803126731</v>
      </c>
      <c r="AC808" s="16">
        <v>50</v>
      </c>
      <c r="AD808" s="16">
        <v>0</v>
      </c>
      <c r="AE808" s="16">
        <v>805</v>
      </c>
      <c r="AF808" s="16">
        <f>IF(AC808=0,IF(O808=6,INDEX(Acceleration!$V$4:$V$110,MATCH('Track Data'!S808,Acceleration!$K$4:$K$110,0)),IF('Track Data'!O808=5,INDEX(Acceleration!$U$4:$U$110,MATCH('Track Data'!S808,Acceleration!$K$4:$K$110,0)),1)),U808)</f>
        <v>-11.216477997530474</v>
      </c>
      <c r="AG808" s="16">
        <f>IF(AC808=0,IF(O808=4,INDEX(Acceleration!$T$4:$T$110,MATCH('Track Data'!S808,Acceleration!$K$4:$K$110,0)),IF('Track Data'!O808=3,INDEX(Acceleration!$S$4:$S$110,MATCH('Track Data'!S808,Acceleration!$K$4:$K$110,0)),'Track Data'!AF808)),'Track Data'!U808)</f>
        <v>-11.216477997530474</v>
      </c>
      <c r="AH808" s="16">
        <f>IF(AC808=0,IF(O808=2,INDEX(Acceleration!$R$4:$R$110,MATCH('Track Data'!S808,Acceleration!$K$4:$K$110,0)),IF('Track Data'!O808=1,INDEX(Acceleration!$Q$4:$Q$110,MATCH('Track Data'!S808,Acceleration!$K$4:$K$110,0)),'Track Data'!AG808)),'Track Data'!U808)</f>
        <v>-11.216477997530474</v>
      </c>
    </row>
    <row r="809" spans="2:34" x14ac:dyDescent="0.25">
      <c r="B809" s="16">
        <v>219.434</v>
      </c>
      <c r="C809" s="16">
        <v>8079</v>
      </c>
      <c r="D809" s="16">
        <v>806</v>
      </c>
      <c r="E809" s="113">
        <v>137</v>
      </c>
      <c r="F809" s="113">
        <v>138.6</v>
      </c>
      <c r="G809" s="113">
        <v>131.69999999999999</v>
      </c>
      <c r="H809" s="113">
        <f t="shared" si="89"/>
        <v>36.583333333333329</v>
      </c>
      <c r="I809" s="113">
        <v>5.6</v>
      </c>
      <c r="J809" s="113">
        <v>67.55</v>
      </c>
      <c r="K809" s="113">
        <v>42.5</v>
      </c>
      <c r="L809" s="185"/>
      <c r="M809" s="16">
        <v>806</v>
      </c>
      <c r="N809" s="16">
        <f t="shared" si="91"/>
        <v>2.0295358587992304E-2</v>
      </c>
      <c r="O809" s="16">
        <v>4</v>
      </c>
      <c r="P809" s="16">
        <f t="shared" si="87"/>
        <v>9.1833785004516724</v>
      </c>
      <c r="Q809" s="16">
        <f t="shared" si="92"/>
        <v>49.272349422377161</v>
      </c>
      <c r="R809" s="113">
        <f t="shared" si="88"/>
        <v>329.49099999999999</v>
      </c>
      <c r="S809" s="16">
        <f>IF(S808=15800,15800,ROUND((((Q809*60)/'Gearing Calculator'!$C$14)*'Track Data'!P809),-2))</f>
        <v>13700</v>
      </c>
      <c r="T809" s="16">
        <f t="shared" si="90"/>
        <v>-11.216477997530474</v>
      </c>
      <c r="U809" s="16">
        <f>IF(AC809=100,Braking!$AG$2354,IF(AC809=50,Braking!$AG$1179,IF(AC809=75,Braking!$AG$1767,0)))</f>
        <v>-11.216477997530474</v>
      </c>
      <c r="V809" s="16">
        <f>0.5*'Gearing Calculator'!$C$15*'Gearing Calculator'!$C$20*'Gearing Calculator'!$W$20*('Track Data'!Q809^2)</f>
        <v>256.95458595887197</v>
      </c>
      <c r="W809" s="16">
        <f>('Gearing Calculator'!$U$9*'Track Data'!T809)+'Track Data'!V809</f>
        <v>-2728.8718569837397</v>
      </c>
      <c r="X809" s="16">
        <f>('Gearing Calculator'!$U$9*9.81)*('Gearing Calculator'!$U$16/'Gearing Calculator'!$C$7)-(('Track Data'!W809)*('Gearing Calculator'!$U$17/'Gearing Calculator'!$C$7))</f>
        <v>2888.5838269025107</v>
      </c>
      <c r="Y809" s="16">
        <f>('Gearing Calculator'!$U$9*9.81)*(('Gearing Calculator'!$C$7-'Gearing Calculator'!$U$16)/'Gearing Calculator'!$C$7)+(('Track Data'!W809)*('Gearing Calculator'!$U$17/'Gearing Calculator'!$C$7))</f>
        <v>-277.16182690251094</v>
      </c>
      <c r="Z809" s="16">
        <f>((X809*COS('Gearing Calculator'!$C$21))/'Gearing Calculator'!$C$22)/2</f>
        <v>89.305876115540144</v>
      </c>
      <c r="AA809" s="16">
        <f>Y809/'Gearing Calculator'!$C$24</f>
        <v>-3.8701087171282484</v>
      </c>
      <c r="AB809" s="16">
        <f t="shared" si="86"/>
        <v>212.08867396875007</v>
      </c>
      <c r="AC809" s="16">
        <v>50</v>
      </c>
      <c r="AD809" s="16">
        <v>0</v>
      </c>
      <c r="AE809" s="16">
        <v>806</v>
      </c>
      <c r="AF809" s="16">
        <f>IF(AC809=0,IF(O809=6,INDEX(Acceleration!$V$4:$V$110,MATCH('Track Data'!S809,Acceleration!$K$4:$K$110,0)),IF('Track Data'!O809=5,INDEX(Acceleration!$U$4:$U$110,MATCH('Track Data'!S809,Acceleration!$K$4:$K$110,0)),1)),U809)</f>
        <v>-11.216477997530474</v>
      </c>
      <c r="AG809" s="16">
        <f>IF(AC809=0,IF(O809=4,INDEX(Acceleration!$T$4:$T$110,MATCH('Track Data'!S809,Acceleration!$K$4:$K$110,0)),IF('Track Data'!O809=3,INDEX(Acceleration!$S$4:$S$110,MATCH('Track Data'!S809,Acceleration!$K$4:$K$110,0)),'Track Data'!AF809)),'Track Data'!U809)</f>
        <v>-11.216477997530474</v>
      </c>
      <c r="AH809" s="16">
        <f>IF(AC809=0,IF(O809=2,INDEX(Acceleration!$R$4:$R$110,MATCH('Track Data'!S809,Acceleration!$K$4:$K$110,0)),IF('Track Data'!O809=1,INDEX(Acceleration!$Q$4:$Q$110,MATCH('Track Data'!S809,Acceleration!$K$4:$K$110,0)),'Track Data'!AG809)),'Track Data'!U809)</f>
        <v>-11.216477997530474</v>
      </c>
    </row>
    <row r="810" spans="2:34" x14ac:dyDescent="0.25">
      <c r="B810" s="16">
        <v>219.46100000000001</v>
      </c>
      <c r="C810" s="16">
        <v>8080</v>
      </c>
      <c r="D810" s="16">
        <v>807</v>
      </c>
      <c r="E810" s="113">
        <v>137</v>
      </c>
      <c r="F810" s="113">
        <v>138.1</v>
      </c>
      <c r="G810" s="113">
        <v>131</v>
      </c>
      <c r="H810" s="113">
        <f t="shared" si="89"/>
        <v>36.388888888888886</v>
      </c>
      <c r="I810" s="113">
        <v>4.8</v>
      </c>
      <c r="J810" s="113">
        <v>68.900000000000006</v>
      </c>
      <c r="K810" s="113">
        <v>42.6</v>
      </c>
      <c r="L810" s="185"/>
      <c r="M810" s="16">
        <v>807</v>
      </c>
      <c r="N810" s="16">
        <f t="shared" si="91"/>
        <v>2.038977972674285E-2</v>
      </c>
      <c r="O810" s="16">
        <v>4</v>
      </c>
      <c r="P810" s="16">
        <f t="shared" si="87"/>
        <v>9.1833785004516724</v>
      </c>
      <c r="Q810" s="16">
        <f t="shared" si="92"/>
        <v>49.044178671946071</v>
      </c>
      <c r="R810" s="113">
        <f t="shared" si="88"/>
        <v>329.49099999999999</v>
      </c>
      <c r="S810" s="16">
        <f>IF(S809=15800,15800,ROUND((((Q810*60)/'Gearing Calculator'!$C$14)*'Track Data'!P810),-2))</f>
        <v>13700</v>
      </c>
      <c r="T810" s="16">
        <f t="shared" si="90"/>
        <v>-11.216477997530474</v>
      </c>
      <c r="U810" s="16">
        <f>IF(AC810=100,Braking!$AG$2354,IF(AC810=50,Braking!$AG$1179,IF(AC810=75,Braking!$AG$1767,0)))</f>
        <v>-11.216477997530474</v>
      </c>
      <c r="V810" s="16">
        <f>0.5*'Gearing Calculator'!$C$15*'Gearing Calculator'!$C$20*'Gearing Calculator'!$W$20*('Track Data'!Q810^2)</f>
        <v>254.58028189635468</v>
      </c>
      <c r="W810" s="16">
        <f>('Gearing Calculator'!$U$9*'Track Data'!T810)+'Track Data'!V810</f>
        <v>-2731.2461610462569</v>
      </c>
      <c r="X810" s="16">
        <f>('Gearing Calculator'!$U$9*9.81)*('Gearing Calculator'!$U$16/'Gearing Calculator'!$C$7)-(('Track Data'!W810)*('Gearing Calculator'!$U$17/'Gearing Calculator'!$C$7))</f>
        <v>2889.877984766671</v>
      </c>
      <c r="Y810" s="16">
        <f>('Gearing Calculator'!$U$9*9.81)*(('Gearing Calculator'!$C$7-'Gearing Calculator'!$U$16)/'Gearing Calculator'!$C$7)+(('Track Data'!W810)*('Gearing Calculator'!$U$17/'Gearing Calculator'!$C$7))</f>
        <v>-278.45598476667101</v>
      </c>
      <c r="Z810" s="16">
        <f>((X810*COS('Gearing Calculator'!$C$21))/'Gearing Calculator'!$C$22)/2</f>
        <v>89.345887383627385</v>
      </c>
      <c r="AA810" s="16">
        <f>Y810/'Gearing Calculator'!$C$24</f>
        <v>-3.888179501577175</v>
      </c>
      <c r="AB810" s="16">
        <f t="shared" si="86"/>
        <v>209.71436990623278</v>
      </c>
      <c r="AC810" s="16">
        <v>50</v>
      </c>
      <c r="AD810" s="16">
        <v>0</v>
      </c>
      <c r="AE810" s="16">
        <v>807</v>
      </c>
      <c r="AF810" s="16">
        <f>IF(AC810=0,IF(O810=6,INDEX(Acceleration!$V$4:$V$110,MATCH('Track Data'!S810,Acceleration!$K$4:$K$110,0)),IF('Track Data'!O810=5,INDEX(Acceleration!$U$4:$U$110,MATCH('Track Data'!S810,Acceleration!$K$4:$K$110,0)),1)),U810)</f>
        <v>-11.216477997530474</v>
      </c>
      <c r="AG810" s="16">
        <f>IF(AC810=0,IF(O810=4,INDEX(Acceleration!$T$4:$T$110,MATCH('Track Data'!S810,Acceleration!$K$4:$K$110,0)),IF('Track Data'!O810=3,INDEX(Acceleration!$S$4:$S$110,MATCH('Track Data'!S810,Acceleration!$K$4:$K$110,0)),'Track Data'!AF810)),'Track Data'!U810)</f>
        <v>-11.216477997530474</v>
      </c>
      <c r="AH810" s="16">
        <f>IF(AC810=0,IF(O810=2,INDEX(Acceleration!$R$4:$R$110,MATCH('Track Data'!S810,Acceleration!$K$4:$K$110,0)),IF('Track Data'!O810=1,INDEX(Acceleration!$Q$4:$Q$110,MATCH('Track Data'!S810,Acceleration!$K$4:$K$110,0)),'Track Data'!AG810)),'Track Data'!U810)</f>
        <v>-11.216477997530474</v>
      </c>
    </row>
    <row r="811" spans="2:34" x14ac:dyDescent="0.25">
      <c r="B811" s="16">
        <v>219.48599999999999</v>
      </c>
      <c r="C811" s="16">
        <v>8081</v>
      </c>
      <c r="D811" s="16">
        <v>808</v>
      </c>
      <c r="E811" s="113">
        <v>137</v>
      </c>
      <c r="F811" s="113">
        <v>137.69999999999999</v>
      </c>
      <c r="G811" s="113">
        <v>130.5</v>
      </c>
      <c r="H811" s="113">
        <f t="shared" si="89"/>
        <v>36.25</v>
      </c>
      <c r="I811" s="113">
        <v>4.7</v>
      </c>
      <c r="J811" s="113">
        <v>67.239999999999995</v>
      </c>
      <c r="K811" s="113">
        <v>42.7</v>
      </c>
      <c r="L811" s="185"/>
      <c r="M811" s="16">
        <v>808</v>
      </c>
      <c r="N811" s="16">
        <f t="shared" si="91"/>
        <v>2.0485531088602068E-2</v>
      </c>
      <c r="O811" s="16">
        <v>4</v>
      </c>
      <c r="P811" s="16">
        <f t="shared" si="87"/>
        <v>9.1833785004516724</v>
      </c>
      <c r="Q811" s="16">
        <f t="shared" si="92"/>
        <v>48.814941417671591</v>
      </c>
      <c r="R811" s="113">
        <f t="shared" si="88"/>
        <v>329.49099999999999</v>
      </c>
      <c r="S811" s="16">
        <f>IF(S810=15800,15800,ROUND((((Q811*60)/'Gearing Calculator'!$C$14)*'Track Data'!P811),-2))</f>
        <v>13600</v>
      </c>
      <c r="T811" s="16">
        <f t="shared" si="90"/>
        <v>-11.216477997530474</v>
      </c>
      <c r="U811" s="16">
        <f>IF(AC811=100,Braking!$AG$2354,IF(AC811=50,Braking!$AG$1179,IF(AC811=75,Braking!$AG$1767,0)))</f>
        <v>-11.216477997530474</v>
      </c>
      <c r="V811" s="16">
        <f>0.5*'Gearing Calculator'!$C$15*'Gearing Calculator'!$C$20*'Gearing Calculator'!$W$20*('Track Data'!Q811^2)</f>
        <v>252.20597783383747</v>
      </c>
      <c r="W811" s="16">
        <f>('Gearing Calculator'!$U$9*'Track Data'!T811)+'Track Data'!V811</f>
        <v>-2733.6204651087742</v>
      </c>
      <c r="X811" s="16">
        <f>('Gearing Calculator'!$U$9*9.81)*('Gearing Calculator'!$U$16/'Gearing Calculator'!$C$7)-(('Track Data'!W811)*('Gearing Calculator'!$U$17/'Gearing Calculator'!$C$7))</f>
        <v>2891.1721426308309</v>
      </c>
      <c r="Y811" s="16">
        <f>('Gearing Calculator'!$U$9*9.81)*(('Gearing Calculator'!$C$7-'Gearing Calculator'!$U$16)/'Gearing Calculator'!$C$7)+(('Track Data'!W811)*('Gearing Calculator'!$U$17/'Gearing Calculator'!$C$7))</f>
        <v>-279.75014263083085</v>
      </c>
      <c r="Z811" s="16">
        <f>((X811*COS('Gearing Calculator'!$C$21))/'Gearing Calculator'!$C$22)/2</f>
        <v>89.385898651714598</v>
      </c>
      <c r="AA811" s="16">
        <f>Y811/'Gearing Calculator'!$C$24</f>
        <v>-3.9062502860260984</v>
      </c>
      <c r="AB811" s="16">
        <f t="shared" si="86"/>
        <v>207.34006584371556</v>
      </c>
      <c r="AC811" s="16">
        <v>50</v>
      </c>
      <c r="AD811" s="16">
        <v>0</v>
      </c>
      <c r="AE811" s="16">
        <v>808</v>
      </c>
      <c r="AF811" s="16">
        <f>IF(AC811=0,IF(O811=6,INDEX(Acceleration!$V$4:$V$110,MATCH('Track Data'!S811,Acceleration!$K$4:$K$110,0)),IF('Track Data'!O811=5,INDEX(Acceleration!$U$4:$U$110,MATCH('Track Data'!S811,Acceleration!$K$4:$K$110,0)),1)),U811)</f>
        <v>-11.216477997530474</v>
      </c>
      <c r="AG811" s="16">
        <f>IF(AC811=0,IF(O811=4,INDEX(Acceleration!$T$4:$T$110,MATCH('Track Data'!S811,Acceleration!$K$4:$K$110,0)),IF('Track Data'!O811=3,INDEX(Acceleration!$S$4:$S$110,MATCH('Track Data'!S811,Acceleration!$K$4:$K$110,0)),'Track Data'!AF811)),'Track Data'!U811)</f>
        <v>-11.216477997530474</v>
      </c>
      <c r="AH811" s="16">
        <f>IF(AC811=0,IF(O811=2,INDEX(Acceleration!$R$4:$R$110,MATCH('Track Data'!S811,Acceleration!$K$4:$K$110,0)),IF('Track Data'!O811=1,INDEX(Acceleration!$Q$4:$Q$110,MATCH('Track Data'!S811,Acceleration!$K$4:$K$110,0)),'Track Data'!AG811)),'Track Data'!U811)</f>
        <v>-11.216477997530474</v>
      </c>
    </row>
    <row r="812" spans="2:34" x14ac:dyDescent="0.25">
      <c r="B812" s="16">
        <v>219.512</v>
      </c>
      <c r="C812" s="16">
        <v>8082</v>
      </c>
      <c r="D812" s="16">
        <v>809</v>
      </c>
      <c r="E812" s="113">
        <v>136</v>
      </c>
      <c r="F812" s="113">
        <v>137.19999999999999</v>
      </c>
      <c r="G812" s="113">
        <v>129.80000000000001</v>
      </c>
      <c r="H812" s="113">
        <f t="shared" si="89"/>
        <v>36.055555555555557</v>
      </c>
      <c r="I812" s="113">
        <v>5.5</v>
      </c>
      <c r="J812" s="113">
        <v>77.75</v>
      </c>
      <c r="K812" s="113">
        <v>42.9</v>
      </c>
      <c r="L812" s="185"/>
      <c r="M812" s="16">
        <v>809</v>
      </c>
      <c r="N812" s="16">
        <f t="shared" si="91"/>
        <v>2.0582644203887442E-2</v>
      </c>
      <c r="O812" s="16">
        <v>4</v>
      </c>
      <c r="P812" s="16">
        <f t="shared" si="87"/>
        <v>9.1833785004516724</v>
      </c>
      <c r="Q812" s="16">
        <f t="shared" si="92"/>
        <v>48.584622563272511</v>
      </c>
      <c r="R812" s="113">
        <f t="shared" si="88"/>
        <v>329.49099999999999</v>
      </c>
      <c r="S812" s="16">
        <f>IF(S811=15800,15800,ROUND((((Q812*60)/'Gearing Calculator'!$C$14)*'Track Data'!P812),-2))</f>
        <v>13500</v>
      </c>
      <c r="T812" s="16">
        <f t="shared" si="90"/>
        <v>-11.216477997530474</v>
      </c>
      <c r="U812" s="16">
        <f>IF(AC812=100,Braking!$AG$2354,IF(AC812=50,Braking!$AG$1179,IF(AC812=75,Braking!$AG$1767,0)))</f>
        <v>-11.216477997530474</v>
      </c>
      <c r="V812" s="16">
        <f>0.5*'Gearing Calculator'!$C$15*'Gearing Calculator'!$C$20*'Gearing Calculator'!$W$20*('Track Data'!Q812^2)</f>
        <v>249.8316737713202</v>
      </c>
      <c r="W812" s="16">
        <f>('Gearing Calculator'!$U$9*'Track Data'!T812)+'Track Data'!V812</f>
        <v>-2735.9947691712914</v>
      </c>
      <c r="X812" s="16">
        <f>('Gearing Calculator'!$U$9*9.81)*('Gearing Calculator'!$U$16/'Gearing Calculator'!$C$7)-(('Track Data'!W812)*('Gearing Calculator'!$U$17/'Gearing Calculator'!$C$7))</f>
        <v>2892.4663004949907</v>
      </c>
      <c r="Y812" s="16">
        <f>('Gearing Calculator'!$U$9*9.81)*(('Gearing Calculator'!$C$7-'Gearing Calculator'!$U$16)/'Gearing Calculator'!$C$7)+(('Track Data'!W812)*('Gearing Calculator'!$U$17/'Gearing Calculator'!$C$7))</f>
        <v>-281.04430049499069</v>
      </c>
      <c r="Z812" s="16">
        <f>((X812*COS('Gearing Calculator'!$C$21))/'Gearing Calculator'!$C$22)/2</f>
        <v>89.425909919801839</v>
      </c>
      <c r="AA812" s="16">
        <f>Y812/'Gearing Calculator'!$C$24</f>
        <v>-3.9243210704750218</v>
      </c>
      <c r="AB812" s="16">
        <f t="shared" si="86"/>
        <v>204.9657617811983</v>
      </c>
      <c r="AC812" s="16">
        <v>50</v>
      </c>
      <c r="AD812" s="16">
        <v>0</v>
      </c>
      <c r="AE812" s="16">
        <v>809</v>
      </c>
      <c r="AF812" s="16">
        <f>IF(AC812=0,IF(O812=6,INDEX(Acceleration!$V$4:$V$110,MATCH('Track Data'!S812,Acceleration!$K$4:$K$110,0)),IF('Track Data'!O812=5,INDEX(Acceleration!$U$4:$U$110,MATCH('Track Data'!S812,Acceleration!$K$4:$K$110,0)),1)),U812)</f>
        <v>-11.216477997530474</v>
      </c>
      <c r="AG812" s="16">
        <f>IF(AC812=0,IF(O812=4,INDEX(Acceleration!$T$4:$T$110,MATCH('Track Data'!S812,Acceleration!$K$4:$K$110,0)),IF('Track Data'!O812=3,INDEX(Acceleration!$S$4:$S$110,MATCH('Track Data'!S812,Acceleration!$K$4:$K$110,0)),'Track Data'!AF812)),'Track Data'!U812)</f>
        <v>-11.216477997530474</v>
      </c>
      <c r="AH812" s="16">
        <f>IF(AC812=0,IF(O812=2,INDEX(Acceleration!$R$4:$R$110,MATCH('Track Data'!S812,Acceleration!$K$4:$K$110,0)),IF('Track Data'!O812=1,INDEX(Acceleration!$Q$4:$Q$110,MATCH('Track Data'!S812,Acceleration!$K$4:$K$110,0)),'Track Data'!AG812)),'Track Data'!U812)</f>
        <v>-11.216477997530474</v>
      </c>
    </row>
    <row r="813" spans="2:34" x14ac:dyDescent="0.25">
      <c r="B813" s="16">
        <v>219.53899999999999</v>
      </c>
      <c r="C813" s="16">
        <v>8083</v>
      </c>
      <c r="D813" s="16">
        <v>810</v>
      </c>
      <c r="E813" s="113">
        <v>136</v>
      </c>
      <c r="F813" s="113">
        <v>136.80000000000001</v>
      </c>
      <c r="G813" s="113">
        <v>129.30000000000001</v>
      </c>
      <c r="H813" s="113">
        <f t="shared" si="89"/>
        <v>35.916666666666671</v>
      </c>
      <c r="I813" s="113">
        <v>5.8</v>
      </c>
      <c r="J813" s="113">
        <v>75.83</v>
      </c>
      <c r="K813" s="113">
        <v>42.3</v>
      </c>
      <c r="L813" s="185"/>
      <c r="M813" s="16">
        <v>810</v>
      </c>
      <c r="N813" s="16">
        <f t="shared" si="91"/>
        <v>2.0681151659245389E-2</v>
      </c>
      <c r="O813" s="16">
        <v>4</v>
      </c>
      <c r="P813" s="16">
        <f t="shared" si="87"/>
        <v>9.1833785004516724</v>
      </c>
      <c r="Q813" s="16">
        <f t="shared" si="92"/>
        <v>48.353206652926204</v>
      </c>
      <c r="R813" s="113">
        <f t="shared" si="88"/>
        <v>329.49099999999999</v>
      </c>
      <c r="S813" s="16">
        <f>IF(S812=15800,15800,ROUND((((Q813*60)/'Gearing Calculator'!$C$14)*'Track Data'!P813),-2))</f>
        <v>13500</v>
      </c>
      <c r="T813" s="16">
        <f t="shared" si="90"/>
        <v>-11.216477997530474</v>
      </c>
      <c r="U813" s="16">
        <f>IF(AC813=100,Braking!$AG$2354,IF(AC813=50,Braking!$AG$1179,IF(AC813=75,Braking!$AG$1767,0)))</f>
        <v>-11.216477997530474</v>
      </c>
      <c r="V813" s="16">
        <f>0.5*'Gearing Calculator'!$C$15*'Gearing Calculator'!$C$20*'Gearing Calculator'!$W$20*('Track Data'!Q813^2)</f>
        <v>247.45736970880287</v>
      </c>
      <c r="W813" s="16">
        <f>('Gearing Calculator'!$U$9*'Track Data'!T813)+'Track Data'!V813</f>
        <v>-2738.3690732338086</v>
      </c>
      <c r="X813" s="16">
        <f>('Gearing Calculator'!$U$9*9.81)*('Gearing Calculator'!$U$16/'Gearing Calculator'!$C$7)-(('Track Data'!W813)*('Gearing Calculator'!$U$17/'Gearing Calculator'!$C$7))</f>
        <v>2893.760458359151</v>
      </c>
      <c r="Y813" s="16">
        <f>('Gearing Calculator'!$U$9*9.81)*(('Gearing Calculator'!$C$7-'Gearing Calculator'!$U$16)/'Gearing Calculator'!$C$7)+(('Track Data'!W813)*('Gearing Calculator'!$U$17/'Gearing Calculator'!$C$7))</f>
        <v>-282.33845835915076</v>
      </c>
      <c r="Z813" s="16">
        <f>((X813*COS('Gearing Calculator'!$C$21))/'Gearing Calculator'!$C$22)/2</f>
        <v>89.465921187889066</v>
      </c>
      <c r="AA813" s="16">
        <f>Y813/'Gearing Calculator'!$C$24</f>
        <v>-3.9423918549239483</v>
      </c>
      <c r="AB813" s="16">
        <f t="shared" si="86"/>
        <v>202.59145771868097</v>
      </c>
      <c r="AC813" s="16">
        <v>50</v>
      </c>
      <c r="AD813" s="16">
        <v>0</v>
      </c>
      <c r="AE813" s="16">
        <v>810</v>
      </c>
      <c r="AF813" s="16">
        <f>IF(AC813=0,IF(O813=6,INDEX(Acceleration!$V$4:$V$110,MATCH('Track Data'!S813,Acceleration!$K$4:$K$110,0)),IF('Track Data'!O813=5,INDEX(Acceleration!$U$4:$U$110,MATCH('Track Data'!S813,Acceleration!$K$4:$K$110,0)),1)),U813)</f>
        <v>-11.216477997530474</v>
      </c>
      <c r="AG813" s="16">
        <f>IF(AC813=0,IF(O813=4,INDEX(Acceleration!$T$4:$T$110,MATCH('Track Data'!S813,Acceleration!$K$4:$K$110,0)),IF('Track Data'!O813=3,INDEX(Acceleration!$S$4:$S$110,MATCH('Track Data'!S813,Acceleration!$K$4:$K$110,0)),'Track Data'!AF813)),'Track Data'!U813)</f>
        <v>-11.216477997530474</v>
      </c>
      <c r="AH813" s="16">
        <f>IF(AC813=0,IF(O813=2,INDEX(Acceleration!$R$4:$R$110,MATCH('Track Data'!S813,Acceleration!$K$4:$K$110,0)),IF('Track Data'!O813=1,INDEX(Acceleration!$Q$4:$Q$110,MATCH('Track Data'!S813,Acceleration!$K$4:$K$110,0)),'Track Data'!AG813)),'Track Data'!U813)</f>
        <v>-11.216477997530474</v>
      </c>
    </row>
    <row r="814" spans="2:34" x14ac:dyDescent="0.25">
      <c r="B814" s="16">
        <v>219.565</v>
      </c>
      <c r="C814" s="16">
        <v>8084</v>
      </c>
      <c r="D814" s="16">
        <v>811</v>
      </c>
      <c r="E814" s="113">
        <v>136</v>
      </c>
      <c r="F814" s="113">
        <v>136.19999999999999</v>
      </c>
      <c r="G814" s="113">
        <v>128.69999999999999</v>
      </c>
      <c r="H814" s="113">
        <f t="shared" si="89"/>
        <v>35.749999999999993</v>
      </c>
      <c r="I814" s="113">
        <v>10.1</v>
      </c>
      <c r="J814" s="113">
        <v>76.540000000000006</v>
      </c>
      <c r="K814" s="113">
        <v>40.9</v>
      </c>
      <c r="L814" s="185"/>
      <c r="M814" s="16">
        <v>811</v>
      </c>
      <c r="N814" s="16">
        <f t="shared" si="91"/>
        <v>2.078108714359149E-2</v>
      </c>
      <c r="O814" s="16">
        <v>4</v>
      </c>
      <c r="P814" s="16">
        <f t="shared" si="87"/>
        <v>9.1833785004516724</v>
      </c>
      <c r="Q814" s="16">
        <f t="shared" si="92"/>
        <v>48.120677859164928</v>
      </c>
      <c r="R814" s="113">
        <f t="shared" si="88"/>
        <v>329.49099999999999</v>
      </c>
      <c r="S814" s="16">
        <f>IF(S813=15800,15800,ROUND((((Q814*60)/'Gearing Calculator'!$C$14)*'Track Data'!P814),-2))</f>
        <v>13400</v>
      </c>
      <c r="T814" s="16">
        <f t="shared" si="90"/>
        <v>-12.968079387143963</v>
      </c>
      <c r="U814" s="16">
        <f>IF(AC814=100,Braking!$AG$2354,IF(AC814=50,Braking!$AG$1179,IF(AC814=75,Braking!$AG$1767,0)))</f>
        <v>-12.968079387143963</v>
      </c>
      <c r="V814" s="16">
        <f>0.5*'Gearing Calculator'!$C$15*'Gearing Calculator'!$C$20*'Gearing Calculator'!$W$20*('Track Data'!Q814^2)</f>
        <v>245.0830656462856</v>
      </c>
      <c r="W814" s="16">
        <f>('Gearing Calculator'!$U$9*'Track Data'!T814)+'Track Data'!V814</f>
        <v>-3207.0196672114371</v>
      </c>
      <c r="X814" s="16">
        <f>('Gearing Calculator'!$U$9*9.81)*('Gearing Calculator'!$U$16/'Gearing Calculator'!$C$7)-(('Track Data'!W814)*('Gearing Calculator'!$U$17/'Gearing Calculator'!$C$7))</f>
        <v>3149.2070379755587</v>
      </c>
      <c r="Y814" s="16">
        <f>('Gearing Calculator'!$U$9*9.81)*(('Gearing Calculator'!$C$7-'Gearing Calculator'!$U$16)/'Gearing Calculator'!$C$7)+(('Track Data'!W814)*('Gearing Calculator'!$U$17/'Gearing Calculator'!$C$7))</f>
        <v>-537.78503797555891</v>
      </c>
      <c r="Z814" s="16">
        <f>((X814*COS('Gearing Calculator'!$C$21))/'Gearing Calculator'!$C$22)/2</f>
        <v>97.363521520929808</v>
      </c>
      <c r="AA814" s="16">
        <f>Y814/'Gearing Calculator'!$C$24</f>
        <v>-7.5092828859958027</v>
      </c>
      <c r="AB814" s="16">
        <f t="shared" si="86"/>
        <v>193.21074809770977</v>
      </c>
      <c r="AC814" s="16">
        <v>75</v>
      </c>
      <c r="AD814" s="16">
        <v>0</v>
      </c>
      <c r="AE814" s="16">
        <v>811</v>
      </c>
      <c r="AF814" s="16">
        <f>IF(AC814=0,IF(O814=6,INDEX(Acceleration!$V$4:$V$110,MATCH('Track Data'!S814,Acceleration!$K$4:$K$110,0)),IF('Track Data'!O814=5,INDEX(Acceleration!$U$4:$U$110,MATCH('Track Data'!S814,Acceleration!$K$4:$K$110,0)),1)),U814)</f>
        <v>-12.968079387143963</v>
      </c>
      <c r="AG814" s="16">
        <f>IF(AC814=0,IF(O814=4,INDEX(Acceleration!$T$4:$T$110,MATCH('Track Data'!S814,Acceleration!$K$4:$K$110,0)),IF('Track Data'!O814=3,INDEX(Acceleration!$S$4:$S$110,MATCH('Track Data'!S814,Acceleration!$K$4:$K$110,0)),'Track Data'!AF814)),'Track Data'!U814)</f>
        <v>-12.968079387143963</v>
      </c>
      <c r="AH814" s="16">
        <f>IF(AC814=0,IF(O814=2,INDEX(Acceleration!$R$4:$R$110,MATCH('Track Data'!S814,Acceleration!$K$4:$K$110,0)),IF('Track Data'!O814=1,INDEX(Acceleration!$Q$4:$Q$110,MATCH('Track Data'!S814,Acceleration!$K$4:$K$110,0)),'Track Data'!AG814)),'Track Data'!U814)</f>
        <v>-12.968079387143963</v>
      </c>
    </row>
    <row r="815" spans="2:34" x14ac:dyDescent="0.25">
      <c r="B815" s="16">
        <v>219.59100000000001</v>
      </c>
      <c r="C815" s="16">
        <v>8085</v>
      </c>
      <c r="D815" s="16">
        <v>812</v>
      </c>
      <c r="E815" s="113">
        <v>135</v>
      </c>
      <c r="F815" s="113">
        <v>135.19999999999999</v>
      </c>
      <c r="G815" s="113">
        <v>128.1</v>
      </c>
      <c r="H815" s="113">
        <f t="shared" si="89"/>
        <v>35.583333333333329</v>
      </c>
      <c r="I815" s="113">
        <v>8.6999999999999993</v>
      </c>
      <c r="J815" s="113">
        <v>75.3</v>
      </c>
      <c r="K815" s="113">
        <v>39.5</v>
      </c>
      <c r="L815" s="185"/>
      <c r="M815" s="16">
        <v>812</v>
      </c>
      <c r="N815" s="16">
        <f t="shared" si="91"/>
        <v>2.0898454572570543E-2</v>
      </c>
      <c r="O815" s="16">
        <v>4</v>
      </c>
      <c r="P815" s="16">
        <f t="shared" si="87"/>
        <v>9.1833785004516724</v>
      </c>
      <c r="Q815" s="16">
        <f t="shared" si="92"/>
        <v>47.85042819924643</v>
      </c>
      <c r="R815" s="113">
        <f t="shared" si="88"/>
        <v>329.49099999999999</v>
      </c>
      <c r="S815" s="16">
        <f>IF(S814=15800,15800,ROUND((((Q815*60)/'Gearing Calculator'!$C$14)*'Track Data'!P815),-2))</f>
        <v>13300</v>
      </c>
      <c r="T815" s="16">
        <f t="shared" si="90"/>
        <v>-12.968079387143963</v>
      </c>
      <c r="U815" s="16">
        <f>IF(AC815=100,Braking!$AG$2354,IF(AC815=50,Braking!$AG$1179,IF(AC815=75,Braking!$AG$1767,0)))</f>
        <v>-12.968079387143963</v>
      </c>
      <c r="V815" s="16">
        <f>0.5*'Gearing Calculator'!$C$15*'Gearing Calculator'!$C$20*'Gearing Calculator'!$W$20*('Track Data'!Q815^2)</f>
        <v>242.33798260161498</v>
      </c>
      <c r="W815" s="16">
        <f>('Gearing Calculator'!$U$9*'Track Data'!T815)+'Track Data'!V815</f>
        <v>-3209.7647502561081</v>
      </c>
      <c r="X815" s="16">
        <f>('Gearing Calculator'!$U$9*9.81)*('Gearing Calculator'!$U$16/'Gearing Calculator'!$C$7)-(('Track Data'!W815)*('Gearing Calculator'!$U$17/'Gearing Calculator'!$C$7))</f>
        <v>3150.7032957068736</v>
      </c>
      <c r="Y815" s="16">
        <f>('Gearing Calculator'!$U$9*9.81)*(('Gearing Calculator'!$C$7-'Gearing Calculator'!$U$16)/'Gearing Calculator'!$C$7)+(('Track Data'!W815)*('Gearing Calculator'!$U$17/'Gearing Calculator'!$C$7))</f>
        <v>-539.28129570687361</v>
      </c>
      <c r="Z815" s="16">
        <f>((X815*COS('Gearing Calculator'!$C$21))/'Gearing Calculator'!$C$22)/2</f>
        <v>97.409781077722045</v>
      </c>
      <c r="AA815" s="16">
        <f>Y815/'Gearing Calculator'!$C$24</f>
        <v>-7.5301756624424971</v>
      </c>
      <c r="AB815" s="16">
        <f t="shared" si="86"/>
        <v>190.46566505303912</v>
      </c>
      <c r="AC815" s="16">
        <v>75</v>
      </c>
      <c r="AD815" s="16">
        <v>0</v>
      </c>
      <c r="AE815" s="16">
        <v>812</v>
      </c>
      <c r="AF815" s="16">
        <f>IF(AC815=0,IF(O815=6,INDEX(Acceleration!$V$4:$V$110,MATCH('Track Data'!S815,Acceleration!$K$4:$K$110,0)),IF('Track Data'!O815=5,INDEX(Acceleration!$U$4:$U$110,MATCH('Track Data'!S815,Acceleration!$K$4:$K$110,0)),1)),U815)</f>
        <v>-12.968079387143963</v>
      </c>
      <c r="AG815" s="16">
        <f>IF(AC815=0,IF(O815=4,INDEX(Acceleration!$T$4:$T$110,MATCH('Track Data'!S815,Acceleration!$K$4:$K$110,0)),IF('Track Data'!O815=3,INDEX(Acceleration!$S$4:$S$110,MATCH('Track Data'!S815,Acceleration!$K$4:$K$110,0)),'Track Data'!AF815)),'Track Data'!U815)</f>
        <v>-12.968079387143963</v>
      </c>
      <c r="AH815" s="16">
        <f>IF(AC815=0,IF(O815=2,INDEX(Acceleration!$R$4:$R$110,MATCH('Track Data'!S815,Acceleration!$K$4:$K$110,0)),IF('Track Data'!O815=1,INDEX(Acceleration!$Q$4:$Q$110,MATCH('Track Data'!S815,Acceleration!$K$4:$K$110,0)),'Track Data'!AG815)),'Track Data'!U815)</f>
        <v>-12.968079387143963</v>
      </c>
    </row>
    <row r="816" spans="2:34" x14ac:dyDescent="0.25">
      <c r="B816" s="16">
        <v>219.61799999999999</v>
      </c>
      <c r="C816" s="16">
        <v>8086</v>
      </c>
      <c r="D816" s="16">
        <v>813</v>
      </c>
      <c r="E816" s="113">
        <v>135</v>
      </c>
      <c r="F816" s="113">
        <v>135</v>
      </c>
      <c r="G816" s="113">
        <v>127.6</v>
      </c>
      <c r="H816" s="113">
        <f t="shared" si="89"/>
        <v>35.444444444444443</v>
      </c>
      <c r="I816" s="113">
        <v>9.1</v>
      </c>
      <c r="J816" s="113">
        <v>72.319999999999993</v>
      </c>
      <c r="K816" s="113">
        <v>40.700000000000003</v>
      </c>
      <c r="L816" s="185"/>
      <c r="M816" s="16">
        <v>813</v>
      </c>
      <c r="N816" s="16">
        <f t="shared" si="91"/>
        <v>2.1017833334963879E-2</v>
      </c>
      <c r="O816" s="16">
        <v>4</v>
      </c>
      <c r="P816" s="16">
        <f t="shared" si="87"/>
        <v>9.1833785004516724</v>
      </c>
      <c r="Q816" s="16">
        <f t="shared" si="92"/>
        <v>47.578643529181768</v>
      </c>
      <c r="R816" s="113">
        <f t="shared" si="88"/>
        <v>329.49099999999999</v>
      </c>
      <c r="S816" s="16">
        <f>IF(S815=15800,15800,ROUND((((Q816*60)/'Gearing Calculator'!$C$14)*'Track Data'!P816),-2))</f>
        <v>13200</v>
      </c>
      <c r="T816" s="16">
        <f t="shared" si="90"/>
        <v>-12.968079387143963</v>
      </c>
      <c r="U816" s="16">
        <f>IF(AC816=100,Braking!$AG$2354,IF(AC816=50,Braking!$AG$1179,IF(AC816=75,Braking!$AG$1767,0)))</f>
        <v>-12.968079387143963</v>
      </c>
      <c r="V816" s="16">
        <f>0.5*'Gearing Calculator'!$C$15*'Gearing Calculator'!$C$20*'Gearing Calculator'!$W$20*('Track Data'!Q816^2)</f>
        <v>239.59289955694436</v>
      </c>
      <c r="W816" s="16">
        <f>('Gearing Calculator'!$U$9*'Track Data'!T816)+'Track Data'!V816</f>
        <v>-3212.5098333007786</v>
      </c>
      <c r="X816" s="16">
        <f>('Gearing Calculator'!$U$9*9.81)*('Gearing Calculator'!$U$16/'Gearing Calculator'!$C$7)-(('Track Data'!W816)*('Gearing Calculator'!$U$17/'Gearing Calculator'!$C$7))</f>
        <v>3152.1995534381876</v>
      </c>
      <c r="Y816" s="16">
        <f>('Gearing Calculator'!$U$9*9.81)*(('Gearing Calculator'!$C$7-'Gearing Calculator'!$U$16)/'Gearing Calculator'!$C$7)+(('Track Data'!W816)*('Gearing Calculator'!$U$17/'Gearing Calculator'!$C$7))</f>
        <v>-540.77755343818785</v>
      </c>
      <c r="Z816" s="16">
        <f>((X816*COS('Gearing Calculator'!$C$21))/'Gearing Calculator'!$C$22)/2</f>
        <v>97.456040634514252</v>
      </c>
      <c r="AA816" s="16">
        <f>Y816/'Gearing Calculator'!$C$24</f>
        <v>-7.5510684388891853</v>
      </c>
      <c r="AB816" s="16">
        <f t="shared" si="86"/>
        <v>187.72058200836852</v>
      </c>
      <c r="AC816" s="16">
        <v>75</v>
      </c>
      <c r="AD816" s="16">
        <v>0</v>
      </c>
      <c r="AE816" s="16">
        <v>813</v>
      </c>
      <c r="AF816" s="16">
        <f>IF(AC816=0,IF(O816=6,INDEX(Acceleration!$V$4:$V$110,MATCH('Track Data'!S816,Acceleration!$K$4:$K$110,0)),IF('Track Data'!O816=5,INDEX(Acceleration!$U$4:$U$110,MATCH('Track Data'!S816,Acceleration!$K$4:$K$110,0)),1)),U816)</f>
        <v>-12.968079387143963</v>
      </c>
      <c r="AG816" s="16">
        <f>IF(AC816=0,IF(O816=4,INDEX(Acceleration!$T$4:$T$110,MATCH('Track Data'!S816,Acceleration!$K$4:$K$110,0)),IF('Track Data'!O816=3,INDEX(Acceleration!$S$4:$S$110,MATCH('Track Data'!S816,Acceleration!$K$4:$K$110,0)),'Track Data'!AF816)),'Track Data'!U816)</f>
        <v>-12.968079387143963</v>
      </c>
      <c r="AH816" s="16">
        <f>IF(AC816=0,IF(O816=2,INDEX(Acceleration!$R$4:$R$110,MATCH('Track Data'!S816,Acceleration!$K$4:$K$110,0)),IF('Track Data'!O816=1,INDEX(Acceleration!$Q$4:$Q$110,MATCH('Track Data'!S816,Acceleration!$K$4:$K$110,0)),'Track Data'!AG816)),'Track Data'!U816)</f>
        <v>-12.968079387143963</v>
      </c>
    </row>
    <row r="817" spans="2:34" x14ac:dyDescent="0.25">
      <c r="B817" s="16">
        <v>219.64400000000001</v>
      </c>
      <c r="C817" s="16">
        <v>8087</v>
      </c>
      <c r="D817" s="16">
        <v>814</v>
      </c>
      <c r="E817" s="113">
        <v>135</v>
      </c>
      <c r="F817" s="113">
        <v>134.9</v>
      </c>
      <c r="G817" s="113">
        <v>127</v>
      </c>
      <c r="H817" s="113">
        <f t="shared" si="89"/>
        <v>35.277777777777779</v>
      </c>
      <c r="I817" s="113">
        <v>7.3</v>
      </c>
      <c r="J817" s="113">
        <v>72.319999999999993</v>
      </c>
      <c r="K817" s="113">
        <v>43.9</v>
      </c>
      <c r="L817" s="185"/>
      <c r="M817" s="16">
        <v>814</v>
      </c>
      <c r="N817" s="16">
        <f t="shared" si="91"/>
        <v>2.1139281542254917E-2</v>
      </c>
      <c r="O817" s="16">
        <v>4</v>
      </c>
      <c r="P817" s="16">
        <f t="shared" si="87"/>
        <v>9.1833785004516724</v>
      </c>
      <c r="Q817" s="16">
        <f t="shared" si="92"/>
        <v>47.305297391546567</v>
      </c>
      <c r="R817" s="113">
        <f t="shared" si="88"/>
        <v>329.49099999999999</v>
      </c>
      <c r="S817" s="16">
        <f>IF(S816=15800,15800,ROUND((((Q817*60)/'Gearing Calculator'!$C$14)*'Track Data'!P817),-2))</f>
        <v>13200</v>
      </c>
      <c r="T817" s="16">
        <f t="shared" si="90"/>
        <v>-12.968079387143963</v>
      </c>
      <c r="U817" s="16">
        <f>IF(AC817=100,Braking!$AG$2354,IF(AC817=50,Braking!$AG$1179,IF(AC817=75,Braking!$AG$1767,0)))</f>
        <v>-12.968079387143963</v>
      </c>
      <c r="V817" s="16">
        <f>0.5*'Gearing Calculator'!$C$15*'Gearing Calculator'!$C$20*'Gearing Calculator'!$W$20*('Track Data'!Q817^2)</f>
        <v>236.84781651227379</v>
      </c>
      <c r="W817" s="16">
        <f>('Gearing Calculator'!$U$9*'Track Data'!T817)+'Track Data'!V817</f>
        <v>-3215.2549163454491</v>
      </c>
      <c r="X817" s="16">
        <f>('Gearing Calculator'!$U$9*9.81)*('Gearing Calculator'!$U$16/'Gearing Calculator'!$C$7)-(('Track Data'!W817)*('Gearing Calculator'!$U$17/'Gearing Calculator'!$C$7))</f>
        <v>3153.6958111695021</v>
      </c>
      <c r="Y817" s="16">
        <f>('Gearing Calculator'!$U$9*9.81)*(('Gearing Calculator'!$C$7-'Gearing Calculator'!$U$16)/'Gearing Calculator'!$C$7)+(('Track Data'!W817)*('Gearing Calculator'!$U$17/'Gearing Calculator'!$C$7))</f>
        <v>-542.27381116950232</v>
      </c>
      <c r="Z817" s="16">
        <f>((X817*COS('Gearing Calculator'!$C$21))/'Gearing Calculator'!$C$22)/2</f>
        <v>97.502300191306475</v>
      </c>
      <c r="AA817" s="16">
        <f>Y817/'Gearing Calculator'!$C$24</f>
        <v>-7.5719612153358771</v>
      </c>
      <c r="AB817" s="16">
        <f t="shared" si="86"/>
        <v>184.97549896369793</v>
      </c>
      <c r="AC817" s="16">
        <v>75</v>
      </c>
      <c r="AD817" s="16">
        <v>0</v>
      </c>
      <c r="AE817" s="16">
        <v>814</v>
      </c>
      <c r="AF817" s="16">
        <f>IF(AC817=0,IF(O817=6,INDEX(Acceleration!$V$4:$V$110,MATCH('Track Data'!S817,Acceleration!$K$4:$K$110,0)),IF('Track Data'!O817=5,INDEX(Acceleration!$U$4:$U$110,MATCH('Track Data'!S817,Acceleration!$K$4:$K$110,0)),1)),U817)</f>
        <v>-12.968079387143963</v>
      </c>
      <c r="AG817" s="16">
        <f>IF(AC817=0,IF(O817=4,INDEX(Acceleration!$T$4:$T$110,MATCH('Track Data'!S817,Acceleration!$K$4:$K$110,0)),IF('Track Data'!O817=3,INDEX(Acceleration!$S$4:$S$110,MATCH('Track Data'!S817,Acceleration!$K$4:$K$110,0)),'Track Data'!AF817)),'Track Data'!U817)</f>
        <v>-12.968079387143963</v>
      </c>
      <c r="AH817" s="16">
        <f>IF(AC817=0,IF(O817=2,INDEX(Acceleration!$R$4:$R$110,MATCH('Track Data'!S817,Acceleration!$K$4:$K$110,0)),IF('Track Data'!O817=1,INDEX(Acceleration!$Q$4:$Q$110,MATCH('Track Data'!S817,Acceleration!$K$4:$K$110,0)),'Track Data'!AG817)),'Track Data'!U817)</f>
        <v>-12.968079387143963</v>
      </c>
    </row>
    <row r="818" spans="2:34" x14ac:dyDescent="0.25">
      <c r="B818" s="16">
        <v>219.67099999999999</v>
      </c>
      <c r="C818" s="16">
        <v>8088</v>
      </c>
      <c r="D818" s="16">
        <v>815</v>
      </c>
      <c r="E818" s="113">
        <v>134</v>
      </c>
      <c r="F818" s="113">
        <v>134.5</v>
      </c>
      <c r="G818" s="113">
        <v>126.4</v>
      </c>
      <c r="H818" s="113">
        <f t="shared" si="89"/>
        <v>35.111111111111114</v>
      </c>
      <c r="I818" s="113">
        <v>6.8</v>
      </c>
      <c r="J818" s="113">
        <v>70.89</v>
      </c>
      <c r="K818" s="113">
        <v>46.9</v>
      </c>
      <c r="L818" s="185"/>
      <c r="M818" s="16">
        <v>815</v>
      </c>
      <c r="N818" s="16">
        <f t="shared" si="91"/>
        <v>2.1262859683964307E-2</v>
      </c>
      <c r="O818" s="16">
        <v>4</v>
      </c>
      <c r="P818" s="16">
        <f t="shared" si="87"/>
        <v>9.1833785004516724</v>
      </c>
      <c r="Q818" s="16">
        <f t="shared" si="92"/>
        <v>47.03036256003535</v>
      </c>
      <c r="R818" s="113">
        <f t="shared" si="88"/>
        <v>329.49099999999999</v>
      </c>
      <c r="S818" s="16">
        <f>IF(S817=15800,15800,ROUND((((Q818*60)/'Gearing Calculator'!$C$14)*'Track Data'!P818),-2))</f>
        <v>13100</v>
      </c>
      <c r="T818" s="16">
        <f t="shared" si="90"/>
        <v>-12.968079387143963</v>
      </c>
      <c r="U818" s="16">
        <f>IF(AC818=100,Braking!$AG$2354,IF(AC818=50,Braking!$AG$1179,IF(AC818=75,Braking!$AG$1767,0)))</f>
        <v>-12.968079387143963</v>
      </c>
      <c r="V818" s="16">
        <f>0.5*'Gearing Calculator'!$C$15*'Gearing Calculator'!$C$20*'Gearing Calculator'!$W$20*('Track Data'!Q818^2)</f>
        <v>234.10273346760317</v>
      </c>
      <c r="W818" s="16">
        <f>('Gearing Calculator'!$U$9*'Track Data'!T818)+'Track Data'!V818</f>
        <v>-3217.9999993901197</v>
      </c>
      <c r="X818" s="16">
        <f>('Gearing Calculator'!$U$9*9.81)*('Gearing Calculator'!$U$16/'Gearing Calculator'!$C$7)-(('Track Data'!W818)*('Gearing Calculator'!$U$17/'Gearing Calculator'!$C$7))</f>
        <v>3155.1920689008166</v>
      </c>
      <c r="Y818" s="16">
        <f>('Gearing Calculator'!$U$9*9.81)*(('Gearing Calculator'!$C$7-'Gearing Calculator'!$U$16)/'Gearing Calculator'!$C$7)+(('Track Data'!W818)*('Gearing Calculator'!$U$17/'Gearing Calculator'!$C$7))</f>
        <v>-543.77006890081657</v>
      </c>
      <c r="Z818" s="16">
        <f>((X818*COS('Gearing Calculator'!$C$21))/'Gearing Calculator'!$C$22)/2</f>
        <v>97.548559748098697</v>
      </c>
      <c r="AA818" s="16">
        <f>Y818/'Gearing Calculator'!$C$24</f>
        <v>-7.5928539917825644</v>
      </c>
      <c r="AB818" s="16">
        <f t="shared" si="86"/>
        <v>182.23041591902734</v>
      </c>
      <c r="AC818" s="16">
        <v>75</v>
      </c>
      <c r="AD818" s="16">
        <v>0</v>
      </c>
      <c r="AE818" s="16">
        <v>815</v>
      </c>
      <c r="AF818" s="16">
        <f>IF(AC818=0,IF(O818=6,INDEX(Acceleration!$V$4:$V$110,MATCH('Track Data'!S818,Acceleration!$K$4:$K$110,0)),IF('Track Data'!O818=5,INDEX(Acceleration!$U$4:$U$110,MATCH('Track Data'!S818,Acceleration!$K$4:$K$110,0)),1)),U818)</f>
        <v>-12.968079387143963</v>
      </c>
      <c r="AG818" s="16">
        <f>IF(AC818=0,IF(O818=4,INDEX(Acceleration!$T$4:$T$110,MATCH('Track Data'!S818,Acceleration!$K$4:$K$110,0)),IF('Track Data'!O818=3,INDEX(Acceleration!$S$4:$S$110,MATCH('Track Data'!S818,Acceleration!$K$4:$K$110,0)),'Track Data'!AF818)),'Track Data'!U818)</f>
        <v>-12.968079387143963</v>
      </c>
      <c r="AH818" s="16">
        <f>IF(AC818=0,IF(O818=2,INDEX(Acceleration!$R$4:$R$110,MATCH('Track Data'!S818,Acceleration!$K$4:$K$110,0)),IF('Track Data'!O818=1,INDEX(Acceleration!$Q$4:$Q$110,MATCH('Track Data'!S818,Acceleration!$K$4:$K$110,0)),'Track Data'!AG818)),'Track Data'!U818)</f>
        <v>-12.968079387143963</v>
      </c>
    </row>
    <row r="819" spans="2:34" x14ac:dyDescent="0.25">
      <c r="B819" s="16">
        <v>219.697</v>
      </c>
      <c r="C819" s="16">
        <v>8089</v>
      </c>
      <c r="D819" s="16">
        <v>816</v>
      </c>
      <c r="E819" s="113">
        <v>134</v>
      </c>
      <c r="F819" s="113">
        <v>134.1</v>
      </c>
      <c r="G819" s="113">
        <v>126</v>
      </c>
      <c r="H819" s="113">
        <f t="shared" si="89"/>
        <v>35</v>
      </c>
      <c r="I819" s="113">
        <v>6.4</v>
      </c>
      <c r="J819" s="113">
        <v>75.680000000000007</v>
      </c>
      <c r="K819" s="113">
        <v>47.2</v>
      </c>
      <c r="L819" s="185"/>
      <c r="M819" s="16">
        <v>816</v>
      </c>
      <c r="N819" s="16">
        <f t="shared" si="91"/>
        <v>2.1388630754248853E-2</v>
      </c>
      <c r="O819" s="16">
        <v>4</v>
      </c>
      <c r="P819" s="16">
        <f t="shared" si="87"/>
        <v>9.1833785004516724</v>
      </c>
      <c r="Q819" s="16">
        <f t="shared" si="92"/>
        <v>46.753811007810768</v>
      </c>
      <c r="R819" s="113">
        <f t="shared" si="88"/>
        <v>329.49099999999999</v>
      </c>
      <c r="S819" s="16">
        <f>IF(S818=15800,15800,ROUND((((Q819*60)/'Gearing Calculator'!$C$14)*'Track Data'!P819),-2))</f>
        <v>13000</v>
      </c>
      <c r="T819" s="16">
        <f t="shared" si="90"/>
        <v>-12.968079387143963</v>
      </c>
      <c r="U819" s="16">
        <f>IF(AC819=100,Braking!$AG$2354,IF(AC819=50,Braking!$AG$1179,IF(AC819=75,Braking!$AG$1767,0)))</f>
        <v>-12.968079387143963</v>
      </c>
      <c r="V819" s="16">
        <f>0.5*'Gearing Calculator'!$C$15*'Gearing Calculator'!$C$20*'Gearing Calculator'!$W$20*('Track Data'!Q819^2)</f>
        <v>231.35765042293258</v>
      </c>
      <c r="W819" s="16">
        <f>('Gearing Calculator'!$U$9*'Track Data'!T819)+'Track Data'!V819</f>
        <v>-3220.7450824347902</v>
      </c>
      <c r="X819" s="16">
        <f>('Gearing Calculator'!$U$9*9.81)*('Gearing Calculator'!$U$16/'Gearing Calculator'!$C$7)-(('Track Data'!W819)*('Gearing Calculator'!$U$17/'Gearing Calculator'!$C$7))</f>
        <v>3156.6883266321311</v>
      </c>
      <c r="Y819" s="16">
        <f>('Gearing Calculator'!$U$9*9.81)*(('Gearing Calculator'!$C$7-'Gearing Calculator'!$U$16)/'Gearing Calculator'!$C$7)+(('Track Data'!W819)*('Gearing Calculator'!$U$17/'Gearing Calculator'!$C$7))</f>
        <v>-545.26632663213081</v>
      </c>
      <c r="Z819" s="16">
        <f>((X819*COS('Gearing Calculator'!$C$21))/'Gearing Calculator'!$C$22)/2</f>
        <v>97.594819304890919</v>
      </c>
      <c r="AA819" s="16">
        <f>Y819/'Gearing Calculator'!$C$24</f>
        <v>-7.6137467682292526</v>
      </c>
      <c r="AB819" s="16">
        <f t="shared" si="86"/>
        <v>179.48533287435674</v>
      </c>
      <c r="AC819" s="16">
        <v>75</v>
      </c>
      <c r="AD819" s="16">
        <v>0</v>
      </c>
      <c r="AE819" s="16">
        <v>816</v>
      </c>
      <c r="AF819" s="16">
        <f>IF(AC819=0,IF(O819=6,INDEX(Acceleration!$V$4:$V$110,MATCH('Track Data'!S819,Acceleration!$K$4:$K$110,0)),IF('Track Data'!O819=5,INDEX(Acceleration!$U$4:$U$110,MATCH('Track Data'!S819,Acceleration!$K$4:$K$110,0)),1)),U819)</f>
        <v>-12.968079387143963</v>
      </c>
      <c r="AG819" s="16">
        <f>IF(AC819=0,IF(O819=4,INDEX(Acceleration!$T$4:$T$110,MATCH('Track Data'!S819,Acceleration!$K$4:$K$110,0)),IF('Track Data'!O819=3,INDEX(Acceleration!$S$4:$S$110,MATCH('Track Data'!S819,Acceleration!$K$4:$K$110,0)),'Track Data'!AF819)),'Track Data'!U819)</f>
        <v>-12.968079387143963</v>
      </c>
      <c r="AH819" s="16">
        <f>IF(AC819=0,IF(O819=2,INDEX(Acceleration!$R$4:$R$110,MATCH('Track Data'!S819,Acceleration!$K$4:$K$110,0)),IF('Track Data'!O819=1,INDEX(Acceleration!$Q$4:$Q$110,MATCH('Track Data'!S819,Acceleration!$K$4:$K$110,0)),'Track Data'!AG819)),'Track Data'!U819)</f>
        <v>-12.968079387143963</v>
      </c>
    </row>
    <row r="820" spans="2:34" x14ac:dyDescent="0.25">
      <c r="B820" s="16">
        <v>219.72399999999999</v>
      </c>
      <c r="C820" s="16">
        <v>8090</v>
      </c>
      <c r="D820" s="16">
        <v>817</v>
      </c>
      <c r="E820" s="113">
        <v>134</v>
      </c>
      <c r="F820" s="113">
        <v>133.5</v>
      </c>
      <c r="G820" s="113">
        <v>125.3</v>
      </c>
      <c r="H820" s="113">
        <f t="shared" si="89"/>
        <v>34.805555555555557</v>
      </c>
      <c r="I820" s="113">
        <v>7.3</v>
      </c>
      <c r="J820" s="113">
        <v>77.290000000000006</v>
      </c>
      <c r="K820" s="113">
        <v>46.5</v>
      </c>
      <c r="L820" s="185"/>
      <c r="M820" s="16">
        <v>817</v>
      </c>
      <c r="N820" s="16">
        <f t="shared" si="91"/>
        <v>2.1516660386836545E-2</v>
      </c>
      <c r="O820" s="16">
        <v>4</v>
      </c>
      <c r="P820" s="16">
        <f t="shared" si="87"/>
        <v>9.1833785004516724</v>
      </c>
      <c r="Q820" s="16">
        <f t="shared" si="92"/>
        <v>46.475613874157702</v>
      </c>
      <c r="R820" s="113">
        <f t="shared" si="88"/>
        <v>329.49099999999999</v>
      </c>
      <c r="S820" s="16">
        <f>IF(S819=15800,15800,ROUND((((Q820*60)/'Gearing Calculator'!$C$14)*'Track Data'!P820),-2))</f>
        <v>12900</v>
      </c>
      <c r="T820" s="16">
        <f t="shared" si="90"/>
        <v>-12.968079387143963</v>
      </c>
      <c r="U820" s="16">
        <f>IF(AC820=100,Braking!$AG$2354,IF(AC820=50,Braking!$AG$1179,IF(AC820=75,Braking!$AG$1767,0)))</f>
        <v>-12.968079387143963</v>
      </c>
      <c r="V820" s="16">
        <f>0.5*'Gearing Calculator'!$C$15*'Gearing Calculator'!$C$20*'Gearing Calculator'!$W$20*('Track Data'!Q820^2)</f>
        <v>228.61256737826201</v>
      </c>
      <c r="W820" s="16">
        <f>('Gearing Calculator'!$U$9*'Track Data'!T820)+'Track Data'!V820</f>
        <v>-3223.4901654794608</v>
      </c>
      <c r="X820" s="16">
        <f>('Gearing Calculator'!$U$9*9.81)*('Gearing Calculator'!$U$16/'Gearing Calculator'!$C$7)-(('Track Data'!W820)*('Gearing Calculator'!$U$17/'Gearing Calculator'!$C$7))</f>
        <v>3158.1845843634455</v>
      </c>
      <c r="Y820" s="16">
        <f>('Gearing Calculator'!$U$9*9.81)*(('Gearing Calculator'!$C$7-'Gearing Calculator'!$U$16)/'Gearing Calculator'!$C$7)+(('Track Data'!W820)*('Gearing Calculator'!$U$17/'Gearing Calculator'!$C$7))</f>
        <v>-546.76258436344528</v>
      </c>
      <c r="Z820" s="16">
        <f>((X820*COS('Gearing Calculator'!$C$21))/'Gearing Calculator'!$C$22)/2</f>
        <v>97.641078861683127</v>
      </c>
      <c r="AA820" s="16">
        <f>Y820/'Gearing Calculator'!$C$24</f>
        <v>-7.6346395446759434</v>
      </c>
      <c r="AB820" s="16">
        <f t="shared" si="86"/>
        <v>176.74024982968615</v>
      </c>
      <c r="AC820" s="16">
        <v>75</v>
      </c>
      <c r="AD820" s="16">
        <v>0</v>
      </c>
      <c r="AE820" s="16">
        <v>817</v>
      </c>
      <c r="AF820" s="16">
        <f>IF(AC820=0,IF(O820=6,INDEX(Acceleration!$V$4:$V$110,MATCH('Track Data'!S820,Acceleration!$K$4:$K$110,0)),IF('Track Data'!O820=5,INDEX(Acceleration!$U$4:$U$110,MATCH('Track Data'!S820,Acceleration!$K$4:$K$110,0)),1)),U820)</f>
        <v>-12.968079387143963</v>
      </c>
      <c r="AG820" s="16">
        <f>IF(AC820=0,IF(O820=4,INDEX(Acceleration!$T$4:$T$110,MATCH('Track Data'!S820,Acceleration!$K$4:$K$110,0)),IF('Track Data'!O820=3,INDEX(Acceleration!$S$4:$S$110,MATCH('Track Data'!S820,Acceleration!$K$4:$K$110,0)),'Track Data'!AF820)),'Track Data'!U820)</f>
        <v>-12.968079387143963</v>
      </c>
      <c r="AH820" s="16">
        <f>IF(AC820=0,IF(O820=2,INDEX(Acceleration!$R$4:$R$110,MATCH('Track Data'!S820,Acceleration!$K$4:$K$110,0)),IF('Track Data'!O820=1,INDEX(Acceleration!$Q$4:$Q$110,MATCH('Track Data'!S820,Acceleration!$K$4:$K$110,0)),'Track Data'!AG820)),'Track Data'!U820)</f>
        <v>-12.968079387143963</v>
      </c>
    </row>
    <row r="821" spans="2:34" x14ac:dyDescent="0.25">
      <c r="B821" s="16">
        <v>219.751</v>
      </c>
      <c r="C821" s="16">
        <v>8091</v>
      </c>
      <c r="D821" s="16">
        <v>818</v>
      </c>
      <c r="E821" s="113">
        <v>133</v>
      </c>
      <c r="F821" s="113">
        <v>132.5</v>
      </c>
      <c r="G821" s="113">
        <v>124.7</v>
      </c>
      <c r="H821" s="113">
        <f t="shared" si="89"/>
        <v>34.638888888888886</v>
      </c>
      <c r="I821" s="113">
        <v>9.6</v>
      </c>
      <c r="J821" s="113">
        <v>82.68</v>
      </c>
      <c r="K821" s="113">
        <v>45.7</v>
      </c>
      <c r="L821" s="185"/>
      <c r="M821" s="16">
        <v>818</v>
      </c>
      <c r="N821" s="16">
        <f t="shared" si="91"/>
        <v>2.1647016998954237E-2</v>
      </c>
      <c r="O821" s="16">
        <v>4</v>
      </c>
      <c r="P821" s="16">
        <f t="shared" si="87"/>
        <v>9.1833785004516724</v>
      </c>
      <c r="Q821" s="16">
        <f t="shared" si="92"/>
        <v>46.195741429329956</v>
      </c>
      <c r="R821" s="113">
        <f t="shared" si="88"/>
        <v>329.49099999999999</v>
      </c>
      <c r="S821" s="16">
        <f>IF(S820=15800,15800,ROUND((((Q821*60)/'Gearing Calculator'!$C$14)*'Track Data'!P821),-2))</f>
        <v>12900</v>
      </c>
      <c r="T821" s="16">
        <f t="shared" si="90"/>
        <v>-12.968079387143963</v>
      </c>
      <c r="U821" s="16">
        <f>IF(AC821=100,Braking!$AG$2354,IF(AC821=50,Braking!$AG$1179,IF(AC821=75,Braking!$AG$1767,0)))</f>
        <v>-12.968079387143963</v>
      </c>
      <c r="V821" s="16">
        <f>0.5*'Gearing Calculator'!$C$15*'Gearing Calculator'!$C$20*'Gearing Calculator'!$W$20*('Track Data'!Q821^2)</f>
        <v>225.86748433359139</v>
      </c>
      <c r="W821" s="16">
        <f>('Gearing Calculator'!$U$9*'Track Data'!T821)+'Track Data'!V821</f>
        <v>-3226.2352485241317</v>
      </c>
      <c r="X821" s="16">
        <f>('Gearing Calculator'!$U$9*9.81)*('Gearing Calculator'!$U$16/'Gearing Calculator'!$C$7)-(('Track Data'!W821)*('Gearing Calculator'!$U$17/'Gearing Calculator'!$C$7))</f>
        <v>3159.68084209476</v>
      </c>
      <c r="Y821" s="16">
        <f>('Gearing Calculator'!$U$9*9.81)*(('Gearing Calculator'!$C$7-'Gearing Calculator'!$U$16)/'Gearing Calculator'!$C$7)+(('Track Data'!W821)*('Gearing Calculator'!$U$17/'Gearing Calculator'!$C$7))</f>
        <v>-548.25884209475976</v>
      </c>
      <c r="Z821" s="16">
        <f>((X821*COS('Gearing Calculator'!$C$21))/'Gearing Calculator'!$C$22)/2</f>
        <v>97.687338418475349</v>
      </c>
      <c r="AA821" s="16">
        <f>Y821/'Gearing Calculator'!$C$24</f>
        <v>-7.6555323211226352</v>
      </c>
      <c r="AB821" s="16">
        <f t="shared" si="86"/>
        <v>173.99516678501556</v>
      </c>
      <c r="AC821" s="16">
        <v>75</v>
      </c>
      <c r="AD821" s="16">
        <v>0</v>
      </c>
      <c r="AE821" s="16">
        <v>818</v>
      </c>
      <c r="AF821" s="16">
        <f>IF(AC821=0,IF(O821=6,INDEX(Acceleration!$V$4:$V$110,MATCH('Track Data'!S821,Acceleration!$K$4:$K$110,0)),IF('Track Data'!O821=5,INDEX(Acceleration!$U$4:$U$110,MATCH('Track Data'!S821,Acceleration!$K$4:$K$110,0)),1)),U821)</f>
        <v>-12.968079387143963</v>
      </c>
      <c r="AG821" s="16">
        <f>IF(AC821=0,IF(O821=4,INDEX(Acceleration!$T$4:$T$110,MATCH('Track Data'!S821,Acceleration!$K$4:$K$110,0)),IF('Track Data'!O821=3,INDEX(Acceleration!$S$4:$S$110,MATCH('Track Data'!S821,Acceleration!$K$4:$K$110,0)),'Track Data'!AF821)),'Track Data'!U821)</f>
        <v>-12.968079387143963</v>
      </c>
      <c r="AH821" s="16">
        <f>IF(AC821=0,IF(O821=2,INDEX(Acceleration!$R$4:$R$110,MATCH('Track Data'!S821,Acceleration!$K$4:$K$110,0)),IF('Track Data'!O821=1,INDEX(Acceleration!$Q$4:$Q$110,MATCH('Track Data'!S821,Acceleration!$K$4:$K$110,0)),'Track Data'!AG821)),'Track Data'!U821)</f>
        <v>-12.968079387143963</v>
      </c>
    </row>
    <row r="822" spans="2:34" x14ac:dyDescent="0.25">
      <c r="B822" s="16">
        <v>219.77799999999999</v>
      </c>
      <c r="C822" s="16">
        <v>8092</v>
      </c>
      <c r="D822" s="16">
        <v>819</v>
      </c>
      <c r="E822" s="113">
        <v>133</v>
      </c>
      <c r="F822" s="113">
        <v>132.19999999999999</v>
      </c>
      <c r="G822" s="113">
        <v>124.3</v>
      </c>
      <c r="H822" s="113">
        <f t="shared" si="89"/>
        <v>34.527777777777779</v>
      </c>
      <c r="I822" s="113">
        <v>10.1</v>
      </c>
      <c r="J822" s="113">
        <v>83</v>
      </c>
      <c r="K822" s="113">
        <v>45.5</v>
      </c>
      <c r="L822" s="185"/>
      <c r="M822" s="16">
        <v>819</v>
      </c>
      <c r="N822" s="16">
        <f t="shared" si="91"/>
        <v>2.1779771944964957E-2</v>
      </c>
      <c r="O822" s="16">
        <v>4</v>
      </c>
      <c r="P822" s="16">
        <f t="shared" si="87"/>
        <v>9.1833785004516724</v>
      </c>
      <c r="Q822" s="16">
        <f t="shared" si="92"/>
        <v>45.914163037468342</v>
      </c>
      <c r="R822" s="113">
        <f t="shared" si="88"/>
        <v>329.49099999999999</v>
      </c>
      <c r="S822" s="16">
        <f>IF(S821=15800,15800,ROUND((((Q822*60)/'Gearing Calculator'!$C$14)*'Track Data'!P822),-2))</f>
        <v>12800</v>
      </c>
      <c r="T822" s="16">
        <f t="shared" si="90"/>
        <v>-12.968079387143963</v>
      </c>
      <c r="U822" s="16">
        <f>IF(AC822=100,Braking!$AG$2354,IF(AC822=50,Braking!$AG$1179,IF(AC822=75,Braking!$AG$1767,0)))</f>
        <v>-12.968079387143963</v>
      </c>
      <c r="V822" s="16">
        <f>0.5*'Gearing Calculator'!$C$15*'Gearing Calculator'!$C$20*'Gearing Calculator'!$W$20*('Track Data'!Q822^2)</f>
        <v>223.12240128892071</v>
      </c>
      <c r="W822" s="16">
        <f>('Gearing Calculator'!$U$9*'Track Data'!T822)+'Track Data'!V822</f>
        <v>-3228.9803315688023</v>
      </c>
      <c r="X822" s="16">
        <f>('Gearing Calculator'!$U$9*9.81)*('Gearing Calculator'!$U$16/'Gearing Calculator'!$C$7)-(('Track Data'!W822)*('Gearing Calculator'!$U$17/'Gearing Calculator'!$C$7))</f>
        <v>3161.1770998260745</v>
      </c>
      <c r="Y822" s="16">
        <f>('Gearing Calculator'!$U$9*9.81)*(('Gearing Calculator'!$C$7-'Gearing Calculator'!$U$16)/'Gearing Calculator'!$C$7)+(('Track Data'!W822)*('Gearing Calculator'!$U$17/'Gearing Calculator'!$C$7))</f>
        <v>-549.75509982607423</v>
      </c>
      <c r="Z822" s="16">
        <f>((X822*COS('Gearing Calculator'!$C$21))/'Gearing Calculator'!$C$22)/2</f>
        <v>97.733597975267571</v>
      </c>
      <c r="AA822" s="16">
        <f>Y822/'Gearing Calculator'!$C$24</f>
        <v>-7.676425097569326</v>
      </c>
      <c r="AB822" s="16">
        <f t="shared" ref="AB822:AB885" si="93">(T822*O822)+V822</f>
        <v>171.25008374034485</v>
      </c>
      <c r="AC822" s="16">
        <v>75</v>
      </c>
      <c r="AD822" s="16">
        <v>0</v>
      </c>
      <c r="AE822" s="16">
        <v>819</v>
      </c>
      <c r="AF822" s="16">
        <f>IF(AC822=0,IF(O822=6,INDEX(Acceleration!$V$4:$V$110,MATCH('Track Data'!S822,Acceleration!$K$4:$K$110,0)),IF('Track Data'!O822=5,INDEX(Acceleration!$U$4:$U$110,MATCH('Track Data'!S822,Acceleration!$K$4:$K$110,0)),1)),U822)</f>
        <v>-12.968079387143963</v>
      </c>
      <c r="AG822" s="16">
        <f>IF(AC822=0,IF(O822=4,INDEX(Acceleration!$T$4:$T$110,MATCH('Track Data'!S822,Acceleration!$K$4:$K$110,0)),IF('Track Data'!O822=3,INDEX(Acceleration!$S$4:$S$110,MATCH('Track Data'!S822,Acceleration!$K$4:$K$110,0)),'Track Data'!AF822)),'Track Data'!U822)</f>
        <v>-12.968079387143963</v>
      </c>
      <c r="AH822" s="16">
        <f>IF(AC822=0,IF(O822=2,INDEX(Acceleration!$R$4:$R$110,MATCH('Track Data'!S822,Acceleration!$K$4:$K$110,0)),IF('Track Data'!O822=1,INDEX(Acceleration!$Q$4:$Q$110,MATCH('Track Data'!S822,Acceleration!$K$4:$K$110,0)),'Track Data'!AG822)),'Track Data'!U822)</f>
        <v>-12.968079387143963</v>
      </c>
    </row>
    <row r="823" spans="2:34" x14ac:dyDescent="0.25">
      <c r="B823" s="16">
        <v>219.80600000000001</v>
      </c>
      <c r="C823" s="16">
        <v>8093</v>
      </c>
      <c r="D823" s="16">
        <v>820</v>
      </c>
      <c r="E823" s="113">
        <v>133</v>
      </c>
      <c r="F823" s="113">
        <v>131.80000000000001</v>
      </c>
      <c r="G823" s="113">
        <v>123.7</v>
      </c>
      <c r="H823" s="113">
        <f t="shared" si="89"/>
        <v>34.361111111111114</v>
      </c>
      <c r="I823" s="113">
        <v>11.1</v>
      </c>
      <c r="J823" s="113">
        <v>80.92</v>
      </c>
      <c r="K823" s="113">
        <v>45.5</v>
      </c>
      <c r="L823" s="185"/>
      <c r="M823" s="16">
        <v>820</v>
      </c>
      <c r="N823" s="16">
        <f t="shared" si="91"/>
        <v>2.1914999680498617E-2</v>
      </c>
      <c r="O823" s="16">
        <v>4</v>
      </c>
      <c r="P823" s="16">
        <f t="shared" si="87"/>
        <v>9.1833785004516724</v>
      </c>
      <c r="Q823" s="16">
        <f t="shared" si="92"/>
        <v>45.630847117459219</v>
      </c>
      <c r="R823" s="113">
        <f t="shared" si="88"/>
        <v>329.49099999999999</v>
      </c>
      <c r="S823" s="16">
        <f>IF(S822=15800,15800,ROUND((((Q823*60)/'Gearing Calculator'!$C$14)*'Track Data'!P823),-2))</f>
        <v>12700</v>
      </c>
      <c r="T823" s="16">
        <f t="shared" si="90"/>
        <v>-12.968079387143963</v>
      </c>
      <c r="U823" s="16">
        <f>IF(AC823=100,Braking!$AG$2354,IF(AC823=50,Braking!$AG$1179,IF(AC823=75,Braking!$AG$1767,0)))</f>
        <v>-12.968079387143963</v>
      </c>
      <c r="V823" s="16">
        <f>0.5*'Gearing Calculator'!$C$15*'Gearing Calculator'!$C$20*'Gearing Calculator'!$W$20*('Track Data'!Q823^2)</f>
        <v>220.37731824425009</v>
      </c>
      <c r="W823" s="16">
        <f>('Gearing Calculator'!$U$9*'Track Data'!T823)+'Track Data'!V823</f>
        <v>-3231.7254146134728</v>
      </c>
      <c r="X823" s="16">
        <f>('Gearing Calculator'!$U$9*9.81)*('Gearing Calculator'!$U$16/'Gearing Calculator'!$C$7)-(('Track Data'!W823)*('Gearing Calculator'!$U$17/'Gearing Calculator'!$C$7))</f>
        <v>3162.6733575573885</v>
      </c>
      <c r="Y823" s="16">
        <f>('Gearing Calculator'!$U$9*9.81)*(('Gearing Calculator'!$C$7-'Gearing Calculator'!$U$16)/'Gearing Calculator'!$C$7)+(('Track Data'!W823)*('Gearing Calculator'!$U$17/'Gearing Calculator'!$C$7))</f>
        <v>-551.25135755738847</v>
      </c>
      <c r="Z823" s="16">
        <f>((X823*COS('Gearing Calculator'!$C$21))/'Gearing Calculator'!$C$22)/2</f>
        <v>97.779857532059779</v>
      </c>
      <c r="AA823" s="16">
        <f>Y823/'Gearing Calculator'!$C$24</f>
        <v>-7.6973178740160142</v>
      </c>
      <c r="AB823" s="16">
        <f t="shared" si="93"/>
        <v>168.50500069567425</v>
      </c>
      <c r="AC823" s="16">
        <v>75</v>
      </c>
      <c r="AD823" s="16">
        <v>0</v>
      </c>
      <c r="AE823" s="16">
        <v>820</v>
      </c>
      <c r="AF823" s="16">
        <f>IF(AC823=0,IF(O823=6,INDEX(Acceleration!$V$4:$V$110,MATCH('Track Data'!S823,Acceleration!$K$4:$K$110,0)),IF('Track Data'!O823=5,INDEX(Acceleration!$U$4:$U$110,MATCH('Track Data'!S823,Acceleration!$K$4:$K$110,0)),1)),U823)</f>
        <v>-12.968079387143963</v>
      </c>
      <c r="AG823" s="16">
        <f>IF(AC823=0,IF(O823=4,INDEX(Acceleration!$T$4:$T$110,MATCH('Track Data'!S823,Acceleration!$K$4:$K$110,0)),IF('Track Data'!O823=3,INDEX(Acceleration!$S$4:$S$110,MATCH('Track Data'!S823,Acceleration!$K$4:$K$110,0)),'Track Data'!AF823)),'Track Data'!U823)</f>
        <v>-12.968079387143963</v>
      </c>
      <c r="AH823" s="16">
        <f>IF(AC823=0,IF(O823=2,INDEX(Acceleration!$R$4:$R$110,MATCH('Track Data'!S823,Acceleration!$K$4:$K$110,0)),IF('Track Data'!O823=1,INDEX(Acceleration!$Q$4:$Q$110,MATCH('Track Data'!S823,Acceleration!$K$4:$K$110,0)),'Track Data'!AG823)),'Track Data'!U823)</f>
        <v>-12.968079387143963</v>
      </c>
    </row>
    <row r="824" spans="2:34" x14ac:dyDescent="0.25">
      <c r="B824" s="16">
        <v>219.833</v>
      </c>
      <c r="C824" s="16">
        <v>8094</v>
      </c>
      <c r="D824" s="16">
        <v>821</v>
      </c>
      <c r="E824" s="113">
        <v>132</v>
      </c>
      <c r="F824" s="113">
        <v>131.30000000000001</v>
      </c>
      <c r="G824" s="113">
        <v>123.1</v>
      </c>
      <c r="H824" s="113">
        <f t="shared" si="89"/>
        <v>34.194444444444443</v>
      </c>
      <c r="I824" s="113">
        <v>10.1</v>
      </c>
      <c r="J824" s="113">
        <v>80.92</v>
      </c>
      <c r="K824" s="113">
        <v>45.5</v>
      </c>
      <c r="L824" s="185"/>
      <c r="M824" s="16">
        <v>821</v>
      </c>
      <c r="N824" s="16">
        <f t="shared" si="91"/>
        <v>2.205277793793373E-2</v>
      </c>
      <c r="O824" s="16">
        <v>4</v>
      </c>
      <c r="P824" s="16">
        <f t="shared" si="87"/>
        <v>9.1833785004516724</v>
      </c>
      <c r="Q824" s="16">
        <f t="shared" si="92"/>
        <v>45.345761101591933</v>
      </c>
      <c r="R824" s="113">
        <f t="shared" si="88"/>
        <v>329.49099999999999</v>
      </c>
      <c r="S824" s="16">
        <f>IF(S823=15800,15800,ROUND((((Q824*60)/'Gearing Calculator'!$C$14)*'Track Data'!P824),-2))</f>
        <v>12600</v>
      </c>
      <c r="T824" s="16">
        <f t="shared" si="90"/>
        <v>-12.968079387143963</v>
      </c>
      <c r="U824" s="16">
        <f>IF(AC824=100,Braking!$AG$2354,IF(AC824=50,Braking!$AG$1179,IF(AC824=75,Braking!$AG$1767,0)))</f>
        <v>-12.968079387143963</v>
      </c>
      <c r="V824" s="16">
        <f>0.5*'Gearing Calculator'!$C$15*'Gearing Calculator'!$C$20*'Gearing Calculator'!$W$20*('Track Data'!Q824^2)</f>
        <v>217.63223519957941</v>
      </c>
      <c r="W824" s="16">
        <f>('Gearing Calculator'!$U$9*'Track Data'!T824)+'Track Data'!V824</f>
        <v>-3234.4704976581434</v>
      </c>
      <c r="X824" s="16">
        <f>('Gearing Calculator'!$U$9*9.81)*('Gearing Calculator'!$U$16/'Gearing Calculator'!$C$7)-(('Track Data'!W824)*('Gearing Calculator'!$U$17/'Gearing Calculator'!$C$7))</f>
        <v>3164.169615288703</v>
      </c>
      <c r="Y824" s="16">
        <f>('Gearing Calculator'!$U$9*9.81)*(('Gearing Calculator'!$C$7-'Gearing Calculator'!$U$16)/'Gearing Calculator'!$C$7)+(('Track Data'!W824)*('Gearing Calculator'!$U$17/'Gearing Calculator'!$C$7))</f>
        <v>-552.74761528870295</v>
      </c>
      <c r="Z824" s="16">
        <f>((X824*COS('Gearing Calculator'!$C$21))/'Gearing Calculator'!$C$22)/2</f>
        <v>97.826117088852001</v>
      </c>
      <c r="AA824" s="16">
        <f>Y824/'Gearing Calculator'!$C$24</f>
        <v>-7.718210650462705</v>
      </c>
      <c r="AB824" s="16">
        <f t="shared" si="93"/>
        <v>165.75991765100355</v>
      </c>
      <c r="AC824" s="16">
        <v>75</v>
      </c>
      <c r="AD824" s="16">
        <v>0</v>
      </c>
      <c r="AE824" s="16">
        <v>821</v>
      </c>
      <c r="AF824" s="16">
        <f>IF(AC824=0,IF(O824=6,INDEX(Acceleration!$V$4:$V$110,MATCH('Track Data'!S824,Acceleration!$K$4:$K$110,0)),IF('Track Data'!O824=5,INDEX(Acceleration!$U$4:$U$110,MATCH('Track Data'!S824,Acceleration!$K$4:$K$110,0)),1)),U824)</f>
        <v>-12.968079387143963</v>
      </c>
      <c r="AG824" s="16">
        <f>IF(AC824=0,IF(O824=4,INDEX(Acceleration!$T$4:$T$110,MATCH('Track Data'!S824,Acceleration!$K$4:$K$110,0)),IF('Track Data'!O824=3,INDEX(Acceleration!$S$4:$S$110,MATCH('Track Data'!S824,Acceleration!$K$4:$K$110,0)),'Track Data'!AF824)),'Track Data'!U824)</f>
        <v>-12.968079387143963</v>
      </c>
      <c r="AH824" s="16">
        <f>IF(AC824=0,IF(O824=2,INDEX(Acceleration!$R$4:$R$110,MATCH('Track Data'!S824,Acceleration!$K$4:$K$110,0)),IF('Track Data'!O824=1,INDEX(Acceleration!$Q$4:$Q$110,MATCH('Track Data'!S824,Acceleration!$K$4:$K$110,0)),'Track Data'!AG824)),'Track Data'!U824)</f>
        <v>-12.968079387143963</v>
      </c>
    </row>
    <row r="825" spans="2:34" x14ac:dyDescent="0.25">
      <c r="B825" s="16">
        <v>219.86</v>
      </c>
      <c r="C825" s="16">
        <v>8095</v>
      </c>
      <c r="D825" s="16">
        <v>822</v>
      </c>
      <c r="E825" s="113">
        <v>131</v>
      </c>
      <c r="F825" s="113">
        <v>131.30000000000001</v>
      </c>
      <c r="G825" s="113">
        <v>122.6</v>
      </c>
      <c r="H825" s="113">
        <f t="shared" si="89"/>
        <v>34.05555555555555</v>
      </c>
      <c r="I825" s="113">
        <v>9.1</v>
      </c>
      <c r="J825" s="113">
        <v>78.67</v>
      </c>
      <c r="K825" s="113">
        <v>45.9</v>
      </c>
      <c r="L825" s="185"/>
      <c r="M825" s="16">
        <v>822</v>
      </c>
      <c r="N825" s="16">
        <f t="shared" si="91"/>
        <v>2.2193187914169729E-2</v>
      </c>
      <c r="O825" s="16">
        <v>4</v>
      </c>
      <c r="P825" s="16">
        <f t="shared" si="87"/>
        <v>9.1833785004516724</v>
      </c>
      <c r="Q825" s="16">
        <f t="shared" si="92"/>
        <v>45.058871391862006</v>
      </c>
      <c r="R825" s="113">
        <f t="shared" si="88"/>
        <v>329.49099999999999</v>
      </c>
      <c r="S825" s="16">
        <f>IF(S824=15800,15800,ROUND((((Q825*60)/'Gearing Calculator'!$C$14)*'Track Data'!P825),-2))</f>
        <v>12500</v>
      </c>
      <c r="T825" s="16">
        <f t="shared" si="90"/>
        <v>-12.968079387143963</v>
      </c>
      <c r="U825" s="16">
        <f>IF(AC825=100,Braking!$AG$2354,IF(AC825=50,Braking!$AG$1179,IF(AC825=75,Braking!$AG$1767,0)))</f>
        <v>-12.968079387143963</v>
      </c>
      <c r="V825" s="16">
        <f>0.5*'Gearing Calculator'!$C$15*'Gearing Calculator'!$C$20*'Gearing Calculator'!$W$20*('Track Data'!Q825^2)</f>
        <v>214.88715215490882</v>
      </c>
      <c r="W825" s="16">
        <f>('Gearing Calculator'!$U$9*'Track Data'!T825)+'Track Data'!V825</f>
        <v>-3237.2155807028139</v>
      </c>
      <c r="X825" s="16">
        <f>('Gearing Calculator'!$U$9*9.81)*('Gearing Calculator'!$U$16/'Gearing Calculator'!$C$7)-(('Track Data'!W825)*('Gearing Calculator'!$U$17/'Gearing Calculator'!$C$7))</f>
        <v>3165.665873020017</v>
      </c>
      <c r="Y825" s="16">
        <f>('Gearing Calculator'!$U$9*9.81)*(('Gearing Calculator'!$C$7-'Gearing Calculator'!$U$16)/'Gearing Calculator'!$C$7)+(('Track Data'!W825)*('Gearing Calculator'!$U$17/'Gearing Calculator'!$C$7))</f>
        <v>-554.24387302001719</v>
      </c>
      <c r="Z825" s="16">
        <f>((X825*COS('Gearing Calculator'!$C$21))/'Gearing Calculator'!$C$22)/2</f>
        <v>97.872376645644223</v>
      </c>
      <c r="AA825" s="16">
        <f>Y825/'Gearing Calculator'!$C$24</f>
        <v>-7.7391034269093932</v>
      </c>
      <c r="AB825" s="16">
        <f t="shared" si="93"/>
        <v>163.01483460633295</v>
      </c>
      <c r="AC825" s="16">
        <v>75</v>
      </c>
      <c r="AD825" s="16">
        <v>0</v>
      </c>
      <c r="AE825" s="16">
        <v>822</v>
      </c>
      <c r="AF825" s="16">
        <f>IF(AC825=0,IF(O825=6,INDEX(Acceleration!$V$4:$V$110,MATCH('Track Data'!S825,Acceleration!$K$4:$K$110,0)),IF('Track Data'!O825=5,INDEX(Acceleration!$U$4:$U$110,MATCH('Track Data'!S825,Acceleration!$K$4:$K$110,0)),1)),U825)</f>
        <v>-12.968079387143963</v>
      </c>
      <c r="AG825" s="16">
        <f>IF(AC825=0,IF(O825=4,INDEX(Acceleration!$T$4:$T$110,MATCH('Track Data'!S825,Acceleration!$K$4:$K$110,0)),IF('Track Data'!O825=3,INDEX(Acceleration!$S$4:$S$110,MATCH('Track Data'!S825,Acceleration!$K$4:$K$110,0)),'Track Data'!AF825)),'Track Data'!U825)</f>
        <v>-12.968079387143963</v>
      </c>
      <c r="AH825" s="16">
        <f>IF(AC825=0,IF(O825=2,INDEX(Acceleration!$R$4:$R$110,MATCH('Track Data'!S825,Acceleration!$K$4:$K$110,0)),IF('Track Data'!O825=1,INDEX(Acceleration!$Q$4:$Q$110,MATCH('Track Data'!S825,Acceleration!$K$4:$K$110,0)),'Track Data'!AG825)),'Track Data'!U825)</f>
        <v>-12.968079387143963</v>
      </c>
    </row>
    <row r="826" spans="2:34" x14ac:dyDescent="0.25">
      <c r="B826" s="16">
        <v>219.887</v>
      </c>
      <c r="C826" s="16">
        <v>8096</v>
      </c>
      <c r="D826" s="16">
        <v>823</v>
      </c>
      <c r="E826" s="113">
        <v>131</v>
      </c>
      <c r="F826" s="113">
        <v>131.30000000000001</v>
      </c>
      <c r="G826" s="113">
        <v>122.3</v>
      </c>
      <c r="H826" s="113">
        <f t="shared" si="89"/>
        <v>33.972222222222221</v>
      </c>
      <c r="I826" s="113">
        <v>9.1</v>
      </c>
      <c r="J826" s="113">
        <v>78.2</v>
      </c>
      <c r="K826" s="113">
        <v>46.2</v>
      </c>
      <c r="L826" s="185"/>
      <c r="M826" s="16">
        <v>823</v>
      </c>
      <c r="N826" s="16">
        <f t="shared" si="91"/>
        <v>2.2336314471720402E-2</v>
      </c>
      <c r="O826" s="16">
        <v>4</v>
      </c>
      <c r="P826" s="16">
        <f t="shared" si="87"/>
        <v>9.1833785004516724</v>
      </c>
      <c r="Q826" s="16">
        <f t="shared" si="92"/>
        <v>44.770143313754005</v>
      </c>
      <c r="R826" s="113">
        <f t="shared" si="88"/>
        <v>329.49099999999999</v>
      </c>
      <c r="S826" s="16">
        <f>IF(S825=15800,15800,ROUND((((Q826*60)/'Gearing Calculator'!$C$14)*'Track Data'!P826),-2))</f>
        <v>12500</v>
      </c>
      <c r="T826" s="16">
        <f t="shared" si="90"/>
        <v>-12.968079387143963</v>
      </c>
      <c r="U826" s="16">
        <f>IF(AC826=100,Braking!$AG$2354,IF(AC826=50,Braking!$AG$1179,IF(AC826=75,Braking!$AG$1767,0)))</f>
        <v>-12.968079387143963</v>
      </c>
      <c r="V826" s="16">
        <f>0.5*'Gearing Calculator'!$C$15*'Gearing Calculator'!$C$20*'Gearing Calculator'!$W$20*('Track Data'!Q826^2)</f>
        <v>212.1420691102382</v>
      </c>
      <c r="W826" s="16">
        <f>('Gearing Calculator'!$U$9*'Track Data'!T826)+'Track Data'!V826</f>
        <v>-3239.9606637474849</v>
      </c>
      <c r="X826" s="16">
        <f>('Gearing Calculator'!$U$9*9.81)*('Gearing Calculator'!$U$16/'Gearing Calculator'!$C$7)-(('Track Data'!W826)*('Gearing Calculator'!$U$17/'Gearing Calculator'!$C$7))</f>
        <v>3167.1621307513319</v>
      </c>
      <c r="Y826" s="16">
        <f>('Gearing Calculator'!$U$9*9.81)*(('Gearing Calculator'!$C$7-'Gearing Calculator'!$U$16)/'Gearing Calculator'!$C$7)+(('Track Data'!W826)*('Gearing Calculator'!$U$17/'Gearing Calculator'!$C$7))</f>
        <v>-555.74013075133189</v>
      </c>
      <c r="Z826" s="16">
        <f>((X826*COS('Gearing Calculator'!$C$21))/'Gearing Calculator'!$C$22)/2</f>
        <v>97.918636202436446</v>
      </c>
      <c r="AA826" s="16">
        <f>Y826/'Gearing Calculator'!$C$24</f>
        <v>-7.7599962033560876</v>
      </c>
      <c r="AB826" s="16">
        <f t="shared" si="93"/>
        <v>160.26975156166236</v>
      </c>
      <c r="AC826" s="16">
        <v>75</v>
      </c>
      <c r="AD826" s="16">
        <v>0</v>
      </c>
      <c r="AE826" s="16">
        <v>823</v>
      </c>
      <c r="AF826" s="16">
        <f>IF(AC826=0,IF(O826=6,INDEX(Acceleration!$V$4:$V$110,MATCH('Track Data'!S826,Acceleration!$K$4:$K$110,0)),IF('Track Data'!O826=5,INDEX(Acceleration!$U$4:$U$110,MATCH('Track Data'!S826,Acceleration!$K$4:$K$110,0)),1)),U826)</f>
        <v>-12.968079387143963</v>
      </c>
      <c r="AG826" s="16">
        <f>IF(AC826=0,IF(O826=4,INDEX(Acceleration!$T$4:$T$110,MATCH('Track Data'!S826,Acceleration!$K$4:$K$110,0)),IF('Track Data'!O826=3,INDEX(Acceleration!$S$4:$S$110,MATCH('Track Data'!S826,Acceleration!$K$4:$K$110,0)),'Track Data'!AF826)),'Track Data'!U826)</f>
        <v>-12.968079387143963</v>
      </c>
      <c r="AH826" s="16">
        <f>IF(AC826=0,IF(O826=2,INDEX(Acceleration!$R$4:$R$110,MATCH('Track Data'!S826,Acceleration!$K$4:$K$110,0)),IF('Track Data'!O826=1,INDEX(Acceleration!$Q$4:$Q$110,MATCH('Track Data'!S826,Acceleration!$K$4:$K$110,0)),'Track Data'!AG826)),'Track Data'!U826)</f>
        <v>-12.968079387143963</v>
      </c>
    </row>
    <row r="827" spans="2:34" x14ac:dyDescent="0.25">
      <c r="B827" s="16">
        <v>219.91399999999999</v>
      </c>
      <c r="C827" s="16">
        <v>8097</v>
      </c>
      <c r="D827" s="16">
        <v>824</v>
      </c>
      <c r="E827" s="113">
        <v>131</v>
      </c>
      <c r="F827" s="113">
        <v>130.80000000000001</v>
      </c>
      <c r="G827" s="113">
        <v>121.8</v>
      </c>
      <c r="H827" s="113">
        <f t="shared" si="89"/>
        <v>33.833333333333329</v>
      </c>
      <c r="I827" s="113">
        <v>8.6999999999999993</v>
      </c>
      <c r="J827" s="113">
        <v>77.8</v>
      </c>
      <c r="K827" s="113">
        <v>46.7</v>
      </c>
      <c r="L827" s="185"/>
      <c r="M827" s="16">
        <v>824</v>
      </c>
      <c r="N827" s="16">
        <f t="shared" si="91"/>
        <v>2.2482246354259806E-2</v>
      </c>
      <c r="O827" s="16">
        <v>4</v>
      </c>
      <c r="P827" s="16">
        <f t="shared" si="87"/>
        <v>9.1833785004516724</v>
      </c>
      <c r="Q827" s="16">
        <f t="shared" si="92"/>
        <v>44.479541067324249</v>
      </c>
      <c r="R827" s="113">
        <f t="shared" si="88"/>
        <v>329.49099999999999</v>
      </c>
      <c r="S827" s="16">
        <f>IF(S826=15800,15800,ROUND((((Q827*60)/'Gearing Calculator'!$C$14)*'Track Data'!P827),-2))</f>
        <v>12400</v>
      </c>
      <c r="T827" s="16">
        <f t="shared" si="90"/>
        <v>-12.968079387143963</v>
      </c>
      <c r="U827" s="16">
        <f>IF(AC827=100,Braking!$AG$2354,IF(AC827=50,Braking!$AG$1179,IF(AC827=75,Braking!$AG$1767,0)))</f>
        <v>-12.968079387143963</v>
      </c>
      <c r="V827" s="16">
        <f>0.5*'Gearing Calculator'!$C$15*'Gearing Calculator'!$C$20*'Gearing Calculator'!$W$20*('Track Data'!Q827^2)</f>
        <v>209.39698606556755</v>
      </c>
      <c r="W827" s="16">
        <f>('Gearing Calculator'!$U$9*'Track Data'!T827)+'Track Data'!V827</f>
        <v>-3242.7057467921554</v>
      </c>
      <c r="X827" s="16">
        <f>('Gearing Calculator'!$U$9*9.81)*('Gearing Calculator'!$U$16/'Gearing Calculator'!$C$7)-(('Track Data'!W827)*('Gearing Calculator'!$U$17/'Gearing Calculator'!$C$7))</f>
        <v>3168.6583884826459</v>
      </c>
      <c r="Y827" s="16">
        <f>('Gearing Calculator'!$U$9*9.81)*(('Gearing Calculator'!$C$7-'Gearing Calculator'!$U$16)/'Gearing Calculator'!$C$7)+(('Track Data'!W827)*('Gearing Calculator'!$U$17/'Gearing Calculator'!$C$7))</f>
        <v>-557.23638848264613</v>
      </c>
      <c r="Z827" s="16">
        <f>((X827*COS('Gearing Calculator'!$C$21))/'Gearing Calculator'!$C$22)/2</f>
        <v>97.964895759228668</v>
      </c>
      <c r="AA827" s="16">
        <f>Y827/'Gearing Calculator'!$C$24</f>
        <v>-7.7808889798027758</v>
      </c>
      <c r="AB827" s="16">
        <f t="shared" si="93"/>
        <v>157.52466851699171</v>
      </c>
      <c r="AC827" s="16">
        <v>75</v>
      </c>
      <c r="AD827" s="16">
        <v>0</v>
      </c>
      <c r="AE827" s="16">
        <v>824</v>
      </c>
      <c r="AF827" s="16">
        <f>IF(AC827=0,IF(O827=6,INDEX(Acceleration!$V$4:$V$110,MATCH('Track Data'!S827,Acceleration!$K$4:$K$110,0)),IF('Track Data'!O827=5,INDEX(Acceleration!$U$4:$U$110,MATCH('Track Data'!S827,Acceleration!$K$4:$K$110,0)),1)),U827)</f>
        <v>-12.968079387143963</v>
      </c>
      <c r="AG827" s="16">
        <f>IF(AC827=0,IF(O827=4,INDEX(Acceleration!$T$4:$T$110,MATCH('Track Data'!S827,Acceleration!$K$4:$K$110,0)),IF('Track Data'!O827=3,INDEX(Acceleration!$S$4:$S$110,MATCH('Track Data'!S827,Acceleration!$K$4:$K$110,0)),'Track Data'!AF827)),'Track Data'!U827)</f>
        <v>-12.968079387143963</v>
      </c>
      <c r="AH827" s="16">
        <f>IF(AC827=0,IF(O827=2,INDEX(Acceleration!$R$4:$R$110,MATCH('Track Data'!S827,Acceleration!$K$4:$K$110,0)),IF('Track Data'!O827=1,INDEX(Acceleration!$Q$4:$Q$110,MATCH('Track Data'!S827,Acceleration!$K$4:$K$110,0)),'Track Data'!AG827)),'Track Data'!U827)</f>
        <v>-12.968079387143963</v>
      </c>
    </row>
    <row r="828" spans="2:34" x14ac:dyDescent="0.25">
      <c r="B828" s="16">
        <v>219.94200000000001</v>
      </c>
      <c r="C828" s="16">
        <v>8098</v>
      </c>
      <c r="D828" s="16">
        <v>825</v>
      </c>
      <c r="E828" s="113">
        <v>130</v>
      </c>
      <c r="F828" s="113">
        <v>130.30000000000001</v>
      </c>
      <c r="G828" s="113">
        <v>121.3</v>
      </c>
      <c r="H828" s="113">
        <f t="shared" si="89"/>
        <v>33.694444444444443</v>
      </c>
      <c r="I828" s="113">
        <v>9</v>
      </c>
      <c r="J828" s="113">
        <v>76</v>
      </c>
      <c r="K828" s="113">
        <v>46.3</v>
      </c>
      <c r="L828" s="185"/>
      <c r="M828" s="16">
        <v>825</v>
      </c>
      <c r="N828" s="16">
        <f t="shared" si="91"/>
        <v>2.2631076417864562E-2</v>
      </c>
      <c r="O828" s="16">
        <v>4</v>
      </c>
      <c r="P828" s="16">
        <f t="shared" si="87"/>
        <v>9.1833785004516724</v>
      </c>
      <c r="Q828" s="16">
        <f t="shared" si="92"/>
        <v>44.187027675387903</v>
      </c>
      <c r="R828" s="113">
        <f t="shared" si="88"/>
        <v>329.49099999999999</v>
      </c>
      <c r="S828" s="16">
        <f>IF(S827=15800,15800,ROUND((((Q828*60)/'Gearing Calculator'!$C$14)*'Track Data'!P828),-2))</f>
        <v>12300</v>
      </c>
      <c r="T828" s="16">
        <f t="shared" si="90"/>
        <v>-12.968079387143963</v>
      </c>
      <c r="U828" s="16">
        <f>IF(AC828=100,Braking!$AG$2354,IF(AC828=50,Braking!$AG$1179,IF(AC828=75,Braking!$AG$1767,0)))</f>
        <v>-12.968079387143963</v>
      </c>
      <c r="V828" s="16">
        <f>0.5*'Gearing Calculator'!$C$15*'Gearing Calculator'!$C$20*'Gearing Calculator'!$W$20*('Track Data'!Q828^2)</f>
        <v>206.65190302089692</v>
      </c>
      <c r="W828" s="16">
        <f>('Gearing Calculator'!$U$9*'Track Data'!T828)+'Track Data'!V828</f>
        <v>-3245.450829836826</v>
      </c>
      <c r="X828" s="16">
        <f>('Gearing Calculator'!$U$9*9.81)*('Gearing Calculator'!$U$16/'Gearing Calculator'!$C$7)-(('Track Data'!W828)*('Gearing Calculator'!$U$17/'Gearing Calculator'!$C$7))</f>
        <v>3170.1546462139604</v>
      </c>
      <c r="Y828" s="16">
        <f>('Gearing Calculator'!$U$9*9.81)*(('Gearing Calculator'!$C$7-'Gearing Calculator'!$U$16)/'Gearing Calculator'!$C$7)+(('Track Data'!W828)*('Gearing Calculator'!$U$17/'Gearing Calculator'!$C$7))</f>
        <v>-558.73264621396038</v>
      </c>
      <c r="Z828" s="16">
        <f>((X828*COS('Gearing Calculator'!$C$21))/'Gearing Calculator'!$C$22)/2</f>
        <v>98.01115531602089</v>
      </c>
      <c r="AA828" s="16">
        <f>Y828/'Gearing Calculator'!$C$24</f>
        <v>-7.801781756249464</v>
      </c>
      <c r="AB828" s="16">
        <f t="shared" si="93"/>
        <v>154.77958547232106</v>
      </c>
      <c r="AC828" s="16">
        <v>75</v>
      </c>
      <c r="AD828" s="16">
        <v>0</v>
      </c>
      <c r="AE828" s="16">
        <v>825</v>
      </c>
      <c r="AF828" s="16">
        <f>IF(AC828=0,IF(O828=6,INDEX(Acceleration!$V$4:$V$110,MATCH('Track Data'!S828,Acceleration!$K$4:$K$110,0)),IF('Track Data'!O828=5,INDEX(Acceleration!$U$4:$U$110,MATCH('Track Data'!S828,Acceleration!$K$4:$K$110,0)),1)),U828)</f>
        <v>-12.968079387143963</v>
      </c>
      <c r="AG828" s="16">
        <f>IF(AC828=0,IF(O828=4,INDEX(Acceleration!$T$4:$T$110,MATCH('Track Data'!S828,Acceleration!$K$4:$K$110,0)),IF('Track Data'!O828=3,INDEX(Acceleration!$S$4:$S$110,MATCH('Track Data'!S828,Acceleration!$K$4:$K$110,0)),'Track Data'!AF828)),'Track Data'!U828)</f>
        <v>-12.968079387143963</v>
      </c>
      <c r="AH828" s="16">
        <f>IF(AC828=0,IF(O828=2,INDEX(Acceleration!$R$4:$R$110,MATCH('Track Data'!S828,Acceleration!$K$4:$K$110,0)),IF('Track Data'!O828=1,INDEX(Acceleration!$Q$4:$Q$110,MATCH('Track Data'!S828,Acceleration!$K$4:$K$110,0)),'Track Data'!AG828)),'Track Data'!U828)</f>
        <v>-12.968079387143963</v>
      </c>
    </row>
    <row r="829" spans="2:34" ht="15.75" thickBot="1" x14ac:dyDescent="0.3">
      <c r="B829" s="16">
        <v>219.96899999999999</v>
      </c>
      <c r="C829" s="16">
        <v>8099</v>
      </c>
      <c r="D829" s="16">
        <v>826</v>
      </c>
      <c r="E829" s="113">
        <v>130</v>
      </c>
      <c r="F829" s="113">
        <v>130.1</v>
      </c>
      <c r="G829" s="113">
        <v>121</v>
      </c>
      <c r="H829" s="113">
        <f t="shared" si="89"/>
        <v>33.611111111111107</v>
      </c>
      <c r="I829" s="113">
        <v>9</v>
      </c>
      <c r="J829" s="113">
        <v>75.86</v>
      </c>
      <c r="K829" s="113">
        <v>45.9</v>
      </c>
      <c r="L829" s="186"/>
      <c r="M829" s="16">
        <v>826</v>
      </c>
      <c r="N829" s="16">
        <f t="shared" si="91"/>
        <v>2.2782901879321481E-2</v>
      </c>
      <c r="O829" s="16">
        <v>4</v>
      </c>
      <c r="P829" s="16">
        <f t="shared" si="87"/>
        <v>9.1833785004516724</v>
      </c>
      <c r="Q829" s="16">
        <f t="shared" si="92"/>
        <v>43.892564928598198</v>
      </c>
      <c r="R829" s="113">
        <f t="shared" si="88"/>
        <v>329.49099999999999</v>
      </c>
      <c r="S829" s="16">
        <f>IF(S828=15800,15800,ROUND((((Q829*60)/'Gearing Calculator'!$C$14)*'Track Data'!P829),-2))</f>
        <v>12200</v>
      </c>
      <c r="T829" s="16">
        <f t="shared" si="90"/>
        <v>-12.968079387143963</v>
      </c>
      <c r="U829" s="16">
        <f>IF(AC829=100,Braking!$AG$2354,IF(AC829=50,Braking!$AG$1179,IF(AC829=75,Braking!$AG$1767,0)))</f>
        <v>-12.968079387143963</v>
      </c>
      <c r="V829" s="16">
        <f>0.5*'Gearing Calculator'!$C$15*'Gearing Calculator'!$C$20*'Gearing Calculator'!$W$20*('Track Data'!Q829^2)</f>
        <v>203.90681997622627</v>
      </c>
      <c r="W829" s="16">
        <f>('Gearing Calculator'!$U$9*'Track Data'!T829)+'Track Data'!V829</f>
        <v>-3248.1959128814965</v>
      </c>
      <c r="X829" s="16">
        <f>('Gearing Calculator'!$U$9*9.81)*('Gearing Calculator'!$U$16/'Gearing Calculator'!$C$7)-(('Track Data'!W829)*('Gearing Calculator'!$U$17/'Gearing Calculator'!$C$7))</f>
        <v>3171.6509039452749</v>
      </c>
      <c r="Y829" s="16">
        <f>('Gearing Calculator'!$U$9*9.81)*(('Gearing Calculator'!$C$7-'Gearing Calculator'!$U$16)/'Gearing Calculator'!$C$7)+(('Track Data'!W829)*('Gearing Calculator'!$U$17/'Gearing Calculator'!$C$7))</f>
        <v>-560.22890394527485</v>
      </c>
      <c r="Z829" s="16">
        <f>((X829*COS('Gearing Calculator'!$C$21))/'Gearing Calculator'!$C$22)/2</f>
        <v>98.057414872813112</v>
      </c>
      <c r="AA829" s="16">
        <f>Y829/'Gearing Calculator'!$C$24</f>
        <v>-7.8226745326961549</v>
      </c>
      <c r="AB829" s="16">
        <f t="shared" si="93"/>
        <v>152.03450242765041</v>
      </c>
      <c r="AC829" s="16">
        <v>75</v>
      </c>
      <c r="AD829" s="16">
        <v>0</v>
      </c>
      <c r="AE829" s="16">
        <v>826</v>
      </c>
      <c r="AF829" s="16">
        <f>IF(AC829=0,IF(O829=6,INDEX(Acceleration!$V$4:$V$110,MATCH('Track Data'!S829,Acceleration!$K$4:$K$110,0)),IF('Track Data'!O829=5,INDEX(Acceleration!$U$4:$U$110,MATCH('Track Data'!S829,Acceleration!$K$4:$K$110,0)),1)),U829)</f>
        <v>-12.968079387143963</v>
      </c>
      <c r="AG829" s="16">
        <f>IF(AC829=0,IF(O829=4,INDEX(Acceleration!$T$4:$T$110,MATCH('Track Data'!S829,Acceleration!$K$4:$K$110,0)),IF('Track Data'!O829=3,INDEX(Acceleration!$S$4:$S$110,MATCH('Track Data'!S829,Acceleration!$K$4:$K$110,0)),'Track Data'!AF829)),'Track Data'!U829)</f>
        <v>-12.968079387143963</v>
      </c>
      <c r="AH829" s="16">
        <f>IF(AC829=0,IF(O829=2,INDEX(Acceleration!$R$4:$R$110,MATCH('Track Data'!S829,Acceleration!$K$4:$K$110,0)),IF('Track Data'!O829=1,INDEX(Acceleration!$Q$4:$Q$110,MATCH('Track Data'!S829,Acceleration!$K$4:$K$110,0)),'Track Data'!AG829)),'Track Data'!U829)</f>
        <v>-12.968079387143963</v>
      </c>
    </row>
    <row r="830" spans="2:34" x14ac:dyDescent="0.25">
      <c r="B830" s="16">
        <v>219.99700000000001</v>
      </c>
      <c r="C830" s="16">
        <v>8100</v>
      </c>
      <c r="D830" s="16">
        <v>827</v>
      </c>
      <c r="E830" s="113">
        <v>130</v>
      </c>
      <c r="F830" s="113">
        <v>130.1</v>
      </c>
      <c r="G830" s="113">
        <v>120.5</v>
      </c>
      <c r="H830" s="113">
        <f t="shared" si="89"/>
        <v>33.472222222222221</v>
      </c>
      <c r="I830" s="113">
        <v>10.1</v>
      </c>
      <c r="J830" s="113">
        <v>72.650000000000006</v>
      </c>
      <c r="K830" s="113">
        <v>45.3</v>
      </c>
      <c r="L830" s="182" t="s">
        <v>188</v>
      </c>
      <c r="M830" s="16">
        <v>827</v>
      </c>
      <c r="N830" s="16">
        <f t="shared" si="91"/>
        <v>2.2937824583009154E-2</v>
      </c>
      <c r="O830" s="16">
        <v>4</v>
      </c>
      <c r="P830" s="16">
        <f t="shared" si="87"/>
        <v>9.1833785004516724</v>
      </c>
      <c r="Q830" s="134">
        <f t="shared" si="92"/>
        <v>43.59611332718687</v>
      </c>
      <c r="R830" s="113">
        <f t="shared" si="88"/>
        <v>329.49099999999999</v>
      </c>
      <c r="S830" s="16">
        <f>IF(S829=15800,15800,ROUND((((Q830*60)/'Gearing Calculator'!$C$14)*'Track Data'!P830),-2))</f>
        <v>12100</v>
      </c>
      <c r="T830" s="16">
        <f t="shared" si="90"/>
        <v>4.8208358613991411</v>
      </c>
      <c r="U830" s="16">
        <f>IF(AC830=100,Braking!$AG$2354,IF(AC830=50,Braking!$AG$1179,IF(AC830=75,Braking!$AG$1767,0)))</f>
        <v>0</v>
      </c>
      <c r="V830" s="16">
        <f>0.5*'Gearing Calculator'!$C$15*'Gearing Calculator'!$C$20*'Gearing Calculator'!$W$20*('Track Data'!Q830^2)</f>
        <v>201.16173693155565</v>
      </c>
      <c r="W830" s="16">
        <f>('Gearing Calculator'!$U$9*'Track Data'!T830)+'Track Data'!V830</f>
        <v>1484.4682432360069</v>
      </c>
      <c r="X830" s="16">
        <f>('Gearing Calculator'!$U$9*9.81)*('Gearing Calculator'!$U$16/'Gearing Calculator'!$C$7)-(('Track Data'!W830)*('Gearing Calculator'!$U$17/'Gearing Calculator'!$C$7))</f>
        <v>592.02572755831886</v>
      </c>
      <c r="Y830" s="16">
        <f>('Gearing Calculator'!$U$9*9.81)*(('Gearing Calculator'!$C$7-'Gearing Calculator'!$U$16)/'Gearing Calculator'!$C$7)+(('Track Data'!W830)*('Gearing Calculator'!$U$17/'Gearing Calculator'!$C$7))</f>
        <v>2019.396272441681</v>
      </c>
      <c r="Z830" s="16">
        <f>((X830*COS('Gearing Calculator'!$C$21))/'Gearing Calculator'!$C$22)/2</f>
        <v>18.303563078254452</v>
      </c>
      <c r="AA830" s="16">
        <f>Y830/'Gearing Calculator'!$C$24</f>
        <v>28.197545111657071</v>
      </c>
      <c r="AB830" s="16">
        <f t="shared" si="93"/>
        <v>220.44508037715221</v>
      </c>
      <c r="AC830" s="16">
        <v>0</v>
      </c>
      <c r="AD830" s="16">
        <v>48.889993475913293</v>
      </c>
      <c r="AE830" s="16">
        <v>827</v>
      </c>
      <c r="AF830" s="16">
        <f>IF(AC830=0,IF(O830=6,INDEX(Acceleration!$V$4:$V$110,MATCH('Track Data'!S830,Acceleration!$K$4:$K$110,0)),IF('Track Data'!O830=5,INDEX(Acceleration!$U$4:$U$110,MATCH('Track Data'!S830,Acceleration!$K$4:$K$110,0)),1)),U830)</f>
        <v>1</v>
      </c>
      <c r="AG830" s="16">
        <f>IF(AC830=0,IF(O830=4,INDEX(Acceleration!$T$4:$T$110,MATCH('Track Data'!S830,Acceleration!$K$4:$K$110,0)),IF('Track Data'!O830=3,INDEX(Acceleration!$S$4:$S$110,MATCH('Track Data'!S830,Acceleration!$K$4:$K$110,0)),'Track Data'!AF830)),'Track Data'!U830)</f>
        <v>4.8208358613991411</v>
      </c>
      <c r="AH830" s="16">
        <f>IF(AC830=0,IF(O830=2,INDEX(Acceleration!$R$4:$R$110,MATCH('Track Data'!S830,Acceleration!$K$4:$K$110,0)),IF('Track Data'!O830=1,INDEX(Acceleration!$Q$4:$Q$110,MATCH('Track Data'!S830,Acceleration!$K$4:$K$110,0)),'Track Data'!AG830)),'Track Data'!U830)</f>
        <v>4.8208358613991411</v>
      </c>
    </row>
    <row r="831" spans="2:34" x14ac:dyDescent="0.25">
      <c r="B831" s="16">
        <v>220.02500000000001</v>
      </c>
      <c r="C831" s="16">
        <v>8101</v>
      </c>
      <c r="D831" s="16">
        <v>828</v>
      </c>
      <c r="E831" s="113">
        <v>129</v>
      </c>
      <c r="F831" s="113">
        <v>129.9</v>
      </c>
      <c r="G831" s="113">
        <v>120.1</v>
      </c>
      <c r="H831" s="113">
        <f t="shared" si="89"/>
        <v>33.361111111111107</v>
      </c>
      <c r="I831" s="113">
        <v>10.7</v>
      </c>
      <c r="J831" s="113">
        <v>74.31</v>
      </c>
      <c r="K831" s="113">
        <v>45.6</v>
      </c>
      <c r="L831" s="183"/>
      <c r="M831" s="16">
        <v>828</v>
      </c>
      <c r="N831" s="16">
        <f t="shared" si="91"/>
        <v>2.2937824583009154E-2</v>
      </c>
      <c r="O831" s="16">
        <v>4</v>
      </c>
      <c r="P831" s="16">
        <f t="shared" si="87"/>
        <v>9.1833785004516724</v>
      </c>
      <c r="Q831" s="16">
        <f t="shared" si="92"/>
        <v>43.59611332718687</v>
      </c>
      <c r="R831" s="113">
        <f t="shared" si="88"/>
        <v>329.49099999999999</v>
      </c>
      <c r="S831" s="16">
        <f>IF(S830=15800,15800,ROUND((((Q831*60)/'Gearing Calculator'!$C$14)*'Track Data'!P831),-2))</f>
        <v>12100</v>
      </c>
      <c r="T831" s="16">
        <f t="shared" si="90"/>
        <v>4.8208358613991411</v>
      </c>
      <c r="U831" s="16">
        <f>IF(AC831=100,Braking!$AG$2354,IF(AC831=50,Braking!$AG$1179,IF(AC831=75,Braking!$AG$1767,0)))</f>
        <v>0</v>
      </c>
      <c r="V831" s="16">
        <f>0.5*'Gearing Calculator'!$C$15*'Gearing Calculator'!$C$20*'Gearing Calculator'!$W$20*('Track Data'!Q831^2)</f>
        <v>201.16173693155565</v>
      </c>
      <c r="W831" s="16">
        <f>('Gearing Calculator'!$U$9*'Track Data'!T831)+'Track Data'!V831</f>
        <v>1484.4682432360069</v>
      </c>
      <c r="X831" s="16">
        <f>('Gearing Calculator'!$U$9*9.81)*('Gearing Calculator'!$U$16/'Gearing Calculator'!$C$7)-(('Track Data'!W831)*('Gearing Calculator'!$U$17/'Gearing Calculator'!$C$7))</f>
        <v>592.02572755831886</v>
      </c>
      <c r="Y831" s="16">
        <f>('Gearing Calculator'!$U$9*9.81)*(('Gearing Calculator'!$C$7-'Gearing Calculator'!$U$16)/'Gearing Calculator'!$C$7)+(('Track Data'!W831)*('Gearing Calculator'!$U$17/'Gearing Calculator'!$C$7))</f>
        <v>2019.396272441681</v>
      </c>
      <c r="Z831" s="16">
        <f>((X831*COS('Gearing Calculator'!$C$21))/'Gearing Calculator'!$C$22)/2</f>
        <v>18.303563078254452</v>
      </c>
      <c r="AA831" s="16">
        <f>Y831/'Gearing Calculator'!$C$24</f>
        <v>28.197545111657071</v>
      </c>
      <c r="AB831" s="16">
        <f t="shared" si="93"/>
        <v>220.44508037715221</v>
      </c>
      <c r="AC831" s="16">
        <v>0</v>
      </c>
      <c r="AD831" s="16">
        <v>48.889993475913293</v>
      </c>
      <c r="AE831" s="16">
        <v>828</v>
      </c>
      <c r="AF831" s="16">
        <f>IF(AC831=0,IF(O831=6,INDEX(Acceleration!$V$4:$V$110,MATCH('Track Data'!S831,Acceleration!$K$4:$K$110,0)),IF('Track Data'!O831=5,INDEX(Acceleration!$U$4:$U$110,MATCH('Track Data'!S831,Acceleration!$K$4:$K$110,0)),1)),U831)</f>
        <v>1</v>
      </c>
      <c r="AG831" s="16">
        <f>IF(AC831=0,IF(O831=4,INDEX(Acceleration!$T$4:$T$110,MATCH('Track Data'!S831,Acceleration!$K$4:$K$110,0)),IF('Track Data'!O831=3,INDEX(Acceleration!$S$4:$S$110,MATCH('Track Data'!S831,Acceleration!$K$4:$K$110,0)),'Track Data'!AF831)),'Track Data'!U831)</f>
        <v>4.8208358613991411</v>
      </c>
      <c r="AH831" s="16">
        <f>IF(AC831=0,IF(O831=2,INDEX(Acceleration!$R$4:$R$110,MATCH('Track Data'!S831,Acceleration!$K$4:$K$110,0)),IF('Track Data'!O831=1,INDEX(Acceleration!$Q$4:$Q$110,MATCH('Track Data'!S831,Acceleration!$K$4:$K$110,0)),'Track Data'!AG831)),'Track Data'!U831)</f>
        <v>4.8208358613991411</v>
      </c>
    </row>
    <row r="832" spans="2:34" x14ac:dyDescent="0.25">
      <c r="B832" s="16">
        <v>220.053</v>
      </c>
      <c r="C832" s="16">
        <v>8102</v>
      </c>
      <c r="D832" s="16">
        <v>829</v>
      </c>
      <c r="E832" s="113">
        <v>129</v>
      </c>
      <c r="F832" s="113">
        <v>129.5</v>
      </c>
      <c r="G832" s="113">
        <v>119.6</v>
      </c>
      <c r="H832" s="113">
        <f t="shared" si="89"/>
        <v>33.222222222222221</v>
      </c>
      <c r="I832" s="113">
        <v>11.6</v>
      </c>
      <c r="J832" s="113">
        <v>73.64</v>
      </c>
      <c r="K832" s="113">
        <v>46.3</v>
      </c>
      <c r="L832" s="183"/>
      <c r="M832" s="16">
        <v>829</v>
      </c>
      <c r="N832" s="16">
        <f t="shared" si="91"/>
        <v>2.2937824583009154E-2</v>
      </c>
      <c r="O832" s="16">
        <v>4</v>
      </c>
      <c r="P832" s="16">
        <f t="shared" si="87"/>
        <v>9.1833785004516724</v>
      </c>
      <c r="Q832" s="16">
        <f t="shared" si="92"/>
        <v>43.59611332718687</v>
      </c>
      <c r="R832" s="113">
        <f t="shared" si="88"/>
        <v>329.49099999999999</v>
      </c>
      <c r="S832" s="16">
        <f>IF(S831=15800,15800,ROUND((((Q832*60)/'Gearing Calculator'!$C$14)*'Track Data'!P832),-2))</f>
        <v>12100</v>
      </c>
      <c r="T832" s="16">
        <f t="shared" si="90"/>
        <v>4.8208358613991411</v>
      </c>
      <c r="U832" s="16">
        <f>IF(AC832=100,Braking!$AG$2354,IF(AC832=50,Braking!$AG$1179,IF(AC832=75,Braking!$AG$1767,0)))</f>
        <v>0</v>
      </c>
      <c r="V832" s="16">
        <f>0.5*'Gearing Calculator'!$C$15*'Gearing Calculator'!$C$20*'Gearing Calculator'!$W$20*('Track Data'!Q832^2)</f>
        <v>201.16173693155565</v>
      </c>
      <c r="W832" s="16">
        <f>('Gearing Calculator'!$U$9*'Track Data'!T832)+'Track Data'!V832</f>
        <v>1484.4682432360069</v>
      </c>
      <c r="X832" s="16">
        <f>('Gearing Calculator'!$U$9*9.81)*('Gearing Calculator'!$U$16/'Gearing Calculator'!$C$7)-(('Track Data'!W832)*('Gearing Calculator'!$U$17/'Gearing Calculator'!$C$7))</f>
        <v>592.02572755831886</v>
      </c>
      <c r="Y832" s="16">
        <f>('Gearing Calculator'!$U$9*9.81)*(('Gearing Calculator'!$C$7-'Gearing Calculator'!$U$16)/'Gearing Calculator'!$C$7)+(('Track Data'!W832)*('Gearing Calculator'!$U$17/'Gearing Calculator'!$C$7))</f>
        <v>2019.396272441681</v>
      </c>
      <c r="Z832" s="16">
        <f>((X832*COS('Gearing Calculator'!$C$21))/'Gearing Calculator'!$C$22)/2</f>
        <v>18.303563078254452</v>
      </c>
      <c r="AA832" s="16">
        <f>Y832/'Gearing Calculator'!$C$24</f>
        <v>28.197545111657071</v>
      </c>
      <c r="AB832" s="16">
        <f t="shared" si="93"/>
        <v>220.44508037715221</v>
      </c>
      <c r="AC832" s="16">
        <v>0</v>
      </c>
      <c r="AD832" s="16">
        <v>48.889993475913293</v>
      </c>
      <c r="AE832" s="16">
        <v>829</v>
      </c>
      <c r="AF832" s="16">
        <f>IF(AC832=0,IF(O832=6,INDEX(Acceleration!$V$4:$V$110,MATCH('Track Data'!S832,Acceleration!$K$4:$K$110,0)),IF('Track Data'!O832=5,INDEX(Acceleration!$U$4:$U$110,MATCH('Track Data'!S832,Acceleration!$K$4:$K$110,0)),1)),U832)</f>
        <v>1</v>
      </c>
      <c r="AG832" s="16">
        <f>IF(AC832=0,IF(O832=4,INDEX(Acceleration!$T$4:$T$110,MATCH('Track Data'!S832,Acceleration!$K$4:$K$110,0)),IF('Track Data'!O832=3,INDEX(Acceleration!$S$4:$S$110,MATCH('Track Data'!S832,Acceleration!$K$4:$K$110,0)),'Track Data'!AF832)),'Track Data'!U832)</f>
        <v>4.8208358613991411</v>
      </c>
      <c r="AH832" s="16">
        <f>IF(AC832=0,IF(O832=2,INDEX(Acceleration!$R$4:$R$110,MATCH('Track Data'!S832,Acceleration!$K$4:$K$110,0)),IF('Track Data'!O832=1,INDEX(Acceleration!$Q$4:$Q$110,MATCH('Track Data'!S832,Acceleration!$K$4:$K$110,0)),'Track Data'!AG832)),'Track Data'!U832)</f>
        <v>4.8208358613991411</v>
      </c>
    </row>
    <row r="833" spans="2:34" x14ac:dyDescent="0.25">
      <c r="B833" s="16">
        <v>220.08</v>
      </c>
      <c r="C833" s="16">
        <v>8103</v>
      </c>
      <c r="D833" s="16">
        <v>830</v>
      </c>
      <c r="E833" s="113">
        <v>129</v>
      </c>
      <c r="F833" s="113">
        <v>129.1</v>
      </c>
      <c r="G833" s="113">
        <v>119.1</v>
      </c>
      <c r="H833" s="113">
        <f t="shared" si="89"/>
        <v>33.083333333333329</v>
      </c>
      <c r="I833" s="113">
        <v>13.7</v>
      </c>
      <c r="J833" s="113">
        <v>73.8</v>
      </c>
      <c r="K833" s="113">
        <v>45.5</v>
      </c>
      <c r="L833" s="183"/>
      <c r="M833" s="16">
        <v>830</v>
      </c>
      <c r="N833" s="16">
        <f t="shared" si="91"/>
        <v>2.2937824583009154E-2</v>
      </c>
      <c r="O833" s="16">
        <v>4</v>
      </c>
      <c r="P833" s="16">
        <f t="shared" si="87"/>
        <v>9.1833785004516724</v>
      </c>
      <c r="Q833" s="16">
        <f t="shared" si="92"/>
        <v>43.59611332718687</v>
      </c>
      <c r="R833" s="113">
        <f t="shared" si="88"/>
        <v>329.49099999999999</v>
      </c>
      <c r="S833" s="16">
        <f>IF(S832=15800,15800,ROUND((((Q833*60)/'Gearing Calculator'!$C$14)*'Track Data'!P833),-2))</f>
        <v>12100</v>
      </c>
      <c r="T833" s="16">
        <f t="shared" si="90"/>
        <v>4.8208358613991411</v>
      </c>
      <c r="U833" s="16">
        <f>IF(AC833=100,Braking!$AG$2354,IF(AC833=50,Braking!$AG$1179,IF(AC833=75,Braking!$AG$1767,0)))</f>
        <v>0</v>
      </c>
      <c r="V833" s="16">
        <f>0.5*'Gearing Calculator'!$C$15*'Gearing Calculator'!$C$20*'Gearing Calculator'!$W$20*('Track Data'!Q833^2)</f>
        <v>201.16173693155565</v>
      </c>
      <c r="W833" s="16">
        <f>('Gearing Calculator'!$U$9*'Track Data'!T833)+'Track Data'!V833</f>
        <v>1484.4682432360069</v>
      </c>
      <c r="X833" s="16">
        <f>('Gearing Calculator'!$U$9*9.81)*('Gearing Calculator'!$U$16/'Gearing Calculator'!$C$7)-(('Track Data'!W833)*('Gearing Calculator'!$U$17/'Gearing Calculator'!$C$7))</f>
        <v>592.02572755831886</v>
      </c>
      <c r="Y833" s="16">
        <f>('Gearing Calculator'!$U$9*9.81)*(('Gearing Calculator'!$C$7-'Gearing Calculator'!$U$16)/'Gearing Calculator'!$C$7)+(('Track Data'!W833)*('Gearing Calculator'!$U$17/'Gearing Calculator'!$C$7))</f>
        <v>2019.396272441681</v>
      </c>
      <c r="Z833" s="16">
        <f>((X833*COS('Gearing Calculator'!$C$21))/'Gearing Calculator'!$C$22)/2</f>
        <v>18.303563078254452</v>
      </c>
      <c r="AA833" s="16">
        <f>Y833/'Gearing Calculator'!$C$24</f>
        <v>28.197545111657071</v>
      </c>
      <c r="AB833" s="16">
        <f t="shared" si="93"/>
        <v>220.44508037715221</v>
      </c>
      <c r="AC833" s="16">
        <v>0</v>
      </c>
      <c r="AD833" s="16">
        <v>48.889993475913293</v>
      </c>
      <c r="AE833" s="16">
        <v>830</v>
      </c>
      <c r="AF833" s="16">
        <f>IF(AC833=0,IF(O833=6,INDEX(Acceleration!$V$4:$V$110,MATCH('Track Data'!S833,Acceleration!$K$4:$K$110,0)),IF('Track Data'!O833=5,INDEX(Acceleration!$U$4:$U$110,MATCH('Track Data'!S833,Acceleration!$K$4:$K$110,0)),1)),U833)</f>
        <v>1</v>
      </c>
      <c r="AG833" s="16">
        <f>IF(AC833=0,IF(O833=4,INDEX(Acceleration!$T$4:$T$110,MATCH('Track Data'!S833,Acceleration!$K$4:$K$110,0)),IF('Track Data'!O833=3,INDEX(Acceleration!$S$4:$S$110,MATCH('Track Data'!S833,Acceleration!$K$4:$K$110,0)),'Track Data'!AF833)),'Track Data'!U833)</f>
        <v>4.8208358613991411</v>
      </c>
      <c r="AH833" s="16">
        <f>IF(AC833=0,IF(O833=2,INDEX(Acceleration!$R$4:$R$110,MATCH('Track Data'!S833,Acceleration!$K$4:$K$110,0)),IF('Track Data'!O833=1,INDEX(Acceleration!$Q$4:$Q$110,MATCH('Track Data'!S833,Acceleration!$K$4:$K$110,0)),'Track Data'!AG833)),'Track Data'!U833)</f>
        <v>4.8208358613991411</v>
      </c>
    </row>
    <row r="834" spans="2:34" x14ac:dyDescent="0.25">
      <c r="B834" s="16">
        <v>220.108</v>
      </c>
      <c r="C834" s="16">
        <v>8104</v>
      </c>
      <c r="D834" s="16">
        <v>831</v>
      </c>
      <c r="E834" s="113">
        <v>129</v>
      </c>
      <c r="F834" s="113">
        <v>128.80000000000001</v>
      </c>
      <c r="G834" s="113">
        <v>118.8</v>
      </c>
      <c r="H834" s="113">
        <f t="shared" si="89"/>
        <v>33</v>
      </c>
      <c r="I834" s="113">
        <v>14</v>
      </c>
      <c r="J834" s="113">
        <v>74.02</v>
      </c>
      <c r="K834" s="113">
        <v>38.9</v>
      </c>
      <c r="L834" s="183"/>
      <c r="M834" s="16">
        <v>831</v>
      </c>
      <c r="N834" s="16">
        <f t="shared" si="91"/>
        <v>2.2937824583009154E-2</v>
      </c>
      <c r="O834" s="16">
        <v>4</v>
      </c>
      <c r="P834" s="16">
        <f t="shared" si="87"/>
        <v>9.1833785004516724</v>
      </c>
      <c r="Q834" s="16">
        <f t="shared" si="92"/>
        <v>43.59611332718687</v>
      </c>
      <c r="R834" s="113">
        <f t="shared" si="88"/>
        <v>329.49099999999999</v>
      </c>
      <c r="S834" s="16">
        <f>IF(S833=15800,15800,ROUND((((Q834*60)/'Gearing Calculator'!$C$14)*'Track Data'!P834),-2))</f>
        <v>12100</v>
      </c>
      <c r="T834" s="16">
        <f t="shared" si="90"/>
        <v>4.8208358613991411</v>
      </c>
      <c r="U834" s="16">
        <f>IF(AC834=100,Braking!$AG$2354,IF(AC834=50,Braking!$AG$1179,IF(AC834=75,Braking!$AG$1767,0)))</f>
        <v>0</v>
      </c>
      <c r="V834" s="16">
        <f>0.5*'Gearing Calculator'!$C$15*'Gearing Calculator'!$C$20*'Gearing Calculator'!$W$20*('Track Data'!Q834^2)</f>
        <v>201.16173693155565</v>
      </c>
      <c r="W834" s="16">
        <f>('Gearing Calculator'!$U$9*'Track Data'!T834)+'Track Data'!V834</f>
        <v>1484.4682432360069</v>
      </c>
      <c r="X834" s="16">
        <f>('Gearing Calculator'!$U$9*9.81)*('Gearing Calculator'!$U$16/'Gearing Calculator'!$C$7)-(('Track Data'!W834)*('Gearing Calculator'!$U$17/'Gearing Calculator'!$C$7))</f>
        <v>592.02572755831886</v>
      </c>
      <c r="Y834" s="16">
        <f>('Gearing Calculator'!$U$9*9.81)*(('Gearing Calculator'!$C$7-'Gearing Calculator'!$U$16)/'Gearing Calculator'!$C$7)+(('Track Data'!W834)*('Gearing Calculator'!$U$17/'Gearing Calculator'!$C$7))</f>
        <v>2019.396272441681</v>
      </c>
      <c r="Z834" s="16">
        <f>((X834*COS('Gearing Calculator'!$C$21))/'Gearing Calculator'!$C$22)/2</f>
        <v>18.303563078254452</v>
      </c>
      <c r="AA834" s="16">
        <f>Y834/'Gearing Calculator'!$C$24</f>
        <v>28.197545111657071</v>
      </c>
      <c r="AB834" s="16">
        <f t="shared" si="93"/>
        <v>220.44508037715221</v>
      </c>
      <c r="AC834" s="16">
        <v>0</v>
      </c>
      <c r="AD834" s="16">
        <v>48.889993475913293</v>
      </c>
      <c r="AE834" s="16">
        <v>831</v>
      </c>
      <c r="AF834" s="16">
        <f>IF(AC834=0,IF(O834=6,INDEX(Acceleration!$V$4:$V$110,MATCH('Track Data'!S834,Acceleration!$K$4:$K$110,0)),IF('Track Data'!O834=5,INDEX(Acceleration!$U$4:$U$110,MATCH('Track Data'!S834,Acceleration!$K$4:$K$110,0)),1)),U834)</f>
        <v>1</v>
      </c>
      <c r="AG834" s="16">
        <f>IF(AC834=0,IF(O834=4,INDEX(Acceleration!$T$4:$T$110,MATCH('Track Data'!S834,Acceleration!$K$4:$K$110,0)),IF('Track Data'!O834=3,INDEX(Acceleration!$S$4:$S$110,MATCH('Track Data'!S834,Acceleration!$K$4:$K$110,0)),'Track Data'!AF834)),'Track Data'!U834)</f>
        <v>4.8208358613991411</v>
      </c>
      <c r="AH834" s="16">
        <f>IF(AC834=0,IF(O834=2,INDEX(Acceleration!$R$4:$R$110,MATCH('Track Data'!S834,Acceleration!$K$4:$K$110,0)),IF('Track Data'!O834=1,INDEX(Acceleration!$Q$4:$Q$110,MATCH('Track Data'!S834,Acceleration!$K$4:$K$110,0)),'Track Data'!AG834)),'Track Data'!U834)</f>
        <v>4.8208358613991411</v>
      </c>
    </row>
    <row r="835" spans="2:34" x14ac:dyDescent="0.25">
      <c r="B835" s="16">
        <v>220.136</v>
      </c>
      <c r="C835" s="16">
        <v>8105</v>
      </c>
      <c r="D835" s="16">
        <v>832</v>
      </c>
      <c r="E835" s="113">
        <v>129</v>
      </c>
      <c r="F835" s="113">
        <v>128.4</v>
      </c>
      <c r="G835" s="113">
        <v>118.4</v>
      </c>
      <c r="H835" s="113">
        <f t="shared" si="89"/>
        <v>32.888888888888893</v>
      </c>
      <c r="I835" s="113">
        <v>15.9</v>
      </c>
      <c r="J835" s="113">
        <v>71.8</v>
      </c>
      <c r="K835" s="113">
        <v>28.9</v>
      </c>
      <c r="L835" s="183"/>
      <c r="M835" s="16">
        <v>832</v>
      </c>
      <c r="N835" s="16">
        <f t="shared" si="91"/>
        <v>2.2937824583009154E-2</v>
      </c>
      <c r="O835" s="16">
        <v>4</v>
      </c>
      <c r="P835" s="16">
        <f t="shared" si="87"/>
        <v>9.1833785004516724</v>
      </c>
      <c r="Q835" s="16">
        <f t="shared" si="92"/>
        <v>43.59611332718687</v>
      </c>
      <c r="R835" s="113">
        <f t="shared" si="88"/>
        <v>329.49099999999999</v>
      </c>
      <c r="S835" s="16">
        <f>IF(S834=15800,15800,ROUND((((Q835*60)/'Gearing Calculator'!$C$14)*'Track Data'!P835),-2))</f>
        <v>12100</v>
      </c>
      <c r="T835" s="16">
        <f t="shared" si="90"/>
        <v>4.8208358613991411</v>
      </c>
      <c r="U835" s="16">
        <f>IF(AC835=100,Braking!$AG$2354,IF(AC835=50,Braking!$AG$1179,IF(AC835=75,Braking!$AG$1767,0)))</f>
        <v>0</v>
      </c>
      <c r="V835" s="16">
        <f>0.5*'Gearing Calculator'!$C$15*'Gearing Calculator'!$C$20*'Gearing Calculator'!$W$20*('Track Data'!Q835^2)</f>
        <v>201.16173693155565</v>
      </c>
      <c r="W835" s="16">
        <f>('Gearing Calculator'!$U$9*'Track Data'!T835)+'Track Data'!V835</f>
        <v>1484.4682432360069</v>
      </c>
      <c r="X835" s="16">
        <f>('Gearing Calculator'!$U$9*9.81)*('Gearing Calculator'!$U$16/'Gearing Calculator'!$C$7)-(('Track Data'!W835)*('Gearing Calculator'!$U$17/'Gearing Calculator'!$C$7))</f>
        <v>592.02572755831886</v>
      </c>
      <c r="Y835" s="16">
        <f>('Gearing Calculator'!$U$9*9.81)*(('Gearing Calculator'!$C$7-'Gearing Calculator'!$U$16)/'Gearing Calculator'!$C$7)+(('Track Data'!W835)*('Gearing Calculator'!$U$17/'Gearing Calculator'!$C$7))</f>
        <v>2019.396272441681</v>
      </c>
      <c r="Z835" s="16">
        <f>((X835*COS('Gearing Calculator'!$C$21))/'Gearing Calculator'!$C$22)/2</f>
        <v>18.303563078254452</v>
      </c>
      <c r="AA835" s="16">
        <f>Y835/'Gearing Calculator'!$C$24</f>
        <v>28.197545111657071</v>
      </c>
      <c r="AB835" s="16">
        <f t="shared" si="93"/>
        <v>220.44508037715221</v>
      </c>
      <c r="AC835" s="16">
        <v>0</v>
      </c>
      <c r="AD835" s="16">
        <v>48.889993475913293</v>
      </c>
      <c r="AE835" s="16">
        <v>832</v>
      </c>
      <c r="AF835" s="16">
        <f>IF(AC835=0,IF(O835=6,INDEX(Acceleration!$V$4:$V$110,MATCH('Track Data'!S835,Acceleration!$K$4:$K$110,0)),IF('Track Data'!O835=5,INDEX(Acceleration!$U$4:$U$110,MATCH('Track Data'!S835,Acceleration!$K$4:$K$110,0)),1)),U835)</f>
        <v>1</v>
      </c>
      <c r="AG835" s="16">
        <f>IF(AC835=0,IF(O835=4,INDEX(Acceleration!$T$4:$T$110,MATCH('Track Data'!S835,Acceleration!$K$4:$K$110,0)),IF('Track Data'!O835=3,INDEX(Acceleration!$S$4:$S$110,MATCH('Track Data'!S835,Acceleration!$K$4:$K$110,0)),'Track Data'!AF835)),'Track Data'!U835)</f>
        <v>4.8208358613991411</v>
      </c>
      <c r="AH835" s="16">
        <f>IF(AC835=0,IF(O835=2,INDEX(Acceleration!$R$4:$R$110,MATCH('Track Data'!S835,Acceleration!$K$4:$K$110,0)),IF('Track Data'!O835=1,INDEX(Acceleration!$Q$4:$Q$110,MATCH('Track Data'!S835,Acceleration!$K$4:$K$110,0)),'Track Data'!AG835)),'Track Data'!U835)</f>
        <v>4.8208358613991411</v>
      </c>
    </row>
    <row r="836" spans="2:34" x14ac:dyDescent="0.25">
      <c r="B836" s="16">
        <v>220.16399999999999</v>
      </c>
      <c r="C836" s="16">
        <v>8106</v>
      </c>
      <c r="D836" s="16">
        <v>833</v>
      </c>
      <c r="E836" s="113">
        <v>128</v>
      </c>
      <c r="F836" s="113">
        <v>128.1</v>
      </c>
      <c r="G836" s="113">
        <v>118</v>
      </c>
      <c r="H836" s="113">
        <f t="shared" si="89"/>
        <v>32.777777777777779</v>
      </c>
      <c r="I836" s="113">
        <v>15.7</v>
      </c>
      <c r="J836" s="113">
        <v>69.489999999999995</v>
      </c>
      <c r="K836" s="113">
        <v>20.100000000000001</v>
      </c>
      <c r="L836" s="183"/>
      <c r="M836" s="16">
        <v>833</v>
      </c>
      <c r="N836" s="16">
        <f t="shared" si="91"/>
        <v>2.2937824583009154E-2</v>
      </c>
      <c r="O836" s="16">
        <v>4</v>
      </c>
      <c r="P836" s="16">
        <f t="shared" ref="P836:P899" si="94">VLOOKUP(O836,$AJ$5:$AK$10,2,FALSE)</f>
        <v>9.1833785004516724</v>
      </c>
      <c r="Q836" s="16">
        <f t="shared" si="92"/>
        <v>43.59611332718687</v>
      </c>
      <c r="R836" s="113">
        <f t="shared" ref="R836:R899" si="95">VLOOKUP(O836,$AJ$5:$AL$10,3,FALSE)</f>
        <v>329.49099999999999</v>
      </c>
      <c r="S836" s="16">
        <f>IF(S835=15800,15800,ROUND((((Q836*60)/'Gearing Calculator'!$C$14)*'Track Data'!P836),-2))</f>
        <v>12100</v>
      </c>
      <c r="T836" s="16">
        <f t="shared" si="90"/>
        <v>4.8208358613991411</v>
      </c>
      <c r="U836" s="16">
        <f>IF(AC836=100,Braking!$AG$2354,IF(AC836=50,Braking!$AG$1179,IF(AC836=75,Braking!$AG$1767,0)))</f>
        <v>0</v>
      </c>
      <c r="V836" s="16">
        <f>0.5*'Gearing Calculator'!$C$15*'Gearing Calculator'!$C$20*'Gearing Calculator'!$W$20*('Track Data'!Q836^2)</f>
        <v>201.16173693155565</v>
      </c>
      <c r="W836" s="16">
        <f>('Gearing Calculator'!$U$9*'Track Data'!T836)+'Track Data'!V836</f>
        <v>1484.4682432360069</v>
      </c>
      <c r="X836" s="16">
        <f>('Gearing Calculator'!$U$9*9.81)*('Gearing Calculator'!$U$16/'Gearing Calculator'!$C$7)-(('Track Data'!W836)*('Gearing Calculator'!$U$17/'Gearing Calculator'!$C$7))</f>
        <v>592.02572755831886</v>
      </c>
      <c r="Y836" s="16">
        <f>('Gearing Calculator'!$U$9*9.81)*(('Gearing Calculator'!$C$7-'Gearing Calculator'!$U$16)/'Gearing Calculator'!$C$7)+(('Track Data'!W836)*('Gearing Calculator'!$U$17/'Gearing Calculator'!$C$7))</f>
        <v>2019.396272441681</v>
      </c>
      <c r="Z836" s="16">
        <f>((X836*COS('Gearing Calculator'!$C$21))/'Gearing Calculator'!$C$22)/2</f>
        <v>18.303563078254452</v>
      </c>
      <c r="AA836" s="16">
        <f>Y836/'Gearing Calculator'!$C$24</f>
        <v>28.197545111657071</v>
      </c>
      <c r="AB836" s="16">
        <f t="shared" si="93"/>
        <v>220.44508037715221</v>
      </c>
      <c r="AC836" s="16">
        <v>0</v>
      </c>
      <c r="AD836" s="16">
        <v>48.889993475913293</v>
      </c>
      <c r="AE836" s="16">
        <v>833</v>
      </c>
      <c r="AF836" s="16">
        <f>IF(AC836=0,IF(O836=6,INDEX(Acceleration!$V$4:$V$110,MATCH('Track Data'!S836,Acceleration!$K$4:$K$110,0)),IF('Track Data'!O836=5,INDEX(Acceleration!$U$4:$U$110,MATCH('Track Data'!S836,Acceleration!$K$4:$K$110,0)),1)),U836)</f>
        <v>1</v>
      </c>
      <c r="AG836" s="16">
        <f>IF(AC836=0,IF(O836=4,INDEX(Acceleration!$T$4:$T$110,MATCH('Track Data'!S836,Acceleration!$K$4:$K$110,0)),IF('Track Data'!O836=3,INDEX(Acceleration!$S$4:$S$110,MATCH('Track Data'!S836,Acceleration!$K$4:$K$110,0)),'Track Data'!AF836)),'Track Data'!U836)</f>
        <v>4.8208358613991411</v>
      </c>
      <c r="AH836" s="16">
        <f>IF(AC836=0,IF(O836=2,INDEX(Acceleration!$R$4:$R$110,MATCH('Track Data'!S836,Acceleration!$K$4:$K$110,0)),IF('Track Data'!O836=1,INDEX(Acceleration!$Q$4:$Q$110,MATCH('Track Data'!S836,Acceleration!$K$4:$K$110,0)),'Track Data'!AG836)),'Track Data'!U836)</f>
        <v>4.8208358613991411</v>
      </c>
    </row>
    <row r="837" spans="2:34" x14ac:dyDescent="0.25">
      <c r="B837" s="16">
        <v>220.19200000000001</v>
      </c>
      <c r="C837" s="16">
        <v>8107</v>
      </c>
      <c r="D837" s="16">
        <v>834</v>
      </c>
      <c r="E837" s="113">
        <v>128</v>
      </c>
      <c r="F837" s="113">
        <v>127.7</v>
      </c>
      <c r="G837" s="113">
        <v>117.5</v>
      </c>
      <c r="H837" s="113">
        <f t="shared" ref="H837:H900" si="96">G837/3.6</f>
        <v>32.638888888888886</v>
      </c>
      <c r="I837" s="113">
        <v>14</v>
      </c>
      <c r="J837" s="113">
        <v>68.510000000000005</v>
      </c>
      <c r="K837" s="113">
        <v>20.100000000000001</v>
      </c>
      <c r="L837" s="183"/>
      <c r="M837" s="16">
        <v>834</v>
      </c>
      <c r="N837" s="16">
        <f t="shared" si="91"/>
        <v>2.2937824583009154E-2</v>
      </c>
      <c r="O837" s="16">
        <v>4</v>
      </c>
      <c r="P837" s="16">
        <f t="shared" si="94"/>
        <v>9.1833785004516724</v>
      </c>
      <c r="Q837" s="16">
        <f t="shared" si="92"/>
        <v>43.59611332718687</v>
      </c>
      <c r="R837" s="113">
        <f t="shared" si="95"/>
        <v>329.49099999999999</v>
      </c>
      <c r="S837" s="16">
        <f>IF(S836=15800,15800,ROUND((((Q837*60)/'Gearing Calculator'!$C$14)*'Track Data'!P837),-2))</f>
        <v>12100</v>
      </c>
      <c r="T837" s="16">
        <f t="shared" ref="T837:T900" si="97">AH837</f>
        <v>4.8208358613991411</v>
      </c>
      <c r="U837" s="16">
        <f>IF(AC837=100,Braking!$AG$2354,IF(AC837=50,Braking!$AG$1179,IF(AC837=75,Braking!$AG$1767,0)))</f>
        <v>0</v>
      </c>
      <c r="V837" s="16">
        <f>0.5*'Gearing Calculator'!$C$15*'Gearing Calculator'!$C$20*'Gearing Calculator'!$W$20*('Track Data'!Q837^2)</f>
        <v>201.16173693155565</v>
      </c>
      <c r="W837" s="16">
        <f>('Gearing Calculator'!$U$9*'Track Data'!T837)+'Track Data'!V837</f>
        <v>1484.4682432360069</v>
      </c>
      <c r="X837" s="16">
        <f>('Gearing Calculator'!$U$9*9.81)*('Gearing Calculator'!$U$16/'Gearing Calculator'!$C$7)-(('Track Data'!W837)*('Gearing Calculator'!$U$17/'Gearing Calculator'!$C$7))</f>
        <v>592.02572755831886</v>
      </c>
      <c r="Y837" s="16">
        <f>('Gearing Calculator'!$U$9*9.81)*(('Gearing Calculator'!$C$7-'Gearing Calculator'!$U$16)/'Gearing Calculator'!$C$7)+(('Track Data'!W837)*('Gearing Calculator'!$U$17/'Gearing Calculator'!$C$7))</f>
        <v>2019.396272441681</v>
      </c>
      <c r="Z837" s="16">
        <f>((X837*COS('Gearing Calculator'!$C$21))/'Gearing Calculator'!$C$22)/2</f>
        <v>18.303563078254452</v>
      </c>
      <c r="AA837" s="16">
        <f>Y837/'Gearing Calculator'!$C$24</f>
        <v>28.197545111657071</v>
      </c>
      <c r="AB837" s="16">
        <f t="shared" si="93"/>
        <v>220.44508037715221</v>
      </c>
      <c r="AC837" s="16">
        <v>0</v>
      </c>
      <c r="AD837" s="16">
        <v>48.889993475913293</v>
      </c>
      <c r="AE837" s="16">
        <v>834</v>
      </c>
      <c r="AF837" s="16">
        <f>IF(AC837=0,IF(O837=6,INDEX(Acceleration!$V$4:$V$110,MATCH('Track Data'!S837,Acceleration!$K$4:$K$110,0)),IF('Track Data'!O837=5,INDEX(Acceleration!$U$4:$U$110,MATCH('Track Data'!S837,Acceleration!$K$4:$K$110,0)),1)),U837)</f>
        <v>1</v>
      </c>
      <c r="AG837" s="16">
        <f>IF(AC837=0,IF(O837=4,INDEX(Acceleration!$T$4:$T$110,MATCH('Track Data'!S837,Acceleration!$K$4:$K$110,0)),IF('Track Data'!O837=3,INDEX(Acceleration!$S$4:$S$110,MATCH('Track Data'!S837,Acceleration!$K$4:$K$110,0)),'Track Data'!AF837)),'Track Data'!U837)</f>
        <v>4.8208358613991411</v>
      </c>
      <c r="AH837" s="16">
        <f>IF(AC837=0,IF(O837=2,INDEX(Acceleration!$R$4:$R$110,MATCH('Track Data'!S837,Acceleration!$K$4:$K$110,0)),IF('Track Data'!O837=1,INDEX(Acceleration!$Q$4:$Q$110,MATCH('Track Data'!S837,Acceleration!$K$4:$K$110,0)),'Track Data'!AG837)),'Track Data'!U837)</f>
        <v>4.8208358613991411</v>
      </c>
    </row>
    <row r="838" spans="2:34" x14ac:dyDescent="0.25">
      <c r="B838" s="16">
        <v>220.22</v>
      </c>
      <c r="C838" s="16">
        <v>8108</v>
      </c>
      <c r="D838" s="16">
        <v>835</v>
      </c>
      <c r="E838" s="113">
        <v>127</v>
      </c>
      <c r="F838" s="113">
        <v>127.4</v>
      </c>
      <c r="G838" s="113">
        <v>117.1</v>
      </c>
      <c r="H838" s="113">
        <f t="shared" si="96"/>
        <v>32.527777777777779</v>
      </c>
      <c r="I838" s="113">
        <v>13.3</v>
      </c>
      <c r="J838" s="113">
        <v>64.930000000000007</v>
      </c>
      <c r="K838" s="113">
        <v>20.100000000000001</v>
      </c>
      <c r="L838" s="183"/>
      <c r="M838" s="16">
        <v>835</v>
      </c>
      <c r="N838" s="16">
        <f t="shared" ref="N838:N901" si="98">1/Q838</f>
        <v>2.2937824583009154E-2</v>
      </c>
      <c r="O838" s="16">
        <v>4</v>
      </c>
      <c r="P838" s="16">
        <f t="shared" si="94"/>
        <v>9.1833785004516724</v>
      </c>
      <c r="Q838" s="16">
        <f t="shared" ref="Q838:Q901" si="99">IF(AD837=0,SQRT(Q837^2+(2*T837)),Q837)</f>
        <v>43.59611332718687</v>
      </c>
      <c r="R838" s="113">
        <f t="shared" si="95"/>
        <v>329.49099999999999</v>
      </c>
      <c r="S838" s="16">
        <f>IF(S837=15800,15800,ROUND((((Q838*60)/'Gearing Calculator'!$C$14)*'Track Data'!P838),-2))</f>
        <v>12100</v>
      </c>
      <c r="T838" s="16">
        <f t="shared" si="97"/>
        <v>4.8208358613991411</v>
      </c>
      <c r="U838" s="16">
        <f>IF(AC838=100,Braking!$AG$2354,IF(AC838=50,Braking!$AG$1179,IF(AC838=75,Braking!$AG$1767,0)))</f>
        <v>0</v>
      </c>
      <c r="V838" s="16">
        <f>0.5*'Gearing Calculator'!$C$15*'Gearing Calculator'!$C$20*'Gearing Calculator'!$W$20*('Track Data'!Q838^2)</f>
        <v>201.16173693155565</v>
      </c>
      <c r="W838" s="16">
        <f>('Gearing Calculator'!$U$9*'Track Data'!T838)+'Track Data'!V838</f>
        <v>1484.4682432360069</v>
      </c>
      <c r="X838" s="16">
        <f>('Gearing Calculator'!$U$9*9.81)*('Gearing Calculator'!$U$16/'Gearing Calculator'!$C$7)-(('Track Data'!W838)*('Gearing Calculator'!$U$17/'Gearing Calculator'!$C$7))</f>
        <v>592.02572755831886</v>
      </c>
      <c r="Y838" s="16">
        <f>('Gearing Calculator'!$U$9*9.81)*(('Gearing Calculator'!$C$7-'Gearing Calculator'!$U$16)/'Gearing Calculator'!$C$7)+(('Track Data'!W838)*('Gearing Calculator'!$U$17/'Gearing Calculator'!$C$7))</f>
        <v>2019.396272441681</v>
      </c>
      <c r="Z838" s="16">
        <f>((X838*COS('Gearing Calculator'!$C$21))/'Gearing Calculator'!$C$22)/2</f>
        <v>18.303563078254452</v>
      </c>
      <c r="AA838" s="16">
        <f>Y838/'Gearing Calculator'!$C$24</f>
        <v>28.197545111657071</v>
      </c>
      <c r="AB838" s="16">
        <f t="shared" si="93"/>
        <v>220.44508037715221</v>
      </c>
      <c r="AC838" s="16">
        <v>0</v>
      </c>
      <c r="AD838" s="16">
        <v>48.889993475913293</v>
      </c>
      <c r="AE838" s="16">
        <v>835</v>
      </c>
      <c r="AF838" s="16">
        <f>IF(AC838=0,IF(O838=6,INDEX(Acceleration!$V$4:$V$110,MATCH('Track Data'!S838,Acceleration!$K$4:$K$110,0)),IF('Track Data'!O838=5,INDEX(Acceleration!$U$4:$U$110,MATCH('Track Data'!S838,Acceleration!$K$4:$K$110,0)),1)),U838)</f>
        <v>1</v>
      </c>
      <c r="AG838" s="16">
        <f>IF(AC838=0,IF(O838=4,INDEX(Acceleration!$T$4:$T$110,MATCH('Track Data'!S838,Acceleration!$K$4:$K$110,0)),IF('Track Data'!O838=3,INDEX(Acceleration!$S$4:$S$110,MATCH('Track Data'!S838,Acceleration!$K$4:$K$110,0)),'Track Data'!AF838)),'Track Data'!U838)</f>
        <v>4.8208358613991411</v>
      </c>
      <c r="AH838" s="16">
        <f>IF(AC838=0,IF(O838=2,INDEX(Acceleration!$R$4:$R$110,MATCH('Track Data'!S838,Acceleration!$K$4:$K$110,0)),IF('Track Data'!O838=1,INDEX(Acceleration!$Q$4:$Q$110,MATCH('Track Data'!S838,Acceleration!$K$4:$K$110,0)),'Track Data'!AG838)),'Track Data'!U838)</f>
        <v>4.8208358613991411</v>
      </c>
    </row>
    <row r="839" spans="2:34" x14ac:dyDescent="0.25">
      <c r="B839" s="16">
        <v>220.24799999999999</v>
      </c>
      <c r="C839" s="16">
        <v>8109</v>
      </c>
      <c r="D839" s="16">
        <v>836</v>
      </c>
      <c r="E839" s="113">
        <v>127</v>
      </c>
      <c r="F839" s="113">
        <v>127.3</v>
      </c>
      <c r="G839" s="113">
        <v>116.9</v>
      </c>
      <c r="H839" s="113">
        <f t="shared" si="96"/>
        <v>32.472222222222221</v>
      </c>
      <c r="I839" s="113">
        <v>13.1</v>
      </c>
      <c r="J839" s="113">
        <v>67.44</v>
      </c>
      <c r="K839" s="113">
        <v>21.9</v>
      </c>
      <c r="L839" s="183"/>
      <c r="M839" s="16">
        <v>836</v>
      </c>
      <c r="N839" s="16">
        <f t="shared" si="98"/>
        <v>2.2937824583009154E-2</v>
      </c>
      <c r="O839" s="16">
        <v>4</v>
      </c>
      <c r="P839" s="16">
        <f t="shared" si="94"/>
        <v>9.1833785004516724</v>
      </c>
      <c r="Q839" s="16">
        <f t="shared" si="99"/>
        <v>43.59611332718687</v>
      </c>
      <c r="R839" s="113">
        <f t="shared" si="95"/>
        <v>329.49099999999999</v>
      </c>
      <c r="S839" s="16">
        <f>IF(S838=15800,15800,ROUND((((Q839*60)/'Gearing Calculator'!$C$14)*'Track Data'!P839),-2))</f>
        <v>12100</v>
      </c>
      <c r="T839" s="16">
        <f t="shared" si="97"/>
        <v>4.8208358613991411</v>
      </c>
      <c r="U839" s="16">
        <f>IF(AC839=100,Braking!$AG$2354,IF(AC839=50,Braking!$AG$1179,IF(AC839=75,Braking!$AG$1767,0)))</f>
        <v>0</v>
      </c>
      <c r="V839" s="16">
        <f>0.5*'Gearing Calculator'!$C$15*'Gearing Calculator'!$C$20*'Gearing Calculator'!$W$20*('Track Data'!Q839^2)</f>
        <v>201.16173693155565</v>
      </c>
      <c r="W839" s="16">
        <f>('Gearing Calculator'!$U$9*'Track Data'!T839)+'Track Data'!V839</f>
        <v>1484.4682432360069</v>
      </c>
      <c r="X839" s="16">
        <f>('Gearing Calculator'!$U$9*9.81)*('Gearing Calculator'!$U$16/'Gearing Calculator'!$C$7)-(('Track Data'!W839)*('Gearing Calculator'!$U$17/'Gearing Calculator'!$C$7))</f>
        <v>592.02572755831886</v>
      </c>
      <c r="Y839" s="16">
        <f>('Gearing Calculator'!$U$9*9.81)*(('Gearing Calculator'!$C$7-'Gearing Calculator'!$U$16)/'Gearing Calculator'!$C$7)+(('Track Data'!W839)*('Gearing Calculator'!$U$17/'Gearing Calculator'!$C$7))</f>
        <v>2019.396272441681</v>
      </c>
      <c r="Z839" s="16">
        <f>((X839*COS('Gearing Calculator'!$C$21))/'Gearing Calculator'!$C$22)/2</f>
        <v>18.303563078254452</v>
      </c>
      <c r="AA839" s="16">
        <f>Y839/'Gearing Calculator'!$C$24</f>
        <v>28.197545111657071</v>
      </c>
      <c r="AB839" s="16">
        <f t="shared" si="93"/>
        <v>220.44508037715221</v>
      </c>
      <c r="AC839" s="16">
        <v>0</v>
      </c>
      <c r="AD839" s="16">
        <v>48.889993475913293</v>
      </c>
      <c r="AE839" s="16">
        <v>836</v>
      </c>
      <c r="AF839" s="16">
        <f>IF(AC839=0,IF(O839=6,INDEX(Acceleration!$V$4:$V$110,MATCH('Track Data'!S839,Acceleration!$K$4:$K$110,0)),IF('Track Data'!O839=5,INDEX(Acceleration!$U$4:$U$110,MATCH('Track Data'!S839,Acceleration!$K$4:$K$110,0)),1)),U839)</f>
        <v>1</v>
      </c>
      <c r="AG839" s="16">
        <f>IF(AC839=0,IF(O839=4,INDEX(Acceleration!$T$4:$T$110,MATCH('Track Data'!S839,Acceleration!$K$4:$K$110,0)),IF('Track Data'!O839=3,INDEX(Acceleration!$S$4:$S$110,MATCH('Track Data'!S839,Acceleration!$K$4:$K$110,0)),'Track Data'!AF839)),'Track Data'!U839)</f>
        <v>4.8208358613991411</v>
      </c>
      <c r="AH839" s="16">
        <f>IF(AC839=0,IF(O839=2,INDEX(Acceleration!$R$4:$R$110,MATCH('Track Data'!S839,Acceleration!$K$4:$K$110,0)),IF('Track Data'!O839=1,INDEX(Acceleration!$Q$4:$Q$110,MATCH('Track Data'!S839,Acceleration!$K$4:$K$110,0)),'Track Data'!AG839)),'Track Data'!U839)</f>
        <v>4.8208358613991411</v>
      </c>
    </row>
    <row r="840" spans="2:34" x14ac:dyDescent="0.25">
      <c r="B840" s="16">
        <v>220.27600000000001</v>
      </c>
      <c r="C840" s="16">
        <v>8110</v>
      </c>
      <c r="D840" s="16">
        <v>837</v>
      </c>
      <c r="E840" s="113">
        <v>127</v>
      </c>
      <c r="F840" s="113">
        <v>126.9</v>
      </c>
      <c r="G840" s="113">
        <v>116.4</v>
      </c>
      <c r="H840" s="113">
        <f t="shared" si="96"/>
        <v>32.333333333333336</v>
      </c>
      <c r="I840" s="113">
        <v>12.1</v>
      </c>
      <c r="J840" s="113">
        <v>66.63</v>
      </c>
      <c r="K840" s="113">
        <v>36.1</v>
      </c>
      <c r="L840" s="183"/>
      <c r="M840" s="16">
        <v>837</v>
      </c>
      <c r="N840" s="16">
        <f t="shared" si="98"/>
        <v>2.2937824583009154E-2</v>
      </c>
      <c r="O840" s="16">
        <v>4</v>
      </c>
      <c r="P840" s="16">
        <f t="shared" si="94"/>
        <v>9.1833785004516724</v>
      </c>
      <c r="Q840" s="16">
        <f t="shared" si="99"/>
        <v>43.59611332718687</v>
      </c>
      <c r="R840" s="113">
        <f t="shared" si="95"/>
        <v>329.49099999999999</v>
      </c>
      <c r="S840" s="16">
        <f>IF(S839=15800,15800,ROUND((((Q840*60)/'Gearing Calculator'!$C$14)*'Track Data'!P840),-2))</f>
        <v>12100</v>
      </c>
      <c r="T840" s="16">
        <f t="shared" si="97"/>
        <v>4.8208358613991411</v>
      </c>
      <c r="U840" s="16">
        <f>IF(AC840=100,Braking!$AG$2354,IF(AC840=50,Braking!$AG$1179,IF(AC840=75,Braking!$AG$1767,0)))</f>
        <v>0</v>
      </c>
      <c r="V840" s="16">
        <f>0.5*'Gearing Calculator'!$C$15*'Gearing Calculator'!$C$20*'Gearing Calculator'!$W$20*('Track Data'!Q840^2)</f>
        <v>201.16173693155565</v>
      </c>
      <c r="W840" s="16">
        <f>('Gearing Calculator'!$U$9*'Track Data'!T840)+'Track Data'!V840</f>
        <v>1484.4682432360069</v>
      </c>
      <c r="X840" s="16">
        <f>('Gearing Calculator'!$U$9*9.81)*('Gearing Calculator'!$U$16/'Gearing Calculator'!$C$7)-(('Track Data'!W840)*('Gearing Calculator'!$U$17/'Gearing Calculator'!$C$7))</f>
        <v>592.02572755831886</v>
      </c>
      <c r="Y840" s="16">
        <f>('Gearing Calculator'!$U$9*9.81)*(('Gearing Calculator'!$C$7-'Gearing Calculator'!$U$16)/'Gearing Calculator'!$C$7)+(('Track Data'!W840)*('Gearing Calculator'!$U$17/'Gearing Calculator'!$C$7))</f>
        <v>2019.396272441681</v>
      </c>
      <c r="Z840" s="16">
        <f>((X840*COS('Gearing Calculator'!$C$21))/'Gearing Calculator'!$C$22)/2</f>
        <v>18.303563078254452</v>
      </c>
      <c r="AA840" s="16">
        <f>Y840/'Gearing Calculator'!$C$24</f>
        <v>28.197545111657071</v>
      </c>
      <c r="AB840" s="16">
        <f t="shared" si="93"/>
        <v>220.44508037715221</v>
      </c>
      <c r="AC840" s="16">
        <v>0</v>
      </c>
      <c r="AD840" s="16">
        <v>48.889993475913293</v>
      </c>
      <c r="AE840" s="16">
        <v>837</v>
      </c>
      <c r="AF840" s="16">
        <f>IF(AC840=0,IF(O840=6,INDEX(Acceleration!$V$4:$V$110,MATCH('Track Data'!S840,Acceleration!$K$4:$K$110,0)),IF('Track Data'!O840=5,INDEX(Acceleration!$U$4:$U$110,MATCH('Track Data'!S840,Acceleration!$K$4:$K$110,0)),1)),U840)</f>
        <v>1</v>
      </c>
      <c r="AG840" s="16">
        <f>IF(AC840=0,IF(O840=4,INDEX(Acceleration!$T$4:$T$110,MATCH('Track Data'!S840,Acceleration!$K$4:$K$110,0)),IF('Track Data'!O840=3,INDEX(Acceleration!$S$4:$S$110,MATCH('Track Data'!S840,Acceleration!$K$4:$K$110,0)),'Track Data'!AF840)),'Track Data'!U840)</f>
        <v>4.8208358613991411</v>
      </c>
      <c r="AH840" s="16">
        <f>IF(AC840=0,IF(O840=2,INDEX(Acceleration!$R$4:$R$110,MATCH('Track Data'!S840,Acceleration!$K$4:$K$110,0)),IF('Track Data'!O840=1,INDEX(Acceleration!$Q$4:$Q$110,MATCH('Track Data'!S840,Acceleration!$K$4:$K$110,0)),'Track Data'!AG840)),'Track Data'!U840)</f>
        <v>4.8208358613991411</v>
      </c>
    </row>
    <row r="841" spans="2:34" x14ac:dyDescent="0.25">
      <c r="B841" s="16">
        <v>220.304</v>
      </c>
      <c r="C841" s="16">
        <v>8111</v>
      </c>
      <c r="D841" s="16">
        <v>838</v>
      </c>
      <c r="E841" s="113">
        <v>126</v>
      </c>
      <c r="F841" s="113">
        <v>126.5</v>
      </c>
      <c r="G841" s="113">
        <v>116</v>
      </c>
      <c r="H841" s="113">
        <f t="shared" si="96"/>
        <v>32.222222222222221</v>
      </c>
      <c r="I841" s="113">
        <v>12.9</v>
      </c>
      <c r="J841" s="113">
        <v>66.540000000000006</v>
      </c>
      <c r="K841" s="113">
        <v>50.2</v>
      </c>
      <c r="L841" s="183"/>
      <c r="M841" s="16">
        <v>838</v>
      </c>
      <c r="N841" s="16">
        <f t="shared" si="98"/>
        <v>2.2937824583009154E-2</v>
      </c>
      <c r="O841" s="16">
        <v>4</v>
      </c>
      <c r="P841" s="16">
        <f t="shared" si="94"/>
        <v>9.1833785004516724</v>
      </c>
      <c r="Q841" s="16">
        <f t="shared" si="99"/>
        <v>43.59611332718687</v>
      </c>
      <c r="R841" s="113">
        <f t="shared" si="95"/>
        <v>329.49099999999999</v>
      </c>
      <c r="S841" s="16">
        <f>IF(S840=15800,15800,ROUND((((Q841*60)/'Gearing Calculator'!$C$14)*'Track Data'!P841),-2))</f>
        <v>12100</v>
      </c>
      <c r="T841" s="16">
        <f t="shared" si="97"/>
        <v>4.8208358613991411</v>
      </c>
      <c r="U841" s="16">
        <f>IF(AC841=100,Braking!$AG$2354,IF(AC841=50,Braking!$AG$1179,IF(AC841=75,Braking!$AG$1767,0)))</f>
        <v>0</v>
      </c>
      <c r="V841" s="16">
        <f>0.5*'Gearing Calculator'!$C$15*'Gearing Calculator'!$C$20*'Gearing Calculator'!$W$20*('Track Data'!Q841^2)</f>
        <v>201.16173693155565</v>
      </c>
      <c r="W841" s="16">
        <f>('Gearing Calculator'!$U$9*'Track Data'!T841)+'Track Data'!V841</f>
        <v>1484.4682432360069</v>
      </c>
      <c r="X841" s="16">
        <f>('Gearing Calculator'!$U$9*9.81)*('Gearing Calculator'!$U$16/'Gearing Calculator'!$C$7)-(('Track Data'!W841)*('Gearing Calculator'!$U$17/'Gearing Calculator'!$C$7))</f>
        <v>592.02572755831886</v>
      </c>
      <c r="Y841" s="16">
        <f>('Gearing Calculator'!$U$9*9.81)*(('Gearing Calculator'!$C$7-'Gearing Calculator'!$U$16)/'Gearing Calculator'!$C$7)+(('Track Data'!W841)*('Gearing Calculator'!$U$17/'Gearing Calculator'!$C$7))</f>
        <v>2019.396272441681</v>
      </c>
      <c r="Z841" s="16">
        <f>((X841*COS('Gearing Calculator'!$C$21))/'Gearing Calculator'!$C$22)/2</f>
        <v>18.303563078254452</v>
      </c>
      <c r="AA841" s="16">
        <f>Y841/'Gearing Calculator'!$C$24</f>
        <v>28.197545111657071</v>
      </c>
      <c r="AB841" s="16">
        <f t="shared" si="93"/>
        <v>220.44508037715221</v>
      </c>
      <c r="AC841" s="16">
        <v>0</v>
      </c>
      <c r="AD841" s="16">
        <v>48.889993475913293</v>
      </c>
      <c r="AE841" s="16">
        <v>838</v>
      </c>
      <c r="AF841" s="16">
        <f>IF(AC841=0,IF(O841=6,INDEX(Acceleration!$V$4:$V$110,MATCH('Track Data'!S841,Acceleration!$K$4:$K$110,0)),IF('Track Data'!O841=5,INDEX(Acceleration!$U$4:$U$110,MATCH('Track Data'!S841,Acceleration!$K$4:$K$110,0)),1)),U841)</f>
        <v>1</v>
      </c>
      <c r="AG841" s="16">
        <f>IF(AC841=0,IF(O841=4,INDEX(Acceleration!$T$4:$T$110,MATCH('Track Data'!S841,Acceleration!$K$4:$K$110,0)),IF('Track Data'!O841=3,INDEX(Acceleration!$S$4:$S$110,MATCH('Track Data'!S841,Acceleration!$K$4:$K$110,0)),'Track Data'!AF841)),'Track Data'!U841)</f>
        <v>4.8208358613991411</v>
      </c>
      <c r="AH841" s="16">
        <f>IF(AC841=0,IF(O841=2,INDEX(Acceleration!$R$4:$R$110,MATCH('Track Data'!S841,Acceleration!$K$4:$K$110,0)),IF('Track Data'!O841=1,INDEX(Acceleration!$Q$4:$Q$110,MATCH('Track Data'!S841,Acceleration!$K$4:$K$110,0)),'Track Data'!AG841)),'Track Data'!U841)</f>
        <v>4.8208358613991411</v>
      </c>
    </row>
    <row r="842" spans="2:34" x14ac:dyDescent="0.25">
      <c r="B842" s="16">
        <v>220.333</v>
      </c>
      <c r="C842" s="16">
        <v>8112</v>
      </c>
      <c r="D842" s="16">
        <v>839</v>
      </c>
      <c r="E842" s="113">
        <v>126</v>
      </c>
      <c r="F842" s="113">
        <v>126.1</v>
      </c>
      <c r="G842" s="113">
        <v>115.5</v>
      </c>
      <c r="H842" s="113">
        <f t="shared" si="96"/>
        <v>32.083333333333336</v>
      </c>
      <c r="I842" s="113">
        <v>12.8</v>
      </c>
      <c r="J842" s="113">
        <v>66.98</v>
      </c>
      <c r="K842" s="113">
        <v>57.5</v>
      </c>
      <c r="L842" s="183"/>
      <c r="M842" s="16">
        <v>839</v>
      </c>
      <c r="N842" s="16">
        <f t="shared" si="98"/>
        <v>2.2937824583009154E-2</v>
      </c>
      <c r="O842" s="16">
        <v>4</v>
      </c>
      <c r="P842" s="16">
        <f t="shared" si="94"/>
        <v>9.1833785004516724</v>
      </c>
      <c r="Q842" s="16">
        <f t="shared" si="99"/>
        <v>43.59611332718687</v>
      </c>
      <c r="R842" s="113">
        <f t="shared" si="95"/>
        <v>329.49099999999999</v>
      </c>
      <c r="S842" s="16">
        <f>IF(S841=15800,15800,ROUND((((Q842*60)/'Gearing Calculator'!$C$14)*'Track Data'!P842),-2))</f>
        <v>12100</v>
      </c>
      <c r="T842" s="16">
        <f t="shared" si="97"/>
        <v>4.8208358613991411</v>
      </c>
      <c r="U842" s="16">
        <f>IF(AC842=100,Braking!$AG$2354,IF(AC842=50,Braking!$AG$1179,IF(AC842=75,Braking!$AG$1767,0)))</f>
        <v>0</v>
      </c>
      <c r="V842" s="16">
        <f>0.5*'Gearing Calculator'!$C$15*'Gearing Calculator'!$C$20*'Gearing Calculator'!$W$20*('Track Data'!Q842^2)</f>
        <v>201.16173693155565</v>
      </c>
      <c r="W842" s="16">
        <f>('Gearing Calculator'!$U$9*'Track Data'!T842)+'Track Data'!V842</f>
        <v>1484.4682432360069</v>
      </c>
      <c r="X842" s="16">
        <f>('Gearing Calculator'!$U$9*9.81)*('Gearing Calculator'!$U$16/'Gearing Calculator'!$C$7)-(('Track Data'!W842)*('Gearing Calculator'!$U$17/'Gearing Calculator'!$C$7))</f>
        <v>592.02572755831886</v>
      </c>
      <c r="Y842" s="16">
        <f>('Gearing Calculator'!$U$9*9.81)*(('Gearing Calculator'!$C$7-'Gearing Calculator'!$U$16)/'Gearing Calculator'!$C$7)+(('Track Data'!W842)*('Gearing Calculator'!$U$17/'Gearing Calculator'!$C$7))</f>
        <v>2019.396272441681</v>
      </c>
      <c r="Z842" s="16">
        <f>((X842*COS('Gearing Calculator'!$C$21))/'Gearing Calculator'!$C$22)/2</f>
        <v>18.303563078254452</v>
      </c>
      <c r="AA842" s="16">
        <f>Y842/'Gearing Calculator'!$C$24</f>
        <v>28.197545111657071</v>
      </c>
      <c r="AB842" s="16">
        <f t="shared" si="93"/>
        <v>220.44508037715221</v>
      </c>
      <c r="AC842" s="16">
        <v>0</v>
      </c>
      <c r="AD842" s="16">
        <v>48.889993475913293</v>
      </c>
      <c r="AE842" s="16">
        <v>839</v>
      </c>
      <c r="AF842" s="16">
        <f>IF(AC842=0,IF(O842=6,INDEX(Acceleration!$V$4:$V$110,MATCH('Track Data'!S842,Acceleration!$K$4:$K$110,0)),IF('Track Data'!O842=5,INDEX(Acceleration!$U$4:$U$110,MATCH('Track Data'!S842,Acceleration!$K$4:$K$110,0)),1)),U842)</f>
        <v>1</v>
      </c>
      <c r="AG842" s="16">
        <f>IF(AC842=0,IF(O842=4,INDEX(Acceleration!$T$4:$T$110,MATCH('Track Data'!S842,Acceleration!$K$4:$K$110,0)),IF('Track Data'!O842=3,INDEX(Acceleration!$S$4:$S$110,MATCH('Track Data'!S842,Acceleration!$K$4:$K$110,0)),'Track Data'!AF842)),'Track Data'!U842)</f>
        <v>4.8208358613991411</v>
      </c>
      <c r="AH842" s="16">
        <f>IF(AC842=0,IF(O842=2,INDEX(Acceleration!$R$4:$R$110,MATCH('Track Data'!S842,Acceleration!$K$4:$K$110,0)),IF('Track Data'!O842=1,INDEX(Acceleration!$Q$4:$Q$110,MATCH('Track Data'!S842,Acceleration!$K$4:$K$110,0)),'Track Data'!AG842)),'Track Data'!U842)</f>
        <v>4.8208358613991411</v>
      </c>
    </row>
    <row r="843" spans="2:34" x14ac:dyDescent="0.25">
      <c r="B843" s="16">
        <v>220.36099999999999</v>
      </c>
      <c r="C843" s="16">
        <v>8113</v>
      </c>
      <c r="D843" s="16">
        <v>840</v>
      </c>
      <c r="E843" s="113">
        <v>126</v>
      </c>
      <c r="F843" s="113">
        <v>125.6</v>
      </c>
      <c r="G843" s="113">
        <v>115.2</v>
      </c>
      <c r="H843" s="113">
        <f t="shared" si="96"/>
        <v>32</v>
      </c>
      <c r="I843" s="113">
        <v>13.9</v>
      </c>
      <c r="J843" s="113">
        <v>65.55</v>
      </c>
      <c r="K843" s="113">
        <v>56.7</v>
      </c>
      <c r="L843" s="183"/>
      <c r="M843" s="16">
        <v>840</v>
      </c>
      <c r="N843" s="16">
        <f t="shared" si="98"/>
        <v>2.2937824583009154E-2</v>
      </c>
      <c r="O843" s="16">
        <v>4</v>
      </c>
      <c r="P843" s="16">
        <f t="shared" si="94"/>
        <v>9.1833785004516724</v>
      </c>
      <c r="Q843" s="16">
        <f t="shared" si="99"/>
        <v>43.59611332718687</v>
      </c>
      <c r="R843" s="113">
        <f t="shared" si="95"/>
        <v>329.49099999999999</v>
      </c>
      <c r="S843" s="16">
        <f>IF(S842=15800,15800,ROUND((((Q843*60)/'Gearing Calculator'!$C$14)*'Track Data'!P843),-2))</f>
        <v>12100</v>
      </c>
      <c r="T843" s="16">
        <f t="shared" si="97"/>
        <v>4.8208358613991411</v>
      </c>
      <c r="U843" s="16">
        <f>IF(AC843=100,Braking!$AG$2354,IF(AC843=50,Braking!$AG$1179,IF(AC843=75,Braking!$AG$1767,0)))</f>
        <v>0</v>
      </c>
      <c r="V843" s="16">
        <f>0.5*'Gearing Calculator'!$C$15*'Gearing Calculator'!$C$20*'Gearing Calculator'!$W$20*('Track Data'!Q843^2)</f>
        <v>201.16173693155565</v>
      </c>
      <c r="W843" s="16">
        <f>('Gearing Calculator'!$U$9*'Track Data'!T843)+'Track Data'!V843</f>
        <v>1484.4682432360069</v>
      </c>
      <c r="X843" s="16">
        <f>('Gearing Calculator'!$U$9*9.81)*('Gearing Calculator'!$U$16/'Gearing Calculator'!$C$7)-(('Track Data'!W843)*('Gearing Calculator'!$U$17/'Gearing Calculator'!$C$7))</f>
        <v>592.02572755831886</v>
      </c>
      <c r="Y843" s="16">
        <f>('Gearing Calculator'!$U$9*9.81)*(('Gearing Calculator'!$C$7-'Gearing Calculator'!$U$16)/'Gearing Calculator'!$C$7)+(('Track Data'!W843)*('Gearing Calculator'!$U$17/'Gearing Calculator'!$C$7))</f>
        <v>2019.396272441681</v>
      </c>
      <c r="Z843" s="16">
        <f>((X843*COS('Gearing Calculator'!$C$21))/'Gearing Calculator'!$C$22)/2</f>
        <v>18.303563078254452</v>
      </c>
      <c r="AA843" s="16">
        <f>Y843/'Gearing Calculator'!$C$24</f>
        <v>28.197545111657071</v>
      </c>
      <c r="AB843" s="16">
        <f t="shared" si="93"/>
        <v>220.44508037715221</v>
      </c>
      <c r="AC843" s="16">
        <v>0</v>
      </c>
      <c r="AD843" s="16">
        <v>48.889993475913293</v>
      </c>
      <c r="AE843" s="16">
        <v>840</v>
      </c>
      <c r="AF843" s="16">
        <f>IF(AC843=0,IF(O843=6,INDEX(Acceleration!$V$4:$V$110,MATCH('Track Data'!S843,Acceleration!$K$4:$K$110,0)),IF('Track Data'!O843=5,INDEX(Acceleration!$U$4:$U$110,MATCH('Track Data'!S843,Acceleration!$K$4:$K$110,0)),1)),U843)</f>
        <v>1</v>
      </c>
      <c r="AG843" s="16">
        <f>IF(AC843=0,IF(O843=4,INDEX(Acceleration!$T$4:$T$110,MATCH('Track Data'!S843,Acceleration!$K$4:$K$110,0)),IF('Track Data'!O843=3,INDEX(Acceleration!$S$4:$S$110,MATCH('Track Data'!S843,Acceleration!$K$4:$K$110,0)),'Track Data'!AF843)),'Track Data'!U843)</f>
        <v>4.8208358613991411</v>
      </c>
      <c r="AH843" s="16">
        <f>IF(AC843=0,IF(O843=2,INDEX(Acceleration!$R$4:$R$110,MATCH('Track Data'!S843,Acceleration!$K$4:$K$110,0)),IF('Track Data'!O843=1,INDEX(Acceleration!$Q$4:$Q$110,MATCH('Track Data'!S843,Acceleration!$K$4:$K$110,0)),'Track Data'!AG843)),'Track Data'!U843)</f>
        <v>4.8208358613991411</v>
      </c>
    </row>
    <row r="844" spans="2:34" x14ac:dyDescent="0.25">
      <c r="B844" s="16">
        <v>220.39</v>
      </c>
      <c r="C844" s="16">
        <v>8114</v>
      </c>
      <c r="D844" s="16">
        <v>841</v>
      </c>
      <c r="E844" s="113">
        <v>128</v>
      </c>
      <c r="F844" s="113">
        <v>125.2</v>
      </c>
      <c r="G844" s="113">
        <v>114.9</v>
      </c>
      <c r="H844" s="113">
        <f t="shared" si="96"/>
        <v>31.916666666666668</v>
      </c>
      <c r="I844" s="113">
        <v>14.3</v>
      </c>
      <c r="J844" s="113">
        <v>68.84</v>
      </c>
      <c r="K844" s="113">
        <v>55.9</v>
      </c>
      <c r="L844" s="183"/>
      <c r="M844" s="16">
        <v>841</v>
      </c>
      <c r="N844" s="16">
        <f t="shared" si="98"/>
        <v>2.2937824583009154E-2</v>
      </c>
      <c r="O844" s="16">
        <v>4</v>
      </c>
      <c r="P844" s="16">
        <f t="shared" si="94"/>
        <v>9.1833785004516724</v>
      </c>
      <c r="Q844" s="16">
        <f t="shared" si="99"/>
        <v>43.59611332718687</v>
      </c>
      <c r="R844" s="113">
        <f t="shared" si="95"/>
        <v>329.49099999999999</v>
      </c>
      <c r="S844" s="16">
        <f>IF(S843=15800,15800,ROUND((((Q844*60)/'Gearing Calculator'!$C$14)*'Track Data'!P844),-2))</f>
        <v>12100</v>
      </c>
      <c r="T844" s="16">
        <f t="shared" si="97"/>
        <v>4.8208358613991411</v>
      </c>
      <c r="U844" s="16">
        <f>IF(AC844=100,Braking!$AG$2354,IF(AC844=50,Braking!$AG$1179,IF(AC844=75,Braking!$AG$1767,0)))</f>
        <v>0</v>
      </c>
      <c r="V844" s="16">
        <f>0.5*'Gearing Calculator'!$C$15*'Gearing Calculator'!$C$20*'Gearing Calculator'!$W$20*('Track Data'!Q844^2)</f>
        <v>201.16173693155565</v>
      </c>
      <c r="W844" s="16">
        <f>('Gearing Calculator'!$U$9*'Track Data'!T844)+'Track Data'!V844</f>
        <v>1484.4682432360069</v>
      </c>
      <c r="X844" s="16">
        <f>('Gearing Calculator'!$U$9*9.81)*('Gearing Calculator'!$U$16/'Gearing Calculator'!$C$7)-(('Track Data'!W844)*('Gearing Calculator'!$U$17/'Gearing Calculator'!$C$7))</f>
        <v>592.02572755831886</v>
      </c>
      <c r="Y844" s="16">
        <f>('Gearing Calculator'!$U$9*9.81)*(('Gearing Calculator'!$C$7-'Gearing Calculator'!$U$16)/'Gearing Calculator'!$C$7)+(('Track Data'!W844)*('Gearing Calculator'!$U$17/'Gearing Calculator'!$C$7))</f>
        <v>2019.396272441681</v>
      </c>
      <c r="Z844" s="16">
        <f>((X844*COS('Gearing Calculator'!$C$21))/'Gearing Calculator'!$C$22)/2</f>
        <v>18.303563078254452</v>
      </c>
      <c r="AA844" s="16">
        <f>Y844/'Gearing Calculator'!$C$24</f>
        <v>28.197545111657071</v>
      </c>
      <c r="AB844" s="16">
        <f t="shared" si="93"/>
        <v>220.44508037715221</v>
      </c>
      <c r="AC844" s="16">
        <v>0</v>
      </c>
      <c r="AD844" s="16">
        <v>48.889993475913293</v>
      </c>
      <c r="AE844" s="16">
        <v>841</v>
      </c>
      <c r="AF844" s="16">
        <f>IF(AC844=0,IF(O844=6,INDEX(Acceleration!$V$4:$V$110,MATCH('Track Data'!S844,Acceleration!$K$4:$K$110,0)),IF('Track Data'!O844=5,INDEX(Acceleration!$U$4:$U$110,MATCH('Track Data'!S844,Acceleration!$K$4:$K$110,0)),1)),U844)</f>
        <v>1</v>
      </c>
      <c r="AG844" s="16">
        <f>IF(AC844=0,IF(O844=4,INDEX(Acceleration!$T$4:$T$110,MATCH('Track Data'!S844,Acceleration!$K$4:$K$110,0)),IF('Track Data'!O844=3,INDEX(Acceleration!$S$4:$S$110,MATCH('Track Data'!S844,Acceleration!$K$4:$K$110,0)),'Track Data'!AF844)),'Track Data'!U844)</f>
        <v>4.8208358613991411</v>
      </c>
      <c r="AH844" s="16">
        <f>IF(AC844=0,IF(O844=2,INDEX(Acceleration!$R$4:$R$110,MATCH('Track Data'!S844,Acceleration!$K$4:$K$110,0)),IF('Track Data'!O844=1,INDEX(Acceleration!$Q$4:$Q$110,MATCH('Track Data'!S844,Acceleration!$K$4:$K$110,0)),'Track Data'!AG844)),'Track Data'!U844)</f>
        <v>4.8208358613991411</v>
      </c>
    </row>
    <row r="845" spans="2:34" x14ac:dyDescent="0.25">
      <c r="B845" s="16">
        <v>220.41800000000001</v>
      </c>
      <c r="C845" s="16">
        <v>8115</v>
      </c>
      <c r="D845" s="16">
        <v>842</v>
      </c>
      <c r="E845" s="113">
        <v>128</v>
      </c>
      <c r="F845" s="113">
        <v>125</v>
      </c>
      <c r="G845" s="113">
        <v>114.6</v>
      </c>
      <c r="H845" s="113">
        <f t="shared" si="96"/>
        <v>31.833333333333332</v>
      </c>
      <c r="I845" s="113">
        <v>15.2</v>
      </c>
      <c r="J845" s="113">
        <v>66.38</v>
      </c>
      <c r="K845" s="113">
        <v>55.2</v>
      </c>
      <c r="L845" s="183"/>
      <c r="M845" s="16">
        <v>842</v>
      </c>
      <c r="N845" s="16">
        <f t="shared" si="98"/>
        <v>2.2937824583009154E-2</v>
      </c>
      <c r="O845" s="16">
        <v>4</v>
      </c>
      <c r="P845" s="16">
        <f t="shared" si="94"/>
        <v>9.1833785004516724</v>
      </c>
      <c r="Q845" s="16">
        <f t="shared" si="99"/>
        <v>43.59611332718687</v>
      </c>
      <c r="R845" s="113">
        <f t="shared" si="95"/>
        <v>329.49099999999999</v>
      </c>
      <c r="S845" s="16">
        <f>IF(S844=15800,15800,ROUND((((Q845*60)/'Gearing Calculator'!$C$14)*'Track Data'!P845),-2))</f>
        <v>12100</v>
      </c>
      <c r="T845" s="16">
        <f t="shared" si="97"/>
        <v>4.8208358613991411</v>
      </c>
      <c r="U845" s="16">
        <f>IF(AC845=100,Braking!$AG$2354,IF(AC845=50,Braking!$AG$1179,IF(AC845=75,Braking!$AG$1767,0)))</f>
        <v>0</v>
      </c>
      <c r="V845" s="16">
        <f>0.5*'Gearing Calculator'!$C$15*'Gearing Calculator'!$C$20*'Gearing Calculator'!$W$20*('Track Data'!Q845^2)</f>
        <v>201.16173693155565</v>
      </c>
      <c r="W845" s="16">
        <f>('Gearing Calculator'!$U$9*'Track Data'!T845)+'Track Data'!V845</f>
        <v>1484.4682432360069</v>
      </c>
      <c r="X845" s="16">
        <f>('Gearing Calculator'!$U$9*9.81)*('Gearing Calculator'!$U$16/'Gearing Calculator'!$C$7)-(('Track Data'!W845)*('Gearing Calculator'!$U$17/'Gearing Calculator'!$C$7))</f>
        <v>592.02572755831886</v>
      </c>
      <c r="Y845" s="16">
        <f>('Gearing Calculator'!$U$9*9.81)*(('Gearing Calculator'!$C$7-'Gearing Calculator'!$U$16)/'Gearing Calculator'!$C$7)+(('Track Data'!W845)*('Gearing Calculator'!$U$17/'Gearing Calculator'!$C$7))</f>
        <v>2019.396272441681</v>
      </c>
      <c r="Z845" s="16">
        <f>((X845*COS('Gearing Calculator'!$C$21))/'Gearing Calculator'!$C$22)/2</f>
        <v>18.303563078254452</v>
      </c>
      <c r="AA845" s="16">
        <f>Y845/'Gearing Calculator'!$C$24</f>
        <v>28.197545111657071</v>
      </c>
      <c r="AB845" s="16">
        <f t="shared" si="93"/>
        <v>220.44508037715221</v>
      </c>
      <c r="AC845" s="16">
        <v>0</v>
      </c>
      <c r="AD845" s="16">
        <v>48.889993475913293</v>
      </c>
      <c r="AE845" s="16">
        <v>842</v>
      </c>
      <c r="AF845" s="16">
        <f>IF(AC845=0,IF(O845=6,INDEX(Acceleration!$V$4:$V$110,MATCH('Track Data'!S845,Acceleration!$K$4:$K$110,0)),IF('Track Data'!O845=5,INDEX(Acceleration!$U$4:$U$110,MATCH('Track Data'!S845,Acceleration!$K$4:$K$110,0)),1)),U845)</f>
        <v>1</v>
      </c>
      <c r="AG845" s="16">
        <f>IF(AC845=0,IF(O845=4,INDEX(Acceleration!$T$4:$T$110,MATCH('Track Data'!S845,Acceleration!$K$4:$K$110,0)),IF('Track Data'!O845=3,INDEX(Acceleration!$S$4:$S$110,MATCH('Track Data'!S845,Acceleration!$K$4:$K$110,0)),'Track Data'!AF845)),'Track Data'!U845)</f>
        <v>4.8208358613991411</v>
      </c>
      <c r="AH845" s="16">
        <f>IF(AC845=0,IF(O845=2,INDEX(Acceleration!$R$4:$R$110,MATCH('Track Data'!S845,Acceleration!$K$4:$K$110,0)),IF('Track Data'!O845=1,INDEX(Acceleration!$Q$4:$Q$110,MATCH('Track Data'!S845,Acceleration!$K$4:$K$110,0)),'Track Data'!AG845)),'Track Data'!U845)</f>
        <v>4.8208358613991411</v>
      </c>
    </row>
    <row r="846" spans="2:34" x14ac:dyDescent="0.25">
      <c r="B846" s="16">
        <v>220.447</v>
      </c>
      <c r="C846" s="16">
        <v>8116</v>
      </c>
      <c r="D846" s="16">
        <v>843</v>
      </c>
      <c r="E846" s="113">
        <v>128</v>
      </c>
      <c r="F846" s="113">
        <v>124.6</v>
      </c>
      <c r="G846" s="113">
        <v>114.4</v>
      </c>
      <c r="H846" s="113">
        <f t="shared" si="96"/>
        <v>31.777777777777779</v>
      </c>
      <c r="I846" s="113">
        <v>16.2</v>
      </c>
      <c r="J846" s="113">
        <v>65.34</v>
      </c>
      <c r="K846" s="113">
        <v>54.1</v>
      </c>
      <c r="L846" s="183"/>
      <c r="M846" s="16">
        <v>843</v>
      </c>
      <c r="N846" s="16">
        <f t="shared" si="98"/>
        <v>2.2937824583009154E-2</v>
      </c>
      <c r="O846" s="16">
        <v>4</v>
      </c>
      <c r="P846" s="16">
        <f t="shared" si="94"/>
        <v>9.1833785004516724</v>
      </c>
      <c r="Q846" s="16">
        <f t="shared" si="99"/>
        <v>43.59611332718687</v>
      </c>
      <c r="R846" s="113">
        <f t="shared" si="95"/>
        <v>329.49099999999999</v>
      </c>
      <c r="S846" s="16">
        <f>IF(S845=15800,15800,ROUND((((Q846*60)/'Gearing Calculator'!$C$14)*'Track Data'!P846),-2))</f>
        <v>12100</v>
      </c>
      <c r="T846" s="16">
        <f t="shared" si="97"/>
        <v>4.8208358613991411</v>
      </c>
      <c r="U846" s="16">
        <f>IF(AC846=100,Braking!$AG$2354,IF(AC846=50,Braking!$AG$1179,IF(AC846=75,Braking!$AG$1767,0)))</f>
        <v>0</v>
      </c>
      <c r="V846" s="16">
        <f>0.5*'Gearing Calculator'!$C$15*'Gearing Calculator'!$C$20*'Gearing Calculator'!$W$20*('Track Data'!Q846^2)</f>
        <v>201.16173693155565</v>
      </c>
      <c r="W846" s="16">
        <f>('Gearing Calculator'!$U$9*'Track Data'!T846)+'Track Data'!V846</f>
        <v>1484.4682432360069</v>
      </c>
      <c r="X846" s="16">
        <f>('Gearing Calculator'!$U$9*9.81)*('Gearing Calculator'!$U$16/'Gearing Calculator'!$C$7)-(('Track Data'!W846)*('Gearing Calculator'!$U$17/'Gearing Calculator'!$C$7))</f>
        <v>592.02572755831886</v>
      </c>
      <c r="Y846" s="16">
        <f>('Gearing Calculator'!$U$9*9.81)*(('Gearing Calculator'!$C$7-'Gearing Calculator'!$U$16)/'Gearing Calculator'!$C$7)+(('Track Data'!W846)*('Gearing Calculator'!$U$17/'Gearing Calculator'!$C$7))</f>
        <v>2019.396272441681</v>
      </c>
      <c r="Z846" s="16">
        <f>((X846*COS('Gearing Calculator'!$C$21))/'Gearing Calculator'!$C$22)/2</f>
        <v>18.303563078254452</v>
      </c>
      <c r="AA846" s="16">
        <f>Y846/'Gearing Calculator'!$C$24</f>
        <v>28.197545111657071</v>
      </c>
      <c r="AB846" s="16">
        <f t="shared" si="93"/>
        <v>220.44508037715221</v>
      </c>
      <c r="AC846" s="16">
        <v>0</v>
      </c>
      <c r="AD846" s="16">
        <v>48.889993475913293</v>
      </c>
      <c r="AE846" s="16">
        <v>843</v>
      </c>
      <c r="AF846" s="16">
        <f>IF(AC846=0,IF(O846=6,INDEX(Acceleration!$V$4:$V$110,MATCH('Track Data'!S846,Acceleration!$K$4:$K$110,0)),IF('Track Data'!O846=5,INDEX(Acceleration!$U$4:$U$110,MATCH('Track Data'!S846,Acceleration!$K$4:$K$110,0)),1)),U846)</f>
        <v>1</v>
      </c>
      <c r="AG846" s="16">
        <f>IF(AC846=0,IF(O846=4,INDEX(Acceleration!$T$4:$T$110,MATCH('Track Data'!S846,Acceleration!$K$4:$K$110,0)),IF('Track Data'!O846=3,INDEX(Acceleration!$S$4:$S$110,MATCH('Track Data'!S846,Acceleration!$K$4:$K$110,0)),'Track Data'!AF846)),'Track Data'!U846)</f>
        <v>4.8208358613991411</v>
      </c>
      <c r="AH846" s="16">
        <f>IF(AC846=0,IF(O846=2,INDEX(Acceleration!$R$4:$R$110,MATCH('Track Data'!S846,Acceleration!$K$4:$K$110,0)),IF('Track Data'!O846=1,INDEX(Acceleration!$Q$4:$Q$110,MATCH('Track Data'!S846,Acceleration!$K$4:$K$110,0)),'Track Data'!AG846)),'Track Data'!U846)</f>
        <v>4.8208358613991411</v>
      </c>
    </row>
    <row r="847" spans="2:34" x14ac:dyDescent="0.25">
      <c r="B847" s="16">
        <v>220.476</v>
      </c>
      <c r="C847" s="16">
        <v>8117</v>
      </c>
      <c r="D847" s="16">
        <v>844</v>
      </c>
      <c r="E847" s="113">
        <v>129</v>
      </c>
      <c r="F847" s="113">
        <v>124.6</v>
      </c>
      <c r="G847" s="113">
        <v>114.2</v>
      </c>
      <c r="H847" s="113">
        <f t="shared" si="96"/>
        <v>31.722222222222221</v>
      </c>
      <c r="I847" s="113">
        <v>15.2</v>
      </c>
      <c r="J847" s="113">
        <v>57.05</v>
      </c>
      <c r="K847" s="113">
        <v>53.1</v>
      </c>
      <c r="L847" s="183"/>
      <c r="M847" s="16">
        <v>844</v>
      </c>
      <c r="N847" s="16">
        <f t="shared" si="98"/>
        <v>2.2937824583009154E-2</v>
      </c>
      <c r="O847" s="16">
        <v>4</v>
      </c>
      <c r="P847" s="16">
        <f t="shared" si="94"/>
        <v>9.1833785004516724</v>
      </c>
      <c r="Q847" s="16">
        <f t="shared" si="99"/>
        <v>43.59611332718687</v>
      </c>
      <c r="R847" s="113">
        <f t="shared" si="95"/>
        <v>329.49099999999999</v>
      </c>
      <c r="S847" s="16">
        <f>IF(S846=15800,15800,ROUND((((Q847*60)/'Gearing Calculator'!$C$14)*'Track Data'!P847),-2))</f>
        <v>12100</v>
      </c>
      <c r="T847" s="16">
        <f t="shared" si="97"/>
        <v>4.8208358613991411</v>
      </c>
      <c r="U847" s="16">
        <f>IF(AC847=100,Braking!$AG$2354,IF(AC847=50,Braking!$AG$1179,IF(AC847=75,Braking!$AG$1767,0)))</f>
        <v>0</v>
      </c>
      <c r="V847" s="16">
        <f>0.5*'Gearing Calculator'!$C$15*'Gearing Calculator'!$C$20*'Gearing Calculator'!$W$20*('Track Data'!Q847^2)</f>
        <v>201.16173693155565</v>
      </c>
      <c r="W847" s="16">
        <f>('Gearing Calculator'!$U$9*'Track Data'!T847)+'Track Data'!V847</f>
        <v>1484.4682432360069</v>
      </c>
      <c r="X847" s="16">
        <f>('Gearing Calculator'!$U$9*9.81)*('Gearing Calculator'!$U$16/'Gearing Calculator'!$C$7)-(('Track Data'!W847)*('Gearing Calculator'!$U$17/'Gearing Calculator'!$C$7))</f>
        <v>592.02572755831886</v>
      </c>
      <c r="Y847" s="16">
        <f>('Gearing Calculator'!$U$9*9.81)*(('Gearing Calculator'!$C$7-'Gearing Calculator'!$U$16)/'Gearing Calculator'!$C$7)+(('Track Data'!W847)*('Gearing Calculator'!$U$17/'Gearing Calculator'!$C$7))</f>
        <v>2019.396272441681</v>
      </c>
      <c r="Z847" s="16">
        <f>((X847*COS('Gearing Calculator'!$C$21))/'Gearing Calculator'!$C$22)/2</f>
        <v>18.303563078254452</v>
      </c>
      <c r="AA847" s="16">
        <f>Y847/'Gearing Calculator'!$C$24</f>
        <v>28.197545111657071</v>
      </c>
      <c r="AB847" s="16">
        <f t="shared" si="93"/>
        <v>220.44508037715221</v>
      </c>
      <c r="AC847" s="16">
        <v>0</v>
      </c>
      <c r="AD847" s="16">
        <v>48.889993475913293</v>
      </c>
      <c r="AE847" s="16">
        <v>844</v>
      </c>
      <c r="AF847" s="16">
        <f>IF(AC847=0,IF(O847=6,INDEX(Acceleration!$V$4:$V$110,MATCH('Track Data'!S847,Acceleration!$K$4:$K$110,0)),IF('Track Data'!O847=5,INDEX(Acceleration!$U$4:$U$110,MATCH('Track Data'!S847,Acceleration!$K$4:$K$110,0)),1)),U847)</f>
        <v>1</v>
      </c>
      <c r="AG847" s="16">
        <f>IF(AC847=0,IF(O847=4,INDEX(Acceleration!$T$4:$T$110,MATCH('Track Data'!S847,Acceleration!$K$4:$K$110,0)),IF('Track Data'!O847=3,INDEX(Acceleration!$S$4:$S$110,MATCH('Track Data'!S847,Acceleration!$K$4:$K$110,0)),'Track Data'!AF847)),'Track Data'!U847)</f>
        <v>4.8208358613991411</v>
      </c>
      <c r="AH847" s="16">
        <f>IF(AC847=0,IF(O847=2,INDEX(Acceleration!$R$4:$R$110,MATCH('Track Data'!S847,Acceleration!$K$4:$K$110,0)),IF('Track Data'!O847=1,INDEX(Acceleration!$Q$4:$Q$110,MATCH('Track Data'!S847,Acceleration!$K$4:$K$110,0)),'Track Data'!AG847)),'Track Data'!U847)</f>
        <v>4.8208358613991411</v>
      </c>
    </row>
    <row r="848" spans="2:34" x14ac:dyDescent="0.25">
      <c r="B848" s="16">
        <v>220.505</v>
      </c>
      <c r="C848" s="16">
        <v>8118</v>
      </c>
      <c r="D848" s="16">
        <v>845</v>
      </c>
      <c r="E848" s="113">
        <v>130</v>
      </c>
      <c r="F848" s="113">
        <v>124.8</v>
      </c>
      <c r="G848" s="113">
        <v>114</v>
      </c>
      <c r="H848" s="113">
        <f t="shared" si="96"/>
        <v>31.666666666666664</v>
      </c>
      <c r="I848" s="113">
        <v>12.2</v>
      </c>
      <c r="J848" s="113">
        <v>59.56</v>
      </c>
      <c r="K848" s="113">
        <v>52.1</v>
      </c>
      <c r="L848" s="183"/>
      <c r="M848" s="16">
        <v>845</v>
      </c>
      <c r="N848" s="16">
        <f t="shared" si="98"/>
        <v>2.2937824583009154E-2</v>
      </c>
      <c r="O848" s="16">
        <v>4</v>
      </c>
      <c r="P848" s="16">
        <f t="shared" si="94"/>
        <v>9.1833785004516724</v>
      </c>
      <c r="Q848" s="16">
        <f t="shared" si="99"/>
        <v>43.59611332718687</v>
      </c>
      <c r="R848" s="113">
        <f t="shared" si="95"/>
        <v>329.49099999999999</v>
      </c>
      <c r="S848" s="16">
        <f>IF(S847=15800,15800,ROUND((((Q848*60)/'Gearing Calculator'!$C$14)*'Track Data'!P848),-2))</f>
        <v>12100</v>
      </c>
      <c r="T848" s="16">
        <f t="shared" si="97"/>
        <v>4.8208358613991411</v>
      </c>
      <c r="U848" s="16">
        <f>IF(AC848=100,Braking!$AG$2354,IF(AC848=50,Braking!$AG$1179,IF(AC848=75,Braking!$AG$1767,0)))</f>
        <v>0</v>
      </c>
      <c r="V848" s="16">
        <f>0.5*'Gearing Calculator'!$C$15*'Gearing Calculator'!$C$20*'Gearing Calculator'!$W$20*('Track Data'!Q848^2)</f>
        <v>201.16173693155565</v>
      </c>
      <c r="W848" s="16">
        <f>('Gearing Calculator'!$U$9*'Track Data'!T848)+'Track Data'!V848</f>
        <v>1484.4682432360069</v>
      </c>
      <c r="X848" s="16">
        <f>('Gearing Calculator'!$U$9*9.81)*('Gearing Calculator'!$U$16/'Gearing Calculator'!$C$7)-(('Track Data'!W848)*('Gearing Calculator'!$U$17/'Gearing Calculator'!$C$7))</f>
        <v>592.02572755831886</v>
      </c>
      <c r="Y848" s="16">
        <f>('Gearing Calculator'!$U$9*9.81)*(('Gearing Calculator'!$C$7-'Gearing Calculator'!$U$16)/'Gearing Calculator'!$C$7)+(('Track Data'!W848)*('Gearing Calculator'!$U$17/'Gearing Calculator'!$C$7))</f>
        <v>2019.396272441681</v>
      </c>
      <c r="Z848" s="16">
        <f>((X848*COS('Gearing Calculator'!$C$21))/'Gearing Calculator'!$C$22)/2</f>
        <v>18.303563078254452</v>
      </c>
      <c r="AA848" s="16">
        <f>Y848/'Gearing Calculator'!$C$24</f>
        <v>28.197545111657071</v>
      </c>
      <c r="AB848" s="16">
        <f t="shared" si="93"/>
        <v>220.44508037715221</v>
      </c>
      <c r="AC848" s="16">
        <v>0</v>
      </c>
      <c r="AD848" s="16">
        <v>48.889993475913293</v>
      </c>
      <c r="AE848" s="16">
        <v>845</v>
      </c>
      <c r="AF848" s="16">
        <f>IF(AC848=0,IF(O848=6,INDEX(Acceleration!$V$4:$V$110,MATCH('Track Data'!S848,Acceleration!$K$4:$K$110,0)),IF('Track Data'!O848=5,INDEX(Acceleration!$U$4:$U$110,MATCH('Track Data'!S848,Acceleration!$K$4:$K$110,0)),1)),U848)</f>
        <v>1</v>
      </c>
      <c r="AG848" s="16">
        <f>IF(AC848=0,IF(O848=4,INDEX(Acceleration!$T$4:$T$110,MATCH('Track Data'!S848,Acceleration!$K$4:$K$110,0)),IF('Track Data'!O848=3,INDEX(Acceleration!$S$4:$S$110,MATCH('Track Data'!S848,Acceleration!$K$4:$K$110,0)),'Track Data'!AF848)),'Track Data'!U848)</f>
        <v>4.8208358613991411</v>
      </c>
      <c r="AH848" s="16">
        <f>IF(AC848=0,IF(O848=2,INDEX(Acceleration!$R$4:$R$110,MATCH('Track Data'!S848,Acceleration!$K$4:$K$110,0)),IF('Track Data'!O848=1,INDEX(Acceleration!$Q$4:$Q$110,MATCH('Track Data'!S848,Acceleration!$K$4:$K$110,0)),'Track Data'!AG848)),'Track Data'!U848)</f>
        <v>4.8208358613991411</v>
      </c>
    </row>
    <row r="849" spans="2:34" x14ac:dyDescent="0.25">
      <c r="B849" s="16">
        <v>220.53399999999999</v>
      </c>
      <c r="C849" s="16">
        <v>8119</v>
      </c>
      <c r="D849" s="16">
        <v>846</v>
      </c>
      <c r="E849" s="113">
        <v>131</v>
      </c>
      <c r="F849" s="113">
        <v>125.1</v>
      </c>
      <c r="G849" s="113">
        <v>113.8</v>
      </c>
      <c r="H849" s="113">
        <f t="shared" si="96"/>
        <v>31.611111111111111</v>
      </c>
      <c r="I849" s="113">
        <v>9.8000000000000007</v>
      </c>
      <c r="J849" s="113">
        <v>49.76</v>
      </c>
      <c r="K849" s="113">
        <v>51.2</v>
      </c>
      <c r="L849" s="183"/>
      <c r="M849" s="16">
        <v>846</v>
      </c>
      <c r="N849" s="16">
        <f t="shared" si="98"/>
        <v>2.2937824583009154E-2</v>
      </c>
      <c r="O849" s="16">
        <v>4</v>
      </c>
      <c r="P849" s="16">
        <f t="shared" si="94"/>
        <v>9.1833785004516724</v>
      </c>
      <c r="Q849" s="16">
        <f t="shared" si="99"/>
        <v>43.59611332718687</v>
      </c>
      <c r="R849" s="113">
        <f t="shared" si="95"/>
        <v>329.49099999999999</v>
      </c>
      <c r="S849" s="16">
        <f>IF(S848=15800,15800,ROUND((((Q849*60)/'Gearing Calculator'!$C$14)*'Track Data'!P849),-2))</f>
        <v>12100</v>
      </c>
      <c r="T849" s="16">
        <f t="shared" si="97"/>
        <v>4.8208358613991411</v>
      </c>
      <c r="U849" s="16">
        <f>IF(AC849=100,Braking!$AG$2354,IF(AC849=50,Braking!$AG$1179,IF(AC849=75,Braking!$AG$1767,0)))</f>
        <v>0</v>
      </c>
      <c r="V849" s="16">
        <f>0.5*'Gearing Calculator'!$C$15*'Gearing Calculator'!$C$20*'Gearing Calculator'!$W$20*('Track Data'!Q849^2)</f>
        <v>201.16173693155565</v>
      </c>
      <c r="W849" s="16">
        <f>('Gearing Calculator'!$U$9*'Track Data'!T849)+'Track Data'!V849</f>
        <v>1484.4682432360069</v>
      </c>
      <c r="X849" s="16">
        <f>('Gearing Calculator'!$U$9*9.81)*('Gearing Calculator'!$U$16/'Gearing Calculator'!$C$7)-(('Track Data'!W849)*('Gearing Calculator'!$U$17/'Gearing Calculator'!$C$7))</f>
        <v>592.02572755831886</v>
      </c>
      <c r="Y849" s="16">
        <f>('Gearing Calculator'!$U$9*9.81)*(('Gearing Calculator'!$C$7-'Gearing Calculator'!$U$16)/'Gearing Calculator'!$C$7)+(('Track Data'!W849)*('Gearing Calculator'!$U$17/'Gearing Calculator'!$C$7))</f>
        <v>2019.396272441681</v>
      </c>
      <c r="Z849" s="16">
        <f>((X849*COS('Gearing Calculator'!$C$21))/'Gearing Calculator'!$C$22)/2</f>
        <v>18.303563078254452</v>
      </c>
      <c r="AA849" s="16">
        <f>Y849/'Gearing Calculator'!$C$24</f>
        <v>28.197545111657071</v>
      </c>
      <c r="AB849" s="16">
        <f t="shared" si="93"/>
        <v>220.44508037715221</v>
      </c>
      <c r="AC849" s="16">
        <v>0</v>
      </c>
      <c r="AD849" s="16">
        <v>48.889993475913293</v>
      </c>
      <c r="AE849" s="16">
        <v>846</v>
      </c>
      <c r="AF849" s="16">
        <f>IF(AC849=0,IF(O849=6,INDEX(Acceleration!$V$4:$V$110,MATCH('Track Data'!S849,Acceleration!$K$4:$K$110,0)),IF('Track Data'!O849=5,INDEX(Acceleration!$U$4:$U$110,MATCH('Track Data'!S849,Acceleration!$K$4:$K$110,0)),1)),U849)</f>
        <v>1</v>
      </c>
      <c r="AG849" s="16">
        <f>IF(AC849=0,IF(O849=4,INDEX(Acceleration!$T$4:$T$110,MATCH('Track Data'!S849,Acceleration!$K$4:$K$110,0)),IF('Track Data'!O849=3,INDEX(Acceleration!$S$4:$S$110,MATCH('Track Data'!S849,Acceleration!$K$4:$K$110,0)),'Track Data'!AF849)),'Track Data'!U849)</f>
        <v>4.8208358613991411</v>
      </c>
      <c r="AH849" s="16">
        <f>IF(AC849=0,IF(O849=2,INDEX(Acceleration!$R$4:$R$110,MATCH('Track Data'!S849,Acceleration!$K$4:$K$110,0)),IF('Track Data'!O849=1,INDEX(Acceleration!$Q$4:$Q$110,MATCH('Track Data'!S849,Acceleration!$K$4:$K$110,0)),'Track Data'!AG849)),'Track Data'!U849)</f>
        <v>4.8208358613991411</v>
      </c>
    </row>
    <row r="850" spans="2:34" x14ac:dyDescent="0.25">
      <c r="B850" s="16">
        <v>220.56299999999999</v>
      </c>
      <c r="C850" s="16">
        <v>8120</v>
      </c>
      <c r="D850" s="16">
        <v>847</v>
      </c>
      <c r="E850" s="113">
        <v>131</v>
      </c>
      <c r="F850" s="113">
        <v>125.6</v>
      </c>
      <c r="G850" s="113">
        <v>113.8</v>
      </c>
      <c r="H850" s="113">
        <f t="shared" si="96"/>
        <v>31.611111111111111</v>
      </c>
      <c r="I850" s="113">
        <v>9.8000000000000007</v>
      </c>
      <c r="J850" s="113">
        <v>55.18</v>
      </c>
      <c r="K850" s="113">
        <v>50.4</v>
      </c>
      <c r="L850" s="183"/>
      <c r="M850" s="16">
        <v>847</v>
      </c>
      <c r="N850" s="16">
        <f t="shared" si="98"/>
        <v>2.2937824583009154E-2</v>
      </c>
      <c r="O850" s="16">
        <v>4</v>
      </c>
      <c r="P850" s="16">
        <f t="shared" si="94"/>
        <v>9.1833785004516724</v>
      </c>
      <c r="Q850" s="16">
        <f t="shared" si="99"/>
        <v>43.59611332718687</v>
      </c>
      <c r="R850" s="113">
        <f t="shared" si="95"/>
        <v>329.49099999999999</v>
      </c>
      <c r="S850" s="16">
        <f>IF(S849=15800,15800,ROUND((((Q850*60)/'Gearing Calculator'!$C$14)*'Track Data'!P850),-2))</f>
        <v>12100</v>
      </c>
      <c r="T850" s="16">
        <f t="shared" si="97"/>
        <v>4.8208358613991411</v>
      </c>
      <c r="U850" s="16">
        <f>IF(AC850=100,Braking!$AG$2354,IF(AC850=50,Braking!$AG$1179,IF(AC850=75,Braking!$AG$1767,0)))</f>
        <v>0</v>
      </c>
      <c r="V850" s="16">
        <f>0.5*'Gearing Calculator'!$C$15*'Gearing Calculator'!$C$20*'Gearing Calculator'!$W$20*('Track Data'!Q850^2)</f>
        <v>201.16173693155565</v>
      </c>
      <c r="W850" s="16">
        <f>('Gearing Calculator'!$U$9*'Track Data'!T850)+'Track Data'!V850</f>
        <v>1484.4682432360069</v>
      </c>
      <c r="X850" s="16">
        <f>('Gearing Calculator'!$U$9*9.81)*('Gearing Calculator'!$U$16/'Gearing Calculator'!$C$7)-(('Track Data'!W850)*('Gearing Calculator'!$U$17/'Gearing Calculator'!$C$7))</f>
        <v>592.02572755831886</v>
      </c>
      <c r="Y850" s="16">
        <f>('Gearing Calculator'!$U$9*9.81)*(('Gearing Calculator'!$C$7-'Gearing Calculator'!$U$16)/'Gearing Calculator'!$C$7)+(('Track Data'!W850)*('Gearing Calculator'!$U$17/'Gearing Calculator'!$C$7))</f>
        <v>2019.396272441681</v>
      </c>
      <c r="Z850" s="16">
        <f>((X850*COS('Gearing Calculator'!$C$21))/'Gearing Calculator'!$C$22)/2</f>
        <v>18.303563078254452</v>
      </c>
      <c r="AA850" s="16">
        <f>Y850/'Gearing Calculator'!$C$24</f>
        <v>28.197545111657071</v>
      </c>
      <c r="AB850" s="16">
        <f t="shared" si="93"/>
        <v>220.44508037715221</v>
      </c>
      <c r="AC850" s="16">
        <v>0</v>
      </c>
      <c r="AD850" s="16">
        <v>48.889993475913293</v>
      </c>
      <c r="AE850" s="16">
        <v>847</v>
      </c>
      <c r="AF850" s="16">
        <f>IF(AC850=0,IF(O850=6,INDEX(Acceleration!$V$4:$V$110,MATCH('Track Data'!S850,Acceleration!$K$4:$K$110,0)),IF('Track Data'!O850=5,INDEX(Acceleration!$U$4:$U$110,MATCH('Track Data'!S850,Acceleration!$K$4:$K$110,0)),1)),U850)</f>
        <v>1</v>
      </c>
      <c r="AG850" s="16">
        <f>IF(AC850=0,IF(O850=4,INDEX(Acceleration!$T$4:$T$110,MATCH('Track Data'!S850,Acceleration!$K$4:$K$110,0)),IF('Track Data'!O850=3,INDEX(Acceleration!$S$4:$S$110,MATCH('Track Data'!S850,Acceleration!$K$4:$K$110,0)),'Track Data'!AF850)),'Track Data'!U850)</f>
        <v>4.8208358613991411</v>
      </c>
      <c r="AH850" s="16">
        <f>IF(AC850=0,IF(O850=2,INDEX(Acceleration!$R$4:$R$110,MATCH('Track Data'!S850,Acceleration!$K$4:$K$110,0)),IF('Track Data'!O850=1,INDEX(Acceleration!$Q$4:$Q$110,MATCH('Track Data'!S850,Acceleration!$K$4:$K$110,0)),'Track Data'!AG850)),'Track Data'!U850)</f>
        <v>4.8208358613991411</v>
      </c>
    </row>
    <row r="851" spans="2:34" x14ac:dyDescent="0.25">
      <c r="B851" s="16">
        <v>220.59100000000001</v>
      </c>
      <c r="C851" s="16">
        <v>8121</v>
      </c>
      <c r="D851" s="16">
        <v>848</v>
      </c>
      <c r="E851" s="113">
        <v>131</v>
      </c>
      <c r="F851" s="113">
        <v>126</v>
      </c>
      <c r="G851" s="113">
        <v>113.8</v>
      </c>
      <c r="H851" s="113">
        <f t="shared" si="96"/>
        <v>31.611111111111111</v>
      </c>
      <c r="I851" s="113">
        <v>9.5</v>
      </c>
      <c r="J851" s="113">
        <v>52.13</v>
      </c>
      <c r="K851" s="113">
        <v>50.4</v>
      </c>
      <c r="L851" s="183"/>
      <c r="M851" s="16">
        <v>848</v>
      </c>
      <c r="N851" s="16">
        <f t="shared" si="98"/>
        <v>2.2937824583009154E-2</v>
      </c>
      <c r="O851" s="16">
        <v>4</v>
      </c>
      <c r="P851" s="16">
        <f t="shared" si="94"/>
        <v>9.1833785004516724</v>
      </c>
      <c r="Q851" s="16">
        <f t="shared" si="99"/>
        <v>43.59611332718687</v>
      </c>
      <c r="R851" s="113">
        <f t="shared" si="95"/>
        <v>329.49099999999999</v>
      </c>
      <c r="S851" s="16">
        <f>IF(S850=15800,15800,ROUND((((Q851*60)/'Gearing Calculator'!$C$14)*'Track Data'!P851),-2))</f>
        <v>12100</v>
      </c>
      <c r="T851" s="16">
        <f t="shared" si="97"/>
        <v>4.8208358613991411</v>
      </c>
      <c r="U851" s="16">
        <f>IF(AC851=100,Braking!$AG$2354,IF(AC851=50,Braking!$AG$1179,IF(AC851=75,Braking!$AG$1767,0)))</f>
        <v>0</v>
      </c>
      <c r="V851" s="16">
        <f>0.5*'Gearing Calculator'!$C$15*'Gearing Calculator'!$C$20*'Gearing Calculator'!$W$20*('Track Data'!Q851^2)</f>
        <v>201.16173693155565</v>
      </c>
      <c r="W851" s="16">
        <f>('Gearing Calculator'!$U$9*'Track Data'!T851)+'Track Data'!V851</f>
        <v>1484.4682432360069</v>
      </c>
      <c r="X851" s="16">
        <f>('Gearing Calculator'!$U$9*9.81)*('Gearing Calculator'!$U$16/'Gearing Calculator'!$C$7)-(('Track Data'!W851)*('Gearing Calculator'!$U$17/'Gearing Calculator'!$C$7))</f>
        <v>592.02572755831886</v>
      </c>
      <c r="Y851" s="16">
        <f>('Gearing Calculator'!$U$9*9.81)*(('Gearing Calculator'!$C$7-'Gearing Calculator'!$U$16)/'Gearing Calculator'!$C$7)+(('Track Data'!W851)*('Gearing Calculator'!$U$17/'Gearing Calculator'!$C$7))</f>
        <v>2019.396272441681</v>
      </c>
      <c r="Z851" s="16">
        <f>((X851*COS('Gearing Calculator'!$C$21))/'Gearing Calculator'!$C$22)/2</f>
        <v>18.303563078254452</v>
      </c>
      <c r="AA851" s="16">
        <f>Y851/'Gearing Calculator'!$C$24</f>
        <v>28.197545111657071</v>
      </c>
      <c r="AB851" s="16">
        <f t="shared" si="93"/>
        <v>220.44508037715221</v>
      </c>
      <c r="AC851" s="16">
        <v>0</v>
      </c>
      <c r="AD851" s="16">
        <v>48.889993475913293</v>
      </c>
      <c r="AE851" s="16">
        <v>848</v>
      </c>
      <c r="AF851" s="16">
        <f>IF(AC851=0,IF(O851=6,INDEX(Acceleration!$V$4:$V$110,MATCH('Track Data'!S851,Acceleration!$K$4:$K$110,0)),IF('Track Data'!O851=5,INDEX(Acceleration!$U$4:$U$110,MATCH('Track Data'!S851,Acceleration!$K$4:$K$110,0)),1)),U851)</f>
        <v>1</v>
      </c>
      <c r="AG851" s="16">
        <f>IF(AC851=0,IF(O851=4,INDEX(Acceleration!$T$4:$T$110,MATCH('Track Data'!S851,Acceleration!$K$4:$K$110,0)),IF('Track Data'!O851=3,INDEX(Acceleration!$S$4:$S$110,MATCH('Track Data'!S851,Acceleration!$K$4:$K$110,0)),'Track Data'!AF851)),'Track Data'!U851)</f>
        <v>4.8208358613991411</v>
      </c>
      <c r="AH851" s="16">
        <f>IF(AC851=0,IF(O851=2,INDEX(Acceleration!$R$4:$R$110,MATCH('Track Data'!S851,Acceleration!$K$4:$K$110,0)),IF('Track Data'!O851=1,INDEX(Acceleration!$Q$4:$Q$110,MATCH('Track Data'!S851,Acceleration!$K$4:$K$110,0)),'Track Data'!AG851)),'Track Data'!U851)</f>
        <v>4.8208358613991411</v>
      </c>
    </row>
    <row r="852" spans="2:34" x14ac:dyDescent="0.25">
      <c r="B852" s="16">
        <v>220.619</v>
      </c>
      <c r="C852" s="16">
        <v>8122</v>
      </c>
      <c r="D852" s="16">
        <v>849</v>
      </c>
      <c r="E852" s="113">
        <v>131</v>
      </c>
      <c r="F852" s="113">
        <v>126</v>
      </c>
      <c r="G852" s="113">
        <v>113.8</v>
      </c>
      <c r="H852" s="113">
        <f t="shared" si="96"/>
        <v>31.611111111111111</v>
      </c>
      <c r="I852" s="113">
        <v>11.4</v>
      </c>
      <c r="J852" s="113">
        <v>54.74</v>
      </c>
      <c r="K852" s="113">
        <v>50.4</v>
      </c>
      <c r="L852" s="183"/>
      <c r="M852" s="16">
        <v>849</v>
      </c>
      <c r="N852" s="16">
        <f t="shared" si="98"/>
        <v>2.2937824583009154E-2</v>
      </c>
      <c r="O852" s="16">
        <v>4</v>
      </c>
      <c r="P852" s="16">
        <f t="shared" si="94"/>
        <v>9.1833785004516724</v>
      </c>
      <c r="Q852" s="16">
        <f t="shared" si="99"/>
        <v>43.59611332718687</v>
      </c>
      <c r="R852" s="113">
        <f t="shared" si="95"/>
        <v>329.49099999999999</v>
      </c>
      <c r="S852" s="16">
        <f>IF(S851=15800,15800,ROUND((((Q852*60)/'Gearing Calculator'!$C$14)*'Track Data'!P852),-2))</f>
        <v>12100</v>
      </c>
      <c r="T852" s="16">
        <f t="shared" si="97"/>
        <v>4.8208358613991411</v>
      </c>
      <c r="U852" s="16">
        <f>IF(AC852=100,Braking!$AG$2354,IF(AC852=50,Braking!$AG$1179,IF(AC852=75,Braking!$AG$1767,0)))</f>
        <v>0</v>
      </c>
      <c r="V852" s="16">
        <f>0.5*'Gearing Calculator'!$C$15*'Gearing Calculator'!$C$20*'Gearing Calculator'!$W$20*('Track Data'!Q852^2)</f>
        <v>201.16173693155565</v>
      </c>
      <c r="W852" s="16">
        <f>('Gearing Calculator'!$U$9*'Track Data'!T852)+'Track Data'!V852</f>
        <v>1484.4682432360069</v>
      </c>
      <c r="X852" s="16">
        <f>('Gearing Calculator'!$U$9*9.81)*('Gearing Calculator'!$U$16/'Gearing Calculator'!$C$7)-(('Track Data'!W852)*('Gearing Calculator'!$U$17/'Gearing Calculator'!$C$7))</f>
        <v>592.02572755831886</v>
      </c>
      <c r="Y852" s="16">
        <f>('Gearing Calculator'!$U$9*9.81)*(('Gearing Calculator'!$C$7-'Gearing Calculator'!$U$16)/'Gearing Calculator'!$C$7)+(('Track Data'!W852)*('Gearing Calculator'!$U$17/'Gearing Calculator'!$C$7))</f>
        <v>2019.396272441681</v>
      </c>
      <c r="Z852" s="16">
        <f>((X852*COS('Gearing Calculator'!$C$21))/'Gearing Calculator'!$C$22)/2</f>
        <v>18.303563078254452</v>
      </c>
      <c r="AA852" s="16">
        <f>Y852/'Gearing Calculator'!$C$24</f>
        <v>28.197545111657071</v>
      </c>
      <c r="AB852" s="16">
        <f t="shared" si="93"/>
        <v>220.44508037715221</v>
      </c>
      <c r="AC852" s="16">
        <v>0</v>
      </c>
      <c r="AD852" s="16">
        <v>48.889993475913293</v>
      </c>
      <c r="AE852" s="16">
        <v>849</v>
      </c>
      <c r="AF852" s="16">
        <f>IF(AC852=0,IF(O852=6,INDEX(Acceleration!$V$4:$V$110,MATCH('Track Data'!S852,Acceleration!$K$4:$K$110,0)),IF('Track Data'!O852=5,INDEX(Acceleration!$U$4:$U$110,MATCH('Track Data'!S852,Acceleration!$K$4:$K$110,0)),1)),U852)</f>
        <v>1</v>
      </c>
      <c r="AG852" s="16">
        <f>IF(AC852=0,IF(O852=4,INDEX(Acceleration!$T$4:$T$110,MATCH('Track Data'!S852,Acceleration!$K$4:$K$110,0)),IF('Track Data'!O852=3,INDEX(Acceleration!$S$4:$S$110,MATCH('Track Data'!S852,Acceleration!$K$4:$K$110,0)),'Track Data'!AF852)),'Track Data'!U852)</f>
        <v>4.8208358613991411</v>
      </c>
      <c r="AH852" s="16">
        <f>IF(AC852=0,IF(O852=2,INDEX(Acceleration!$R$4:$R$110,MATCH('Track Data'!S852,Acceleration!$K$4:$K$110,0)),IF('Track Data'!O852=1,INDEX(Acceleration!$Q$4:$Q$110,MATCH('Track Data'!S852,Acceleration!$K$4:$K$110,0)),'Track Data'!AG852)),'Track Data'!U852)</f>
        <v>4.8208358613991411</v>
      </c>
    </row>
    <row r="853" spans="2:34" x14ac:dyDescent="0.25">
      <c r="B853" s="16">
        <v>220.648</v>
      </c>
      <c r="C853" s="16">
        <v>8123</v>
      </c>
      <c r="D853" s="16">
        <v>850</v>
      </c>
      <c r="E853" s="113">
        <v>132</v>
      </c>
      <c r="F853" s="113">
        <v>125.9</v>
      </c>
      <c r="G853" s="113">
        <v>113.8</v>
      </c>
      <c r="H853" s="113">
        <f t="shared" si="96"/>
        <v>31.611111111111111</v>
      </c>
      <c r="I853" s="113">
        <v>13.6</v>
      </c>
      <c r="J853" s="113">
        <v>55.01</v>
      </c>
      <c r="K853" s="113">
        <v>50.3</v>
      </c>
      <c r="L853" s="183"/>
      <c r="M853" s="16">
        <v>850</v>
      </c>
      <c r="N853" s="16">
        <f t="shared" si="98"/>
        <v>2.2937824583009154E-2</v>
      </c>
      <c r="O853" s="16">
        <v>4</v>
      </c>
      <c r="P853" s="16">
        <f t="shared" si="94"/>
        <v>9.1833785004516724</v>
      </c>
      <c r="Q853" s="16">
        <f t="shared" si="99"/>
        <v>43.59611332718687</v>
      </c>
      <c r="R853" s="113">
        <f t="shared" si="95"/>
        <v>329.49099999999999</v>
      </c>
      <c r="S853" s="16">
        <f>IF(S852=15800,15800,ROUND((((Q853*60)/'Gearing Calculator'!$C$14)*'Track Data'!P853),-2))</f>
        <v>12100</v>
      </c>
      <c r="T853" s="16">
        <f t="shared" si="97"/>
        <v>4.8208358613991411</v>
      </c>
      <c r="U853" s="16">
        <f>IF(AC853=100,Braking!$AG$2354,IF(AC853=50,Braking!$AG$1179,IF(AC853=75,Braking!$AG$1767,0)))</f>
        <v>0</v>
      </c>
      <c r="V853" s="16">
        <f>0.5*'Gearing Calculator'!$C$15*'Gearing Calculator'!$C$20*'Gearing Calculator'!$W$20*('Track Data'!Q853^2)</f>
        <v>201.16173693155565</v>
      </c>
      <c r="W853" s="16">
        <f>('Gearing Calculator'!$U$9*'Track Data'!T853)+'Track Data'!V853</f>
        <v>1484.4682432360069</v>
      </c>
      <c r="X853" s="16">
        <f>('Gearing Calculator'!$U$9*9.81)*('Gearing Calculator'!$U$16/'Gearing Calculator'!$C$7)-(('Track Data'!W853)*('Gearing Calculator'!$U$17/'Gearing Calculator'!$C$7))</f>
        <v>592.02572755831886</v>
      </c>
      <c r="Y853" s="16">
        <f>('Gearing Calculator'!$U$9*9.81)*(('Gearing Calculator'!$C$7-'Gearing Calculator'!$U$16)/'Gearing Calculator'!$C$7)+(('Track Data'!W853)*('Gearing Calculator'!$U$17/'Gearing Calculator'!$C$7))</f>
        <v>2019.396272441681</v>
      </c>
      <c r="Z853" s="16">
        <f>((X853*COS('Gearing Calculator'!$C$21))/'Gearing Calculator'!$C$22)/2</f>
        <v>18.303563078254452</v>
      </c>
      <c r="AA853" s="16">
        <f>Y853/'Gearing Calculator'!$C$24</f>
        <v>28.197545111657071</v>
      </c>
      <c r="AB853" s="16">
        <f t="shared" si="93"/>
        <v>220.44508037715221</v>
      </c>
      <c r="AC853" s="16">
        <v>0</v>
      </c>
      <c r="AD853" s="16">
        <v>48.889993475913293</v>
      </c>
      <c r="AE853" s="16">
        <v>850</v>
      </c>
      <c r="AF853" s="16">
        <f>IF(AC853=0,IF(O853=6,INDEX(Acceleration!$V$4:$V$110,MATCH('Track Data'!S853,Acceleration!$K$4:$K$110,0)),IF('Track Data'!O853=5,INDEX(Acceleration!$U$4:$U$110,MATCH('Track Data'!S853,Acceleration!$K$4:$K$110,0)),1)),U853)</f>
        <v>1</v>
      </c>
      <c r="AG853" s="16">
        <f>IF(AC853=0,IF(O853=4,INDEX(Acceleration!$T$4:$T$110,MATCH('Track Data'!S853,Acceleration!$K$4:$K$110,0)),IF('Track Data'!O853=3,INDEX(Acceleration!$S$4:$S$110,MATCH('Track Data'!S853,Acceleration!$K$4:$K$110,0)),'Track Data'!AF853)),'Track Data'!U853)</f>
        <v>4.8208358613991411</v>
      </c>
      <c r="AH853" s="16">
        <f>IF(AC853=0,IF(O853=2,INDEX(Acceleration!$R$4:$R$110,MATCH('Track Data'!S853,Acceleration!$K$4:$K$110,0)),IF('Track Data'!O853=1,INDEX(Acceleration!$Q$4:$Q$110,MATCH('Track Data'!S853,Acceleration!$K$4:$K$110,0)),'Track Data'!AG853)),'Track Data'!U853)</f>
        <v>4.8208358613991411</v>
      </c>
    </row>
    <row r="854" spans="2:34" x14ac:dyDescent="0.25">
      <c r="B854" s="16">
        <v>220.67599999999999</v>
      </c>
      <c r="C854" s="16">
        <v>8124</v>
      </c>
      <c r="D854" s="16">
        <v>851</v>
      </c>
      <c r="E854" s="113">
        <v>131</v>
      </c>
      <c r="F854" s="113">
        <v>125.6</v>
      </c>
      <c r="G854" s="113">
        <v>113.8</v>
      </c>
      <c r="H854" s="113">
        <f t="shared" si="96"/>
        <v>31.611111111111111</v>
      </c>
      <c r="I854" s="113">
        <v>17</v>
      </c>
      <c r="J854" s="113">
        <v>52.4</v>
      </c>
      <c r="K854" s="113">
        <v>49.5</v>
      </c>
      <c r="L854" s="183"/>
      <c r="M854" s="16">
        <v>851</v>
      </c>
      <c r="N854" s="16">
        <f t="shared" si="98"/>
        <v>2.2937824583009154E-2</v>
      </c>
      <c r="O854" s="16">
        <v>4</v>
      </c>
      <c r="P854" s="16">
        <f t="shared" si="94"/>
        <v>9.1833785004516724</v>
      </c>
      <c r="Q854" s="16">
        <f t="shared" si="99"/>
        <v>43.59611332718687</v>
      </c>
      <c r="R854" s="113">
        <f t="shared" si="95"/>
        <v>329.49099999999999</v>
      </c>
      <c r="S854" s="16">
        <f>IF(S853=15800,15800,ROUND((((Q854*60)/'Gearing Calculator'!$C$14)*'Track Data'!P854),-2))</f>
        <v>12100</v>
      </c>
      <c r="T854" s="16">
        <f t="shared" si="97"/>
        <v>4.8208358613991411</v>
      </c>
      <c r="U854" s="16">
        <f>IF(AC854=100,Braking!$AG$2354,IF(AC854=50,Braking!$AG$1179,IF(AC854=75,Braking!$AG$1767,0)))</f>
        <v>0</v>
      </c>
      <c r="V854" s="16">
        <f>0.5*'Gearing Calculator'!$C$15*'Gearing Calculator'!$C$20*'Gearing Calculator'!$W$20*('Track Data'!Q854^2)</f>
        <v>201.16173693155565</v>
      </c>
      <c r="W854" s="16">
        <f>('Gearing Calculator'!$U$9*'Track Data'!T854)+'Track Data'!V854</f>
        <v>1484.4682432360069</v>
      </c>
      <c r="X854" s="16">
        <f>('Gearing Calculator'!$U$9*9.81)*('Gearing Calculator'!$U$16/'Gearing Calculator'!$C$7)-(('Track Data'!W854)*('Gearing Calculator'!$U$17/'Gearing Calculator'!$C$7))</f>
        <v>592.02572755831886</v>
      </c>
      <c r="Y854" s="16">
        <f>('Gearing Calculator'!$U$9*9.81)*(('Gearing Calculator'!$C$7-'Gearing Calculator'!$U$16)/'Gearing Calculator'!$C$7)+(('Track Data'!W854)*('Gearing Calculator'!$U$17/'Gearing Calculator'!$C$7))</f>
        <v>2019.396272441681</v>
      </c>
      <c r="Z854" s="16">
        <f>((X854*COS('Gearing Calculator'!$C$21))/'Gearing Calculator'!$C$22)/2</f>
        <v>18.303563078254452</v>
      </c>
      <c r="AA854" s="16">
        <f>Y854/'Gearing Calculator'!$C$24</f>
        <v>28.197545111657071</v>
      </c>
      <c r="AB854" s="16">
        <f t="shared" si="93"/>
        <v>220.44508037715221</v>
      </c>
      <c r="AC854" s="16">
        <v>0</v>
      </c>
      <c r="AD854" s="16">
        <v>48.889993475913293</v>
      </c>
      <c r="AE854" s="16">
        <v>851</v>
      </c>
      <c r="AF854" s="16">
        <f>IF(AC854=0,IF(O854=6,INDEX(Acceleration!$V$4:$V$110,MATCH('Track Data'!S854,Acceleration!$K$4:$K$110,0)),IF('Track Data'!O854=5,INDEX(Acceleration!$U$4:$U$110,MATCH('Track Data'!S854,Acceleration!$K$4:$K$110,0)),1)),U854)</f>
        <v>1</v>
      </c>
      <c r="AG854" s="16">
        <f>IF(AC854=0,IF(O854=4,INDEX(Acceleration!$T$4:$T$110,MATCH('Track Data'!S854,Acceleration!$K$4:$K$110,0)),IF('Track Data'!O854=3,INDEX(Acceleration!$S$4:$S$110,MATCH('Track Data'!S854,Acceleration!$K$4:$K$110,0)),'Track Data'!AF854)),'Track Data'!U854)</f>
        <v>4.8208358613991411</v>
      </c>
      <c r="AH854" s="16">
        <f>IF(AC854=0,IF(O854=2,INDEX(Acceleration!$R$4:$R$110,MATCH('Track Data'!S854,Acceleration!$K$4:$K$110,0)),IF('Track Data'!O854=1,INDEX(Acceleration!$Q$4:$Q$110,MATCH('Track Data'!S854,Acceleration!$K$4:$K$110,0)),'Track Data'!AG854)),'Track Data'!U854)</f>
        <v>4.8208358613991411</v>
      </c>
    </row>
    <row r="855" spans="2:34" x14ac:dyDescent="0.25">
      <c r="B855" s="16">
        <v>220.70500000000001</v>
      </c>
      <c r="C855" s="16">
        <v>8125</v>
      </c>
      <c r="D855" s="16">
        <v>852</v>
      </c>
      <c r="E855" s="113">
        <v>131</v>
      </c>
      <c r="F855" s="113">
        <v>125.4</v>
      </c>
      <c r="G855" s="113">
        <v>113.9</v>
      </c>
      <c r="H855" s="113">
        <f t="shared" si="96"/>
        <v>31.638888888888889</v>
      </c>
      <c r="I855" s="113">
        <v>19.399999999999999</v>
      </c>
      <c r="J855" s="113">
        <v>54.47</v>
      </c>
      <c r="K855" s="113">
        <v>48.6</v>
      </c>
      <c r="L855" s="183"/>
      <c r="M855" s="16">
        <v>852</v>
      </c>
      <c r="N855" s="16">
        <f t="shared" si="98"/>
        <v>2.2937824583009154E-2</v>
      </c>
      <c r="O855" s="16">
        <v>4</v>
      </c>
      <c r="P855" s="16">
        <f t="shared" si="94"/>
        <v>9.1833785004516724</v>
      </c>
      <c r="Q855" s="16">
        <f t="shared" si="99"/>
        <v>43.59611332718687</v>
      </c>
      <c r="R855" s="113">
        <f t="shared" si="95"/>
        <v>329.49099999999999</v>
      </c>
      <c r="S855" s="16">
        <f>IF(S854=15800,15800,ROUND((((Q855*60)/'Gearing Calculator'!$C$14)*'Track Data'!P855),-2))</f>
        <v>12100</v>
      </c>
      <c r="T855" s="16">
        <f t="shared" si="97"/>
        <v>4.8208358613991411</v>
      </c>
      <c r="U855" s="16">
        <f>IF(AC855=100,Braking!$AG$2354,IF(AC855=50,Braking!$AG$1179,IF(AC855=75,Braking!$AG$1767,0)))</f>
        <v>0</v>
      </c>
      <c r="V855" s="16">
        <f>0.5*'Gearing Calculator'!$C$15*'Gearing Calculator'!$C$20*'Gearing Calculator'!$W$20*('Track Data'!Q855^2)</f>
        <v>201.16173693155565</v>
      </c>
      <c r="W855" s="16">
        <f>('Gearing Calculator'!$U$9*'Track Data'!T855)+'Track Data'!V855</f>
        <v>1484.4682432360069</v>
      </c>
      <c r="X855" s="16">
        <f>('Gearing Calculator'!$U$9*9.81)*('Gearing Calculator'!$U$16/'Gearing Calculator'!$C$7)-(('Track Data'!W855)*('Gearing Calculator'!$U$17/'Gearing Calculator'!$C$7))</f>
        <v>592.02572755831886</v>
      </c>
      <c r="Y855" s="16">
        <f>('Gearing Calculator'!$U$9*9.81)*(('Gearing Calculator'!$C$7-'Gearing Calculator'!$U$16)/'Gearing Calculator'!$C$7)+(('Track Data'!W855)*('Gearing Calculator'!$U$17/'Gearing Calculator'!$C$7))</f>
        <v>2019.396272441681</v>
      </c>
      <c r="Z855" s="16">
        <f>((X855*COS('Gearing Calculator'!$C$21))/'Gearing Calculator'!$C$22)/2</f>
        <v>18.303563078254452</v>
      </c>
      <c r="AA855" s="16">
        <f>Y855/'Gearing Calculator'!$C$24</f>
        <v>28.197545111657071</v>
      </c>
      <c r="AB855" s="16">
        <f t="shared" si="93"/>
        <v>220.44508037715221</v>
      </c>
      <c r="AC855" s="16">
        <v>0</v>
      </c>
      <c r="AD855" s="16">
        <v>48.889993475913293</v>
      </c>
      <c r="AE855" s="16">
        <v>852</v>
      </c>
      <c r="AF855" s="16">
        <f>IF(AC855=0,IF(O855=6,INDEX(Acceleration!$V$4:$V$110,MATCH('Track Data'!S855,Acceleration!$K$4:$K$110,0)),IF('Track Data'!O855=5,INDEX(Acceleration!$U$4:$U$110,MATCH('Track Data'!S855,Acceleration!$K$4:$K$110,0)),1)),U855)</f>
        <v>1</v>
      </c>
      <c r="AG855" s="16">
        <f>IF(AC855=0,IF(O855=4,INDEX(Acceleration!$T$4:$T$110,MATCH('Track Data'!S855,Acceleration!$K$4:$K$110,0)),IF('Track Data'!O855=3,INDEX(Acceleration!$S$4:$S$110,MATCH('Track Data'!S855,Acceleration!$K$4:$K$110,0)),'Track Data'!AF855)),'Track Data'!U855)</f>
        <v>4.8208358613991411</v>
      </c>
      <c r="AH855" s="16">
        <f>IF(AC855=0,IF(O855=2,INDEX(Acceleration!$R$4:$R$110,MATCH('Track Data'!S855,Acceleration!$K$4:$K$110,0)),IF('Track Data'!O855=1,INDEX(Acceleration!$Q$4:$Q$110,MATCH('Track Data'!S855,Acceleration!$K$4:$K$110,0)),'Track Data'!AG855)),'Track Data'!U855)</f>
        <v>4.8208358613991411</v>
      </c>
    </row>
    <row r="856" spans="2:34" x14ac:dyDescent="0.25">
      <c r="B856" s="16">
        <v>220.73400000000001</v>
      </c>
      <c r="C856" s="16">
        <v>8126</v>
      </c>
      <c r="D856" s="16">
        <v>853</v>
      </c>
      <c r="E856" s="113">
        <v>131</v>
      </c>
      <c r="F856" s="113">
        <v>125.1</v>
      </c>
      <c r="G856" s="113">
        <v>113.9</v>
      </c>
      <c r="H856" s="113">
        <f t="shared" si="96"/>
        <v>31.638888888888889</v>
      </c>
      <c r="I856" s="113">
        <v>19.600000000000001</v>
      </c>
      <c r="J856" s="113">
        <v>49.26</v>
      </c>
      <c r="K856" s="113">
        <v>48.6</v>
      </c>
      <c r="L856" s="183"/>
      <c r="M856" s="16">
        <v>853</v>
      </c>
      <c r="N856" s="16">
        <f t="shared" si="98"/>
        <v>2.2937824583009154E-2</v>
      </c>
      <c r="O856" s="16">
        <v>4</v>
      </c>
      <c r="P856" s="16">
        <f t="shared" si="94"/>
        <v>9.1833785004516724</v>
      </c>
      <c r="Q856" s="16">
        <f t="shared" si="99"/>
        <v>43.59611332718687</v>
      </c>
      <c r="R856" s="113">
        <f t="shared" si="95"/>
        <v>329.49099999999999</v>
      </c>
      <c r="S856" s="16">
        <f>IF(S855=15800,15800,ROUND((((Q856*60)/'Gearing Calculator'!$C$14)*'Track Data'!P856),-2))</f>
        <v>12100</v>
      </c>
      <c r="T856" s="16">
        <f t="shared" si="97"/>
        <v>4.8208358613991411</v>
      </c>
      <c r="U856" s="16">
        <f>IF(AC856=100,Braking!$AG$2354,IF(AC856=50,Braking!$AG$1179,IF(AC856=75,Braking!$AG$1767,0)))</f>
        <v>0</v>
      </c>
      <c r="V856" s="16">
        <f>0.5*'Gearing Calculator'!$C$15*'Gearing Calculator'!$C$20*'Gearing Calculator'!$W$20*('Track Data'!Q856^2)</f>
        <v>201.16173693155565</v>
      </c>
      <c r="W856" s="16">
        <f>('Gearing Calculator'!$U$9*'Track Data'!T856)+'Track Data'!V856</f>
        <v>1484.4682432360069</v>
      </c>
      <c r="X856" s="16">
        <f>('Gearing Calculator'!$U$9*9.81)*('Gearing Calculator'!$U$16/'Gearing Calculator'!$C$7)-(('Track Data'!W856)*('Gearing Calculator'!$U$17/'Gearing Calculator'!$C$7))</f>
        <v>592.02572755831886</v>
      </c>
      <c r="Y856" s="16">
        <f>('Gearing Calculator'!$U$9*9.81)*(('Gearing Calculator'!$C$7-'Gearing Calculator'!$U$16)/'Gearing Calculator'!$C$7)+(('Track Data'!W856)*('Gearing Calculator'!$U$17/'Gearing Calculator'!$C$7))</f>
        <v>2019.396272441681</v>
      </c>
      <c r="Z856" s="16">
        <f>((X856*COS('Gearing Calculator'!$C$21))/'Gearing Calculator'!$C$22)/2</f>
        <v>18.303563078254452</v>
      </c>
      <c r="AA856" s="16">
        <f>Y856/'Gearing Calculator'!$C$24</f>
        <v>28.197545111657071</v>
      </c>
      <c r="AB856" s="16">
        <f t="shared" si="93"/>
        <v>220.44508037715221</v>
      </c>
      <c r="AC856" s="16">
        <v>0</v>
      </c>
      <c r="AD856" s="16">
        <v>48.889993475913293</v>
      </c>
      <c r="AE856" s="16">
        <v>853</v>
      </c>
      <c r="AF856" s="16">
        <f>IF(AC856=0,IF(O856=6,INDEX(Acceleration!$V$4:$V$110,MATCH('Track Data'!S856,Acceleration!$K$4:$K$110,0)),IF('Track Data'!O856=5,INDEX(Acceleration!$U$4:$U$110,MATCH('Track Data'!S856,Acceleration!$K$4:$K$110,0)),1)),U856)</f>
        <v>1</v>
      </c>
      <c r="AG856" s="16">
        <f>IF(AC856=0,IF(O856=4,INDEX(Acceleration!$T$4:$T$110,MATCH('Track Data'!S856,Acceleration!$K$4:$K$110,0)),IF('Track Data'!O856=3,INDEX(Acceleration!$S$4:$S$110,MATCH('Track Data'!S856,Acceleration!$K$4:$K$110,0)),'Track Data'!AF856)),'Track Data'!U856)</f>
        <v>4.8208358613991411</v>
      </c>
      <c r="AH856" s="16">
        <f>IF(AC856=0,IF(O856=2,INDEX(Acceleration!$R$4:$R$110,MATCH('Track Data'!S856,Acceleration!$K$4:$K$110,0)),IF('Track Data'!O856=1,INDEX(Acceleration!$Q$4:$Q$110,MATCH('Track Data'!S856,Acceleration!$K$4:$K$110,0)),'Track Data'!AG856)),'Track Data'!U856)</f>
        <v>4.8208358613991411</v>
      </c>
    </row>
    <row r="857" spans="2:34" x14ac:dyDescent="0.25">
      <c r="B857" s="16">
        <v>220.762</v>
      </c>
      <c r="C857" s="16">
        <v>8127</v>
      </c>
      <c r="D857" s="16">
        <v>854</v>
      </c>
      <c r="E857" s="113">
        <v>131</v>
      </c>
      <c r="F857" s="113">
        <v>125.1</v>
      </c>
      <c r="G857" s="113">
        <v>114</v>
      </c>
      <c r="H857" s="113">
        <f t="shared" si="96"/>
        <v>31.666666666666664</v>
      </c>
      <c r="I857" s="113">
        <v>18.899999999999999</v>
      </c>
      <c r="J857" s="113">
        <v>45.98</v>
      </c>
      <c r="K857" s="113">
        <v>49.4</v>
      </c>
      <c r="L857" s="183"/>
      <c r="M857" s="16">
        <v>854</v>
      </c>
      <c r="N857" s="16">
        <f t="shared" si="98"/>
        <v>2.2937824583009154E-2</v>
      </c>
      <c r="O857" s="16">
        <v>4</v>
      </c>
      <c r="P857" s="16">
        <f t="shared" si="94"/>
        <v>9.1833785004516724</v>
      </c>
      <c r="Q857" s="16">
        <f t="shared" si="99"/>
        <v>43.59611332718687</v>
      </c>
      <c r="R857" s="113">
        <f t="shared" si="95"/>
        <v>329.49099999999999</v>
      </c>
      <c r="S857" s="16">
        <f>IF(S856=15800,15800,ROUND((((Q857*60)/'Gearing Calculator'!$C$14)*'Track Data'!P857),-2))</f>
        <v>12100</v>
      </c>
      <c r="T857" s="16">
        <f t="shared" si="97"/>
        <v>4.8208358613991411</v>
      </c>
      <c r="U857" s="16">
        <f>IF(AC857=100,Braking!$AG$2354,IF(AC857=50,Braking!$AG$1179,IF(AC857=75,Braking!$AG$1767,0)))</f>
        <v>0</v>
      </c>
      <c r="V857" s="16">
        <f>0.5*'Gearing Calculator'!$C$15*'Gearing Calculator'!$C$20*'Gearing Calculator'!$W$20*('Track Data'!Q857^2)</f>
        <v>201.16173693155565</v>
      </c>
      <c r="W857" s="16">
        <f>('Gearing Calculator'!$U$9*'Track Data'!T857)+'Track Data'!V857</f>
        <v>1484.4682432360069</v>
      </c>
      <c r="X857" s="16">
        <f>('Gearing Calculator'!$U$9*9.81)*('Gearing Calculator'!$U$16/'Gearing Calculator'!$C$7)-(('Track Data'!W857)*('Gearing Calculator'!$U$17/'Gearing Calculator'!$C$7))</f>
        <v>592.02572755831886</v>
      </c>
      <c r="Y857" s="16">
        <f>('Gearing Calculator'!$U$9*9.81)*(('Gearing Calculator'!$C$7-'Gearing Calculator'!$U$16)/'Gearing Calculator'!$C$7)+(('Track Data'!W857)*('Gearing Calculator'!$U$17/'Gearing Calculator'!$C$7))</f>
        <v>2019.396272441681</v>
      </c>
      <c r="Z857" s="16">
        <f>((X857*COS('Gearing Calculator'!$C$21))/'Gearing Calculator'!$C$22)/2</f>
        <v>18.303563078254452</v>
      </c>
      <c r="AA857" s="16">
        <f>Y857/'Gearing Calculator'!$C$24</f>
        <v>28.197545111657071</v>
      </c>
      <c r="AB857" s="16">
        <f t="shared" si="93"/>
        <v>220.44508037715221</v>
      </c>
      <c r="AC857" s="16">
        <v>0</v>
      </c>
      <c r="AD857" s="16">
        <v>48.889993475913293</v>
      </c>
      <c r="AE857" s="16">
        <v>854</v>
      </c>
      <c r="AF857" s="16">
        <f>IF(AC857=0,IF(O857=6,INDEX(Acceleration!$V$4:$V$110,MATCH('Track Data'!S857,Acceleration!$K$4:$K$110,0)),IF('Track Data'!O857=5,INDEX(Acceleration!$U$4:$U$110,MATCH('Track Data'!S857,Acceleration!$K$4:$K$110,0)),1)),U857)</f>
        <v>1</v>
      </c>
      <c r="AG857" s="16">
        <f>IF(AC857=0,IF(O857=4,INDEX(Acceleration!$T$4:$T$110,MATCH('Track Data'!S857,Acceleration!$K$4:$K$110,0)),IF('Track Data'!O857=3,INDEX(Acceleration!$S$4:$S$110,MATCH('Track Data'!S857,Acceleration!$K$4:$K$110,0)),'Track Data'!AF857)),'Track Data'!U857)</f>
        <v>4.8208358613991411</v>
      </c>
      <c r="AH857" s="16">
        <f>IF(AC857=0,IF(O857=2,INDEX(Acceleration!$R$4:$R$110,MATCH('Track Data'!S857,Acceleration!$K$4:$K$110,0)),IF('Track Data'!O857=1,INDEX(Acceleration!$Q$4:$Q$110,MATCH('Track Data'!S857,Acceleration!$K$4:$K$110,0)),'Track Data'!AG857)),'Track Data'!U857)</f>
        <v>4.8208358613991411</v>
      </c>
    </row>
    <row r="858" spans="2:34" x14ac:dyDescent="0.25">
      <c r="B858" s="16">
        <v>220.791</v>
      </c>
      <c r="C858" s="16">
        <v>8128</v>
      </c>
      <c r="D858" s="16">
        <v>855</v>
      </c>
      <c r="E858" s="113">
        <v>132</v>
      </c>
      <c r="F858" s="113">
        <v>125.2</v>
      </c>
      <c r="G858" s="113">
        <v>114.1</v>
      </c>
      <c r="H858" s="113">
        <f t="shared" si="96"/>
        <v>31.694444444444443</v>
      </c>
      <c r="I858" s="113">
        <v>14.6</v>
      </c>
      <c r="J858" s="113">
        <v>44.38</v>
      </c>
      <c r="K858" s="113">
        <v>50.2</v>
      </c>
      <c r="L858" s="183"/>
      <c r="M858" s="16">
        <v>855</v>
      </c>
      <c r="N858" s="16">
        <f t="shared" si="98"/>
        <v>2.2937824583009154E-2</v>
      </c>
      <c r="O858" s="16">
        <v>4</v>
      </c>
      <c r="P858" s="16">
        <f t="shared" si="94"/>
        <v>9.1833785004516724</v>
      </c>
      <c r="Q858" s="16">
        <f t="shared" si="99"/>
        <v>43.59611332718687</v>
      </c>
      <c r="R858" s="113">
        <f t="shared" si="95"/>
        <v>329.49099999999999</v>
      </c>
      <c r="S858" s="16">
        <f>IF(S857=15800,15800,ROUND((((Q858*60)/'Gearing Calculator'!$C$14)*'Track Data'!P858),-2))</f>
        <v>12100</v>
      </c>
      <c r="T858" s="16">
        <f t="shared" si="97"/>
        <v>4.8208358613991411</v>
      </c>
      <c r="U858" s="16">
        <f>IF(AC858=100,Braking!$AG$2354,IF(AC858=50,Braking!$AG$1179,IF(AC858=75,Braking!$AG$1767,0)))</f>
        <v>0</v>
      </c>
      <c r="V858" s="16">
        <f>0.5*'Gearing Calculator'!$C$15*'Gearing Calculator'!$C$20*'Gearing Calculator'!$W$20*('Track Data'!Q858^2)</f>
        <v>201.16173693155565</v>
      </c>
      <c r="W858" s="16">
        <f>('Gearing Calculator'!$U$9*'Track Data'!T858)+'Track Data'!V858</f>
        <v>1484.4682432360069</v>
      </c>
      <c r="X858" s="16">
        <f>('Gearing Calculator'!$U$9*9.81)*('Gearing Calculator'!$U$16/'Gearing Calculator'!$C$7)-(('Track Data'!W858)*('Gearing Calculator'!$U$17/'Gearing Calculator'!$C$7))</f>
        <v>592.02572755831886</v>
      </c>
      <c r="Y858" s="16">
        <f>('Gearing Calculator'!$U$9*9.81)*(('Gearing Calculator'!$C$7-'Gearing Calculator'!$U$16)/'Gearing Calculator'!$C$7)+(('Track Data'!W858)*('Gearing Calculator'!$U$17/'Gearing Calculator'!$C$7))</f>
        <v>2019.396272441681</v>
      </c>
      <c r="Z858" s="16">
        <f>((X858*COS('Gearing Calculator'!$C$21))/'Gearing Calculator'!$C$22)/2</f>
        <v>18.303563078254452</v>
      </c>
      <c r="AA858" s="16">
        <f>Y858/'Gearing Calculator'!$C$24</f>
        <v>28.197545111657071</v>
      </c>
      <c r="AB858" s="16">
        <f t="shared" si="93"/>
        <v>220.44508037715221</v>
      </c>
      <c r="AC858" s="16">
        <v>0</v>
      </c>
      <c r="AD858" s="16">
        <v>48.889993475913293</v>
      </c>
      <c r="AE858" s="16">
        <v>855</v>
      </c>
      <c r="AF858" s="16">
        <f>IF(AC858=0,IF(O858=6,INDEX(Acceleration!$V$4:$V$110,MATCH('Track Data'!S858,Acceleration!$K$4:$K$110,0)),IF('Track Data'!O858=5,INDEX(Acceleration!$U$4:$U$110,MATCH('Track Data'!S858,Acceleration!$K$4:$K$110,0)),1)),U858)</f>
        <v>1</v>
      </c>
      <c r="AG858" s="16">
        <f>IF(AC858=0,IF(O858=4,INDEX(Acceleration!$T$4:$T$110,MATCH('Track Data'!S858,Acceleration!$K$4:$K$110,0)),IF('Track Data'!O858=3,INDEX(Acceleration!$S$4:$S$110,MATCH('Track Data'!S858,Acceleration!$K$4:$K$110,0)),'Track Data'!AF858)),'Track Data'!U858)</f>
        <v>4.8208358613991411</v>
      </c>
      <c r="AH858" s="16">
        <f>IF(AC858=0,IF(O858=2,INDEX(Acceleration!$R$4:$R$110,MATCH('Track Data'!S858,Acceleration!$K$4:$K$110,0)),IF('Track Data'!O858=1,INDEX(Acceleration!$Q$4:$Q$110,MATCH('Track Data'!S858,Acceleration!$K$4:$K$110,0)),'Track Data'!AG858)),'Track Data'!U858)</f>
        <v>4.8208358613991411</v>
      </c>
    </row>
    <row r="859" spans="2:34" x14ac:dyDescent="0.25">
      <c r="B859" s="16">
        <v>220.81899999999999</v>
      </c>
      <c r="C859" s="16">
        <v>8129</v>
      </c>
      <c r="D859" s="16">
        <v>856</v>
      </c>
      <c r="E859" s="113">
        <v>132</v>
      </c>
      <c r="F859" s="113">
        <v>125.5</v>
      </c>
      <c r="G859" s="113">
        <v>114.2</v>
      </c>
      <c r="H859" s="113">
        <f t="shared" si="96"/>
        <v>31.722222222222221</v>
      </c>
      <c r="I859" s="113">
        <v>11.7</v>
      </c>
      <c r="J859" s="113">
        <v>39.840000000000003</v>
      </c>
      <c r="K859" s="113">
        <v>51.1</v>
      </c>
      <c r="L859" s="183"/>
      <c r="M859" s="16">
        <v>856</v>
      </c>
      <c r="N859" s="16">
        <f t="shared" si="98"/>
        <v>2.2937824583009154E-2</v>
      </c>
      <c r="O859" s="16">
        <v>4</v>
      </c>
      <c r="P859" s="16">
        <f t="shared" si="94"/>
        <v>9.1833785004516724</v>
      </c>
      <c r="Q859" s="16">
        <f t="shared" si="99"/>
        <v>43.59611332718687</v>
      </c>
      <c r="R859" s="113">
        <f t="shared" si="95"/>
        <v>329.49099999999999</v>
      </c>
      <c r="S859" s="16">
        <f>IF(S858=15800,15800,ROUND((((Q859*60)/'Gearing Calculator'!$C$14)*'Track Data'!P859),-2))</f>
        <v>12100</v>
      </c>
      <c r="T859" s="16">
        <f t="shared" si="97"/>
        <v>4.8208358613991411</v>
      </c>
      <c r="U859" s="16">
        <f>IF(AC859=100,Braking!$AG$2354,IF(AC859=50,Braking!$AG$1179,IF(AC859=75,Braking!$AG$1767,0)))</f>
        <v>0</v>
      </c>
      <c r="V859" s="16">
        <f>0.5*'Gearing Calculator'!$C$15*'Gearing Calculator'!$C$20*'Gearing Calculator'!$W$20*('Track Data'!Q859^2)</f>
        <v>201.16173693155565</v>
      </c>
      <c r="W859" s="16">
        <f>('Gearing Calculator'!$U$9*'Track Data'!T859)+'Track Data'!V859</f>
        <v>1484.4682432360069</v>
      </c>
      <c r="X859" s="16">
        <f>('Gearing Calculator'!$U$9*9.81)*('Gearing Calculator'!$U$16/'Gearing Calculator'!$C$7)-(('Track Data'!W859)*('Gearing Calculator'!$U$17/'Gearing Calculator'!$C$7))</f>
        <v>592.02572755831886</v>
      </c>
      <c r="Y859" s="16">
        <f>('Gearing Calculator'!$U$9*9.81)*(('Gearing Calculator'!$C$7-'Gearing Calculator'!$U$16)/'Gearing Calculator'!$C$7)+(('Track Data'!W859)*('Gearing Calculator'!$U$17/'Gearing Calculator'!$C$7))</f>
        <v>2019.396272441681</v>
      </c>
      <c r="Z859" s="16">
        <f>((X859*COS('Gearing Calculator'!$C$21))/'Gearing Calculator'!$C$22)/2</f>
        <v>18.303563078254452</v>
      </c>
      <c r="AA859" s="16">
        <f>Y859/'Gearing Calculator'!$C$24</f>
        <v>28.197545111657071</v>
      </c>
      <c r="AB859" s="16">
        <f t="shared" si="93"/>
        <v>220.44508037715221</v>
      </c>
      <c r="AC859" s="16">
        <v>0</v>
      </c>
      <c r="AD859" s="16">
        <v>48.889993475913293</v>
      </c>
      <c r="AE859" s="16">
        <v>856</v>
      </c>
      <c r="AF859" s="16">
        <f>IF(AC859=0,IF(O859=6,INDEX(Acceleration!$V$4:$V$110,MATCH('Track Data'!S859,Acceleration!$K$4:$K$110,0)),IF('Track Data'!O859=5,INDEX(Acceleration!$U$4:$U$110,MATCH('Track Data'!S859,Acceleration!$K$4:$K$110,0)),1)),U859)</f>
        <v>1</v>
      </c>
      <c r="AG859" s="16">
        <f>IF(AC859=0,IF(O859=4,INDEX(Acceleration!$T$4:$T$110,MATCH('Track Data'!S859,Acceleration!$K$4:$K$110,0)),IF('Track Data'!O859=3,INDEX(Acceleration!$S$4:$S$110,MATCH('Track Data'!S859,Acceleration!$K$4:$K$110,0)),'Track Data'!AF859)),'Track Data'!U859)</f>
        <v>4.8208358613991411</v>
      </c>
      <c r="AH859" s="16">
        <f>IF(AC859=0,IF(O859=2,INDEX(Acceleration!$R$4:$R$110,MATCH('Track Data'!S859,Acceleration!$K$4:$K$110,0)),IF('Track Data'!O859=1,INDEX(Acceleration!$Q$4:$Q$110,MATCH('Track Data'!S859,Acceleration!$K$4:$K$110,0)),'Track Data'!AG859)),'Track Data'!U859)</f>
        <v>4.8208358613991411</v>
      </c>
    </row>
    <row r="860" spans="2:34" x14ac:dyDescent="0.25">
      <c r="B860" s="16">
        <v>220.84800000000001</v>
      </c>
      <c r="C860" s="16">
        <v>8130</v>
      </c>
      <c r="D860" s="16">
        <v>857</v>
      </c>
      <c r="E860" s="113">
        <v>133</v>
      </c>
      <c r="F860" s="113">
        <v>125.9</v>
      </c>
      <c r="G860" s="113">
        <v>114.3</v>
      </c>
      <c r="H860" s="113">
        <f t="shared" si="96"/>
        <v>31.75</v>
      </c>
      <c r="I860" s="113">
        <v>9.8000000000000007</v>
      </c>
      <c r="J860" s="113">
        <v>42.74</v>
      </c>
      <c r="K860" s="113">
        <v>52.6</v>
      </c>
      <c r="L860" s="183"/>
      <c r="M860" s="16">
        <v>857</v>
      </c>
      <c r="N860" s="16">
        <f t="shared" si="98"/>
        <v>2.2937824583009154E-2</v>
      </c>
      <c r="O860" s="16">
        <v>4</v>
      </c>
      <c r="P860" s="16">
        <f t="shared" si="94"/>
        <v>9.1833785004516724</v>
      </c>
      <c r="Q860" s="16">
        <f t="shared" si="99"/>
        <v>43.59611332718687</v>
      </c>
      <c r="R860" s="113">
        <f t="shared" si="95"/>
        <v>329.49099999999999</v>
      </c>
      <c r="S860" s="16">
        <f>IF(S859=15800,15800,ROUND((((Q860*60)/'Gearing Calculator'!$C$14)*'Track Data'!P860),-2))</f>
        <v>12100</v>
      </c>
      <c r="T860" s="16">
        <f t="shared" si="97"/>
        <v>4.8208358613991411</v>
      </c>
      <c r="U860" s="16">
        <f>IF(AC860=100,Braking!$AG$2354,IF(AC860=50,Braking!$AG$1179,IF(AC860=75,Braking!$AG$1767,0)))</f>
        <v>0</v>
      </c>
      <c r="V860" s="16">
        <f>0.5*'Gearing Calculator'!$C$15*'Gearing Calculator'!$C$20*'Gearing Calculator'!$W$20*('Track Data'!Q860^2)</f>
        <v>201.16173693155565</v>
      </c>
      <c r="W860" s="16">
        <f>('Gearing Calculator'!$U$9*'Track Data'!T860)+'Track Data'!V860</f>
        <v>1484.4682432360069</v>
      </c>
      <c r="X860" s="16">
        <f>('Gearing Calculator'!$U$9*9.81)*('Gearing Calculator'!$U$16/'Gearing Calculator'!$C$7)-(('Track Data'!W860)*('Gearing Calculator'!$U$17/'Gearing Calculator'!$C$7))</f>
        <v>592.02572755831886</v>
      </c>
      <c r="Y860" s="16">
        <f>('Gearing Calculator'!$U$9*9.81)*(('Gearing Calculator'!$C$7-'Gearing Calculator'!$U$16)/'Gearing Calculator'!$C$7)+(('Track Data'!W860)*('Gearing Calculator'!$U$17/'Gearing Calculator'!$C$7))</f>
        <v>2019.396272441681</v>
      </c>
      <c r="Z860" s="16">
        <f>((X860*COS('Gearing Calculator'!$C$21))/'Gearing Calculator'!$C$22)/2</f>
        <v>18.303563078254452</v>
      </c>
      <c r="AA860" s="16">
        <f>Y860/'Gearing Calculator'!$C$24</f>
        <v>28.197545111657071</v>
      </c>
      <c r="AB860" s="16">
        <f t="shared" si="93"/>
        <v>220.44508037715221</v>
      </c>
      <c r="AC860" s="16">
        <v>0</v>
      </c>
      <c r="AD860" s="16">
        <v>48.889993475913293</v>
      </c>
      <c r="AE860" s="16">
        <v>857</v>
      </c>
      <c r="AF860" s="16">
        <f>IF(AC860=0,IF(O860=6,INDEX(Acceleration!$V$4:$V$110,MATCH('Track Data'!S860,Acceleration!$K$4:$K$110,0)),IF('Track Data'!O860=5,INDEX(Acceleration!$U$4:$U$110,MATCH('Track Data'!S860,Acceleration!$K$4:$K$110,0)),1)),U860)</f>
        <v>1</v>
      </c>
      <c r="AG860" s="16">
        <f>IF(AC860=0,IF(O860=4,INDEX(Acceleration!$T$4:$T$110,MATCH('Track Data'!S860,Acceleration!$K$4:$K$110,0)),IF('Track Data'!O860=3,INDEX(Acceleration!$S$4:$S$110,MATCH('Track Data'!S860,Acceleration!$K$4:$K$110,0)),'Track Data'!AF860)),'Track Data'!U860)</f>
        <v>4.8208358613991411</v>
      </c>
      <c r="AH860" s="16">
        <f>IF(AC860=0,IF(O860=2,INDEX(Acceleration!$R$4:$R$110,MATCH('Track Data'!S860,Acceleration!$K$4:$K$110,0)),IF('Track Data'!O860=1,INDEX(Acceleration!$Q$4:$Q$110,MATCH('Track Data'!S860,Acceleration!$K$4:$K$110,0)),'Track Data'!AG860)),'Track Data'!U860)</f>
        <v>4.8208358613991411</v>
      </c>
    </row>
    <row r="861" spans="2:34" x14ac:dyDescent="0.25">
      <c r="B861" s="16">
        <v>220.87700000000001</v>
      </c>
      <c r="C861" s="16">
        <v>8131</v>
      </c>
      <c r="D861" s="16">
        <v>858</v>
      </c>
      <c r="E861" s="113">
        <v>134</v>
      </c>
      <c r="F861" s="113">
        <v>126.6</v>
      </c>
      <c r="G861" s="113">
        <v>114.4</v>
      </c>
      <c r="H861" s="113">
        <f t="shared" si="96"/>
        <v>31.777777777777779</v>
      </c>
      <c r="I861" s="113">
        <v>7.8</v>
      </c>
      <c r="J861" s="113">
        <v>42.58</v>
      </c>
      <c r="K861" s="113">
        <v>54.1</v>
      </c>
      <c r="L861" s="183"/>
      <c r="M861" s="16">
        <v>858</v>
      </c>
      <c r="N861" s="16">
        <f t="shared" si="98"/>
        <v>2.2937824583009154E-2</v>
      </c>
      <c r="O861" s="16">
        <v>4</v>
      </c>
      <c r="P861" s="16">
        <f t="shared" si="94"/>
        <v>9.1833785004516724</v>
      </c>
      <c r="Q861" s="16">
        <f t="shared" si="99"/>
        <v>43.59611332718687</v>
      </c>
      <c r="R861" s="113">
        <f t="shared" si="95"/>
        <v>329.49099999999999</v>
      </c>
      <c r="S861" s="16">
        <f>IF(S860=15800,15800,ROUND((((Q861*60)/'Gearing Calculator'!$C$14)*'Track Data'!P861),-2))</f>
        <v>12100</v>
      </c>
      <c r="T861" s="16">
        <f t="shared" si="97"/>
        <v>4.8208358613991411</v>
      </c>
      <c r="U861" s="16">
        <f>IF(AC861=100,Braking!$AG$2354,IF(AC861=50,Braking!$AG$1179,IF(AC861=75,Braking!$AG$1767,0)))</f>
        <v>0</v>
      </c>
      <c r="V861" s="16">
        <f>0.5*'Gearing Calculator'!$C$15*'Gearing Calculator'!$C$20*'Gearing Calculator'!$W$20*('Track Data'!Q861^2)</f>
        <v>201.16173693155565</v>
      </c>
      <c r="W861" s="16">
        <f>('Gearing Calculator'!$U$9*'Track Data'!T861)+'Track Data'!V861</f>
        <v>1484.4682432360069</v>
      </c>
      <c r="X861" s="16">
        <f>('Gearing Calculator'!$U$9*9.81)*('Gearing Calculator'!$U$16/'Gearing Calculator'!$C$7)-(('Track Data'!W861)*('Gearing Calculator'!$U$17/'Gearing Calculator'!$C$7))</f>
        <v>592.02572755831886</v>
      </c>
      <c r="Y861" s="16">
        <f>('Gearing Calculator'!$U$9*9.81)*(('Gearing Calculator'!$C$7-'Gearing Calculator'!$U$16)/'Gearing Calculator'!$C$7)+(('Track Data'!W861)*('Gearing Calculator'!$U$17/'Gearing Calculator'!$C$7))</f>
        <v>2019.396272441681</v>
      </c>
      <c r="Z861" s="16">
        <f>((X861*COS('Gearing Calculator'!$C$21))/'Gearing Calculator'!$C$22)/2</f>
        <v>18.303563078254452</v>
      </c>
      <c r="AA861" s="16">
        <f>Y861/'Gearing Calculator'!$C$24</f>
        <v>28.197545111657071</v>
      </c>
      <c r="AB861" s="16">
        <f t="shared" si="93"/>
        <v>220.44508037715221</v>
      </c>
      <c r="AC861" s="16">
        <v>0</v>
      </c>
      <c r="AD861" s="16">
        <v>48.889993475913293</v>
      </c>
      <c r="AE861" s="16">
        <v>858</v>
      </c>
      <c r="AF861" s="16">
        <f>IF(AC861=0,IF(O861=6,INDEX(Acceleration!$V$4:$V$110,MATCH('Track Data'!S861,Acceleration!$K$4:$K$110,0)),IF('Track Data'!O861=5,INDEX(Acceleration!$U$4:$U$110,MATCH('Track Data'!S861,Acceleration!$K$4:$K$110,0)),1)),U861)</f>
        <v>1</v>
      </c>
      <c r="AG861" s="16">
        <f>IF(AC861=0,IF(O861=4,INDEX(Acceleration!$T$4:$T$110,MATCH('Track Data'!S861,Acceleration!$K$4:$K$110,0)),IF('Track Data'!O861=3,INDEX(Acceleration!$S$4:$S$110,MATCH('Track Data'!S861,Acceleration!$K$4:$K$110,0)),'Track Data'!AF861)),'Track Data'!U861)</f>
        <v>4.8208358613991411</v>
      </c>
      <c r="AH861" s="16">
        <f>IF(AC861=0,IF(O861=2,INDEX(Acceleration!$R$4:$R$110,MATCH('Track Data'!S861,Acceleration!$K$4:$K$110,0)),IF('Track Data'!O861=1,INDEX(Acceleration!$Q$4:$Q$110,MATCH('Track Data'!S861,Acceleration!$K$4:$K$110,0)),'Track Data'!AG861)),'Track Data'!U861)</f>
        <v>4.8208358613991411</v>
      </c>
    </row>
    <row r="862" spans="2:34" x14ac:dyDescent="0.25">
      <c r="B862" s="16">
        <v>220.905</v>
      </c>
      <c r="C862" s="16">
        <v>8132</v>
      </c>
      <c r="D862" s="16">
        <v>859</v>
      </c>
      <c r="E862" s="113">
        <v>133</v>
      </c>
      <c r="F862" s="113">
        <v>126.9</v>
      </c>
      <c r="G862" s="113">
        <v>114.6</v>
      </c>
      <c r="H862" s="113">
        <f t="shared" si="96"/>
        <v>31.833333333333332</v>
      </c>
      <c r="I862" s="113">
        <v>9.6999999999999993</v>
      </c>
      <c r="J862" s="113">
        <v>43.25</v>
      </c>
      <c r="K862" s="113">
        <v>53.3</v>
      </c>
      <c r="L862" s="183"/>
      <c r="M862" s="16">
        <v>859</v>
      </c>
      <c r="N862" s="16">
        <f t="shared" si="98"/>
        <v>2.2937824583009154E-2</v>
      </c>
      <c r="O862" s="16">
        <v>4</v>
      </c>
      <c r="P862" s="16">
        <f t="shared" si="94"/>
        <v>9.1833785004516724</v>
      </c>
      <c r="Q862" s="16">
        <f t="shared" si="99"/>
        <v>43.59611332718687</v>
      </c>
      <c r="R862" s="113">
        <f t="shared" si="95"/>
        <v>329.49099999999999</v>
      </c>
      <c r="S862" s="16">
        <f>IF(S861=15800,15800,ROUND((((Q862*60)/'Gearing Calculator'!$C$14)*'Track Data'!P862),-2))</f>
        <v>12100</v>
      </c>
      <c r="T862" s="16">
        <f t="shared" si="97"/>
        <v>4.8208358613991411</v>
      </c>
      <c r="U862" s="16">
        <f>IF(AC862=100,Braking!$AG$2354,IF(AC862=50,Braking!$AG$1179,IF(AC862=75,Braking!$AG$1767,0)))</f>
        <v>0</v>
      </c>
      <c r="V862" s="16">
        <f>0.5*'Gearing Calculator'!$C$15*'Gearing Calculator'!$C$20*'Gearing Calculator'!$W$20*('Track Data'!Q862^2)</f>
        <v>201.16173693155565</v>
      </c>
      <c r="W862" s="16">
        <f>('Gearing Calculator'!$U$9*'Track Data'!T862)+'Track Data'!V862</f>
        <v>1484.4682432360069</v>
      </c>
      <c r="X862" s="16">
        <f>('Gearing Calculator'!$U$9*9.81)*('Gearing Calculator'!$U$16/'Gearing Calculator'!$C$7)-(('Track Data'!W862)*('Gearing Calculator'!$U$17/'Gearing Calculator'!$C$7))</f>
        <v>592.02572755831886</v>
      </c>
      <c r="Y862" s="16">
        <f>('Gearing Calculator'!$U$9*9.81)*(('Gearing Calculator'!$C$7-'Gearing Calculator'!$U$16)/'Gearing Calculator'!$C$7)+(('Track Data'!W862)*('Gearing Calculator'!$U$17/'Gearing Calculator'!$C$7))</f>
        <v>2019.396272441681</v>
      </c>
      <c r="Z862" s="16">
        <f>((X862*COS('Gearing Calculator'!$C$21))/'Gearing Calculator'!$C$22)/2</f>
        <v>18.303563078254452</v>
      </c>
      <c r="AA862" s="16">
        <f>Y862/'Gearing Calculator'!$C$24</f>
        <v>28.197545111657071</v>
      </c>
      <c r="AB862" s="16">
        <f t="shared" si="93"/>
        <v>220.44508037715221</v>
      </c>
      <c r="AC862" s="16">
        <v>0</v>
      </c>
      <c r="AD862" s="16">
        <v>48.889993475913293</v>
      </c>
      <c r="AE862" s="16">
        <v>859</v>
      </c>
      <c r="AF862" s="16">
        <f>IF(AC862=0,IF(O862=6,INDEX(Acceleration!$V$4:$V$110,MATCH('Track Data'!S862,Acceleration!$K$4:$K$110,0)),IF('Track Data'!O862=5,INDEX(Acceleration!$U$4:$U$110,MATCH('Track Data'!S862,Acceleration!$K$4:$K$110,0)),1)),U862)</f>
        <v>1</v>
      </c>
      <c r="AG862" s="16">
        <f>IF(AC862=0,IF(O862=4,INDEX(Acceleration!$T$4:$T$110,MATCH('Track Data'!S862,Acceleration!$K$4:$K$110,0)),IF('Track Data'!O862=3,INDEX(Acceleration!$S$4:$S$110,MATCH('Track Data'!S862,Acceleration!$K$4:$K$110,0)),'Track Data'!AF862)),'Track Data'!U862)</f>
        <v>4.8208358613991411</v>
      </c>
      <c r="AH862" s="16">
        <f>IF(AC862=0,IF(O862=2,INDEX(Acceleration!$R$4:$R$110,MATCH('Track Data'!S862,Acceleration!$K$4:$K$110,0)),IF('Track Data'!O862=1,INDEX(Acceleration!$Q$4:$Q$110,MATCH('Track Data'!S862,Acceleration!$K$4:$K$110,0)),'Track Data'!AG862)),'Track Data'!U862)</f>
        <v>4.8208358613991411</v>
      </c>
    </row>
    <row r="863" spans="2:34" x14ac:dyDescent="0.25">
      <c r="B863" s="16">
        <v>220.93299999999999</v>
      </c>
      <c r="C863" s="16">
        <v>8133</v>
      </c>
      <c r="D863" s="16">
        <v>860</v>
      </c>
      <c r="E863" s="113">
        <v>133</v>
      </c>
      <c r="F863" s="113">
        <v>127</v>
      </c>
      <c r="G863" s="113">
        <v>114.7</v>
      </c>
      <c r="H863" s="113">
        <f t="shared" si="96"/>
        <v>31.861111111111111</v>
      </c>
      <c r="I863" s="113">
        <v>11.4</v>
      </c>
      <c r="J863" s="113">
        <v>43.66</v>
      </c>
      <c r="K863" s="113">
        <v>51.9</v>
      </c>
      <c r="L863" s="183"/>
      <c r="M863" s="16">
        <v>860</v>
      </c>
      <c r="N863" s="16">
        <f t="shared" si="98"/>
        <v>2.2937824583009154E-2</v>
      </c>
      <c r="O863" s="16">
        <v>4</v>
      </c>
      <c r="P863" s="16">
        <f t="shared" si="94"/>
        <v>9.1833785004516724</v>
      </c>
      <c r="Q863" s="16">
        <f t="shared" si="99"/>
        <v>43.59611332718687</v>
      </c>
      <c r="R863" s="113">
        <f t="shared" si="95"/>
        <v>329.49099999999999</v>
      </c>
      <c r="S863" s="16">
        <f>IF(S862=15800,15800,ROUND((((Q863*60)/'Gearing Calculator'!$C$14)*'Track Data'!P863),-2))</f>
        <v>12100</v>
      </c>
      <c r="T863" s="16">
        <f t="shared" si="97"/>
        <v>4.8208358613991411</v>
      </c>
      <c r="U863" s="16">
        <f>IF(AC863=100,Braking!$AG$2354,IF(AC863=50,Braking!$AG$1179,IF(AC863=75,Braking!$AG$1767,0)))</f>
        <v>0</v>
      </c>
      <c r="V863" s="16">
        <f>0.5*'Gearing Calculator'!$C$15*'Gearing Calculator'!$C$20*'Gearing Calculator'!$W$20*('Track Data'!Q863^2)</f>
        <v>201.16173693155565</v>
      </c>
      <c r="W863" s="16">
        <f>('Gearing Calculator'!$U$9*'Track Data'!T863)+'Track Data'!V863</f>
        <v>1484.4682432360069</v>
      </c>
      <c r="X863" s="16">
        <f>('Gearing Calculator'!$U$9*9.81)*('Gearing Calculator'!$U$16/'Gearing Calculator'!$C$7)-(('Track Data'!W863)*('Gearing Calculator'!$U$17/'Gearing Calculator'!$C$7))</f>
        <v>592.02572755831886</v>
      </c>
      <c r="Y863" s="16">
        <f>('Gearing Calculator'!$U$9*9.81)*(('Gearing Calculator'!$C$7-'Gearing Calculator'!$U$16)/'Gearing Calculator'!$C$7)+(('Track Data'!W863)*('Gearing Calculator'!$U$17/'Gearing Calculator'!$C$7))</f>
        <v>2019.396272441681</v>
      </c>
      <c r="Z863" s="16">
        <f>((X863*COS('Gearing Calculator'!$C$21))/'Gearing Calculator'!$C$22)/2</f>
        <v>18.303563078254452</v>
      </c>
      <c r="AA863" s="16">
        <f>Y863/'Gearing Calculator'!$C$24</f>
        <v>28.197545111657071</v>
      </c>
      <c r="AB863" s="16">
        <f t="shared" si="93"/>
        <v>220.44508037715221</v>
      </c>
      <c r="AC863" s="16">
        <v>0</v>
      </c>
      <c r="AD863" s="16">
        <v>48.889993475913293</v>
      </c>
      <c r="AE863" s="16">
        <v>860</v>
      </c>
      <c r="AF863" s="16">
        <f>IF(AC863=0,IF(O863=6,INDEX(Acceleration!$V$4:$V$110,MATCH('Track Data'!S863,Acceleration!$K$4:$K$110,0)),IF('Track Data'!O863=5,INDEX(Acceleration!$U$4:$U$110,MATCH('Track Data'!S863,Acceleration!$K$4:$K$110,0)),1)),U863)</f>
        <v>1</v>
      </c>
      <c r="AG863" s="16">
        <f>IF(AC863=0,IF(O863=4,INDEX(Acceleration!$T$4:$T$110,MATCH('Track Data'!S863,Acceleration!$K$4:$K$110,0)),IF('Track Data'!O863=3,INDEX(Acceleration!$S$4:$S$110,MATCH('Track Data'!S863,Acceleration!$K$4:$K$110,0)),'Track Data'!AF863)),'Track Data'!U863)</f>
        <v>4.8208358613991411</v>
      </c>
      <c r="AH863" s="16">
        <f>IF(AC863=0,IF(O863=2,INDEX(Acceleration!$R$4:$R$110,MATCH('Track Data'!S863,Acceleration!$K$4:$K$110,0)),IF('Track Data'!O863=1,INDEX(Acceleration!$Q$4:$Q$110,MATCH('Track Data'!S863,Acceleration!$K$4:$K$110,0)),'Track Data'!AG863)),'Track Data'!U863)</f>
        <v>4.8208358613991411</v>
      </c>
    </row>
    <row r="864" spans="2:34" x14ac:dyDescent="0.25">
      <c r="B864" s="16">
        <v>220.96199999999999</v>
      </c>
      <c r="C864" s="16">
        <v>8134</v>
      </c>
      <c r="D864" s="16">
        <v>861</v>
      </c>
      <c r="E864" s="113">
        <v>132</v>
      </c>
      <c r="F864" s="113">
        <v>126.9</v>
      </c>
      <c r="G864" s="113">
        <v>114.8</v>
      </c>
      <c r="H864" s="113">
        <f t="shared" si="96"/>
        <v>31.888888888888886</v>
      </c>
      <c r="I864" s="113">
        <v>14</v>
      </c>
      <c r="J864" s="113">
        <v>43.97</v>
      </c>
      <c r="K864" s="113">
        <v>50.7</v>
      </c>
      <c r="L864" s="183"/>
      <c r="M864" s="16">
        <v>861</v>
      </c>
      <c r="N864" s="16">
        <f t="shared" si="98"/>
        <v>2.2937824583009154E-2</v>
      </c>
      <c r="O864" s="16">
        <v>4</v>
      </c>
      <c r="P864" s="16">
        <f t="shared" si="94"/>
        <v>9.1833785004516724</v>
      </c>
      <c r="Q864" s="16">
        <f t="shared" si="99"/>
        <v>43.59611332718687</v>
      </c>
      <c r="R864" s="113">
        <f t="shared" si="95"/>
        <v>329.49099999999999</v>
      </c>
      <c r="S864" s="16">
        <f>IF(S863=15800,15800,ROUND((((Q864*60)/'Gearing Calculator'!$C$14)*'Track Data'!P864),-2))</f>
        <v>12100</v>
      </c>
      <c r="T864" s="16">
        <f t="shared" si="97"/>
        <v>4.8208358613991411</v>
      </c>
      <c r="U864" s="16">
        <f>IF(AC864=100,Braking!$AG$2354,IF(AC864=50,Braking!$AG$1179,IF(AC864=75,Braking!$AG$1767,0)))</f>
        <v>0</v>
      </c>
      <c r="V864" s="16">
        <f>0.5*'Gearing Calculator'!$C$15*'Gearing Calculator'!$C$20*'Gearing Calculator'!$W$20*('Track Data'!Q864^2)</f>
        <v>201.16173693155565</v>
      </c>
      <c r="W864" s="16">
        <f>('Gearing Calculator'!$U$9*'Track Data'!T864)+'Track Data'!V864</f>
        <v>1484.4682432360069</v>
      </c>
      <c r="X864" s="16">
        <f>('Gearing Calculator'!$U$9*9.81)*('Gearing Calculator'!$U$16/'Gearing Calculator'!$C$7)-(('Track Data'!W864)*('Gearing Calculator'!$U$17/'Gearing Calculator'!$C$7))</f>
        <v>592.02572755831886</v>
      </c>
      <c r="Y864" s="16">
        <f>('Gearing Calculator'!$U$9*9.81)*(('Gearing Calculator'!$C$7-'Gearing Calculator'!$U$16)/'Gearing Calculator'!$C$7)+(('Track Data'!W864)*('Gearing Calculator'!$U$17/'Gearing Calculator'!$C$7))</f>
        <v>2019.396272441681</v>
      </c>
      <c r="Z864" s="16">
        <f>((X864*COS('Gearing Calculator'!$C$21))/'Gearing Calculator'!$C$22)/2</f>
        <v>18.303563078254452</v>
      </c>
      <c r="AA864" s="16">
        <f>Y864/'Gearing Calculator'!$C$24</f>
        <v>28.197545111657071</v>
      </c>
      <c r="AB864" s="16">
        <f t="shared" si="93"/>
        <v>220.44508037715221</v>
      </c>
      <c r="AC864" s="16">
        <v>0</v>
      </c>
      <c r="AD864" s="16">
        <v>48.889993475913293</v>
      </c>
      <c r="AE864" s="16">
        <v>861</v>
      </c>
      <c r="AF864" s="16">
        <f>IF(AC864=0,IF(O864=6,INDEX(Acceleration!$V$4:$V$110,MATCH('Track Data'!S864,Acceleration!$K$4:$K$110,0)),IF('Track Data'!O864=5,INDEX(Acceleration!$U$4:$U$110,MATCH('Track Data'!S864,Acceleration!$K$4:$K$110,0)),1)),U864)</f>
        <v>1</v>
      </c>
      <c r="AG864" s="16">
        <f>IF(AC864=0,IF(O864=4,INDEX(Acceleration!$T$4:$T$110,MATCH('Track Data'!S864,Acceleration!$K$4:$K$110,0)),IF('Track Data'!O864=3,INDEX(Acceleration!$S$4:$S$110,MATCH('Track Data'!S864,Acceleration!$K$4:$K$110,0)),'Track Data'!AF864)),'Track Data'!U864)</f>
        <v>4.8208358613991411</v>
      </c>
      <c r="AH864" s="16">
        <f>IF(AC864=0,IF(O864=2,INDEX(Acceleration!$R$4:$R$110,MATCH('Track Data'!S864,Acceleration!$K$4:$K$110,0)),IF('Track Data'!O864=1,INDEX(Acceleration!$Q$4:$Q$110,MATCH('Track Data'!S864,Acceleration!$K$4:$K$110,0)),'Track Data'!AG864)),'Track Data'!U864)</f>
        <v>4.8208358613991411</v>
      </c>
    </row>
    <row r="865" spans="2:34" x14ac:dyDescent="0.25">
      <c r="B865" s="16">
        <v>220.99</v>
      </c>
      <c r="C865" s="16">
        <v>8135</v>
      </c>
      <c r="D865" s="16">
        <v>862</v>
      </c>
      <c r="E865" s="113">
        <v>132</v>
      </c>
      <c r="F865" s="113">
        <v>126.9</v>
      </c>
      <c r="G865" s="113">
        <v>115</v>
      </c>
      <c r="H865" s="113">
        <f t="shared" si="96"/>
        <v>31.944444444444443</v>
      </c>
      <c r="I865" s="113">
        <v>15.7</v>
      </c>
      <c r="J865" s="113">
        <v>44.74</v>
      </c>
      <c r="K865" s="113">
        <v>50.7</v>
      </c>
      <c r="L865" s="183"/>
      <c r="M865" s="16">
        <v>862</v>
      </c>
      <c r="N865" s="16">
        <f t="shared" si="98"/>
        <v>2.2937824583009154E-2</v>
      </c>
      <c r="O865" s="16">
        <v>4</v>
      </c>
      <c r="P865" s="16">
        <f t="shared" si="94"/>
        <v>9.1833785004516724</v>
      </c>
      <c r="Q865" s="16">
        <f t="shared" si="99"/>
        <v>43.59611332718687</v>
      </c>
      <c r="R865" s="113">
        <f t="shared" si="95"/>
        <v>329.49099999999999</v>
      </c>
      <c r="S865" s="16">
        <f>IF(S864=15800,15800,ROUND((((Q865*60)/'Gearing Calculator'!$C$14)*'Track Data'!P865),-2))</f>
        <v>12100</v>
      </c>
      <c r="T865" s="16">
        <f t="shared" si="97"/>
        <v>4.8208358613991411</v>
      </c>
      <c r="U865" s="16">
        <f>IF(AC865=100,Braking!$AG$2354,IF(AC865=50,Braking!$AG$1179,IF(AC865=75,Braking!$AG$1767,0)))</f>
        <v>0</v>
      </c>
      <c r="V865" s="16">
        <f>0.5*'Gearing Calculator'!$C$15*'Gearing Calculator'!$C$20*'Gearing Calculator'!$W$20*('Track Data'!Q865^2)</f>
        <v>201.16173693155565</v>
      </c>
      <c r="W865" s="16">
        <f>('Gearing Calculator'!$U$9*'Track Data'!T865)+'Track Data'!V865</f>
        <v>1484.4682432360069</v>
      </c>
      <c r="X865" s="16">
        <f>('Gearing Calculator'!$U$9*9.81)*('Gearing Calculator'!$U$16/'Gearing Calculator'!$C$7)-(('Track Data'!W865)*('Gearing Calculator'!$U$17/'Gearing Calculator'!$C$7))</f>
        <v>592.02572755831886</v>
      </c>
      <c r="Y865" s="16">
        <f>('Gearing Calculator'!$U$9*9.81)*(('Gearing Calculator'!$C$7-'Gearing Calculator'!$U$16)/'Gearing Calculator'!$C$7)+(('Track Data'!W865)*('Gearing Calculator'!$U$17/'Gearing Calculator'!$C$7))</f>
        <v>2019.396272441681</v>
      </c>
      <c r="Z865" s="16">
        <f>((X865*COS('Gearing Calculator'!$C$21))/'Gearing Calculator'!$C$22)/2</f>
        <v>18.303563078254452</v>
      </c>
      <c r="AA865" s="16">
        <f>Y865/'Gearing Calculator'!$C$24</f>
        <v>28.197545111657071</v>
      </c>
      <c r="AB865" s="16">
        <f t="shared" si="93"/>
        <v>220.44508037715221</v>
      </c>
      <c r="AC865" s="16">
        <v>0</v>
      </c>
      <c r="AD865" s="16">
        <v>48.889993475913293</v>
      </c>
      <c r="AE865" s="16">
        <v>862</v>
      </c>
      <c r="AF865" s="16">
        <f>IF(AC865=0,IF(O865=6,INDEX(Acceleration!$V$4:$V$110,MATCH('Track Data'!S865,Acceleration!$K$4:$K$110,0)),IF('Track Data'!O865=5,INDEX(Acceleration!$U$4:$U$110,MATCH('Track Data'!S865,Acceleration!$K$4:$K$110,0)),1)),U865)</f>
        <v>1</v>
      </c>
      <c r="AG865" s="16">
        <f>IF(AC865=0,IF(O865=4,INDEX(Acceleration!$T$4:$T$110,MATCH('Track Data'!S865,Acceleration!$K$4:$K$110,0)),IF('Track Data'!O865=3,INDEX(Acceleration!$S$4:$S$110,MATCH('Track Data'!S865,Acceleration!$K$4:$K$110,0)),'Track Data'!AF865)),'Track Data'!U865)</f>
        <v>4.8208358613991411</v>
      </c>
      <c r="AH865" s="16">
        <f>IF(AC865=0,IF(O865=2,INDEX(Acceleration!$R$4:$R$110,MATCH('Track Data'!S865,Acceleration!$K$4:$K$110,0)),IF('Track Data'!O865=1,INDEX(Acceleration!$Q$4:$Q$110,MATCH('Track Data'!S865,Acceleration!$K$4:$K$110,0)),'Track Data'!AG865)),'Track Data'!U865)</f>
        <v>4.8208358613991411</v>
      </c>
    </row>
    <row r="866" spans="2:34" x14ac:dyDescent="0.25">
      <c r="B866" s="16">
        <v>221.018</v>
      </c>
      <c r="C866" s="16">
        <v>8136</v>
      </c>
      <c r="D866" s="16">
        <v>863</v>
      </c>
      <c r="E866" s="113">
        <v>132</v>
      </c>
      <c r="F866" s="113">
        <v>126.9</v>
      </c>
      <c r="G866" s="113">
        <v>115.1</v>
      </c>
      <c r="H866" s="113">
        <f t="shared" si="96"/>
        <v>31.972222222222221</v>
      </c>
      <c r="I866" s="113">
        <v>16.8</v>
      </c>
      <c r="J866" s="113">
        <v>43.7</v>
      </c>
      <c r="K866" s="113">
        <v>50.7</v>
      </c>
      <c r="L866" s="183"/>
      <c r="M866" s="16">
        <v>863</v>
      </c>
      <c r="N866" s="16">
        <f t="shared" si="98"/>
        <v>2.2937824583009154E-2</v>
      </c>
      <c r="O866" s="16">
        <v>4</v>
      </c>
      <c r="P866" s="16">
        <f t="shared" si="94"/>
        <v>9.1833785004516724</v>
      </c>
      <c r="Q866" s="16">
        <f t="shared" si="99"/>
        <v>43.59611332718687</v>
      </c>
      <c r="R866" s="113">
        <f t="shared" si="95"/>
        <v>329.49099999999999</v>
      </c>
      <c r="S866" s="16">
        <f>IF(S865=15800,15800,ROUND((((Q866*60)/'Gearing Calculator'!$C$14)*'Track Data'!P866),-2))</f>
        <v>12100</v>
      </c>
      <c r="T866" s="16">
        <f t="shared" si="97"/>
        <v>4.8208358613991411</v>
      </c>
      <c r="U866" s="16">
        <f>IF(AC866=100,Braking!$AG$2354,IF(AC866=50,Braking!$AG$1179,IF(AC866=75,Braking!$AG$1767,0)))</f>
        <v>0</v>
      </c>
      <c r="V866" s="16">
        <f>0.5*'Gearing Calculator'!$C$15*'Gearing Calculator'!$C$20*'Gearing Calculator'!$W$20*('Track Data'!Q866^2)</f>
        <v>201.16173693155565</v>
      </c>
      <c r="W866" s="16">
        <f>('Gearing Calculator'!$U$9*'Track Data'!T866)+'Track Data'!V866</f>
        <v>1484.4682432360069</v>
      </c>
      <c r="X866" s="16">
        <f>('Gearing Calculator'!$U$9*9.81)*('Gearing Calculator'!$U$16/'Gearing Calculator'!$C$7)-(('Track Data'!W866)*('Gearing Calculator'!$U$17/'Gearing Calculator'!$C$7))</f>
        <v>592.02572755831886</v>
      </c>
      <c r="Y866" s="16">
        <f>('Gearing Calculator'!$U$9*9.81)*(('Gearing Calculator'!$C$7-'Gearing Calculator'!$U$16)/'Gearing Calculator'!$C$7)+(('Track Data'!W866)*('Gearing Calculator'!$U$17/'Gearing Calculator'!$C$7))</f>
        <v>2019.396272441681</v>
      </c>
      <c r="Z866" s="16">
        <f>((X866*COS('Gearing Calculator'!$C$21))/'Gearing Calculator'!$C$22)/2</f>
        <v>18.303563078254452</v>
      </c>
      <c r="AA866" s="16">
        <f>Y866/'Gearing Calculator'!$C$24</f>
        <v>28.197545111657071</v>
      </c>
      <c r="AB866" s="16">
        <f t="shared" si="93"/>
        <v>220.44508037715221</v>
      </c>
      <c r="AC866" s="16">
        <v>0</v>
      </c>
      <c r="AD866" s="16">
        <v>48.889993475913293</v>
      </c>
      <c r="AE866" s="16">
        <v>863</v>
      </c>
      <c r="AF866" s="16">
        <f>IF(AC866=0,IF(O866=6,INDEX(Acceleration!$V$4:$V$110,MATCH('Track Data'!S866,Acceleration!$K$4:$K$110,0)),IF('Track Data'!O866=5,INDEX(Acceleration!$U$4:$U$110,MATCH('Track Data'!S866,Acceleration!$K$4:$K$110,0)),1)),U866)</f>
        <v>1</v>
      </c>
      <c r="AG866" s="16">
        <f>IF(AC866=0,IF(O866=4,INDEX(Acceleration!$T$4:$T$110,MATCH('Track Data'!S866,Acceleration!$K$4:$K$110,0)),IF('Track Data'!O866=3,INDEX(Acceleration!$S$4:$S$110,MATCH('Track Data'!S866,Acceleration!$K$4:$K$110,0)),'Track Data'!AF866)),'Track Data'!U866)</f>
        <v>4.8208358613991411</v>
      </c>
      <c r="AH866" s="16">
        <f>IF(AC866=0,IF(O866=2,INDEX(Acceleration!$R$4:$R$110,MATCH('Track Data'!S866,Acceleration!$K$4:$K$110,0)),IF('Track Data'!O866=1,INDEX(Acceleration!$Q$4:$Q$110,MATCH('Track Data'!S866,Acceleration!$K$4:$K$110,0)),'Track Data'!AG866)),'Track Data'!U866)</f>
        <v>4.8208358613991411</v>
      </c>
    </row>
    <row r="867" spans="2:34" x14ac:dyDescent="0.25">
      <c r="B867" s="16">
        <v>221.04599999999999</v>
      </c>
      <c r="C867" s="16">
        <v>8137</v>
      </c>
      <c r="D867" s="16">
        <v>864</v>
      </c>
      <c r="E867" s="113">
        <v>132</v>
      </c>
      <c r="F867" s="113">
        <v>126.8</v>
      </c>
      <c r="G867" s="113">
        <v>115.3</v>
      </c>
      <c r="H867" s="113">
        <f t="shared" si="96"/>
        <v>32.027777777777779</v>
      </c>
      <c r="I867" s="113">
        <v>17</v>
      </c>
      <c r="J867" s="113">
        <v>49.17</v>
      </c>
      <c r="K867" s="113">
        <v>50.7</v>
      </c>
      <c r="L867" s="183"/>
      <c r="M867" s="16">
        <v>864</v>
      </c>
      <c r="N867" s="16">
        <f t="shared" si="98"/>
        <v>2.2937824583009154E-2</v>
      </c>
      <c r="O867" s="16">
        <v>4</v>
      </c>
      <c r="P867" s="16">
        <f t="shared" si="94"/>
        <v>9.1833785004516724</v>
      </c>
      <c r="Q867" s="16">
        <f t="shared" si="99"/>
        <v>43.59611332718687</v>
      </c>
      <c r="R867" s="113">
        <f t="shared" si="95"/>
        <v>329.49099999999999</v>
      </c>
      <c r="S867" s="16">
        <f>IF(S866=15800,15800,ROUND((((Q867*60)/'Gearing Calculator'!$C$14)*'Track Data'!P867),-2))</f>
        <v>12100</v>
      </c>
      <c r="T867" s="16">
        <f t="shared" si="97"/>
        <v>4.8208358613991411</v>
      </c>
      <c r="U867" s="16">
        <f>IF(AC867=100,Braking!$AG$2354,IF(AC867=50,Braking!$AG$1179,IF(AC867=75,Braking!$AG$1767,0)))</f>
        <v>0</v>
      </c>
      <c r="V867" s="16">
        <f>0.5*'Gearing Calculator'!$C$15*'Gearing Calculator'!$C$20*'Gearing Calculator'!$W$20*('Track Data'!Q867^2)</f>
        <v>201.16173693155565</v>
      </c>
      <c r="W867" s="16">
        <f>('Gearing Calculator'!$U$9*'Track Data'!T867)+'Track Data'!V867</f>
        <v>1484.4682432360069</v>
      </c>
      <c r="X867" s="16">
        <f>('Gearing Calculator'!$U$9*9.81)*('Gearing Calculator'!$U$16/'Gearing Calculator'!$C$7)-(('Track Data'!W867)*('Gearing Calculator'!$U$17/'Gearing Calculator'!$C$7))</f>
        <v>592.02572755831886</v>
      </c>
      <c r="Y867" s="16">
        <f>('Gearing Calculator'!$U$9*9.81)*(('Gearing Calculator'!$C$7-'Gearing Calculator'!$U$16)/'Gearing Calculator'!$C$7)+(('Track Data'!W867)*('Gearing Calculator'!$U$17/'Gearing Calculator'!$C$7))</f>
        <v>2019.396272441681</v>
      </c>
      <c r="Z867" s="16">
        <f>((X867*COS('Gearing Calculator'!$C$21))/'Gearing Calculator'!$C$22)/2</f>
        <v>18.303563078254452</v>
      </c>
      <c r="AA867" s="16">
        <f>Y867/'Gearing Calculator'!$C$24</f>
        <v>28.197545111657071</v>
      </c>
      <c r="AB867" s="16">
        <f t="shared" si="93"/>
        <v>220.44508037715221</v>
      </c>
      <c r="AC867" s="16">
        <v>0</v>
      </c>
      <c r="AD867" s="16">
        <v>48.889993475913293</v>
      </c>
      <c r="AE867" s="16">
        <v>864</v>
      </c>
      <c r="AF867" s="16">
        <f>IF(AC867=0,IF(O867=6,INDEX(Acceleration!$V$4:$V$110,MATCH('Track Data'!S867,Acceleration!$K$4:$K$110,0)),IF('Track Data'!O867=5,INDEX(Acceleration!$U$4:$U$110,MATCH('Track Data'!S867,Acceleration!$K$4:$K$110,0)),1)),U867)</f>
        <v>1</v>
      </c>
      <c r="AG867" s="16">
        <f>IF(AC867=0,IF(O867=4,INDEX(Acceleration!$T$4:$T$110,MATCH('Track Data'!S867,Acceleration!$K$4:$K$110,0)),IF('Track Data'!O867=3,INDEX(Acceleration!$S$4:$S$110,MATCH('Track Data'!S867,Acceleration!$K$4:$K$110,0)),'Track Data'!AF867)),'Track Data'!U867)</f>
        <v>4.8208358613991411</v>
      </c>
      <c r="AH867" s="16">
        <f>IF(AC867=0,IF(O867=2,INDEX(Acceleration!$R$4:$R$110,MATCH('Track Data'!S867,Acceleration!$K$4:$K$110,0)),IF('Track Data'!O867=1,INDEX(Acceleration!$Q$4:$Q$110,MATCH('Track Data'!S867,Acceleration!$K$4:$K$110,0)),'Track Data'!AG867)),'Track Data'!U867)</f>
        <v>4.8208358613991411</v>
      </c>
    </row>
    <row r="868" spans="2:34" x14ac:dyDescent="0.25">
      <c r="B868" s="16">
        <v>221.07499999999999</v>
      </c>
      <c r="C868" s="16">
        <v>8138</v>
      </c>
      <c r="D868" s="16">
        <v>865</v>
      </c>
      <c r="E868" s="113">
        <v>133</v>
      </c>
      <c r="F868" s="113">
        <v>126.9</v>
      </c>
      <c r="G868" s="113">
        <v>115.5</v>
      </c>
      <c r="H868" s="113">
        <f t="shared" si="96"/>
        <v>32.083333333333336</v>
      </c>
      <c r="I868" s="113">
        <v>16.899999999999999</v>
      </c>
      <c r="J868" s="113">
        <v>50.71</v>
      </c>
      <c r="K868" s="113">
        <v>50.6</v>
      </c>
      <c r="L868" s="183"/>
      <c r="M868" s="16">
        <v>865</v>
      </c>
      <c r="N868" s="16">
        <f t="shared" si="98"/>
        <v>2.2937824583009154E-2</v>
      </c>
      <c r="O868" s="16">
        <v>4</v>
      </c>
      <c r="P868" s="16">
        <f t="shared" si="94"/>
        <v>9.1833785004516724</v>
      </c>
      <c r="Q868" s="16">
        <f t="shared" si="99"/>
        <v>43.59611332718687</v>
      </c>
      <c r="R868" s="113">
        <f t="shared" si="95"/>
        <v>329.49099999999999</v>
      </c>
      <c r="S868" s="16">
        <f>IF(S867=15800,15800,ROUND((((Q868*60)/'Gearing Calculator'!$C$14)*'Track Data'!P868),-2))</f>
        <v>12100</v>
      </c>
      <c r="T868" s="16">
        <f t="shared" si="97"/>
        <v>4.8208358613991411</v>
      </c>
      <c r="U868" s="16">
        <f>IF(AC868=100,Braking!$AG$2354,IF(AC868=50,Braking!$AG$1179,IF(AC868=75,Braking!$AG$1767,0)))</f>
        <v>0</v>
      </c>
      <c r="V868" s="16">
        <f>0.5*'Gearing Calculator'!$C$15*'Gearing Calculator'!$C$20*'Gearing Calculator'!$W$20*('Track Data'!Q868^2)</f>
        <v>201.16173693155565</v>
      </c>
      <c r="W868" s="16">
        <f>('Gearing Calculator'!$U$9*'Track Data'!T868)+'Track Data'!V868</f>
        <v>1484.4682432360069</v>
      </c>
      <c r="X868" s="16">
        <f>('Gearing Calculator'!$U$9*9.81)*('Gearing Calculator'!$U$16/'Gearing Calculator'!$C$7)-(('Track Data'!W868)*('Gearing Calculator'!$U$17/'Gearing Calculator'!$C$7))</f>
        <v>592.02572755831886</v>
      </c>
      <c r="Y868" s="16">
        <f>('Gearing Calculator'!$U$9*9.81)*(('Gearing Calculator'!$C$7-'Gearing Calculator'!$U$16)/'Gearing Calculator'!$C$7)+(('Track Data'!W868)*('Gearing Calculator'!$U$17/'Gearing Calculator'!$C$7))</f>
        <v>2019.396272441681</v>
      </c>
      <c r="Z868" s="16">
        <f>((X868*COS('Gearing Calculator'!$C$21))/'Gearing Calculator'!$C$22)/2</f>
        <v>18.303563078254452</v>
      </c>
      <c r="AA868" s="16">
        <f>Y868/'Gearing Calculator'!$C$24</f>
        <v>28.197545111657071</v>
      </c>
      <c r="AB868" s="16">
        <f t="shared" si="93"/>
        <v>220.44508037715221</v>
      </c>
      <c r="AC868" s="16">
        <v>0</v>
      </c>
      <c r="AD868" s="16">
        <v>48.889993475913293</v>
      </c>
      <c r="AE868" s="16">
        <v>865</v>
      </c>
      <c r="AF868" s="16">
        <f>IF(AC868=0,IF(O868=6,INDEX(Acceleration!$V$4:$V$110,MATCH('Track Data'!S868,Acceleration!$K$4:$K$110,0)),IF('Track Data'!O868=5,INDEX(Acceleration!$U$4:$U$110,MATCH('Track Data'!S868,Acceleration!$K$4:$K$110,0)),1)),U868)</f>
        <v>1</v>
      </c>
      <c r="AG868" s="16">
        <f>IF(AC868=0,IF(O868=4,INDEX(Acceleration!$T$4:$T$110,MATCH('Track Data'!S868,Acceleration!$K$4:$K$110,0)),IF('Track Data'!O868=3,INDEX(Acceleration!$S$4:$S$110,MATCH('Track Data'!S868,Acceleration!$K$4:$K$110,0)),'Track Data'!AF868)),'Track Data'!U868)</f>
        <v>4.8208358613991411</v>
      </c>
      <c r="AH868" s="16">
        <f>IF(AC868=0,IF(O868=2,INDEX(Acceleration!$R$4:$R$110,MATCH('Track Data'!S868,Acceleration!$K$4:$K$110,0)),IF('Track Data'!O868=1,INDEX(Acceleration!$Q$4:$Q$110,MATCH('Track Data'!S868,Acceleration!$K$4:$K$110,0)),'Track Data'!AG868)),'Track Data'!U868)</f>
        <v>4.8208358613991411</v>
      </c>
    </row>
    <row r="869" spans="2:34" x14ac:dyDescent="0.25">
      <c r="B869" s="16">
        <v>221.10300000000001</v>
      </c>
      <c r="C869" s="16">
        <v>8139</v>
      </c>
      <c r="D869" s="16">
        <v>866</v>
      </c>
      <c r="E869" s="113">
        <v>134</v>
      </c>
      <c r="F869" s="113">
        <v>127.3</v>
      </c>
      <c r="G869" s="113">
        <v>115.8</v>
      </c>
      <c r="H869" s="113">
        <f t="shared" si="96"/>
        <v>32.166666666666664</v>
      </c>
      <c r="I869" s="113">
        <v>16.600000000000001</v>
      </c>
      <c r="J869" s="113">
        <v>48.71</v>
      </c>
      <c r="K869" s="113">
        <v>50.5</v>
      </c>
      <c r="L869" s="183"/>
      <c r="M869" s="16">
        <v>866</v>
      </c>
      <c r="N869" s="16">
        <f t="shared" si="98"/>
        <v>2.2937824583009154E-2</v>
      </c>
      <c r="O869" s="16">
        <v>4</v>
      </c>
      <c r="P869" s="16">
        <f t="shared" si="94"/>
        <v>9.1833785004516724</v>
      </c>
      <c r="Q869" s="16">
        <f t="shared" si="99"/>
        <v>43.59611332718687</v>
      </c>
      <c r="R869" s="113">
        <f t="shared" si="95"/>
        <v>329.49099999999999</v>
      </c>
      <c r="S869" s="16">
        <f>IF(S868=15800,15800,ROUND((((Q869*60)/'Gearing Calculator'!$C$14)*'Track Data'!P869),-2))</f>
        <v>12100</v>
      </c>
      <c r="T869" s="16">
        <f t="shared" si="97"/>
        <v>4.8208358613991411</v>
      </c>
      <c r="U869" s="16">
        <f>IF(AC869=100,Braking!$AG$2354,IF(AC869=50,Braking!$AG$1179,IF(AC869=75,Braking!$AG$1767,0)))</f>
        <v>0</v>
      </c>
      <c r="V869" s="16">
        <f>0.5*'Gearing Calculator'!$C$15*'Gearing Calculator'!$C$20*'Gearing Calculator'!$W$20*('Track Data'!Q869^2)</f>
        <v>201.16173693155565</v>
      </c>
      <c r="W869" s="16">
        <f>('Gearing Calculator'!$U$9*'Track Data'!T869)+'Track Data'!V869</f>
        <v>1484.4682432360069</v>
      </c>
      <c r="X869" s="16">
        <f>('Gearing Calculator'!$U$9*9.81)*('Gearing Calculator'!$U$16/'Gearing Calculator'!$C$7)-(('Track Data'!W869)*('Gearing Calculator'!$U$17/'Gearing Calculator'!$C$7))</f>
        <v>592.02572755831886</v>
      </c>
      <c r="Y869" s="16">
        <f>('Gearing Calculator'!$U$9*9.81)*(('Gearing Calculator'!$C$7-'Gearing Calculator'!$U$16)/'Gearing Calculator'!$C$7)+(('Track Data'!W869)*('Gearing Calculator'!$U$17/'Gearing Calculator'!$C$7))</f>
        <v>2019.396272441681</v>
      </c>
      <c r="Z869" s="16">
        <f>((X869*COS('Gearing Calculator'!$C$21))/'Gearing Calculator'!$C$22)/2</f>
        <v>18.303563078254452</v>
      </c>
      <c r="AA869" s="16">
        <f>Y869/'Gearing Calculator'!$C$24</f>
        <v>28.197545111657071</v>
      </c>
      <c r="AB869" s="16">
        <f t="shared" si="93"/>
        <v>220.44508037715221</v>
      </c>
      <c r="AC869" s="16">
        <v>0</v>
      </c>
      <c r="AD869" s="16">
        <v>48.889993475913293</v>
      </c>
      <c r="AE869" s="16">
        <v>866</v>
      </c>
      <c r="AF869" s="16">
        <f>IF(AC869=0,IF(O869=6,INDEX(Acceleration!$V$4:$V$110,MATCH('Track Data'!S869,Acceleration!$K$4:$K$110,0)),IF('Track Data'!O869=5,INDEX(Acceleration!$U$4:$U$110,MATCH('Track Data'!S869,Acceleration!$K$4:$K$110,0)),1)),U869)</f>
        <v>1</v>
      </c>
      <c r="AG869" s="16">
        <f>IF(AC869=0,IF(O869=4,INDEX(Acceleration!$T$4:$T$110,MATCH('Track Data'!S869,Acceleration!$K$4:$K$110,0)),IF('Track Data'!O869=3,INDEX(Acceleration!$S$4:$S$110,MATCH('Track Data'!S869,Acceleration!$K$4:$K$110,0)),'Track Data'!AF869)),'Track Data'!U869)</f>
        <v>4.8208358613991411</v>
      </c>
      <c r="AH869" s="16">
        <f>IF(AC869=0,IF(O869=2,INDEX(Acceleration!$R$4:$R$110,MATCH('Track Data'!S869,Acceleration!$K$4:$K$110,0)),IF('Track Data'!O869=1,INDEX(Acceleration!$Q$4:$Q$110,MATCH('Track Data'!S869,Acceleration!$K$4:$K$110,0)),'Track Data'!AG869)),'Track Data'!U869)</f>
        <v>4.8208358613991411</v>
      </c>
    </row>
    <row r="870" spans="2:34" x14ac:dyDescent="0.25">
      <c r="B870" s="16">
        <v>221.131</v>
      </c>
      <c r="C870" s="16">
        <v>8140</v>
      </c>
      <c r="D870" s="16">
        <v>867</v>
      </c>
      <c r="E870" s="113">
        <v>135</v>
      </c>
      <c r="F870" s="113">
        <v>127.7</v>
      </c>
      <c r="G870" s="113">
        <v>116</v>
      </c>
      <c r="H870" s="113">
        <f t="shared" si="96"/>
        <v>32.222222222222221</v>
      </c>
      <c r="I870" s="113">
        <v>15.2</v>
      </c>
      <c r="J870" s="113">
        <v>48.34</v>
      </c>
      <c r="K870" s="113">
        <v>44.7</v>
      </c>
      <c r="L870" s="183"/>
      <c r="M870" s="16">
        <v>867</v>
      </c>
      <c r="N870" s="16">
        <f t="shared" si="98"/>
        <v>2.2937824583009154E-2</v>
      </c>
      <c r="O870" s="16">
        <v>4</v>
      </c>
      <c r="P870" s="16">
        <f t="shared" si="94"/>
        <v>9.1833785004516724</v>
      </c>
      <c r="Q870" s="16">
        <f t="shared" si="99"/>
        <v>43.59611332718687</v>
      </c>
      <c r="R870" s="113">
        <f t="shared" si="95"/>
        <v>329.49099999999999</v>
      </c>
      <c r="S870" s="16">
        <f>IF(S869=15800,15800,ROUND((((Q870*60)/'Gearing Calculator'!$C$14)*'Track Data'!P870),-2))</f>
        <v>12100</v>
      </c>
      <c r="T870" s="16">
        <f t="shared" si="97"/>
        <v>4.8208358613991411</v>
      </c>
      <c r="U870" s="16">
        <f>IF(AC870=100,Braking!$AG$2354,IF(AC870=50,Braking!$AG$1179,IF(AC870=75,Braking!$AG$1767,0)))</f>
        <v>0</v>
      </c>
      <c r="V870" s="16">
        <f>0.5*'Gearing Calculator'!$C$15*'Gearing Calculator'!$C$20*'Gearing Calculator'!$W$20*('Track Data'!Q870^2)</f>
        <v>201.16173693155565</v>
      </c>
      <c r="W870" s="16">
        <f>('Gearing Calculator'!$U$9*'Track Data'!T870)+'Track Data'!V870</f>
        <v>1484.4682432360069</v>
      </c>
      <c r="X870" s="16">
        <f>('Gearing Calculator'!$U$9*9.81)*('Gearing Calculator'!$U$16/'Gearing Calculator'!$C$7)-(('Track Data'!W870)*('Gearing Calculator'!$U$17/'Gearing Calculator'!$C$7))</f>
        <v>592.02572755831886</v>
      </c>
      <c r="Y870" s="16">
        <f>('Gearing Calculator'!$U$9*9.81)*(('Gearing Calculator'!$C$7-'Gearing Calculator'!$U$16)/'Gearing Calculator'!$C$7)+(('Track Data'!W870)*('Gearing Calculator'!$U$17/'Gearing Calculator'!$C$7))</f>
        <v>2019.396272441681</v>
      </c>
      <c r="Z870" s="16">
        <f>((X870*COS('Gearing Calculator'!$C$21))/'Gearing Calculator'!$C$22)/2</f>
        <v>18.303563078254452</v>
      </c>
      <c r="AA870" s="16">
        <f>Y870/'Gearing Calculator'!$C$24</f>
        <v>28.197545111657071</v>
      </c>
      <c r="AB870" s="16">
        <f t="shared" si="93"/>
        <v>220.44508037715221</v>
      </c>
      <c r="AC870" s="16">
        <v>0</v>
      </c>
      <c r="AD870" s="16">
        <v>48.889993475913293</v>
      </c>
      <c r="AE870" s="16">
        <v>867</v>
      </c>
      <c r="AF870" s="16">
        <f>IF(AC870=0,IF(O870=6,INDEX(Acceleration!$V$4:$V$110,MATCH('Track Data'!S870,Acceleration!$K$4:$K$110,0)),IF('Track Data'!O870=5,INDEX(Acceleration!$U$4:$U$110,MATCH('Track Data'!S870,Acceleration!$K$4:$K$110,0)),1)),U870)</f>
        <v>1</v>
      </c>
      <c r="AG870" s="16">
        <f>IF(AC870=0,IF(O870=4,INDEX(Acceleration!$T$4:$T$110,MATCH('Track Data'!S870,Acceleration!$K$4:$K$110,0)),IF('Track Data'!O870=3,INDEX(Acceleration!$S$4:$S$110,MATCH('Track Data'!S870,Acceleration!$K$4:$K$110,0)),'Track Data'!AF870)),'Track Data'!U870)</f>
        <v>4.8208358613991411</v>
      </c>
      <c r="AH870" s="16">
        <f>IF(AC870=0,IF(O870=2,INDEX(Acceleration!$R$4:$R$110,MATCH('Track Data'!S870,Acceleration!$K$4:$K$110,0)),IF('Track Data'!O870=1,INDEX(Acceleration!$Q$4:$Q$110,MATCH('Track Data'!S870,Acceleration!$K$4:$K$110,0)),'Track Data'!AG870)),'Track Data'!U870)</f>
        <v>4.8208358613991411</v>
      </c>
    </row>
    <row r="871" spans="2:34" x14ac:dyDescent="0.25">
      <c r="B871" s="16">
        <v>221.15899999999999</v>
      </c>
      <c r="C871" s="16">
        <v>8141</v>
      </c>
      <c r="D871" s="16">
        <v>868</v>
      </c>
      <c r="E871" s="113">
        <v>136</v>
      </c>
      <c r="F871" s="113">
        <v>127.9</v>
      </c>
      <c r="G871" s="113">
        <v>116.3</v>
      </c>
      <c r="H871" s="113">
        <f t="shared" si="96"/>
        <v>32.305555555555557</v>
      </c>
      <c r="I871" s="113">
        <v>13.4</v>
      </c>
      <c r="J871" s="113">
        <v>48.9</v>
      </c>
      <c r="K871" s="113">
        <v>36.4</v>
      </c>
      <c r="L871" s="183"/>
      <c r="M871" s="16">
        <v>868</v>
      </c>
      <c r="N871" s="16">
        <f t="shared" si="98"/>
        <v>2.2937824583009154E-2</v>
      </c>
      <c r="O871" s="16">
        <v>4</v>
      </c>
      <c r="P871" s="16">
        <f t="shared" si="94"/>
        <v>9.1833785004516724</v>
      </c>
      <c r="Q871" s="16">
        <f t="shared" si="99"/>
        <v>43.59611332718687</v>
      </c>
      <c r="R871" s="113">
        <f t="shared" si="95"/>
        <v>329.49099999999999</v>
      </c>
      <c r="S871" s="16">
        <f>IF(S870=15800,15800,ROUND((((Q871*60)/'Gearing Calculator'!$C$14)*'Track Data'!P871),-2))</f>
        <v>12100</v>
      </c>
      <c r="T871" s="16">
        <f t="shared" si="97"/>
        <v>4.8208358613991411</v>
      </c>
      <c r="U871" s="16">
        <f>IF(AC871=100,Braking!$AG$2354,IF(AC871=50,Braking!$AG$1179,IF(AC871=75,Braking!$AG$1767,0)))</f>
        <v>0</v>
      </c>
      <c r="V871" s="16">
        <f>0.5*'Gearing Calculator'!$C$15*'Gearing Calculator'!$C$20*'Gearing Calculator'!$W$20*('Track Data'!Q871^2)</f>
        <v>201.16173693155565</v>
      </c>
      <c r="W871" s="16">
        <f>('Gearing Calculator'!$U$9*'Track Data'!T871)+'Track Data'!V871</f>
        <v>1484.4682432360069</v>
      </c>
      <c r="X871" s="16">
        <f>('Gearing Calculator'!$U$9*9.81)*('Gearing Calculator'!$U$16/'Gearing Calculator'!$C$7)-(('Track Data'!W871)*('Gearing Calculator'!$U$17/'Gearing Calculator'!$C$7))</f>
        <v>592.02572755831886</v>
      </c>
      <c r="Y871" s="16">
        <f>('Gearing Calculator'!$U$9*9.81)*(('Gearing Calculator'!$C$7-'Gearing Calculator'!$U$16)/'Gearing Calculator'!$C$7)+(('Track Data'!W871)*('Gearing Calculator'!$U$17/'Gearing Calculator'!$C$7))</f>
        <v>2019.396272441681</v>
      </c>
      <c r="Z871" s="16">
        <f>((X871*COS('Gearing Calculator'!$C$21))/'Gearing Calculator'!$C$22)/2</f>
        <v>18.303563078254452</v>
      </c>
      <c r="AA871" s="16">
        <f>Y871/'Gearing Calculator'!$C$24</f>
        <v>28.197545111657071</v>
      </c>
      <c r="AB871" s="16">
        <f t="shared" si="93"/>
        <v>220.44508037715221</v>
      </c>
      <c r="AC871" s="16">
        <v>0</v>
      </c>
      <c r="AD871" s="16">
        <v>48.889993475913293</v>
      </c>
      <c r="AE871" s="16">
        <v>868</v>
      </c>
      <c r="AF871" s="16">
        <f>IF(AC871=0,IF(O871=6,INDEX(Acceleration!$V$4:$V$110,MATCH('Track Data'!S871,Acceleration!$K$4:$K$110,0)),IF('Track Data'!O871=5,INDEX(Acceleration!$U$4:$U$110,MATCH('Track Data'!S871,Acceleration!$K$4:$K$110,0)),1)),U871)</f>
        <v>1</v>
      </c>
      <c r="AG871" s="16">
        <f>IF(AC871=0,IF(O871=4,INDEX(Acceleration!$T$4:$T$110,MATCH('Track Data'!S871,Acceleration!$K$4:$K$110,0)),IF('Track Data'!O871=3,INDEX(Acceleration!$S$4:$S$110,MATCH('Track Data'!S871,Acceleration!$K$4:$K$110,0)),'Track Data'!AF871)),'Track Data'!U871)</f>
        <v>4.8208358613991411</v>
      </c>
      <c r="AH871" s="16">
        <f>IF(AC871=0,IF(O871=2,INDEX(Acceleration!$R$4:$R$110,MATCH('Track Data'!S871,Acceleration!$K$4:$K$110,0)),IF('Track Data'!O871=1,INDEX(Acceleration!$Q$4:$Q$110,MATCH('Track Data'!S871,Acceleration!$K$4:$K$110,0)),'Track Data'!AG871)),'Track Data'!U871)</f>
        <v>4.8208358613991411</v>
      </c>
    </row>
    <row r="872" spans="2:34" x14ac:dyDescent="0.25">
      <c r="B872" s="16">
        <v>221.18799999999999</v>
      </c>
      <c r="C872" s="16">
        <v>8142</v>
      </c>
      <c r="D872" s="16">
        <v>869</v>
      </c>
      <c r="E872" s="113">
        <v>136</v>
      </c>
      <c r="F872" s="113">
        <v>128.4</v>
      </c>
      <c r="G872" s="113">
        <v>116.5</v>
      </c>
      <c r="H872" s="113">
        <f t="shared" si="96"/>
        <v>32.361111111111107</v>
      </c>
      <c r="I872" s="113">
        <v>12.7</v>
      </c>
      <c r="J872" s="113">
        <v>43.05</v>
      </c>
      <c r="K872" s="113">
        <v>23.9</v>
      </c>
      <c r="L872" s="183"/>
      <c r="M872" s="16">
        <v>869</v>
      </c>
      <c r="N872" s="16">
        <f t="shared" si="98"/>
        <v>2.2937824583009154E-2</v>
      </c>
      <c r="O872" s="16">
        <v>4</v>
      </c>
      <c r="P872" s="16">
        <f t="shared" si="94"/>
        <v>9.1833785004516724</v>
      </c>
      <c r="Q872" s="16">
        <f t="shared" si="99"/>
        <v>43.59611332718687</v>
      </c>
      <c r="R872" s="113">
        <f t="shared" si="95"/>
        <v>329.49099999999999</v>
      </c>
      <c r="S872" s="16">
        <f>IF(S871=15800,15800,ROUND((((Q872*60)/'Gearing Calculator'!$C$14)*'Track Data'!P872),-2))</f>
        <v>12100</v>
      </c>
      <c r="T872" s="16">
        <f t="shared" si="97"/>
        <v>4.8208358613991411</v>
      </c>
      <c r="U872" s="16">
        <f>IF(AC872=100,Braking!$AG$2354,IF(AC872=50,Braking!$AG$1179,IF(AC872=75,Braking!$AG$1767,0)))</f>
        <v>0</v>
      </c>
      <c r="V872" s="16">
        <f>0.5*'Gearing Calculator'!$C$15*'Gearing Calculator'!$C$20*'Gearing Calculator'!$W$20*('Track Data'!Q872^2)</f>
        <v>201.16173693155565</v>
      </c>
      <c r="W872" s="16">
        <f>('Gearing Calculator'!$U$9*'Track Data'!T872)+'Track Data'!V872</f>
        <v>1484.4682432360069</v>
      </c>
      <c r="X872" s="16">
        <f>('Gearing Calculator'!$U$9*9.81)*('Gearing Calculator'!$U$16/'Gearing Calculator'!$C$7)-(('Track Data'!W872)*('Gearing Calculator'!$U$17/'Gearing Calculator'!$C$7))</f>
        <v>592.02572755831886</v>
      </c>
      <c r="Y872" s="16">
        <f>('Gearing Calculator'!$U$9*9.81)*(('Gearing Calculator'!$C$7-'Gearing Calculator'!$U$16)/'Gearing Calculator'!$C$7)+(('Track Data'!W872)*('Gearing Calculator'!$U$17/'Gearing Calculator'!$C$7))</f>
        <v>2019.396272441681</v>
      </c>
      <c r="Z872" s="16">
        <f>((X872*COS('Gearing Calculator'!$C$21))/'Gearing Calculator'!$C$22)/2</f>
        <v>18.303563078254452</v>
      </c>
      <c r="AA872" s="16">
        <f>Y872/'Gearing Calculator'!$C$24</f>
        <v>28.197545111657071</v>
      </c>
      <c r="AB872" s="16">
        <f t="shared" si="93"/>
        <v>220.44508037715221</v>
      </c>
      <c r="AC872" s="16">
        <v>0</v>
      </c>
      <c r="AD872" s="16">
        <v>48.889993475913293</v>
      </c>
      <c r="AE872" s="16">
        <v>869</v>
      </c>
      <c r="AF872" s="16">
        <f>IF(AC872=0,IF(O872=6,INDEX(Acceleration!$V$4:$V$110,MATCH('Track Data'!S872,Acceleration!$K$4:$K$110,0)),IF('Track Data'!O872=5,INDEX(Acceleration!$U$4:$U$110,MATCH('Track Data'!S872,Acceleration!$K$4:$K$110,0)),1)),U872)</f>
        <v>1</v>
      </c>
      <c r="AG872" s="16">
        <f>IF(AC872=0,IF(O872=4,INDEX(Acceleration!$T$4:$T$110,MATCH('Track Data'!S872,Acceleration!$K$4:$K$110,0)),IF('Track Data'!O872=3,INDEX(Acceleration!$S$4:$S$110,MATCH('Track Data'!S872,Acceleration!$K$4:$K$110,0)),'Track Data'!AF872)),'Track Data'!U872)</f>
        <v>4.8208358613991411</v>
      </c>
      <c r="AH872" s="16">
        <f>IF(AC872=0,IF(O872=2,INDEX(Acceleration!$R$4:$R$110,MATCH('Track Data'!S872,Acceleration!$K$4:$K$110,0)),IF('Track Data'!O872=1,INDEX(Acceleration!$Q$4:$Q$110,MATCH('Track Data'!S872,Acceleration!$K$4:$K$110,0)),'Track Data'!AG872)),'Track Data'!U872)</f>
        <v>4.8208358613991411</v>
      </c>
    </row>
    <row r="873" spans="2:34" x14ac:dyDescent="0.25">
      <c r="B873" s="16">
        <v>221.21600000000001</v>
      </c>
      <c r="C873" s="16">
        <v>8143</v>
      </c>
      <c r="D873" s="16">
        <v>870</v>
      </c>
      <c r="E873" s="113">
        <v>136</v>
      </c>
      <c r="F873" s="113">
        <v>128.80000000000001</v>
      </c>
      <c r="G873" s="113">
        <v>116.8</v>
      </c>
      <c r="H873" s="113">
        <f t="shared" si="96"/>
        <v>32.444444444444443</v>
      </c>
      <c r="I873" s="113">
        <v>12.7</v>
      </c>
      <c r="J873" s="113">
        <v>44.69</v>
      </c>
      <c r="K873" s="113">
        <v>23.6</v>
      </c>
      <c r="L873" s="183"/>
      <c r="M873" s="16">
        <v>870</v>
      </c>
      <c r="N873" s="16">
        <f t="shared" si="98"/>
        <v>2.2937824583009154E-2</v>
      </c>
      <c r="O873" s="16">
        <v>4</v>
      </c>
      <c r="P873" s="16">
        <f t="shared" si="94"/>
        <v>9.1833785004516724</v>
      </c>
      <c r="Q873" s="16">
        <f t="shared" si="99"/>
        <v>43.59611332718687</v>
      </c>
      <c r="R873" s="113">
        <f t="shared" si="95"/>
        <v>329.49099999999999</v>
      </c>
      <c r="S873" s="16">
        <f>IF(S872=15800,15800,ROUND((((Q873*60)/'Gearing Calculator'!$C$14)*'Track Data'!P873),-2))</f>
        <v>12100</v>
      </c>
      <c r="T873" s="16">
        <f t="shared" si="97"/>
        <v>4.8208358613991411</v>
      </c>
      <c r="U873" s="16">
        <f>IF(AC873=100,Braking!$AG$2354,IF(AC873=50,Braking!$AG$1179,IF(AC873=75,Braking!$AG$1767,0)))</f>
        <v>0</v>
      </c>
      <c r="V873" s="16">
        <f>0.5*'Gearing Calculator'!$C$15*'Gearing Calculator'!$C$20*'Gearing Calculator'!$W$20*('Track Data'!Q873^2)</f>
        <v>201.16173693155565</v>
      </c>
      <c r="W873" s="16">
        <f>('Gearing Calculator'!$U$9*'Track Data'!T873)+'Track Data'!V873</f>
        <v>1484.4682432360069</v>
      </c>
      <c r="X873" s="16">
        <f>('Gearing Calculator'!$U$9*9.81)*('Gearing Calculator'!$U$16/'Gearing Calculator'!$C$7)-(('Track Data'!W873)*('Gearing Calculator'!$U$17/'Gearing Calculator'!$C$7))</f>
        <v>592.02572755831886</v>
      </c>
      <c r="Y873" s="16">
        <f>('Gearing Calculator'!$U$9*9.81)*(('Gearing Calculator'!$C$7-'Gearing Calculator'!$U$16)/'Gearing Calculator'!$C$7)+(('Track Data'!W873)*('Gearing Calculator'!$U$17/'Gearing Calculator'!$C$7))</f>
        <v>2019.396272441681</v>
      </c>
      <c r="Z873" s="16">
        <f>((X873*COS('Gearing Calculator'!$C$21))/'Gearing Calculator'!$C$22)/2</f>
        <v>18.303563078254452</v>
      </c>
      <c r="AA873" s="16">
        <f>Y873/'Gearing Calculator'!$C$24</f>
        <v>28.197545111657071</v>
      </c>
      <c r="AB873" s="16">
        <f t="shared" si="93"/>
        <v>220.44508037715221</v>
      </c>
      <c r="AC873" s="16">
        <v>0</v>
      </c>
      <c r="AD873" s="16">
        <v>48.889993475913293</v>
      </c>
      <c r="AE873" s="16">
        <v>870</v>
      </c>
      <c r="AF873" s="16">
        <f>IF(AC873=0,IF(O873=6,INDEX(Acceleration!$V$4:$V$110,MATCH('Track Data'!S873,Acceleration!$K$4:$K$110,0)),IF('Track Data'!O873=5,INDEX(Acceleration!$U$4:$U$110,MATCH('Track Data'!S873,Acceleration!$K$4:$K$110,0)),1)),U873)</f>
        <v>1</v>
      </c>
      <c r="AG873" s="16">
        <f>IF(AC873=0,IF(O873=4,INDEX(Acceleration!$T$4:$T$110,MATCH('Track Data'!S873,Acceleration!$K$4:$K$110,0)),IF('Track Data'!O873=3,INDEX(Acceleration!$S$4:$S$110,MATCH('Track Data'!S873,Acceleration!$K$4:$K$110,0)),'Track Data'!AF873)),'Track Data'!U873)</f>
        <v>4.8208358613991411</v>
      </c>
      <c r="AH873" s="16">
        <f>IF(AC873=0,IF(O873=2,INDEX(Acceleration!$R$4:$R$110,MATCH('Track Data'!S873,Acceleration!$K$4:$K$110,0)),IF('Track Data'!O873=1,INDEX(Acceleration!$Q$4:$Q$110,MATCH('Track Data'!S873,Acceleration!$K$4:$K$110,0)),'Track Data'!AG873)),'Track Data'!U873)</f>
        <v>4.8208358613991411</v>
      </c>
    </row>
    <row r="874" spans="2:34" x14ac:dyDescent="0.25">
      <c r="B874" s="16">
        <v>221.24299999999999</v>
      </c>
      <c r="C874" s="16">
        <v>8144</v>
      </c>
      <c r="D874" s="16">
        <v>871</v>
      </c>
      <c r="E874" s="113">
        <v>136</v>
      </c>
      <c r="F874" s="113">
        <v>129</v>
      </c>
      <c r="G874" s="113">
        <v>117.2</v>
      </c>
      <c r="H874" s="113">
        <f t="shared" si="96"/>
        <v>32.555555555555557</v>
      </c>
      <c r="I874" s="113">
        <v>12.8</v>
      </c>
      <c r="J874" s="113">
        <v>44.43</v>
      </c>
      <c r="K874" s="113">
        <v>37.5</v>
      </c>
      <c r="L874" s="183"/>
      <c r="M874" s="16">
        <v>871</v>
      </c>
      <c r="N874" s="16">
        <f t="shared" si="98"/>
        <v>2.2937824583009154E-2</v>
      </c>
      <c r="O874" s="16">
        <v>4</v>
      </c>
      <c r="P874" s="16">
        <f t="shared" si="94"/>
        <v>9.1833785004516724</v>
      </c>
      <c r="Q874" s="16">
        <f t="shared" si="99"/>
        <v>43.59611332718687</v>
      </c>
      <c r="R874" s="113">
        <f t="shared" si="95"/>
        <v>329.49099999999999</v>
      </c>
      <c r="S874" s="16">
        <f>IF(S873=15800,15800,ROUND((((Q874*60)/'Gearing Calculator'!$C$14)*'Track Data'!P874),-2))</f>
        <v>12100</v>
      </c>
      <c r="T874" s="16">
        <f t="shared" si="97"/>
        <v>4.8208358613991411</v>
      </c>
      <c r="U874" s="16">
        <f>IF(AC874=100,Braking!$AG$2354,IF(AC874=50,Braking!$AG$1179,IF(AC874=75,Braking!$AG$1767,0)))</f>
        <v>0</v>
      </c>
      <c r="V874" s="16">
        <f>0.5*'Gearing Calculator'!$C$15*'Gearing Calculator'!$C$20*'Gearing Calculator'!$W$20*('Track Data'!Q874^2)</f>
        <v>201.16173693155565</v>
      </c>
      <c r="W874" s="16">
        <f>('Gearing Calculator'!$U$9*'Track Data'!T874)+'Track Data'!V874</f>
        <v>1484.4682432360069</v>
      </c>
      <c r="X874" s="16">
        <f>('Gearing Calculator'!$U$9*9.81)*('Gearing Calculator'!$U$16/'Gearing Calculator'!$C$7)-(('Track Data'!W874)*('Gearing Calculator'!$U$17/'Gearing Calculator'!$C$7))</f>
        <v>592.02572755831886</v>
      </c>
      <c r="Y874" s="16">
        <f>('Gearing Calculator'!$U$9*9.81)*(('Gearing Calculator'!$C$7-'Gearing Calculator'!$U$16)/'Gearing Calculator'!$C$7)+(('Track Data'!W874)*('Gearing Calculator'!$U$17/'Gearing Calculator'!$C$7))</f>
        <v>2019.396272441681</v>
      </c>
      <c r="Z874" s="16">
        <f>((X874*COS('Gearing Calculator'!$C$21))/'Gearing Calculator'!$C$22)/2</f>
        <v>18.303563078254452</v>
      </c>
      <c r="AA874" s="16">
        <f>Y874/'Gearing Calculator'!$C$24</f>
        <v>28.197545111657071</v>
      </c>
      <c r="AB874" s="16">
        <f t="shared" si="93"/>
        <v>220.44508037715221</v>
      </c>
      <c r="AC874" s="16">
        <v>0</v>
      </c>
      <c r="AD874" s="16">
        <v>48.889993475913293</v>
      </c>
      <c r="AE874" s="16">
        <v>871</v>
      </c>
      <c r="AF874" s="16">
        <f>IF(AC874=0,IF(O874=6,INDEX(Acceleration!$V$4:$V$110,MATCH('Track Data'!S874,Acceleration!$K$4:$K$110,0)),IF('Track Data'!O874=5,INDEX(Acceleration!$U$4:$U$110,MATCH('Track Data'!S874,Acceleration!$K$4:$K$110,0)),1)),U874)</f>
        <v>1</v>
      </c>
      <c r="AG874" s="16">
        <f>IF(AC874=0,IF(O874=4,INDEX(Acceleration!$T$4:$T$110,MATCH('Track Data'!S874,Acceleration!$K$4:$K$110,0)),IF('Track Data'!O874=3,INDEX(Acceleration!$S$4:$S$110,MATCH('Track Data'!S874,Acceleration!$K$4:$K$110,0)),'Track Data'!AF874)),'Track Data'!U874)</f>
        <v>4.8208358613991411</v>
      </c>
      <c r="AH874" s="16">
        <f>IF(AC874=0,IF(O874=2,INDEX(Acceleration!$R$4:$R$110,MATCH('Track Data'!S874,Acceleration!$K$4:$K$110,0)),IF('Track Data'!O874=1,INDEX(Acceleration!$Q$4:$Q$110,MATCH('Track Data'!S874,Acceleration!$K$4:$K$110,0)),'Track Data'!AG874)),'Track Data'!U874)</f>
        <v>4.8208358613991411</v>
      </c>
    </row>
    <row r="875" spans="2:34" x14ac:dyDescent="0.25">
      <c r="B875" s="16">
        <v>221.27099999999999</v>
      </c>
      <c r="C875" s="16">
        <v>8145</v>
      </c>
      <c r="D875" s="16">
        <v>872</v>
      </c>
      <c r="E875" s="113">
        <v>136</v>
      </c>
      <c r="F875" s="113">
        <v>129.1</v>
      </c>
      <c r="G875" s="113">
        <v>117.6</v>
      </c>
      <c r="H875" s="113">
        <f t="shared" si="96"/>
        <v>32.666666666666664</v>
      </c>
      <c r="I875" s="113">
        <v>13.9</v>
      </c>
      <c r="J875" s="113">
        <v>42.89</v>
      </c>
      <c r="K875" s="113">
        <v>51.5</v>
      </c>
      <c r="L875" s="183"/>
      <c r="M875" s="16">
        <v>872</v>
      </c>
      <c r="N875" s="16">
        <f t="shared" si="98"/>
        <v>2.2937824583009154E-2</v>
      </c>
      <c r="O875" s="16">
        <v>4</v>
      </c>
      <c r="P875" s="16">
        <f t="shared" si="94"/>
        <v>9.1833785004516724</v>
      </c>
      <c r="Q875" s="16">
        <f t="shared" si="99"/>
        <v>43.59611332718687</v>
      </c>
      <c r="R875" s="113">
        <f t="shared" si="95"/>
        <v>329.49099999999999</v>
      </c>
      <c r="S875" s="16">
        <f>IF(S874=15800,15800,ROUND((((Q875*60)/'Gearing Calculator'!$C$14)*'Track Data'!P875),-2))</f>
        <v>12100</v>
      </c>
      <c r="T875" s="16">
        <f t="shared" si="97"/>
        <v>4.8208358613991411</v>
      </c>
      <c r="U875" s="16">
        <f>IF(AC875=100,Braking!$AG$2354,IF(AC875=50,Braking!$AG$1179,IF(AC875=75,Braking!$AG$1767,0)))</f>
        <v>0</v>
      </c>
      <c r="V875" s="16">
        <f>0.5*'Gearing Calculator'!$C$15*'Gearing Calculator'!$C$20*'Gearing Calculator'!$W$20*('Track Data'!Q875^2)</f>
        <v>201.16173693155565</v>
      </c>
      <c r="W875" s="16">
        <f>('Gearing Calculator'!$U$9*'Track Data'!T875)+'Track Data'!V875</f>
        <v>1484.4682432360069</v>
      </c>
      <c r="X875" s="16">
        <f>('Gearing Calculator'!$U$9*9.81)*('Gearing Calculator'!$U$16/'Gearing Calculator'!$C$7)-(('Track Data'!W875)*('Gearing Calculator'!$U$17/'Gearing Calculator'!$C$7))</f>
        <v>592.02572755831886</v>
      </c>
      <c r="Y875" s="16">
        <f>('Gearing Calculator'!$U$9*9.81)*(('Gearing Calculator'!$C$7-'Gearing Calculator'!$U$16)/'Gearing Calculator'!$C$7)+(('Track Data'!W875)*('Gearing Calculator'!$U$17/'Gearing Calculator'!$C$7))</f>
        <v>2019.396272441681</v>
      </c>
      <c r="Z875" s="16">
        <f>((X875*COS('Gearing Calculator'!$C$21))/'Gearing Calculator'!$C$22)/2</f>
        <v>18.303563078254452</v>
      </c>
      <c r="AA875" s="16">
        <f>Y875/'Gearing Calculator'!$C$24</f>
        <v>28.197545111657071</v>
      </c>
      <c r="AB875" s="16">
        <f t="shared" si="93"/>
        <v>220.44508037715221</v>
      </c>
      <c r="AC875" s="16">
        <v>0</v>
      </c>
      <c r="AD875" s="16">
        <v>48.889993475913293</v>
      </c>
      <c r="AE875" s="16">
        <v>872</v>
      </c>
      <c r="AF875" s="16">
        <f>IF(AC875=0,IF(O875=6,INDEX(Acceleration!$V$4:$V$110,MATCH('Track Data'!S875,Acceleration!$K$4:$K$110,0)),IF('Track Data'!O875=5,INDEX(Acceleration!$U$4:$U$110,MATCH('Track Data'!S875,Acceleration!$K$4:$K$110,0)),1)),U875)</f>
        <v>1</v>
      </c>
      <c r="AG875" s="16">
        <f>IF(AC875=0,IF(O875=4,INDEX(Acceleration!$T$4:$T$110,MATCH('Track Data'!S875,Acceleration!$K$4:$K$110,0)),IF('Track Data'!O875=3,INDEX(Acceleration!$S$4:$S$110,MATCH('Track Data'!S875,Acceleration!$K$4:$K$110,0)),'Track Data'!AF875)),'Track Data'!U875)</f>
        <v>4.8208358613991411</v>
      </c>
      <c r="AH875" s="16">
        <f>IF(AC875=0,IF(O875=2,INDEX(Acceleration!$R$4:$R$110,MATCH('Track Data'!S875,Acceleration!$K$4:$K$110,0)),IF('Track Data'!O875=1,INDEX(Acceleration!$Q$4:$Q$110,MATCH('Track Data'!S875,Acceleration!$K$4:$K$110,0)),'Track Data'!AG875)),'Track Data'!U875)</f>
        <v>4.8208358613991411</v>
      </c>
    </row>
    <row r="876" spans="2:34" x14ac:dyDescent="0.25">
      <c r="B876" s="16">
        <v>221.29900000000001</v>
      </c>
      <c r="C876" s="16">
        <v>8146</v>
      </c>
      <c r="D876" s="16">
        <v>873</v>
      </c>
      <c r="E876" s="113">
        <v>136</v>
      </c>
      <c r="F876" s="113">
        <v>129.1</v>
      </c>
      <c r="G876" s="113">
        <v>117.8</v>
      </c>
      <c r="H876" s="113">
        <f t="shared" si="96"/>
        <v>32.722222222222221</v>
      </c>
      <c r="I876" s="113">
        <v>14.8</v>
      </c>
      <c r="J876" s="113">
        <v>42.55</v>
      </c>
      <c r="K876" s="113">
        <v>54.9</v>
      </c>
      <c r="L876" s="183"/>
      <c r="M876" s="16">
        <v>873</v>
      </c>
      <c r="N876" s="16">
        <f t="shared" si="98"/>
        <v>2.2937824583009154E-2</v>
      </c>
      <c r="O876" s="16">
        <v>4</v>
      </c>
      <c r="P876" s="16">
        <f t="shared" si="94"/>
        <v>9.1833785004516724</v>
      </c>
      <c r="Q876" s="16">
        <f t="shared" si="99"/>
        <v>43.59611332718687</v>
      </c>
      <c r="R876" s="113">
        <f t="shared" si="95"/>
        <v>329.49099999999999</v>
      </c>
      <c r="S876" s="16">
        <f>IF(S875=15800,15800,ROUND((((Q876*60)/'Gearing Calculator'!$C$14)*'Track Data'!P876),-2))</f>
        <v>12100</v>
      </c>
      <c r="T876" s="16">
        <f t="shared" si="97"/>
        <v>4.8208358613991411</v>
      </c>
      <c r="U876" s="16">
        <f>IF(AC876=100,Braking!$AG$2354,IF(AC876=50,Braking!$AG$1179,IF(AC876=75,Braking!$AG$1767,0)))</f>
        <v>0</v>
      </c>
      <c r="V876" s="16">
        <f>0.5*'Gearing Calculator'!$C$15*'Gearing Calculator'!$C$20*'Gearing Calculator'!$W$20*('Track Data'!Q876^2)</f>
        <v>201.16173693155565</v>
      </c>
      <c r="W876" s="16">
        <f>('Gearing Calculator'!$U$9*'Track Data'!T876)+'Track Data'!V876</f>
        <v>1484.4682432360069</v>
      </c>
      <c r="X876" s="16">
        <f>('Gearing Calculator'!$U$9*9.81)*('Gearing Calculator'!$U$16/'Gearing Calculator'!$C$7)-(('Track Data'!W876)*('Gearing Calculator'!$U$17/'Gearing Calculator'!$C$7))</f>
        <v>592.02572755831886</v>
      </c>
      <c r="Y876" s="16">
        <f>('Gearing Calculator'!$U$9*9.81)*(('Gearing Calculator'!$C$7-'Gearing Calculator'!$U$16)/'Gearing Calculator'!$C$7)+(('Track Data'!W876)*('Gearing Calculator'!$U$17/'Gearing Calculator'!$C$7))</f>
        <v>2019.396272441681</v>
      </c>
      <c r="Z876" s="16">
        <f>((X876*COS('Gearing Calculator'!$C$21))/'Gearing Calculator'!$C$22)/2</f>
        <v>18.303563078254452</v>
      </c>
      <c r="AA876" s="16">
        <f>Y876/'Gearing Calculator'!$C$24</f>
        <v>28.197545111657071</v>
      </c>
      <c r="AB876" s="16">
        <f t="shared" si="93"/>
        <v>220.44508037715221</v>
      </c>
      <c r="AC876" s="16">
        <v>0</v>
      </c>
      <c r="AD876" s="16">
        <v>48.889993475913293</v>
      </c>
      <c r="AE876" s="16">
        <v>873</v>
      </c>
      <c r="AF876" s="16">
        <f>IF(AC876=0,IF(O876=6,INDEX(Acceleration!$V$4:$V$110,MATCH('Track Data'!S876,Acceleration!$K$4:$K$110,0)),IF('Track Data'!O876=5,INDEX(Acceleration!$U$4:$U$110,MATCH('Track Data'!S876,Acceleration!$K$4:$K$110,0)),1)),U876)</f>
        <v>1</v>
      </c>
      <c r="AG876" s="16">
        <f>IF(AC876=0,IF(O876=4,INDEX(Acceleration!$T$4:$T$110,MATCH('Track Data'!S876,Acceleration!$K$4:$K$110,0)),IF('Track Data'!O876=3,INDEX(Acceleration!$S$4:$S$110,MATCH('Track Data'!S876,Acceleration!$K$4:$K$110,0)),'Track Data'!AF876)),'Track Data'!U876)</f>
        <v>4.8208358613991411</v>
      </c>
      <c r="AH876" s="16">
        <f>IF(AC876=0,IF(O876=2,INDEX(Acceleration!$R$4:$R$110,MATCH('Track Data'!S876,Acceleration!$K$4:$K$110,0)),IF('Track Data'!O876=1,INDEX(Acceleration!$Q$4:$Q$110,MATCH('Track Data'!S876,Acceleration!$K$4:$K$110,0)),'Track Data'!AG876)),'Track Data'!U876)</f>
        <v>4.8208358613991411</v>
      </c>
    </row>
    <row r="877" spans="2:34" x14ac:dyDescent="0.25">
      <c r="B877" s="16">
        <v>221.327</v>
      </c>
      <c r="C877" s="16">
        <v>8147</v>
      </c>
      <c r="D877" s="16">
        <v>874</v>
      </c>
      <c r="E877" s="113">
        <v>136</v>
      </c>
      <c r="F877" s="113">
        <v>129.30000000000001</v>
      </c>
      <c r="G877" s="113">
        <v>118.2</v>
      </c>
      <c r="H877" s="113">
        <f t="shared" si="96"/>
        <v>32.833333333333336</v>
      </c>
      <c r="I877" s="113">
        <v>15</v>
      </c>
      <c r="J877" s="113">
        <v>40.79</v>
      </c>
      <c r="K877" s="113">
        <v>55.9</v>
      </c>
      <c r="L877" s="183"/>
      <c r="M877" s="16">
        <v>874</v>
      </c>
      <c r="N877" s="16">
        <f t="shared" si="98"/>
        <v>2.2937824583009154E-2</v>
      </c>
      <c r="O877" s="16">
        <v>4</v>
      </c>
      <c r="P877" s="16">
        <f t="shared" si="94"/>
        <v>9.1833785004516724</v>
      </c>
      <c r="Q877" s="16">
        <f t="shared" si="99"/>
        <v>43.59611332718687</v>
      </c>
      <c r="R877" s="113">
        <f t="shared" si="95"/>
        <v>329.49099999999999</v>
      </c>
      <c r="S877" s="16">
        <f>IF(S876=15800,15800,ROUND((((Q877*60)/'Gearing Calculator'!$C$14)*'Track Data'!P877),-2))</f>
        <v>12100</v>
      </c>
      <c r="T877" s="16">
        <f t="shared" si="97"/>
        <v>4.8208358613991411</v>
      </c>
      <c r="U877" s="16">
        <f>IF(AC877=100,Braking!$AG$2354,IF(AC877=50,Braking!$AG$1179,IF(AC877=75,Braking!$AG$1767,0)))</f>
        <v>0</v>
      </c>
      <c r="V877" s="16">
        <f>0.5*'Gearing Calculator'!$C$15*'Gearing Calculator'!$C$20*'Gearing Calculator'!$W$20*('Track Data'!Q877^2)</f>
        <v>201.16173693155565</v>
      </c>
      <c r="W877" s="16">
        <f>('Gearing Calculator'!$U$9*'Track Data'!T877)+'Track Data'!V877</f>
        <v>1484.4682432360069</v>
      </c>
      <c r="X877" s="16">
        <f>('Gearing Calculator'!$U$9*9.81)*('Gearing Calculator'!$U$16/'Gearing Calculator'!$C$7)-(('Track Data'!W877)*('Gearing Calculator'!$U$17/'Gearing Calculator'!$C$7))</f>
        <v>592.02572755831886</v>
      </c>
      <c r="Y877" s="16">
        <f>('Gearing Calculator'!$U$9*9.81)*(('Gearing Calculator'!$C$7-'Gearing Calculator'!$U$16)/'Gearing Calculator'!$C$7)+(('Track Data'!W877)*('Gearing Calculator'!$U$17/'Gearing Calculator'!$C$7))</f>
        <v>2019.396272441681</v>
      </c>
      <c r="Z877" s="16">
        <f>((X877*COS('Gearing Calculator'!$C$21))/'Gearing Calculator'!$C$22)/2</f>
        <v>18.303563078254452</v>
      </c>
      <c r="AA877" s="16">
        <f>Y877/'Gearing Calculator'!$C$24</f>
        <v>28.197545111657071</v>
      </c>
      <c r="AB877" s="16">
        <f t="shared" si="93"/>
        <v>220.44508037715221</v>
      </c>
      <c r="AC877" s="16">
        <v>0</v>
      </c>
      <c r="AD877" s="16">
        <v>48.889993475913293</v>
      </c>
      <c r="AE877" s="16">
        <v>874</v>
      </c>
      <c r="AF877" s="16">
        <f>IF(AC877=0,IF(O877=6,INDEX(Acceleration!$V$4:$V$110,MATCH('Track Data'!S877,Acceleration!$K$4:$K$110,0)),IF('Track Data'!O877=5,INDEX(Acceleration!$U$4:$U$110,MATCH('Track Data'!S877,Acceleration!$K$4:$K$110,0)),1)),U877)</f>
        <v>1</v>
      </c>
      <c r="AG877" s="16">
        <f>IF(AC877=0,IF(O877=4,INDEX(Acceleration!$T$4:$T$110,MATCH('Track Data'!S877,Acceleration!$K$4:$K$110,0)),IF('Track Data'!O877=3,INDEX(Acceleration!$S$4:$S$110,MATCH('Track Data'!S877,Acceleration!$K$4:$K$110,0)),'Track Data'!AF877)),'Track Data'!U877)</f>
        <v>4.8208358613991411</v>
      </c>
      <c r="AH877" s="16">
        <f>IF(AC877=0,IF(O877=2,INDEX(Acceleration!$R$4:$R$110,MATCH('Track Data'!S877,Acceleration!$K$4:$K$110,0)),IF('Track Data'!O877=1,INDEX(Acceleration!$Q$4:$Q$110,MATCH('Track Data'!S877,Acceleration!$K$4:$K$110,0)),'Track Data'!AG877)),'Track Data'!U877)</f>
        <v>4.8208358613991411</v>
      </c>
    </row>
    <row r="878" spans="2:34" x14ac:dyDescent="0.25">
      <c r="B878" s="16">
        <v>221.35400000000001</v>
      </c>
      <c r="C878" s="16">
        <v>8148</v>
      </c>
      <c r="D878" s="16">
        <v>875</v>
      </c>
      <c r="E878" s="113">
        <v>137</v>
      </c>
      <c r="F878" s="113">
        <v>129.69999999999999</v>
      </c>
      <c r="G878" s="113">
        <v>118.6</v>
      </c>
      <c r="H878" s="113">
        <f t="shared" si="96"/>
        <v>32.944444444444443</v>
      </c>
      <c r="I878" s="113">
        <v>15.1</v>
      </c>
      <c r="J878" s="113">
        <v>38.11</v>
      </c>
      <c r="K878" s="113">
        <v>57</v>
      </c>
      <c r="L878" s="183"/>
      <c r="M878" s="16">
        <v>875</v>
      </c>
      <c r="N878" s="16">
        <f t="shared" si="98"/>
        <v>2.2937824583009154E-2</v>
      </c>
      <c r="O878" s="16">
        <v>4</v>
      </c>
      <c r="P878" s="16">
        <f t="shared" si="94"/>
        <v>9.1833785004516724</v>
      </c>
      <c r="Q878" s="16">
        <f t="shared" si="99"/>
        <v>43.59611332718687</v>
      </c>
      <c r="R878" s="113">
        <f t="shared" si="95"/>
        <v>329.49099999999999</v>
      </c>
      <c r="S878" s="16">
        <f>IF(S877=15800,15800,ROUND((((Q878*60)/'Gearing Calculator'!$C$14)*'Track Data'!P878),-2))</f>
        <v>12100</v>
      </c>
      <c r="T878" s="16">
        <f t="shared" si="97"/>
        <v>4.8208358613991411</v>
      </c>
      <c r="U878" s="16">
        <f>IF(AC878=100,Braking!$AG$2354,IF(AC878=50,Braking!$AG$1179,IF(AC878=75,Braking!$AG$1767,0)))</f>
        <v>0</v>
      </c>
      <c r="V878" s="16">
        <f>0.5*'Gearing Calculator'!$C$15*'Gearing Calculator'!$C$20*'Gearing Calculator'!$W$20*('Track Data'!Q878^2)</f>
        <v>201.16173693155565</v>
      </c>
      <c r="W878" s="16">
        <f>('Gearing Calculator'!$U$9*'Track Data'!T878)+'Track Data'!V878</f>
        <v>1484.4682432360069</v>
      </c>
      <c r="X878" s="16">
        <f>('Gearing Calculator'!$U$9*9.81)*('Gearing Calculator'!$U$16/'Gearing Calculator'!$C$7)-(('Track Data'!W878)*('Gearing Calculator'!$U$17/'Gearing Calculator'!$C$7))</f>
        <v>592.02572755831886</v>
      </c>
      <c r="Y878" s="16">
        <f>('Gearing Calculator'!$U$9*9.81)*(('Gearing Calculator'!$C$7-'Gearing Calculator'!$U$16)/'Gearing Calculator'!$C$7)+(('Track Data'!W878)*('Gearing Calculator'!$U$17/'Gearing Calculator'!$C$7))</f>
        <v>2019.396272441681</v>
      </c>
      <c r="Z878" s="16">
        <f>((X878*COS('Gearing Calculator'!$C$21))/'Gearing Calculator'!$C$22)/2</f>
        <v>18.303563078254452</v>
      </c>
      <c r="AA878" s="16">
        <f>Y878/'Gearing Calculator'!$C$24</f>
        <v>28.197545111657071</v>
      </c>
      <c r="AB878" s="16">
        <f t="shared" si="93"/>
        <v>220.44508037715221</v>
      </c>
      <c r="AC878" s="16">
        <v>0</v>
      </c>
      <c r="AD878" s="16">
        <v>48.889993475913293</v>
      </c>
      <c r="AE878" s="16">
        <v>875</v>
      </c>
      <c r="AF878" s="16">
        <f>IF(AC878=0,IF(O878=6,INDEX(Acceleration!$V$4:$V$110,MATCH('Track Data'!S878,Acceleration!$K$4:$K$110,0)),IF('Track Data'!O878=5,INDEX(Acceleration!$U$4:$U$110,MATCH('Track Data'!S878,Acceleration!$K$4:$K$110,0)),1)),U878)</f>
        <v>1</v>
      </c>
      <c r="AG878" s="16">
        <f>IF(AC878=0,IF(O878=4,INDEX(Acceleration!$T$4:$T$110,MATCH('Track Data'!S878,Acceleration!$K$4:$K$110,0)),IF('Track Data'!O878=3,INDEX(Acceleration!$S$4:$S$110,MATCH('Track Data'!S878,Acceleration!$K$4:$K$110,0)),'Track Data'!AF878)),'Track Data'!U878)</f>
        <v>4.8208358613991411</v>
      </c>
      <c r="AH878" s="16">
        <f>IF(AC878=0,IF(O878=2,INDEX(Acceleration!$R$4:$R$110,MATCH('Track Data'!S878,Acceleration!$K$4:$K$110,0)),IF('Track Data'!O878=1,INDEX(Acceleration!$Q$4:$Q$110,MATCH('Track Data'!S878,Acceleration!$K$4:$K$110,0)),'Track Data'!AG878)),'Track Data'!U878)</f>
        <v>4.8208358613991411</v>
      </c>
    </row>
    <row r="879" spans="2:34" x14ac:dyDescent="0.25">
      <c r="B879" s="16">
        <v>221.38200000000001</v>
      </c>
      <c r="C879" s="16">
        <v>8149</v>
      </c>
      <c r="D879" s="16">
        <v>876</v>
      </c>
      <c r="E879" s="113">
        <v>138</v>
      </c>
      <c r="F879" s="113">
        <v>129.69999999999999</v>
      </c>
      <c r="G879" s="113">
        <v>119</v>
      </c>
      <c r="H879" s="113">
        <f t="shared" si="96"/>
        <v>33.055555555555557</v>
      </c>
      <c r="I879" s="113">
        <v>13.6</v>
      </c>
      <c r="J879" s="113">
        <v>38.93</v>
      </c>
      <c r="K879" s="113">
        <v>57.2</v>
      </c>
      <c r="L879" s="183"/>
      <c r="M879" s="16">
        <v>876</v>
      </c>
      <c r="N879" s="16">
        <f t="shared" si="98"/>
        <v>2.2937824583009154E-2</v>
      </c>
      <c r="O879" s="16">
        <v>4</v>
      </c>
      <c r="P879" s="16">
        <f t="shared" si="94"/>
        <v>9.1833785004516724</v>
      </c>
      <c r="Q879" s="16">
        <f t="shared" si="99"/>
        <v>43.59611332718687</v>
      </c>
      <c r="R879" s="113">
        <f t="shared" si="95"/>
        <v>329.49099999999999</v>
      </c>
      <c r="S879" s="16">
        <f>IF(S878=15800,15800,ROUND((((Q879*60)/'Gearing Calculator'!$C$14)*'Track Data'!P879),-2))</f>
        <v>12100</v>
      </c>
      <c r="T879" s="16">
        <f t="shared" si="97"/>
        <v>4.8208358613991411</v>
      </c>
      <c r="U879" s="16">
        <f>IF(AC879=100,Braking!$AG$2354,IF(AC879=50,Braking!$AG$1179,IF(AC879=75,Braking!$AG$1767,0)))</f>
        <v>0</v>
      </c>
      <c r="V879" s="16">
        <f>0.5*'Gearing Calculator'!$C$15*'Gearing Calculator'!$C$20*'Gearing Calculator'!$W$20*('Track Data'!Q879^2)</f>
        <v>201.16173693155565</v>
      </c>
      <c r="W879" s="16">
        <f>('Gearing Calculator'!$U$9*'Track Data'!T879)+'Track Data'!V879</f>
        <v>1484.4682432360069</v>
      </c>
      <c r="X879" s="16">
        <f>('Gearing Calculator'!$U$9*9.81)*('Gearing Calculator'!$U$16/'Gearing Calculator'!$C$7)-(('Track Data'!W879)*('Gearing Calculator'!$U$17/'Gearing Calculator'!$C$7))</f>
        <v>592.02572755831886</v>
      </c>
      <c r="Y879" s="16">
        <f>('Gearing Calculator'!$U$9*9.81)*(('Gearing Calculator'!$C$7-'Gearing Calculator'!$U$16)/'Gearing Calculator'!$C$7)+(('Track Data'!W879)*('Gearing Calculator'!$U$17/'Gearing Calculator'!$C$7))</f>
        <v>2019.396272441681</v>
      </c>
      <c r="Z879" s="16">
        <f>((X879*COS('Gearing Calculator'!$C$21))/'Gearing Calculator'!$C$22)/2</f>
        <v>18.303563078254452</v>
      </c>
      <c r="AA879" s="16">
        <f>Y879/'Gearing Calculator'!$C$24</f>
        <v>28.197545111657071</v>
      </c>
      <c r="AB879" s="16">
        <f t="shared" si="93"/>
        <v>220.44508037715221</v>
      </c>
      <c r="AC879" s="16">
        <v>0</v>
      </c>
      <c r="AD879" s="16">
        <v>48.889993475913293</v>
      </c>
      <c r="AE879" s="16">
        <v>876</v>
      </c>
      <c r="AF879" s="16">
        <f>IF(AC879=0,IF(O879=6,INDEX(Acceleration!$V$4:$V$110,MATCH('Track Data'!S879,Acceleration!$K$4:$K$110,0)),IF('Track Data'!O879=5,INDEX(Acceleration!$U$4:$U$110,MATCH('Track Data'!S879,Acceleration!$K$4:$K$110,0)),1)),U879)</f>
        <v>1</v>
      </c>
      <c r="AG879" s="16">
        <f>IF(AC879=0,IF(O879=4,INDEX(Acceleration!$T$4:$T$110,MATCH('Track Data'!S879,Acceleration!$K$4:$K$110,0)),IF('Track Data'!O879=3,INDEX(Acceleration!$S$4:$S$110,MATCH('Track Data'!S879,Acceleration!$K$4:$K$110,0)),'Track Data'!AF879)),'Track Data'!U879)</f>
        <v>4.8208358613991411</v>
      </c>
      <c r="AH879" s="16">
        <f>IF(AC879=0,IF(O879=2,INDEX(Acceleration!$R$4:$R$110,MATCH('Track Data'!S879,Acceleration!$K$4:$K$110,0)),IF('Track Data'!O879=1,INDEX(Acceleration!$Q$4:$Q$110,MATCH('Track Data'!S879,Acceleration!$K$4:$K$110,0)),'Track Data'!AG879)),'Track Data'!U879)</f>
        <v>4.8208358613991411</v>
      </c>
    </row>
    <row r="880" spans="2:34" x14ac:dyDescent="0.25">
      <c r="B880" s="16">
        <v>221.41</v>
      </c>
      <c r="C880" s="16">
        <v>8150</v>
      </c>
      <c r="D880" s="16">
        <v>877</v>
      </c>
      <c r="E880" s="113">
        <v>138</v>
      </c>
      <c r="F880" s="113">
        <v>129.69999999999999</v>
      </c>
      <c r="G880" s="113">
        <v>119.3</v>
      </c>
      <c r="H880" s="113">
        <f t="shared" si="96"/>
        <v>33.138888888888886</v>
      </c>
      <c r="I880" s="113">
        <v>13.1</v>
      </c>
      <c r="J880" s="113">
        <v>36.96</v>
      </c>
      <c r="K880" s="113">
        <v>57.2</v>
      </c>
      <c r="L880" s="183"/>
      <c r="M880" s="16">
        <v>877</v>
      </c>
      <c r="N880" s="16">
        <f t="shared" si="98"/>
        <v>2.2937824583009154E-2</v>
      </c>
      <c r="O880" s="16">
        <v>4</v>
      </c>
      <c r="P880" s="16">
        <f t="shared" si="94"/>
        <v>9.1833785004516724</v>
      </c>
      <c r="Q880" s="16">
        <f t="shared" si="99"/>
        <v>43.59611332718687</v>
      </c>
      <c r="R880" s="113">
        <f t="shared" si="95"/>
        <v>329.49099999999999</v>
      </c>
      <c r="S880" s="16">
        <f>IF(S879=15800,15800,ROUND((((Q880*60)/'Gearing Calculator'!$C$14)*'Track Data'!P880),-2))</f>
        <v>12100</v>
      </c>
      <c r="T880" s="16">
        <f t="shared" si="97"/>
        <v>4.8208358613991411</v>
      </c>
      <c r="U880" s="16">
        <f>IF(AC880=100,Braking!$AG$2354,IF(AC880=50,Braking!$AG$1179,IF(AC880=75,Braking!$AG$1767,0)))</f>
        <v>0</v>
      </c>
      <c r="V880" s="16">
        <f>0.5*'Gearing Calculator'!$C$15*'Gearing Calculator'!$C$20*'Gearing Calculator'!$W$20*('Track Data'!Q880^2)</f>
        <v>201.16173693155565</v>
      </c>
      <c r="W880" s="16">
        <f>('Gearing Calculator'!$U$9*'Track Data'!T880)+'Track Data'!V880</f>
        <v>1484.4682432360069</v>
      </c>
      <c r="X880" s="16">
        <f>('Gearing Calculator'!$U$9*9.81)*('Gearing Calculator'!$U$16/'Gearing Calculator'!$C$7)-(('Track Data'!W880)*('Gearing Calculator'!$U$17/'Gearing Calculator'!$C$7))</f>
        <v>592.02572755831886</v>
      </c>
      <c r="Y880" s="16">
        <f>('Gearing Calculator'!$U$9*9.81)*(('Gearing Calculator'!$C$7-'Gearing Calculator'!$U$16)/'Gearing Calculator'!$C$7)+(('Track Data'!W880)*('Gearing Calculator'!$U$17/'Gearing Calculator'!$C$7))</f>
        <v>2019.396272441681</v>
      </c>
      <c r="Z880" s="16">
        <f>((X880*COS('Gearing Calculator'!$C$21))/'Gearing Calculator'!$C$22)/2</f>
        <v>18.303563078254452</v>
      </c>
      <c r="AA880" s="16">
        <f>Y880/'Gearing Calculator'!$C$24</f>
        <v>28.197545111657071</v>
      </c>
      <c r="AB880" s="16">
        <f t="shared" si="93"/>
        <v>220.44508037715221</v>
      </c>
      <c r="AC880" s="16">
        <v>0</v>
      </c>
      <c r="AD880" s="16">
        <v>48.889993475913293</v>
      </c>
      <c r="AE880" s="16">
        <v>877</v>
      </c>
      <c r="AF880" s="16">
        <f>IF(AC880=0,IF(O880=6,INDEX(Acceleration!$V$4:$V$110,MATCH('Track Data'!S880,Acceleration!$K$4:$K$110,0)),IF('Track Data'!O880=5,INDEX(Acceleration!$U$4:$U$110,MATCH('Track Data'!S880,Acceleration!$K$4:$K$110,0)),1)),U880)</f>
        <v>1</v>
      </c>
      <c r="AG880" s="16">
        <f>IF(AC880=0,IF(O880=4,INDEX(Acceleration!$T$4:$T$110,MATCH('Track Data'!S880,Acceleration!$K$4:$K$110,0)),IF('Track Data'!O880=3,INDEX(Acceleration!$S$4:$S$110,MATCH('Track Data'!S880,Acceleration!$K$4:$K$110,0)),'Track Data'!AF880)),'Track Data'!U880)</f>
        <v>4.8208358613991411</v>
      </c>
      <c r="AH880" s="16">
        <f>IF(AC880=0,IF(O880=2,INDEX(Acceleration!$R$4:$R$110,MATCH('Track Data'!S880,Acceleration!$K$4:$K$110,0)),IF('Track Data'!O880=1,INDEX(Acceleration!$Q$4:$Q$110,MATCH('Track Data'!S880,Acceleration!$K$4:$K$110,0)),'Track Data'!AG880)),'Track Data'!U880)</f>
        <v>4.8208358613991411</v>
      </c>
    </row>
    <row r="881" spans="2:34" x14ac:dyDescent="0.25">
      <c r="B881" s="16">
        <v>221.43799999999999</v>
      </c>
      <c r="C881" s="16">
        <v>8151</v>
      </c>
      <c r="D881" s="16">
        <v>878</v>
      </c>
      <c r="E881" s="113">
        <v>138</v>
      </c>
      <c r="F881" s="113">
        <v>129.9</v>
      </c>
      <c r="G881" s="113">
        <v>119.6</v>
      </c>
      <c r="H881" s="113">
        <f t="shared" si="96"/>
        <v>33.222222222222221</v>
      </c>
      <c r="I881" s="113">
        <v>12.8</v>
      </c>
      <c r="J881" s="113">
        <v>32.96</v>
      </c>
      <c r="K881" s="113">
        <v>57.2</v>
      </c>
      <c r="L881" s="183"/>
      <c r="M881" s="16">
        <v>878</v>
      </c>
      <c r="N881" s="16">
        <f t="shared" si="98"/>
        <v>2.2937824583009154E-2</v>
      </c>
      <c r="O881" s="16">
        <v>4</v>
      </c>
      <c r="P881" s="16">
        <f t="shared" si="94"/>
        <v>9.1833785004516724</v>
      </c>
      <c r="Q881" s="16">
        <f t="shared" si="99"/>
        <v>43.59611332718687</v>
      </c>
      <c r="R881" s="113">
        <f t="shared" si="95"/>
        <v>329.49099999999999</v>
      </c>
      <c r="S881" s="16">
        <f>IF(S880=15800,15800,ROUND((((Q881*60)/'Gearing Calculator'!$C$14)*'Track Data'!P881),-2))</f>
        <v>12100</v>
      </c>
      <c r="T881" s="16">
        <f t="shared" si="97"/>
        <v>4.8208358613991411</v>
      </c>
      <c r="U881" s="16">
        <f>IF(AC881=100,Braking!$AG$2354,IF(AC881=50,Braking!$AG$1179,IF(AC881=75,Braking!$AG$1767,0)))</f>
        <v>0</v>
      </c>
      <c r="V881" s="16">
        <f>0.5*'Gearing Calculator'!$C$15*'Gearing Calculator'!$C$20*'Gearing Calculator'!$W$20*('Track Data'!Q881^2)</f>
        <v>201.16173693155565</v>
      </c>
      <c r="W881" s="16">
        <f>('Gearing Calculator'!$U$9*'Track Data'!T881)+'Track Data'!V881</f>
        <v>1484.4682432360069</v>
      </c>
      <c r="X881" s="16">
        <f>('Gearing Calculator'!$U$9*9.81)*('Gearing Calculator'!$U$16/'Gearing Calculator'!$C$7)-(('Track Data'!W881)*('Gearing Calculator'!$U$17/'Gearing Calculator'!$C$7))</f>
        <v>592.02572755831886</v>
      </c>
      <c r="Y881" s="16">
        <f>('Gearing Calculator'!$U$9*9.81)*(('Gearing Calculator'!$C$7-'Gearing Calculator'!$U$16)/'Gearing Calculator'!$C$7)+(('Track Data'!W881)*('Gearing Calculator'!$U$17/'Gearing Calculator'!$C$7))</f>
        <v>2019.396272441681</v>
      </c>
      <c r="Z881" s="16">
        <f>((X881*COS('Gearing Calculator'!$C$21))/'Gearing Calculator'!$C$22)/2</f>
        <v>18.303563078254452</v>
      </c>
      <c r="AA881" s="16">
        <f>Y881/'Gearing Calculator'!$C$24</f>
        <v>28.197545111657071</v>
      </c>
      <c r="AB881" s="16">
        <f t="shared" si="93"/>
        <v>220.44508037715221</v>
      </c>
      <c r="AC881" s="16">
        <v>0</v>
      </c>
      <c r="AD881" s="16">
        <v>48.889993475913293</v>
      </c>
      <c r="AE881" s="16">
        <v>878</v>
      </c>
      <c r="AF881" s="16">
        <f>IF(AC881=0,IF(O881=6,INDEX(Acceleration!$V$4:$V$110,MATCH('Track Data'!S881,Acceleration!$K$4:$K$110,0)),IF('Track Data'!O881=5,INDEX(Acceleration!$U$4:$U$110,MATCH('Track Data'!S881,Acceleration!$K$4:$K$110,0)),1)),U881)</f>
        <v>1</v>
      </c>
      <c r="AG881" s="16">
        <f>IF(AC881=0,IF(O881=4,INDEX(Acceleration!$T$4:$T$110,MATCH('Track Data'!S881,Acceleration!$K$4:$K$110,0)),IF('Track Data'!O881=3,INDEX(Acceleration!$S$4:$S$110,MATCH('Track Data'!S881,Acceleration!$K$4:$K$110,0)),'Track Data'!AF881)),'Track Data'!U881)</f>
        <v>4.8208358613991411</v>
      </c>
      <c r="AH881" s="16">
        <f>IF(AC881=0,IF(O881=2,INDEX(Acceleration!$R$4:$R$110,MATCH('Track Data'!S881,Acceleration!$K$4:$K$110,0)),IF('Track Data'!O881=1,INDEX(Acceleration!$Q$4:$Q$110,MATCH('Track Data'!S881,Acceleration!$K$4:$K$110,0)),'Track Data'!AG881)),'Track Data'!U881)</f>
        <v>4.8208358613991411</v>
      </c>
    </row>
    <row r="882" spans="2:34" x14ac:dyDescent="0.25">
      <c r="B882" s="16">
        <v>221.465</v>
      </c>
      <c r="C882" s="16">
        <v>8152</v>
      </c>
      <c r="D882" s="16">
        <v>879</v>
      </c>
      <c r="E882" s="113">
        <v>139</v>
      </c>
      <c r="F882" s="113">
        <v>130.19999999999999</v>
      </c>
      <c r="G882" s="113">
        <v>120</v>
      </c>
      <c r="H882" s="113">
        <f t="shared" si="96"/>
        <v>33.333333333333336</v>
      </c>
      <c r="I882" s="113">
        <v>10.9</v>
      </c>
      <c r="J882" s="113">
        <v>32.51</v>
      </c>
      <c r="K882" s="113">
        <v>56.3</v>
      </c>
      <c r="L882" s="183"/>
      <c r="M882" s="16">
        <v>879</v>
      </c>
      <c r="N882" s="16">
        <f t="shared" si="98"/>
        <v>2.2937824583009154E-2</v>
      </c>
      <c r="O882" s="16">
        <v>4</v>
      </c>
      <c r="P882" s="16">
        <f t="shared" si="94"/>
        <v>9.1833785004516724</v>
      </c>
      <c r="Q882" s="16">
        <f t="shared" si="99"/>
        <v>43.59611332718687</v>
      </c>
      <c r="R882" s="113">
        <f t="shared" si="95"/>
        <v>329.49099999999999</v>
      </c>
      <c r="S882" s="16">
        <f>IF(S881=15800,15800,ROUND((((Q882*60)/'Gearing Calculator'!$C$14)*'Track Data'!P882),-2))</f>
        <v>12100</v>
      </c>
      <c r="T882" s="16">
        <f t="shared" si="97"/>
        <v>4.8208358613991411</v>
      </c>
      <c r="U882" s="16">
        <f>IF(AC882=100,Braking!$AG$2354,IF(AC882=50,Braking!$AG$1179,IF(AC882=75,Braking!$AG$1767,0)))</f>
        <v>0</v>
      </c>
      <c r="V882" s="16">
        <f>0.5*'Gearing Calculator'!$C$15*'Gearing Calculator'!$C$20*'Gearing Calculator'!$W$20*('Track Data'!Q882^2)</f>
        <v>201.16173693155565</v>
      </c>
      <c r="W882" s="16">
        <f>('Gearing Calculator'!$U$9*'Track Data'!T882)+'Track Data'!V882</f>
        <v>1484.4682432360069</v>
      </c>
      <c r="X882" s="16">
        <f>('Gearing Calculator'!$U$9*9.81)*('Gearing Calculator'!$U$16/'Gearing Calculator'!$C$7)-(('Track Data'!W882)*('Gearing Calculator'!$U$17/'Gearing Calculator'!$C$7))</f>
        <v>592.02572755831886</v>
      </c>
      <c r="Y882" s="16">
        <f>('Gearing Calculator'!$U$9*9.81)*(('Gearing Calculator'!$C$7-'Gearing Calculator'!$U$16)/'Gearing Calculator'!$C$7)+(('Track Data'!W882)*('Gearing Calculator'!$U$17/'Gearing Calculator'!$C$7))</f>
        <v>2019.396272441681</v>
      </c>
      <c r="Z882" s="16">
        <f>((X882*COS('Gearing Calculator'!$C$21))/'Gearing Calculator'!$C$22)/2</f>
        <v>18.303563078254452</v>
      </c>
      <c r="AA882" s="16">
        <f>Y882/'Gearing Calculator'!$C$24</f>
        <v>28.197545111657071</v>
      </c>
      <c r="AB882" s="16">
        <f t="shared" si="93"/>
        <v>220.44508037715221</v>
      </c>
      <c r="AC882" s="16">
        <v>0</v>
      </c>
      <c r="AD882" s="16">
        <v>48.889993475913293</v>
      </c>
      <c r="AE882" s="16">
        <v>879</v>
      </c>
      <c r="AF882" s="16">
        <f>IF(AC882=0,IF(O882=6,INDEX(Acceleration!$V$4:$V$110,MATCH('Track Data'!S882,Acceleration!$K$4:$K$110,0)),IF('Track Data'!O882=5,INDEX(Acceleration!$U$4:$U$110,MATCH('Track Data'!S882,Acceleration!$K$4:$K$110,0)),1)),U882)</f>
        <v>1</v>
      </c>
      <c r="AG882" s="16">
        <f>IF(AC882=0,IF(O882=4,INDEX(Acceleration!$T$4:$T$110,MATCH('Track Data'!S882,Acceleration!$K$4:$K$110,0)),IF('Track Data'!O882=3,INDEX(Acceleration!$S$4:$S$110,MATCH('Track Data'!S882,Acceleration!$K$4:$K$110,0)),'Track Data'!AF882)),'Track Data'!U882)</f>
        <v>4.8208358613991411</v>
      </c>
      <c r="AH882" s="16">
        <f>IF(AC882=0,IF(O882=2,INDEX(Acceleration!$R$4:$R$110,MATCH('Track Data'!S882,Acceleration!$K$4:$K$110,0)),IF('Track Data'!O882=1,INDEX(Acceleration!$Q$4:$Q$110,MATCH('Track Data'!S882,Acceleration!$K$4:$K$110,0)),'Track Data'!AG882)),'Track Data'!U882)</f>
        <v>4.8208358613991411</v>
      </c>
    </row>
    <row r="883" spans="2:34" x14ac:dyDescent="0.25">
      <c r="B883" s="16">
        <v>221.49299999999999</v>
      </c>
      <c r="C883" s="16">
        <v>8153</v>
      </c>
      <c r="D883" s="16">
        <v>880</v>
      </c>
      <c r="E883" s="113">
        <v>140</v>
      </c>
      <c r="F883" s="113">
        <v>130.80000000000001</v>
      </c>
      <c r="G883" s="113">
        <v>120.4</v>
      </c>
      <c r="H883" s="113">
        <f t="shared" si="96"/>
        <v>33.444444444444443</v>
      </c>
      <c r="I883" s="113">
        <v>8.5</v>
      </c>
      <c r="J883" s="113">
        <v>32.86</v>
      </c>
      <c r="K883" s="113">
        <v>54.9</v>
      </c>
      <c r="L883" s="183"/>
      <c r="M883" s="16">
        <v>880</v>
      </c>
      <c r="N883" s="16">
        <f t="shared" si="98"/>
        <v>2.2937824583009154E-2</v>
      </c>
      <c r="O883" s="16">
        <v>4</v>
      </c>
      <c r="P883" s="16">
        <f t="shared" si="94"/>
        <v>9.1833785004516724</v>
      </c>
      <c r="Q883" s="16">
        <f t="shared" si="99"/>
        <v>43.59611332718687</v>
      </c>
      <c r="R883" s="113">
        <f t="shared" si="95"/>
        <v>329.49099999999999</v>
      </c>
      <c r="S883" s="16">
        <f>IF(S882=15800,15800,ROUND((((Q883*60)/'Gearing Calculator'!$C$14)*'Track Data'!P883),-2))</f>
        <v>12100</v>
      </c>
      <c r="T883" s="16">
        <f t="shared" si="97"/>
        <v>4.8208358613991411</v>
      </c>
      <c r="U883" s="16">
        <f>IF(AC883=100,Braking!$AG$2354,IF(AC883=50,Braking!$AG$1179,IF(AC883=75,Braking!$AG$1767,0)))</f>
        <v>0</v>
      </c>
      <c r="V883" s="16">
        <f>0.5*'Gearing Calculator'!$C$15*'Gearing Calculator'!$C$20*'Gearing Calculator'!$W$20*('Track Data'!Q883^2)</f>
        <v>201.16173693155565</v>
      </c>
      <c r="W883" s="16">
        <f>('Gearing Calculator'!$U$9*'Track Data'!T883)+'Track Data'!V883</f>
        <v>1484.4682432360069</v>
      </c>
      <c r="X883" s="16">
        <f>('Gearing Calculator'!$U$9*9.81)*('Gearing Calculator'!$U$16/'Gearing Calculator'!$C$7)-(('Track Data'!W883)*('Gearing Calculator'!$U$17/'Gearing Calculator'!$C$7))</f>
        <v>592.02572755831886</v>
      </c>
      <c r="Y883" s="16">
        <f>('Gearing Calculator'!$U$9*9.81)*(('Gearing Calculator'!$C$7-'Gearing Calculator'!$U$16)/'Gearing Calculator'!$C$7)+(('Track Data'!W883)*('Gearing Calculator'!$U$17/'Gearing Calculator'!$C$7))</f>
        <v>2019.396272441681</v>
      </c>
      <c r="Z883" s="16">
        <f>((X883*COS('Gearing Calculator'!$C$21))/'Gearing Calculator'!$C$22)/2</f>
        <v>18.303563078254452</v>
      </c>
      <c r="AA883" s="16">
        <f>Y883/'Gearing Calculator'!$C$24</f>
        <v>28.197545111657071</v>
      </c>
      <c r="AB883" s="16">
        <f t="shared" si="93"/>
        <v>220.44508037715221</v>
      </c>
      <c r="AC883" s="16">
        <v>0</v>
      </c>
      <c r="AD883" s="16">
        <v>48.889993475913293</v>
      </c>
      <c r="AE883" s="16">
        <v>880</v>
      </c>
      <c r="AF883" s="16">
        <f>IF(AC883=0,IF(O883=6,INDEX(Acceleration!$V$4:$V$110,MATCH('Track Data'!S883,Acceleration!$K$4:$K$110,0)),IF('Track Data'!O883=5,INDEX(Acceleration!$U$4:$U$110,MATCH('Track Data'!S883,Acceleration!$K$4:$K$110,0)),1)),U883)</f>
        <v>1</v>
      </c>
      <c r="AG883" s="16">
        <f>IF(AC883=0,IF(O883=4,INDEX(Acceleration!$T$4:$T$110,MATCH('Track Data'!S883,Acceleration!$K$4:$K$110,0)),IF('Track Data'!O883=3,INDEX(Acceleration!$S$4:$S$110,MATCH('Track Data'!S883,Acceleration!$K$4:$K$110,0)),'Track Data'!AF883)),'Track Data'!U883)</f>
        <v>4.8208358613991411</v>
      </c>
      <c r="AH883" s="16">
        <f>IF(AC883=0,IF(O883=2,INDEX(Acceleration!$R$4:$R$110,MATCH('Track Data'!S883,Acceleration!$K$4:$K$110,0)),IF('Track Data'!O883=1,INDEX(Acceleration!$Q$4:$Q$110,MATCH('Track Data'!S883,Acceleration!$K$4:$K$110,0)),'Track Data'!AG883)),'Track Data'!U883)</f>
        <v>4.8208358613991411</v>
      </c>
    </row>
    <row r="884" spans="2:34" x14ac:dyDescent="0.25">
      <c r="B884" s="16">
        <v>221.52</v>
      </c>
      <c r="C884" s="16">
        <v>8154</v>
      </c>
      <c r="D884" s="16">
        <v>881</v>
      </c>
      <c r="E884" s="113">
        <v>140</v>
      </c>
      <c r="F884" s="113">
        <v>131.30000000000001</v>
      </c>
      <c r="G884" s="113">
        <v>120.8</v>
      </c>
      <c r="H884" s="113">
        <f t="shared" si="96"/>
        <v>33.555555555555557</v>
      </c>
      <c r="I884" s="113">
        <v>7.4</v>
      </c>
      <c r="J884" s="113">
        <v>30.67</v>
      </c>
      <c r="K884" s="113">
        <v>53.7</v>
      </c>
      <c r="L884" s="183"/>
      <c r="M884" s="16">
        <v>881</v>
      </c>
      <c r="N884" s="16">
        <f t="shared" si="98"/>
        <v>2.2937824583009154E-2</v>
      </c>
      <c r="O884" s="16">
        <v>4</v>
      </c>
      <c r="P884" s="16">
        <f t="shared" si="94"/>
        <v>9.1833785004516724</v>
      </c>
      <c r="Q884" s="16">
        <f t="shared" si="99"/>
        <v>43.59611332718687</v>
      </c>
      <c r="R884" s="113">
        <f t="shared" si="95"/>
        <v>329.49099999999999</v>
      </c>
      <c r="S884" s="16">
        <f>IF(S883=15800,15800,ROUND((((Q884*60)/'Gearing Calculator'!$C$14)*'Track Data'!P884),-2))</f>
        <v>12100</v>
      </c>
      <c r="T884" s="16">
        <f t="shared" si="97"/>
        <v>4.8208358613991411</v>
      </c>
      <c r="U884" s="16">
        <f>IF(AC884=100,Braking!$AG$2354,IF(AC884=50,Braking!$AG$1179,IF(AC884=75,Braking!$AG$1767,0)))</f>
        <v>0</v>
      </c>
      <c r="V884" s="16">
        <f>0.5*'Gearing Calculator'!$C$15*'Gearing Calculator'!$C$20*'Gearing Calculator'!$W$20*('Track Data'!Q884^2)</f>
        <v>201.16173693155565</v>
      </c>
      <c r="W884" s="16">
        <f>('Gearing Calculator'!$U$9*'Track Data'!T884)+'Track Data'!V884</f>
        <v>1484.4682432360069</v>
      </c>
      <c r="X884" s="16">
        <f>('Gearing Calculator'!$U$9*9.81)*('Gearing Calculator'!$U$16/'Gearing Calculator'!$C$7)-(('Track Data'!W884)*('Gearing Calculator'!$U$17/'Gearing Calculator'!$C$7))</f>
        <v>592.02572755831886</v>
      </c>
      <c r="Y884" s="16">
        <f>('Gearing Calculator'!$U$9*9.81)*(('Gearing Calculator'!$C$7-'Gearing Calculator'!$U$16)/'Gearing Calculator'!$C$7)+(('Track Data'!W884)*('Gearing Calculator'!$U$17/'Gearing Calculator'!$C$7))</f>
        <v>2019.396272441681</v>
      </c>
      <c r="Z884" s="16">
        <f>((X884*COS('Gearing Calculator'!$C$21))/'Gearing Calculator'!$C$22)/2</f>
        <v>18.303563078254452</v>
      </c>
      <c r="AA884" s="16">
        <f>Y884/'Gearing Calculator'!$C$24</f>
        <v>28.197545111657071</v>
      </c>
      <c r="AB884" s="16">
        <f t="shared" si="93"/>
        <v>220.44508037715221</v>
      </c>
      <c r="AC884" s="16">
        <v>0</v>
      </c>
      <c r="AD884" s="16">
        <v>48.889993475913293</v>
      </c>
      <c r="AE884" s="16">
        <v>881</v>
      </c>
      <c r="AF884" s="16">
        <f>IF(AC884=0,IF(O884=6,INDEX(Acceleration!$V$4:$V$110,MATCH('Track Data'!S884,Acceleration!$K$4:$K$110,0)),IF('Track Data'!O884=5,INDEX(Acceleration!$U$4:$U$110,MATCH('Track Data'!S884,Acceleration!$K$4:$K$110,0)),1)),U884)</f>
        <v>1</v>
      </c>
      <c r="AG884" s="16">
        <f>IF(AC884=0,IF(O884=4,INDEX(Acceleration!$T$4:$T$110,MATCH('Track Data'!S884,Acceleration!$K$4:$K$110,0)),IF('Track Data'!O884=3,INDEX(Acceleration!$S$4:$S$110,MATCH('Track Data'!S884,Acceleration!$K$4:$K$110,0)),'Track Data'!AF884)),'Track Data'!U884)</f>
        <v>4.8208358613991411</v>
      </c>
      <c r="AH884" s="16">
        <f>IF(AC884=0,IF(O884=2,INDEX(Acceleration!$R$4:$R$110,MATCH('Track Data'!S884,Acceleration!$K$4:$K$110,0)),IF('Track Data'!O884=1,INDEX(Acceleration!$Q$4:$Q$110,MATCH('Track Data'!S884,Acceleration!$K$4:$K$110,0)),'Track Data'!AG884)),'Track Data'!U884)</f>
        <v>4.8208358613991411</v>
      </c>
    </row>
    <row r="885" spans="2:34" x14ac:dyDescent="0.25">
      <c r="B885" s="16">
        <v>221.548</v>
      </c>
      <c r="C885" s="16">
        <v>8155</v>
      </c>
      <c r="D885" s="16">
        <v>882</v>
      </c>
      <c r="E885" s="113">
        <v>140</v>
      </c>
      <c r="F885" s="113">
        <v>131.80000000000001</v>
      </c>
      <c r="G885" s="113">
        <v>121</v>
      </c>
      <c r="H885" s="113">
        <f t="shared" si="96"/>
        <v>33.611111111111107</v>
      </c>
      <c r="I885" s="113">
        <v>7.9</v>
      </c>
      <c r="J885" s="113">
        <v>31.39</v>
      </c>
      <c r="K885" s="113">
        <v>52.4</v>
      </c>
      <c r="L885" s="183"/>
      <c r="M885" s="16">
        <v>882</v>
      </c>
      <c r="N885" s="16">
        <f t="shared" si="98"/>
        <v>2.2937824583009154E-2</v>
      </c>
      <c r="O885" s="16">
        <v>4</v>
      </c>
      <c r="P885" s="16">
        <f t="shared" si="94"/>
        <v>9.1833785004516724</v>
      </c>
      <c r="Q885" s="16">
        <f t="shared" si="99"/>
        <v>43.59611332718687</v>
      </c>
      <c r="R885" s="113">
        <f t="shared" si="95"/>
        <v>329.49099999999999</v>
      </c>
      <c r="S885" s="16">
        <f>IF(S884=15800,15800,ROUND((((Q885*60)/'Gearing Calculator'!$C$14)*'Track Data'!P885),-2))</f>
        <v>12100</v>
      </c>
      <c r="T885" s="16">
        <f t="shared" si="97"/>
        <v>4.8208358613991411</v>
      </c>
      <c r="U885" s="16">
        <f>IF(AC885=100,Braking!$AG$2354,IF(AC885=50,Braking!$AG$1179,IF(AC885=75,Braking!$AG$1767,0)))</f>
        <v>0</v>
      </c>
      <c r="V885" s="16">
        <f>0.5*'Gearing Calculator'!$C$15*'Gearing Calculator'!$C$20*'Gearing Calculator'!$W$20*('Track Data'!Q885^2)</f>
        <v>201.16173693155565</v>
      </c>
      <c r="W885" s="16">
        <f>('Gearing Calculator'!$U$9*'Track Data'!T885)+'Track Data'!V885</f>
        <v>1484.4682432360069</v>
      </c>
      <c r="X885" s="16">
        <f>('Gearing Calculator'!$U$9*9.81)*('Gearing Calculator'!$U$16/'Gearing Calculator'!$C$7)-(('Track Data'!W885)*('Gearing Calculator'!$U$17/'Gearing Calculator'!$C$7))</f>
        <v>592.02572755831886</v>
      </c>
      <c r="Y885" s="16">
        <f>('Gearing Calculator'!$U$9*9.81)*(('Gearing Calculator'!$C$7-'Gearing Calculator'!$U$16)/'Gearing Calculator'!$C$7)+(('Track Data'!W885)*('Gearing Calculator'!$U$17/'Gearing Calculator'!$C$7))</f>
        <v>2019.396272441681</v>
      </c>
      <c r="Z885" s="16">
        <f>((X885*COS('Gearing Calculator'!$C$21))/'Gearing Calculator'!$C$22)/2</f>
        <v>18.303563078254452</v>
      </c>
      <c r="AA885" s="16">
        <f>Y885/'Gearing Calculator'!$C$24</f>
        <v>28.197545111657071</v>
      </c>
      <c r="AB885" s="16">
        <f t="shared" si="93"/>
        <v>220.44508037715221</v>
      </c>
      <c r="AC885" s="16">
        <v>0</v>
      </c>
      <c r="AD885" s="16">
        <v>48.889993475913293</v>
      </c>
      <c r="AE885" s="16">
        <v>882</v>
      </c>
      <c r="AF885" s="16">
        <f>IF(AC885=0,IF(O885=6,INDEX(Acceleration!$V$4:$V$110,MATCH('Track Data'!S885,Acceleration!$K$4:$K$110,0)),IF('Track Data'!O885=5,INDEX(Acceleration!$U$4:$U$110,MATCH('Track Data'!S885,Acceleration!$K$4:$K$110,0)),1)),U885)</f>
        <v>1</v>
      </c>
      <c r="AG885" s="16">
        <f>IF(AC885=0,IF(O885=4,INDEX(Acceleration!$T$4:$T$110,MATCH('Track Data'!S885,Acceleration!$K$4:$K$110,0)),IF('Track Data'!O885=3,INDEX(Acceleration!$S$4:$S$110,MATCH('Track Data'!S885,Acceleration!$K$4:$K$110,0)),'Track Data'!AF885)),'Track Data'!U885)</f>
        <v>4.8208358613991411</v>
      </c>
      <c r="AH885" s="16">
        <f>IF(AC885=0,IF(O885=2,INDEX(Acceleration!$R$4:$R$110,MATCH('Track Data'!S885,Acceleration!$K$4:$K$110,0)),IF('Track Data'!O885=1,INDEX(Acceleration!$Q$4:$Q$110,MATCH('Track Data'!S885,Acceleration!$K$4:$K$110,0)),'Track Data'!AG885)),'Track Data'!U885)</f>
        <v>4.8208358613991411</v>
      </c>
    </row>
    <row r="886" spans="2:34" x14ac:dyDescent="0.25">
      <c r="B886" s="16">
        <v>221.57499999999999</v>
      </c>
      <c r="C886" s="16">
        <v>8156</v>
      </c>
      <c r="D886" s="16">
        <v>883</v>
      </c>
      <c r="E886" s="113">
        <v>140</v>
      </c>
      <c r="F886" s="113">
        <v>132.30000000000001</v>
      </c>
      <c r="G886" s="113">
        <v>121.4</v>
      </c>
      <c r="H886" s="113">
        <f t="shared" si="96"/>
        <v>33.722222222222221</v>
      </c>
      <c r="I886" s="113">
        <v>8.6999999999999993</v>
      </c>
      <c r="J886" s="113">
        <v>34.619999999999997</v>
      </c>
      <c r="K886" s="113">
        <v>50.5</v>
      </c>
      <c r="L886" s="183"/>
      <c r="M886" s="16">
        <v>883</v>
      </c>
      <c r="N886" s="16">
        <f t="shared" si="98"/>
        <v>2.2937824583009154E-2</v>
      </c>
      <c r="O886" s="16">
        <v>4</v>
      </c>
      <c r="P886" s="16">
        <f t="shared" si="94"/>
        <v>9.1833785004516724</v>
      </c>
      <c r="Q886" s="16">
        <f t="shared" si="99"/>
        <v>43.59611332718687</v>
      </c>
      <c r="R886" s="113">
        <f t="shared" si="95"/>
        <v>329.49099999999999</v>
      </c>
      <c r="S886" s="16">
        <f>IF(S885=15800,15800,ROUND((((Q886*60)/'Gearing Calculator'!$C$14)*'Track Data'!P886),-2))</f>
        <v>12100</v>
      </c>
      <c r="T886" s="16">
        <f t="shared" si="97"/>
        <v>4.8208358613991411</v>
      </c>
      <c r="U886" s="16">
        <f>IF(AC886=100,Braking!$AG$2354,IF(AC886=50,Braking!$AG$1179,IF(AC886=75,Braking!$AG$1767,0)))</f>
        <v>0</v>
      </c>
      <c r="V886" s="16">
        <f>0.5*'Gearing Calculator'!$C$15*'Gearing Calculator'!$C$20*'Gearing Calculator'!$W$20*('Track Data'!Q886^2)</f>
        <v>201.16173693155565</v>
      </c>
      <c r="W886" s="16">
        <f>('Gearing Calculator'!$U$9*'Track Data'!T886)+'Track Data'!V886</f>
        <v>1484.4682432360069</v>
      </c>
      <c r="X886" s="16">
        <f>('Gearing Calculator'!$U$9*9.81)*('Gearing Calculator'!$U$16/'Gearing Calculator'!$C$7)-(('Track Data'!W886)*('Gearing Calculator'!$U$17/'Gearing Calculator'!$C$7))</f>
        <v>592.02572755831886</v>
      </c>
      <c r="Y886" s="16">
        <f>('Gearing Calculator'!$U$9*9.81)*(('Gearing Calculator'!$C$7-'Gearing Calculator'!$U$16)/'Gearing Calculator'!$C$7)+(('Track Data'!W886)*('Gearing Calculator'!$U$17/'Gearing Calculator'!$C$7))</f>
        <v>2019.396272441681</v>
      </c>
      <c r="Z886" s="16">
        <f>((X886*COS('Gearing Calculator'!$C$21))/'Gearing Calculator'!$C$22)/2</f>
        <v>18.303563078254452</v>
      </c>
      <c r="AA886" s="16">
        <f>Y886/'Gearing Calculator'!$C$24</f>
        <v>28.197545111657071</v>
      </c>
      <c r="AB886" s="16">
        <f t="shared" ref="AB886:AB949" si="100">(T886*O886)+V886</f>
        <v>220.44508037715221</v>
      </c>
      <c r="AC886" s="16">
        <v>0</v>
      </c>
      <c r="AD886" s="16">
        <v>48.889993475913293</v>
      </c>
      <c r="AE886" s="16">
        <v>883</v>
      </c>
      <c r="AF886" s="16">
        <f>IF(AC886=0,IF(O886=6,INDEX(Acceleration!$V$4:$V$110,MATCH('Track Data'!S886,Acceleration!$K$4:$K$110,0)),IF('Track Data'!O886=5,INDEX(Acceleration!$U$4:$U$110,MATCH('Track Data'!S886,Acceleration!$K$4:$K$110,0)),1)),U886)</f>
        <v>1</v>
      </c>
      <c r="AG886" s="16">
        <f>IF(AC886=0,IF(O886=4,INDEX(Acceleration!$T$4:$T$110,MATCH('Track Data'!S886,Acceleration!$K$4:$K$110,0)),IF('Track Data'!O886=3,INDEX(Acceleration!$S$4:$S$110,MATCH('Track Data'!S886,Acceleration!$K$4:$K$110,0)),'Track Data'!AF886)),'Track Data'!U886)</f>
        <v>4.8208358613991411</v>
      </c>
      <c r="AH886" s="16">
        <f>IF(AC886=0,IF(O886=2,INDEX(Acceleration!$R$4:$R$110,MATCH('Track Data'!S886,Acceleration!$K$4:$K$110,0)),IF('Track Data'!O886=1,INDEX(Acceleration!$Q$4:$Q$110,MATCH('Track Data'!S886,Acceleration!$K$4:$K$110,0)),'Track Data'!AG886)),'Track Data'!U886)</f>
        <v>4.8208358613991411</v>
      </c>
    </row>
    <row r="887" spans="2:34" x14ac:dyDescent="0.25">
      <c r="B887" s="16">
        <v>221.602</v>
      </c>
      <c r="C887" s="16">
        <v>8157</v>
      </c>
      <c r="D887" s="16">
        <v>884</v>
      </c>
      <c r="E887" s="113">
        <v>140</v>
      </c>
      <c r="F887" s="113">
        <v>132.4</v>
      </c>
      <c r="G887" s="113">
        <v>121.8</v>
      </c>
      <c r="H887" s="113">
        <f t="shared" si="96"/>
        <v>33.833333333333329</v>
      </c>
      <c r="I887" s="113">
        <v>12.5</v>
      </c>
      <c r="J887" s="113">
        <v>44.49</v>
      </c>
      <c r="K887" s="113">
        <v>48.7</v>
      </c>
      <c r="L887" s="183"/>
      <c r="M887" s="16">
        <v>884</v>
      </c>
      <c r="N887" s="16">
        <f t="shared" si="98"/>
        <v>2.2937824583009154E-2</v>
      </c>
      <c r="O887" s="16">
        <v>4</v>
      </c>
      <c r="P887" s="16">
        <f t="shared" si="94"/>
        <v>9.1833785004516724</v>
      </c>
      <c r="Q887" s="16">
        <f t="shared" si="99"/>
        <v>43.59611332718687</v>
      </c>
      <c r="R887" s="113">
        <f t="shared" si="95"/>
        <v>329.49099999999999</v>
      </c>
      <c r="S887" s="16">
        <f>IF(S886=15800,15800,ROUND((((Q887*60)/'Gearing Calculator'!$C$14)*'Track Data'!P887),-2))</f>
        <v>12100</v>
      </c>
      <c r="T887" s="16">
        <f t="shared" si="97"/>
        <v>4.8208358613991411</v>
      </c>
      <c r="U887" s="16">
        <f>IF(AC887=100,Braking!$AG$2354,IF(AC887=50,Braking!$AG$1179,IF(AC887=75,Braking!$AG$1767,0)))</f>
        <v>0</v>
      </c>
      <c r="V887" s="16">
        <f>0.5*'Gearing Calculator'!$C$15*'Gearing Calculator'!$C$20*'Gearing Calculator'!$W$20*('Track Data'!Q887^2)</f>
        <v>201.16173693155565</v>
      </c>
      <c r="W887" s="16">
        <f>('Gearing Calculator'!$U$9*'Track Data'!T887)+'Track Data'!V887</f>
        <v>1484.4682432360069</v>
      </c>
      <c r="X887" s="16">
        <f>('Gearing Calculator'!$U$9*9.81)*('Gearing Calculator'!$U$16/'Gearing Calculator'!$C$7)-(('Track Data'!W887)*('Gearing Calculator'!$U$17/'Gearing Calculator'!$C$7))</f>
        <v>592.02572755831886</v>
      </c>
      <c r="Y887" s="16">
        <f>('Gearing Calculator'!$U$9*9.81)*(('Gearing Calculator'!$C$7-'Gearing Calculator'!$U$16)/'Gearing Calculator'!$C$7)+(('Track Data'!W887)*('Gearing Calculator'!$U$17/'Gearing Calculator'!$C$7))</f>
        <v>2019.396272441681</v>
      </c>
      <c r="Z887" s="16">
        <f>((X887*COS('Gearing Calculator'!$C$21))/'Gearing Calculator'!$C$22)/2</f>
        <v>18.303563078254452</v>
      </c>
      <c r="AA887" s="16">
        <f>Y887/'Gearing Calculator'!$C$24</f>
        <v>28.197545111657071</v>
      </c>
      <c r="AB887" s="16">
        <f t="shared" si="100"/>
        <v>220.44508037715221</v>
      </c>
      <c r="AC887" s="16">
        <v>0</v>
      </c>
      <c r="AD887" s="16">
        <v>48.889993475913293</v>
      </c>
      <c r="AE887" s="16">
        <v>884</v>
      </c>
      <c r="AF887" s="16">
        <f>IF(AC887=0,IF(O887=6,INDEX(Acceleration!$V$4:$V$110,MATCH('Track Data'!S887,Acceleration!$K$4:$K$110,0)),IF('Track Data'!O887=5,INDEX(Acceleration!$U$4:$U$110,MATCH('Track Data'!S887,Acceleration!$K$4:$K$110,0)),1)),U887)</f>
        <v>1</v>
      </c>
      <c r="AG887" s="16">
        <f>IF(AC887=0,IF(O887=4,INDEX(Acceleration!$T$4:$T$110,MATCH('Track Data'!S887,Acceleration!$K$4:$K$110,0)),IF('Track Data'!O887=3,INDEX(Acceleration!$S$4:$S$110,MATCH('Track Data'!S887,Acceleration!$K$4:$K$110,0)),'Track Data'!AF887)),'Track Data'!U887)</f>
        <v>4.8208358613991411</v>
      </c>
      <c r="AH887" s="16">
        <f>IF(AC887=0,IF(O887=2,INDEX(Acceleration!$R$4:$R$110,MATCH('Track Data'!S887,Acceleration!$K$4:$K$110,0)),IF('Track Data'!O887=1,INDEX(Acceleration!$Q$4:$Q$110,MATCH('Track Data'!S887,Acceleration!$K$4:$K$110,0)),'Track Data'!AG887)),'Track Data'!U887)</f>
        <v>4.8208358613991411</v>
      </c>
    </row>
    <row r="888" spans="2:34" x14ac:dyDescent="0.25">
      <c r="B888" s="16">
        <v>221.62899999999999</v>
      </c>
      <c r="C888" s="16">
        <v>8158</v>
      </c>
      <c r="D888" s="16">
        <v>885</v>
      </c>
      <c r="E888" s="113">
        <v>139</v>
      </c>
      <c r="F888" s="113">
        <v>132.6</v>
      </c>
      <c r="G888" s="113">
        <v>122</v>
      </c>
      <c r="H888" s="113">
        <f t="shared" si="96"/>
        <v>33.888888888888886</v>
      </c>
      <c r="I888" s="113">
        <v>14.4</v>
      </c>
      <c r="J888" s="113">
        <v>43.67</v>
      </c>
      <c r="K888" s="113">
        <v>48.3</v>
      </c>
      <c r="L888" s="183"/>
      <c r="M888" s="16">
        <v>885</v>
      </c>
      <c r="N888" s="16">
        <f t="shared" si="98"/>
        <v>2.2937824583009154E-2</v>
      </c>
      <c r="O888" s="16">
        <v>4</v>
      </c>
      <c r="P888" s="16">
        <f t="shared" si="94"/>
        <v>9.1833785004516724</v>
      </c>
      <c r="Q888" s="16">
        <f t="shared" si="99"/>
        <v>43.59611332718687</v>
      </c>
      <c r="R888" s="113">
        <f t="shared" si="95"/>
        <v>329.49099999999999</v>
      </c>
      <c r="S888" s="16">
        <f>IF(S887=15800,15800,ROUND((((Q888*60)/'Gearing Calculator'!$C$14)*'Track Data'!P888),-2))</f>
        <v>12100</v>
      </c>
      <c r="T888" s="16">
        <f t="shared" si="97"/>
        <v>4.8208358613991411</v>
      </c>
      <c r="U888" s="16">
        <f>IF(AC888=100,Braking!$AG$2354,IF(AC888=50,Braking!$AG$1179,IF(AC888=75,Braking!$AG$1767,0)))</f>
        <v>0</v>
      </c>
      <c r="V888" s="16">
        <f>0.5*'Gearing Calculator'!$C$15*'Gearing Calculator'!$C$20*'Gearing Calculator'!$W$20*('Track Data'!Q888^2)</f>
        <v>201.16173693155565</v>
      </c>
      <c r="W888" s="16">
        <f>('Gearing Calculator'!$U$9*'Track Data'!T888)+'Track Data'!V888</f>
        <v>1484.4682432360069</v>
      </c>
      <c r="X888" s="16">
        <f>('Gearing Calculator'!$U$9*9.81)*('Gearing Calculator'!$U$16/'Gearing Calculator'!$C$7)-(('Track Data'!W888)*('Gearing Calculator'!$U$17/'Gearing Calculator'!$C$7))</f>
        <v>592.02572755831886</v>
      </c>
      <c r="Y888" s="16">
        <f>('Gearing Calculator'!$U$9*9.81)*(('Gearing Calculator'!$C$7-'Gearing Calculator'!$U$16)/'Gearing Calculator'!$C$7)+(('Track Data'!W888)*('Gearing Calculator'!$U$17/'Gearing Calculator'!$C$7))</f>
        <v>2019.396272441681</v>
      </c>
      <c r="Z888" s="16">
        <f>((X888*COS('Gearing Calculator'!$C$21))/'Gearing Calculator'!$C$22)/2</f>
        <v>18.303563078254452</v>
      </c>
      <c r="AA888" s="16">
        <f>Y888/'Gearing Calculator'!$C$24</f>
        <v>28.197545111657071</v>
      </c>
      <c r="AB888" s="16">
        <f t="shared" si="100"/>
        <v>220.44508037715221</v>
      </c>
      <c r="AC888" s="16">
        <v>0</v>
      </c>
      <c r="AD888" s="16">
        <v>48.889993475913293</v>
      </c>
      <c r="AE888" s="16">
        <v>885</v>
      </c>
      <c r="AF888" s="16">
        <f>IF(AC888=0,IF(O888=6,INDEX(Acceleration!$V$4:$V$110,MATCH('Track Data'!S888,Acceleration!$K$4:$K$110,0)),IF('Track Data'!O888=5,INDEX(Acceleration!$U$4:$U$110,MATCH('Track Data'!S888,Acceleration!$K$4:$K$110,0)),1)),U888)</f>
        <v>1</v>
      </c>
      <c r="AG888" s="16">
        <f>IF(AC888=0,IF(O888=4,INDEX(Acceleration!$T$4:$T$110,MATCH('Track Data'!S888,Acceleration!$K$4:$K$110,0)),IF('Track Data'!O888=3,INDEX(Acceleration!$S$4:$S$110,MATCH('Track Data'!S888,Acceleration!$K$4:$K$110,0)),'Track Data'!AF888)),'Track Data'!U888)</f>
        <v>4.8208358613991411</v>
      </c>
      <c r="AH888" s="16">
        <f>IF(AC888=0,IF(O888=2,INDEX(Acceleration!$R$4:$R$110,MATCH('Track Data'!S888,Acceleration!$K$4:$K$110,0)),IF('Track Data'!O888=1,INDEX(Acceleration!$Q$4:$Q$110,MATCH('Track Data'!S888,Acceleration!$K$4:$K$110,0)),'Track Data'!AG888)),'Track Data'!U888)</f>
        <v>4.8208358613991411</v>
      </c>
    </row>
    <row r="889" spans="2:34" x14ac:dyDescent="0.25">
      <c r="B889" s="16">
        <v>221.65600000000001</v>
      </c>
      <c r="C889" s="16">
        <v>8159</v>
      </c>
      <c r="D889" s="16">
        <v>886</v>
      </c>
      <c r="E889" s="113">
        <v>139</v>
      </c>
      <c r="F889" s="113">
        <v>132.69999999999999</v>
      </c>
      <c r="G889" s="113">
        <v>122.4</v>
      </c>
      <c r="H889" s="113">
        <f t="shared" si="96"/>
        <v>34</v>
      </c>
      <c r="I889" s="113">
        <v>18.899999999999999</v>
      </c>
      <c r="J889" s="113">
        <v>42.91</v>
      </c>
      <c r="K889" s="113">
        <v>47.7</v>
      </c>
      <c r="L889" s="183"/>
      <c r="M889" s="16">
        <v>886</v>
      </c>
      <c r="N889" s="16">
        <f t="shared" si="98"/>
        <v>2.2937824583009154E-2</v>
      </c>
      <c r="O889" s="16">
        <v>4</v>
      </c>
      <c r="P889" s="16">
        <f t="shared" si="94"/>
        <v>9.1833785004516724</v>
      </c>
      <c r="Q889" s="16">
        <f t="shared" si="99"/>
        <v>43.59611332718687</v>
      </c>
      <c r="R889" s="113">
        <f t="shared" si="95"/>
        <v>329.49099999999999</v>
      </c>
      <c r="S889" s="16">
        <f>IF(S888=15800,15800,ROUND((((Q889*60)/'Gearing Calculator'!$C$14)*'Track Data'!P889),-2))</f>
        <v>12100</v>
      </c>
      <c r="T889" s="16">
        <f t="shared" si="97"/>
        <v>4.8208358613991411</v>
      </c>
      <c r="U889" s="16">
        <f>IF(AC889=100,Braking!$AG$2354,IF(AC889=50,Braking!$AG$1179,IF(AC889=75,Braking!$AG$1767,0)))</f>
        <v>0</v>
      </c>
      <c r="V889" s="16">
        <f>0.5*'Gearing Calculator'!$C$15*'Gearing Calculator'!$C$20*'Gearing Calculator'!$W$20*('Track Data'!Q889^2)</f>
        <v>201.16173693155565</v>
      </c>
      <c r="W889" s="16">
        <f>('Gearing Calculator'!$U$9*'Track Data'!T889)+'Track Data'!V889</f>
        <v>1484.4682432360069</v>
      </c>
      <c r="X889" s="16">
        <f>('Gearing Calculator'!$U$9*9.81)*('Gearing Calculator'!$U$16/'Gearing Calculator'!$C$7)-(('Track Data'!W889)*('Gearing Calculator'!$U$17/'Gearing Calculator'!$C$7))</f>
        <v>592.02572755831886</v>
      </c>
      <c r="Y889" s="16">
        <f>('Gearing Calculator'!$U$9*9.81)*(('Gearing Calculator'!$C$7-'Gearing Calculator'!$U$16)/'Gearing Calculator'!$C$7)+(('Track Data'!W889)*('Gearing Calculator'!$U$17/'Gearing Calculator'!$C$7))</f>
        <v>2019.396272441681</v>
      </c>
      <c r="Z889" s="16">
        <f>((X889*COS('Gearing Calculator'!$C$21))/'Gearing Calculator'!$C$22)/2</f>
        <v>18.303563078254452</v>
      </c>
      <c r="AA889" s="16">
        <f>Y889/'Gearing Calculator'!$C$24</f>
        <v>28.197545111657071</v>
      </c>
      <c r="AB889" s="16">
        <f t="shared" si="100"/>
        <v>220.44508037715221</v>
      </c>
      <c r="AC889" s="16">
        <v>0</v>
      </c>
      <c r="AD889" s="16">
        <v>48.889993475913293</v>
      </c>
      <c r="AE889" s="16">
        <v>886</v>
      </c>
      <c r="AF889" s="16">
        <f>IF(AC889=0,IF(O889=6,INDEX(Acceleration!$V$4:$V$110,MATCH('Track Data'!S889,Acceleration!$K$4:$K$110,0)),IF('Track Data'!O889=5,INDEX(Acceleration!$U$4:$U$110,MATCH('Track Data'!S889,Acceleration!$K$4:$K$110,0)),1)),U889)</f>
        <v>1</v>
      </c>
      <c r="AG889" s="16">
        <f>IF(AC889=0,IF(O889=4,INDEX(Acceleration!$T$4:$T$110,MATCH('Track Data'!S889,Acceleration!$K$4:$K$110,0)),IF('Track Data'!O889=3,INDEX(Acceleration!$S$4:$S$110,MATCH('Track Data'!S889,Acceleration!$K$4:$K$110,0)),'Track Data'!AF889)),'Track Data'!U889)</f>
        <v>4.8208358613991411</v>
      </c>
      <c r="AH889" s="16">
        <f>IF(AC889=0,IF(O889=2,INDEX(Acceleration!$R$4:$R$110,MATCH('Track Data'!S889,Acceleration!$K$4:$K$110,0)),IF('Track Data'!O889=1,INDEX(Acceleration!$Q$4:$Q$110,MATCH('Track Data'!S889,Acceleration!$K$4:$K$110,0)),'Track Data'!AG889)),'Track Data'!U889)</f>
        <v>4.8208358613991411</v>
      </c>
    </row>
    <row r="890" spans="2:34" x14ac:dyDescent="0.25">
      <c r="B890" s="16">
        <v>221.68299999999999</v>
      </c>
      <c r="C890" s="16">
        <v>8160</v>
      </c>
      <c r="D890" s="16">
        <v>887</v>
      </c>
      <c r="E890" s="113">
        <v>139</v>
      </c>
      <c r="F890" s="113">
        <v>132.80000000000001</v>
      </c>
      <c r="G890" s="113">
        <v>122.8</v>
      </c>
      <c r="H890" s="113">
        <f t="shared" si="96"/>
        <v>34.111111111111107</v>
      </c>
      <c r="I890" s="113">
        <v>19.899999999999999</v>
      </c>
      <c r="J890" s="113">
        <v>51.99</v>
      </c>
      <c r="K890" s="113">
        <v>47.3</v>
      </c>
      <c r="L890" s="183"/>
      <c r="M890" s="16">
        <v>887</v>
      </c>
      <c r="N890" s="16">
        <f t="shared" si="98"/>
        <v>2.2937824583009154E-2</v>
      </c>
      <c r="O890" s="16">
        <v>4</v>
      </c>
      <c r="P890" s="16">
        <f t="shared" si="94"/>
        <v>9.1833785004516724</v>
      </c>
      <c r="Q890" s="16">
        <f t="shared" si="99"/>
        <v>43.59611332718687</v>
      </c>
      <c r="R890" s="113">
        <f t="shared" si="95"/>
        <v>329.49099999999999</v>
      </c>
      <c r="S890" s="16">
        <f>IF(S889=15800,15800,ROUND((((Q890*60)/'Gearing Calculator'!$C$14)*'Track Data'!P890),-2))</f>
        <v>12100</v>
      </c>
      <c r="T890" s="16">
        <f t="shared" si="97"/>
        <v>4.8208358613991411</v>
      </c>
      <c r="U890" s="16">
        <f>IF(AC890=100,Braking!$AG$2354,IF(AC890=50,Braking!$AG$1179,IF(AC890=75,Braking!$AG$1767,0)))</f>
        <v>0</v>
      </c>
      <c r="V890" s="16">
        <f>0.5*'Gearing Calculator'!$C$15*'Gearing Calculator'!$C$20*'Gearing Calculator'!$W$20*('Track Data'!Q890^2)</f>
        <v>201.16173693155565</v>
      </c>
      <c r="W890" s="16">
        <f>('Gearing Calculator'!$U$9*'Track Data'!T890)+'Track Data'!V890</f>
        <v>1484.4682432360069</v>
      </c>
      <c r="X890" s="16">
        <f>('Gearing Calculator'!$U$9*9.81)*('Gearing Calculator'!$U$16/'Gearing Calculator'!$C$7)-(('Track Data'!W890)*('Gearing Calculator'!$U$17/'Gearing Calculator'!$C$7))</f>
        <v>592.02572755831886</v>
      </c>
      <c r="Y890" s="16">
        <f>('Gearing Calculator'!$U$9*9.81)*(('Gearing Calculator'!$C$7-'Gearing Calculator'!$U$16)/'Gearing Calculator'!$C$7)+(('Track Data'!W890)*('Gearing Calculator'!$U$17/'Gearing Calculator'!$C$7))</f>
        <v>2019.396272441681</v>
      </c>
      <c r="Z890" s="16">
        <f>((X890*COS('Gearing Calculator'!$C$21))/'Gearing Calculator'!$C$22)/2</f>
        <v>18.303563078254452</v>
      </c>
      <c r="AA890" s="16">
        <f>Y890/'Gearing Calculator'!$C$24</f>
        <v>28.197545111657071</v>
      </c>
      <c r="AB890" s="16">
        <f t="shared" si="100"/>
        <v>220.44508037715221</v>
      </c>
      <c r="AC890" s="16">
        <v>0</v>
      </c>
      <c r="AD890" s="16">
        <v>48.889993475913293</v>
      </c>
      <c r="AE890" s="16">
        <v>887</v>
      </c>
      <c r="AF890" s="16">
        <f>IF(AC890=0,IF(O890=6,INDEX(Acceleration!$V$4:$V$110,MATCH('Track Data'!S890,Acceleration!$K$4:$K$110,0)),IF('Track Data'!O890=5,INDEX(Acceleration!$U$4:$U$110,MATCH('Track Data'!S890,Acceleration!$K$4:$K$110,0)),1)),U890)</f>
        <v>1</v>
      </c>
      <c r="AG890" s="16">
        <f>IF(AC890=0,IF(O890=4,INDEX(Acceleration!$T$4:$T$110,MATCH('Track Data'!S890,Acceleration!$K$4:$K$110,0)),IF('Track Data'!O890=3,INDEX(Acceleration!$S$4:$S$110,MATCH('Track Data'!S890,Acceleration!$K$4:$K$110,0)),'Track Data'!AF890)),'Track Data'!U890)</f>
        <v>4.8208358613991411</v>
      </c>
      <c r="AH890" s="16">
        <f>IF(AC890=0,IF(O890=2,INDEX(Acceleration!$R$4:$R$110,MATCH('Track Data'!S890,Acceleration!$K$4:$K$110,0)),IF('Track Data'!O890=1,INDEX(Acceleration!$Q$4:$Q$110,MATCH('Track Data'!S890,Acceleration!$K$4:$K$110,0)),'Track Data'!AG890)),'Track Data'!U890)</f>
        <v>4.8208358613991411</v>
      </c>
    </row>
    <row r="891" spans="2:34" x14ac:dyDescent="0.25">
      <c r="B891" s="16">
        <v>221.71</v>
      </c>
      <c r="C891" s="16">
        <v>8161</v>
      </c>
      <c r="D891" s="16">
        <v>888</v>
      </c>
      <c r="E891" s="113">
        <v>139</v>
      </c>
      <c r="F891" s="113">
        <v>133.19999999999999</v>
      </c>
      <c r="G891" s="113">
        <v>123.2</v>
      </c>
      <c r="H891" s="113">
        <f t="shared" si="96"/>
        <v>34.222222222222221</v>
      </c>
      <c r="I891" s="113">
        <v>20.5</v>
      </c>
      <c r="J891" s="113">
        <v>50.3</v>
      </c>
      <c r="K891" s="113">
        <v>48.5</v>
      </c>
      <c r="L891" s="183"/>
      <c r="M891" s="16">
        <v>888</v>
      </c>
      <c r="N891" s="16">
        <f t="shared" si="98"/>
        <v>2.2937824583009154E-2</v>
      </c>
      <c r="O891" s="16">
        <v>4</v>
      </c>
      <c r="P891" s="16">
        <f t="shared" si="94"/>
        <v>9.1833785004516724</v>
      </c>
      <c r="Q891" s="16">
        <f t="shared" si="99"/>
        <v>43.59611332718687</v>
      </c>
      <c r="R891" s="113">
        <f t="shared" si="95"/>
        <v>329.49099999999999</v>
      </c>
      <c r="S891" s="16">
        <f>IF(S890=15800,15800,ROUND((((Q891*60)/'Gearing Calculator'!$C$14)*'Track Data'!P891),-2))</f>
        <v>12100</v>
      </c>
      <c r="T891" s="16">
        <f t="shared" si="97"/>
        <v>4.8208358613991411</v>
      </c>
      <c r="U891" s="16">
        <f>IF(AC891=100,Braking!$AG$2354,IF(AC891=50,Braking!$AG$1179,IF(AC891=75,Braking!$AG$1767,0)))</f>
        <v>0</v>
      </c>
      <c r="V891" s="16">
        <f>0.5*'Gearing Calculator'!$C$15*'Gearing Calculator'!$C$20*'Gearing Calculator'!$W$20*('Track Data'!Q891^2)</f>
        <v>201.16173693155565</v>
      </c>
      <c r="W891" s="16">
        <f>('Gearing Calculator'!$U$9*'Track Data'!T891)+'Track Data'!V891</f>
        <v>1484.4682432360069</v>
      </c>
      <c r="X891" s="16">
        <f>('Gearing Calculator'!$U$9*9.81)*('Gearing Calculator'!$U$16/'Gearing Calculator'!$C$7)-(('Track Data'!W891)*('Gearing Calculator'!$U$17/'Gearing Calculator'!$C$7))</f>
        <v>592.02572755831886</v>
      </c>
      <c r="Y891" s="16">
        <f>('Gearing Calculator'!$U$9*9.81)*(('Gearing Calculator'!$C$7-'Gearing Calculator'!$U$16)/'Gearing Calculator'!$C$7)+(('Track Data'!W891)*('Gearing Calculator'!$U$17/'Gearing Calculator'!$C$7))</f>
        <v>2019.396272441681</v>
      </c>
      <c r="Z891" s="16">
        <f>((X891*COS('Gearing Calculator'!$C$21))/'Gearing Calculator'!$C$22)/2</f>
        <v>18.303563078254452</v>
      </c>
      <c r="AA891" s="16">
        <f>Y891/'Gearing Calculator'!$C$24</f>
        <v>28.197545111657071</v>
      </c>
      <c r="AB891" s="16">
        <f t="shared" si="100"/>
        <v>220.44508037715221</v>
      </c>
      <c r="AC891" s="16">
        <v>0</v>
      </c>
      <c r="AD891" s="16">
        <v>48.889993475913293</v>
      </c>
      <c r="AE891" s="16">
        <v>888</v>
      </c>
      <c r="AF891" s="16">
        <f>IF(AC891=0,IF(O891=6,INDEX(Acceleration!$V$4:$V$110,MATCH('Track Data'!S891,Acceleration!$K$4:$K$110,0)),IF('Track Data'!O891=5,INDEX(Acceleration!$U$4:$U$110,MATCH('Track Data'!S891,Acceleration!$K$4:$K$110,0)),1)),U891)</f>
        <v>1</v>
      </c>
      <c r="AG891" s="16">
        <f>IF(AC891=0,IF(O891=4,INDEX(Acceleration!$T$4:$T$110,MATCH('Track Data'!S891,Acceleration!$K$4:$K$110,0)),IF('Track Data'!O891=3,INDEX(Acceleration!$S$4:$S$110,MATCH('Track Data'!S891,Acceleration!$K$4:$K$110,0)),'Track Data'!AF891)),'Track Data'!U891)</f>
        <v>4.8208358613991411</v>
      </c>
      <c r="AH891" s="16">
        <f>IF(AC891=0,IF(O891=2,INDEX(Acceleration!$R$4:$R$110,MATCH('Track Data'!S891,Acceleration!$K$4:$K$110,0)),IF('Track Data'!O891=1,INDEX(Acceleration!$Q$4:$Q$110,MATCH('Track Data'!S891,Acceleration!$K$4:$K$110,0)),'Track Data'!AG891)),'Track Data'!U891)</f>
        <v>4.8208358613991411</v>
      </c>
    </row>
    <row r="892" spans="2:34" x14ac:dyDescent="0.25">
      <c r="B892" s="16">
        <v>221.738</v>
      </c>
      <c r="C892" s="16">
        <v>8162</v>
      </c>
      <c r="D892" s="16">
        <v>889</v>
      </c>
      <c r="E892" s="113">
        <v>139</v>
      </c>
      <c r="F892" s="113">
        <v>133.4</v>
      </c>
      <c r="G892" s="113">
        <v>123.4</v>
      </c>
      <c r="H892" s="113">
        <f t="shared" si="96"/>
        <v>34.277777777777779</v>
      </c>
      <c r="I892" s="113">
        <v>21.2</v>
      </c>
      <c r="J892" s="113">
        <v>52.64</v>
      </c>
      <c r="K892" s="113">
        <v>49.3</v>
      </c>
      <c r="L892" s="183"/>
      <c r="M892" s="16">
        <v>889</v>
      </c>
      <c r="N892" s="16">
        <f t="shared" si="98"/>
        <v>2.2937824583009154E-2</v>
      </c>
      <c r="O892" s="16">
        <v>4</v>
      </c>
      <c r="P892" s="16">
        <f t="shared" si="94"/>
        <v>9.1833785004516724</v>
      </c>
      <c r="Q892" s="16">
        <f t="shared" si="99"/>
        <v>43.59611332718687</v>
      </c>
      <c r="R892" s="113">
        <f t="shared" si="95"/>
        <v>329.49099999999999</v>
      </c>
      <c r="S892" s="16">
        <f>IF(S891=15800,15800,ROUND((((Q892*60)/'Gearing Calculator'!$C$14)*'Track Data'!P892),-2))</f>
        <v>12100</v>
      </c>
      <c r="T892" s="16">
        <f t="shared" si="97"/>
        <v>4.8208358613991411</v>
      </c>
      <c r="U892" s="16">
        <f>IF(AC892=100,Braking!$AG$2354,IF(AC892=50,Braking!$AG$1179,IF(AC892=75,Braking!$AG$1767,0)))</f>
        <v>0</v>
      </c>
      <c r="V892" s="16">
        <f>0.5*'Gearing Calculator'!$C$15*'Gearing Calculator'!$C$20*'Gearing Calculator'!$W$20*('Track Data'!Q892^2)</f>
        <v>201.16173693155565</v>
      </c>
      <c r="W892" s="16">
        <f>('Gearing Calculator'!$U$9*'Track Data'!T892)+'Track Data'!V892</f>
        <v>1484.4682432360069</v>
      </c>
      <c r="X892" s="16">
        <f>('Gearing Calculator'!$U$9*9.81)*('Gearing Calculator'!$U$16/'Gearing Calculator'!$C$7)-(('Track Data'!W892)*('Gearing Calculator'!$U$17/'Gearing Calculator'!$C$7))</f>
        <v>592.02572755831886</v>
      </c>
      <c r="Y892" s="16">
        <f>('Gearing Calculator'!$U$9*9.81)*(('Gearing Calculator'!$C$7-'Gearing Calculator'!$U$16)/'Gearing Calculator'!$C$7)+(('Track Data'!W892)*('Gearing Calculator'!$U$17/'Gearing Calculator'!$C$7))</f>
        <v>2019.396272441681</v>
      </c>
      <c r="Z892" s="16">
        <f>((X892*COS('Gearing Calculator'!$C$21))/'Gearing Calculator'!$C$22)/2</f>
        <v>18.303563078254452</v>
      </c>
      <c r="AA892" s="16">
        <f>Y892/'Gearing Calculator'!$C$24</f>
        <v>28.197545111657071</v>
      </c>
      <c r="AB892" s="16">
        <f t="shared" si="100"/>
        <v>220.44508037715221</v>
      </c>
      <c r="AC892" s="16">
        <v>0</v>
      </c>
      <c r="AD892" s="16">
        <v>48.889993475913293</v>
      </c>
      <c r="AE892" s="16">
        <v>889</v>
      </c>
      <c r="AF892" s="16">
        <f>IF(AC892=0,IF(O892=6,INDEX(Acceleration!$V$4:$V$110,MATCH('Track Data'!S892,Acceleration!$K$4:$K$110,0)),IF('Track Data'!O892=5,INDEX(Acceleration!$U$4:$U$110,MATCH('Track Data'!S892,Acceleration!$K$4:$K$110,0)),1)),U892)</f>
        <v>1</v>
      </c>
      <c r="AG892" s="16">
        <f>IF(AC892=0,IF(O892=4,INDEX(Acceleration!$T$4:$T$110,MATCH('Track Data'!S892,Acceleration!$K$4:$K$110,0)),IF('Track Data'!O892=3,INDEX(Acceleration!$S$4:$S$110,MATCH('Track Data'!S892,Acceleration!$K$4:$K$110,0)),'Track Data'!AF892)),'Track Data'!U892)</f>
        <v>4.8208358613991411</v>
      </c>
      <c r="AH892" s="16">
        <f>IF(AC892=0,IF(O892=2,INDEX(Acceleration!$R$4:$R$110,MATCH('Track Data'!S892,Acceleration!$K$4:$K$110,0)),IF('Track Data'!O892=1,INDEX(Acceleration!$Q$4:$Q$110,MATCH('Track Data'!S892,Acceleration!$K$4:$K$110,0)),'Track Data'!AG892)),'Track Data'!U892)</f>
        <v>4.8208358613991411</v>
      </c>
    </row>
    <row r="893" spans="2:34" x14ac:dyDescent="0.25">
      <c r="B893" s="16">
        <v>221.76400000000001</v>
      </c>
      <c r="C893" s="16">
        <v>8163</v>
      </c>
      <c r="D893" s="16">
        <v>890</v>
      </c>
      <c r="E893" s="113">
        <v>139</v>
      </c>
      <c r="F893" s="113">
        <v>133.69999999999999</v>
      </c>
      <c r="G893" s="113">
        <v>123.8</v>
      </c>
      <c r="H893" s="113">
        <f t="shared" si="96"/>
        <v>34.388888888888886</v>
      </c>
      <c r="I893" s="113">
        <v>21.3</v>
      </c>
      <c r="J893" s="113">
        <v>52.83</v>
      </c>
      <c r="K893" s="113">
        <v>50.4</v>
      </c>
      <c r="L893" s="183"/>
      <c r="M893" s="16">
        <v>890</v>
      </c>
      <c r="N893" s="16">
        <f t="shared" si="98"/>
        <v>2.2937824583009154E-2</v>
      </c>
      <c r="O893" s="16">
        <v>4</v>
      </c>
      <c r="P893" s="16">
        <f t="shared" si="94"/>
        <v>9.1833785004516724</v>
      </c>
      <c r="Q893" s="16">
        <f t="shared" si="99"/>
        <v>43.59611332718687</v>
      </c>
      <c r="R893" s="113">
        <f t="shared" si="95"/>
        <v>329.49099999999999</v>
      </c>
      <c r="S893" s="16">
        <f>IF(S892=15800,15800,ROUND((((Q893*60)/'Gearing Calculator'!$C$14)*'Track Data'!P893),-2))</f>
        <v>12100</v>
      </c>
      <c r="T893" s="16">
        <f t="shared" si="97"/>
        <v>4.8208358613991411</v>
      </c>
      <c r="U893" s="16">
        <f>IF(AC893=100,Braking!$AG$2354,IF(AC893=50,Braking!$AG$1179,IF(AC893=75,Braking!$AG$1767,0)))</f>
        <v>0</v>
      </c>
      <c r="V893" s="16">
        <f>0.5*'Gearing Calculator'!$C$15*'Gearing Calculator'!$C$20*'Gearing Calculator'!$W$20*('Track Data'!Q893^2)</f>
        <v>201.16173693155565</v>
      </c>
      <c r="W893" s="16">
        <f>('Gearing Calculator'!$U$9*'Track Data'!T893)+'Track Data'!V893</f>
        <v>1484.4682432360069</v>
      </c>
      <c r="X893" s="16">
        <f>('Gearing Calculator'!$U$9*9.81)*('Gearing Calculator'!$U$16/'Gearing Calculator'!$C$7)-(('Track Data'!W893)*('Gearing Calculator'!$U$17/'Gearing Calculator'!$C$7))</f>
        <v>592.02572755831886</v>
      </c>
      <c r="Y893" s="16">
        <f>('Gearing Calculator'!$U$9*9.81)*(('Gearing Calculator'!$C$7-'Gearing Calculator'!$U$16)/'Gearing Calculator'!$C$7)+(('Track Data'!W893)*('Gearing Calculator'!$U$17/'Gearing Calculator'!$C$7))</f>
        <v>2019.396272441681</v>
      </c>
      <c r="Z893" s="16">
        <f>((X893*COS('Gearing Calculator'!$C$21))/'Gearing Calculator'!$C$22)/2</f>
        <v>18.303563078254452</v>
      </c>
      <c r="AA893" s="16">
        <f>Y893/'Gearing Calculator'!$C$24</f>
        <v>28.197545111657071</v>
      </c>
      <c r="AB893" s="16">
        <f t="shared" si="100"/>
        <v>220.44508037715221</v>
      </c>
      <c r="AC893" s="16">
        <v>0</v>
      </c>
      <c r="AD893" s="16">
        <v>48.889993475913293</v>
      </c>
      <c r="AE893" s="16">
        <v>890</v>
      </c>
      <c r="AF893" s="16">
        <f>IF(AC893=0,IF(O893=6,INDEX(Acceleration!$V$4:$V$110,MATCH('Track Data'!S893,Acceleration!$K$4:$K$110,0)),IF('Track Data'!O893=5,INDEX(Acceleration!$U$4:$U$110,MATCH('Track Data'!S893,Acceleration!$K$4:$K$110,0)),1)),U893)</f>
        <v>1</v>
      </c>
      <c r="AG893" s="16">
        <f>IF(AC893=0,IF(O893=4,INDEX(Acceleration!$T$4:$T$110,MATCH('Track Data'!S893,Acceleration!$K$4:$K$110,0)),IF('Track Data'!O893=3,INDEX(Acceleration!$S$4:$S$110,MATCH('Track Data'!S893,Acceleration!$K$4:$K$110,0)),'Track Data'!AF893)),'Track Data'!U893)</f>
        <v>4.8208358613991411</v>
      </c>
      <c r="AH893" s="16">
        <f>IF(AC893=0,IF(O893=2,INDEX(Acceleration!$R$4:$R$110,MATCH('Track Data'!S893,Acceleration!$K$4:$K$110,0)),IF('Track Data'!O893=1,INDEX(Acceleration!$Q$4:$Q$110,MATCH('Track Data'!S893,Acceleration!$K$4:$K$110,0)),'Track Data'!AG893)),'Track Data'!U893)</f>
        <v>4.8208358613991411</v>
      </c>
    </row>
    <row r="894" spans="2:34" x14ac:dyDescent="0.25">
      <c r="B894" s="16">
        <v>221.791</v>
      </c>
      <c r="C894" s="16">
        <v>8164</v>
      </c>
      <c r="D894" s="16">
        <v>891</v>
      </c>
      <c r="E894" s="113">
        <v>141</v>
      </c>
      <c r="F894" s="113">
        <v>133.69999999999999</v>
      </c>
      <c r="G894" s="113">
        <v>124.2</v>
      </c>
      <c r="H894" s="113">
        <f t="shared" si="96"/>
        <v>34.5</v>
      </c>
      <c r="I894" s="113">
        <v>20.2</v>
      </c>
      <c r="J894" s="113">
        <v>52.01</v>
      </c>
      <c r="K894" s="113">
        <v>50.4</v>
      </c>
      <c r="L894" s="183"/>
      <c r="M894" s="16">
        <v>891</v>
      </c>
      <c r="N894" s="16">
        <f t="shared" si="98"/>
        <v>2.2937824583009154E-2</v>
      </c>
      <c r="O894" s="16">
        <v>4</v>
      </c>
      <c r="P894" s="16">
        <f t="shared" si="94"/>
        <v>9.1833785004516724</v>
      </c>
      <c r="Q894" s="16">
        <f t="shared" si="99"/>
        <v>43.59611332718687</v>
      </c>
      <c r="R894" s="113">
        <f t="shared" si="95"/>
        <v>329.49099999999999</v>
      </c>
      <c r="S894" s="16">
        <f>IF(S893=15800,15800,ROUND((((Q894*60)/'Gearing Calculator'!$C$14)*'Track Data'!P894),-2))</f>
        <v>12100</v>
      </c>
      <c r="T894" s="16">
        <f t="shared" si="97"/>
        <v>4.8208358613991411</v>
      </c>
      <c r="U894" s="16">
        <f>IF(AC894=100,Braking!$AG$2354,IF(AC894=50,Braking!$AG$1179,IF(AC894=75,Braking!$AG$1767,0)))</f>
        <v>0</v>
      </c>
      <c r="V894" s="16">
        <f>0.5*'Gearing Calculator'!$C$15*'Gearing Calculator'!$C$20*'Gearing Calculator'!$W$20*('Track Data'!Q894^2)</f>
        <v>201.16173693155565</v>
      </c>
      <c r="W894" s="16">
        <f>('Gearing Calculator'!$U$9*'Track Data'!T894)+'Track Data'!V894</f>
        <v>1484.4682432360069</v>
      </c>
      <c r="X894" s="16">
        <f>('Gearing Calculator'!$U$9*9.81)*('Gearing Calculator'!$U$16/'Gearing Calculator'!$C$7)-(('Track Data'!W894)*('Gearing Calculator'!$U$17/'Gearing Calculator'!$C$7))</f>
        <v>592.02572755831886</v>
      </c>
      <c r="Y894" s="16">
        <f>('Gearing Calculator'!$U$9*9.81)*(('Gearing Calculator'!$C$7-'Gearing Calculator'!$U$16)/'Gearing Calculator'!$C$7)+(('Track Data'!W894)*('Gearing Calculator'!$U$17/'Gearing Calculator'!$C$7))</f>
        <v>2019.396272441681</v>
      </c>
      <c r="Z894" s="16">
        <f>((X894*COS('Gearing Calculator'!$C$21))/'Gearing Calculator'!$C$22)/2</f>
        <v>18.303563078254452</v>
      </c>
      <c r="AA894" s="16">
        <f>Y894/'Gearing Calculator'!$C$24</f>
        <v>28.197545111657071</v>
      </c>
      <c r="AB894" s="16">
        <f t="shared" si="100"/>
        <v>220.44508037715221</v>
      </c>
      <c r="AC894" s="16">
        <v>0</v>
      </c>
      <c r="AD894" s="16">
        <v>48.889993475913293</v>
      </c>
      <c r="AE894" s="16">
        <v>891</v>
      </c>
      <c r="AF894" s="16">
        <f>IF(AC894=0,IF(O894=6,INDEX(Acceleration!$V$4:$V$110,MATCH('Track Data'!S894,Acceleration!$K$4:$K$110,0)),IF('Track Data'!O894=5,INDEX(Acceleration!$U$4:$U$110,MATCH('Track Data'!S894,Acceleration!$K$4:$K$110,0)),1)),U894)</f>
        <v>1</v>
      </c>
      <c r="AG894" s="16">
        <f>IF(AC894=0,IF(O894=4,INDEX(Acceleration!$T$4:$T$110,MATCH('Track Data'!S894,Acceleration!$K$4:$K$110,0)),IF('Track Data'!O894=3,INDEX(Acceleration!$S$4:$S$110,MATCH('Track Data'!S894,Acceleration!$K$4:$K$110,0)),'Track Data'!AF894)),'Track Data'!U894)</f>
        <v>4.8208358613991411</v>
      </c>
      <c r="AH894" s="16">
        <f>IF(AC894=0,IF(O894=2,INDEX(Acceleration!$R$4:$R$110,MATCH('Track Data'!S894,Acceleration!$K$4:$K$110,0)),IF('Track Data'!O894=1,INDEX(Acceleration!$Q$4:$Q$110,MATCH('Track Data'!S894,Acceleration!$K$4:$K$110,0)),'Track Data'!AG894)),'Track Data'!U894)</f>
        <v>4.8208358613991411</v>
      </c>
    </row>
    <row r="895" spans="2:34" x14ac:dyDescent="0.25">
      <c r="B895" s="16">
        <v>221.81800000000001</v>
      </c>
      <c r="C895" s="16">
        <v>8165</v>
      </c>
      <c r="D895" s="16">
        <v>892</v>
      </c>
      <c r="E895" s="113">
        <v>141</v>
      </c>
      <c r="F895" s="113">
        <v>133.9</v>
      </c>
      <c r="G895" s="113">
        <v>124.4</v>
      </c>
      <c r="H895" s="113">
        <f t="shared" si="96"/>
        <v>34.555555555555557</v>
      </c>
      <c r="I895" s="113">
        <v>19.100000000000001</v>
      </c>
      <c r="J895" s="113">
        <v>50.37</v>
      </c>
      <c r="K895" s="113">
        <v>50.4</v>
      </c>
      <c r="L895" s="183"/>
      <c r="M895" s="16">
        <v>892</v>
      </c>
      <c r="N895" s="16">
        <f t="shared" si="98"/>
        <v>2.2937824583009154E-2</v>
      </c>
      <c r="O895" s="16">
        <v>4</v>
      </c>
      <c r="P895" s="16">
        <f t="shared" si="94"/>
        <v>9.1833785004516724</v>
      </c>
      <c r="Q895" s="16">
        <f t="shared" si="99"/>
        <v>43.59611332718687</v>
      </c>
      <c r="R895" s="113">
        <f t="shared" si="95"/>
        <v>329.49099999999999</v>
      </c>
      <c r="S895" s="16">
        <f>IF(S894=15800,15800,ROUND((((Q895*60)/'Gearing Calculator'!$C$14)*'Track Data'!P895),-2))</f>
        <v>12100</v>
      </c>
      <c r="T895" s="16">
        <f t="shared" si="97"/>
        <v>4.8208358613991411</v>
      </c>
      <c r="U895" s="16">
        <f>IF(AC895=100,Braking!$AG$2354,IF(AC895=50,Braking!$AG$1179,IF(AC895=75,Braking!$AG$1767,0)))</f>
        <v>0</v>
      </c>
      <c r="V895" s="16">
        <f>0.5*'Gearing Calculator'!$C$15*'Gearing Calculator'!$C$20*'Gearing Calculator'!$W$20*('Track Data'!Q895^2)</f>
        <v>201.16173693155565</v>
      </c>
      <c r="W895" s="16">
        <f>('Gearing Calculator'!$U$9*'Track Data'!T895)+'Track Data'!V895</f>
        <v>1484.4682432360069</v>
      </c>
      <c r="X895" s="16">
        <f>('Gearing Calculator'!$U$9*9.81)*('Gearing Calculator'!$U$16/'Gearing Calculator'!$C$7)-(('Track Data'!W895)*('Gearing Calculator'!$U$17/'Gearing Calculator'!$C$7))</f>
        <v>592.02572755831886</v>
      </c>
      <c r="Y895" s="16">
        <f>('Gearing Calculator'!$U$9*9.81)*(('Gearing Calculator'!$C$7-'Gearing Calculator'!$U$16)/'Gearing Calculator'!$C$7)+(('Track Data'!W895)*('Gearing Calculator'!$U$17/'Gearing Calculator'!$C$7))</f>
        <v>2019.396272441681</v>
      </c>
      <c r="Z895" s="16">
        <f>((X895*COS('Gearing Calculator'!$C$21))/'Gearing Calculator'!$C$22)/2</f>
        <v>18.303563078254452</v>
      </c>
      <c r="AA895" s="16">
        <f>Y895/'Gearing Calculator'!$C$24</f>
        <v>28.197545111657071</v>
      </c>
      <c r="AB895" s="16">
        <f t="shared" si="100"/>
        <v>220.44508037715221</v>
      </c>
      <c r="AC895" s="16">
        <v>0</v>
      </c>
      <c r="AD895" s="16">
        <v>48.889993475913293</v>
      </c>
      <c r="AE895" s="16">
        <v>892</v>
      </c>
      <c r="AF895" s="16">
        <f>IF(AC895=0,IF(O895=6,INDEX(Acceleration!$V$4:$V$110,MATCH('Track Data'!S895,Acceleration!$K$4:$K$110,0)),IF('Track Data'!O895=5,INDEX(Acceleration!$U$4:$U$110,MATCH('Track Data'!S895,Acceleration!$K$4:$K$110,0)),1)),U895)</f>
        <v>1</v>
      </c>
      <c r="AG895" s="16">
        <f>IF(AC895=0,IF(O895=4,INDEX(Acceleration!$T$4:$T$110,MATCH('Track Data'!S895,Acceleration!$K$4:$K$110,0)),IF('Track Data'!O895=3,INDEX(Acceleration!$S$4:$S$110,MATCH('Track Data'!S895,Acceleration!$K$4:$K$110,0)),'Track Data'!AF895)),'Track Data'!U895)</f>
        <v>4.8208358613991411</v>
      </c>
      <c r="AH895" s="16">
        <f>IF(AC895=0,IF(O895=2,INDEX(Acceleration!$R$4:$R$110,MATCH('Track Data'!S895,Acceleration!$K$4:$K$110,0)),IF('Track Data'!O895=1,INDEX(Acceleration!$Q$4:$Q$110,MATCH('Track Data'!S895,Acceleration!$K$4:$K$110,0)),'Track Data'!AG895)),'Track Data'!U895)</f>
        <v>4.8208358613991411</v>
      </c>
    </row>
    <row r="896" spans="2:34" x14ac:dyDescent="0.25">
      <c r="B896" s="16">
        <v>221.845</v>
      </c>
      <c r="C896" s="16">
        <v>8166</v>
      </c>
      <c r="D896" s="16">
        <v>893</v>
      </c>
      <c r="E896" s="113">
        <v>142</v>
      </c>
      <c r="F896" s="113">
        <v>134.5</v>
      </c>
      <c r="G896" s="113">
        <v>124.8</v>
      </c>
      <c r="H896" s="113">
        <f t="shared" si="96"/>
        <v>34.666666666666664</v>
      </c>
      <c r="I896" s="113">
        <v>17.600000000000001</v>
      </c>
      <c r="J896" s="113">
        <v>48.38</v>
      </c>
      <c r="K896" s="113">
        <v>50.6</v>
      </c>
      <c r="L896" s="183"/>
      <c r="M896" s="16">
        <v>893</v>
      </c>
      <c r="N896" s="16">
        <f t="shared" si="98"/>
        <v>2.2937824583009154E-2</v>
      </c>
      <c r="O896" s="16">
        <v>4</v>
      </c>
      <c r="P896" s="16">
        <f t="shared" si="94"/>
        <v>9.1833785004516724</v>
      </c>
      <c r="Q896" s="16">
        <f t="shared" si="99"/>
        <v>43.59611332718687</v>
      </c>
      <c r="R896" s="113">
        <f t="shared" si="95"/>
        <v>329.49099999999999</v>
      </c>
      <c r="S896" s="16">
        <f>IF(S895=15800,15800,ROUND((((Q896*60)/'Gearing Calculator'!$C$14)*'Track Data'!P896),-2))</f>
        <v>12100</v>
      </c>
      <c r="T896" s="16">
        <f t="shared" si="97"/>
        <v>4.8208358613991411</v>
      </c>
      <c r="U896" s="16">
        <f>IF(AC896=100,Braking!$AG$2354,IF(AC896=50,Braking!$AG$1179,IF(AC896=75,Braking!$AG$1767,0)))</f>
        <v>0</v>
      </c>
      <c r="V896" s="16">
        <f>0.5*'Gearing Calculator'!$C$15*'Gearing Calculator'!$C$20*'Gearing Calculator'!$W$20*('Track Data'!Q896^2)</f>
        <v>201.16173693155565</v>
      </c>
      <c r="W896" s="16">
        <f>('Gearing Calculator'!$U$9*'Track Data'!T896)+'Track Data'!V896</f>
        <v>1484.4682432360069</v>
      </c>
      <c r="X896" s="16">
        <f>('Gearing Calculator'!$U$9*9.81)*('Gearing Calculator'!$U$16/'Gearing Calculator'!$C$7)-(('Track Data'!W896)*('Gearing Calculator'!$U$17/'Gearing Calculator'!$C$7))</f>
        <v>592.02572755831886</v>
      </c>
      <c r="Y896" s="16">
        <f>('Gearing Calculator'!$U$9*9.81)*(('Gearing Calculator'!$C$7-'Gearing Calculator'!$U$16)/'Gearing Calculator'!$C$7)+(('Track Data'!W896)*('Gearing Calculator'!$U$17/'Gearing Calculator'!$C$7))</f>
        <v>2019.396272441681</v>
      </c>
      <c r="Z896" s="16">
        <f>((X896*COS('Gearing Calculator'!$C$21))/'Gearing Calculator'!$C$22)/2</f>
        <v>18.303563078254452</v>
      </c>
      <c r="AA896" s="16">
        <f>Y896/'Gearing Calculator'!$C$24</f>
        <v>28.197545111657071</v>
      </c>
      <c r="AB896" s="16">
        <f t="shared" si="100"/>
        <v>220.44508037715221</v>
      </c>
      <c r="AC896" s="16">
        <v>0</v>
      </c>
      <c r="AD896" s="16">
        <v>48.889993475913293</v>
      </c>
      <c r="AE896" s="16">
        <v>893</v>
      </c>
      <c r="AF896" s="16">
        <f>IF(AC896=0,IF(O896=6,INDEX(Acceleration!$V$4:$V$110,MATCH('Track Data'!S896,Acceleration!$K$4:$K$110,0)),IF('Track Data'!O896=5,INDEX(Acceleration!$U$4:$U$110,MATCH('Track Data'!S896,Acceleration!$K$4:$K$110,0)),1)),U896)</f>
        <v>1</v>
      </c>
      <c r="AG896" s="16">
        <f>IF(AC896=0,IF(O896=4,INDEX(Acceleration!$T$4:$T$110,MATCH('Track Data'!S896,Acceleration!$K$4:$K$110,0)),IF('Track Data'!O896=3,INDEX(Acceleration!$S$4:$S$110,MATCH('Track Data'!S896,Acceleration!$K$4:$K$110,0)),'Track Data'!AF896)),'Track Data'!U896)</f>
        <v>4.8208358613991411</v>
      </c>
      <c r="AH896" s="16">
        <f>IF(AC896=0,IF(O896=2,INDEX(Acceleration!$R$4:$R$110,MATCH('Track Data'!S896,Acceleration!$K$4:$K$110,0)),IF('Track Data'!O896=1,INDEX(Acceleration!$Q$4:$Q$110,MATCH('Track Data'!S896,Acceleration!$K$4:$K$110,0)),'Track Data'!AG896)),'Track Data'!U896)</f>
        <v>4.8208358613991411</v>
      </c>
    </row>
    <row r="897" spans="2:34" x14ac:dyDescent="0.25">
      <c r="B897" s="16">
        <v>221.87100000000001</v>
      </c>
      <c r="C897" s="16">
        <v>8167</v>
      </c>
      <c r="D897" s="16">
        <v>894</v>
      </c>
      <c r="E897" s="113">
        <v>143</v>
      </c>
      <c r="F897" s="113">
        <v>135</v>
      </c>
      <c r="G897" s="113">
        <v>125</v>
      </c>
      <c r="H897" s="113">
        <f t="shared" si="96"/>
        <v>34.722222222222221</v>
      </c>
      <c r="I897" s="113">
        <v>16</v>
      </c>
      <c r="J897" s="113">
        <v>46.47</v>
      </c>
      <c r="K897" s="113">
        <v>52</v>
      </c>
      <c r="L897" s="183"/>
      <c r="M897" s="16">
        <v>894</v>
      </c>
      <c r="N897" s="16">
        <f t="shared" si="98"/>
        <v>2.2937824583009154E-2</v>
      </c>
      <c r="O897" s="16">
        <v>4</v>
      </c>
      <c r="P897" s="16">
        <f t="shared" si="94"/>
        <v>9.1833785004516724</v>
      </c>
      <c r="Q897" s="16">
        <f t="shared" si="99"/>
        <v>43.59611332718687</v>
      </c>
      <c r="R897" s="113">
        <f t="shared" si="95"/>
        <v>329.49099999999999</v>
      </c>
      <c r="S897" s="16">
        <f>IF(S896=15800,15800,ROUND((((Q897*60)/'Gearing Calculator'!$C$14)*'Track Data'!P897),-2))</f>
        <v>12100</v>
      </c>
      <c r="T897" s="16">
        <f t="shared" si="97"/>
        <v>4.8208358613991411</v>
      </c>
      <c r="U897" s="16">
        <f>IF(AC897=100,Braking!$AG$2354,IF(AC897=50,Braking!$AG$1179,IF(AC897=75,Braking!$AG$1767,0)))</f>
        <v>0</v>
      </c>
      <c r="V897" s="16">
        <f>0.5*'Gearing Calculator'!$C$15*'Gearing Calculator'!$C$20*'Gearing Calculator'!$W$20*('Track Data'!Q897^2)</f>
        <v>201.16173693155565</v>
      </c>
      <c r="W897" s="16">
        <f>('Gearing Calculator'!$U$9*'Track Data'!T897)+'Track Data'!V897</f>
        <v>1484.4682432360069</v>
      </c>
      <c r="X897" s="16">
        <f>('Gearing Calculator'!$U$9*9.81)*('Gearing Calculator'!$U$16/'Gearing Calculator'!$C$7)-(('Track Data'!W897)*('Gearing Calculator'!$U$17/'Gearing Calculator'!$C$7))</f>
        <v>592.02572755831886</v>
      </c>
      <c r="Y897" s="16">
        <f>('Gearing Calculator'!$U$9*9.81)*(('Gearing Calculator'!$C$7-'Gearing Calculator'!$U$16)/'Gearing Calculator'!$C$7)+(('Track Data'!W897)*('Gearing Calculator'!$U$17/'Gearing Calculator'!$C$7))</f>
        <v>2019.396272441681</v>
      </c>
      <c r="Z897" s="16">
        <f>((X897*COS('Gearing Calculator'!$C$21))/'Gearing Calculator'!$C$22)/2</f>
        <v>18.303563078254452</v>
      </c>
      <c r="AA897" s="16">
        <f>Y897/'Gearing Calculator'!$C$24</f>
        <v>28.197545111657071</v>
      </c>
      <c r="AB897" s="16">
        <f t="shared" si="100"/>
        <v>220.44508037715221</v>
      </c>
      <c r="AC897" s="16">
        <v>0</v>
      </c>
      <c r="AD897" s="16">
        <v>48.889993475913293</v>
      </c>
      <c r="AE897" s="16">
        <v>894</v>
      </c>
      <c r="AF897" s="16">
        <f>IF(AC897=0,IF(O897=6,INDEX(Acceleration!$V$4:$V$110,MATCH('Track Data'!S897,Acceleration!$K$4:$K$110,0)),IF('Track Data'!O897=5,INDEX(Acceleration!$U$4:$U$110,MATCH('Track Data'!S897,Acceleration!$K$4:$K$110,0)),1)),U897)</f>
        <v>1</v>
      </c>
      <c r="AG897" s="16">
        <f>IF(AC897=0,IF(O897=4,INDEX(Acceleration!$T$4:$T$110,MATCH('Track Data'!S897,Acceleration!$K$4:$K$110,0)),IF('Track Data'!O897=3,INDEX(Acceleration!$S$4:$S$110,MATCH('Track Data'!S897,Acceleration!$K$4:$K$110,0)),'Track Data'!AF897)),'Track Data'!U897)</f>
        <v>4.8208358613991411</v>
      </c>
      <c r="AH897" s="16">
        <f>IF(AC897=0,IF(O897=2,INDEX(Acceleration!$R$4:$R$110,MATCH('Track Data'!S897,Acceleration!$K$4:$K$110,0)),IF('Track Data'!O897=1,INDEX(Acceleration!$Q$4:$Q$110,MATCH('Track Data'!S897,Acceleration!$K$4:$K$110,0)),'Track Data'!AG897)),'Track Data'!U897)</f>
        <v>4.8208358613991411</v>
      </c>
    </row>
    <row r="898" spans="2:34" x14ac:dyDescent="0.25">
      <c r="B898" s="16">
        <v>221.898</v>
      </c>
      <c r="C898" s="16">
        <v>8168</v>
      </c>
      <c r="D898" s="16">
        <v>895</v>
      </c>
      <c r="E898" s="113">
        <v>143</v>
      </c>
      <c r="F898" s="113">
        <v>135.30000000000001</v>
      </c>
      <c r="G898" s="113">
        <v>125.2</v>
      </c>
      <c r="H898" s="113">
        <f t="shared" si="96"/>
        <v>34.777777777777779</v>
      </c>
      <c r="I898" s="113">
        <v>15.3</v>
      </c>
      <c r="J898" s="113">
        <v>46.52</v>
      </c>
      <c r="K898" s="113">
        <v>52.9</v>
      </c>
      <c r="L898" s="183"/>
      <c r="M898" s="16">
        <v>895</v>
      </c>
      <c r="N898" s="16">
        <f t="shared" si="98"/>
        <v>2.2937824583009154E-2</v>
      </c>
      <c r="O898" s="16">
        <v>4</v>
      </c>
      <c r="P898" s="16">
        <f t="shared" si="94"/>
        <v>9.1833785004516724</v>
      </c>
      <c r="Q898" s="16">
        <f t="shared" si="99"/>
        <v>43.59611332718687</v>
      </c>
      <c r="R898" s="113">
        <f t="shared" si="95"/>
        <v>329.49099999999999</v>
      </c>
      <c r="S898" s="16">
        <f>IF(S897=15800,15800,ROUND((((Q898*60)/'Gearing Calculator'!$C$14)*'Track Data'!P898),-2))</f>
        <v>12100</v>
      </c>
      <c r="T898" s="16">
        <f t="shared" si="97"/>
        <v>4.8208358613991411</v>
      </c>
      <c r="U898" s="16">
        <f>IF(AC898=100,Braking!$AG$2354,IF(AC898=50,Braking!$AG$1179,IF(AC898=75,Braking!$AG$1767,0)))</f>
        <v>0</v>
      </c>
      <c r="V898" s="16">
        <f>0.5*'Gearing Calculator'!$C$15*'Gearing Calculator'!$C$20*'Gearing Calculator'!$W$20*('Track Data'!Q898^2)</f>
        <v>201.16173693155565</v>
      </c>
      <c r="W898" s="16">
        <f>('Gearing Calculator'!$U$9*'Track Data'!T898)+'Track Data'!V898</f>
        <v>1484.4682432360069</v>
      </c>
      <c r="X898" s="16">
        <f>('Gearing Calculator'!$U$9*9.81)*('Gearing Calculator'!$U$16/'Gearing Calculator'!$C$7)-(('Track Data'!W898)*('Gearing Calculator'!$U$17/'Gearing Calculator'!$C$7))</f>
        <v>592.02572755831886</v>
      </c>
      <c r="Y898" s="16">
        <f>('Gearing Calculator'!$U$9*9.81)*(('Gearing Calculator'!$C$7-'Gearing Calculator'!$U$16)/'Gearing Calculator'!$C$7)+(('Track Data'!W898)*('Gearing Calculator'!$U$17/'Gearing Calculator'!$C$7))</f>
        <v>2019.396272441681</v>
      </c>
      <c r="Z898" s="16">
        <f>((X898*COS('Gearing Calculator'!$C$21))/'Gearing Calculator'!$C$22)/2</f>
        <v>18.303563078254452</v>
      </c>
      <c r="AA898" s="16">
        <f>Y898/'Gearing Calculator'!$C$24</f>
        <v>28.197545111657071</v>
      </c>
      <c r="AB898" s="16">
        <f t="shared" si="100"/>
        <v>220.44508037715221</v>
      </c>
      <c r="AC898" s="16">
        <v>0</v>
      </c>
      <c r="AD898" s="16">
        <v>48.889993475913293</v>
      </c>
      <c r="AE898" s="16">
        <v>895</v>
      </c>
      <c r="AF898" s="16">
        <f>IF(AC898=0,IF(O898=6,INDEX(Acceleration!$V$4:$V$110,MATCH('Track Data'!S898,Acceleration!$K$4:$K$110,0)),IF('Track Data'!O898=5,INDEX(Acceleration!$U$4:$U$110,MATCH('Track Data'!S898,Acceleration!$K$4:$K$110,0)),1)),U898)</f>
        <v>1</v>
      </c>
      <c r="AG898" s="16">
        <f>IF(AC898=0,IF(O898=4,INDEX(Acceleration!$T$4:$T$110,MATCH('Track Data'!S898,Acceleration!$K$4:$K$110,0)),IF('Track Data'!O898=3,INDEX(Acceleration!$S$4:$S$110,MATCH('Track Data'!S898,Acceleration!$K$4:$K$110,0)),'Track Data'!AF898)),'Track Data'!U898)</f>
        <v>4.8208358613991411</v>
      </c>
      <c r="AH898" s="16">
        <f>IF(AC898=0,IF(O898=2,INDEX(Acceleration!$R$4:$R$110,MATCH('Track Data'!S898,Acceleration!$K$4:$K$110,0)),IF('Track Data'!O898=1,INDEX(Acceleration!$Q$4:$Q$110,MATCH('Track Data'!S898,Acceleration!$K$4:$K$110,0)),'Track Data'!AG898)),'Track Data'!U898)</f>
        <v>4.8208358613991411</v>
      </c>
    </row>
    <row r="899" spans="2:34" x14ac:dyDescent="0.25">
      <c r="B899" s="16">
        <v>221.92400000000001</v>
      </c>
      <c r="C899" s="16">
        <v>8169</v>
      </c>
      <c r="D899" s="16">
        <v>896</v>
      </c>
      <c r="E899" s="113">
        <v>144</v>
      </c>
      <c r="F899" s="113">
        <v>135.6</v>
      </c>
      <c r="G899" s="113">
        <v>125.5</v>
      </c>
      <c r="H899" s="113">
        <f t="shared" si="96"/>
        <v>34.861111111111107</v>
      </c>
      <c r="I899" s="113">
        <v>14.8</v>
      </c>
      <c r="J899" s="113">
        <v>44.6</v>
      </c>
      <c r="K899" s="113">
        <v>54.1</v>
      </c>
      <c r="L899" s="183"/>
      <c r="M899" s="16">
        <v>896</v>
      </c>
      <c r="N899" s="16">
        <f t="shared" si="98"/>
        <v>2.2937824583009154E-2</v>
      </c>
      <c r="O899" s="16">
        <v>4</v>
      </c>
      <c r="P899" s="16">
        <f t="shared" si="94"/>
        <v>9.1833785004516724</v>
      </c>
      <c r="Q899" s="16">
        <f t="shared" si="99"/>
        <v>43.59611332718687</v>
      </c>
      <c r="R899" s="113">
        <f t="shared" si="95"/>
        <v>329.49099999999999</v>
      </c>
      <c r="S899" s="16">
        <f>IF(S898=15800,15800,ROUND((((Q899*60)/'Gearing Calculator'!$C$14)*'Track Data'!P899),-2))</f>
        <v>12100</v>
      </c>
      <c r="T899" s="16">
        <f t="shared" si="97"/>
        <v>4.8208358613991411</v>
      </c>
      <c r="U899" s="16">
        <f>IF(AC899=100,Braking!$AG$2354,IF(AC899=50,Braking!$AG$1179,IF(AC899=75,Braking!$AG$1767,0)))</f>
        <v>0</v>
      </c>
      <c r="V899" s="16">
        <f>0.5*'Gearing Calculator'!$C$15*'Gearing Calculator'!$C$20*'Gearing Calculator'!$W$20*('Track Data'!Q899^2)</f>
        <v>201.16173693155565</v>
      </c>
      <c r="W899" s="16">
        <f>('Gearing Calculator'!$U$9*'Track Data'!T899)+'Track Data'!V899</f>
        <v>1484.4682432360069</v>
      </c>
      <c r="X899" s="16">
        <f>('Gearing Calculator'!$U$9*9.81)*('Gearing Calculator'!$U$16/'Gearing Calculator'!$C$7)-(('Track Data'!W899)*('Gearing Calculator'!$U$17/'Gearing Calculator'!$C$7))</f>
        <v>592.02572755831886</v>
      </c>
      <c r="Y899" s="16">
        <f>('Gearing Calculator'!$U$9*9.81)*(('Gearing Calculator'!$C$7-'Gearing Calculator'!$U$16)/'Gearing Calculator'!$C$7)+(('Track Data'!W899)*('Gearing Calculator'!$U$17/'Gearing Calculator'!$C$7))</f>
        <v>2019.396272441681</v>
      </c>
      <c r="Z899" s="16">
        <f>((X899*COS('Gearing Calculator'!$C$21))/'Gearing Calculator'!$C$22)/2</f>
        <v>18.303563078254452</v>
      </c>
      <c r="AA899" s="16">
        <f>Y899/'Gearing Calculator'!$C$24</f>
        <v>28.197545111657071</v>
      </c>
      <c r="AB899" s="16">
        <f t="shared" si="100"/>
        <v>220.44508037715221</v>
      </c>
      <c r="AC899" s="16">
        <v>0</v>
      </c>
      <c r="AD899" s="16">
        <v>48.889993475913293</v>
      </c>
      <c r="AE899" s="16">
        <v>896</v>
      </c>
      <c r="AF899" s="16">
        <f>IF(AC899=0,IF(O899=6,INDEX(Acceleration!$V$4:$V$110,MATCH('Track Data'!S899,Acceleration!$K$4:$K$110,0)),IF('Track Data'!O899=5,INDEX(Acceleration!$U$4:$U$110,MATCH('Track Data'!S899,Acceleration!$K$4:$K$110,0)),1)),U899)</f>
        <v>1</v>
      </c>
      <c r="AG899" s="16">
        <f>IF(AC899=0,IF(O899=4,INDEX(Acceleration!$T$4:$T$110,MATCH('Track Data'!S899,Acceleration!$K$4:$K$110,0)),IF('Track Data'!O899=3,INDEX(Acceleration!$S$4:$S$110,MATCH('Track Data'!S899,Acceleration!$K$4:$K$110,0)),'Track Data'!AF899)),'Track Data'!U899)</f>
        <v>4.8208358613991411</v>
      </c>
      <c r="AH899" s="16">
        <f>IF(AC899=0,IF(O899=2,INDEX(Acceleration!$R$4:$R$110,MATCH('Track Data'!S899,Acceleration!$K$4:$K$110,0)),IF('Track Data'!O899=1,INDEX(Acceleration!$Q$4:$Q$110,MATCH('Track Data'!S899,Acceleration!$K$4:$K$110,0)),'Track Data'!AG899)),'Track Data'!U899)</f>
        <v>4.8208358613991411</v>
      </c>
    </row>
    <row r="900" spans="2:34" x14ac:dyDescent="0.25">
      <c r="B900" s="16">
        <v>221.95099999999999</v>
      </c>
      <c r="C900" s="16">
        <v>8170</v>
      </c>
      <c r="D900" s="16">
        <v>897</v>
      </c>
      <c r="E900" s="113">
        <v>144</v>
      </c>
      <c r="F900" s="113">
        <v>135.9</v>
      </c>
      <c r="G900" s="113">
        <v>125.8</v>
      </c>
      <c r="H900" s="113">
        <f t="shared" si="96"/>
        <v>34.944444444444443</v>
      </c>
      <c r="I900" s="113">
        <v>14.7</v>
      </c>
      <c r="J900" s="113">
        <v>44.46</v>
      </c>
      <c r="K900" s="113">
        <v>52.9</v>
      </c>
      <c r="L900" s="183"/>
      <c r="M900" s="16">
        <v>897</v>
      </c>
      <c r="N900" s="16">
        <f t="shared" si="98"/>
        <v>2.2937824583009154E-2</v>
      </c>
      <c r="O900" s="16">
        <v>4</v>
      </c>
      <c r="P900" s="16">
        <f t="shared" ref="P900:P963" si="101">VLOOKUP(O900,$AJ$5:$AK$10,2,FALSE)</f>
        <v>9.1833785004516724</v>
      </c>
      <c r="Q900" s="16">
        <f t="shared" si="99"/>
        <v>43.59611332718687</v>
      </c>
      <c r="R900" s="113">
        <f t="shared" ref="R900:R963" si="102">VLOOKUP(O900,$AJ$5:$AL$10,3,FALSE)</f>
        <v>329.49099999999999</v>
      </c>
      <c r="S900" s="16">
        <f>IF(S899=15800,15800,ROUND((((Q900*60)/'Gearing Calculator'!$C$14)*'Track Data'!P900),-2))</f>
        <v>12100</v>
      </c>
      <c r="T900" s="16">
        <f t="shared" si="97"/>
        <v>4.8208358613991411</v>
      </c>
      <c r="U900" s="16">
        <f>IF(AC900=100,Braking!$AG$2354,IF(AC900=50,Braking!$AG$1179,IF(AC900=75,Braking!$AG$1767,0)))</f>
        <v>0</v>
      </c>
      <c r="V900" s="16">
        <f>0.5*'Gearing Calculator'!$C$15*'Gearing Calculator'!$C$20*'Gearing Calculator'!$W$20*('Track Data'!Q900^2)</f>
        <v>201.16173693155565</v>
      </c>
      <c r="W900" s="16">
        <f>('Gearing Calculator'!$U$9*'Track Data'!T900)+'Track Data'!V900</f>
        <v>1484.4682432360069</v>
      </c>
      <c r="X900" s="16">
        <f>('Gearing Calculator'!$U$9*9.81)*('Gearing Calculator'!$U$16/'Gearing Calculator'!$C$7)-(('Track Data'!W900)*('Gearing Calculator'!$U$17/'Gearing Calculator'!$C$7))</f>
        <v>592.02572755831886</v>
      </c>
      <c r="Y900" s="16">
        <f>('Gearing Calculator'!$U$9*9.81)*(('Gearing Calculator'!$C$7-'Gearing Calculator'!$U$16)/'Gearing Calculator'!$C$7)+(('Track Data'!W900)*('Gearing Calculator'!$U$17/'Gearing Calculator'!$C$7))</f>
        <v>2019.396272441681</v>
      </c>
      <c r="Z900" s="16">
        <f>((X900*COS('Gearing Calculator'!$C$21))/'Gearing Calculator'!$C$22)/2</f>
        <v>18.303563078254452</v>
      </c>
      <c r="AA900" s="16">
        <f>Y900/'Gearing Calculator'!$C$24</f>
        <v>28.197545111657071</v>
      </c>
      <c r="AB900" s="16">
        <f t="shared" si="100"/>
        <v>220.44508037715221</v>
      </c>
      <c r="AC900" s="16">
        <v>0</v>
      </c>
      <c r="AD900" s="16">
        <v>48.889993475913293</v>
      </c>
      <c r="AE900" s="16">
        <v>897</v>
      </c>
      <c r="AF900" s="16">
        <f>IF(AC900=0,IF(O900=6,INDEX(Acceleration!$V$4:$V$110,MATCH('Track Data'!S900,Acceleration!$K$4:$K$110,0)),IF('Track Data'!O900=5,INDEX(Acceleration!$U$4:$U$110,MATCH('Track Data'!S900,Acceleration!$K$4:$K$110,0)),1)),U900)</f>
        <v>1</v>
      </c>
      <c r="AG900" s="16">
        <f>IF(AC900=0,IF(O900=4,INDEX(Acceleration!$T$4:$T$110,MATCH('Track Data'!S900,Acceleration!$K$4:$K$110,0)),IF('Track Data'!O900=3,INDEX(Acceleration!$S$4:$S$110,MATCH('Track Data'!S900,Acceleration!$K$4:$K$110,0)),'Track Data'!AF900)),'Track Data'!U900)</f>
        <v>4.8208358613991411</v>
      </c>
      <c r="AH900" s="16">
        <f>IF(AC900=0,IF(O900=2,INDEX(Acceleration!$R$4:$R$110,MATCH('Track Data'!S900,Acceleration!$K$4:$K$110,0)),IF('Track Data'!O900=1,INDEX(Acceleration!$Q$4:$Q$110,MATCH('Track Data'!S900,Acceleration!$K$4:$K$110,0)),'Track Data'!AG900)),'Track Data'!U900)</f>
        <v>4.8208358613991411</v>
      </c>
    </row>
    <row r="901" spans="2:34" x14ac:dyDescent="0.25">
      <c r="B901" s="16">
        <v>221.977</v>
      </c>
      <c r="C901" s="16">
        <v>8171</v>
      </c>
      <c r="D901" s="16">
        <v>898</v>
      </c>
      <c r="E901" s="113">
        <v>144</v>
      </c>
      <c r="F901" s="113">
        <v>136</v>
      </c>
      <c r="G901" s="113">
        <v>126</v>
      </c>
      <c r="H901" s="113">
        <f t="shared" ref="H901:H964" si="103">G901/3.6</f>
        <v>35</v>
      </c>
      <c r="I901" s="113">
        <v>15.3</v>
      </c>
      <c r="J901" s="113">
        <v>44.06</v>
      </c>
      <c r="K901" s="113">
        <v>52.3</v>
      </c>
      <c r="L901" s="183"/>
      <c r="M901" s="16">
        <v>898</v>
      </c>
      <c r="N901" s="16">
        <f t="shared" si="98"/>
        <v>2.2937824583009154E-2</v>
      </c>
      <c r="O901" s="16">
        <v>4</v>
      </c>
      <c r="P901" s="16">
        <f t="shared" si="101"/>
        <v>9.1833785004516724</v>
      </c>
      <c r="Q901" s="16">
        <f t="shared" si="99"/>
        <v>43.59611332718687</v>
      </c>
      <c r="R901" s="113">
        <f t="shared" si="102"/>
        <v>329.49099999999999</v>
      </c>
      <c r="S901" s="16">
        <f>IF(S900=15800,15800,ROUND((((Q901*60)/'Gearing Calculator'!$C$14)*'Track Data'!P901),-2))</f>
        <v>12100</v>
      </c>
      <c r="T901" s="16">
        <f t="shared" ref="T901:T964" si="104">AH901</f>
        <v>4.8208358613991411</v>
      </c>
      <c r="U901" s="16">
        <f>IF(AC901=100,Braking!$AG$2354,IF(AC901=50,Braking!$AG$1179,IF(AC901=75,Braking!$AG$1767,0)))</f>
        <v>0</v>
      </c>
      <c r="V901" s="16">
        <f>0.5*'Gearing Calculator'!$C$15*'Gearing Calculator'!$C$20*'Gearing Calculator'!$W$20*('Track Data'!Q901^2)</f>
        <v>201.16173693155565</v>
      </c>
      <c r="W901" s="16">
        <f>('Gearing Calculator'!$U$9*'Track Data'!T901)+'Track Data'!V901</f>
        <v>1484.4682432360069</v>
      </c>
      <c r="X901" s="16">
        <f>('Gearing Calculator'!$U$9*9.81)*('Gearing Calculator'!$U$16/'Gearing Calculator'!$C$7)-(('Track Data'!W901)*('Gearing Calculator'!$U$17/'Gearing Calculator'!$C$7))</f>
        <v>592.02572755831886</v>
      </c>
      <c r="Y901" s="16">
        <f>('Gearing Calculator'!$U$9*9.81)*(('Gearing Calculator'!$C$7-'Gearing Calculator'!$U$16)/'Gearing Calculator'!$C$7)+(('Track Data'!W901)*('Gearing Calculator'!$U$17/'Gearing Calculator'!$C$7))</f>
        <v>2019.396272441681</v>
      </c>
      <c r="Z901" s="16">
        <f>((X901*COS('Gearing Calculator'!$C$21))/'Gearing Calculator'!$C$22)/2</f>
        <v>18.303563078254452</v>
      </c>
      <c r="AA901" s="16">
        <f>Y901/'Gearing Calculator'!$C$24</f>
        <v>28.197545111657071</v>
      </c>
      <c r="AB901" s="16">
        <f t="shared" si="100"/>
        <v>220.44508037715221</v>
      </c>
      <c r="AC901" s="16">
        <v>0</v>
      </c>
      <c r="AD901" s="16">
        <v>48.889993475913293</v>
      </c>
      <c r="AE901" s="16">
        <v>898</v>
      </c>
      <c r="AF901" s="16">
        <f>IF(AC901=0,IF(O901=6,INDEX(Acceleration!$V$4:$V$110,MATCH('Track Data'!S901,Acceleration!$K$4:$K$110,0)),IF('Track Data'!O901=5,INDEX(Acceleration!$U$4:$U$110,MATCH('Track Data'!S901,Acceleration!$K$4:$K$110,0)),1)),U901)</f>
        <v>1</v>
      </c>
      <c r="AG901" s="16">
        <f>IF(AC901=0,IF(O901=4,INDEX(Acceleration!$T$4:$T$110,MATCH('Track Data'!S901,Acceleration!$K$4:$K$110,0)),IF('Track Data'!O901=3,INDEX(Acceleration!$S$4:$S$110,MATCH('Track Data'!S901,Acceleration!$K$4:$K$110,0)),'Track Data'!AF901)),'Track Data'!U901)</f>
        <v>4.8208358613991411</v>
      </c>
      <c r="AH901" s="16">
        <f>IF(AC901=0,IF(O901=2,INDEX(Acceleration!$R$4:$R$110,MATCH('Track Data'!S901,Acceleration!$K$4:$K$110,0)),IF('Track Data'!O901=1,INDEX(Acceleration!$Q$4:$Q$110,MATCH('Track Data'!S901,Acceleration!$K$4:$K$110,0)),'Track Data'!AG901)),'Track Data'!U901)</f>
        <v>4.8208358613991411</v>
      </c>
    </row>
    <row r="902" spans="2:34" x14ac:dyDescent="0.25">
      <c r="B902" s="16">
        <v>222.00399999999999</v>
      </c>
      <c r="C902" s="16">
        <v>8172</v>
      </c>
      <c r="D902" s="16">
        <v>899</v>
      </c>
      <c r="E902" s="113">
        <v>144</v>
      </c>
      <c r="F902" s="113">
        <v>136.19999999999999</v>
      </c>
      <c r="G902" s="113">
        <v>126.3</v>
      </c>
      <c r="H902" s="113">
        <f t="shared" si="103"/>
        <v>35.083333333333329</v>
      </c>
      <c r="I902" s="113">
        <v>16.3</v>
      </c>
      <c r="J902" s="113">
        <v>42.93</v>
      </c>
      <c r="K902" s="113">
        <v>51.4</v>
      </c>
      <c r="L902" s="183"/>
      <c r="M902" s="16">
        <v>899</v>
      </c>
      <c r="N902" s="16">
        <f t="shared" ref="N902:N965" si="105">1/Q902</f>
        <v>2.2937824583009154E-2</v>
      </c>
      <c r="O902" s="16">
        <v>4</v>
      </c>
      <c r="P902" s="16">
        <f t="shared" si="101"/>
        <v>9.1833785004516724</v>
      </c>
      <c r="Q902" s="16">
        <f t="shared" ref="Q902:Q965" si="106">IF(AD901=0,SQRT(Q901^2+(2*T901)),Q901)</f>
        <v>43.59611332718687</v>
      </c>
      <c r="R902" s="113">
        <f t="shared" si="102"/>
        <v>329.49099999999999</v>
      </c>
      <c r="S902" s="16">
        <f>IF(S901=15800,15800,ROUND((((Q902*60)/'Gearing Calculator'!$C$14)*'Track Data'!P902),-2))</f>
        <v>12100</v>
      </c>
      <c r="T902" s="16">
        <f t="shared" si="104"/>
        <v>4.8208358613991411</v>
      </c>
      <c r="U902" s="16">
        <f>IF(AC902=100,Braking!$AG$2354,IF(AC902=50,Braking!$AG$1179,IF(AC902=75,Braking!$AG$1767,0)))</f>
        <v>0</v>
      </c>
      <c r="V902" s="16">
        <f>0.5*'Gearing Calculator'!$C$15*'Gearing Calculator'!$C$20*'Gearing Calculator'!$W$20*('Track Data'!Q902^2)</f>
        <v>201.16173693155565</v>
      </c>
      <c r="W902" s="16">
        <f>('Gearing Calculator'!$U$9*'Track Data'!T902)+'Track Data'!V902</f>
        <v>1484.4682432360069</v>
      </c>
      <c r="X902" s="16">
        <f>('Gearing Calculator'!$U$9*9.81)*('Gearing Calculator'!$U$16/'Gearing Calculator'!$C$7)-(('Track Data'!W902)*('Gearing Calculator'!$U$17/'Gearing Calculator'!$C$7))</f>
        <v>592.02572755831886</v>
      </c>
      <c r="Y902" s="16">
        <f>('Gearing Calculator'!$U$9*9.81)*(('Gearing Calculator'!$C$7-'Gearing Calculator'!$U$16)/'Gearing Calculator'!$C$7)+(('Track Data'!W902)*('Gearing Calculator'!$U$17/'Gearing Calculator'!$C$7))</f>
        <v>2019.396272441681</v>
      </c>
      <c r="Z902" s="16">
        <f>((X902*COS('Gearing Calculator'!$C$21))/'Gearing Calculator'!$C$22)/2</f>
        <v>18.303563078254452</v>
      </c>
      <c r="AA902" s="16">
        <f>Y902/'Gearing Calculator'!$C$24</f>
        <v>28.197545111657071</v>
      </c>
      <c r="AB902" s="16">
        <f t="shared" si="100"/>
        <v>220.44508037715221</v>
      </c>
      <c r="AC902" s="16">
        <v>0</v>
      </c>
      <c r="AD902" s="16">
        <v>48.889993475913293</v>
      </c>
      <c r="AE902" s="16">
        <v>899</v>
      </c>
      <c r="AF902" s="16">
        <f>IF(AC902=0,IF(O902=6,INDEX(Acceleration!$V$4:$V$110,MATCH('Track Data'!S902,Acceleration!$K$4:$K$110,0)),IF('Track Data'!O902=5,INDEX(Acceleration!$U$4:$U$110,MATCH('Track Data'!S902,Acceleration!$K$4:$K$110,0)),1)),U902)</f>
        <v>1</v>
      </c>
      <c r="AG902" s="16">
        <f>IF(AC902=0,IF(O902=4,INDEX(Acceleration!$T$4:$T$110,MATCH('Track Data'!S902,Acceleration!$K$4:$K$110,0)),IF('Track Data'!O902=3,INDEX(Acceleration!$S$4:$S$110,MATCH('Track Data'!S902,Acceleration!$K$4:$K$110,0)),'Track Data'!AF902)),'Track Data'!U902)</f>
        <v>4.8208358613991411</v>
      </c>
      <c r="AH902" s="16">
        <f>IF(AC902=0,IF(O902=2,INDEX(Acceleration!$R$4:$R$110,MATCH('Track Data'!S902,Acceleration!$K$4:$K$110,0)),IF('Track Data'!O902=1,INDEX(Acceleration!$Q$4:$Q$110,MATCH('Track Data'!S902,Acceleration!$K$4:$K$110,0)),'Track Data'!AG902)),'Track Data'!U902)</f>
        <v>4.8208358613991411</v>
      </c>
    </row>
    <row r="903" spans="2:34" x14ac:dyDescent="0.25">
      <c r="B903" s="16">
        <v>222.03</v>
      </c>
      <c r="C903" s="16">
        <v>8173</v>
      </c>
      <c r="D903" s="16">
        <v>900</v>
      </c>
      <c r="E903" s="113">
        <v>144</v>
      </c>
      <c r="F903" s="113">
        <v>136.69999999999999</v>
      </c>
      <c r="G903" s="113">
        <v>126.6</v>
      </c>
      <c r="H903" s="113">
        <f t="shared" si="103"/>
        <v>35.166666666666664</v>
      </c>
      <c r="I903" s="113">
        <v>16.3</v>
      </c>
      <c r="J903" s="113">
        <v>39.47</v>
      </c>
      <c r="K903" s="113">
        <v>52.1</v>
      </c>
      <c r="L903" s="183"/>
      <c r="M903" s="16">
        <v>900</v>
      </c>
      <c r="N903" s="16">
        <f t="shared" si="105"/>
        <v>2.2937824583009154E-2</v>
      </c>
      <c r="O903" s="16">
        <v>4</v>
      </c>
      <c r="P903" s="16">
        <f t="shared" si="101"/>
        <v>9.1833785004516724</v>
      </c>
      <c r="Q903" s="16">
        <f t="shared" si="106"/>
        <v>43.59611332718687</v>
      </c>
      <c r="R903" s="113">
        <f t="shared" si="102"/>
        <v>329.49099999999999</v>
      </c>
      <c r="S903" s="16">
        <f>IF(S902=15800,15800,ROUND((((Q903*60)/'Gearing Calculator'!$C$14)*'Track Data'!P903),-2))</f>
        <v>12100</v>
      </c>
      <c r="T903" s="16">
        <f t="shared" si="104"/>
        <v>4.8208358613991411</v>
      </c>
      <c r="U903" s="16">
        <f>IF(AC903=100,Braking!$AG$2354,IF(AC903=50,Braking!$AG$1179,IF(AC903=75,Braking!$AG$1767,0)))</f>
        <v>0</v>
      </c>
      <c r="V903" s="16">
        <f>0.5*'Gearing Calculator'!$C$15*'Gearing Calculator'!$C$20*'Gearing Calculator'!$W$20*('Track Data'!Q903^2)</f>
        <v>201.16173693155565</v>
      </c>
      <c r="W903" s="16">
        <f>('Gearing Calculator'!$U$9*'Track Data'!T903)+'Track Data'!V903</f>
        <v>1484.4682432360069</v>
      </c>
      <c r="X903" s="16">
        <f>('Gearing Calculator'!$U$9*9.81)*('Gearing Calculator'!$U$16/'Gearing Calculator'!$C$7)-(('Track Data'!W903)*('Gearing Calculator'!$U$17/'Gearing Calculator'!$C$7))</f>
        <v>592.02572755831886</v>
      </c>
      <c r="Y903" s="16">
        <f>('Gearing Calculator'!$U$9*9.81)*(('Gearing Calculator'!$C$7-'Gearing Calculator'!$U$16)/'Gearing Calculator'!$C$7)+(('Track Data'!W903)*('Gearing Calculator'!$U$17/'Gearing Calculator'!$C$7))</f>
        <v>2019.396272441681</v>
      </c>
      <c r="Z903" s="16">
        <f>((X903*COS('Gearing Calculator'!$C$21))/'Gearing Calculator'!$C$22)/2</f>
        <v>18.303563078254452</v>
      </c>
      <c r="AA903" s="16">
        <f>Y903/'Gearing Calculator'!$C$24</f>
        <v>28.197545111657071</v>
      </c>
      <c r="AB903" s="16">
        <f t="shared" si="100"/>
        <v>220.44508037715221</v>
      </c>
      <c r="AC903" s="16">
        <v>0</v>
      </c>
      <c r="AD903" s="16">
        <v>48.889993475913293</v>
      </c>
      <c r="AE903" s="16">
        <v>900</v>
      </c>
      <c r="AF903" s="16">
        <f>IF(AC903=0,IF(O903=6,INDEX(Acceleration!$V$4:$V$110,MATCH('Track Data'!S903,Acceleration!$K$4:$K$110,0)),IF('Track Data'!O903=5,INDEX(Acceleration!$U$4:$U$110,MATCH('Track Data'!S903,Acceleration!$K$4:$K$110,0)),1)),U903)</f>
        <v>1</v>
      </c>
      <c r="AG903" s="16">
        <f>IF(AC903=0,IF(O903=4,INDEX(Acceleration!$T$4:$T$110,MATCH('Track Data'!S903,Acceleration!$K$4:$K$110,0)),IF('Track Data'!O903=3,INDEX(Acceleration!$S$4:$S$110,MATCH('Track Data'!S903,Acceleration!$K$4:$K$110,0)),'Track Data'!AF903)),'Track Data'!U903)</f>
        <v>4.8208358613991411</v>
      </c>
      <c r="AH903" s="16">
        <f>IF(AC903=0,IF(O903=2,INDEX(Acceleration!$R$4:$R$110,MATCH('Track Data'!S903,Acceleration!$K$4:$K$110,0)),IF('Track Data'!O903=1,INDEX(Acceleration!$Q$4:$Q$110,MATCH('Track Data'!S903,Acceleration!$K$4:$K$110,0)),'Track Data'!AG903)),'Track Data'!U903)</f>
        <v>4.8208358613991411</v>
      </c>
    </row>
    <row r="904" spans="2:34" x14ac:dyDescent="0.25">
      <c r="B904" s="16">
        <v>222.05600000000001</v>
      </c>
      <c r="C904" s="16">
        <v>8174</v>
      </c>
      <c r="D904" s="16">
        <v>901</v>
      </c>
      <c r="E904" s="113">
        <v>145</v>
      </c>
      <c r="F904" s="113">
        <v>136.80000000000001</v>
      </c>
      <c r="G904" s="113">
        <v>126.9</v>
      </c>
      <c r="H904" s="113">
        <f t="shared" si="103"/>
        <v>35.25</v>
      </c>
      <c r="I904" s="113">
        <v>16</v>
      </c>
      <c r="J904" s="113">
        <v>41.35</v>
      </c>
      <c r="K904" s="113">
        <v>52.6</v>
      </c>
      <c r="L904" s="183"/>
      <c r="M904" s="16">
        <v>901</v>
      </c>
      <c r="N904" s="16">
        <f t="shared" si="105"/>
        <v>2.2937824583009154E-2</v>
      </c>
      <c r="O904" s="16">
        <v>4</v>
      </c>
      <c r="P904" s="16">
        <f t="shared" si="101"/>
        <v>9.1833785004516724</v>
      </c>
      <c r="Q904" s="16">
        <f t="shared" si="106"/>
        <v>43.59611332718687</v>
      </c>
      <c r="R904" s="113">
        <f t="shared" si="102"/>
        <v>329.49099999999999</v>
      </c>
      <c r="S904" s="16">
        <f>IF(S903=15800,15800,ROUND((((Q904*60)/'Gearing Calculator'!$C$14)*'Track Data'!P904),-2))</f>
        <v>12100</v>
      </c>
      <c r="T904" s="16">
        <f t="shared" si="104"/>
        <v>4.8208358613991411</v>
      </c>
      <c r="U904" s="16">
        <f>IF(AC904=100,Braking!$AG$2354,IF(AC904=50,Braking!$AG$1179,IF(AC904=75,Braking!$AG$1767,0)))</f>
        <v>0</v>
      </c>
      <c r="V904" s="16">
        <f>0.5*'Gearing Calculator'!$C$15*'Gearing Calculator'!$C$20*'Gearing Calculator'!$W$20*('Track Data'!Q904^2)</f>
        <v>201.16173693155565</v>
      </c>
      <c r="W904" s="16">
        <f>('Gearing Calculator'!$U$9*'Track Data'!T904)+'Track Data'!V904</f>
        <v>1484.4682432360069</v>
      </c>
      <c r="X904" s="16">
        <f>('Gearing Calculator'!$U$9*9.81)*('Gearing Calculator'!$U$16/'Gearing Calculator'!$C$7)-(('Track Data'!W904)*('Gearing Calculator'!$U$17/'Gearing Calculator'!$C$7))</f>
        <v>592.02572755831886</v>
      </c>
      <c r="Y904" s="16">
        <f>('Gearing Calculator'!$U$9*9.81)*(('Gearing Calculator'!$C$7-'Gearing Calculator'!$U$16)/'Gearing Calculator'!$C$7)+(('Track Data'!W904)*('Gearing Calculator'!$U$17/'Gearing Calculator'!$C$7))</f>
        <v>2019.396272441681</v>
      </c>
      <c r="Z904" s="16">
        <f>((X904*COS('Gearing Calculator'!$C$21))/'Gearing Calculator'!$C$22)/2</f>
        <v>18.303563078254452</v>
      </c>
      <c r="AA904" s="16">
        <f>Y904/'Gearing Calculator'!$C$24</f>
        <v>28.197545111657071</v>
      </c>
      <c r="AB904" s="16">
        <f t="shared" si="100"/>
        <v>220.44508037715221</v>
      </c>
      <c r="AC904" s="16">
        <v>0</v>
      </c>
      <c r="AD904" s="16">
        <v>48.889993475913293</v>
      </c>
      <c r="AE904" s="16">
        <v>901</v>
      </c>
      <c r="AF904" s="16">
        <f>IF(AC904=0,IF(O904=6,INDEX(Acceleration!$V$4:$V$110,MATCH('Track Data'!S904,Acceleration!$K$4:$K$110,0)),IF('Track Data'!O904=5,INDEX(Acceleration!$U$4:$U$110,MATCH('Track Data'!S904,Acceleration!$K$4:$K$110,0)),1)),U904)</f>
        <v>1</v>
      </c>
      <c r="AG904" s="16">
        <f>IF(AC904=0,IF(O904=4,INDEX(Acceleration!$T$4:$T$110,MATCH('Track Data'!S904,Acceleration!$K$4:$K$110,0)),IF('Track Data'!O904=3,INDEX(Acceleration!$S$4:$S$110,MATCH('Track Data'!S904,Acceleration!$K$4:$K$110,0)),'Track Data'!AF904)),'Track Data'!U904)</f>
        <v>4.8208358613991411</v>
      </c>
      <c r="AH904" s="16">
        <f>IF(AC904=0,IF(O904=2,INDEX(Acceleration!$R$4:$R$110,MATCH('Track Data'!S904,Acceleration!$K$4:$K$110,0)),IF('Track Data'!O904=1,INDEX(Acceleration!$Q$4:$Q$110,MATCH('Track Data'!S904,Acceleration!$K$4:$K$110,0)),'Track Data'!AG904)),'Track Data'!U904)</f>
        <v>4.8208358613991411</v>
      </c>
    </row>
    <row r="905" spans="2:34" x14ac:dyDescent="0.25">
      <c r="B905" s="16">
        <v>222.083</v>
      </c>
      <c r="C905" s="16">
        <v>8175</v>
      </c>
      <c r="D905" s="16">
        <v>902</v>
      </c>
      <c r="E905" s="113">
        <v>146</v>
      </c>
      <c r="F905" s="113">
        <v>136.80000000000001</v>
      </c>
      <c r="G905" s="113">
        <v>127.2</v>
      </c>
      <c r="H905" s="113">
        <f t="shared" si="103"/>
        <v>35.333333333333336</v>
      </c>
      <c r="I905" s="113">
        <v>15.4</v>
      </c>
      <c r="J905" s="113">
        <v>43.75</v>
      </c>
      <c r="K905" s="113">
        <v>51.7</v>
      </c>
      <c r="L905" s="183"/>
      <c r="M905" s="16">
        <v>902</v>
      </c>
      <c r="N905" s="16">
        <f t="shared" si="105"/>
        <v>2.2937824583009154E-2</v>
      </c>
      <c r="O905" s="16">
        <v>4</v>
      </c>
      <c r="P905" s="16">
        <f t="shared" si="101"/>
        <v>9.1833785004516724</v>
      </c>
      <c r="Q905" s="16">
        <f t="shared" si="106"/>
        <v>43.59611332718687</v>
      </c>
      <c r="R905" s="113">
        <f t="shared" si="102"/>
        <v>329.49099999999999</v>
      </c>
      <c r="S905" s="16">
        <f>IF(S904=15800,15800,ROUND((((Q905*60)/'Gearing Calculator'!$C$14)*'Track Data'!P905),-2))</f>
        <v>12100</v>
      </c>
      <c r="T905" s="16">
        <f t="shared" si="104"/>
        <v>4.8208358613991411</v>
      </c>
      <c r="U905" s="16">
        <f>IF(AC905=100,Braking!$AG$2354,IF(AC905=50,Braking!$AG$1179,IF(AC905=75,Braking!$AG$1767,0)))</f>
        <v>0</v>
      </c>
      <c r="V905" s="16">
        <f>0.5*'Gearing Calculator'!$C$15*'Gearing Calculator'!$C$20*'Gearing Calculator'!$W$20*('Track Data'!Q905^2)</f>
        <v>201.16173693155565</v>
      </c>
      <c r="W905" s="16">
        <f>('Gearing Calculator'!$U$9*'Track Data'!T905)+'Track Data'!V905</f>
        <v>1484.4682432360069</v>
      </c>
      <c r="X905" s="16">
        <f>('Gearing Calculator'!$U$9*9.81)*('Gearing Calculator'!$U$16/'Gearing Calculator'!$C$7)-(('Track Data'!W905)*('Gearing Calculator'!$U$17/'Gearing Calculator'!$C$7))</f>
        <v>592.02572755831886</v>
      </c>
      <c r="Y905" s="16">
        <f>('Gearing Calculator'!$U$9*9.81)*(('Gearing Calculator'!$C$7-'Gearing Calculator'!$U$16)/'Gearing Calculator'!$C$7)+(('Track Data'!W905)*('Gearing Calculator'!$U$17/'Gearing Calculator'!$C$7))</f>
        <v>2019.396272441681</v>
      </c>
      <c r="Z905" s="16">
        <f>((X905*COS('Gearing Calculator'!$C$21))/'Gearing Calculator'!$C$22)/2</f>
        <v>18.303563078254452</v>
      </c>
      <c r="AA905" s="16">
        <f>Y905/'Gearing Calculator'!$C$24</f>
        <v>28.197545111657071</v>
      </c>
      <c r="AB905" s="16">
        <f t="shared" si="100"/>
        <v>220.44508037715221</v>
      </c>
      <c r="AC905" s="16">
        <v>0</v>
      </c>
      <c r="AD905" s="16">
        <v>48.889993475913293</v>
      </c>
      <c r="AE905" s="16">
        <v>902</v>
      </c>
      <c r="AF905" s="16">
        <f>IF(AC905=0,IF(O905=6,INDEX(Acceleration!$V$4:$V$110,MATCH('Track Data'!S905,Acceleration!$K$4:$K$110,0)),IF('Track Data'!O905=5,INDEX(Acceleration!$U$4:$U$110,MATCH('Track Data'!S905,Acceleration!$K$4:$K$110,0)),1)),U905)</f>
        <v>1</v>
      </c>
      <c r="AG905" s="16">
        <f>IF(AC905=0,IF(O905=4,INDEX(Acceleration!$T$4:$T$110,MATCH('Track Data'!S905,Acceleration!$K$4:$K$110,0)),IF('Track Data'!O905=3,INDEX(Acceleration!$S$4:$S$110,MATCH('Track Data'!S905,Acceleration!$K$4:$K$110,0)),'Track Data'!AF905)),'Track Data'!U905)</f>
        <v>4.8208358613991411</v>
      </c>
      <c r="AH905" s="16">
        <f>IF(AC905=0,IF(O905=2,INDEX(Acceleration!$R$4:$R$110,MATCH('Track Data'!S905,Acceleration!$K$4:$K$110,0)),IF('Track Data'!O905=1,INDEX(Acceleration!$Q$4:$Q$110,MATCH('Track Data'!S905,Acceleration!$K$4:$K$110,0)),'Track Data'!AG905)),'Track Data'!U905)</f>
        <v>4.8208358613991411</v>
      </c>
    </row>
    <row r="906" spans="2:34" x14ac:dyDescent="0.25">
      <c r="B906" s="16">
        <v>222.10900000000001</v>
      </c>
      <c r="C906" s="16">
        <v>8176</v>
      </c>
      <c r="D906" s="16">
        <v>903</v>
      </c>
      <c r="E906" s="113">
        <v>145</v>
      </c>
      <c r="F906" s="113">
        <v>136.9</v>
      </c>
      <c r="G906" s="113">
        <v>127.5</v>
      </c>
      <c r="H906" s="113">
        <f t="shared" si="103"/>
        <v>35.416666666666664</v>
      </c>
      <c r="I906" s="113">
        <v>16.100000000000001</v>
      </c>
      <c r="J906" s="113">
        <v>41.87</v>
      </c>
      <c r="K906" s="113">
        <v>42.9</v>
      </c>
      <c r="L906" s="183"/>
      <c r="M906" s="16">
        <v>903</v>
      </c>
      <c r="N906" s="16">
        <f t="shared" si="105"/>
        <v>2.2937824583009154E-2</v>
      </c>
      <c r="O906" s="16">
        <v>4</v>
      </c>
      <c r="P906" s="16">
        <f t="shared" si="101"/>
        <v>9.1833785004516724</v>
      </c>
      <c r="Q906" s="16">
        <f t="shared" si="106"/>
        <v>43.59611332718687</v>
      </c>
      <c r="R906" s="113">
        <f t="shared" si="102"/>
        <v>329.49099999999999</v>
      </c>
      <c r="S906" s="16">
        <f>IF(S905=15800,15800,ROUND((((Q906*60)/'Gearing Calculator'!$C$14)*'Track Data'!P906),-2))</f>
        <v>12100</v>
      </c>
      <c r="T906" s="16">
        <f t="shared" si="104"/>
        <v>4.8208358613991411</v>
      </c>
      <c r="U906" s="16">
        <f>IF(AC906=100,Braking!$AG$2354,IF(AC906=50,Braking!$AG$1179,IF(AC906=75,Braking!$AG$1767,0)))</f>
        <v>0</v>
      </c>
      <c r="V906" s="16">
        <f>0.5*'Gearing Calculator'!$C$15*'Gearing Calculator'!$C$20*'Gearing Calculator'!$W$20*('Track Data'!Q906^2)</f>
        <v>201.16173693155565</v>
      </c>
      <c r="W906" s="16">
        <f>('Gearing Calculator'!$U$9*'Track Data'!T906)+'Track Data'!V906</f>
        <v>1484.4682432360069</v>
      </c>
      <c r="X906" s="16">
        <f>('Gearing Calculator'!$U$9*9.81)*('Gearing Calculator'!$U$16/'Gearing Calculator'!$C$7)-(('Track Data'!W906)*('Gearing Calculator'!$U$17/'Gearing Calculator'!$C$7))</f>
        <v>592.02572755831886</v>
      </c>
      <c r="Y906" s="16">
        <f>('Gearing Calculator'!$U$9*9.81)*(('Gearing Calculator'!$C$7-'Gearing Calculator'!$U$16)/'Gearing Calculator'!$C$7)+(('Track Data'!W906)*('Gearing Calculator'!$U$17/'Gearing Calculator'!$C$7))</f>
        <v>2019.396272441681</v>
      </c>
      <c r="Z906" s="16">
        <f>((X906*COS('Gearing Calculator'!$C$21))/'Gearing Calculator'!$C$22)/2</f>
        <v>18.303563078254452</v>
      </c>
      <c r="AA906" s="16">
        <f>Y906/'Gearing Calculator'!$C$24</f>
        <v>28.197545111657071</v>
      </c>
      <c r="AB906" s="16">
        <f t="shared" si="100"/>
        <v>220.44508037715221</v>
      </c>
      <c r="AC906" s="16">
        <v>0</v>
      </c>
      <c r="AD906" s="16">
        <v>48.889993475913293</v>
      </c>
      <c r="AE906" s="16">
        <v>903</v>
      </c>
      <c r="AF906" s="16">
        <f>IF(AC906=0,IF(O906=6,INDEX(Acceleration!$V$4:$V$110,MATCH('Track Data'!S906,Acceleration!$K$4:$K$110,0)),IF('Track Data'!O906=5,INDEX(Acceleration!$U$4:$U$110,MATCH('Track Data'!S906,Acceleration!$K$4:$K$110,0)),1)),U906)</f>
        <v>1</v>
      </c>
      <c r="AG906" s="16">
        <f>IF(AC906=0,IF(O906=4,INDEX(Acceleration!$T$4:$T$110,MATCH('Track Data'!S906,Acceleration!$K$4:$K$110,0)),IF('Track Data'!O906=3,INDEX(Acceleration!$S$4:$S$110,MATCH('Track Data'!S906,Acceleration!$K$4:$K$110,0)),'Track Data'!AF906)),'Track Data'!U906)</f>
        <v>4.8208358613991411</v>
      </c>
      <c r="AH906" s="16">
        <f>IF(AC906=0,IF(O906=2,INDEX(Acceleration!$R$4:$R$110,MATCH('Track Data'!S906,Acceleration!$K$4:$K$110,0)),IF('Track Data'!O906=1,INDEX(Acceleration!$Q$4:$Q$110,MATCH('Track Data'!S906,Acceleration!$K$4:$K$110,0)),'Track Data'!AG906)),'Track Data'!U906)</f>
        <v>4.8208358613991411</v>
      </c>
    </row>
    <row r="907" spans="2:34" x14ac:dyDescent="0.25">
      <c r="B907" s="16">
        <v>222.13499999999999</v>
      </c>
      <c r="C907" s="16">
        <v>8177</v>
      </c>
      <c r="D907" s="16">
        <v>904</v>
      </c>
      <c r="E907" s="113">
        <v>145</v>
      </c>
      <c r="F907" s="113">
        <v>137.1</v>
      </c>
      <c r="G907" s="113">
        <v>127.8</v>
      </c>
      <c r="H907" s="113">
        <f t="shared" si="103"/>
        <v>35.5</v>
      </c>
      <c r="I907" s="113">
        <v>17.100000000000001</v>
      </c>
      <c r="J907" s="113">
        <v>38.619999999999997</v>
      </c>
      <c r="K907" s="113">
        <v>29.7</v>
      </c>
      <c r="L907" s="183"/>
      <c r="M907" s="16">
        <v>904</v>
      </c>
      <c r="N907" s="16">
        <f t="shared" si="105"/>
        <v>2.2937824583009154E-2</v>
      </c>
      <c r="O907" s="16">
        <v>4</v>
      </c>
      <c r="P907" s="16">
        <f t="shared" si="101"/>
        <v>9.1833785004516724</v>
      </c>
      <c r="Q907" s="16">
        <f t="shared" si="106"/>
        <v>43.59611332718687</v>
      </c>
      <c r="R907" s="113">
        <f t="shared" si="102"/>
        <v>329.49099999999999</v>
      </c>
      <c r="S907" s="16">
        <f>IF(S906=15800,15800,ROUND((((Q907*60)/'Gearing Calculator'!$C$14)*'Track Data'!P907),-2))</f>
        <v>12100</v>
      </c>
      <c r="T907" s="16">
        <f t="shared" si="104"/>
        <v>4.8208358613991411</v>
      </c>
      <c r="U907" s="16">
        <f>IF(AC907=100,Braking!$AG$2354,IF(AC907=50,Braking!$AG$1179,IF(AC907=75,Braking!$AG$1767,0)))</f>
        <v>0</v>
      </c>
      <c r="V907" s="16">
        <f>0.5*'Gearing Calculator'!$C$15*'Gearing Calculator'!$C$20*'Gearing Calculator'!$W$20*('Track Data'!Q907^2)</f>
        <v>201.16173693155565</v>
      </c>
      <c r="W907" s="16">
        <f>('Gearing Calculator'!$U$9*'Track Data'!T907)+'Track Data'!V907</f>
        <v>1484.4682432360069</v>
      </c>
      <c r="X907" s="16">
        <f>('Gearing Calculator'!$U$9*9.81)*('Gearing Calculator'!$U$16/'Gearing Calculator'!$C$7)-(('Track Data'!W907)*('Gearing Calculator'!$U$17/'Gearing Calculator'!$C$7))</f>
        <v>592.02572755831886</v>
      </c>
      <c r="Y907" s="16">
        <f>('Gearing Calculator'!$U$9*9.81)*(('Gearing Calculator'!$C$7-'Gearing Calculator'!$U$16)/'Gearing Calculator'!$C$7)+(('Track Data'!W907)*('Gearing Calculator'!$U$17/'Gearing Calculator'!$C$7))</f>
        <v>2019.396272441681</v>
      </c>
      <c r="Z907" s="16">
        <f>((X907*COS('Gearing Calculator'!$C$21))/'Gearing Calculator'!$C$22)/2</f>
        <v>18.303563078254452</v>
      </c>
      <c r="AA907" s="16">
        <f>Y907/'Gearing Calculator'!$C$24</f>
        <v>28.197545111657071</v>
      </c>
      <c r="AB907" s="16">
        <f t="shared" si="100"/>
        <v>220.44508037715221</v>
      </c>
      <c r="AC907" s="16">
        <v>0</v>
      </c>
      <c r="AD907" s="16">
        <v>48.889993475913293</v>
      </c>
      <c r="AE907" s="16">
        <v>904</v>
      </c>
      <c r="AF907" s="16">
        <f>IF(AC907=0,IF(O907=6,INDEX(Acceleration!$V$4:$V$110,MATCH('Track Data'!S907,Acceleration!$K$4:$K$110,0)),IF('Track Data'!O907=5,INDEX(Acceleration!$U$4:$U$110,MATCH('Track Data'!S907,Acceleration!$K$4:$K$110,0)),1)),U907)</f>
        <v>1</v>
      </c>
      <c r="AG907" s="16">
        <f>IF(AC907=0,IF(O907=4,INDEX(Acceleration!$T$4:$T$110,MATCH('Track Data'!S907,Acceleration!$K$4:$K$110,0)),IF('Track Data'!O907=3,INDEX(Acceleration!$S$4:$S$110,MATCH('Track Data'!S907,Acceleration!$K$4:$K$110,0)),'Track Data'!AF907)),'Track Data'!U907)</f>
        <v>4.8208358613991411</v>
      </c>
      <c r="AH907" s="16">
        <f>IF(AC907=0,IF(O907=2,INDEX(Acceleration!$R$4:$R$110,MATCH('Track Data'!S907,Acceleration!$K$4:$K$110,0)),IF('Track Data'!O907=1,INDEX(Acceleration!$Q$4:$Q$110,MATCH('Track Data'!S907,Acceleration!$K$4:$K$110,0)),'Track Data'!AG907)),'Track Data'!U907)</f>
        <v>4.8208358613991411</v>
      </c>
    </row>
    <row r="908" spans="2:34" x14ac:dyDescent="0.25">
      <c r="B908" s="16">
        <v>222.161</v>
      </c>
      <c r="C908" s="16">
        <v>8178</v>
      </c>
      <c r="D908" s="16">
        <v>905</v>
      </c>
      <c r="E908" s="113">
        <v>146</v>
      </c>
      <c r="F908" s="113">
        <v>137.30000000000001</v>
      </c>
      <c r="G908" s="113">
        <v>128.19999999999999</v>
      </c>
      <c r="H908" s="113">
        <f t="shared" si="103"/>
        <v>35.611111111111107</v>
      </c>
      <c r="I908" s="113">
        <v>15.6</v>
      </c>
      <c r="J908" s="113">
        <v>37.11</v>
      </c>
      <c r="K908" s="113">
        <v>18.3</v>
      </c>
      <c r="L908" s="183"/>
      <c r="M908" s="16">
        <v>905</v>
      </c>
      <c r="N908" s="16">
        <f t="shared" si="105"/>
        <v>2.2937824583009154E-2</v>
      </c>
      <c r="O908" s="16">
        <v>4</v>
      </c>
      <c r="P908" s="16">
        <f t="shared" si="101"/>
        <v>9.1833785004516724</v>
      </c>
      <c r="Q908" s="16">
        <f t="shared" si="106"/>
        <v>43.59611332718687</v>
      </c>
      <c r="R908" s="113">
        <f t="shared" si="102"/>
        <v>329.49099999999999</v>
      </c>
      <c r="S908" s="16">
        <f>IF(S907=15800,15800,ROUND((((Q908*60)/'Gearing Calculator'!$C$14)*'Track Data'!P908),-2))</f>
        <v>12100</v>
      </c>
      <c r="T908" s="16">
        <f t="shared" si="104"/>
        <v>4.8208358613991411</v>
      </c>
      <c r="U908" s="16">
        <f>IF(AC908=100,Braking!$AG$2354,IF(AC908=50,Braking!$AG$1179,IF(AC908=75,Braking!$AG$1767,0)))</f>
        <v>0</v>
      </c>
      <c r="V908" s="16">
        <f>0.5*'Gearing Calculator'!$C$15*'Gearing Calculator'!$C$20*'Gearing Calculator'!$W$20*('Track Data'!Q908^2)</f>
        <v>201.16173693155565</v>
      </c>
      <c r="W908" s="16">
        <f>('Gearing Calculator'!$U$9*'Track Data'!T908)+'Track Data'!V908</f>
        <v>1484.4682432360069</v>
      </c>
      <c r="X908" s="16">
        <f>('Gearing Calculator'!$U$9*9.81)*('Gearing Calculator'!$U$16/'Gearing Calculator'!$C$7)-(('Track Data'!W908)*('Gearing Calculator'!$U$17/'Gearing Calculator'!$C$7))</f>
        <v>592.02572755831886</v>
      </c>
      <c r="Y908" s="16">
        <f>('Gearing Calculator'!$U$9*9.81)*(('Gearing Calculator'!$C$7-'Gearing Calculator'!$U$16)/'Gearing Calculator'!$C$7)+(('Track Data'!W908)*('Gearing Calculator'!$U$17/'Gearing Calculator'!$C$7))</f>
        <v>2019.396272441681</v>
      </c>
      <c r="Z908" s="16">
        <f>((X908*COS('Gearing Calculator'!$C$21))/'Gearing Calculator'!$C$22)/2</f>
        <v>18.303563078254452</v>
      </c>
      <c r="AA908" s="16">
        <f>Y908/'Gearing Calculator'!$C$24</f>
        <v>28.197545111657071</v>
      </c>
      <c r="AB908" s="16">
        <f t="shared" si="100"/>
        <v>220.44508037715221</v>
      </c>
      <c r="AC908" s="16">
        <v>0</v>
      </c>
      <c r="AD908" s="16">
        <v>48.889993475913293</v>
      </c>
      <c r="AE908" s="16">
        <v>905</v>
      </c>
      <c r="AF908" s="16">
        <f>IF(AC908=0,IF(O908=6,INDEX(Acceleration!$V$4:$V$110,MATCH('Track Data'!S908,Acceleration!$K$4:$K$110,0)),IF('Track Data'!O908=5,INDEX(Acceleration!$U$4:$U$110,MATCH('Track Data'!S908,Acceleration!$K$4:$K$110,0)),1)),U908)</f>
        <v>1</v>
      </c>
      <c r="AG908" s="16">
        <f>IF(AC908=0,IF(O908=4,INDEX(Acceleration!$T$4:$T$110,MATCH('Track Data'!S908,Acceleration!$K$4:$K$110,0)),IF('Track Data'!O908=3,INDEX(Acceleration!$S$4:$S$110,MATCH('Track Data'!S908,Acceleration!$K$4:$K$110,0)),'Track Data'!AF908)),'Track Data'!U908)</f>
        <v>4.8208358613991411</v>
      </c>
      <c r="AH908" s="16">
        <f>IF(AC908=0,IF(O908=2,INDEX(Acceleration!$R$4:$R$110,MATCH('Track Data'!S908,Acceleration!$K$4:$K$110,0)),IF('Track Data'!O908=1,INDEX(Acceleration!$Q$4:$Q$110,MATCH('Track Data'!S908,Acceleration!$K$4:$K$110,0)),'Track Data'!AG908)),'Track Data'!U908)</f>
        <v>4.8208358613991411</v>
      </c>
    </row>
    <row r="909" spans="2:34" x14ac:dyDescent="0.25">
      <c r="B909" s="16">
        <v>222.18799999999999</v>
      </c>
      <c r="C909" s="16">
        <v>8179</v>
      </c>
      <c r="D909" s="16">
        <v>906</v>
      </c>
      <c r="E909" s="113">
        <v>147</v>
      </c>
      <c r="F909" s="113">
        <v>137.4</v>
      </c>
      <c r="G909" s="113">
        <v>128.4</v>
      </c>
      <c r="H909" s="113">
        <f t="shared" si="103"/>
        <v>35.666666666666664</v>
      </c>
      <c r="I909" s="113">
        <v>13.4</v>
      </c>
      <c r="J909" s="113">
        <v>34.82</v>
      </c>
      <c r="K909" s="113">
        <v>18.3</v>
      </c>
      <c r="L909" s="183"/>
      <c r="M909" s="16">
        <v>906</v>
      </c>
      <c r="N909" s="16">
        <f t="shared" si="105"/>
        <v>2.2937824583009154E-2</v>
      </c>
      <c r="O909" s="16">
        <v>4</v>
      </c>
      <c r="P909" s="16">
        <f t="shared" si="101"/>
        <v>9.1833785004516724</v>
      </c>
      <c r="Q909" s="16">
        <f t="shared" si="106"/>
        <v>43.59611332718687</v>
      </c>
      <c r="R909" s="113">
        <f t="shared" si="102"/>
        <v>329.49099999999999</v>
      </c>
      <c r="S909" s="16">
        <f>IF(S908=15800,15800,ROUND((((Q909*60)/'Gearing Calculator'!$C$14)*'Track Data'!P909),-2))</f>
        <v>12100</v>
      </c>
      <c r="T909" s="16">
        <f t="shared" si="104"/>
        <v>4.8208358613991411</v>
      </c>
      <c r="U909" s="16">
        <f>IF(AC909=100,Braking!$AG$2354,IF(AC909=50,Braking!$AG$1179,IF(AC909=75,Braking!$AG$1767,0)))</f>
        <v>0</v>
      </c>
      <c r="V909" s="16">
        <f>0.5*'Gearing Calculator'!$C$15*'Gearing Calculator'!$C$20*'Gearing Calculator'!$W$20*('Track Data'!Q909^2)</f>
        <v>201.16173693155565</v>
      </c>
      <c r="W909" s="16">
        <f>('Gearing Calculator'!$U$9*'Track Data'!T909)+'Track Data'!V909</f>
        <v>1484.4682432360069</v>
      </c>
      <c r="X909" s="16">
        <f>('Gearing Calculator'!$U$9*9.81)*('Gearing Calculator'!$U$16/'Gearing Calculator'!$C$7)-(('Track Data'!W909)*('Gearing Calculator'!$U$17/'Gearing Calculator'!$C$7))</f>
        <v>592.02572755831886</v>
      </c>
      <c r="Y909" s="16">
        <f>('Gearing Calculator'!$U$9*9.81)*(('Gearing Calculator'!$C$7-'Gearing Calculator'!$U$16)/'Gearing Calculator'!$C$7)+(('Track Data'!W909)*('Gearing Calculator'!$U$17/'Gearing Calculator'!$C$7))</f>
        <v>2019.396272441681</v>
      </c>
      <c r="Z909" s="16">
        <f>((X909*COS('Gearing Calculator'!$C$21))/'Gearing Calculator'!$C$22)/2</f>
        <v>18.303563078254452</v>
      </c>
      <c r="AA909" s="16">
        <f>Y909/'Gearing Calculator'!$C$24</f>
        <v>28.197545111657071</v>
      </c>
      <c r="AB909" s="16">
        <f t="shared" si="100"/>
        <v>220.44508037715221</v>
      </c>
      <c r="AC909" s="16">
        <v>0</v>
      </c>
      <c r="AD909" s="16">
        <v>48.889993475913293</v>
      </c>
      <c r="AE909" s="16">
        <v>906</v>
      </c>
      <c r="AF909" s="16">
        <f>IF(AC909=0,IF(O909=6,INDEX(Acceleration!$V$4:$V$110,MATCH('Track Data'!S909,Acceleration!$K$4:$K$110,0)),IF('Track Data'!O909=5,INDEX(Acceleration!$U$4:$U$110,MATCH('Track Data'!S909,Acceleration!$K$4:$K$110,0)),1)),U909)</f>
        <v>1</v>
      </c>
      <c r="AG909" s="16">
        <f>IF(AC909=0,IF(O909=4,INDEX(Acceleration!$T$4:$T$110,MATCH('Track Data'!S909,Acceleration!$K$4:$K$110,0)),IF('Track Data'!O909=3,INDEX(Acceleration!$S$4:$S$110,MATCH('Track Data'!S909,Acceleration!$K$4:$K$110,0)),'Track Data'!AF909)),'Track Data'!U909)</f>
        <v>4.8208358613991411</v>
      </c>
      <c r="AH909" s="16">
        <f>IF(AC909=0,IF(O909=2,INDEX(Acceleration!$R$4:$R$110,MATCH('Track Data'!S909,Acceleration!$K$4:$K$110,0)),IF('Track Data'!O909=1,INDEX(Acceleration!$Q$4:$Q$110,MATCH('Track Data'!S909,Acceleration!$K$4:$K$110,0)),'Track Data'!AG909)),'Track Data'!U909)</f>
        <v>4.8208358613991411</v>
      </c>
    </row>
    <row r="910" spans="2:34" x14ac:dyDescent="0.25">
      <c r="B910" s="16">
        <v>222.214</v>
      </c>
      <c r="C910" s="16">
        <v>8180</v>
      </c>
      <c r="D910" s="16">
        <v>907</v>
      </c>
      <c r="E910" s="113">
        <v>148</v>
      </c>
      <c r="F910" s="113">
        <v>137.9</v>
      </c>
      <c r="G910" s="113">
        <v>128.80000000000001</v>
      </c>
      <c r="H910" s="113">
        <f t="shared" si="103"/>
        <v>35.777777777777779</v>
      </c>
      <c r="I910" s="113">
        <v>11.6</v>
      </c>
      <c r="J910" s="113">
        <v>33.409999999999997</v>
      </c>
      <c r="K910" s="113">
        <v>18.3</v>
      </c>
      <c r="L910" s="183"/>
      <c r="M910" s="16">
        <v>907</v>
      </c>
      <c r="N910" s="16">
        <f t="shared" si="105"/>
        <v>2.2937824583009154E-2</v>
      </c>
      <c r="O910" s="16">
        <v>4</v>
      </c>
      <c r="P910" s="16">
        <f t="shared" si="101"/>
        <v>9.1833785004516724</v>
      </c>
      <c r="Q910" s="16">
        <f t="shared" si="106"/>
        <v>43.59611332718687</v>
      </c>
      <c r="R910" s="113">
        <f t="shared" si="102"/>
        <v>329.49099999999999</v>
      </c>
      <c r="S910" s="16">
        <f>IF(S909=15800,15800,ROUND((((Q910*60)/'Gearing Calculator'!$C$14)*'Track Data'!P910),-2))</f>
        <v>12100</v>
      </c>
      <c r="T910" s="16">
        <f t="shared" si="104"/>
        <v>4.8208358613991411</v>
      </c>
      <c r="U910" s="16">
        <f>IF(AC910=100,Braking!$AG$2354,IF(AC910=50,Braking!$AG$1179,IF(AC910=75,Braking!$AG$1767,0)))</f>
        <v>0</v>
      </c>
      <c r="V910" s="16">
        <f>0.5*'Gearing Calculator'!$C$15*'Gearing Calculator'!$C$20*'Gearing Calculator'!$W$20*('Track Data'!Q910^2)</f>
        <v>201.16173693155565</v>
      </c>
      <c r="W910" s="16">
        <f>('Gearing Calculator'!$U$9*'Track Data'!T910)+'Track Data'!V910</f>
        <v>1484.4682432360069</v>
      </c>
      <c r="X910" s="16">
        <f>('Gearing Calculator'!$U$9*9.81)*('Gearing Calculator'!$U$16/'Gearing Calculator'!$C$7)-(('Track Data'!W910)*('Gearing Calculator'!$U$17/'Gearing Calculator'!$C$7))</f>
        <v>592.02572755831886</v>
      </c>
      <c r="Y910" s="16">
        <f>('Gearing Calculator'!$U$9*9.81)*(('Gearing Calculator'!$C$7-'Gearing Calculator'!$U$16)/'Gearing Calculator'!$C$7)+(('Track Data'!W910)*('Gearing Calculator'!$U$17/'Gearing Calculator'!$C$7))</f>
        <v>2019.396272441681</v>
      </c>
      <c r="Z910" s="16">
        <f>((X910*COS('Gearing Calculator'!$C$21))/'Gearing Calculator'!$C$22)/2</f>
        <v>18.303563078254452</v>
      </c>
      <c r="AA910" s="16">
        <f>Y910/'Gearing Calculator'!$C$24</f>
        <v>28.197545111657071</v>
      </c>
      <c r="AB910" s="16">
        <f t="shared" si="100"/>
        <v>220.44508037715221</v>
      </c>
      <c r="AC910" s="16">
        <v>0</v>
      </c>
      <c r="AD910" s="16">
        <v>48.889993475913293</v>
      </c>
      <c r="AE910" s="16">
        <v>907</v>
      </c>
      <c r="AF910" s="16">
        <f>IF(AC910=0,IF(O910=6,INDEX(Acceleration!$V$4:$V$110,MATCH('Track Data'!S910,Acceleration!$K$4:$K$110,0)),IF('Track Data'!O910=5,INDEX(Acceleration!$U$4:$U$110,MATCH('Track Data'!S910,Acceleration!$K$4:$K$110,0)),1)),U910)</f>
        <v>1</v>
      </c>
      <c r="AG910" s="16">
        <f>IF(AC910=0,IF(O910=4,INDEX(Acceleration!$T$4:$T$110,MATCH('Track Data'!S910,Acceleration!$K$4:$K$110,0)),IF('Track Data'!O910=3,INDEX(Acceleration!$S$4:$S$110,MATCH('Track Data'!S910,Acceleration!$K$4:$K$110,0)),'Track Data'!AF910)),'Track Data'!U910)</f>
        <v>4.8208358613991411</v>
      </c>
      <c r="AH910" s="16">
        <f>IF(AC910=0,IF(O910=2,INDEX(Acceleration!$R$4:$R$110,MATCH('Track Data'!S910,Acceleration!$K$4:$K$110,0)),IF('Track Data'!O910=1,INDEX(Acceleration!$Q$4:$Q$110,MATCH('Track Data'!S910,Acceleration!$K$4:$K$110,0)),'Track Data'!AG910)),'Track Data'!U910)</f>
        <v>4.8208358613991411</v>
      </c>
    </row>
    <row r="911" spans="2:34" x14ac:dyDescent="0.25">
      <c r="B911" s="16">
        <v>222.24</v>
      </c>
      <c r="C911" s="16">
        <v>8181</v>
      </c>
      <c r="D911" s="16">
        <v>908</v>
      </c>
      <c r="E911" s="113">
        <v>149</v>
      </c>
      <c r="F911" s="113">
        <v>138.6</v>
      </c>
      <c r="G911" s="113">
        <v>129.19999999999999</v>
      </c>
      <c r="H911" s="113">
        <f t="shared" si="103"/>
        <v>35.888888888888886</v>
      </c>
      <c r="I911" s="113">
        <v>10.1</v>
      </c>
      <c r="J911" s="113">
        <v>30.84</v>
      </c>
      <c r="K911" s="113">
        <v>20.100000000000001</v>
      </c>
      <c r="L911" s="183"/>
      <c r="M911" s="16">
        <v>908</v>
      </c>
      <c r="N911" s="16">
        <f t="shared" si="105"/>
        <v>2.2937824583009154E-2</v>
      </c>
      <c r="O911" s="16">
        <v>4</v>
      </c>
      <c r="P911" s="16">
        <f t="shared" si="101"/>
        <v>9.1833785004516724</v>
      </c>
      <c r="Q911" s="16">
        <f t="shared" si="106"/>
        <v>43.59611332718687</v>
      </c>
      <c r="R911" s="113">
        <f t="shared" si="102"/>
        <v>329.49099999999999</v>
      </c>
      <c r="S911" s="16">
        <f>IF(S910=15800,15800,ROUND((((Q911*60)/'Gearing Calculator'!$C$14)*'Track Data'!P911),-2))</f>
        <v>12100</v>
      </c>
      <c r="T911" s="16">
        <f t="shared" si="104"/>
        <v>4.8208358613991411</v>
      </c>
      <c r="U911" s="16">
        <f>IF(AC911=100,Braking!$AG$2354,IF(AC911=50,Braking!$AG$1179,IF(AC911=75,Braking!$AG$1767,0)))</f>
        <v>0</v>
      </c>
      <c r="V911" s="16">
        <f>0.5*'Gearing Calculator'!$C$15*'Gearing Calculator'!$C$20*'Gearing Calculator'!$W$20*('Track Data'!Q911^2)</f>
        <v>201.16173693155565</v>
      </c>
      <c r="W911" s="16">
        <f>('Gearing Calculator'!$U$9*'Track Data'!T911)+'Track Data'!V911</f>
        <v>1484.4682432360069</v>
      </c>
      <c r="X911" s="16">
        <f>('Gearing Calculator'!$U$9*9.81)*('Gearing Calculator'!$U$16/'Gearing Calculator'!$C$7)-(('Track Data'!W911)*('Gearing Calculator'!$U$17/'Gearing Calculator'!$C$7))</f>
        <v>592.02572755831886</v>
      </c>
      <c r="Y911" s="16">
        <f>('Gearing Calculator'!$U$9*9.81)*(('Gearing Calculator'!$C$7-'Gearing Calculator'!$U$16)/'Gearing Calculator'!$C$7)+(('Track Data'!W911)*('Gearing Calculator'!$U$17/'Gearing Calculator'!$C$7))</f>
        <v>2019.396272441681</v>
      </c>
      <c r="Z911" s="16">
        <f>((X911*COS('Gearing Calculator'!$C$21))/'Gearing Calculator'!$C$22)/2</f>
        <v>18.303563078254452</v>
      </c>
      <c r="AA911" s="16">
        <f>Y911/'Gearing Calculator'!$C$24</f>
        <v>28.197545111657071</v>
      </c>
      <c r="AB911" s="16">
        <f t="shared" si="100"/>
        <v>220.44508037715221</v>
      </c>
      <c r="AC911" s="16">
        <v>0</v>
      </c>
      <c r="AD911" s="16">
        <v>48.889993475913293</v>
      </c>
      <c r="AE911" s="16">
        <v>908</v>
      </c>
      <c r="AF911" s="16">
        <f>IF(AC911=0,IF(O911=6,INDEX(Acceleration!$V$4:$V$110,MATCH('Track Data'!S911,Acceleration!$K$4:$K$110,0)),IF('Track Data'!O911=5,INDEX(Acceleration!$U$4:$U$110,MATCH('Track Data'!S911,Acceleration!$K$4:$K$110,0)),1)),U911)</f>
        <v>1</v>
      </c>
      <c r="AG911" s="16">
        <f>IF(AC911=0,IF(O911=4,INDEX(Acceleration!$T$4:$T$110,MATCH('Track Data'!S911,Acceleration!$K$4:$K$110,0)),IF('Track Data'!O911=3,INDEX(Acceleration!$S$4:$S$110,MATCH('Track Data'!S911,Acceleration!$K$4:$K$110,0)),'Track Data'!AF911)),'Track Data'!U911)</f>
        <v>4.8208358613991411</v>
      </c>
      <c r="AH911" s="16">
        <f>IF(AC911=0,IF(O911=2,INDEX(Acceleration!$R$4:$R$110,MATCH('Track Data'!S911,Acceleration!$K$4:$K$110,0)),IF('Track Data'!O911=1,INDEX(Acceleration!$Q$4:$Q$110,MATCH('Track Data'!S911,Acceleration!$K$4:$K$110,0)),'Track Data'!AG911)),'Track Data'!U911)</f>
        <v>4.8208358613991411</v>
      </c>
    </row>
    <row r="912" spans="2:34" x14ac:dyDescent="0.25">
      <c r="B912" s="16">
        <v>222.26599999999999</v>
      </c>
      <c r="C912" s="16">
        <v>8182</v>
      </c>
      <c r="D912" s="16">
        <v>909</v>
      </c>
      <c r="E912" s="113">
        <v>149</v>
      </c>
      <c r="F912" s="113">
        <v>139</v>
      </c>
      <c r="G912" s="113">
        <v>129.5</v>
      </c>
      <c r="H912" s="113">
        <f t="shared" si="103"/>
        <v>35.972222222222221</v>
      </c>
      <c r="I912" s="113">
        <v>10</v>
      </c>
      <c r="J912" s="113">
        <v>30.76</v>
      </c>
      <c r="K912" s="113">
        <v>29.5</v>
      </c>
      <c r="L912" s="183"/>
      <c r="M912" s="16">
        <v>909</v>
      </c>
      <c r="N912" s="16">
        <f t="shared" si="105"/>
        <v>2.2937824583009154E-2</v>
      </c>
      <c r="O912" s="16">
        <v>4</v>
      </c>
      <c r="P912" s="16">
        <f t="shared" si="101"/>
        <v>9.1833785004516724</v>
      </c>
      <c r="Q912" s="16">
        <f t="shared" si="106"/>
        <v>43.59611332718687</v>
      </c>
      <c r="R912" s="113">
        <f t="shared" si="102"/>
        <v>329.49099999999999</v>
      </c>
      <c r="S912" s="16">
        <f>IF(S911=15800,15800,ROUND((((Q912*60)/'Gearing Calculator'!$C$14)*'Track Data'!P912),-2))</f>
        <v>12100</v>
      </c>
      <c r="T912" s="16">
        <f t="shared" si="104"/>
        <v>4.8208358613991411</v>
      </c>
      <c r="U912" s="16">
        <f>IF(AC912=100,Braking!$AG$2354,IF(AC912=50,Braking!$AG$1179,IF(AC912=75,Braking!$AG$1767,0)))</f>
        <v>0</v>
      </c>
      <c r="V912" s="16">
        <f>0.5*'Gearing Calculator'!$C$15*'Gearing Calculator'!$C$20*'Gearing Calculator'!$W$20*('Track Data'!Q912^2)</f>
        <v>201.16173693155565</v>
      </c>
      <c r="W912" s="16">
        <f>('Gearing Calculator'!$U$9*'Track Data'!T912)+'Track Data'!V912</f>
        <v>1484.4682432360069</v>
      </c>
      <c r="X912" s="16">
        <f>('Gearing Calculator'!$U$9*9.81)*('Gearing Calculator'!$U$16/'Gearing Calculator'!$C$7)-(('Track Data'!W912)*('Gearing Calculator'!$U$17/'Gearing Calculator'!$C$7))</f>
        <v>592.02572755831886</v>
      </c>
      <c r="Y912" s="16">
        <f>('Gearing Calculator'!$U$9*9.81)*(('Gearing Calculator'!$C$7-'Gearing Calculator'!$U$16)/'Gearing Calculator'!$C$7)+(('Track Data'!W912)*('Gearing Calculator'!$U$17/'Gearing Calculator'!$C$7))</f>
        <v>2019.396272441681</v>
      </c>
      <c r="Z912" s="16">
        <f>((X912*COS('Gearing Calculator'!$C$21))/'Gearing Calculator'!$C$22)/2</f>
        <v>18.303563078254452</v>
      </c>
      <c r="AA912" s="16">
        <f>Y912/'Gearing Calculator'!$C$24</f>
        <v>28.197545111657071</v>
      </c>
      <c r="AB912" s="16">
        <f t="shared" si="100"/>
        <v>220.44508037715221</v>
      </c>
      <c r="AC912" s="16">
        <v>0</v>
      </c>
      <c r="AD912" s="16">
        <v>48.889993475913293</v>
      </c>
      <c r="AE912" s="16">
        <v>909</v>
      </c>
      <c r="AF912" s="16">
        <f>IF(AC912=0,IF(O912=6,INDEX(Acceleration!$V$4:$V$110,MATCH('Track Data'!S912,Acceleration!$K$4:$K$110,0)),IF('Track Data'!O912=5,INDEX(Acceleration!$U$4:$U$110,MATCH('Track Data'!S912,Acceleration!$K$4:$K$110,0)),1)),U912)</f>
        <v>1</v>
      </c>
      <c r="AG912" s="16">
        <f>IF(AC912=0,IF(O912=4,INDEX(Acceleration!$T$4:$T$110,MATCH('Track Data'!S912,Acceleration!$K$4:$K$110,0)),IF('Track Data'!O912=3,INDEX(Acceleration!$S$4:$S$110,MATCH('Track Data'!S912,Acceleration!$K$4:$K$110,0)),'Track Data'!AF912)),'Track Data'!U912)</f>
        <v>4.8208358613991411</v>
      </c>
      <c r="AH912" s="16">
        <f>IF(AC912=0,IF(O912=2,INDEX(Acceleration!$R$4:$R$110,MATCH('Track Data'!S912,Acceleration!$K$4:$K$110,0)),IF('Track Data'!O912=1,INDEX(Acceleration!$Q$4:$Q$110,MATCH('Track Data'!S912,Acceleration!$K$4:$K$110,0)),'Track Data'!AG912)),'Track Data'!U912)</f>
        <v>4.8208358613991411</v>
      </c>
    </row>
    <row r="913" spans="2:34" x14ac:dyDescent="0.25">
      <c r="B913" s="16">
        <v>222.291</v>
      </c>
      <c r="C913" s="16">
        <v>8183</v>
      </c>
      <c r="D913" s="16">
        <v>910</v>
      </c>
      <c r="E913" s="113">
        <v>149</v>
      </c>
      <c r="F913" s="113">
        <v>139.30000000000001</v>
      </c>
      <c r="G913" s="113">
        <v>129.9</v>
      </c>
      <c r="H913" s="113">
        <f t="shared" si="103"/>
        <v>36.083333333333336</v>
      </c>
      <c r="I913" s="113">
        <v>9.6999999999999993</v>
      </c>
      <c r="J913" s="113">
        <v>33.65</v>
      </c>
      <c r="K913" s="113">
        <v>43.8</v>
      </c>
      <c r="L913" s="183"/>
      <c r="M913" s="16">
        <v>910</v>
      </c>
      <c r="N913" s="16">
        <f t="shared" si="105"/>
        <v>2.2937824583009154E-2</v>
      </c>
      <c r="O913" s="16">
        <v>4</v>
      </c>
      <c r="P913" s="16">
        <f t="shared" si="101"/>
        <v>9.1833785004516724</v>
      </c>
      <c r="Q913" s="16">
        <f t="shared" si="106"/>
        <v>43.59611332718687</v>
      </c>
      <c r="R913" s="113">
        <f t="shared" si="102"/>
        <v>329.49099999999999</v>
      </c>
      <c r="S913" s="16">
        <f>IF(S912=15800,15800,ROUND((((Q913*60)/'Gearing Calculator'!$C$14)*'Track Data'!P913),-2))</f>
        <v>12100</v>
      </c>
      <c r="T913" s="16">
        <f t="shared" si="104"/>
        <v>4.8208358613991411</v>
      </c>
      <c r="U913" s="16">
        <f>IF(AC913=100,Braking!$AG$2354,IF(AC913=50,Braking!$AG$1179,IF(AC913=75,Braking!$AG$1767,0)))</f>
        <v>0</v>
      </c>
      <c r="V913" s="16">
        <f>0.5*'Gearing Calculator'!$C$15*'Gearing Calculator'!$C$20*'Gearing Calculator'!$W$20*('Track Data'!Q913^2)</f>
        <v>201.16173693155565</v>
      </c>
      <c r="W913" s="16">
        <f>('Gearing Calculator'!$U$9*'Track Data'!T913)+'Track Data'!V913</f>
        <v>1484.4682432360069</v>
      </c>
      <c r="X913" s="16">
        <f>('Gearing Calculator'!$U$9*9.81)*('Gearing Calculator'!$U$16/'Gearing Calculator'!$C$7)-(('Track Data'!W913)*('Gearing Calculator'!$U$17/'Gearing Calculator'!$C$7))</f>
        <v>592.02572755831886</v>
      </c>
      <c r="Y913" s="16">
        <f>('Gearing Calculator'!$U$9*9.81)*(('Gearing Calculator'!$C$7-'Gearing Calculator'!$U$16)/'Gearing Calculator'!$C$7)+(('Track Data'!W913)*('Gearing Calculator'!$U$17/'Gearing Calculator'!$C$7))</f>
        <v>2019.396272441681</v>
      </c>
      <c r="Z913" s="16">
        <f>((X913*COS('Gearing Calculator'!$C$21))/'Gearing Calculator'!$C$22)/2</f>
        <v>18.303563078254452</v>
      </c>
      <c r="AA913" s="16">
        <f>Y913/'Gearing Calculator'!$C$24</f>
        <v>28.197545111657071</v>
      </c>
      <c r="AB913" s="16">
        <f t="shared" si="100"/>
        <v>220.44508037715221</v>
      </c>
      <c r="AC913" s="16">
        <v>0</v>
      </c>
      <c r="AD913" s="16">
        <v>48.889993475913293</v>
      </c>
      <c r="AE913" s="16">
        <v>910</v>
      </c>
      <c r="AF913" s="16">
        <f>IF(AC913=0,IF(O913=6,INDEX(Acceleration!$V$4:$V$110,MATCH('Track Data'!S913,Acceleration!$K$4:$K$110,0)),IF('Track Data'!O913=5,INDEX(Acceleration!$U$4:$U$110,MATCH('Track Data'!S913,Acceleration!$K$4:$K$110,0)),1)),U913)</f>
        <v>1</v>
      </c>
      <c r="AG913" s="16">
        <f>IF(AC913=0,IF(O913=4,INDEX(Acceleration!$T$4:$T$110,MATCH('Track Data'!S913,Acceleration!$K$4:$K$110,0)),IF('Track Data'!O913=3,INDEX(Acceleration!$S$4:$S$110,MATCH('Track Data'!S913,Acceleration!$K$4:$K$110,0)),'Track Data'!AF913)),'Track Data'!U913)</f>
        <v>4.8208358613991411</v>
      </c>
      <c r="AH913" s="16">
        <f>IF(AC913=0,IF(O913=2,INDEX(Acceleration!$R$4:$R$110,MATCH('Track Data'!S913,Acceleration!$K$4:$K$110,0)),IF('Track Data'!O913=1,INDEX(Acceleration!$Q$4:$Q$110,MATCH('Track Data'!S913,Acceleration!$K$4:$K$110,0)),'Track Data'!AG913)),'Track Data'!U913)</f>
        <v>4.8208358613991411</v>
      </c>
    </row>
    <row r="914" spans="2:34" x14ac:dyDescent="0.25">
      <c r="B914" s="16">
        <v>222.31700000000001</v>
      </c>
      <c r="C914" s="16">
        <v>8184</v>
      </c>
      <c r="D914" s="16">
        <v>911</v>
      </c>
      <c r="E914" s="113">
        <v>149</v>
      </c>
      <c r="F914" s="113">
        <v>139.5</v>
      </c>
      <c r="G914" s="113">
        <v>130.19999999999999</v>
      </c>
      <c r="H914" s="113">
        <f t="shared" si="103"/>
        <v>36.166666666666664</v>
      </c>
      <c r="I914" s="113">
        <v>10</v>
      </c>
      <c r="J914" s="113">
        <v>31.76</v>
      </c>
      <c r="K914" s="113">
        <v>53.2</v>
      </c>
      <c r="L914" s="183"/>
      <c r="M914" s="16">
        <v>911</v>
      </c>
      <c r="N914" s="16">
        <f t="shared" si="105"/>
        <v>2.2937824583009154E-2</v>
      </c>
      <c r="O914" s="16">
        <v>4</v>
      </c>
      <c r="P914" s="16">
        <f t="shared" si="101"/>
        <v>9.1833785004516724</v>
      </c>
      <c r="Q914" s="16">
        <f t="shared" si="106"/>
        <v>43.59611332718687</v>
      </c>
      <c r="R914" s="113">
        <f t="shared" si="102"/>
        <v>329.49099999999999</v>
      </c>
      <c r="S914" s="16">
        <f>IF(S913=15800,15800,ROUND((((Q914*60)/'Gearing Calculator'!$C$14)*'Track Data'!P914),-2))</f>
        <v>12100</v>
      </c>
      <c r="T914" s="16">
        <f t="shared" si="104"/>
        <v>4.8208358613991411</v>
      </c>
      <c r="U914" s="16">
        <f>IF(AC914=100,Braking!$AG$2354,IF(AC914=50,Braking!$AG$1179,IF(AC914=75,Braking!$AG$1767,0)))</f>
        <v>0</v>
      </c>
      <c r="V914" s="16">
        <f>0.5*'Gearing Calculator'!$C$15*'Gearing Calculator'!$C$20*'Gearing Calculator'!$W$20*('Track Data'!Q914^2)</f>
        <v>201.16173693155565</v>
      </c>
      <c r="W914" s="16">
        <f>('Gearing Calculator'!$U$9*'Track Data'!T914)+'Track Data'!V914</f>
        <v>1484.4682432360069</v>
      </c>
      <c r="X914" s="16">
        <f>('Gearing Calculator'!$U$9*9.81)*('Gearing Calculator'!$U$16/'Gearing Calculator'!$C$7)-(('Track Data'!W914)*('Gearing Calculator'!$U$17/'Gearing Calculator'!$C$7))</f>
        <v>592.02572755831886</v>
      </c>
      <c r="Y914" s="16">
        <f>('Gearing Calculator'!$U$9*9.81)*(('Gearing Calculator'!$C$7-'Gearing Calculator'!$U$16)/'Gearing Calculator'!$C$7)+(('Track Data'!W914)*('Gearing Calculator'!$U$17/'Gearing Calculator'!$C$7))</f>
        <v>2019.396272441681</v>
      </c>
      <c r="Z914" s="16">
        <f>((X914*COS('Gearing Calculator'!$C$21))/'Gearing Calculator'!$C$22)/2</f>
        <v>18.303563078254452</v>
      </c>
      <c r="AA914" s="16">
        <f>Y914/'Gearing Calculator'!$C$24</f>
        <v>28.197545111657071</v>
      </c>
      <c r="AB914" s="16">
        <f t="shared" si="100"/>
        <v>220.44508037715221</v>
      </c>
      <c r="AC914" s="16">
        <v>0</v>
      </c>
      <c r="AD914" s="16">
        <v>48.889993475913293</v>
      </c>
      <c r="AE914" s="16">
        <v>911</v>
      </c>
      <c r="AF914" s="16">
        <f>IF(AC914=0,IF(O914=6,INDEX(Acceleration!$V$4:$V$110,MATCH('Track Data'!S914,Acceleration!$K$4:$K$110,0)),IF('Track Data'!O914=5,INDEX(Acceleration!$U$4:$U$110,MATCH('Track Data'!S914,Acceleration!$K$4:$K$110,0)),1)),U914)</f>
        <v>1</v>
      </c>
      <c r="AG914" s="16">
        <f>IF(AC914=0,IF(O914=4,INDEX(Acceleration!$T$4:$T$110,MATCH('Track Data'!S914,Acceleration!$K$4:$K$110,0)),IF('Track Data'!O914=3,INDEX(Acceleration!$S$4:$S$110,MATCH('Track Data'!S914,Acceleration!$K$4:$K$110,0)),'Track Data'!AF914)),'Track Data'!U914)</f>
        <v>4.8208358613991411</v>
      </c>
      <c r="AH914" s="16">
        <f>IF(AC914=0,IF(O914=2,INDEX(Acceleration!$R$4:$R$110,MATCH('Track Data'!S914,Acceleration!$K$4:$K$110,0)),IF('Track Data'!O914=1,INDEX(Acceleration!$Q$4:$Q$110,MATCH('Track Data'!S914,Acceleration!$K$4:$K$110,0)),'Track Data'!AG914)),'Track Data'!U914)</f>
        <v>4.8208358613991411</v>
      </c>
    </row>
    <row r="915" spans="2:34" x14ac:dyDescent="0.25">
      <c r="B915" s="16">
        <v>222.34299999999999</v>
      </c>
      <c r="C915" s="16">
        <v>8185</v>
      </c>
      <c r="D915" s="16">
        <v>912</v>
      </c>
      <c r="E915" s="113">
        <v>149</v>
      </c>
      <c r="F915" s="113">
        <v>140</v>
      </c>
      <c r="G915" s="113">
        <v>130.69999999999999</v>
      </c>
      <c r="H915" s="113">
        <f t="shared" si="103"/>
        <v>36.30555555555555</v>
      </c>
      <c r="I915" s="113">
        <v>11.4</v>
      </c>
      <c r="J915" s="113">
        <v>29.92</v>
      </c>
      <c r="K915" s="113">
        <v>56</v>
      </c>
      <c r="L915" s="183"/>
      <c r="M915" s="16">
        <v>912</v>
      </c>
      <c r="N915" s="16">
        <f t="shared" si="105"/>
        <v>2.2937824583009154E-2</v>
      </c>
      <c r="O915" s="16">
        <v>4</v>
      </c>
      <c r="P915" s="16">
        <f t="shared" si="101"/>
        <v>9.1833785004516724</v>
      </c>
      <c r="Q915" s="16">
        <f t="shared" si="106"/>
        <v>43.59611332718687</v>
      </c>
      <c r="R915" s="113">
        <f t="shared" si="102"/>
        <v>329.49099999999999</v>
      </c>
      <c r="S915" s="16">
        <f>IF(S914=15800,15800,ROUND((((Q915*60)/'Gearing Calculator'!$C$14)*'Track Data'!P915),-2))</f>
        <v>12100</v>
      </c>
      <c r="T915" s="16">
        <f t="shared" si="104"/>
        <v>4.8208358613991411</v>
      </c>
      <c r="U915" s="16">
        <f>IF(AC915=100,Braking!$AG$2354,IF(AC915=50,Braking!$AG$1179,IF(AC915=75,Braking!$AG$1767,0)))</f>
        <v>0</v>
      </c>
      <c r="V915" s="16">
        <f>0.5*'Gearing Calculator'!$C$15*'Gearing Calculator'!$C$20*'Gearing Calculator'!$W$20*('Track Data'!Q915^2)</f>
        <v>201.16173693155565</v>
      </c>
      <c r="W915" s="16">
        <f>('Gearing Calculator'!$U$9*'Track Data'!T915)+'Track Data'!V915</f>
        <v>1484.4682432360069</v>
      </c>
      <c r="X915" s="16">
        <f>('Gearing Calculator'!$U$9*9.81)*('Gearing Calculator'!$U$16/'Gearing Calculator'!$C$7)-(('Track Data'!W915)*('Gearing Calculator'!$U$17/'Gearing Calculator'!$C$7))</f>
        <v>592.02572755831886</v>
      </c>
      <c r="Y915" s="16">
        <f>('Gearing Calculator'!$U$9*9.81)*(('Gearing Calculator'!$C$7-'Gearing Calculator'!$U$16)/'Gearing Calculator'!$C$7)+(('Track Data'!W915)*('Gearing Calculator'!$U$17/'Gearing Calculator'!$C$7))</f>
        <v>2019.396272441681</v>
      </c>
      <c r="Z915" s="16">
        <f>((X915*COS('Gearing Calculator'!$C$21))/'Gearing Calculator'!$C$22)/2</f>
        <v>18.303563078254452</v>
      </c>
      <c r="AA915" s="16">
        <f>Y915/'Gearing Calculator'!$C$24</f>
        <v>28.197545111657071</v>
      </c>
      <c r="AB915" s="16">
        <f t="shared" si="100"/>
        <v>220.44508037715221</v>
      </c>
      <c r="AC915" s="16">
        <v>0</v>
      </c>
      <c r="AD915" s="16">
        <v>48.889993475913293</v>
      </c>
      <c r="AE915" s="16">
        <v>912</v>
      </c>
      <c r="AF915" s="16">
        <f>IF(AC915=0,IF(O915=6,INDEX(Acceleration!$V$4:$V$110,MATCH('Track Data'!S915,Acceleration!$K$4:$K$110,0)),IF('Track Data'!O915=5,INDEX(Acceleration!$U$4:$U$110,MATCH('Track Data'!S915,Acceleration!$K$4:$K$110,0)),1)),U915)</f>
        <v>1</v>
      </c>
      <c r="AG915" s="16">
        <f>IF(AC915=0,IF(O915=4,INDEX(Acceleration!$T$4:$T$110,MATCH('Track Data'!S915,Acceleration!$K$4:$K$110,0)),IF('Track Data'!O915=3,INDEX(Acceleration!$S$4:$S$110,MATCH('Track Data'!S915,Acceleration!$K$4:$K$110,0)),'Track Data'!AF915)),'Track Data'!U915)</f>
        <v>4.8208358613991411</v>
      </c>
      <c r="AH915" s="16">
        <f>IF(AC915=0,IF(O915=2,INDEX(Acceleration!$R$4:$R$110,MATCH('Track Data'!S915,Acceleration!$K$4:$K$110,0)),IF('Track Data'!O915=1,INDEX(Acceleration!$Q$4:$Q$110,MATCH('Track Data'!S915,Acceleration!$K$4:$K$110,0)),'Track Data'!AG915)),'Track Data'!U915)</f>
        <v>4.8208358613991411</v>
      </c>
    </row>
    <row r="916" spans="2:34" x14ac:dyDescent="0.25">
      <c r="B916" s="16">
        <v>222.369</v>
      </c>
      <c r="C916" s="16">
        <v>8186</v>
      </c>
      <c r="D916" s="16">
        <v>913</v>
      </c>
      <c r="E916" s="113">
        <v>149</v>
      </c>
      <c r="F916" s="113">
        <v>140.30000000000001</v>
      </c>
      <c r="G916" s="113">
        <v>131</v>
      </c>
      <c r="H916" s="113">
        <f t="shared" si="103"/>
        <v>36.388888888888886</v>
      </c>
      <c r="I916" s="113">
        <v>11.8</v>
      </c>
      <c r="J916" s="113">
        <v>29.19</v>
      </c>
      <c r="K916" s="113">
        <v>55.8</v>
      </c>
      <c r="L916" s="183"/>
      <c r="M916" s="16">
        <v>913</v>
      </c>
      <c r="N916" s="16">
        <f t="shared" si="105"/>
        <v>2.2937824583009154E-2</v>
      </c>
      <c r="O916" s="16">
        <v>4</v>
      </c>
      <c r="P916" s="16">
        <f t="shared" si="101"/>
        <v>9.1833785004516724</v>
      </c>
      <c r="Q916" s="16">
        <f t="shared" si="106"/>
        <v>43.59611332718687</v>
      </c>
      <c r="R916" s="113">
        <f t="shared" si="102"/>
        <v>329.49099999999999</v>
      </c>
      <c r="S916" s="16">
        <f>IF(S915=15800,15800,ROUND((((Q916*60)/'Gearing Calculator'!$C$14)*'Track Data'!P916),-2))</f>
        <v>12100</v>
      </c>
      <c r="T916" s="16">
        <f t="shared" si="104"/>
        <v>4.8208358613991411</v>
      </c>
      <c r="U916" s="16">
        <f>IF(AC916=100,Braking!$AG$2354,IF(AC916=50,Braking!$AG$1179,IF(AC916=75,Braking!$AG$1767,0)))</f>
        <v>0</v>
      </c>
      <c r="V916" s="16">
        <f>0.5*'Gearing Calculator'!$C$15*'Gearing Calculator'!$C$20*'Gearing Calculator'!$W$20*('Track Data'!Q916^2)</f>
        <v>201.16173693155565</v>
      </c>
      <c r="W916" s="16">
        <f>('Gearing Calculator'!$U$9*'Track Data'!T916)+'Track Data'!V916</f>
        <v>1484.4682432360069</v>
      </c>
      <c r="X916" s="16">
        <f>('Gearing Calculator'!$U$9*9.81)*('Gearing Calculator'!$U$16/'Gearing Calculator'!$C$7)-(('Track Data'!W916)*('Gearing Calculator'!$U$17/'Gearing Calculator'!$C$7))</f>
        <v>592.02572755831886</v>
      </c>
      <c r="Y916" s="16">
        <f>('Gearing Calculator'!$U$9*9.81)*(('Gearing Calculator'!$C$7-'Gearing Calculator'!$U$16)/'Gearing Calculator'!$C$7)+(('Track Data'!W916)*('Gearing Calculator'!$U$17/'Gearing Calculator'!$C$7))</f>
        <v>2019.396272441681</v>
      </c>
      <c r="Z916" s="16">
        <f>((X916*COS('Gearing Calculator'!$C$21))/'Gearing Calculator'!$C$22)/2</f>
        <v>18.303563078254452</v>
      </c>
      <c r="AA916" s="16">
        <f>Y916/'Gearing Calculator'!$C$24</f>
        <v>28.197545111657071</v>
      </c>
      <c r="AB916" s="16">
        <f t="shared" si="100"/>
        <v>220.44508037715221</v>
      </c>
      <c r="AC916" s="16">
        <v>0</v>
      </c>
      <c r="AD916" s="16">
        <v>48.889993475913293</v>
      </c>
      <c r="AE916" s="16">
        <v>913</v>
      </c>
      <c r="AF916" s="16">
        <f>IF(AC916=0,IF(O916=6,INDEX(Acceleration!$V$4:$V$110,MATCH('Track Data'!S916,Acceleration!$K$4:$K$110,0)),IF('Track Data'!O916=5,INDEX(Acceleration!$U$4:$U$110,MATCH('Track Data'!S916,Acceleration!$K$4:$K$110,0)),1)),U916)</f>
        <v>1</v>
      </c>
      <c r="AG916" s="16">
        <f>IF(AC916=0,IF(O916=4,INDEX(Acceleration!$T$4:$T$110,MATCH('Track Data'!S916,Acceleration!$K$4:$K$110,0)),IF('Track Data'!O916=3,INDEX(Acceleration!$S$4:$S$110,MATCH('Track Data'!S916,Acceleration!$K$4:$K$110,0)),'Track Data'!AF916)),'Track Data'!U916)</f>
        <v>4.8208358613991411</v>
      </c>
      <c r="AH916" s="16">
        <f>IF(AC916=0,IF(O916=2,INDEX(Acceleration!$R$4:$R$110,MATCH('Track Data'!S916,Acceleration!$K$4:$K$110,0)),IF('Track Data'!O916=1,INDEX(Acceleration!$Q$4:$Q$110,MATCH('Track Data'!S916,Acceleration!$K$4:$K$110,0)),'Track Data'!AG916)),'Track Data'!U916)</f>
        <v>4.8208358613991411</v>
      </c>
    </row>
    <row r="917" spans="2:34" x14ac:dyDescent="0.25">
      <c r="B917" s="16">
        <v>222.39400000000001</v>
      </c>
      <c r="C917" s="16">
        <v>8187</v>
      </c>
      <c r="D917" s="16">
        <v>914</v>
      </c>
      <c r="E917" s="113">
        <v>150</v>
      </c>
      <c r="F917" s="113">
        <v>140.69999999999999</v>
      </c>
      <c r="G917" s="113">
        <v>131.4</v>
      </c>
      <c r="H917" s="113">
        <f t="shared" si="103"/>
        <v>36.5</v>
      </c>
      <c r="I917" s="113">
        <v>11.9</v>
      </c>
      <c r="J917" s="113">
        <v>31.55</v>
      </c>
      <c r="K917" s="113">
        <v>55.5</v>
      </c>
      <c r="L917" s="183"/>
      <c r="M917" s="16">
        <v>914</v>
      </c>
      <c r="N917" s="16">
        <f t="shared" si="105"/>
        <v>2.2937824583009154E-2</v>
      </c>
      <c r="O917" s="16">
        <v>4</v>
      </c>
      <c r="P917" s="16">
        <f t="shared" si="101"/>
        <v>9.1833785004516724</v>
      </c>
      <c r="Q917" s="16">
        <f t="shared" si="106"/>
        <v>43.59611332718687</v>
      </c>
      <c r="R917" s="113">
        <f t="shared" si="102"/>
        <v>329.49099999999999</v>
      </c>
      <c r="S917" s="16">
        <f>IF(S916=15800,15800,ROUND((((Q917*60)/'Gearing Calculator'!$C$14)*'Track Data'!P917),-2))</f>
        <v>12100</v>
      </c>
      <c r="T917" s="16">
        <f t="shared" si="104"/>
        <v>4.8208358613991411</v>
      </c>
      <c r="U917" s="16">
        <f>IF(AC917=100,Braking!$AG$2354,IF(AC917=50,Braking!$AG$1179,IF(AC917=75,Braking!$AG$1767,0)))</f>
        <v>0</v>
      </c>
      <c r="V917" s="16">
        <f>0.5*'Gearing Calculator'!$C$15*'Gearing Calculator'!$C$20*'Gearing Calculator'!$W$20*('Track Data'!Q917^2)</f>
        <v>201.16173693155565</v>
      </c>
      <c r="W917" s="16">
        <f>('Gearing Calculator'!$U$9*'Track Data'!T917)+'Track Data'!V917</f>
        <v>1484.4682432360069</v>
      </c>
      <c r="X917" s="16">
        <f>('Gearing Calculator'!$U$9*9.81)*('Gearing Calculator'!$U$16/'Gearing Calculator'!$C$7)-(('Track Data'!W917)*('Gearing Calculator'!$U$17/'Gearing Calculator'!$C$7))</f>
        <v>592.02572755831886</v>
      </c>
      <c r="Y917" s="16">
        <f>('Gearing Calculator'!$U$9*9.81)*(('Gearing Calculator'!$C$7-'Gearing Calculator'!$U$16)/'Gearing Calculator'!$C$7)+(('Track Data'!W917)*('Gearing Calculator'!$U$17/'Gearing Calculator'!$C$7))</f>
        <v>2019.396272441681</v>
      </c>
      <c r="Z917" s="16">
        <f>((X917*COS('Gearing Calculator'!$C$21))/'Gearing Calculator'!$C$22)/2</f>
        <v>18.303563078254452</v>
      </c>
      <c r="AA917" s="16">
        <f>Y917/'Gearing Calculator'!$C$24</f>
        <v>28.197545111657071</v>
      </c>
      <c r="AB917" s="16">
        <f t="shared" si="100"/>
        <v>220.44508037715221</v>
      </c>
      <c r="AC917" s="16">
        <v>0</v>
      </c>
      <c r="AD917" s="16">
        <v>48.889993475913293</v>
      </c>
      <c r="AE917" s="16">
        <v>914</v>
      </c>
      <c r="AF917" s="16">
        <f>IF(AC917=0,IF(O917=6,INDEX(Acceleration!$V$4:$V$110,MATCH('Track Data'!S917,Acceleration!$K$4:$K$110,0)),IF('Track Data'!O917=5,INDEX(Acceleration!$U$4:$U$110,MATCH('Track Data'!S917,Acceleration!$K$4:$K$110,0)),1)),U917)</f>
        <v>1</v>
      </c>
      <c r="AG917" s="16">
        <f>IF(AC917=0,IF(O917=4,INDEX(Acceleration!$T$4:$T$110,MATCH('Track Data'!S917,Acceleration!$K$4:$K$110,0)),IF('Track Data'!O917=3,INDEX(Acceleration!$S$4:$S$110,MATCH('Track Data'!S917,Acceleration!$K$4:$K$110,0)),'Track Data'!AF917)),'Track Data'!U917)</f>
        <v>4.8208358613991411</v>
      </c>
      <c r="AH917" s="16">
        <f>IF(AC917=0,IF(O917=2,INDEX(Acceleration!$R$4:$R$110,MATCH('Track Data'!S917,Acceleration!$K$4:$K$110,0)),IF('Track Data'!O917=1,INDEX(Acceleration!$Q$4:$Q$110,MATCH('Track Data'!S917,Acceleration!$K$4:$K$110,0)),'Track Data'!AG917)),'Track Data'!U917)</f>
        <v>4.8208358613991411</v>
      </c>
    </row>
    <row r="918" spans="2:34" x14ac:dyDescent="0.25">
      <c r="B918" s="16">
        <v>222.42</v>
      </c>
      <c r="C918" s="16">
        <v>8188</v>
      </c>
      <c r="D918" s="16">
        <v>915</v>
      </c>
      <c r="E918" s="113">
        <v>151</v>
      </c>
      <c r="F918" s="113">
        <v>141.1</v>
      </c>
      <c r="G918" s="113">
        <v>131.80000000000001</v>
      </c>
      <c r="H918" s="113">
        <f t="shared" si="103"/>
        <v>36.611111111111114</v>
      </c>
      <c r="I918" s="113">
        <v>12.5</v>
      </c>
      <c r="J918" s="113">
        <v>29.58</v>
      </c>
      <c r="K918" s="113">
        <v>54.5</v>
      </c>
      <c r="L918" s="183"/>
      <c r="M918" s="16">
        <v>915</v>
      </c>
      <c r="N918" s="16">
        <f t="shared" si="105"/>
        <v>2.2937824583009154E-2</v>
      </c>
      <c r="O918" s="16">
        <v>4</v>
      </c>
      <c r="P918" s="16">
        <f t="shared" si="101"/>
        <v>9.1833785004516724</v>
      </c>
      <c r="Q918" s="16">
        <f t="shared" si="106"/>
        <v>43.59611332718687</v>
      </c>
      <c r="R918" s="113">
        <f t="shared" si="102"/>
        <v>329.49099999999999</v>
      </c>
      <c r="S918" s="16">
        <f>IF(S917=15800,15800,ROUND((((Q918*60)/'Gearing Calculator'!$C$14)*'Track Data'!P918),-2))</f>
        <v>12100</v>
      </c>
      <c r="T918" s="16">
        <f t="shared" si="104"/>
        <v>4.8208358613991411</v>
      </c>
      <c r="U918" s="16">
        <f>IF(AC918=100,Braking!$AG$2354,IF(AC918=50,Braking!$AG$1179,IF(AC918=75,Braking!$AG$1767,0)))</f>
        <v>0</v>
      </c>
      <c r="V918" s="16">
        <f>0.5*'Gearing Calculator'!$C$15*'Gearing Calculator'!$C$20*'Gearing Calculator'!$W$20*('Track Data'!Q918^2)</f>
        <v>201.16173693155565</v>
      </c>
      <c r="W918" s="16">
        <f>('Gearing Calculator'!$U$9*'Track Data'!T918)+'Track Data'!V918</f>
        <v>1484.4682432360069</v>
      </c>
      <c r="X918" s="16">
        <f>('Gearing Calculator'!$U$9*9.81)*('Gearing Calculator'!$U$16/'Gearing Calculator'!$C$7)-(('Track Data'!W918)*('Gearing Calculator'!$U$17/'Gearing Calculator'!$C$7))</f>
        <v>592.02572755831886</v>
      </c>
      <c r="Y918" s="16">
        <f>('Gearing Calculator'!$U$9*9.81)*(('Gearing Calculator'!$C$7-'Gearing Calculator'!$U$16)/'Gearing Calculator'!$C$7)+(('Track Data'!W918)*('Gearing Calculator'!$U$17/'Gearing Calculator'!$C$7))</f>
        <v>2019.396272441681</v>
      </c>
      <c r="Z918" s="16">
        <f>((X918*COS('Gearing Calculator'!$C$21))/'Gearing Calculator'!$C$22)/2</f>
        <v>18.303563078254452</v>
      </c>
      <c r="AA918" s="16">
        <f>Y918/'Gearing Calculator'!$C$24</f>
        <v>28.197545111657071</v>
      </c>
      <c r="AB918" s="16">
        <f t="shared" si="100"/>
        <v>220.44508037715221</v>
      </c>
      <c r="AC918" s="16">
        <v>0</v>
      </c>
      <c r="AD918" s="16">
        <v>48.889993475913293</v>
      </c>
      <c r="AE918" s="16">
        <v>915</v>
      </c>
      <c r="AF918" s="16">
        <f>IF(AC918=0,IF(O918=6,INDEX(Acceleration!$V$4:$V$110,MATCH('Track Data'!S918,Acceleration!$K$4:$K$110,0)),IF('Track Data'!O918=5,INDEX(Acceleration!$U$4:$U$110,MATCH('Track Data'!S918,Acceleration!$K$4:$K$110,0)),1)),U918)</f>
        <v>1</v>
      </c>
      <c r="AG918" s="16">
        <f>IF(AC918=0,IF(O918=4,INDEX(Acceleration!$T$4:$T$110,MATCH('Track Data'!S918,Acceleration!$K$4:$K$110,0)),IF('Track Data'!O918=3,INDEX(Acceleration!$S$4:$S$110,MATCH('Track Data'!S918,Acceleration!$K$4:$K$110,0)),'Track Data'!AF918)),'Track Data'!U918)</f>
        <v>4.8208358613991411</v>
      </c>
      <c r="AH918" s="16">
        <f>IF(AC918=0,IF(O918=2,INDEX(Acceleration!$R$4:$R$110,MATCH('Track Data'!S918,Acceleration!$K$4:$K$110,0)),IF('Track Data'!O918=1,INDEX(Acceleration!$Q$4:$Q$110,MATCH('Track Data'!S918,Acceleration!$K$4:$K$110,0)),'Track Data'!AG918)),'Track Data'!U918)</f>
        <v>4.8208358613991411</v>
      </c>
    </row>
    <row r="919" spans="2:34" x14ac:dyDescent="0.25">
      <c r="B919" s="16">
        <v>222.446</v>
      </c>
      <c r="C919" s="16">
        <v>8189</v>
      </c>
      <c r="D919" s="16">
        <v>916</v>
      </c>
      <c r="E919" s="113">
        <v>151</v>
      </c>
      <c r="F919" s="113">
        <v>141.4</v>
      </c>
      <c r="G919" s="113">
        <v>132.1</v>
      </c>
      <c r="H919" s="113">
        <f t="shared" si="103"/>
        <v>36.694444444444443</v>
      </c>
      <c r="I919" s="113">
        <v>12.9</v>
      </c>
      <c r="J919" s="113">
        <v>29.4</v>
      </c>
      <c r="K919" s="113">
        <v>53.5</v>
      </c>
      <c r="L919" s="183"/>
      <c r="M919" s="16">
        <v>916</v>
      </c>
      <c r="N919" s="16">
        <f t="shared" si="105"/>
        <v>2.2937824583009154E-2</v>
      </c>
      <c r="O919" s="16">
        <v>4</v>
      </c>
      <c r="P919" s="16">
        <f t="shared" si="101"/>
        <v>9.1833785004516724</v>
      </c>
      <c r="Q919" s="16">
        <f t="shared" si="106"/>
        <v>43.59611332718687</v>
      </c>
      <c r="R919" s="113">
        <f t="shared" si="102"/>
        <v>329.49099999999999</v>
      </c>
      <c r="S919" s="16">
        <f>IF(S918=15800,15800,ROUND((((Q919*60)/'Gearing Calculator'!$C$14)*'Track Data'!P919),-2))</f>
        <v>12100</v>
      </c>
      <c r="T919" s="16">
        <f t="shared" si="104"/>
        <v>4.8208358613991411</v>
      </c>
      <c r="U919" s="16">
        <f>IF(AC919=100,Braking!$AG$2354,IF(AC919=50,Braking!$AG$1179,IF(AC919=75,Braking!$AG$1767,0)))</f>
        <v>0</v>
      </c>
      <c r="V919" s="16">
        <f>0.5*'Gearing Calculator'!$C$15*'Gearing Calculator'!$C$20*'Gearing Calculator'!$W$20*('Track Data'!Q919^2)</f>
        <v>201.16173693155565</v>
      </c>
      <c r="W919" s="16">
        <f>('Gearing Calculator'!$U$9*'Track Data'!T919)+'Track Data'!V919</f>
        <v>1484.4682432360069</v>
      </c>
      <c r="X919" s="16">
        <f>('Gearing Calculator'!$U$9*9.81)*('Gearing Calculator'!$U$16/'Gearing Calculator'!$C$7)-(('Track Data'!W919)*('Gearing Calculator'!$U$17/'Gearing Calculator'!$C$7))</f>
        <v>592.02572755831886</v>
      </c>
      <c r="Y919" s="16">
        <f>('Gearing Calculator'!$U$9*9.81)*(('Gearing Calculator'!$C$7-'Gearing Calculator'!$U$16)/'Gearing Calculator'!$C$7)+(('Track Data'!W919)*('Gearing Calculator'!$U$17/'Gearing Calculator'!$C$7))</f>
        <v>2019.396272441681</v>
      </c>
      <c r="Z919" s="16">
        <f>((X919*COS('Gearing Calculator'!$C$21))/'Gearing Calculator'!$C$22)/2</f>
        <v>18.303563078254452</v>
      </c>
      <c r="AA919" s="16">
        <f>Y919/'Gearing Calculator'!$C$24</f>
        <v>28.197545111657071</v>
      </c>
      <c r="AB919" s="16">
        <f t="shared" si="100"/>
        <v>220.44508037715221</v>
      </c>
      <c r="AC919" s="16">
        <v>0</v>
      </c>
      <c r="AD919" s="16">
        <v>48.889993475913293</v>
      </c>
      <c r="AE919" s="16">
        <v>916</v>
      </c>
      <c r="AF919" s="16">
        <f>IF(AC919=0,IF(O919=6,INDEX(Acceleration!$V$4:$V$110,MATCH('Track Data'!S919,Acceleration!$K$4:$K$110,0)),IF('Track Data'!O919=5,INDEX(Acceleration!$U$4:$U$110,MATCH('Track Data'!S919,Acceleration!$K$4:$K$110,0)),1)),U919)</f>
        <v>1</v>
      </c>
      <c r="AG919" s="16">
        <f>IF(AC919=0,IF(O919=4,INDEX(Acceleration!$T$4:$T$110,MATCH('Track Data'!S919,Acceleration!$K$4:$K$110,0)),IF('Track Data'!O919=3,INDEX(Acceleration!$S$4:$S$110,MATCH('Track Data'!S919,Acceleration!$K$4:$K$110,0)),'Track Data'!AF919)),'Track Data'!U919)</f>
        <v>4.8208358613991411</v>
      </c>
      <c r="AH919" s="16">
        <f>IF(AC919=0,IF(O919=2,INDEX(Acceleration!$R$4:$R$110,MATCH('Track Data'!S919,Acceleration!$K$4:$K$110,0)),IF('Track Data'!O919=1,INDEX(Acceleration!$Q$4:$Q$110,MATCH('Track Data'!S919,Acceleration!$K$4:$K$110,0)),'Track Data'!AG919)),'Track Data'!U919)</f>
        <v>4.8208358613991411</v>
      </c>
    </row>
    <row r="920" spans="2:34" x14ac:dyDescent="0.25">
      <c r="B920" s="16">
        <v>222.471</v>
      </c>
      <c r="C920" s="16">
        <v>8190</v>
      </c>
      <c r="D920" s="16">
        <v>917</v>
      </c>
      <c r="E920" s="113">
        <v>151</v>
      </c>
      <c r="F920" s="113">
        <v>141.4</v>
      </c>
      <c r="G920" s="113">
        <v>132.5</v>
      </c>
      <c r="H920" s="113">
        <f t="shared" si="103"/>
        <v>36.805555555555557</v>
      </c>
      <c r="I920" s="113">
        <v>12.8</v>
      </c>
      <c r="J920" s="113">
        <v>29.1</v>
      </c>
      <c r="K920" s="113">
        <v>52.1</v>
      </c>
      <c r="L920" s="183"/>
      <c r="M920" s="16">
        <v>917</v>
      </c>
      <c r="N920" s="16">
        <f t="shared" si="105"/>
        <v>2.2937824583009154E-2</v>
      </c>
      <c r="O920" s="16">
        <v>4</v>
      </c>
      <c r="P920" s="16">
        <f t="shared" si="101"/>
        <v>9.1833785004516724</v>
      </c>
      <c r="Q920" s="16">
        <f t="shared" si="106"/>
        <v>43.59611332718687</v>
      </c>
      <c r="R920" s="113">
        <f t="shared" si="102"/>
        <v>329.49099999999999</v>
      </c>
      <c r="S920" s="16">
        <f>IF(S919=15800,15800,ROUND((((Q920*60)/'Gearing Calculator'!$C$14)*'Track Data'!P920),-2))</f>
        <v>12100</v>
      </c>
      <c r="T920" s="16">
        <f t="shared" si="104"/>
        <v>4.8208358613991411</v>
      </c>
      <c r="U920" s="16">
        <f>IF(AC920=100,Braking!$AG$2354,IF(AC920=50,Braking!$AG$1179,IF(AC920=75,Braking!$AG$1767,0)))</f>
        <v>0</v>
      </c>
      <c r="V920" s="16">
        <f>0.5*'Gearing Calculator'!$C$15*'Gearing Calculator'!$C$20*'Gearing Calculator'!$W$20*('Track Data'!Q920^2)</f>
        <v>201.16173693155565</v>
      </c>
      <c r="W920" s="16">
        <f>('Gearing Calculator'!$U$9*'Track Data'!T920)+'Track Data'!V920</f>
        <v>1484.4682432360069</v>
      </c>
      <c r="X920" s="16">
        <f>('Gearing Calculator'!$U$9*9.81)*('Gearing Calculator'!$U$16/'Gearing Calculator'!$C$7)-(('Track Data'!W920)*('Gearing Calculator'!$U$17/'Gearing Calculator'!$C$7))</f>
        <v>592.02572755831886</v>
      </c>
      <c r="Y920" s="16">
        <f>('Gearing Calculator'!$U$9*9.81)*(('Gearing Calculator'!$C$7-'Gearing Calculator'!$U$16)/'Gearing Calculator'!$C$7)+(('Track Data'!W920)*('Gearing Calculator'!$U$17/'Gearing Calculator'!$C$7))</f>
        <v>2019.396272441681</v>
      </c>
      <c r="Z920" s="16">
        <f>((X920*COS('Gearing Calculator'!$C$21))/'Gearing Calculator'!$C$22)/2</f>
        <v>18.303563078254452</v>
      </c>
      <c r="AA920" s="16">
        <f>Y920/'Gearing Calculator'!$C$24</f>
        <v>28.197545111657071</v>
      </c>
      <c r="AB920" s="16">
        <f t="shared" si="100"/>
        <v>220.44508037715221</v>
      </c>
      <c r="AC920" s="16">
        <v>0</v>
      </c>
      <c r="AD920" s="16">
        <v>48.889993475913293</v>
      </c>
      <c r="AE920" s="16">
        <v>917</v>
      </c>
      <c r="AF920" s="16">
        <f>IF(AC920=0,IF(O920=6,INDEX(Acceleration!$V$4:$V$110,MATCH('Track Data'!S920,Acceleration!$K$4:$K$110,0)),IF('Track Data'!O920=5,INDEX(Acceleration!$U$4:$U$110,MATCH('Track Data'!S920,Acceleration!$K$4:$K$110,0)),1)),U920)</f>
        <v>1</v>
      </c>
      <c r="AG920" s="16">
        <f>IF(AC920=0,IF(O920=4,INDEX(Acceleration!$T$4:$T$110,MATCH('Track Data'!S920,Acceleration!$K$4:$K$110,0)),IF('Track Data'!O920=3,INDEX(Acceleration!$S$4:$S$110,MATCH('Track Data'!S920,Acceleration!$K$4:$K$110,0)),'Track Data'!AF920)),'Track Data'!U920)</f>
        <v>4.8208358613991411</v>
      </c>
      <c r="AH920" s="16">
        <f>IF(AC920=0,IF(O920=2,INDEX(Acceleration!$R$4:$R$110,MATCH('Track Data'!S920,Acceleration!$K$4:$K$110,0)),IF('Track Data'!O920=1,INDEX(Acceleration!$Q$4:$Q$110,MATCH('Track Data'!S920,Acceleration!$K$4:$K$110,0)),'Track Data'!AG920)),'Track Data'!U920)</f>
        <v>4.8208358613991411</v>
      </c>
    </row>
    <row r="921" spans="2:34" x14ac:dyDescent="0.25">
      <c r="B921" s="16">
        <v>222.49600000000001</v>
      </c>
      <c r="C921" s="16">
        <v>8191</v>
      </c>
      <c r="D921" s="16">
        <v>918</v>
      </c>
      <c r="E921" s="113">
        <v>152</v>
      </c>
      <c r="F921" s="113">
        <v>141.69999999999999</v>
      </c>
      <c r="G921" s="113">
        <v>132.80000000000001</v>
      </c>
      <c r="H921" s="113">
        <f t="shared" si="103"/>
        <v>36.888888888888893</v>
      </c>
      <c r="I921" s="113">
        <v>12.1</v>
      </c>
      <c r="J921" s="113">
        <v>28.05</v>
      </c>
      <c r="K921" s="113">
        <v>51.9</v>
      </c>
      <c r="L921" s="183"/>
      <c r="M921" s="16">
        <v>918</v>
      </c>
      <c r="N921" s="16">
        <f t="shared" si="105"/>
        <v>2.2937824583009154E-2</v>
      </c>
      <c r="O921" s="16">
        <v>4</v>
      </c>
      <c r="P921" s="16">
        <f t="shared" si="101"/>
        <v>9.1833785004516724</v>
      </c>
      <c r="Q921" s="16">
        <f t="shared" si="106"/>
        <v>43.59611332718687</v>
      </c>
      <c r="R921" s="113">
        <f t="shared" si="102"/>
        <v>329.49099999999999</v>
      </c>
      <c r="S921" s="16">
        <f>IF(S920=15800,15800,ROUND((((Q921*60)/'Gearing Calculator'!$C$14)*'Track Data'!P921),-2))</f>
        <v>12100</v>
      </c>
      <c r="T921" s="16">
        <f t="shared" si="104"/>
        <v>4.8208358613991411</v>
      </c>
      <c r="U921" s="16">
        <f>IF(AC921=100,Braking!$AG$2354,IF(AC921=50,Braking!$AG$1179,IF(AC921=75,Braking!$AG$1767,0)))</f>
        <v>0</v>
      </c>
      <c r="V921" s="16">
        <f>0.5*'Gearing Calculator'!$C$15*'Gearing Calculator'!$C$20*'Gearing Calculator'!$W$20*('Track Data'!Q921^2)</f>
        <v>201.16173693155565</v>
      </c>
      <c r="W921" s="16">
        <f>('Gearing Calculator'!$U$9*'Track Data'!T921)+'Track Data'!V921</f>
        <v>1484.4682432360069</v>
      </c>
      <c r="X921" s="16">
        <f>('Gearing Calculator'!$U$9*9.81)*('Gearing Calculator'!$U$16/'Gearing Calculator'!$C$7)-(('Track Data'!W921)*('Gearing Calculator'!$U$17/'Gearing Calculator'!$C$7))</f>
        <v>592.02572755831886</v>
      </c>
      <c r="Y921" s="16">
        <f>('Gearing Calculator'!$U$9*9.81)*(('Gearing Calculator'!$C$7-'Gearing Calculator'!$U$16)/'Gearing Calculator'!$C$7)+(('Track Data'!W921)*('Gearing Calculator'!$U$17/'Gearing Calculator'!$C$7))</f>
        <v>2019.396272441681</v>
      </c>
      <c r="Z921" s="16">
        <f>((X921*COS('Gearing Calculator'!$C$21))/'Gearing Calculator'!$C$22)/2</f>
        <v>18.303563078254452</v>
      </c>
      <c r="AA921" s="16">
        <f>Y921/'Gearing Calculator'!$C$24</f>
        <v>28.197545111657071</v>
      </c>
      <c r="AB921" s="16">
        <f t="shared" si="100"/>
        <v>220.44508037715221</v>
      </c>
      <c r="AC921" s="16">
        <v>0</v>
      </c>
      <c r="AD921" s="16">
        <v>48.889993475913293</v>
      </c>
      <c r="AE921" s="16">
        <v>918</v>
      </c>
      <c r="AF921" s="16">
        <f>IF(AC921=0,IF(O921=6,INDEX(Acceleration!$V$4:$V$110,MATCH('Track Data'!S921,Acceleration!$K$4:$K$110,0)),IF('Track Data'!O921=5,INDEX(Acceleration!$U$4:$U$110,MATCH('Track Data'!S921,Acceleration!$K$4:$K$110,0)),1)),U921)</f>
        <v>1</v>
      </c>
      <c r="AG921" s="16">
        <f>IF(AC921=0,IF(O921=4,INDEX(Acceleration!$T$4:$T$110,MATCH('Track Data'!S921,Acceleration!$K$4:$K$110,0)),IF('Track Data'!O921=3,INDEX(Acceleration!$S$4:$S$110,MATCH('Track Data'!S921,Acceleration!$K$4:$K$110,0)),'Track Data'!AF921)),'Track Data'!U921)</f>
        <v>4.8208358613991411</v>
      </c>
      <c r="AH921" s="16">
        <f>IF(AC921=0,IF(O921=2,INDEX(Acceleration!$R$4:$R$110,MATCH('Track Data'!S921,Acceleration!$K$4:$K$110,0)),IF('Track Data'!O921=1,INDEX(Acceleration!$Q$4:$Q$110,MATCH('Track Data'!S921,Acceleration!$K$4:$K$110,0)),'Track Data'!AG921)),'Track Data'!U921)</f>
        <v>4.8208358613991411</v>
      </c>
    </row>
    <row r="922" spans="2:34" x14ac:dyDescent="0.25">
      <c r="B922" s="16">
        <v>222.52099999999999</v>
      </c>
      <c r="C922" s="16">
        <v>8192</v>
      </c>
      <c r="D922" s="16">
        <v>919</v>
      </c>
      <c r="E922" s="113">
        <v>153</v>
      </c>
      <c r="F922" s="113">
        <v>142.30000000000001</v>
      </c>
      <c r="G922" s="113">
        <v>133.19999999999999</v>
      </c>
      <c r="H922" s="113">
        <f t="shared" si="103"/>
        <v>36.999999999999993</v>
      </c>
      <c r="I922" s="113">
        <v>10.3</v>
      </c>
      <c r="J922" s="113">
        <v>23.03</v>
      </c>
      <c r="K922" s="113">
        <v>51.9</v>
      </c>
      <c r="L922" s="183"/>
      <c r="M922" s="16">
        <v>919</v>
      </c>
      <c r="N922" s="16">
        <f t="shared" si="105"/>
        <v>2.2937824583009154E-2</v>
      </c>
      <c r="O922" s="16">
        <v>4</v>
      </c>
      <c r="P922" s="16">
        <f t="shared" si="101"/>
        <v>9.1833785004516724</v>
      </c>
      <c r="Q922" s="16">
        <f t="shared" si="106"/>
        <v>43.59611332718687</v>
      </c>
      <c r="R922" s="113">
        <f t="shared" si="102"/>
        <v>329.49099999999999</v>
      </c>
      <c r="S922" s="16">
        <f>IF(S921=15800,15800,ROUND((((Q922*60)/'Gearing Calculator'!$C$14)*'Track Data'!P922),-2))</f>
        <v>12100</v>
      </c>
      <c r="T922" s="16">
        <f t="shared" si="104"/>
        <v>4.8208358613991411</v>
      </c>
      <c r="U922" s="16">
        <f>IF(AC922=100,Braking!$AG$2354,IF(AC922=50,Braking!$AG$1179,IF(AC922=75,Braking!$AG$1767,0)))</f>
        <v>0</v>
      </c>
      <c r="V922" s="16">
        <f>0.5*'Gearing Calculator'!$C$15*'Gearing Calculator'!$C$20*'Gearing Calculator'!$W$20*('Track Data'!Q922^2)</f>
        <v>201.16173693155565</v>
      </c>
      <c r="W922" s="16">
        <f>('Gearing Calculator'!$U$9*'Track Data'!T922)+'Track Data'!V922</f>
        <v>1484.4682432360069</v>
      </c>
      <c r="X922" s="16">
        <f>('Gearing Calculator'!$U$9*9.81)*('Gearing Calculator'!$U$16/'Gearing Calculator'!$C$7)-(('Track Data'!W922)*('Gearing Calculator'!$U$17/'Gearing Calculator'!$C$7))</f>
        <v>592.02572755831886</v>
      </c>
      <c r="Y922" s="16">
        <f>('Gearing Calculator'!$U$9*9.81)*(('Gearing Calculator'!$C$7-'Gearing Calculator'!$U$16)/'Gearing Calculator'!$C$7)+(('Track Data'!W922)*('Gearing Calculator'!$U$17/'Gearing Calculator'!$C$7))</f>
        <v>2019.396272441681</v>
      </c>
      <c r="Z922" s="16">
        <f>((X922*COS('Gearing Calculator'!$C$21))/'Gearing Calculator'!$C$22)/2</f>
        <v>18.303563078254452</v>
      </c>
      <c r="AA922" s="16">
        <f>Y922/'Gearing Calculator'!$C$24</f>
        <v>28.197545111657071</v>
      </c>
      <c r="AB922" s="16">
        <f t="shared" si="100"/>
        <v>220.44508037715221</v>
      </c>
      <c r="AC922" s="16">
        <v>0</v>
      </c>
      <c r="AD922" s="16">
        <v>48.889993475913293</v>
      </c>
      <c r="AE922" s="16">
        <v>919</v>
      </c>
      <c r="AF922" s="16">
        <f>IF(AC922=0,IF(O922=6,INDEX(Acceleration!$V$4:$V$110,MATCH('Track Data'!S922,Acceleration!$K$4:$K$110,0)),IF('Track Data'!O922=5,INDEX(Acceleration!$U$4:$U$110,MATCH('Track Data'!S922,Acceleration!$K$4:$K$110,0)),1)),U922)</f>
        <v>1</v>
      </c>
      <c r="AG922" s="16">
        <f>IF(AC922=0,IF(O922=4,INDEX(Acceleration!$T$4:$T$110,MATCH('Track Data'!S922,Acceleration!$K$4:$K$110,0)),IF('Track Data'!O922=3,INDEX(Acceleration!$S$4:$S$110,MATCH('Track Data'!S922,Acceleration!$K$4:$K$110,0)),'Track Data'!AF922)),'Track Data'!U922)</f>
        <v>4.8208358613991411</v>
      </c>
      <c r="AH922" s="16">
        <f>IF(AC922=0,IF(O922=2,INDEX(Acceleration!$R$4:$R$110,MATCH('Track Data'!S922,Acceleration!$K$4:$K$110,0)),IF('Track Data'!O922=1,INDEX(Acceleration!$Q$4:$Q$110,MATCH('Track Data'!S922,Acceleration!$K$4:$K$110,0)),'Track Data'!AG922)),'Track Data'!U922)</f>
        <v>4.8208358613991411</v>
      </c>
    </row>
    <row r="923" spans="2:34" x14ac:dyDescent="0.25">
      <c r="B923" s="16">
        <v>222.547</v>
      </c>
      <c r="C923" s="16">
        <v>8193</v>
      </c>
      <c r="D923" s="16">
        <v>920</v>
      </c>
      <c r="E923" s="113">
        <v>155</v>
      </c>
      <c r="F923" s="113">
        <v>143.1</v>
      </c>
      <c r="G923" s="113">
        <v>133.5</v>
      </c>
      <c r="H923" s="113">
        <f t="shared" si="103"/>
        <v>37.083333333333336</v>
      </c>
      <c r="I923" s="113">
        <v>8.9</v>
      </c>
      <c r="J923" s="113">
        <v>27.26</v>
      </c>
      <c r="K923" s="113">
        <v>51.9</v>
      </c>
      <c r="L923" s="183"/>
      <c r="M923" s="16">
        <v>920</v>
      </c>
      <c r="N923" s="16">
        <f t="shared" si="105"/>
        <v>2.2937824583009154E-2</v>
      </c>
      <c r="O923" s="16">
        <v>4</v>
      </c>
      <c r="P923" s="16">
        <f t="shared" si="101"/>
        <v>9.1833785004516724</v>
      </c>
      <c r="Q923" s="16">
        <f t="shared" si="106"/>
        <v>43.59611332718687</v>
      </c>
      <c r="R923" s="113">
        <f t="shared" si="102"/>
        <v>329.49099999999999</v>
      </c>
      <c r="S923" s="16">
        <f>IF(S922=15800,15800,ROUND((((Q923*60)/'Gearing Calculator'!$C$14)*'Track Data'!P923),-2))</f>
        <v>12100</v>
      </c>
      <c r="T923" s="16">
        <f t="shared" si="104"/>
        <v>4.8208358613991411</v>
      </c>
      <c r="U923" s="16">
        <f>IF(AC923=100,Braking!$AG$2354,IF(AC923=50,Braking!$AG$1179,IF(AC923=75,Braking!$AG$1767,0)))</f>
        <v>0</v>
      </c>
      <c r="V923" s="16">
        <f>0.5*'Gearing Calculator'!$C$15*'Gearing Calculator'!$C$20*'Gearing Calculator'!$W$20*('Track Data'!Q923^2)</f>
        <v>201.16173693155565</v>
      </c>
      <c r="W923" s="16">
        <f>('Gearing Calculator'!$U$9*'Track Data'!T923)+'Track Data'!V923</f>
        <v>1484.4682432360069</v>
      </c>
      <c r="X923" s="16">
        <f>('Gearing Calculator'!$U$9*9.81)*('Gearing Calculator'!$U$16/'Gearing Calculator'!$C$7)-(('Track Data'!W923)*('Gearing Calculator'!$U$17/'Gearing Calculator'!$C$7))</f>
        <v>592.02572755831886</v>
      </c>
      <c r="Y923" s="16">
        <f>('Gearing Calculator'!$U$9*9.81)*(('Gearing Calculator'!$C$7-'Gearing Calculator'!$U$16)/'Gearing Calculator'!$C$7)+(('Track Data'!W923)*('Gearing Calculator'!$U$17/'Gearing Calculator'!$C$7))</f>
        <v>2019.396272441681</v>
      </c>
      <c r="Z923" s="16">
        <f>((X923*COS('Gearing Calculator'!$C$21))/'Gearing Calculator'!$C$22)/2</f>
        <v>18.303563078254452</v>
      </c>
      <c r="AA923" s="16">
        <f>Y923/'Gearing Calculator'!$C$24</f>
        <v>28.197545111657071</v>
      </c>
      <c r="AB923" s="16">
        <f t="shared" si="100"/>
        <v>220.44508037715221</v>
      </c>
      <c r="AC923" s="16">
        <v>0</v>
      </c>
      <c r="AD923" s="16">
        <v>48.889993475913293</v>
      </c>
      <c r="AE923" s="16">
        <v>920</v>
      </c>
      <c r="AF923" s="16">
        <f>IF(AC923=0,IF(O923=6,INDEX(Acceleration!$V$4:$V$110,MATCH('Track Data'!S923,Acceleration!$K$4:$K$110,0)),IF('Track Data'!O923=5,INDEX(Acceleration!$U$4:$U$110,MATCH('Track Data'!S923,Acceleration!$K$4:$K$110,0)),1)),U923)</f>
        <v>1</v>
      </c>
      <c r="AG923" s="16">
        <f>IF(AC923=0,IF(O923=4,INDEX(Acceleration!$T$4:$T$110,MATCH('Track Data'!S923,Acceleration!$K$4:$K$110,0)),IF('Track Data'!O923=3,INDEX(Acceleration!$S$4:$S$110,MATCH('Track Data'!S923,Acceleration!$K$4:$K$110,0)),'Track Data'!AF923)),'Track Data'!U923)</f>
        <v>4.8208358613991411</v>
      </c>
      <c r="AH923" s="16">
        <f>IF(AC923=0,IF(O923=2,INDEX(Acceleration!$R$4:$R$110,MATCH('Track Data'!S923,Acceleration!$K$4:$K$110,0)),IF('Track Data'!O923=1,INDEX(Acceleration!$Q$4:$Q$110,MATCH('Track Data'!S923,Acceleration!$K$4:$K$110,0)),'Track Data'!AG923)),'Track Data'!U923)</f>
        <v>4.8208358613991411</v>
      </c>
    </row>
    <row r="924" spans="2:34" x14ac:dyDescent="0.25">
      <c r="B924" s="16">
        <v>222.572</v>
      </c>
      <c r="C924" s="16">
        <v>8194</v>
      </c>
      <c r="D924" s="16">
        <v>921</v>
      </c>
      <c r="E924" s="113">
        <v>156</v>
      </c>
      <c r="F924" s="113">
        <v>143.9</v>
      </c>
      <c r="G924" s="113">
        <v>134</v>
      </c>
      <c r="H924" s="113">
        <f t="shared" si="103"/>
        <v>37.222222222222221</v>
      </c>
      <c r="I924" s="113">
        <v>7.2</v>
      </c>
      <c r="J924" s="113">
        <v>27.42</v>
      </c>
      <c r="K924" s="113">
        <v>51.9</v>
      </c>
      <c r="L924" s="183"/>
      <c r="M924" s="16">
        <v>921</v>
      </c>
      <c r="N924" s="16">
        <f t="shared" si="105"/>
        <v>2.2937824583009154E-2</v>
      </c>
      <c r="O924" s="16">
        <v>4</v>
      </c>
      <c r="P924" s="16">
        <f t="shared" si="101"/>
        <v>9.1833785004516724</v>
      </c>
      <c r="Q924" s="16">
        <f t="shared" si="106"/>
        <v>43.59611332718687</v>
      </c>
      <c r="R924" s="113">
        <f t="shared" si="102"/>
        <v>329.49099999999999</v>
      </c>
      <c r="S924" s="16">
        <f>IF(S923=15800,15800,ROUND((((Q924*60)/'Gearing Calculator'!$C$14)*'Track Data'!P924),-2))</f>
        <v>12100</v>
      </c>
      <c r="T924" s="16">
        <f t="shared" si="104"/>
        <v>4.8208358613991411</v>
      </c>
      <c r="U924" s="16">
        <f>IF(AC924=100,Braking!$AG$2354,IF(AC924=50,Braking!$AG$1179,IF(AC924=75,Braking!$AG$1767,0)))</f>
        <v>0</v>
      </c>
      <c r="V924" s="16">
        <f>0.5*'Gearing Calculator'!$C$15*'Gearing Calculator'!$C$20*'Gearing Calculator'!$W$20*('Track Data'!Q924^2)</f>
        <v>201.16173693155565</v>
      </c>
      <c r="W924" s="16">
        <f>('Gearing Calculator'!$U$9*'Track Data'!T924)+'Track Data'!V924</f>
        <v>1484.4682432360069</v>
      </c>
      <c r="X924" s="16">
        <f>('Gearing Calculator'!$U$9*9.81)*('Gearing Calculator'!$U$16/'Gearing Calculator'!$C$7)-(('Track Data'!W924)*('Gearing Calculator'!$U$17/'Gearing Calculator'!$C$7))</f>
        <v>592.02572755831886</v>
      </c>
      <c r="Y924" s="16">
        <f>('Gearing Calculator'!$U$9*9.81)*(('Gearing Calculator'!$C$7-'Gearing Calculator'!$U$16)/'Gearing Calculator'!$C$7)+(('Track Data'!W924)*('Gearing Calculator'!$U$17/'Gearing Calculator'!$C$7))</f>
        <v>2019.396272441681</v>
      </c>
      <c r="Z924" s="16">
        <f>((X924*COS('Gearing Calculator'!$C$21))/'Gearing Calculator'!$C$22)/2</f>
        <v>18.303563078254452</v>
      </c>
      <c r="AA924" s="16">
        <f>Y924/'Gearing Calculator'!$C$24</f>
        <v>28.197545111657071</v>
      </c>
      <c r="AB924" s="16">
        <f t="shared" si="100"/>
        <v>220.44508037715221</v>
      </c>
      <c r="AC924" s="16">
        <v>0</v>
      </c>
      <c r="AD924" s="16">
        <v>48.889993475913293</v>
      </c>
      <c r="AE924" s="16">
        <v>921</v>
      </c>
      <c r="AF924" s="16">
        <f>IF(AC924=0,IF(O924=6,INDEX(Acceleration!$V$4:$V$110,MATCH('Track Data'!S924,Acceleration!$K$4:$K$110,0)),IF('Track Data'!O924=5,INDEX(Acceleration!$U$4:$U$110,MATCH('Track Data'!S924,Acceleration!$K$4:$K$110,0)),1)),U924)</f>
        <v>1</v>
      </c>
      <c r="AG924" s="16">
        <f>IF(AC924=0,IF(O924=4,INDEX(Acceleration!$T$4:$T$110,MATCH('Track Data'!S924,Acceleration!$K$4:$K$110,0)),IF('Track Data'!O924=3,INDEX(Acceleration!$S$4:$S$110,MATCH('Track Data'!S924,Acceleration!$K$4:$K$110,0)),'Track Data'!AF924)),'Track Data'!U924)</f>
        <v>4.8208358613991411</v>
      </c>
      <c r="AH924" s="16">
        <f>IF(AC924=0,IF(O924=2,INDEX(Acceleration!$R$4:$R$110,MATCH('Track Data'!S924,Acceleration!$K$4:$K$110,0)),IF('Track Data'!O924=1,INDEX(Acceleration!$Q$4:$Q$110,MATCH('Track Data'!S924,Acceleration!$K$4:$K$110,0)),'Track Data'!AG924)),'Track Data'!U924)</f>
        <v>4.8208358613991411</v>
      </c>
    </row>
    <row r="925" spans="2:34" x14ac:dyDescent="0.25">
      <c r="B925" s="16">
        <v>222.59700000000001</v>
      </c>
      <c r="C925" s="16">
        <v>8195</v>
      </c>
      <c r="D925" s="16">
        <v>922</v>
      </c>
      <c r="E925" s="113">
        <v>155</v>
      </c>
      <c r="F925" s="113">
        <v>144.1</v>
      </c>
      <c r="G925" s="113">
        <v>134.30000000000001</v>
      </c>
      <c r="H925" s="113">
        <f t="shared" si="103"/>
        <v>37.305555555555557</v>
      </c>
      <c r="I925" s="113">
        <v>8.3000000000000007</v>
      </c>
      <c r="J925" s="113">
        <v>31.3</v>
      </c>
      <c r="K925" s="113">
        <v>51.9</v>
      </c>
      <c r="L925" s="183"/>
      <c r="M925" s="16">
        <v>922</v>
      </c>
      <c r="N925" s="16">
        <f t="shared" si="105"/>
        <v>2.2937824583009154E-2</v>
      </c>
      <c r="O925" s="16">
        <v>4</v>
      </c>
      <c r="P925" s="16">
        <f t="shared" si="101"/>
        <v>9.1833785004516724</v>
      </c>
      <c r="Q925" s="16">
        <f t="shared" si="106"/>
        <v>43.59611332718687</v>
      </c>
      <c r="R925" s="113">
        <f t="shared" si="102"/>
        <v>329.49099999999999</v>
      </c>
      <c r="S925" s="16">
        <f>IF(S924=15800,15800,ROUND((((Q925*60)/'Gearing Calculator'!$C$14)*'Track Data'!P925),-2))</f>
        <v>12100</v>
      </c>
      <c r="T925" s="16">
        <f t="shared" si="104"/>
        <v>4.8208358613991411</v>
      </c>
      <c r="U925" s="16">
        <f>IF(AC925=100,Braking!$AG$2354,IF(AC925=50,Braking!$AG$1179,IF(AC925=75,Braking!$AG$1767,0)))</f>
        <v>0</v>
      </c>
      <c r="V925" s="16">
        <f>0.5*'Gearing Calculator'!$C$15*'Gearing Calculator'!$C$20*'Gearing Calculator'!$W$20*('Track Data'!Q925^2)</f>
        <v>201.16173693155565</v>
      </c>
      <c r="W925" s="16">
        <f>('Gearing Calculator'!$U$9*'Track Data'!T925)+'Track Data'!V925</f>
        <v>1484.4682432360069</v>
      </c>
      <c r="X925" s="16">
        <f>('Gearing Calculator'!$U$9*9.81)*('Gearing Calculator'!$U$16/'Gearing Calculator'!$C$7)-(('Track Data'!W925)*('Gearing Calculator'!$U$17/'Gearing Calculator'!$C$7))</f>
        <v>592.02572755831886</v>
      </c>
      <c r="Y925" s="16">
        <f>('Gearing Calculator'!$U$9*9.81)*(('Gearing Calculator'!$C$7-'Gearing Calculator'!$U$16)/'Gearing Calculator'!$C$7)+(('Track Data'!W925)*('Gearing Calculator'!$U$17/'Gearing Calculator'!$C$7))</f>
        <v>2019.396272441681</v>
      </c>
      <c r="Z925" s="16">
        <f>((X925*COS('Gearing Calculator'!$C$21))/'Gearing Calculator'!$C$22)/2</f>
        <v>18.303563078254452</v>
      </c>
      <c r="AA925" s="16">
        <f>Y925/'Gearing Calculator'!$C$24</f>
        <v>28.197545111657071</v>
      </c>
      <c r="AB925" s="16">
        <f t="shared" si="100"/>
        <v>220.44508037715221</v>
      </c>
      <c r="AC925" s="16">
        <v>0</v>
      </c>
      <c r="AD925" s="16">
        <v>48.889993475913293</v>
      </c>
      <c r="AE925" s="16">
        <v>922</v>
      </c>
      <c r="AF925" s="16">
        <f>IF(AC925=0,IF(O925=6,INDEX(Acceleration!$V$4:$V$110,MATCH('Track Data'!S925,Acceleration!$K$4:$K$110,0)),IF('Track Data'!O925=5,INDEX(Acceleration!$U$4:$U$110,MATCH('Track Data'!S925,Acceleration!$K$4:$K$110,0)),1)),U925)</f>
        <v>1</v>
      </c>
      <c r="AG925" s="16">
        <f>IF(AC925=0,IF(O925=4,INDEX(Acceleration!$T$4:$T$110,MATCH('Track Data'!S925,Acceleration!$K$4:$K$110,0)),IF('Track Data'!O925=3,INDEX(Acceleration!$S$4:$S$110,MATCH('Track Data'!S925,Acceleration!$K$4:$K$110,0)),'Track Data'!AF925)),'Track Data'!U925)</f>
        <v>4.8208358613991411</v>
      </c>
      <c r="AH925" s="16">
        <f>IF(AC925=0,IF(O925=2,INDEX(Acceleration!$R$4:$R$110,MATCH('Track Data'!S925,Acceleration!$K$4:$K$110,0)),IF('Track Data'!O925=1,INDEX(Acceleration!$Q$4:$Q$110,MATCH('Track Data'!S925,Acceleration!$K$4:$K$110,0)),'Track Data'!AG925)),'Track Data'!U925)</f>
        <v>4.8208358613991411</v>
      </c>
    </row>
    <row r="926" spans="2:34" x14ac:dyDescent="0.25">
      <c r="B926" s="16">
        <v>222.62200000000001</v>
      </c>
      <c r="C926" s="16">
        <v>8196</v>
      </c>
      <c r="D926" s="16">
        <v>923</v>
      </c>
      <c r="E926" s="113">
        <v>154</v>
      </c>
      <c r="F926" s="113">
        <v>144.5</v>
      </c>
      <c r="G926" s="113">
        <v>134.80000000000001</v>
      </c>
      <c r="H926" s="113">
        <f t="shared" si="103"/>
        <v>37.44444444444445</v>
      </c>
      <c r="I926" s="113">
        <v>11.5</v>
      </c>
      <c r="J926" s="113">
        <v>33.159999999999997</v>
      </c>
      <c r="K926" s="113">
        <v>51.9</v>
      </c>
      <c r="L926" s="183"/>
      <c r="M926" s="16">
        <v>923</v>
      </c>
      <c r="N926" s="16">
        <f t="shared" si="105"/>
        <v>2.2937824583009154E-2</v>
      </c>
      <c r="O926" s="16">
        <v>4</v>
      </c>
      <c r="P926" s="16">
        <f t="shared" si="101"/>
        <v>9.1833785004516724</v>
      </c>
      <c r="Q926" s="16">
        <f t="shared" si="106"/>
        <v>43.59611332718687</v>
      </c>
      <c r="R926" s="113">
        <f t="shared" si="102"/>
        <v>329.49099999999999</v>
      </c>
      <c r="S926" s="16">
        <f>IF(S925=15800,15800,ROUND((((Q926*60)/'Gearing Calculator'!$C$14)*'Track Data'!P926),-2))</f>
        <v>12100</v>
      </c>
      <c r="T926" s="16">
        <f t="shared" si="104"/>
        <v>4.8208358613991411</v>
      </c>
      <c r="U926" s="16">
        <f>IF(AC926=100,Braking!$AG$2354,IF(AC926=50,Braking!$AG$1179,IF(AC926=75,Braking!$AG$1767,0)))</f>
        <v>0</v>
      </c>
      <c r="V926" s="16">
        <f>0.5*'Gearing Calculator'!$C$15*'Gearing Calculator'!$C$20*'Gearing Calculator'!$W$20*('Track Data'!Q926^2)</f>
        <v>201.16173693155565</v>
      </c>
      <c r="W926" s="16">
        <f>('Gearing Calculator'!$U$9*'Track Data'!T926)+'Track Data'!V926</f>
        <v>1484.4682432360069</v>
      </c>
      <c r="X926" s="16">
        <f>('Gearing Calculator'!$U$9*9.81)*('Gearing Calculator'!$U$16/'Gearing Calculator'!$C$7)-(('Track Data'!W926)*('Gearing Calculator'!$U$17/'Gearing Calculator'!$C$7))</f>
        <v>592.02572755831886</v>
      </c>
      <c r="Y926" s="16">
        <f>('Gearing Calculator'!$U$9*9.81)*(('Gearing Calculator'!$C$7-'Gearing Calculator'!$U$16)/'Gearing Calculator'!$C$7)+(('Track Data'!W926)*('Gearing Calculator'!$U$17/'Gearing Calculator'!$C$7))</f>
        <v>2019.396272441681</v>
      </c>
      <c r="Z926" s="16">
        <f>((X926*COS('Gearing Calculator'!$C$21))/'Gearing Calculator'!$C$22)/2</f>
        <v>18.303563078254452</v>
      </c>
      <c r="AA926" s="16">
        <f>Y926/'Gearing Calculator'!$C$24</f>
        <v>28.197545111657071</v>
      </c>
      <c r="AB926" s="16">
        <f t="shared" si="100"/>
        <v>220.44508037715221</v>
      </c>
      <c r="AC926" s="16">
        <v>0</v>
      </c>
      <c r="AD926" s="16">
        <v>48.889993475913293</v>
      </c>
      <c r="AE926" s="16">
        <v>923</v>
      </c>
      <c r="AF926" s="16">
        <f>IF(AC926=0,IF(O926=6,INDEX(Acceleration!$V$4:$V$110,MATCH('Track Data'!S926,Acceleration!$K$4:$K$110,0)),IF('Track Data'!O926=5,INDEX(Acceleration!$U$4:$U$110,MATCH('Track Data'!S926,Acceleration!$K$4:$K$110,0)),1)),U926)</f>
        <v>1</v>
      </c>
      <c r="AG926" s="16">
        <f>IF(AC926=0,IF(O926=4,INDEX(Acceleration!$T$4:$T$110,MATCH('Track Data'!S926,Acceleration!$K$4:$K$110,0)),IF('Track Data'!O926=3,INDEX(Acceleration!$S$4:$S$110,MATCH('Track Data'!S926,Acceleration!$K$4:$K$110,0)),'Track Data'!AF926)),'Track Data'!U926)</f>
        <v>4.8208358613991411</v>
      </c>
      <c r="AH926" s="16">
        <f>IF(AC926=0,IF(O926=2,INDEX(Acceleration!$R$4:$R$110,MATCH('Track Data'!S926,Acceleration!$K$4:$K$110,0)),IF('Track Data'!O926=1,INDEX(Acceleration!$Q$4:$Q$110,MATCH('Track Data'!S926,Acceleration!$K$4:$K$110,0)),'Track Data'!AG926)),'Track Data'!U926)</f>
        <v>4.8208358613991411</v>
      </c>
    </row>
    <row r="927" spans="2:34" x14ac:dyDescent="0.25">
      <c r="B927" s="16">
        <v>222.64699999999999</v>
      </c>
      <c r="C927" s="16">
        <v>8197</v>
      </c>
      <c r="D927" s="16">
        <v>924</v>
      </c>
      <c r="E927" s="113">
        <v>154</v>
      </c>
      <c r="F927" s="113">
        <v>144.80000000000001</v>
      </c>
      <c r="G927" s="113">
        <v>135.1</v>
      </c>
      <c r="H927" s="113">
        <f t="shared" si="103"/>
        <v>37.527777777777779</v>
      </c>
      <c r="I927" s="113">
        <v>14.1</v>
      </c>
      <c r="J927" s="113">
        <v>31.48</v>
      </c>
      <c r="K927" s="113">
        <v>51.7</v>
      </c>
      <c r="L927" s="183"/>
      <c r="M927" s="16">
        <v>924</v>
      </c>
      <c r="N927" s="16">
        <f t="shared" si="105"/>
        <v>2.2937824583009154E-2</v>
      </c>
      <c r="O927" s="16">
        <v>4</v>
      </c>
      <c r="P927" s="16">
        <f t="shared" si="101"/>
        <v>9.1833785004516724</v>
      </c>
      <c r="Q927" s="16">
        <f t="shared" si="106"/>
        <v>43.59611332718687</v>
      </c>
      <c r="R927" s="113">
        <f t="shared" si="102"/>
        <v>329.49099999999999</v>
      </c>
      <c r="S927" s="16">
        <f>IF(S926=15800,15800,ROUND((((Q927*60)/'Gearing Calculator'!$C$14)*'Track Data'!P927),-2))</f>
        <v>12100</v>
      </c>
      <c r="T927" s="16">
        <f t="shared" si="104"/>
        <v>4.8208358613991411</v>
      </c>
      <c r="U927" s="16">
        <f>IF(AC927=100,Braking!$AG$2354,IF(AC927=50,Braking!$AG$1179,IF(AC927=75,Braking!$AG$1767,0)))</f>
        <v>0</v>
      </c>
      <c r="V927" s="16">
        <f>0.5*'Gearing Calculator'!$C$15*'Gearing Calculator'!$C$20*'Gearing Calculator'!$W$20*('Track Data'!Q927^2)</f>
        <v>201.16173693155565</v>
      </c>
      <c r="W927" s="16">
        <f>('Gearing Calculator'!$U$9*'Track Data'!T927)+'Track Data'!V927</f>
        <v>1484.4682432360069</v>
      </c>
      <c r="X927" s="16">
        <f>('Gearing Calculator'!$U$9*9.81)*('Gearing Calculator'!$U$16/'Gearing Calculator'!$C$7)-(('Track Data'!W927)*('Gearing Calculator'!$U$17/'Gearing Calculator'!$C$7))</f>
        <v>592.02572755831886</v>
      </c>
      <c r="Y927" s="16">
        <f>('Gearing Calculator'!$U$9*9.81)*(('Gearing Calculator'!$C$7-'Gearing Calculator'!$U$16)/'Gearing Calculator'!$C$7)+(('Track Data'!W927)*('Gearing Calculator'!$U$17/'Gearing Calculator'!$C$7))</f>
        <v>2019.396272441681</v>
      </c>
      <c r="Z927" s="16">
        <f>((X927*COS('Gearing Calculator'!$C$21))/'Gearing Calculator'!$C$22)/2</f>
        <v>18.303563078254452</v>
      </c>
      <c r="AA927" s="16">
        <f>Y927/'Gearing Calculator'!$C$24</f>
        <v>28.197545111657071</v>
      </c>
      <c r="AB927" s="16">
        <f t="shared" si="100"/>
        <v>220.44508037715221</v>
      </c>
      <c r="AC927" s="16">
        <v>0</v>
      </c>
      <c r="AD927" s="16">
        <v>48.889993475913293</v>
      </c>
      <c r="AE927" s="16">
        <v>924</v>
      </c>
      <c r="AF927" s="16">
        <f>IF(AC927=0,IF(O927=6,INDEX(Acceleration!$V$4:$V$110,MATCH('Track Data'!S927,Acceleration!$K$4:$K$110,0)),IF('Track Data'!O927=5,INDEX(Acceleration!$U$4:$U$110,MATCH('Track Data'!S927,Acceleration!$K$4:$K$110,0)),1)),U927)</f>
        <v>1</v>
      </c>
      <c r="AG927" s="16">
        <f>IF(AC927=0,IF(O927=4,INDEX(Acceleration!$T$4:$T$110,MATCH('Track Data'!S927,Acceleration!$K$4:$K$110,0)),IF('Track Data'!O927=3,INDEX(Acceleration!$S$4:$S$110,MATCH('Track Data'!S927,Acceleration!$K$4:$K$110,0)),'Track Data'!AF927)),'Track Data'!U927)</f>
        <v>4.8208358613991411</v>
      </c>
      <c r="AH927" s="16">
        <f>IF(AC927=0,IF(O927=2,INDEX(Acceleration!$R$4:$R$110,MATCH('Track Data'!S927,Acceleration!$K$4:$K$110,0)),IF('Track Data'!O927=1,INDEX(Acceleration!$Q$4:$Q$110,MATCH('Track Data'!S927,Acceleration!$K$4:$K$110,0)),'Track Data'!AG927)),'Track Data'!U927)</f>
        <v>4.8208358613991411</v>
      </c>
    </row>
    <row r="928" spans="2:34" x14ac:dyDescent="0.25">
      <c r="B928" s="16">
        <v>222.67099999999999</v>
      </c>
      <c r="C928" s="16">
        <v>8198</v>
      </c>
      <c r="D928" s="16">
        <v>925</v>
      </c>
      <c r="E928" s="113">
        <v>155</v>
      </c>
      <c r="F928" s="113">
        <v>144.9</v>
      </c>
      <c r="G928" s="113">
        <v>135.6</v>
      </c>
      <c r="H928" s="113">
        <f t="shared" si="103"/>
        <v>37.666666666666664</v>
      </c>
      <c r="I928" s="113">
        <v>15.7</v>
      </c>
      <c r="J928" s="113">
        <v>30.5</v>
      </c>
      <c r="K928" s="113">
        <v>49.7</v>
      </c>
      <c r="L928" s="183"/>
      <c r="M928" s="16">
        <v>925</v>
      </c>
      <c r="N928" s="16">
        <f t="shared" si="105"/>
        <v>2.2937824583009154E-2</v>
      </c>
      <c r="O928" s="16">
        <v>4</v>
      </c>
      <c r="P928" s="16">
        <f t="shared" si="101"/>
        <v>9.1833785004516724</v>
      </c>
      <c r="Q928" s="16">
        <f t="shared" si="106"/>
        <v>43.59611332718687</v>
      </c>
      <c r="R928" s="113">
        <f t="shared" si="102"/>
        <v>329.49099999999999</v>
      </c>
      <c r="S928" s="16">
        <f>IF(S927=15800,15800,ROUND((((Q928*60)/'Gearing Calculator'!$C$14)*'Track Data'!P928),-2))</f>
        <v>12100</v>
      </c>
      <c r="T928" s="16">
        <f t="shared" si="104"/>
        <v>4.8208358613991411</v>
      </c>
      <c r="U928" s="16">
        <f>IF(AC928=100,Braking!$AG$2354,IF(AC928=50,Braking!$AG$1179,IF(AC928=75,Braking!$AG$1767,0)))</f>
        <v>0</v>
      </c>
      <c r="V928" s="16">
        <f>0.5*'Gearing Calculator'!$C$15*'Gearing Calculator'!$C$20*'Gearing Calculator'!$W$20*('Track Data'!Q928^2)</f>
        <v>201.16173693155565</v>
      </c>
      <c r="W928" s="16">
        <f>('Gearing Calculator'!$U$9*'Track Data'!T928)+'Track Data'!V928</f>
        <v>1484.4682432360069</v>
      </c>
      <c r="X928" s="16">
        <f>('Gearing Calculator'!$U$9*9.81)*('Gearing Calculator'!$U$16/'Gearing Calculator'!$C$7)-(('Track Data'!W928)*('Gearing Calculator'!$U$17/'Gearing Calculator'!$C$7))</f>
        <v>592.02572755831886</v>
      </c>
      <c r="Y928" s="16">
        <f>('Gearing Calculator'!$U$9*9.81)*(('Gearing Calculator'!$C$7-'Gearing Calculator'!$U$16)/'Gearing Calculator'!$C$7)+(('Track Data'!W928)*('Gearing Calculator'!$U$17/'Gearing Calculator'!$C$7))</f>
        <v>2019.396272441681</v>
      </c>
      <c r="Z928" s="16">
        <f>((X928*COS('Gearing Calculator'!$C$21))/'Gearing Calculator'!$C$22)/2</f>
        <v>18.303563078254452</v>
      </c>
      <c r="AA928" s="16">
        <f>Y928/'Gearing Calculator'!$C$24</f>
        <v>28.197545111657071</v>
      </c>
      <c r="AB928" s="16">
        <f t="shared" si="100"/>
        <v>220.44508037715221</v>
      </c>
      <c r="AC928" s="16">
        <v>0</v>
      </c>
      <c r="AD928" s="16">
        <v>48.889993475913293</v>
      </c>
      <c r="AE928" s="16">
        <v>925</v>
      </c>
      <c r="AF928" s="16">
        <f>IF(AC928=0,IF(O928=6,INDEX(Acceleration!$V$4:$V$110,MATCH('Track Data'!S928,Acceleration!$K$4:$K$110,0)),IF('Track Data'!O928=5,INDEX(Acceleration!$U$4:$U$110,MATCH('Track Data'!S928,Acceleration!$K$4:$K$110,0)),1)),U928)</f>
        <v>1</v>
      </c>
      <c r="AG928" s="16">
        <f>IF(AC928=0,IF(O928=4,INDEX(Acceleration!$T$4:$T$110,MATCH('Track Data'!S928,Acceleration!$K$4:$K$110,0)),IF('Track Data'!O928=3,INDEX(Acceleration!$S$4:$S$110,MATCH('Track Data'!S928,Acceleration!$K$4:$K$110,0)),'Track Data'!AF928)),'Track Data'!U928)</f>
        <v>4.8208358613991411</v>
      </c>
      <c r="AH928" s="16">
        <f>IF(AC928=0,IF(O928=2,INDEX(Acceleration!$R$4:$R$110,MATCH('Track Data'!S928,Acceleration!$K$4:$K$110,0)),IF('Track Data'!O928=1,INDEX(Acceleration!$Q$4:$Q$110,MATCH('Track Data'!S928,Acceleration!$K$4:$K$110,0)),'Track Data'!AG928)),'Track Data'!U928)</f>
        <v>4.8208358613991411</v>
      </c>
    </row>
    <row r="929" spans="2:34" x14ac:dyDescent="0.25">
      <c r="B929" s="16">
        <v>222.696</v>
      </c>
      <c r="C929" s="16">
        <v>8199</v>
      </c>
      <c r="D929" s="16">
        <v>926</v>
      </c>
      <c r="E929" s="113">
        <v>155</v>
      </c>
      <c r="F929" s="113">
        <v>145.1</v>
      </c>
      <c r="G929" s="113">
        <v>135.9</v>
      </c>
      <c r="H929" s="113">
        <f t="shared" si="103"/>
        <v>37.75</v>
      </c>
      <c r="I929" s="113">
        <v>15.9</v>
      </c>
      <c r="J929" s="113">
        <v>29.77</v>
      </c>
      <c r="K929" s="113">
        <v>48.5</v>
      </c>
      <c r="L929" s="183"/>
      <c r="M929" s="16">
        <v>926</v>
      </c>
      <c r="N929" s="16">
        <f t="shared" si="105"/>
        <v>2.2937824583009154E-2</v>
      </c>
      <c r="O929" s="16">
        <v>4</v>
      </c>
      <c r="P929" s="16">
        <f t="shared" si="101"/>
        <v>9.1833785004516724</v>
      </c>
      <c r="Q929" s="16">
        <f t="shared" si="106"/>
        <v>43.59611332718687</v>
      </c>
      <c r="R929" s="113">
        <f t="shared" si="102"/>
        <v>329.49099999999999</v>
      </c>
      <c r="S929" s="16">
        <f>IF(S928=15800,15800,ROUND((((Q929*60)/'Gearing Calculator'!$C$14)*'Track Data'!P929),-2))</f>
        <v>12100</v>
      </c>
      <c r="T929" s="16">
        <f t="shared" si="104"/>
        <v>4.8208358613991411</v>
      </c>
      <c r="U929" s="16">
        <f>IF(AC929=100,Braking!$AG$2354,IF(AC929=50,Braking!$AG$1179,IF(AC929=75,Braking!$AG$1767,0)))</f>
        <v>0</v>
      </c>
      <c r="V929" s="16">
        <f>0.5*'Gearing Calculator'!$C$15*'Gearing Calculator'!$C$20*'Gearing Calculator'!$W$20*('Track Data'!Q929^2)</f>
        <v>201.16173693155565</v>
      </c>
      <c r="W929" s="16">
        <f>('Gearing Calculator'!$U$9*'Track Data'!T929)+'Track Data'!V929</f>
        <v>1484.4682432360069</v>
      </c>
      <c r="X929" s="16">
        <f>('Gearing Calculator'!$U$9*9.81)*('Gearing Calculator'!$U$16/'Gearing Calculator'!$C$7)-(('Track Data'!W929)*('Gearing Calculator'!$U$17/'Gearing Calculator'!$C$7))</f>
        <v>592.02572755831886</v>
      </c>
      <c r="Y929" s="16">
        <f>('Gearing Calculator'!$U$9*9.81)*(('Gearing Calculator'!$C$7-'Gearing Calculator'!$U$16)/'Gearing Calculator'!$C$7)+(('Track Data'!W929)*('Gearing Calculator'!$U$17/'Gearing Calculator'!$C$7))</f>
        <v>2019.396272441681</v>
      </c>
      <c r="Z929" s="16">
        <f>((X929*COS('Gearing Calculator'!$C$21))/'Gearing Calculator'!$C$22)/2</f>
        <v>18.303563078254452</v>
      </c>
      <c r="AA929" s="16">
        <f>Y929/'Gearing Calculator'!$C$24</f>
        <v>28.197545111657071</v>
      </c>
      <c r="AB929" s="16">
        <f t="shared" si="100"/>
        <v>220.44508037715221</v>
      </c>
      <c r="AC929" s="16">
        <v>0</v>
      </c>
      <c r="AD929" s="16">
        <v>48.889993475913293</v>
      </c>
      <c r="AE929" s="16">
        <v>926</v>
      </c>
      <c r="AF929" s="16">
        <f>IF(AC929=0,IF(O929=6,INDEX(Acceleration!$V$4:$V$110,MATCH('Track Data'!S929,Acceleration!$K$4:$K$110,0)),IF('Track Data'!O929=5,INDEX(Acceleration!$U$4:$U$110,MATCH('Track Data'!S929,Acceleration!$K$4:$K$110,0)),1)),U929)</f>
        <v>1</v>
      </c>
      <c r="AG929" s="16">
        <f>IF(AC929=0,IF(O929=4,INDEX(Acceleration!$T$4:$T$110,MATCH('Track Data'!S929,Acceleration!$K$4:$K$110,0)),IF('Track Data'!O929=3,INDEX(Acceleration!$S$4:$S$110,MATCH('Track Data'!S929,Acceleration!$K$4:$K$110,0)),'Track Data'!AF929)),'Track Data'!U929)</f>
        <v>4.8208358613991411</v>
      </c>
      <c r="AH929" s="16">
        <f>IF(AC929=0,IF(O929=2,INDEX(Acceleration!$R$4:$R$110,MATCH('Track Data'!S929,Acceleration!$K$4:$K$110,0)),IF('Track Data'!O929=1,INDEX(Acceleration!$Q$4:$Q$110,MATCH('Track Data'!S929,Acceleration!$K$4:$K$110,0)),'Track Data'!AG929)),'Track Data'!U929)</f>
        <v>4.8208358613991411</v>
      </c>
    </row>
    <row r="930" spans="2:34" x14ac:dyDescent="0.25">
      <c r="B930" s="16">
        <v>222.721</v>
      </c>
      <c r="C930" s="16">
        <v>8200</v>
      </c>
      <c r="D930" s="16">
        <v>927</v>
      </c>
      <c r="E930" s="113">
        <v>156</v>
      </c>
      <c r="F930" s="113">
        <v>145.4</v>
      </c>
      <c r="G930" s="113">
        <v>136.4</v>
      </c>
      <c r="H930" s="113">
        <f t="shared" si="103"/>
        <v>37.888888888888893</v>
      </c>
      <c r="I930" s="113">
        <v>15.9</v>
      </c>
      <c r="J930" s="113">
        <v>28.33</v>
      </c>
      <c r="K930" s="113">
        <v>46.9</v>
      </c>
      <c r="L930" s="183"/>
      <c r="M930" s="16">
        <v>927</v>
      </c>
      <c r="N930" s="16">
        <f t="shared" si="105"/>
        <v>2.2937824583009154E-2</v>
      </c>
      <c r="O930" s="16">
        <v>4</v>
      </c>
      <c r="P930" s="16">
        <f t="shared" si="101"/>
        <v>9.1833785004516724</v>
      </c>
      <c r="Q930" s="16">
        <f t="shared" si="106"/>
        <v>43.59611332718687</v>
      </c>
      <c r="R930" s="113">
        <f t="shared" si="102"/>
        <v>329.49099999999999</v>
      </c>
      <c r="S930" s="16">
        <f>IF(S929=15800,15800,ROUND((((Q930*60)/'Gearing Calculator'!$C$14)*'Track Data'!P930),-2))</f>
        <v>12100</v>
      </c>
      <c r="T930" s="16">
        <f t="shared" si="104"/>
        <v>4.8208358613991411</v>
      </c>
      <c r="U930" s="16">
        <f>IF(AC930=100,Braking!$AG$2354,IF(AC930=50,Braking!$AG$1179,IF(AC930=75,Braking!$AG$1767,0)))</f>
        <v>0</v>
      </c>
      <c r="V930" s="16">
        <f>0.5*'Gearing Calculator'!$C$15*'Gearing Calculator'!$C$20*'Gearing Calculator'!$W$20*('Track Data'!Q930^2)</f>
        <v>201.16173693155565</v>
      </c>
      <c r="W930" s="16">
        <f>('Gearing Calculator'!$U$9*'Track Data'!T930)+'Track Data'!V930</f>
        <v>1484.4682432360069</v>
      </c>
      <c r="X930" s="16">
        <f>('Gearing Calculator'!$U$9*9.81)*('Gearing Calculator'!$U$16/'Gearing Calculator'!$C$7)-(('Track Data'!W930)*('Gearing Calculator'!$U$17/'Gearing Calculator'!$C$7))</f>
        <v>592.02572755831886</v>
      </c>
      <c r="Y930" s="16">
        <f>('Gearing Calculator'!$U$9*9.81)*(('Gearing Calculator'!$C$7-'Gearing Calculator'!$U$16)/'Gearing Calculator'!$C$7)+(('Track Data'!W930)*('Gearing Calculator'!$U$17/'Gearing Calculator'!$C$7))</f>
        <v>2019.396272441681</v>
      </c>
      <c r="Z930" s="16">
        <f>((X930*COS('Gearing Calculator'!$C$21))/'Gearing Calculator'!$C$22)/2</f>
        <v>18.303563078254452</v>
      </c>
      <c r="AA930" s="16">
        <f>Y930/'Gearing Calculator'!$C$24</f>
        <v>28.197545111657071</v>
      </c>
      <c r="AB930" s="16">
        <f t="shared" si="100"/>
        <v>220.44508037715221</v>
      </c>
      <c r="AC930" s="16">
        <v>0</v>
      </c>
      <c r="AD930" s="16">
        <v>48.889993475913293</v>
      </c>
      <c r="AE930" s="16">
        <v>927</v>
      </c>
      <c r="AF930" s="16">
        <f>IF(AC930=0,IF(O930=6,INDEX(Acceleration!$V$4:$V$110,MATCH('Track Data'!S930,Acceleration!$K$4:$K$110,0)),IF('Track Data'!O930=5,INDEX(Acceleration!$U$4:$U$110,MATCH('Track Data'!S930,Acceleration!$K$4:$K$110,0)),1)),U930)</f>
        <v>1</v>
      </c>
      <c r="AG930" s="16">
        <f>IF(AC930=0,IF(O930=4,INDEX(Acceleration!$T$4:$T$110,MATCH('Track Data'!S930,Acceleration!$K$4:$K$110,0)),IF('Track Data'!O930=3,INDEX(Acceleration!$S$4:$S$110,MATCH('Track Data'!S930,Acceleration!$K$4:$K$110,0)),'Track Data'!AF930)),'Track Data'!U930)</f>
        <v>4.8208358613991411</v>
      </c>
      <c r="AH930" s="16">
        <f>IF(AC930=0,IF(O930=2,INDEX(Acceleration!$R$4:$R$110,MATCH('Track Data'!S930,Acceleration!$K$4:$K$110,0)),IF('Track Data'!O930=1,INDEX(Acceleration!$Q$4:$Q$110,MATCH('Track Data'!S930,Acceleration!$K$4:$K$110,0)),'Track Data'!AG930)),'Track Data'!U930)</f>
        <v>4.8208358613991411</v>
      </c>
    </row>
    <row r="931" spans="2:34" x14ac:dyDescent="0.25">
      <c r="B931" s="16">
        <v>222.74600000000001</v>
      </c>
      <c r="C931" s="16">
        <v>8201</v>
      </c>
      <c r="D931" s="16">
        <v>928</v>
      </c>
      <c r="E931" s="113">
        <v>157</v>
      </c>
      <c r="F931" s="113">
        <v>145.69999999999999</v>
      </c>
      <c r="G931" s="113">
        <v>136.80000000000001</v>
      </c>
      <c r="H931" s="113">
        <f t="shared" si="103"/>
        <v>38</v>
      </c>
      <c r="I931" s="113">
        <v>15.9</v>
      </c>
      <c r="J931" s="113">
        <v>29.44</v>
      </c>
      <c r="K931" s="113">
        <v>47.3</v>
      </c>
      <c r="L931" s="183"/>
      <c r="M931" s="16">
        <v>928</v>
      </c>
      <c r="N931" s="16">
        <f t="shared" si="105"/>
        <v>2.2937824583009154E-2</v>
      </c>
      <c r="O931" s="16">
        <v>4</v>
      </c>
      <c r="P931" s="16">
        <f t="shared" si="101"/>
        <v>9.1833785004516724</v>
      </c>
      <c r="Q931" s="16">
        <f t="shared" si="106"/>
        <v>43.59611332718687</v>
      </c>
      <c r="R931" s="113">
        <f t="shared" si="102"/>
        <v>329.49099999999999</v>
      </c>
      <c r="S931" s="16">
        <f>IF(S930=15800,15800,ROUND((((Q931*60)/'Gearing Calculator'!$C$14)*'Track Data'!P931),-2))</f>
        <v>12100</v>
      </c>
      <c r="T931" s="16">
        <f t="shared" si="104"/>
        <v>4.8208358613991411</v>
      </c>
      <c r="U931" s="16">
        <f>IF(AC931=100,Braking!$AG$2354,IF(AC931=50,Braking!$AG$1179,IF(AC931=75,Braking!$AG$1767,0)))</f>
        <v>0</v>
      </c>
      <c r="V931" s="16">
        <f>0.5*'Gearing Calculator'!$C$15*'Gearing Calculator'!$C$20*'Gearing Calculator'!$W$20*('Track Data'!Q931^2)</f>
        <v>201.16173693155565</v>
      </c>
      <c r="W931" s="16">
        <f>('Gearing Calculator'!$U$9*'Track Data'!T931)+'Track Data'!V931</f>
        <v>1484.4682432360069</v>
      </c>
      <c r="X931" s="16">
        <f>('Gearing Calculator'!$U$9*9.81)*('Gearing Calculator'!$U$16/'Gearing Calculator'!$C$7)-(('Track Data'!W931)*('Gearing Calculator'!$U$17/'Gearing Calculator'!$C$7))</f>
        <v>592.02572755831886</v>
      </c>
      <c r="Y931" s="16">
        <f>('Gearing Calculator'!$U$9*9.81)*(('Gearing Calculator'!$C$7-'Gearing Calculator'!$U$16)/'Gearing Calculator'!$C$7)+(('Track Data'!W931)*('Gearing Calculator'!$U$17/'Gearing Calculator'!$C$7))</f>
        <v>2019.396272441681</v>
      </c>
      <c r="Z931" s="16">
        <f>((X931*COS('Gearing Calculator'!$C$21))/'Gearing Calculator'!$C$22)/2</f>
        <v>18.303563078254452</v>
      </c>
      <c r="AA931" s="16">
        <f>Y931/'Gearing Calculator'!$C$24</f>
        <v>28.197545111657071</v>
      </c>
      <c r="AB931" s="16">
        <f t="shared" si="100"/>
        <v>220.44508037715221</v>
      </c>
      <c r="AC931" s="16">
        <v>0</v>
      </c>
      <c r="AD931" s="16">
        <v>48.889993475913293</v>
      </c>
      <c r="AE931" s="16">
        <v>928</v>
      </c>
      <c r="AF931" s="16">
        <f>IF(AC931=0,IF(O931=6,INDEX(Acceleration!$V$4:$V$110,MATCH('Track Data'!S931,Acceleration!$K$4:$K$110,0)),IF('Track Data'!O931=5,INDEX(Acceleration!$U$4:$U$110,MATCH('Track Data'!S931,Acceleration!$K$4:$K$110,0)),1)),U931)</f>
        <v>1</v>
      </c>
      <c r="AG931" s="16">
        <f>IF(AC931=0,IF(O931=4,INDEX(Acceleration!$T$4:$T$110,MATCH('Track Data'!S931,Acceleration!$K$4:$K$110,0)),IF('Track Data'!O931=3,INDEX(Acceleration!$S$4:$S$110,MATCH('Track Data'!S931,Acceleration!$K$4:$K$110,0)),'Track Data'!AF931)),'Track Data'!U931)</f>
        <v>4.8208358613991411</v>
      </c>
      <c r="AH931" s="16">
        <f>IF(AC931=0,IF(O931=2,INDEX(Acceleration!$R$4:$R$110,MATCH('Track Data'!S931,Acceleration!$K$4:$K$110,0)),IF('Track Data'!O931=1,INDEX(Acceleration!$Q$4:$Q$110,MATCH('Track Data'!S931,Acceleration!$K$4:$K$110,0)),'Track Data'!AG931)),'Track Data'!U931)</f>
        <v>4.8208358613991411</v>
      </c>
    </row>
    <row r="932" spans="2:34" x14ac:dyDescent="0.25">
      <c r="B932" s="16">
        <v>222.77</v>
      </c>
      <c r="C932" s="16">
        <v>8202</v>
      </c>
      <c r="D932" s="16">
        <v>929</v>
      </c>
      <c r="E932" s="113">
        <v>157</v>
      </c>
      <c r="F932" s="113">
        <v>146.1</v>
      </c>
      <c r="G932" s="113">
        <v>137.30000000000001</v>
      </c>
      <c r="H932" s="113">
        <f t="shared" si="103"/>
        <v>38.138888888888893</v>
      </c>
      <c r="I932" s="113">
        <v>15.5</v>
      </c>
      <c r="J932" s="113">
        <v>28.53</v>
      </c>
      <c r="K932" s="113">
        <v>47.9</v>
      </c>
      <c r="L932" s="183"/>
      <c r="M932" s="16">
        <v>929</v>
      </c>
      <c r="N932" s="16">
        <f t="shared" si="105"/>
        <v>2.2937824583009154E-2</v>
      </c>
      <c r="O932" s="16">
        <v>4</v>
      </c>
      <c r="P932" s="16">
        <f t="shared" si="101"/>
        <v>9.1833785004516724</v>
      </c>
      <c r="Q932" s="16">
        <f t="shared" si="106"/>
        <v>43.59611332718687</v>
      </c>
      <c r="R932" s="113">
        <f t="shared" si="102"/>
        <v>329.49099999999999</v>
      </c>
      <c r="S932" s="16">
        <f>IF(S931=15800,15800,ROUND((((Q932*60)/'Gearing Calculator'!$C$14)*'Track Data'!P932),-2))</f>
        <v>12100</v>
      </c>
      <c r="T932" s="16">
        <f t="shared" si="104"/>
        <v>4.8208358613991411</v>
      </c>
      <c r="U932" s="16">
        <f>IF(AC932=100,Braking!$AG$2354,IF(AC932=50,Braking!$AG$1179,IF(AC932=75,Braking!$AG$1767,0)))</f>
        <v>0</v>
      </c>
      <c r="V932" s="16">
        <f>0.5*'Gearing Calculator'!$C$15*'Gearing Calculator'!$C$20*'Gearing Calculator'!$W$20*('Track Data'!Q932^2)</f>
        <v>201.16173693155565</v>
      </c>
      <c r="W932" s="16">
        <f>('Gearing Calculator'!$U$9*'Track Data'!T932)+'Track Data'!V932</f>
        <v>1484.4682432360069</v>
      </c>
      <c r="X932" s="16">
        <f>('Gearing Calculator'!$U$9*9.81)*('Gearing Calculator'!$U$16/'Gearing Calculator'!$C$7)-(('Track Data'!W932)*('Gearing Calculator'!$U$17/'Gearing Calculator'!$C$7))</f>
        <v>592.02572755831886</v>
      </c>
      <c r="Y932" s="16">
        <f>('Gearing Calculator'!$U$9*9.81)*(('Gearing Calculator'!$C$7-'Gearing Calculator'!$U$16)/'Gearing Calculator'!$C$7)+(('Track Data'!W932)*('Gearing Calculator'!$U$17/'Gearing Calculator'!$C$7))</f>
        <v>2019.396272441681</v>
      </c>
      <c r="Z932" s="16">
        <f>((X932*COS('Gearing Calculator'!$C$21))/'Gearing Calculator'!$C$22)/2</f>
        <v>18.303563078254452</v>
      </c>
      <c r="AA932" s="16">
        <f>Y932/'Gearing Calculator'!$C$24</f>
        <v>28.197545111657071</v>
      </c>
      <c r="AB932" s="16">
        <f t="shared" si="100"/>
        <v>220.44508037715221</v>
      </c>
      <c r="AC932" s="16">
        <v>0</v>
      </c>
      <c r="AD932" s="16">
        <v>48.889993475913293</v>
      </c>
      <c r="AE932" s="16">
        <v>929</v>
      </c>
      <c r="AF932" s="16">
        <f>IF(AC932=0,IF(O932=6,INDEX(Acceleration!$V$4:$V$110,MATCH('Track Data'!S932,Acceleration!$K$4:$K$110,0)),IF('Track Data'!O932=5,INDEX(Acceleration!$U$4:$U$110,MATCH('Track Data'!S932,Acceleration!$K$4:$K$110,0)),1)),U932)</f>
        <v>1</v>
      </c>
      <c r="AG932" s="16">
        <f>IF(AC932=0,IF(O932=4,INDEX(Acceleration!$T$4:$T$110,MATCH('Track Data'!S932,Acceleration!$K$4:$K$110,0)),IF('Track Data'!O932=3,INDEX(Acceleration!$S$4:$S$110,MATCH('Track Data'!S932,Acceleration!$K$4:$K$110,0)),'Track Data'!AF932)),'Track Data'!U932)</f>
        <v>4.8208358613991411</v>
      </c>
      <c r="AH932" s="16">
        <f>IF(AC932=0,IF(O932=2,INDEX(Acceleration!$R$4:$R$110,MATCH('Track Data'!S932,Acceleration!$K$4:$K$110,0)),IF('Track Data'!O932=1,INDEX(Acceleration!$Q$4:$Q$110,MATCH('Track Data'!S932,Acceleration!$K$4:$K$110,0)),'Track Data'!AG932)),'Track Data'!U932)</f>
        <v>4.8208358613991411</v>
      </c>
    </row>
    <row r="933" spans="2:34" x14ac:dyDescent="0.25">
      <c r="B933" s="16">
        <v>222.79499999999999</v>
      </c>
      <c r="C933" s="16">
        <v>8203</v>
      </c>
      <c r="D933" s="16">
        <v>930</v>
      </c>
      <c r="E933" s="113">
        <v>158</v>
      </c>
      <c r="F933" s="113">
        <v>146.30000000000001</v>
      </c>
      <c r="G933" s="113">
        <v>137.69999999999999</v>
      </c>
      <c r="H933" s="113">
        <f t="shared" si="103"/>
        <v>38.249999999999993</v>
      </c>
      <c r="I933" s="113">
        <v>15</v>
      </c>
      <c r="J933" s="113">
        <v>28.08</v>
      </c>
      <c r="K933" s="113">
        <v>48.3</v>
      </c>
      <c r="L933" s="183"/>
      <c r="M933" s="16">
        <v>930</v>
      </c>
      <c r="N933" s="16">
        <f t="shared" si="105"/>
        <v>2.2937824583009154E-2</v>
      </c>
      <c r="O933" s="16">
        <v>4</v>
      </c>
      <c r="P933" s="16">
        <f t="shared" si="101"/>
        <v>9.1833785004516724</v>
      </c>
      <c r="Q933" s="16">
        <f t="shared" si="106"/>
        <v>43.59611332718687</v>
      </c>
      <c r="R933" s="113">
        <f t="shared" si="102"/>
        <v>329.49099999999999</v>
      </c>
      <c r="S933" s="16">
        <f>IF(S932=15800,15800,ROUND((((Q933*60)/'Gearing Calculator'!$C$14)*'Track Data'!P933),-2))</f>
        <v>12100</v>
      </c>
      <c r="T933" s="16">
        <f t="shared" si="104"/>
        <v>4.8208358613991411</v>
      </c>
      <c r="U933" s="16">
        <f>IF(AC933=100,Braking!$AG$2354,IF(AC933=50,Braking!$AG$1179,IF(AC933=75,Braking!$AG$1767,0)))</f>
        <v>0</v>
      </c>
      <c r="V933" s="16">
        <f>0.5*'Gearing Calculator'!$C$15*'Gearing Calculator'!$C$20*'Gearing Calculator'!$W$20*('Track Data'!Q933^2)</f>
        <v>201.16173693155565</v>
      </c>
      <c r="W933" s="16">
        <f>('Gearing Calculator'!$U$9*'Track Data'!T933)+'Track Data'!V933</f>
        <v>1484.4682432360069</v>
      </c>
      <c r="X933" s="16">
        <f>('Gearing Calculator'!$U$9*9.81)*('Gearing Calculator'!$U$16/'Gearing Calculator'!$C$7)-(('Track Data'!W933)*('Gearing Calculator'!$U$17/'Gearing Calculator'!$C$7))</f>
        <v>592.02572755831886</v>
      </c>
      <c r="Y933" s="16">
        <f>('Gearing Calculator'!$U$9*9.81)*(('Gearing Calculator'!$C$7-'Gearing Calculator'!$U$16)/'Gearing Calculator'!$C$7)+(('Track Data'!W933)*('Gearing Calculator'!$U$17/'Gearing Calculator'!$C$7))</f>
        <v>2019.396272441681</v>
      </c>
      <c r="Z933" s="16">
        <f>((X933*COS('Gearing Calculator'!$C$21))/'Gearing Calculator'!$C$22)/2</f>
        <v>18.303563078254452</v>
      </c>
      <c r="AA933" s="16">
        <f>Y933/'Gearing Calculator'!$C$24</f>
        <v>28.197545111657071</v>
      </c>
      <c r="AB933" s="16">
        <f t="shared" si="100"/>
        <v>220.44508037715221</v>
      </c>
      <c r="AC933" s="16">
        <v>0</v>
      </c>
      <c r="AD933" s="16">
        <v>48.889993475913293</v>
      </c>
      <c r="AE933" s="16">
        <v>930</v>
      </c>
      <c r="AF933" s="16">
        <f>IF(AC933=0,IF(O933=6,INDEX(Acceleration!$V$4:$V$110,MATCH('Track Data'!S933,Acceleration!$K$4:$K$110,0)),IF('Track Data'!O933=5,INDEX(Acceleration!$U$4:$U$110,MATCH('Track Data'!S933,Acceleration!$K$4:$K$110,0)),1)),U933)</f>
        <v>1</v>
      </c>
      <c r="AG933" s="16">
        <f>IF(AC933=0,IF(O933=4,INDEX(Acceleration!$T$4:$T$110,MATCH('Track Data'!S933,Acceleration!$K$4:$K$110,0)),IF('Track Data'!O933=3,INDEX(Acceleration!$S$4:$S$110,MATCH('Track Data'!S933,Acceleration!$K$4:$K$110,0)),'Track Data'!AF933)),'Track Data'!U933)</f>
        <v>4.8208358613991411</v>
      </c>
      <c r="AH933" s="16">
        <f>IF(AC933=0,IF(O933=2,INDEX(Acceleration!$R$4:$R$110,MATCH('Track Data'!S933,Acceleration!$K$4:$K$110,0)),IF('Track Data'!O933=1,INDEX(Acceleration!$Q$4:$Q$110,MATCH('Track Data'!S933,Acceleration!$K$4:$K$110,0)),'Track Data'!AG933)),'Track Data'!U933)</f>
        <v>4.8208358613991411</v>
      </c>
    </row>
    <row r="934" spans="2:34" x14ac:dyDescent="0.25">
      <c r="B934" s="16">
        <v>222.81899999999999</v>
      </c>
      <c r="C934" s="16">
        <v>8204</v>
      </c>
      <c r="D934" s="16">
        <v>931</v>
      </c>
      <c r="E934" s="113">
        <v>158</v>
      </c>
      <c r="F934" s="113">
        <v>146.69999999999999</v>
      </c>
      <c r="G934" s="113">
        <v>138.1</v>
      </c>
      <c r="H934" s="113">
        <f t="shared" si="103"/>
        <v>38.361111111111107</v>
      </c>
      <c r="I934" s="113">
        <v>13.9</v>
      </c>
      <c r="J934" s="113">
        <v>27.45</v>
      </c>
      <c r="K934" s="113">
        <v>48.7</v>
      </c>
      <c r="L934" s="183"/>
      <c r="M934" s="16">
        <v>931</v>
      </c>
      <c r="N934" s="16">
        <f t="shared" si="105"/>
        <v>2.2937824583009154E-2</v>
      </c>
      <c r="O934" s="16">
        <v>4</v>
      </c>
      <c r="P934" s="16">
        <f t="shared" si="101"/>
        <v>9.1833785004516724</v>
      </c>
      <c r="Q934" s="16">
        <f t="shared" si="106"/>
        <v>43.59611332718687</v>
      </c>
      <c r="R934" s="113">
        <f t="shared" si="102"/>
        <v>329.49099999999999</v>
      </c>
      <c r="S934" s="16">
        <f>IF(S933=15800,15800,ROUND((((Q934*60)/'Gearing Calculator'!$C$14)*'Track Data'!P934),-2))</f>
        <v>12100</v>
      </c>
      <c r="T934" s="16">
        <f t="shared" si="104"/>
        <v>4.8208358613991411</v>
      </c>
      <c r="U934" s="16">
        <f>IF(AC934=100,Braking!$AG$2354,IF(AC934=50,Braking!$AG$1179,IF(AC934=75,Braking!$AG$1767,0)))</f>
        <v>0</v>
      </c>
      <c r="V934" s="16">
        <f>0.5*'Gearing Calculator'!$C$15*'Gearing Calculator'!$C$20*'Gearing Calculator'!$W$20*('Track Data'!Q934^2)</f>
        <v>201.16173693155565</v>
      </c>
      <c r="W934" s="16">
        <f>('Gearing Calculator'!$U$9*'Track Data'!T934)+'Track Data'!V934</f>
        <v>1484.4682432360069</v>
      </c>
      <c r="X934" s="16">
        <f>('Gearing Calculator'!$U$9*9.81)*('Gearing Calculator'!$U$16/'Gearing Calculator'!$C$7)-(('Track Data'!W934)*('Gearing Calculator'!$U$17/'Gearing Calculator'!$C$7))</f>
        <v>592.02572755831886</v>
      </c>
      <c r="Y934" s="16">
        <f>('Gearing Calculator'!$U$9*9.81)*(('Gearing Calculator'!$C$7-'Gearing Calculator'!$U$16)/'Gearing Calculator'!$C$7)+(('Track Data'!W934)*('Gearing Calculator'!$U$17/'Gearing Calculator'!$C$7))</f>
        <v>2019.396272441681</v>
      </c>
      <c r="Z934" s="16">
        <f>((X934*COS('Gearing Calculator'!$C$21))/'Gearing Calculator'!$C$22)/2</f>
        <v>18.303563078254452</v>
      </c>
      <c r="AA934" s="16">
        <f>Y934/'Gearing Calculator'!$C$24</f>
        <v>28.197545111657071</v>
      </c>
      <c r="AB934" s="16">
        <f t="shared" si="100"/>
        <v>220.44508037715221</v>
      </c>
      <c r="AC934" s="16">
        <v>0</v>
      </c>
      <c r="AD934" s="16">
        <v>48.889993475913293</v>
      </c>
      <c r="AE934" s="16">
        <v>931</v>
      </c>
      <c r="AF934" s="16">
        <f>IF(AC934=0,IF(O934=6,INDEX(Acceleration!$V$4:$V$110,MATCH('Track Data'!S934,Acceleration!$K$4:$K$110,0)),IF('Track Data'!O934=5,INDEX(Acceleration!$U$4:$U$110,MATCH('Track Data'!S934,Acceleration!$K$4:$K$110,0)),1)),U934)</f>
        <v>1</v>
      </c>
      <c r="AG934" s="16">
        <f>IF(AC934=0,IF(O934=4,INDEX(Acceleration!$T$4:$T$110,MATCH('Track Data'!S934,Acceleration!$K$4:$K$110,0)),IF('Track Data'!O934=3,INDEX(Acceleration!$S$4:$S$110,MATCH('Track Data'!S934,Acceleration!$K$4:$K$110,0)),'Track Data'!AF934)),'Track Data'!U934)</f>
        <v>4.8208358613991411</v>
      </c>
      <c r="AH934" s="16">
        <f>IF(AC934=0,IF(O934=2,INDEX(Acceleration!$R$4:$R$110,MATCH('Track Data'!S934,Acceleration!$K$4:$K$110,0)),IF('Track Data'!O934=1,INDEX(Acceleration!$Q$4:$Q$110,MATCH('Track Data'!S934,Acceleration!$K$4:$K$110,0)),'Track Data'!AG934)),'Track Data'!U934)</f>
        <v>4.8208358613991411</v>
      </c>
    </row>
    <row r="935" spans="2:34" x14ac:dyDescent="0.25">
      <c r="B935" s="16">
        <v>222.84399999999999</v>
      </c>
      <c r="C935" s="16">
        <v>8205</v>
      </c>
      <c r="D935" s="16">
        <v>932</v>
      </c>
      <c r="E935" s="113">
        <v>159</v>
      </c>
      <c r="F935" s="113">
        <v>147.19999999999999</v>
      </c>
      <c r="G935" s="113">
        <v>138.6</v>
      </c>
      <c r="H935" s="113">
        <f t="shared" si="103"/>
        <v>38.5</v>
      </c>
      <c r="I935" s="113">
        <v>12.7</v>
      </c>
      <c r="J935" s="113">
        <v>27.33</v>
      </c>
      <c r="K935" s="113">
        <v>49.2</v>
      </c>
      <c r="L935" s="183"/>
      <c r="M935" s="16">
        <v>932</v>
      </c>
      <c r="N935" s="16">
        <f t="shared" si="105"/>
        <v>2.2937824583009154E-2</v>
      </c>
      <c r="O935" s="16">
        <v>4</v>
      </c>
      <c r="P935" s="16">
        <f t="shared" si="101"/>
        <v>9.1833785004516724</v>
      </c>
      <c r="Q935" s="16">
        <f t="shared" si="106"/>
        <v>43.59611332718687</v>
      </c>
      <c r="R935" s="113">
        <f t="shared" si="102"/>
        <v>329.49099999999999</v>
      </c>
      <c r="S935" s="16">
        <f>IF(S934=15800,15800,ROUND((((Q935*60)/'Gearing Calculator'!$C$14)*'Track Data'!P935),-2))</f>
        <v>12100</v>
      </c>
      <c r="T935" s="16">
        <f t="shared" si="104"/>
        <v>4.8208358613991411</v>
      </c>
      <c r="U935" s="16">
        <f>IF(AC935=100,Braking!$AG$2354,IF(AC935=50,Braking!$AG$1179,IF(AC935=75,Braking!$AG$1767,0)))</f>
        <v>0</v>
      </c>
      <c r="V935" s="16">
        <f>0.5*'Gearing Calculator'!$C$15*'Gearing Calculator'!$C$20*'Gearing Calculator'!$W$20*('Track Data'!Q935^2)</f>
        <v>201.16173693155565</v>
      </c>
      <c r="W935" s="16">
        <f>('Gearing Calculator'!$U$9*'Track Data'!T935)+'Track Data'!V935</f>
        <v>1484.4682432360069</v>
      </c>
      <c r="X935" s="16">
        <f>('Gearing Calculator'!$U$9*9.81)*('Gearing Calculator'!$U$16/'Gearing Calculator'!$C$7)-(('Track Data'!W935)*('Gearing Calculator'!$U$17/'Gearing Calculator'!$C$7))</f>
        <v>592.02572755831886</v>
      </c>
      <c r="Y935" s="16">
        <f>('Gearing Calculator'!$U$9*9.81)*(('Gearing Calculator'!$C$7-'Gearing Calculator'!$U$16)/'Gearing Calculator'!$C$7)+(('Track Data'!W935)*('Gearing Calculator'!$U$17/'Gearing Calculator'!$C$7))</f>
        <v>2019.396272441681</v>
      </c>
      <c r="Z935" s="16">
        <f>((X935*COS('Gearing Calculator'!$C$21))/'Gearing Calculator'!$C$22)/2</f>
        <v>18.303563078254452</v>
      </c>
      <c r="AA935" s="16">
        <f>Y935/'Gearing Calculator'!$C$24</f>
        <v>28.197545111657071</v>
      </c>
      <c r="AB935" s="16">
        <f t="shared" si="100"/>
        <v>220.44508037715221</v>
      </c>
      <c r="AC935" s="16">
        <v>0</v>
      </c>
      <c r="AD935" s="16">
        <v>48.889993475913293</v>
      </c>
      <c r="AE935" s="16">
        <v>932</v>
      </c>
      <c r="AF935" s="16">
        <f>IF(AC935=0,IF(O935=6,INDEX(Acceleration!$V$4:$V$110,MATCH('Track Data'!S935,Acceleration!$K$4:$K$110,0)),IF('Track Data'!O935=5,INDEX(Acceleration!$U$4:$U$110,MATCH('Track Data'!S935,Acceleration!$K$4:$K$110,0)),1)),U935)</f>
        <v>1</v>
      </c>
      <c r="AG935" s="16">
        <f>IF(AC935=0,IF(O935=4,INDEX(Acceleration!$T$4:$T$110,MATCH('Track Data'!S935,Acceleration!$K$4:$K$110,0)),IF('Track Data'!O935=3,INDEX(Acceleration!$S$4:$S$110,MATCH('Track Data'!S935,Acceleration!$K$4:$K$110,0)),'Track Data'!AF935)),'Track Data'!U935)</f>
        <v>4.8208358613991411</v>
      </c>
      <c r="AH935" s="16">
        <f>IF(AC935=0,IF(O935=2,INDEX(Acceleration!$R$4:$R$110,MATCH('Track Data'!S935,Acceleration!$K$4:$K$110,0)),IF('Track Data'!O935=1,INDEX(Acceleration!$Q$4:$Q$110,MATCH('Track Data'!S935,Acceleration!$K$4:$K$110,0)),'Track Data'!AG935)),'Track Data'!U935)</f>
        <v>4.8208358613991411</v>
      </c>
    </row>
    <row r="936" spans="2:34" x14ac:dyDescent="0.25">
      <c r="B936" s="16">
        <v>222.86799999999999</v>
      </c>
      <c r="C936" s="16">
        <v>8206</v>
      </c>
      <c r="D936" s="16">
        <v>933</v>
      </c>
      <c r="E936" s="113">
        <v>160</v>
      </c>
      <c r="F936" s="113">
        <v>147.4</v>
      </c>
      <c r="G936" s="113">
        <v>138.9</v>
      </c>
      <c r="H936" s="113">
        <f t="shared" si="103"/>
        <v>38.583333333333336</v>
      </c>
      <c r="I936" s="113">
        <v>12.1</v>
      </c>
      <c r="J936" s="113">
        <v>27.36</v>
      </c>
      <c r="K936" s="113">
        <v>49.5</v>
      </c>
      <c r="L936" s="183"/>
      <c r="M936" s="16">
        <v>933</v>
      </c>
      <c r="N936" s="16">
        <f t="shared" si="105"/>
        <v>2.2937824583009154E-2</v>
      </c>
      <c r="O936" s="16">
        <v>4</v>
      </c>
      <c r="P936" s="16">
        <f t="shared" si="101"/>
        <v>9.1833785004516724</v>
      </c>
      <c r="Q936" s="16">
        <f t="shared" si="106"/>
        <v>43.59611332718687</v>
      </c>
      <c r="R936" s="113">
        <f t="shared" si="102"/>
        <v>329.49099999999999</v>
      </c>
      <c r="S936" s="16">
        <f>IF(S935=15800,15800,ROUND((((Q936*60)/'Gearing Calculator'!$C$14)*'Track Data'!P936),-2))</f>
        <v>12100</v>
      </c>
      <c r="T936" s="16">
        <f t="shared" si="104"/>
        <v>4.8208358613991411</v>
      </c>
      <c r="U936" s="16">
        <f>IF(AC936=100,Braking!$AG$2354,IF(AC936=50,Braking!$AG$1179,IF(AC936=75,Braking!$AG$1767,0)))</f>
        <v>0</v>
      </c>
      <c r="V936" s="16">
        <f>0.5*'Gearing Calculator'!$C$15*'Gearing Calculator'!$C$20*'Gearing Calculator'!$W$20*('Track Data'!Q936^2)</f>
        <v>201.16173693155565</v>
      </c>
      <c r="W936" s="16">
        <f>('Gearing Calculator'!$U$9*'Track Data'!T936)+'Track Data'!V936</f>
        <v>1484.4682432360069</v>
      </c>
      <c r="X936" s="16">
        <f>('Gearing Calculator'!$U$9*9.81)*('Gearing Calculator'!$U$16/'Gearing Calculator'!$C$7)-(('Track Data'!W936)*('Gearing Calculator'!$U$17/'Gearing Calculator'!$C$7))</f>
        <v>592.02572755831886</v>
      </c>
      <c r="Y936" s="16">
        <f>('Gearing Calculator'!$U$9*9.81)*(('Gearing Calculator'!$C$7-'Gearing Calculator'!$U$16)/'Gearing Calculator'!$C$7)+(('Track Data'!W936)*('Gearing Calculator'!$U$17/'Gearing Calculator'!$C$7))</f>
        <v>2019.396272441681</v>
      </c>
      <c r="Z936" s="16">
        <f>((X936*COS('Gearing Calculator'!$C$21))/'Gearing Calculator'!$C$22)/2</f>
        <v>18.303563078254452</v>
      </c>
      <c r="AA936" s="16">
        <f>Y936/'Gearing Calculator'!$C$24</f>
        <v>28.197545111657071</v>
      </c>
      <c r="AB936" s="16">
        <f t="shared" si="100"/>
        <v>220.44508037715221</v>
      </c>
      <c r="AC936" s="16">
        <v>0</v>
      </c>
      <c r="AD936" s="16">
        <v>48.889993475913293</v>
      </c>
      <c r="AE936" s="16">
        <v>933</v>
      </c>
      <c r="AF936" s="16">
        <f>IF(AC936=0,IF(O936=6,INDEX(Acceleration!$V$4:$V$110,MATCH('Track Data'!S936,Acceleration!$K$4:$K$110,0)),IF('Track Data'!O936=5,INDEX(Acceleration!$U$4:$U$110,MATCH('Track Data'!S936,Acceleration!$K$4:$K$110,0)),1)),U936)</f>
        <v>1</v>
      </c>
      <c r="AG936" s="16">
        <f>IF(AC936=0,IF(O936=4,INDEX(Acceleration!$T$4:$T$110,MATCH('Track Data'!S936,Acceleration!$K$4:$K$110,0)),IF('Track Data'!O936=3,INDEX(Acceleration!$S$4:$S$110,MATCH('Track Data'!S936,Acceleration!$K$4:$K$110,0)),'Track Data'!AF936)),'Track Data'!U936)</f>
        <v>4.8208358613991411</v>
      </c>
      <c r="AH936" s="16">
        <f>IF(AC936=0,IF(O936=2,INDEX(Acceleration!$R$4:$R$110,MATCH('Track Data'!S936,Acceleration!$K$4:$K$110,0)),IF('Track Data'!O936=1,INDEX(Acceleration!$Q$4:$Q$110,MATCH('Track Data'!S936,Acceleration!$K$4:$K$110,0)),'Track Data'!AG936)),'Track Data'!U936)</f>
        <v>4.8208358613991411</v>
      </c>
    </row>
    <row r="937" spans="2:34" x14ac:dyDescent="0.25">
      <c r="B937" s="16">
        <v>222.893</v>
      </c>
      <c r="C937" s="16">
        <v>8207</v>
      </c>
      <c r="D937" s="16">
        <v>934</v>
      </c>
      <c r="E937" s="113">
        <v>160</v>
      </c>
      <c r="F937" s="113">
        <v>147.9</v>
      </c>
      <c r="G937" s="113">
        <v>139.4</v>
      </c>
      <c r="H937" s="113">
        <f t="shared" si="103"/>
        <v>38.722222222222221</v>
      </c>
      <c r="I937" s="113">
        <v>12</v>
      </c>
      <c r="J937" s="113">
        <v>25.81</v>
      </c>
      <c r="K937" s="113">
        <v>49.1</v>
      </c>
      <c r="L937" s="183"/>
      <c r="M937" s="16">
        <v>934</v>
      </c>
      <c r="N937" s="16">
        <f t="shared" si="105"/>
        <v>2.2937824583009154E-2</v>
      </c>
      <c r="O937" s="16">
        <v>4</v>
      </c>
      <c r="P937" s="16">
        <f t="shared" si="101"/>
        <v>9.1833785004516724</v>
      </c>
      <c r="Q937" s="16">
        <f t="shared" si="106"/>
        <v>43.59611332718687</v>
      </c>
      <c r="R937" s="113">
        <f t="shared" si="102"/>
        <v>329.49099999999999</v>
      </c>
      <c r="S937" s="16">
        <f>IF(S936=15800,15800,ROUND((((Q937*60)/'Gearing Calculator'!$C$14)*'Track Data'!P937),-2))</f>
        <v>12100</v>
      </c>
      <c r="T937" s="16">
        <f t="shared" si="104"/>
        <v>4.8208358613991411</v>
      </c>
      <c r="U937" s="16">
        <f>IF(AC937=100,Braking!$AG$2354,IF(AC937=50,Braking!$AG$1179,IF(AC937=75,Braking!$AG$1767,0)))</f>
        <v>0</v>
      </c>
      <c r="V937" s="16">
        <f>0.5*'Gearing Calculator'!$C$15*'Gearing Calculator'!$C$20*'Gearing Calculator'!$W$20*('Track Data'!Q937^2)</f>
        <v>201.16173693155565</v>
      </c>
      <c r="W937" s="16">
        <f>('Gearing Calculator'!$U$9*'Track Data'!T937)+'Track Data'!V937</f>
        <v>1484.4682432360069</v>
      </c>
      <c r="X937" s="16">
        <f>('Gearing Calculator'!$U$9*9.81)*('Gearing Calculator'!$U$16/'Gearing Calculator'!$C$7)-(('Track Data'!W937)*('Gearing Calculator'!$U$17/'Gearing Calculator'!$C$7))</f>
        <v>592.02572755831886</v>
      </c>
      <c r="Y937" s="16">
        <f>('Gearing Calculator'!$U$9*9.81)*(('Gearing Calculator'!$C$7-'Gearing Calculator'!$U$16)/'Gearing Calculator'!$C$7)+(('Track Data'!W937)*('Gearing Calculator'!$U$17/'Gearing Calculator'!$C$7))</f>
        <v>2019.396272441681</v>
      </c>
      <c r="Z937" s="16">
        <f>((X937*COS('Gearing Calculator'!$C$21))/'Gearing Calculator'!$C$22)/2</f>
        <v>18.303563078254452</v>
      </c>
      <c r="AA937" s="16">
        <f>Y937/'Gearing Calculator'!$C$24</f>
        <v>28.197545111657071</v>
      </c>
      <c r="AB937" s="16">
        <f t="shared" si="100"/>
        <v>220.44508037715221</v>
      </c>
      <c r="AC937" s="16">
        <v>0</v>
      </c>
      <c r="AD937" s="16">
        <v>48.889993475913293</v>
      </c>
      <c r="AE937" s="16">
        <v>934</v>
      </c>
      <c r="AF937" s="16">
        <f>IF(AC937=0,IF(O937=6,INDEX(Acceleration!$V$4:$V$110,MATCH('Track Data'!S937,Acceleration!$K$4:$K$110,0)),IF('Track Data'!O937=5,INDEX(Acceleration!$U$4:$U$110,MATCH('Track Data'!S937,Acceleration!$K$4:$K$110,0)),1)),U937)</f>
        <v>1</v>
      </c>
      <c r="AG937" s="16">
        <f>IF(AC937=0,IF(O937=4,INDEX(Acceleration!$T$4:$T$110,MATCH('Track Data'!S937,Acceleration!$K$4:$K$110,0)),IF('Track Data'!O937=3,INDEX(Acceleration!$S$4:$S$110,MATCH('Track Data'!S937,Acceleration!$K$4:$K$110,0)),'Track Data'!AF937)),'Track Data'!U937)</f>
        <v>4.8208358613991411</v>
      </c>
      <c r="AH937" s="16">
        <f>IF(AC937=0,IF(O937=2,INDEX(Acceleration!$R$4:$R$110,MATCH('Track Data'!S937,Acceleration!$K$4:$K$110,0)),IF('Track Data'!O937=1,INDEX(Acceleration!$Q$4:$Q$110,MATCH('Track Data'!S937,Acceleration!$K$4:$K$110,0)),'Track Data'!AG937)),'Track Data'!U937)</f>
        <v>4.8208358613991411</v>
      </c>
    </row>
    <row r="938" spans="2:34" x14ac:dyDescent="0.25">
      <c r="B938" s="16">
        <v>222.917</v>
      </c>
      <c r="C938" s="16">
        <v>8208</v>
      </c>
      <c r="D938" s="16">
        <v>935</v>
      </c>
      <c r="E938" s="113">
        <v>159</v>
      </c>
      <c r="F938" s="113">
        <v>148.30000000000001</v>
      </c>
      <c r="G938" s="113">
        <v>139.69999999999999</v>
      </c>
      <c r="H938" s="113">
        <f t="shared" si="103"/>
        <v>38.80555555555555</v>
      </c>
      <c r="I938" s="113">
        <v>12</v>
      </c>
      <c r="J938" s="113">
        <v>23.87</v>
      </c>
      <c r="K938" s="113">
        <v>48</v>
      </c>
      <c r="L938" s="183"/>
      <c r="M938" s="16">
        <v>935</v>
      </c>
      <c r="N938" s="16">
        <f t="shared" si="105"/>
        <v>2.2937824583009154E-2</v>
      </c>
      <c r="O938" s="16">
        <v>4</v>
      </c>
      <c r="P938" s="16">
        <f t="shared" si="101"/>
        <v>9.1833785004516724</v>
      </c>
      <c r="Q938" s="16">
        <f t="shared" si="106"/>
        <v>43.59611332718687</v>
      </c>
      <c r="R938" s="113">
        <f t="shared" si="102"/>
        <v>329.49099999999999</v>
      </c>
      <c r="S938" s="16">
        <f>IF(S937=15800,15800,ROUND((((Q938*60)/'Gearing Calculator'!$C$14)*'Track Data'!P938),-2))</f>
        <v>12100</v>
      </c>
      <c r="T938" s="16">
        <f t="shared" si="104"/>
        <v>4.8208358613991411</v>
      </c>
      <c r="U938" s="16">
        <f>IF(AC938=100,Braking!$AG$2354,IF(AC938=50,Braking!$AG$1179,IF(AC938=75,Braking!$AG$1767,0)))</f>
        <v>0</v>
      </c>
      <c r="V938" s="16">
        <f>0.5*'Gearing Calculator'!$C$15*'Gearing Calculator'!$C$20*'Gearing Calculator'!$W$20*('Track Data'!Q938^2)</f>
        <v>201.16173693155565</v>
      </c>
      <c r="W938" s="16">
        <f>('Gearing Calculator'!$U$9*'Track Data'!T938)+'Track Data'!V938</f>
        <v>1484.4682432360069</v>
      </c>
      <c r="X938" s="16">
        <f>('Gearing Calculator'!$U$9*9.81)*('Gearing Calculator'!$U$16/'Gearing Calculator'!$C$7)-(('Track Data'!W938)*('Gearing Calculator'!$U$17/'Gearing Calculator'!$C$7))</f>
        <v>592.02572755831886</v>
      </c>
      <c r="Y938" s="16">
        <f>('Gearing Calculator'!$U$9*9.81)*(('Gearing Calculator'!$C$7-'Gearing Calculator'!$U$16)/'Gearing Calculator'!$C$7)+(('Track Data'!W938)*('Gearing Calculator'!$U$17/'Gearing Calculator'!$C$7))</f>
        <v>2019.396272441681</v>
      </c>
      <c r="Z938" s="16">
        <f>((X938*COS('Gearing Calculator'!$C$21))/'Gearing Calculator'!$C$22)/2</f>
        <v>18.303563078254452</v>
      </c>
      <c r="AA938" s="16">
        <f>Y938/'Gearing Calculator'!$C$24</f>
        <v>28.197545111657071</v>
      </c>
      <c r="AB938" s="16">
        <f t="shared" si="100"/>
        <v>220.44508037715221</v>
      </c>
      <c r="AC938" s="16">
        <v>0</v>
      </c>
      <c r="AD938" s="16">
        <v>48.889993475913293</v>
      </c>
      <c r="AE938" s="16">
        <v>935</v>
      </c>
      <c r="AF938" s="16">
        <f>IF(AC938=0,IF(O938=6,INDEX(Acceleration!$V$4:$V$110,MATCH('Track Data'!S938,Acceleration!$K$4:$K$110,0)),IF('Track Data'!O938=5,INDEX(Acceleration!$U$4:$U$110,MATCH('Track Data'!S938,Acceleration!$K$4:$K$110,0)),1)),U938)</f>
        <v>1</v>
      </c>
      <c r="AG938" s="16">
        <f>IF(AC938=0,IF(O938=4,INDEX(Acceleration!$T$4:$T$110,MATCH('Track Data'!S938,Acceleration!$K$4:$K$110,0)),IF('Track Data'!O938=3,INDEX(Acceleration!$S$4:$S$110,MATCH('Track Data'!S938,Acceleration!$K$4:$K$110,0)),'Track Data'!AF938)),'Track Data'!U938)</f>
        <v>4.8208358613991411</v>
      </c>
      <c r="AH938" s="16">
        <f>IF(AC938=0,IF(O938=2,INDEX(Acceleration!$R$4:$R$110,MATCH('Track Data'!S938,Acceleration!$K$4:$K$110,0)),IF('Track Data'!O938=1,INDEX(Acceleration!$Q$4:$Q$110,MATCH('Track Data'!S938,Acceleration!$K$4:$K$110,0)),'Track Data'!AG938)),'Track Data'!U938)</f>
        <v>4.8208358613991411</v>
      </c>
    </row>
    <row r="939" spans="2:34" x14ac:dyDescent="0.25">
      <c r="B939" s="16">
        <v>222.941</v>
      </c>
      <c r="C939" s="16">
        <v>8209</v>
      </c>
      <c r="D939" s="16">
        <v>936</v>
      </c>
      <c r="E939" s="113">
        <v>160</v>
      </c>
      <c r="F939" s="113">
        <v>149</v>
      </c>
      <c r="G939" s="113">
        <v>140.19999999999999</v>
      </c>
      <c r="H939" s="113">
        <f t="shared" si="103"/>
        <v>38.944444444444443</v>
      </c>
      <c r="I939" s="113">
        <v>11.6</v>
      </c>
      <c r="J939" s="113">
        <v>21.69</v>
      </c>
      <c r="K939" s="113">
        <v>46.4</v>
      </c>
      <c r="L939" s="183"/>
      <c r="M939" s="16">
        <v>936</v>
      </c>
      <c r="N939" s="16">
        <f t="shared" si="105"/>
        <v>2.2937824583009154E-2</v>
      </c>
      <c r="O939" s="16">
        <v>4</v>
      </c>
      <c r="P939" s="16">
        <f t="shared" si="101"/>
        <v>9.1833785004516724</v>
      </c>
      <c r="Q939" s="16">
        <f t="shared" si="106"/>
        <v>43.59611332718687</v>
      </c>
      <c r="R939" s="113">
        <f t="shared" si="102"/>
        <v>329.49099999999999</v>
      </c>
      <c r="S939" s="16">
        <f>IF(S938=15800,15800,ROUND((((Q939*60)/'Gearing Calculator'!$C$14)*'Track Data'!P939),-2))</f>
        <v>12100</v>
      </c>
      <c r="T939" s="16">
        <f t="shared" si="104"/>
        <v>4.8208358613991411</v>
      </c>
      <c r="U939" s="16">
        <f>IF(AC939=100,Braking!$AG$2354,IF(AC939=50,Braking!$AG$1179,IF(AC939=75,Braking!$AG$1767,0)))</f>
        <v>0</v>
      </c>
      <c r="V939" s="16">
        <f>0.5*'Gearing Calculator'!$C$15*'Gearing Calculator'!$C$20*'Gearing Calculator'!$W$20*('Track Data'!Q939^2)</f>
        <v>201.16173693155565</v>
      </c>
      <c r="W939" s="16">
        <f>('Gearing Calculator'!$U$9*'Track Data'!T939)+'Track Data'!V939</f>
        <v>1484.4682432360069</v>
      </c>
      <c r="X939" s="16">
        <f>('Gearing Calculator'!$U$9*9.81)*('Gearing Calculator'!$U$16/'Gearing Calculator'!$C$7)-(('Track Data'!W939)*('Gearing Calculator'!$U$17/'Gearing Calculator'!$C$7))</f>
        <v>592.02572755831886</v>
      </c>
      <c r="Y939" s="16">
        <f>('Gearing Calculator'!$U$9*9.81)*(('Gearing Calculator'!$C$7-'Gearing Calculator'!$U$16)/'Gearing Calculator'!$C$7)+(('Track Data'!W939)*('Gearing Calculator'!$U$17/'Gearing Calculator'!$C$7))</f>
        <v>2019.396272441681</v>
      </c>
      <c r="Z939" s="16">
        <f>((X939*COS('Gearing Calculator'!$C$21))/'Gearing Calculator'!$C$22)/2</f>
        <v>18.303563078254452</v>
      </c>
      <c r="AA939" s="16">
        <f>Y939/'Gearing Calculator'!$C$24</f>
        <v>28.197545111657071</v>
      </c>
      <c r="AB939" s="16">
        <f t="shared" si="100"/>
        <v>220.44508037715221</v>
      </c>
      <c r="AC939" s="16">
        <v>0</v>
      </c>
      <c r="AD939" s="16">
        <v>48.889993475913293</v>
      </c>
      <c r="AE939" s="16">
        <v>936</v>
      </c>
      <c r="AF939" s="16">
        <f>IF(AC939=0,IF(O939=6,INDEX(Acceleration!$V$4:$V$110,MATCH('Track Data'!S939,Acceleration!$K$4:$K$110,0)),IF('Track Data'!O939=5,INDEX(Acceleration!$U$4:$U$110,MATCH('Track Data'!S939,Acceleration!$K$4:$K$110,0)),1)),U939)</f>
        <v>1</v>
      </c>
      <c r="AG939" s="16">
        <f>IF(AC939=0,IF(O939=4,INDEX(Acceleration!$T$4:$T$110,MATCH('Track Data'!S939,Acceleration!$K$4:$K$110,0)),IF('Track Data'!O939=3,INDEX(Acceleration!$S$4:$S$110,MATCH('Track Data'!S939,Acceleration!$K$4:$K$110,0)),'Track Data'!AF939)),'Track Data'!U939)</f>
        <v>4.8208358613991411</v>
      </c>
      <c r="AH939" s="16">
        <f>IF(AC939=0,IF(O939=2,INDEX(Acceleration!$R$4:$R$110,MATCH('Track Data'!S939,Acceleration!$K$4:$K$110,0)),IF('Track Data'!O939=1,INDEX(Acceleration!$Q$4:$Q$110,MATCH('Track Data'!S939,Acceleration!$K$4:$K$110,0)),'Track Data'!AG939)),'Track Data'!U939)</f>
        <v>4.8208358613991411</v>
      </c>
    </row>
    <row r="940" spans="2:34" x14ac:dyDescent="0.25">
      <c r="B940" s="16">
        <v>222.96600000000001</v>
      </c>
      <c r="C940" s="16">
        <v>8210</v>
      </c>
      <c r="D940" s="16">
        <v>937</v>
      </c>
      <c r="E940" s="113">
        <v>161</v>
      </c>
      <c r="F940" s="113">
        <v>149.5</v>
      </c>
      <c r="G940" s="113">
        <v>140.5</v>
      </c>
      <c r="H940" s="113">
        <f t="shared" si="103"/>
        <v>39.027777777777779</v>
      </c>
      <c r="I940" s="113">
        <v>10.7</v>
      </c>
      <c r="J940" s="113">
        <v>23.21</v>
      </c>
      <c r="K940" s="113">
        <v>45.5</v>
      </c>
      <c r="L940" s="183"/>
      <c r="M940" s="16">
        <v>937</v>
      </c>
      <c r="N940" s="16">
        <f t="shared" si="105"/>
        <v>2.2937824583009154E-2</v>
      </c>
      <c r="O940" s="16">
        <v>4</v>
      </c>
      <c r="P940" s="16">
        <f t="shared" si="101"/>
        <v>9.1833785004516724</v>
      </c>
      <c r="Q940" s="16">
        <f t="shared" si="106"/>
        <v>43.59611332718687</v>
      </c>
      <c r="R940" s="113">
        <f t="shared" si="102"/>
        <v>329.49099999999999</v>
      </c>
      <c r="S940" s="16">
        <f>IF(S939=15800,15800,ROUND((((Q940*60)/'Gearing Calculator'!$C$14)*'Track Data'!P940),-2))</f>
        <v>12100</v>
      </c>
      <c r="T940" s="16">
        <f t="shared" si="104"/>
        <v>4.8208358613991411</v>
      </c>
      <c r="U940" s="16">
        <f>IF(AC940=100,Braking!$AG$2354,IF(AC940=50,Braking!$AG$1179,IF(AC940=75,Braking!$AG$1767,0)))</f>
        <v>0</v>
      </c>
      <c r="V940" s="16">
        <f>0.5*'Gearing Calculator'!$C$15*'Gearing Calculator'!$C$20*'Gearing Calculator'!$W$20*('Track Data'!Q940^2)</f>
        <v>201.16173693155565</v>
      </c>
      <c r="W940" s="16">
        <f>('Gearing Calculator'!$U$9*'Track Data'!T940)+'Track Data'!V940</f>
        <v>1484.4682432360069</v>
      </c>
      <c r="X940" s="16">
        <f>('Gearing Calculator'!$U$9*9.81)*('Gearing Calculator'!$U$16/'Gearing Calculator'!$C$7)-(('Track Data'!W940)*('Gearing Calculator'!$U$17/'Gearing Calculator'!$C$7))</f>
        <v>592.02572755831886</v>
      </c>
      <c r="Y940" s="16">
        <f>('Gearing Calculator'!$U$9*9.81)*(('Gearing Calculator'!$C$7-'Gearing Calculator'!$U$16)/'Gearing Calculator'!$C$7)+(('Track Data'!W940)*('Gearing Calculator'!$U$17/'Gearing Calculator'!$C$7))</f>
        <v>2019.396272441681</v>
      </c>
      <c r="Z940" s="16">
        <f>((X940*COS('Gearing Calculator'!$C$21))/'Gearing Calculator'!$C$22)/2</f>
        <v>18.303563078254452</v>
      </c>
      <c r="AA940" s="16">
        <f>Y940/'Gearing Calculator'!$C$24</f>
        <v>28.197545111657071</v>
      </c>
      <c r="AB940" s="16">
        <f t="shared" si="100"/>
        <v>220.44508037715221</v>
      </c>
      <c r="AC940" s="16">
        <v>0</v>
      </c>
      <c r="AD940" s="16">
        <v>48.889993475913293</v>
      </c>
      <c r="AE940" s="16">
        <v>937</v>
      </c>
      <c r="AF940" s="16">
        <f>IF(AC940=0,IF(O940=6,INDEX(Acceleration!$V$4:$V$110,MATCH('Track Data'!S940,Acceleration!$K$4:$K$110,0)),IF('Track Data'!O940=5,INDEX(Acceleration!$U$4:$U$110,MATCH('Track Data'!S940,Acceleration!$K$4:$K$110,0)),1)),U940)</f>
        <v>1</v>
      </c>
      <c r="AG940" s="16">
        <f>IF(AC940=0,IF(O940=4,INDEX(Acceleration!$T$4:$T$110,MATCH('Track Data'!S940,Acceleration!$K$4:$K$110,0)),IF('Track Data'!O940=3,INDEX(Acceleration!$S$4:$S$110,MATCH('Track Data'!S940,Acceleration!$K$4:$K$110,0)),'Track Data'!AF940)),'Track Data'!U940)</f>
        <v>4.8208358613991411</v>
      </c>
      <c r="AH940" s="16">
        <f>IF(AC940=0,IF(O940=2,INDEX(Acceleration!$R$4:$R$110,MATCH('Track Data'!S940,Acceleration!$K$4:$K$110,0)),IF('Track Data'!O940=1,INDEX(Acceleration!$Q$4:$Q$110,MATCH('Track Data'!S940,Acceleration!$K$4:$K$110,0)),'Track Data'!AG940)),'Track Data'!U940)</f>
        <v>4.8208358613991411</v>
      </c>
    </row>
    <row r="941" spans="2:34" x14ac:dyDescent="0.25">
      <c r="B941" s="16">
        <v>222.989</v>
      </c>
      <c r="C941" s="16">
        <v>8211</v>
      </c>
      <c r="D941" s="16">
        <v>938</v>
      </c>
      <c r="E941" s="113">
        <v>162</v>
      </c>
      <c r="F941" s="113">
        <v>149.6</v>
      </c>
      <c r="G941" s="113">
        <v>140.9</v>
      </c>
      <c r="H941" s="113">
        <f t="shared" si="103"/>
        <v>39.138888888888893</v>
      </c>
      <c r="I941" s="113">
        <v>10.3</v>
      </c>
      <c r="J941" s="113">
        <v>24.5</v>
      </c>
      <c r="K941" s="113">
        <v>45.5</v>
      </c>
      <c r="L941" s="183"/>
      <c r="M941" s="16">
        <v>938</v>
      </c>
      <c r="N941" s="16">
        <f t="shared" si="105"/>
        <v>2.2937824583009154E-2</v>
      </c>
      <c r="O941" s="16">
        <v>4</v>
      </c>
      <c r="P941" s="16">
        <f t="shared" si="101"/>
        <v>9.1833785004516724</v>
      </c>
      <c r="Q941" s="16">
        <f t="shared" si="106"/>
        <v>43.59611332718687</v>
      </c>
      <c r="R941" s="113">
        <f t="shared" si="102"/>
        <v>329.49099999999999</v>
      </c>
      <c r="S941" s="16">
        <f>IF(S940=15800,15800,ROUND((((Q941*60)/'Gearing Calculator'!$C$14)*'Track Data'!P941),-2))</f>
        <v>12100</v>
      </c>
      <c r="T941" s="16">
        <f t="shared" si="104"/>
        <v>4.8208358613991411</v>
      </c>
      <c r="U941" s="16">
        <f>IF(AC941=100,Braking!$AG$2354,IF(AC941=50,Braking!$AG$1179,IF(AC941=75,Braking!$AG$1767,0)))</f>
        <v>0</v>
      </c>
      <c r="V941" s="16">
        <f>0.5*'Gearing Calculator'!$C$15*'Gearing Calculator'!$C$20*'Gearing Calculator'!$W$20*('Track Data'!Q941^2)</f>
        <v>201.16173693155565</v>
      </c>
      <c r="W941" s="16">
        <f>('Gearing Calculator'!$U$9*'Track Data'!T941)+'Track Data'!V941</f>
        <v>1484.4682432360069</v>
      </c>
      <c r="X941" s="16">
        <f>('Gearing Calculator'!$U$9*9.81)*('Gearing Calculator'!$U$16/'Gearing Calculator'!$C$7)-(('Track Data'!W941)*('Gearing Calculator'!$U$17/'Gearing Calculator'!$C$7))</f>
        <v>592.02572755831886</v>
      </c>
      <c r="Y941" s="16">
        <f>('Gearing Calculator'!$U$9*9.81)*(('Gearing Calculator'!$C$7-'Gearing Calculator'!$U$16)/'Gearing Calculator'!$C$7)+(('Track Data'!W941)*('Gearing Calculator'!$U$17/'Gearing Calculator'!$C$7))</f>
        <v>2019.396272441681</v>
      </c>
      <c r="Z941" s="16">
        <f>((X941*COS('Gearing Calculator'!$C$21))/'Gearing Calculator'!$C$22)/2</f>
        <v>18.303563078254452</v>
      </c>
      <c r="AA941" s="16">
        <f>Y941/'Gearing Calculator'!$C$24</f>
        <v>28.197545111657071</v>
      </c>
      <c r="AB941" s="16">
        <f t="shared" si="100"/>
        <v>220.44508037715221</v>
      </c>
      <c r="AC941" s="16">
        <v>0</v>
      </c>
      <c r="AD941" s="16">
        <v>48.889993475913293</v>
      </c>
      <c r="AE941" s="16">
        <v>938</v>
      </c>
      <c r="AF941" s="16">
        <f>IF(AC941=0,IF(O941=6,INDEX(Acceleration!$V$4:$V$110,MATCH('Track Data'!S941,Acceleration!$K$4:$K$110,0)),IF('Track Data'!O941=5,INDEX(Acceleration!$U$4:$U$110,MATCH('Track Data'!S941,Acceleration!$K$4:$K$110,0)),1)),U941)</f>
        <v>1</v>
      </c>
      <c r="AG941" s="16">
        <f>IF(AC941=0,IF(O941=4,INDEX(Acceleration!$T$4:$T$110,MATCH('Track Data'!S941,Acceleration!$K$4:$K$110,0)),IF('Track Data'!O941=3,INDEX(Acceleration!$S$4:$S$110,MATCH('Track Data'!S941,Acceleration!$K$4:$K$110,0)),'Track Data'!AF941)),'Track Data'!U941)</f>
        <v>4.8208358613991411</v>
      </c>
      <c r="AH941" s="16">
        <f>IF(AC941=0,IF(O941=2,INDEX(Acceleration!$R$4:$R$110,MATCH('Track Data'!S941,Acceleration!$K$4:$K$110,0)),IF('Track Data'!O941=1,INDEX(Acceleration!$Q$4:$Q$110,MATCH('Track Data'!S941,Acceleration!$K$4:$K$110,0)),'Track Data'!AG941)),'Track Data'!U941)</f>
        <v>4.8208358613991411</v>
      </c>
    </row>
    <row r="942" spans="2:34" x14ac:dyDescent="0.25">
      <c r="B942" s="16">
        <v>223.01300000000001</v>
      </c>
      <c r="C942" s="16">
        <v>8212</v>
      </c>
      <c r="D942" s="16">
        <v>939</v>
      </c>
      <c r="E942" s="113">
        <v>161</v>
      </c>
      <c r="F942" s="113">
        <v>149.80000000000001</v>
      </c>
      <c r="G942" s="113">
        <v>141.4</v>
      </c>
      <c r="H942" s="113">
        <f t="shared" si="103"/>
        <v>39.277777777777779</v>
      </c>
      <c r="I942" s="113">
        <v>11.2</v>
      </c>
      <c r="J942" s="113">
        <v>24.63</v>
      </c>
      <c r="K942" s="113">
        <v>45.5</v>
      </c>
      <c r="L942" s="183"/>
      <c r="M942" s="16">
        <v>939</v>
      </c>
      <c r="N942" s="16">
        <f t="shared" si="105"/>
        <v>2.2937824583009154E-2</v>
      </c>
      <c r="O942" s="16">
        <v>4</v>
      </c>
      <c r="P942" s="16">
        <f t="shared" si="101"/>
        <v>9.1833785004516724</v>
      </c>
      <c r="Q942" s="16">
        <f t="shared" si="106"/>
        <v>43.59611332718687</v>
      </c>
      <c r="R942" s="113">
        <f t="shared" si="102"/>
        <v>329.49099999999999</v>
      </c>
      <c r="S942" s="16">
        <f>IF(S941=15800,15800,ROUND((((Q942*60)/'Gearing Calculator'!$C$14)*'Track Data'!P942),-2))</f>
        <v>12100</v>
      </c>
      <c r="T942" s="16">
        <f t="shared" si="104"/>
        <v>4.8208358613991411</v>
      </c>
      <c r="U942" s="16">
        <f>IF(AC942=100,Braking!$AG$2354,IF(AC942=50,Braking!$AG$1179,IF(AC942=75,Braking!$AG$1767,0)))</f>
        <v>0</v>
      </c>
      <c r="V942" s="16">
        <f>0.5*'Gearing Calculator'!$C$15*'Gearing Calculator'!$C$20*'Gearing Calculator'!$W$20*('Track Data'!Q942^2)</f>
        <v>201.16173693155565</v>
      </c>
      <c r="W942" s="16">
        <f>('Gearing Calculator'!$U$9*'Track Data'!T942)+'Track Data'!V942</f>
        <v>1484.4682432360069</v>
      </c>
      <c r="X942" s="16">
        <f>('Gearing Calculator'!$U$9*9.81)*('Gearing Calculator'!$U$16/'Gearing Calculator'!$C$7)-(('Track Data'!W942)*('Gearing Calculator'!$U$17/'Gearing Calculator'!$C$7))</f>
        <v>592.02572755831886</v>
      </c>
      <c r="Y942" s="16">
        <f>('Gearing Calculator'!$U$9*9.81)*(('Gearing Calculator'!$C$7-'Gearing Calculator'!$U$16)/'Gearing Calculator'!$C$7)+(('Track Data'!W942)*('Gearing Calculator'!$U$17/'Gearing Calculator'!$C$7))</f>
        <v>2019.396272441681</v>
      </c>
      <c r="Z942" s="16">
        <f>((X942*COS('Gearing Calculator'!$C$21))/'Gearing Calculator'!$C$22)/2</f>
        <v>18.303563078254452</v>
      </c>
      <c r="AA942" s="16">
        <f>Y942/'Gearing Calculator'!$C$24</f>
        <v>28.197545111657071</v>
      </c>
      <c r="AB942" s="16">
        <f t="shared" si="100"/>
        <v>220.44508037715221</v>
      </c>
      <c r="AC942" s="16">
        <v>0</v>
      </c>
      <c r="AD942" s="16">
        <v>48.889993475913293</v>
      </c>
      <c r="AE942" s="16">
        <v>939</v>
      </c>
      <c r="AF942" s="16">
        <f>IF(AC942=0,IF(O942=6,INDEX(Acceleration!$V$4:$V$110,MATCH('Track Data'!S942,Acceleration!$K$4:$K$110,0)),IF('Track Data'!O942=5,INDEX(Acceleration!$U$4:$U$110,MATCH('Track Data'!S942,Acceleration!$K$4:$K$110,0)),1)),U942)</f>
        <v>1</v>
      </c>
      <c r="AG942" s="16">
        <f>IF(AC942=0,IF(O942=4,INDEX(Acceleration!$T$4:$T$110,MATCH('Track Data'!S942,Acceleration!$K$4:$K$110,0)),IF('Track Data'!O942=3,INDEX(Acceleration!$S$4:$S$110,MATCH('Track Data'!S942,Acceleration!$K$4:$K$110,0)),'Track Data'!AF942)),'Track Data'!U942)</f>
        <v>4.8208358613991411</v>
      </c>
      <c r="AH942" s="16">
        <f>IF(AC942=0,IF(O942=2,INDEX(Acceleration!$R$4:$R$110,MATCH('Track Data'!S942,Acceleration!$K$4:$K$110,0)),IF('Track Data'!O942=1,INDEX(Acceleration!$Q$4:$Q$110,MATCH('Track Data'!S942,Acceleration!$K$4:$K$110,0)),'Track Data'!AG942)),'Track Data'!U942)</f>
        <v>4.8208358613991411</v>
      </c>
    </row>
    <row r="943" spans="2:34" x14ac:dyDescent="0.25">
      <c r="B943" s="16">
        <v>223.03700000000001</v>
      </c>
      <c r="C943" s="16">
        <v>8213</v>
      </c>
      <c r="D943" s="16">
        <v>940</v>
      </c>
      <c r="E943" s="113">
        <v>160</v>
      </c>
      <c r="F943" s="113">
        <v>150.1</v>
      </c>
      <c r="G943" s="113">
        <v>141.69999999999999</v>
      </c>
      <c r="H943" s="113">
        <f t="shared" si="103"/>
        <v>39.361111111111107</v>
      </c>
      <c r="I943" s="113">
        <v>12.5</v>
      </c>
      <c r="J943" s="113">
        <v>21.26</v>
      </c>
      <c r="K943" s="113">
        <v>45.5</v>
      </c>
      <c r="L943" s="183"/>
      <c r="M943" s="16">
        <v>940</v>
      </c>
      <c r="N943" s="16">
        <f t="shared" si="105"/>
        <v>2.2937824583009154E-2</v>
      </c>
      <c r="O943" s="16">
        <v>4</v>
      </c>
      <c r="P943" s="16">
        <f t="shared" si="101"/>
        <v>9.1833785004516724</v>
      </c>
      <c r="Q943" s="16">
        <f t="shared" si="106"/>
        <v>43.59611332718687</v>
      </c>
      <c r="R943" s="113">
        <f t="shared" si="102"/>
        <v>329.49099999999999</v>
      </c>
      <c r="S943" s="16">
        <f>IF(S942=15800,15800,ROUND((((Q943*60)/'Gearing Calculator'!$C$14)*'Track Data'!P943),-2))</f>
        <v>12100</v>
      </c>
      <c r="T943" s="16">
        <f t="shared" si="104"/>
        <v>4.8208358613991411</v>
      </c>
      <c r="U943" s="16">
        <f>IF(AC943=100,Braking!$AG$2354,IF(AC943=50,Braking!$AG$1179,IF(AC943=75,Braking!$AG$1767,0)))</f>
        <v>0</v>
      </c>
      <c r="V943" s="16">
        <f>0.5*'Gearing Calculator'!$C$15*'Gearing Calculator'!$C$20*'Gearing Calculator'!$W$20*('Track Data'!Q943^2)</f>
        <v>201.16173693155565</v>
      </c>
      <c r="W943" s="16">
        <f>('Gearing Calculator'!$U$9*'Track Data'!T943)+'Track Data'!V943</f>
        <v>1484.4682432360069</v>
      </c>
      <c r="X943" s="16">
        <f>('Gearing Calculator'!$U$9*9.81)*('Gearing Calculator'!$U$16/'Gearing Calculator'!$C$7)-(('Track Data'!W943)*('Gearing Calculator'!$U$17/'Gearing Calculator'!$C$7))</f>
        <v>592.02572755831886</v>
      </c>
      <c r="Y943" s="16">
        <f>('Gearing Calculator'!$U$9*9.81)*(('Gearing Calculator'!$C$7-'Gearing Calculator'!$U$16)/'Gearing Calculator'!$C$7)+(('Track Data'!W943)*('Gearing Calculator'!$U$17/'Gearing Calculator'!$C$7))</f>
        <v>2019.396272441681</v>
      </c>
      <c r="Z943" s="16">
        <f>((X943*COS('Gearing Calculator'!$C$21))/'Gearing Calculator'!$C$22)/2</f>
        <v>18.303563078254452</v>
      </c>
      <c r="AA943" s="16">
        <f>Y943/'Gearing Calculator'!$C$24</f>
        <v>28.197545111657071</v>
      </c>
      <c r="AB943" s="16">
        <f t="shared" si="100"/>
        <v>220.44508037715221</v>
      </c>
      <c r="AC943" s="16">
        <v>0</v>
      </c>
      <c r="AD943" s="16">
        <v>48.889993475913293</v>
      </c>
      <c r="AE943" s="16">
        <v>940</v>
      </c>
      <c r="AF943" s="16">
        <f>IF(AC943=0,IF(O943=6,INDEX(Acceleration!$V$4:$V$110,MATCH('Track Data'!S943,Acceleration!$K$4:$K$110,0)),IF('Track Data'!O943=5,INDEX(Acceleration!$U$4:$U$110,MATCH('Track Data'!S943,Acceleration!$K$4:$K$110,0)),1)),U943)</f>
        <v>1</v>
      </c>
      <c r="AG943" s="16">
        <f>IF(AC943=0,IF(O943=4,INDEX(Acceleration!$T$4:$T$110,MATCH('Track Data'!S943,Acceleration!$K$4:$K$110,0)),IF('Track Data'!O943=3,INDEX(Acceleration!$S$4:$S$110,MATCH('Track Data'!S943,Acceleration!$K$4:$K$110,0)),'Track Data'!AF943)),'Track Data'!U943)</f>
        <v>4.8208358613991411</v>
      </c>
      <c r="AH943" s="16">
        <f>IF(AC943=0,IF(O943=2,INDEX(Acceleration!$R$4:$R$110,MATCH('Track Data'!S943,Acceleration!$K$4:$K$110,0)),IF('Track Data'!O943=1,INDEX(Acceleration!$Q$4:$Q$110,MATCH('Track Data'!S943,Acceleration!$K$4:$K$110,0)),'Track Data'!AG943)),'Track Data'!U943)</f>
        <v>4.8208358613991411</v>
      </c>
    </row>
    <row r="944" spans="2:34" x14ac:dyDescent="0.25">
      <c r="B944" s="16">
        <v>223.06100000000001</v>
      </c>
      <c r="C944" s="16">
        <v>8214</v>
      </c>
      <c r="D944" s="16">
        <v>941</v>
      </c>
      <c r="E944" s="113">
        <v>161</v>
      </c>
      <c r="F944" s="113">
        <v>150.6</v>
      </c>
      <c r="G944" s="113">
        <v>142.30000000000001</v>
      </c>
      <c r="H944" s="113">
        <f t="shared" si="103"/>
        <v>39.527777777777779</v>
      </c>
      <c r="I944" s="113">
        <v>13.1</v>
      </c>
      <c r="J944" s="113">
        <v>19.62</v>
      </c>
      <c r="K944" s="113">
        <v>45.7</v>
      </c>
      <c r="L944" s="183"/>
      <c r="M944" s="16">
        <v>941</v>
      </c>
      <c r="N944" s="16">
        <f t="shared" si="105"/>
        <v>2.2937824583009154E-2</v>
      </c>
      <c r="O944" s="16">
        <v>4</v>
      </c>
      <c r="P944" s="16">
        <f t="shared" si="101"/>
        <v>9.1833785004516724</v>
      </c>
      <c r="Q944" s="16">
        <f t="shared" si="106"/>
        <v>43.59611332718687</v>
      </c>
      <c r="R944" s="113">
        <f t="shared" si="102"/>
        <v>329.49099999999999</v>
      </c>
      <c r="S944" s="16">
        <f>IF(S943=15800,15800,ROUND((((Q944*60)/'Gearing Calculator'!$C$14)*'Track Data'!P944),-2))</f>
        <v>12100</v>
      </c>
      <c r="T944" s="16">
        <f t="shared" si="104"/>
        <v>4.8208358613991411</v>
      </c>
      <c r="U944" s="16">
        <f>IF(AC944=100,Braking!$AG$2354,IF(AC944=50,Braking!$AG$1179,IF(AC944=75,Braking!$AG$1767,0)))</f>
        <v>0</v>
      </c>
      <c r="V944" s="16">
        <f>0.5*'Gearing Calculator'!$C$15*'Gearing Calculator'!$C$20*'Gearing Calculator'!$W$20*('Track Data'!Q944^2)</f>
        <v>201.16173693155565</v>
      </c>
      <c r="W944" s="16">
        <f>('Gearing Calculator'!$U$9*'Track Data'!T944)+'Track Data'!V944</f>
        <v>1484.4682432360069</v>
      </c>
      <c r="X944" s="16">
        <f>('Gearing Calculator'!$U$9*9.81)*('Gearing Calculator'!$U$16/'Gearing Calculator'!$C$7)-(('Track Data'!W944)*('Gearing Calculator'!$U$17/'Gearing Calculator'!$C$7))</f>
        <v>592.02572755831886</v>
      </c>
      <c r="Y944" s="16">
        <f>('Gearing Calculator'!$U$9*9.81)*(('Gearing Calculator'!$C$7-'Gearing Calculator'!$U$16)/'Gearing Calculator'!$C$7)+(('Track Data'!W944)*('Gearing Calculator'!$U$17/'Gearing Calculator'!$C$7))</f>
        <v>2019.396272441681</v>
      </c>
      <c r="Z944" s="16">
        <f>((X944*COS('Gearing Calculator'!$C$21))/'Gearing Calculator'!$C$22)/2</f>
        <v>18.303563078254452</v>
      </c>
      <c r="AA944" s="16">
        <f>Y944/'Gearing Calculator'!$C$24</f>
        <v>28.197545111657071</v>
      </c>
      <c r="AB944" s="16">
        <f t="shared" si="100"/>
        <v>220.44508037715221</v>
      </c>
      <c r="AC944" s="16">
        <v>0</v>
      </c>
      <c r="AD944" s="16">
        <v>48.889993475913293</v>
      </c>
      <c r="AE944" s="16">
        <v>941</v>
      </c>
      <c r="AF944" s="16">
        <f>IF(AC944=0,IF(O944=6,INDEX(Acceleration!$V$4:$V$110,MATCH('Track Data'!S944,Acceleration!$K$4:$K$110,0)),IF('Track Data'!O944=5,INDEX(Acceleration!$U$4:$U$110,MATCH('Track Data'!S944,Acceleration!$K$4:$K$110,0)),1)),U944)</f>
        <v>1</v>
      </c>
      <c r="AG944" s="16">
        <f>IF(AC944=0,IF(O944=4,INDEX(Acceleration!$T$4:$T$110,MATCH('Track Data'!S944,Acceleration!$K$4:$K$110,0)),IF('Track Data'!O944=3,INDEX(Acceleration!$S$4:$S$110,MATCH('Track Data'!S944,Acceleration!$K$4:$K$110,0)),'Track Data'!AF944)),'Track Data'!U944)</f>
        <v>4.8208358613991411</v>
      </c>
      <c r="AH944" s="16">
        <f>IF(AC944=0,IF(O944=2,INDEX(Acceleration!$R$4:$R$110,MATCH('Track Data'!S944,Acceleration!$K$4:$K$110,0)),IF('Track Data'!O944=1,INDEX(Acceleration!$Q$4:$Q$110,MATCH('Track Data'!S944,Acceleration!$K$4:$K$110,0)),'Track Data'!AG944)),'Track Data'!U944)</f>
        <v>4.8208358613991411</v>
      </c>
    </row>
    <row r="945" spans="2:34" x14ac:dyDescent="0.25">
      <c r="B945" s="16">
        <v>223.08500000000001</v>
      </c>
      <c r="C945" s="16">
        <v>8215</v>
      </c>
      <c r="D945" s="16">
        <v>942</v>
      </c>
      <c r="E945" s="113">
        <v>162</v>
      </c>
      <c r="F945" s="113">
        <v>151.1</v>
      </c>
      <c r="G945" s="113">
        <v>142.6</v>
      </c>
      <c r="H945" s="113">
        <f t="shared" si="103"/>
        <v>39.611111111111107</v>
      </c>
      <c r="I945" s="113">
        <v>12.4</v>
      </c>
      <c r="J945" s="113">
        <v>19.579999999999998</v>
      </c>
      <c r="K945" s="113">
        <v>45.9</v>
      </c>
      <c r="L945" s="183"/>
      <c r="M945" s="16">
        <v>942</v>
      </c>
      <c r="N945" s="16">
        <f t="shared" si="105"/>
        <v>2.2937824583009154E-2</v>
      </c>
      <c r="O945" s="16">
        <v>4</v>
      </c>
      <c r="P945" s="16">
        <f t="shared" si="101"/>
        <v>9.1833785004516724</v>
      </c>
      <c r="Q945" s="16">
        <f t="shared" si="106"/>
        <v>43.59611332718687</v>
      </c>
      <c r="R945" s="113">
        <f t="shared" si="102"/>
        <v>329.49099999999999</v>
      </c>
      <c r="S945" s="16">
        <f>IF(S944=15800,15800,ROUND((((Q945*60)/'Gearing Calculator'!$C$14)*'Track Data'!P945),-2))</f>
        <v>12100</v>
      </c>
      <c r="T945" s="16">
        <f t="shared" si="104"/>
        <v>4.8208358613991411</v>
      </c>
      <c r="U945" s="16">
        <f>IF(AC945=100,Braking!$AG$2354,IF(AC945=50,Braking!$AG$1179,IF(AC945=75,Braking!$AG$1767,0)))</f>
        <v>0</v>
      </c>
      <c r="V945" s="16">
        <f>0.5*'Gearing Calculator'!$C$15*'Gearing Calculator'!$C$20*'Gearing Calculator'!$W$20*('Track Data'!Q945^2)</f>
        <v>201.16173693155565</v>
      </c>
      <c r="W945" s="16">
        <f>('Gearing Calculator'!$U$9*'Track Data'!T945)+'Track Data'!V945</f>
        <v>1484.4682432360069</v>
      </c>
      <c r="X945" s="16">
        <f>('Gearing Calculator'!$U$9*9.81)*('Gearing Calculator'!$U$16/'Gearing Calculator'!$C$7)-(('Track Data'!W945)*('Gearing Calculator'!$U$17/'Gearing Calculator'!$C$7))</f>
        <v>592.02572755831886</v>
      </c>
      <c r="Y945" s="16">
        <f>('Gearing Calculator'!$U$9*9.81)*(('Gearing Calculator'!$C$7-'Gearing Calculator'!$U$16)/'Gearing Calculator'!$C$7)+(('Track Data'!W945)*('Gearing Calculator'!$U$17/'Gearing Calculator'!$C$7))</f>
        <v>2019.396272441681</v>
      </c>
      <c r="Z945" s="16">
        <f>((X945*COS('Gearing Calculator'!$C$21))/'Gearing Calculator'!$C$22)/2</f>
        <v>18.303563078254452</v>
      </c>
      <c r="AA945" s="16">
        <f>Y945/'Gearing Calculator'!$C$24</f>
        <v>28.197545111657071</v>
      </c>
      <c r="AB945" s="16">
        <f t="shared" si="100"/>
        <v>220.44508037715221</v>
      </c>
      <c r="AC945" s="16">
        <v>0</v>
      </c>
      <c r="AD945" s="16">
        <v>48.889993475913293</v>
      </c>
      <c r="AE945" s="16">
        <v>942</v>
      </c>
      <c r="AF945" s="16">
        <f>IF(AC945=0,IF(O945=6,INDEX(Acceleration!$V$4:$V$110,MATCH('Track Data'!S945,Acceleration!$K$4:$K$110,0)),IF('Track Data'!O945=5,INDEX(Acceleration!$U$4:$U$110,MATCH('Track Data'!S945,Acceleration!$K$4:$K$110,0)),1)),U945)</f>
        <v>1</v>
      </c>
      <c r="AG945" s="16">
        <f>IF(AC945=0,IF(O945=4,INDEX(Acceleration!$T$4:$T$110,MATCH('Track Data'!S945,Acceleration!$K$4:$K$110,0)),IF('Track Data'!O945=3,INDEX(Acceleration!$S$4:$S$110,MATCH('Track Data'!S945,Acceleration!$K$4:$K$110,0)),'Track Data'!AF945)),'Track Data'!U945)</f>
        <v>4.8208358613991411</v>
      </c>
      <c r="AH945" s="16">
        <f>IF(AC945=0,IF(O945=2,INDEX(Acceleration!$R$4:$R$110,MATCH('Track Data'!S945,Acceleration!$K$4:$K$110,0)),IF('Track Data'!O945=1,INDEX(Acceleration!$Q$4:$Q$110,MATCH('Track Data'!S945,Acceleration!$K$4:$K$110,0)),'Track Data'!AG945)),'Track Data'!U945)</f>
        <v>4.8208358613991411</v>
      </c>
    </row>
    <row r="946" spans="2:34" x14ac:dyDescent="0.25">
      <c r="B946" s="16">
        <v>223.10900000000001</v>
      </c>
      <c r="C946" s="16">
        <v>8216</v>
      </c>
      <c r="D946" s="16">
        <v>943</v>
      </c>
      <c r="E946" s="113">
        <v>163</v>
      </c>
      <c r="F946" s="113">
        <v>151.6</v>
      </c>
      <c r="G946" s="113">
        <v>143</v>
      </c>
      <c r="H946" s="113">
        <f t="shared" si="103"/>
        <v>39.722222222222221</v>
      </c>
      <c r="I946" s="113">
        <v>11.8</v>
      </c>
      <c r="J946" s="113">
        <v>21.29</v>
      </c>
      <c r="K946" s="113">
        <v>46.1</v>
      </c>
      <c r="L946" s="183"/>
      <c r="M946" s="16">
        <v>943</v>
      </c>
      <c r="N946" s="16">
        <f t="shared" si="105"/>
        <v>2.2937824583009154E-2</v>
      </c>
      <c r="O946" s="16">
        <v>4</v>
      </c>
      <c r="P946" s="16">
        <f t="shared" si="101"/>
        <v>9.1833785004516724</v>
      </c>
      <c r="Q946" s="16">
        <f t="shared" si="106"/>
        <v>43.59611332718687</v>
      </c>
      <c r="R946" s="113">
        <f t="shared" si="102"/>
        <v>329.49099999999999</v>
      </c>
      <c r="S946" s="16">
        <f>IF(S945=15800,15800,ROUND((((Q946*60)/'Gearing Calculator'!$C$14)*'Track Data'!P946),-2))</f>
        <v>12100</v>
      </c>
      <c r="T946" s="16">
        <f t="shared" si="104"/>
        <v>4.8208358613991411</v>
      </c>
      <c r="U946" s="16">
        <f>IF(AC946=100,Braking!$AG$2354,IF(AC946=50,Braking!$AG$1179,IF(AC946=75,Braking!$AG$1767,0)))</f>
        <v>0</v>
      </c>
      <c r="V946" s="16">
        <f>0.5*'Gearing Calculator'!$C$15*'Gearing Calculator'!$C$20*'Gearing Calculator'!$W$20*('Track Data'!Q946^2)</f>
        <v>201.16173693155565</v>
      </c>
      <c r="W946" s="16">
        <f>('Gearing Calculator'!$U$9*'Track Data'!T946)+'Track Data'!V946</f>
        <v>1484.4682432360069</v>
      </c>
      <c r="X946" s="16">
        <f>('Gearing Calculator'!$U$9*9.81)*('Gearing Calculator'!$U$16/'Gearing Calculator'!$C$7)-(('Track Data'!W946)*('Gearing Calculator'!$U$17/'Gearing Calculator'!$C$7))</f>
        <v>592.02572755831886</v>
      </c>
      <c r="Y946" s="16">
        <f>('Gearing Calculator'!$U$9*9.81)*(('Gearing Calculator'!$C$7-'Gearing Calculator'!$U$16)/'Gearing Calculator'!$C$7)+(('Track Data'!W946)*('Gearing Calculator'!$U$17/'Gearing Calculator'!$C$7))</f>
        <v>2019.396272441681</v>
      </c>
      <c r="Z946" s="16">
        <f>((X946*COS('Gearing Calculator'!$C$21))/'Gearing Calculator'!$C$22)/2</f>
        <v>18.303563078254452</v>
      </c>
      <c r="AA946" s="16">
        <f>Y946/'Gearing Calculator'!$C$24</f>
        <v>28.197545111657071</v>
      </c>
      <c r="AB946" s="16">
        <f t="shared" si="100"/>
        <v>220.44508037715221</v>
      </c>
      <c r="AC946" s="16">
        <v>0</v>
      </c>
      <c r="AD946" s="16">
        <v>48.889993475913293</v>
      </c>
      <c r="AE946" s="16">
        <v>943</v>
      </c>
      <c r="AF946" s="16">
        <f>IF(AC946=0,IF(O946=6,INDEX(Acceleration!$V$4:$V$110,MATCH('Track Data'!S946,Acceleration!$K$4:$K$110,0)),IF('Track Data'!O946=5,INDEX(Acceleration!$U$4:$U$110,MATCH('Track Data'!S946,Acceleration!$K$4:$K$110,0)),1)),U946)</f>
        <v>1</v>
      </c>
      <c r="AG946" s="16">
        <f>IF(AC946=0,IF(O946=4,INDEX(Acceleration!$T$4:$T$110,MATCH('Track Data'!S946,Acceleration!$K$4:$K$110,0)),IF('Track Data'!O946=3,INDEX(Acceleration!$S$4:$S$110,MATCH('Track Data'!S946,Acceleration!$K$4:$K$110,0)),'Track Data'!AF946)),'Track Data'!U946)</f>
        <v>4.8208358613991411</v>
      </c>
      <c r="AH946" s="16">
        <f>IF(AC946=0,IF(O946=2,INDEX(Acceleration!$R$4:$R$110,MATCH('Track Data'!S946,Acceleration!$K$4:$K$110,0)),IF('Track Data'!O946=1,INDEX(Acceleration!$Q$4:$Q$110,MATCH('Track Data'!S946,Acceleration!$K$4:$K$110,0)),'Track Data'!AG946)),'Track Data'!U946)</f>
        <v>4.8208358613991411</v>
      </c>
    </row>
    <row r="947" spans="2:34" x14ac:dyDescent="0.25">
      <c r="B947" s="16">
        <v>223.13200000000001</v>
      </c>
      <c r="C947" s="16">
        <v>8217</v>
      </c>
      <c r="D947" s="16">
        <v>944</v>
      </c>
      <c r="E947" s="113">
        <v>163</v>
      </c>
      <c r="F947" s="113">
        <v>152.19999999999999</v>
      </c>
      <c r="G947" s="113">
        <v>143.5</v>
      </c>
      <c r="H947" s="113">
        <f t="shared" si="103"/>
        <v>39.861111111111107</v>
      </c>
      <c r="I947" s="113">
        <v>11.9</v>
      </c>
      <c r="J947" s="113">
        <v>21.53</v>
      </c>
      <c r="K947" s="113">
        <v>41.4</v>
      </c>
      <c r="L947" s="183"/>
      <c r="M947" s="16">
        <v>944</v>
      </c>
      <c r="N947" s="16">
        <f t="shared" si="105"/>
        <v>2.2937824583009154E-2</v>
      </c>
      <c r="O947" s="16">
        <v>4</v>
      </c>
      <c r="P947" s="16">
        <f t="shared" si="101"/>
        <v>9.1833785004516724</v>
      </c>
      <c r="Q947" s="16">
        <f t="shared" si="106"/>
        <v>43.59611332718687</v>
      </c>
      <c r="R947" s="113">
        <f t="shared" si="102"/>
        <v>329.49099999999999</v>
      </c>
      <c r="S947" s="16">
        <f>IF(S946=15800,15800,ROUND((((Q947*60)/'Gearing Calculator'!$C$14)*'Track Data'!P947),-2))</f>
        <v>12100</v>
      </c>
      <c r="T947" s="16">
        <f t="shared" si="104"/>
        <v>4.8208358613991411</v>
      </c>
      <c r="U947" s="16">
        <f>IF(AC947=100,Braking!$AG$2354,IF(AC947=50,Braking!$AG$1179,IF(AC947=75,Braking!$AG$1767,0)))</f>
        <v>0</v>
      </c>
      <c r="V947" s="16">
        <f>0.5*'Gearing Calculator'!$C$15*'Gearing Calculator'!$C$20*'Gearing Calculator'!$W$20*('Track Data'!Q947^2)</f>
        <v>201.16173693155565</v>
      </c>
      <c r="W947" s="16">
        <f>('Gearing Calculator'!$U$9*'Track Data'!T947)+'Track Data'!V947</f>
        <v>1484.4682432360069</v>
      </c>
      <c r="X947" s="16">
        <f>('Gearing Calculator'!$U$9*9.81)*('Gearing Calculator'!$U$16/'Gearing Calculator'!$C$7)-(('Track Data'!W947)*('Gearing Calculator'!$U$17/'Gearing Calculator'!$C$7))</f>
        <v>592.02572755831886</v>
      </c>
      <c r="Y947" s="16">
        <f>('Gearing Calculator'!$U$9*9.81)*(('Gearing Calculator'!$C$7-'Gearing Calculator'!$U$16)/'Gearing Calculator'!$C$7)+(('Track Data'!W947)*('Gearing Calculator'!$U$17/'Gearing Calculator'!$C$7))</f>
        <v>2019.396272441681</v>
      </c>
      <c r="Z947" s="16">
        <f>((X947*COS('Gearing Calculator'!$C$21))/'Gearing Calculator'!$C$22)/2</f>
        <v>18.303563078254452</v>
      </c>
      <c r="AA947" s="16">
        <f>Y947/'Gearing Calculator'!$C$24</f>
        <v>28.197545111657071</v>
      </c>
      <c r="AB947" s="16">
        <f t="shared" si="100"/>
        <v>220.44508037715221</v>
      </c>
      <c r="AC947" s="16">
        <v>0</v>
      </c>
      <c r="AD947" s="16">
        <v>48.889993475913293</v>
      </c>
      <c r="AE947" s="16">
        <v>944</v>
      </c>
      <c r="AF947" s="16">
        <f>IF(AC947=0,IF(O947=6,INDEX(Acceleration!$V$4:$V$110,MATCH('Track Data'!S947,Acceleration!$K$4:$K$110,0)),IF('Track Data'!O947=5,INDEX(Acceleration!$U$4:$U$110,MATCH('Track Data'!S947,Acceleration!$K$4:$K$110,0)),1)),U947)</f>
        <v>1</v>
      </c>
      <c r="AG947" s="16">
        <f>IF(AC947=0,IF(O947=4,INDEX(Acceleration!$T$4:$T$110,MATCH('Track Data'!S947,Acceleration!$K$4:$K$110,0)),IF('Track Data'!O947=3,INDEX(Acceleration!$S$4:$S$110,MATCH('Track Data'!S947,Acceleration!$K$4:$K$110,0)),'Track Data'!AF947)),'Track Data'!U947)</f>
        <v>4.8208358613991411</v>
      </c>
      <c r="AH947" s="16">
        <f>IF(AC947=0,IF(O947=2,INDEX(Acceleration!$R$4:$R$110,MATCH('Track Data'!S947,Acceleration!$K$4:$K$110,0)),IF('Track Data'!O947=1,INDEX(Acceleration!$Q$4:$Q$110,MATCH('Track Data'!S947,Acceleration!$K$4:$K$110,0)),'Track Data'!AG947)),'Track Data'!U947)</f>
        <v>4.8208358613991411</v>
      </c>
    </row>
    <row r="948" spans="2:34" x14ac:dyDescent="0.25">
      <c r="B948" s="16">
        <v>223.15600000000001</v>
      </c>
      <c r="C948" s="16">
        <v>8218</v>
      </c>
      <c r="D948" s="16">
        <v>945</v>
      </c>
      <c r="E948" s="113">
        <v>163</v>
      </c>
      <c r="F948" s="113">
        <v>152.6</v>
      </c>
      <c r="G948" s="113">
        <v>143.9</v>
      </c>
      <c r="H948" s="113">
        <f t="shared" si="103"/>
        <v>39.972222222222221</v>
      </c>
      <c r="I948" s="113">
        <v>12.9</v>
      </c>
      <c r="J948" s="113">
        <v>25.46</v>
      </c>
      <c r="K948" s="113">
        <v>34.4</v>
      </c>
      <c r="L948" s="183"/>
      <c r="M948" s="16">
        <v>945</v>
      </c>
      <c r="N948" s="16">
        <f t="shared" si="105"/>
        <v>2.2937824583009154E-2</v>
      </c>
      <c r="O948" s="16">
        <v>4</v>
      </c>
      <c r="P948" s="16">
        <f t="shared" si="101"/>
        <v>9.1833785004516724</v>
      </c>
      <c r="Q948" s="16">
        <f t="shared" si="106"/>
        <v>43.59611332718687</v>
      </c>
      <c r="R948" s="113">
        <f t="shared" si="102"/>
        <v>329.49099999999999</v>
      </c>
      <c r="S948" s="16">
        <f>IF(S947=15800,15800,ROUND((((Q948*60)/'Gearing Calculator'!$C$14)*'Track Data'!P948),-2))</f>
        <v>12100</v>
      </c>
      <c r="T948" s="16">
        <f t="shared" si="104"/>
        <v>4.8208358613991411</v>
      </c>
      <c r="U948" s="16">
        <f>IF(AC948=100,Braking!$AG$2354,IF(AC948=50,Braking!$AG$1179,IF(AC948=75,Braking!$AG$1767,0)))</f>
        <v>0</v>
      </c>
      <c r="V948" s="16">
        <f>0.5*'Gearing Calculator'!$C$15*'Gearing Calculator'!$C$20*'Gearing Calculator'!$W$20*('Track Data'!Q948^2)</f>
        <v>201.16173693155565</v>
      </c>
      <c r="W948" s="16">
        <f>('Gearing Calculator'!$U$9*'Track Data'!T948)+'Track Data'!V948</f>
        <v>1484.4682432360069</v>
      </c>
      <c r="X948" s="16">
        <f>('Gearing Calculator'!$U$9*9.81)*('Gearing Calculator'!$U$16/'Gearing Calculator'!$C$7)-(('Track Data'!W948)*('Gearing Calculator'!$U$17/'Gearing Calculator'!$C$7))</f>
        <v>592.02572755831886</v>
      </c>
      <c r="Y948" s="16">
        <f>('Gearing Calculator'!$U$9*9.81)*(('Gearing Calculator'!$C$7-'Gearing Calculator'!$U$16)/'Gearing Calculator'!$C$7)+(('Track Data'!W948)*('Gearing Calculator'!$U$17/'Gearing Calculator'!$C$7))</f>
        <v>2019.396272441681</v>
      </c>
      <c r="Z948" s="16">
        <f>((X948*COS('Gearing Calculator'!$C$21))/'Gearing Calculator'!$C$22)/2</f>
        <v>18.303563078254452</v>
      </c>
      <c r="AA948" s="16">
        <f>Y948/'Gearing Calculator'!$C$24</f>
        <v>28.197545111657071</v>
      </c>
      <c r="AB948" s="16">
        <f t="shared" si="100"/>
        <v>220.44508037715221</v>
      </c>
      <c r="AC948" s="16">
        <v>0</v>
      </c>
      <c r="AD948" s="16">
        <v>48.889993475913293</v>
      </c>
      <c r="AE948" s="16">
        <v>945</v>
      </c>
      <c r="AF948" s="16">
        <f>IF(AC948=0,IF(O948=6,INDEX(Acceleration!$V$4:$V$110,MATCH('Track Data'!S948,Acceleration!$K$4:$K$110,0)),IF('Track Data'!O948=5,INDEX(Acceleration!$U$4:$U$110,MATCH('Track Data'!S948,Acceleration!$K$4:$K$110,0)),1)),U948)</f>
        <v>1</v>
      </c>
      <c r="AG948" s="16">
        <f>IF(AC948=0,IF(O948=4,INDEX(Acceleration!$T$4:$T$110,MATCH('Track Data'!S948,Acceleration!$K$4:$K$110,0)),IF('Track Data'!O948=3,INDEX(Acceleration!$S$4:$S$110,MATCH('Track Data'!S948,Acceleration!$K$4:$K$110,0)),'Track Data'!AF948)),'Track Data'!U948)</f>
        <v>4.8208358613991411</v>
      </c>
      <c r="AH948" s="16">
        <f>IF(AC948=0,IF(O948=2,INDEX(Acceleration!$R$4:$R$110,MATCH('Track Data'!S948,Acceleration!$K$4:$K$110,0)),IF('Track Data'!O948=1,INDEX(Acceleration!$Q$4:$Q$110,MATCH('Track Data'!S948,Acceleration!$K$4:$K$110,0)),'Track Data'!AG948)),'Track Data'!U948)</f>
        <v>4.8208358613991411</v>
      </c>
    </row>
    <row r="949" spans="2:34" x14ac:dyDescent="0.25">
      <c r="B949" s="16">
        <v>223.18</v>
      </c>
      <c r="C949" s="16">
        <v>8219</v>
      </c>
      <c r="D949" s="16">
        <v>946</v>
      </c>
      <c r="E949" s="113">
        <v>163</v>
      </c>
      <c r="F949" s="113">
        <v>153</v>
      </c>
      <c r="G949" s="113">
        <v>144.4</v>
      </c>
      <c r="H949" s="113">
        <f t="shared" si="103"/>
        <v>40.111111111111114</v>
      </c>
      <c r="I949" s="113">
        <v>14.4</v>
      </c>
      <c r="J949" s="113">
        <v>26.3</v>
      </c>
      <c r="K949" s="113">
        <v>24</v>
      </c>
      <c r="L949" s="183"/>
      <c r="M949" s="16">
        <v>946</v>
      </c>
      <c r="N949" s="16">
        <f t="shared" si="105"/>
        <v>2.2937824583009154E-2</v>
      </c>
      <c r="O949" s="16">
        <v>4</v>
      </c>
      <c r="P949" s="16">
        <f t="shared" si="101"/>
        <v>9.1833785004516724</v>
      </c>
      <c r="Q949" s="16">
        <f t="shared" si="106"/>
        <v>43.59611332718687</v>
      </c>
      <c r="R949" s="113">
        <f t="shared" si="102"/>
        <v>329.49099999999999</v>
      </c>
      <c r="S949" s="16">
        <f>IF(S948=15800,15800,ROUND((((Q949*60)/'Gearing Calculator'!$C$14)*'Track Data'!P949),-2))</f>
        <v>12100</v>
      </c>
      <c r="T949" s="16">
        <f t="shared" si="104"/>
        <v>4.8208358613991411</v>
      </c>
      <c r="U949" s="16">
        <f>IF(AC949=100,Braking!$AG$2354,IF(AC949=50,Braking!$AG$1179,IF(AC949=75,Braking!$AG$1767,0)))</f>
        <v>0</v>
      </c>
      <c r="V949" s="16">
        <f>0.5*'Gearing Calculator'!$C$15*'Gearing Calculator'!$C$20*'Gearing Calculator'!$W$20*('Track Data'!Q949^2)</f>
        <v>201.16173693155565</v>
      </c>
      <c r="W949" s="16">
        <f>('Gearing Calculator'!$U$9*'Track Data'!T949)+'Track Data'!V949</f>
        <v>1484.4682432360069</v>
      </c>
      <c r="X949" s="16">
        <f>('Gearing Calculator'!$U$9*9.81)*('Gearing Calculator'!$U$16/'Gearing Calculator'!$C$7)-(('Track Data'!W949)*('Gearing Calculator'!$U$17/'Gearing Calculator'!$C$7))</f>
        <v>592.02572755831886</v>
      </c>
      <c r="Y949" s="16">
        <f>('Gearing Calculator'!$U$9*9.81)*(('Gearing Calculator'!$C$7-'Gearing Calculator'!$U$16)/'Gearing Calculator'!$C$7)+(('Track Data'!W949)*('Gearing Calculator'!$U$17/'Gearing Calculator'!$C$7))</f>
        <v>2019.396272441681</v>
      </c>
      <c r="Z949" s="16">
        <f>((X949*COS('Gearing Calculator'!$C$21))/'Gearing Calculator'!$C$22)/2</f>
        <v>18.303563078254452</v>
      </c>
      <c r="AA949" s="16">
        <f>Y949/'Gearing Calculator'!$C$24</f>
        <v>28.197545111657071</v>
      </c>
      <c r="AB949" s="16">
        <f t="shared" si="100"/>
        <v>220.44508037715221</v>
      </c>
      <c r="AC949" s="16">
        <v>0</v>
      </c>
      <c r="AD949" s="16">
        <v>48.889993475913293</v>
      </c>
      <c r="AE949" s="16">
        <v>946</v>
      </c>
      <c r="AF949" s="16">
        <f>IF(AC949=0,IF(O949=6,INDEX(Acceleration!$V$4:$V$110,MATCH('Track Data'!S949,Acceleration!$K$4:$K$110,0)),IF('Track Data'!O949=5,INDEX(Acceleration!$U$4:$U$110,MATCH('Track Data'!S949,Acceleration!$K$4:$K$110,0)),1)),U949)</f>
        <v>1</v>
      </c>
      <c r="AG949" s="16">
        <f>IF(AC949=0,IF(O949=4,INDEX(Acceleration!$T$4:$T$110,MATCH('Track Data'!S949,Acceleration!$K$4:$K$110,0)),IF('Track Data'!O949=3,INDEX(Acceleration!$S$4:$S$110,MATCH('Track Data'!S949,Acceleration!$K$4:$K$110,0)),'Track Data'!AF949)),'Track Data'!U949)</f>
        <v>4.8208358613991411</v>
      </c>
      <c r="AH949" s="16">
        <f>IF(AC949=0,IF(O949=2,INDEX(Acceleration!$R$4:$R$110,MATCH('Track Data'!S949,Acceleration!$K$4:$K$110,0)),IF('Track Data'!O949=1,INDEX(Acceleration!$Q$4:$Q$110,MATCH('Track Data'!S949,Acceleration!$K$4:$K$110,0)),'Track Data'!AG949)),'Track Data'!U949)</f>
        <v>4.8208358613991411</v>
      </c>
    </row>
    <row r="950" spans="2:34" x14ac:dyDescent="0.25">
      <c r="B950" s="16">
        <v>223.203</v>
      </c>
      <c r="C950" s="16">
        <v>8220</v>
      </c>
      <c r="D950" s="16">
        <v>947</v>
      </c>
      <c r="E950" s="113">
        <v>163</v>
      </c>
      <c r="F950" s="113">
        <v>153.30000000000001</v>
      </c>
      <c r="G950" s="113">
        <v>144.80000000000001</v>
      </c>
      <c r="H950" s="113">
        <f t="shared" si="103"/>
        <v>40.222222222222221</v>
      </c>
      <c r="I950" s="113">
        <v>15</v>
      </c>
      <c r="J950" s="113">
        <v>25.26</v>
      </c>
      <c r="K950" s="113">
        <v>20</v>
      </c>
      <c r="L950" s="183"/>
      <c r="M950" s="16">
        <v>947</v>
      </c>
      <c r="N950" s="16">
        <f t="shared" si="105"/>
        <v>2.2937824583009154E-2</v>
      </c>
      <c r="O950" s="16">
        <v>4</v>
      </c>
      <c r="P950" s="16">
        <f t="shared" si="101"/>
        <v>9.1833785004516724</v>
      </c>
      <c r="Q950" s="16">
        <f t="shared" si="106"/>
        <v>43.59611332718687</v>
      </c>
      <c r="R950" s="113">
        <f t="shared" si="102"/>
        <v>329.49099999999999</v>
      </c>
      <c r="S950" s="16">
        <f>IF(S949=15800,15800,ROUND((((Q950*60)/'Gearing Calculator'!$C$14)*'Track Data'!P950),-2))</f>
        <v>12100</v>
      </c>
      <c r="T950" s="16">
        <f t="shared" si="104"/>
        <v>4.8208358613991411</v>
      </c>
      <c r="U950" s="16">
        <f>IF(AC950=100,Braking!$AG$2354,IF(AC950=50,Braking!$AG$1179,IF(AC950=75,Braking!$AG$1767,0)))</f>
        <v>0</v>
      </c>
      <c r="V950" s="16">
        <f>0.5*'Gearing Calculator'!$C$15*'Gearing Calculator'!$C$20*'Gearing Calculator'!$W$20*('Track Data'!Q950^2)</f>
        <v>201.16173693155565</v>
      </c>
      <c r="W950" s="16">
        <f>('Gearing Calculator'!$U$9*'Track Data'!T950)+'Track Data'!V950</f>
        <v>1484.4682432360069</v>
      </c>
      <c r="X950" s="16">
        <f>('Gearing Calculator'!$U$9*9.81)*('Gearing Calculator'!$U$16/'Gearing Calculator'!$C$7)-(('Track Data'!W950)*('Gearing Calculator'!$U$17/'Gearing Calculator'!$C$7))</f>
        <v>592.02572755831886</v>
      </c>
      <c r="Y950" s="16">
        <f>('Gearing Calculator'!$U$9*9.81)*(('Gearing Calculator'!$C$7-'Gearing Calculator'!$U$16)/'Gearing Calculator'!$C$7)+(('Track Data'!W950)*('Gearing Calculator'!$U$17/'Gearing Calculator'!$C$7))</f>
        <v>2019.396272441681</v>
      </c>
      <c r="Z950" s="16">
        <f>((X950*COS('Gearing Calculator'!$C$21))/'Gearing Calculator'!$C$22)/2</f>
        <v>18.303563078254452</v>
      </c>
      <c r="AA950" s="16">
        <f>Y950/'Gearing Calculator'!$C$24</f>
        <v>28.197545111657071</v>
      </c>
      <c r="AB950" s="16">
        <f t="shared" ref="AB950:AB1013" si="107">(T950*O950)+V950</f>
        <v>220.44508037715221</v>
      </c>
      <c r="AC950" s="16">
        <v>0</v>
      </c>
      <c r="AD950" s="16">
        <v>48.889993475913293</v>
      </c>
      <c r="AE950" s="16">
        <v>947</v>
      </c>
      <c r="AF950" s="16">
        <f>IF(AC950=0,IF(O950=6,INDEX(Acceleration!$V$4:$V$110,MATCH('Track Data'!S950,Acceleration!$K$4:$K$110,0)),IF('Track Data'!O950=5,INDEX(Acceleration!$U$4:$U$110,MATCH('Track Data'!S950,Acceleration!$K$4:$K$110,0)),1)),U950)</f>
        <v>1</v>
      </c>
      <c r="AG950" s="16">
        <f>IF(AC950=0,IF(O950=4,INDEX(Acceleration!$T$4:$T$110,MATCH('Track Data'!S950,Acceleration!$K$4:$K$110,0)),IF('Track Data'!O950=3,INDEX(Acceleration!$S$4:$S$110,MATCH('Track Data'!S950,Acceleration!$K$4:$K$110,0)),'Track Data'!AF950)),'Track Data'!U950)</f>
        <v>4.8208358613991411</v>
      </c>
      <c r="AH950" s="16">
        <f>IF(AC950=0,IF(O950=2,INDEX(Acceleration!$R$4:$R$110,MATCH('Track Data'!S950,Acceleration!$K$4:$K$110,0)),IF('Track Data'!O950=1,INDEX(Acceleration!$Q$4:$Q$110,MATCH('Track Data'!S950,Acceleration!$K$4:$K$110,0)),'Track Data'!AG950)),'Track Data'!U950)</f>
        <v>4.8208358613991411</v>
      </c>
    </row>
    <row r="951" spans="2:34" x14ac:dyDescent="0.25">
      <c r="B951" s="16">
        <v>223.227</v>
      </c>
      <c r="C951" s="16">
        <v>8221</v>
      </c>
      <c r="D951" s="16">
        <v>948</v>
      </c>
      <c r="E951" s="113">
        <v>164</v>
      </c>
      <c r="F951" s="113">
        <v>153.30000000000001</v>
      </c>
      <c r="G951" s="113">
        <v>145.1</v>
      </c>
      <c r="H951" s="113">
        <f t="shared" si="103"/>
        <v>40.30555555555555</v>
      </c>
      <c r="I951" s="113">
        <v>15</v>
      </c>
      <c r="J951" s="113">
        <v>26.86</v>
      </c>
      <c r="K951" s="113">
        <v>28.9</v>
      </c>
      <c r="L951" s="183"/>
      <c r="M951" s="16">
        <v>948</v>
      </c>
      <c r="N951" s="16">
        <f t="shared" si="105"/>
        <v>2.2937824583009154E-2</v>
      </c>
      <c r="O951" s="16">
        <v>4</v>
      </c>
      <c r="P951" s="16">
        <f t="shared" si="101"/>
        <v>9.1833785004516724</v>
      </c>
      <c r="Q951" s="16">
        <f t="shared" si="106"/>
        <v>43.59611332718687</v>
      </c>
      <c r="R951" s="113">
        <f t="shared" si="102"/>
        <v>329.49099999999999</v>
      </c>
      <c r="S951" s="16">
        <f>IF(S950=15800,15800,ROUND((((Q951*60)/'Gearing Calculator'!$C$14)*'Track Data'!P951),-2))</f>
        <v>12100</v>
      </c>
      <c r="T951" s="16">
        <f t="shared" si="104"/>
        <v>4.8208358613991411</v>
      </c>
      <c r="U951" s="16">
        <f>IF(AC951=100,Braking!$AG$2354,IF(AC951=50,Braking!$AG$1179,IF(AC951=75,Braking!$AG$1767,0)))</f>
        <v>0</v>
      </c>
      <c r="V951" s="16">
        <f>0.5*'Gearing Calculator'!$C$15*'Gearing Calculator'!$C$20*'Gearing Calculator'!$W$20*('Track Data'!Q951^2)</f>
        <v>201.16173693155565</v>
      </c>
      <c r="W951" s="16">
        <f>('Gearing Calculator'!$U$9*'Track Data'!T951)+'Track Data'!V951</f>
        <v>1484.4682432360069</v>
      </c>
      <c r="X951" s="16">
        <f>('Gearing Calculator'!$U$9*9.81)*('Gearing Calculator'!$U$16/'Gearing Calculator'!$C$7)-(('Track Data'!W951)*('Gearing Calculator'!$U$17/'Gearing Calculator'!$C$7))</f>
        <v>592.02572755831886</v>
      </c>
      <c r="Y951" s="16">
        <f>('Gearing Calculator'!$U$9*9.81)*(('Gearing Calculator'!$C$7-'Gearing Calculator'!$U$16)/'Gearing Calculator'!$C$7)+(('Track Data'!W951)*('Gearing Calculator'!$U$17/'Gearing Calculator'!$C$7))</f>
        <v>2019.396272441681</v>
      </c>
      <c r="Z951" s="16">
        <f>((X951*COS('Gearing Calculator'!$C$21))/'Gearing Calculator'!$C$22)/2</f>
        <v>18.303563078254452</v>
      </c>
      <c r="AA951" s="16">
        <f>Y951/'Gearing Calculator'!$C$24</f>
        <v>28.197545111657071</v>
      </c>
      <c r="AB951" s="16">
        <f t="shared" si="107"/>
        <v>220.44508037715221</v>
      </c>
      <c r="AC951" s="16">
        <v>0</v>
      </c>
      <c r="AD951" s="16">
        <v>48.889993475913293</v>
      </c>
      <c r="AE951" s="16">
        <v>948</v>
      </c>
      <c r="AF951" s="16">
        <f>IF(AC951=0,IF(O951=6,INDEX(Acceleration!$V$4:$V$110,MATCH('Track Data'!S951,Acceleration!$K$4:$K$110,0)),IF('Track Data'!O951=5,INDEX(Acceleration!$U$4:$U$110,MATCH('Track Data'!S951,Acceleration!$K$4:$K$110,0)),1)),U951)</f>
        <v>1</v>
      </c>
      <c r="AG951" s="16">
        <f>IF(AC951=0,IF(O951=4,INDEX(Acceleration!$T$4:$T$110,MATCH('Track Data'!S951,Acceleration!$K$4:$K$110,0)),IF('Track Data'!O951=3,INDEX(Acceleration!$S$4:$S$110,MATCH('Track Data'!S951,Acceleration!$K$4:$K$110,0)),'Track Data'!AF951)),'Track Data'!U951)</f>
        <v>4.8208358613991411</v>
      </c>
      <c r="AH951" s="16">
        <f>IF(AC951=0,IF(O951=2,INDEX(Acceleration!$R$4:$R$110,MATCH('Track Data'!S951,Acceleration!$K$4:$K$110,0)),IF('Track Data'!O951=1,INDEX(Acceleration!$Q$4:$Q$110,MATCH('Track Data'!S951,Acceleration!$K$4:$K$110,0)),'Track Data'!AG951)),'Track Data'!U951)</f>
        <v>4.8208358613991411</v>
      </c>
    </row>
    <row r="952" spans="2:34" x14ac:dyDescent="0.25">
      <c r="B952" s="16">
        <v>223.25</v>
      </c>
      <c r="C952" s="16">
        <v>8222</v>
      </c>
      <c r="D952" s="16">
        <v>949</v>
      </c>
      <c r="E952" s="113">
        <v>164</v>
      </c>
      <c r="F952" s="113">
        <v>153.6</v>
      </c>
      <c r="G952" s="113">
        <v>145.69999999999999</v>
      </c>
      <c r="H952" s="113">
        <f t="shared" si="103"/>
        <v>40.472222222222221</v>
      </c>
      <c r="I952" s="113">
        <v>13.9</v>
      </c>
      <c r="J952" s="113">
        <v>27.82</v>
      </c>
      <c r="K952" s="113">
        <v>42.4</v>
      </c>
      <c r="L952" s="183"/>
      <c r="M952" s="16">
        <v>949</v>
      </c>
      <c r="N952" s="16">
        <f t="shared" si="105"/>
        <v>2.2937824583009154E-2</v>
      </c>
      <c r="O952" s="16">
        <v>4</v>
      </c>
      <c r="P952" s="16">
        <f t="shared" si="101"/>
        <v>9.1833785004516724</v>
      </c>
      <c r="Q952" s="16">
        <f t="shared" si="106"/>
        <v>43.59611332718687</v>
      </c>
      <c r="R952" s="113">
        <f t="shared" si="102"/>
        <v>329.49099999999999</v>
      </c>
      <c r="S952" s="16">
        <f>IF(S951=15800,15800,ROUND((((Q952*60)/'Gearing Calculator'!$C$14)*'Track Data'!P952),-2))</f>
        <v>12100</v>
      </c>
      <c r="T952" s="16">
        <f t="shared" si="104"/>
        <v>4.8208358613991411</v>
      </c>
      <c r="U952" s="16">
        <f>IF(AC952=100,Braking!$AG$2354,IF(AC952=50,Braking!$AG$1179,IF(AC952=75,Braking!$AG$1767,0)))</f>
        <v>0</v>
      </c>
      <c r="V952" s="16">
        <f>0.5*'Gearing Calculator'!$C$15*'Gearing Calculator'!$C$20*'Gearing Calculator'!$W$20*('Track Data'!Q952^2)</f>
        <v>201.16173693155565</v>
      </c>
      <c r="W952" s="16">
        <f>('Gearing Calculator'!$U$9*'Track Data'!T952)+'Track Data'!V952</f>
        <v>1484.4682432360069</v>
      </c>
      <c r="X952" s="16">
        <f>('Gearing Calculator'!$U$9*9.81)*('Gearing Calculator'!$U$16/'Gearing Calculator'!$C$7)-(('Track Data'!W952)*('Gearing Calculator'!$U$17/'Gearing Calculator'!$C$7))</f>
        <v>592.02572755831886</v>
      </c>
      <c r="Y952" s="16">
        <f>('Gearing Calculator'!$U$9*9.81)*(('Gearing Calculator'!$C$7-'Gearing Calculator'!$U$16)/'Gearing Calculator'!$C$7)+(('Track Data'!W952)*('Gearing Calculator'!$U$17/'Gearing Calculator'!$C$7))</f>
        <v>2019.396272441681</v>
      </c>
      <c r="Z952" s="16">
        <f>((X952*COS('Gearing Calculator'!$C$21))/'Gearing Calculator'!$C$22)/2</f>
        <v>18.303563078254452</v>
      </c>
      <c r="AA952" s="16">
        <f>Y952/'Gearing Calculator'!$C$24</f>
        <v>28.197545111657071</v>
      </c>
      <c r="AB952" s="16">
        <f t="shared" si="107"/>
        <v>220.44508037715221</v>
      </c>
      <c r="AC952" s="16">
        <v>0</v>
      </c>
      <c r="AD952" s="16">
        <v>48.889993475913293</v>
      </c>
      <c r="AE952" s="16">
        <v>949</v>
      </c>
      <c r="AF952" s="16">
        <f>IF(AC952=0,IF(O952=6,INDEX(Acceleration!$V$4:$V$110,MATCH('Track Data'!S952,Acceleration!$K$4:$K$110,0)),IF('Track Data'!O952=5,INDEX(Acceleration!$U$4:$U$110,MATCH('Track Data'!S952,Acceleration!$K$4:$K$110,0)),1)),U952)</f>
        <v>1</v>
      </c>
      <c r="AG952" s="16">
        <f>IF(AC952=0,IF(O952=4,INDEX(Acceleration!$T$4:$T$110,MATCH('Track Data'!S952,Acceleration!$K$4:$K$110,0)),IF('Track Data'!O952=3,INDEX(Acceleration!$S$4:$S$110,MATCH('Track Data'!S952,Acceleration!$K$4:$K$110,0)),'Track Data'!AF952)),'Track Data'!U952)</f>
        <v>4.8208358613991411</v>
      </c>
      <c r="AH952" s="16">
        <f>IF(AC952=0,IF(O952=2,INDEX(Acceleration!$R$4:$R$110,MATCH('Track Data'!S952,Acceleration!$K$4:$K$110,0)),IF('Track Data'!O952=1,INDEX(Acceleration!$Q$4:$Q$110,MATCH('Track Data'!S952,Acceleration!$K$4:$K$110,0)),'Track Data'!AG952)),'Track Data'!U952)</f>
        <v>4.8208358613991411</v>
      </c>
    </row>
    <row r="953" spans="2:34" x14ac:dyDescent="0.25">
      <c r="B953" s="16">
        <v>223.274</v>
      </c>
      <c r="C953" s="16">
        <v>8223</v>
      </c>
      <c r="D953" s="16">
        <v>950</v>
      </c>
      <c r="E953" s="113">
        <v>165</v>
      </c>
      <c r="F953" s="113">
        <v>154.19999999999999</v>
      </c>
      <c r="G953" s="113">
        <v>146.19999999999999</v>
      </c>
      <c r="H953" s="113">
        <f t="shared" si="103"/>
        <v>40.611111111111107</v>
      </c>
      <c r="I953" s="113">
        <v>13.9</v>
      </c>
      <c r="J953" s="113">
        <v>22.85</v>
      </c>
      <c r="K953" s="113">
        <v>51.4</v>
      </c>
      <c r="L953" s="183"/>
      <c r="M953" s="16">
        <v>950</v>
      </c>
      <c r="N953" s="16">
        <f t="shared" si="105"/>
        <v>2.2937824583009154E-2</v>
      </c>
      <c r="O953" s="16">
        <v>4</v>
      </c>
      <c r="P953" s="16">
        <f t="shared" si="101"/>
        <v>9.1833785004516724</v>
      </c>
      <c r="Q953" s="16">
        <f t="shared" si="106"/>
        <v>43.59611332718687</v>
      </c>
      <c r="R953" s="113">
        <f t="shared" si="102"/>
        <v>329.49099999999999</v>
      </c>
      <c r="S953" s="16">
        <f>IF(S952=15800,15800,ROUND((((Q953*60)/'Gearing Calculator'!$C$14)*'Track Data'!P953),-2))</f>
        <v>12100</v>
      </c>
      <c r="T953" s="16">
        <f t="shared" si="104"/>
        <v>4.8208358613991411</v>
      </c>
      <c r="U953" s="16">
        <f>IF(AC953=100,Braking!$AG$2354,IF(AC953=50,Braking!$AG$1179,IF(AC953=75,Braking!$AG$1767,0)))</f>
        <v>0</v>
      </c>
      <c r="V953" s="16">
        <f>0.5*'Gearing Calculator'!$C$15*'Gearing Calculator'!$C$20*'Gearing Calculator'!$W$20*('Track Data'!Q953^2)</f>
        <v>201.16173693155565</v>
      </c>
      <c r="W953" s="16">
        <f>('Gearing Calculator'!$U$9*'Track Data'!T953)+'Track Data'!V953</f>
        <v>1484.4682432360069</v>
      </c>
      <c r="X953" s="16">
        <f>('Gearing Calculator'!$U$9*9.81)*('Gearing Calculator'!$U$16/'Gearing Calculator'!$C$7)-(('Track Data'!W953)*('Gearing Calculator'!$U$17/'Gearing Calculator'!$C$7))</f>
        <v>592.02572755831886</v>
      </c>
      <c r="Y953" s="16">
        <f>('Gearing Calculator'!$U$9*9.81)*(('Gearing Calculator'!$C$7-'Gearing Calculator'!$U$16)/'Gearing Calculator'!$C$7)+(('Track Data'!W953)*('Gearing Calculator'!$U$17/'Gearing Calculator'!$C$7))</f>
        <v>2019.396272441681</v>
      </c>
      <c r="Z953" s="16">
        <f>((X953*COS('Gearing Calculator'!$C$21))/'Gearing Calculator'!$C$22)/2</f>
        <v>18.303563078254452</v>
      </c>
      <c r="AA953" s="16">
        <f>Y953/'Gearing Calculator'!$C$24</f>
        <v>28.197545111657071</v>
      </c>
      <c r="AB953" s="16">
        <f t="shared" si="107"/>
        <v>220.44508037715221</v>
      </c>
      <c r="AC953" s="16">
        <v>0</v>
      </c>
      <c r="AD953" s="16">
        <v>48.889993475913293</v>
      </c>
      <c r="AE953" s="16">
        <v>950</v>
      </c>
      <c r="AF953" s="16">
        <f>IF(AC953=0,IF(O953=6,INDEX(Acceleration!$V$4:$V$110,MATCH('Track Data'!S953,Acceleration!$K$4:$K$110,0)),IF('Track Data'!O953=5,INDEX(Acceleration!$U$4:$U$110,MATCH('Track Data'!S953,Acceleration!$K$4:$K$110,0)),1)),U953)</f>
        <v>1</v>
      </c>
      <c r="AG953" s="16">
        <f>IF(AC953=0,IF(O953=4,INDEX(Acceleration!$T$4:$T$110,MATCH('Track Data'!S953,Acceleration!$K$4:$K$110,0)),IF('Track Data'!O953=3,INDEX(Acceleration!$S$4:$S$110,MATCH('Track Data'!S953,Acceleration!$K$4:$K$110,0)),'Track Data'!AF953)),'Track Data'!U953)</f>
        <v>4.8208358613991411</v>
      </c>
      <c r="AH953" s="16">
        <f>IF(AC953=0,IF(O953=2,INDEX(Acceleration!$R$4:$R$110,MATCH('Track Data'!S953,Acceleration!$K$4:$K$110,0)),IF('Track Data'!O953=1,INDEX(Acceleration!$Q$4:$Q$110,MATCH('Track Data'!S953,Acceleration!$K$4:$K$110,0)),'Track Data'!AG953)),'Track Data'!U953)</f>
        <v>4.8208358613991411</v>
      </c>
    </row>
    <row r="954" spans="2:34" x14ac:dyDescent="0.25">
      <c r="B954" s="16">
        <v>223.297</v>
      </c>
      <c r="C954" s="16">
        <v>8224</v>
      </c>
      <c r="D954" s="16">
        <v>951</v>
      </c>
      <c r="E954" s="113">
        <v>166</v>
      </c>
      <c r="F954" s="113">
        <v>154.69999999999999</v>
      </c>
      <c r="G954" s="113">
        <v>146.6</v>
      </c>
      <c r="H954" s="113">
        <f t="shared" si="103"/>
        <v>40.722222222222221</v>
      </c>
      <c r="I954" s="113">
        <v>12.7</v>
      </c>
      <c r="J954" s="113">
        <v>21.12</v>
      </c>
      <c r="K954" s="113">
        <v>53.7</v>
      </c>
      <c r="L954" s="183"/>
      <c r="M954" s="16">
        <v>951</v>
      </c>
      <c r="N954" s="16">
        <f t="shared" si="105"/>
        <v>2.2937824583009154E-2</v>
      </c>
      <c r="O954" s="16">
        <v>4</v>
      </c>
      <c r="P954" s="16">
        <f t="shared" si="101"/>
        <v>9.1833785004516724</v>
      </c>
      <c r="Q954" s="16">
        <f t="shared" si="106"/>
        <v>43.59611332718687</v>
      </c>
      <c r="R954" s="113">
        <f t="shared" si="102"/>
        <v>329.49099999999999</v>
      </c>
      <c r="S954" s="16">
        <f>IF(S953=15800,15800,ROUND((((Q954*60)/'Gearing Calculator'!$C$14)*'Track Data'!P954),-2))</f>
        <v>12100</v>
      </c>
      <c r="T954" s="16">
        <f t="shared" si="104"/>
        <v>4.8208358613991411</v>
      </c>
      <c r="U954" s="16">
        <f>IF(AC954=100,Braking!$AG$2354,IF(AC954=50,Braking!$AG$1179,IF(AC954=75,Braking!$AG$1767,0)))</f>
        <v>0</v>
      </c>
      <c r="V954" s="16">
        <f>0.5*'Gearing Calculator'!$C$15*'Gearing Calculator'!$C$20*'Gearing Calculator'!$W$20*('Track Data'!Q954^2)</f>
        <v>201.16173693155565</v>
      </c>
      <c r="W954" s="16">
        <f>('Gearing Calculator'!$U$9*'Track Data'!T954)+'Track Data'!V954</f>
        <v>1484.4682432360069</v>
      </c>
      <c r="X954" s="16">
        <f>('Gearing Calculator'!$U$9*9.81)*('Gearing Calculator'!$U$16/'Gearing Calculator'!$C$7)-(('Track Data'!W954)*('Gearing Calculator'!$U$17/'Gearing Calculator'!$C$7))</f>
        <v>592.02572755831886</v>
      </c>
      <c r="Y954" s="16">
        <f>('Gearing Calculator'!$U$9*9.81)*(('Gearing Calculator'!$C$7-'Gearing Calculator'!$U$16)/'Gearing Calculator'!$C$7)+(('Track Data'!W954)*('Gearing Calculator'!$U$17/'Gearing Calculator'!$C$7))</f>
        <v>2019.396272441681</v>
      </c>
      <c r="Z954" s="16">
        <f>((X954*COS('Gearing Calculator'!$C$21))/'Gearing Calculator'!$C$22)/2</f>
        <v>18.303563078254452</v>
      </c>
      <c r="AA954" s="16">
        <f>Y954/'Gearing Calculator'!$C$24</f>
        <v>28.197545111657071</v>
      </c>
      <c r="AB954" s="16">
        <f t="shared" si="107"/>
        <v>220.44508037715221</v>
      </c>
      <c r="AC954" s="16">
        <v>0</v>
      </c>
      <c r="AD954" s="16">
        <v>48.889993475913293</v>
      </c>
      <c r="AE954" s="16">
        <v>951</v>
      </c>
      <c r="AF954" s="16">
        <f>IF(AC954=0,IF(O954=6,INDEX(Acceleration!$V$4:$V$110,MATCH('Track Data'!S954,Acceleration!$K$4:$K$110,0)),IF('Track Data'!O954=5,INDEX(Acceleration!$U$4:$U$110,MATCH('Track Data'!S954,Acceleration!$K$4:$K$110,0)),1)),U954)</f>
        <v>1</v>
      </c>
      <c r="AG954" s="16">
        <f>IF(AC954=0,IF(O954=4,INDEX(Acceleration!$T$4:$T$110,MATCH('Track Data'!S954,Acceleration!$K$4:$K$110,0)),IF('Track Data'!O954=3,INDEX(Acceleration!$S$4:$S$110,MATCH('Track Data'!S954,Acceleration!$K$4:$K$110,0)),'Track Data'!AF954)),'Track Data'!U954)</f>
        <v>4.8208358613991411</v>
      </c>
      <c r="AH954" s="16">
        <f>IF(AC954=0,IF(O954=2,INDEX(Acceleration!$R$4:$R$110,MATCH('Track Data'!S954,Acceleration!$K$4:$K$110,0)),IF('Track Data'!O954=1,INDEX(Acceleration!$Q$4:$Q$110,MATCH('Track Data'!S954,Acceleration!$K$4:$K$110,0)),'Track Data'!AG954)),'Track Data'!U954)</f>
        <v>4.8208358613991411</v>
      </c>
    </row>
    <row r="955" spans="2:34" x14ac:dyDescent="0.25">
      <c r="B955" s="16">
        <v>223.32</v>
      </c>
      <c r="C955" s="16">
        <v>8225</v>
      </c>
      <c r="D955" s="16">
        <v>952</v>
      </c>
      <c r="E955" s="113">
        <v>167</v>
      </c>
      <c r="F955" s="113">
        <v>155.4</v>
      </c>
      <c r="G955" s="113">
        <v>147.19999999999999</v>
      </c>
      <c r="H955" s="113">
        <f t="shared" si="103"/>
        <v>40.888888888888886</v>
      </c>
      <c r="I955" s="113">
        <v>9.3000000000000007</v>
      </c>
      <c r="J955" s="113">
        <v>24.71</v>
      </c>
      <c r="K955" s="113">
        <v>52.6</v>
      </c>
      <c r="L955" s="183"/>
      <c r="M955" s="16">
        <v>952</v>
      </c>
      <c r="N955" s="16">
        <f t="shared" si="105"/>
        <v>2.2937824583009154E-2</v>
      </c>
      <c r="O955" s="16">
        <v>4</v>
      </c>
      <c r="P955" s="16">
        <f t="shared" si="101"/>
        <v>9.1833785004516724</v>
      </c>
      <c r="Q955" s="16">
        <f t="shared" si="106"/>
        <v>43.59611332718687</v>
      </c>
      <c r="R955" s="113">
        <f t="shared" si="102"/>
        <v>329.49099999999999</v>
      </c>
      <c r="S955" s="16">
        <f>IF(S954=15800,15800,ROUND((((Q955*60)/'Gearing Calculator'!$C$14)*'Track Data'!P955),-2))</f>
        <v>12100</v>
      </c>
      <c r="T955" s="16">
        <f t="shared" si="104"/>
        <v>4.8208358613991411</v>
      </c>
      <c r="U955" s="16">
        <f>IF(AC955=100,Braking!$AG$2354,IF(AC955=50,Braking!$AG$1179,IF(AC955=75,Braking!$AG$1767,0)))</f>
        <v>0</v>
      </c>
      <c r="V955" s="16">
        <f>0.5*'Gearing Calculator'!$C$15*'Gearing Calculator'!$C$20*'Gearing Calculator'!$W$20*('Track Data'!Q955^2)</f>
        <v>201.16173693155565</v>
      </c>
      <c r="W955" s="16">
        <f>('Gearing Calculator'!$U$9*'Track Data'!T955)+'Track Data'!V955</f>
        <v>1484.4682432360069</v>
      </c>
      <c r="X955" s="16">
        <f>('Gearing Calculator'!$U$9*9.81)*('Gearing Calculator'!$U$16/'Gearing Calculator'!$C$7)-(('Track Data'!W955)*('Gearing Calculator'!$U$17/'Gearing Calculator'!$C$7))</f>
        <v>592.02572755831886</v>
      </c>
      <c r="Y955" s="16">
        <f>('Gearing Calculator'!$U$9*9.81)*(('Gearing Calculator'!$C$7-'Gearing Calculator'!$U$16)/'Gearing Calculator'!$C$7)+(('Track Data'!W955)*('Gearing Calculator'!$U$17/'Gearing Calculator'!$C$7))</f>
        <v>2019.396272441681</v>
      </c>
      <c r="Z955" s="16">
        <f>((X955*COS('Gearing Calculator'!$C$21))/'Gearing Calculator'!$C$22)/2</f>
        <v>18.303563078254452</v>
      </c>
      <c r="AA955" s="16">
        <f>Y955/'Gearing Calculator'!$C$24</f>
        <v>28.197545111657071</v>
      </c>
      <c r="AB955" s="16">
        <f t="shared" si="107"/>
        <v>220.44508037715221</v>
      </c>
      <c r="AC955" s="16">
        <v>0</v>
      </c>
      <c r="AD955" s="16">
        <v>48.889993475913293</v>
      </c>
      <c r="AE955" s="16">
        <v>952</v>
      </c>
      <c r="AF955" s="16">
        <f>IF(AC955=0,IF(O955=6,INDEX(Acceleration!$V$4:$V$110,MATCH('Track Data'!S955,Acceleration!$K$4:$K$110,0)),IF('Track Data'!O955=5,INDEX(Acceleration!$U$4:$U$110,MATCH('Track Data'!S955,Acceleration!$K$4:$K$110,0)),1)),U955)</f>
        <v>1</v>
      </c>
      <c r="AG955" s="16">
        <f>IF(AC955=0,IF(O955=4,INDEX(Acceleration!$T$4:$T$110,MATCH('Track Data'!S955,Acceleration!$K$4:$K$110,0)),IF('Track Data'!O955=3,INDEX(Acceleration!$S$4:$S$110,MATCH('Track Data'!S955,Acceleration!$K$4:$K$110,0)),'Track Data'!AF955)),'Track Data'!U955)</f>
        <v>4.8208358613991411</v>
      </c>
      <c r="AH955" s="16">
        <f>IF(AC955=0,IF(O955=2,INDEX(Acceleration!$R$4:$R$110,MATCH('Track Data'!S955,Acceleration!$K$4:$K$110,0)),IF('Track Data'!O955=1,INDEX(Acceleration!$Q$4:$Q$110,MATCH('Track Data'!S955,Acceleration!$K$4:$K$110,0)),'Track Data'!AG955)),'Track Data'!U955)</f>
        <v>4.8208358613991411</v>
      </c>
    </row>
    <row r="956" spans="2:34" x14ac:dyDescent="0.25">
      <c r="B956" s="16">
        <v>223.34299999999999</v>
      </c>
      <c r="C956" s="16">
        <v>8226</v>
      </c>
      <c r="D956" s="16">
        <v>953</v>
      </c>
      <c r="E956" s="113">
        <v>168</v>
      </c>
      <c r="F956" s="113">
        <v>155.9</v>
      </c>
      <c r="G956" s="113">
        <v>147.69999999999999</v>
      </c>
      <c r="H956" s="113">
        <f t="shared" si="103"/>
        <v>41.027777777777771</v>
      </c>
      <c r="I956" s="113">
        <v>8.6</v>
      </c>
      <c r="J956" s="113">
        <v>26.3</v>
      </c>
      <c r="K956" s="113">
        <v>51.9</v>
      </c>
      <c r="L956" s="183"/>
      <c r="M956" s="16">
        <v>953</v>
      </c>
      <c r="N956" s="16">
        <f t="shared" si="105"/>
        <v>2.2937824583009154E-2</v>
      </c>
      <c r="O956" s="16">
        <v>4</v>
      </c>
      <c r="P956" s="16">
        <f t="shared" si="101"/>
        <v>9.1833785004516724</v>
      </c>
      <c r="Q956" s="16">
        <f t="shared" si="106"/>
        <v>43.59611332718687</v>
      </c>
      <c r="R956" s="113">
        <f t="shared" si="102"/>
        <v>329.49099999999999</v>
      </c>
      <c r="S956" s="16">
        <f>IF(S955=15800,15800,ROUND((((Q956*60)/'Gearing Calculator'!$C$14)*'Track Data'!P956),-2))</f>
        <v>12100</v>
      </c>
      <c r="T956" s="16">
        <f t="shared" si="104"/>
        <v>4.8208358613991411</v>
      </c>
      <c r="U956" s="16">
        <f>IF(AC956=100,Braking!$AG$2354,IF(AC956=50,Braking!$AG$1179,IF(AC956=75,Braking!$AG$1767,0)))</f>
        <v>0</v>
      </c>
      <c r="V956" s="16">
        <f>0.5*'Gearing Calculator'!$C$15*'Gearing Calculator'!$C$20*'Gearing Calculator'!$W$20*('Track Data'!Q956^2)</f>
        <v>201.16173693155565</v>
      </c>
      <c r="W956" s="16">
        <f>('Gearing Calculator'!$U$9*'Track Data'!T956)+'Track Data'!V956</f>
        <v>1484.4682432360069</v>
      </c>
      <c r="X956" s="16">
        <f>('Gearing Calculator'!$U$9*9.81)*('Gearing Calculator'!$U$16/'Gearing Calculator'!$C$7)-(('Track Data'!W956)*('Gearing Calculator'!$U$17/'Gearing Calculator'!$C$7))</f>
        <v>592.02572755831886</v>
      </c>
      <c r="Y956" s="16">
        <f>('Gearing Calculator'!$U$9*9.81)*(('Gearing Calculator'!$C$7-'Gearing Calculator'!$U$16)/'Gearing Calculator'!$C$7)+(('Track Data'!W956)*('Gearing Calculator'!$U$17/'Gearing Calculator'!$C$7))</f>
        <v>2019.396272441681</v>
      </c>
      <c r="Z956" s="16">
        <f>((X956*COS('Gearing Calculator'!$C$21))/'Gearing Calculator'!$C$22)/2</f>
        <v>18.303563078254452</v>
      </c>
      <c r="AA956" s="16">
        <f>Y956/'Gearing Calculator'!$C$24</f>
        <v>28.197545111657071</v>
      </c>
      <c r="AB956" s="16">
        <f t="shared" si="107"/>
        <v>220.44508037715221</v>
      </c>
      <c r="AC956" s="16">
        <v>0</v>
      </c>
      <c r="AD956" s="16">
        <v>48.889993475913293</v>
      </c>
      <c r="AE956" s="16">
        <v>953</v>
      </c>
      <c r="AF956" s="16">
        <f>IF(AC956=0,IF(O956=6,INDEX(Acceleration!$V$4:$V$110,MATCH('Track Data'!S956,Acceleration!$K$4:$K$110,0)),IF('Track Data'!O956=5,INDEX(Acceleration!$U$4:$U$110,MATCH('Track Data'!S956,Acceleration!$K$4:$K$110,0)),1)),U956)</f>
        <v>1</v>
      </c>
      <c r="AG956" s="16">
        <f>IF(AC956=0,IF(O956=4,INDEX(Acceleration!$T$4:$T$110,MATCH('Track Data'!S956,Acceleration!$K$4:$K$110,0)),IF('Track Data'!O956=3,INDEX(Acceleration!$S$4:$S$110,MATCH('Track Data'!S956,Acceleration!$K$4:$K$110,0)),'Track Data'!AF956)),'Track Data'!U956)</f>
        <v>4.8208358613991411</v>
      </c>
      <c r="AH956" s="16">
        <f>IF(AC956=0,IF(O956=2,INDEX(Acceleration!$R$4:$R$110,MATCH('Track Data'!S956,Acceleration!$K$4:$K$110,0)),IF('Track Data'!O956=1,INDEX(Acceleration!$Q$4:$Q$110,MATCH('Track Data'!S956,Acceleration!$K$4:$K$110,0)),'Track Data'!AG956)),'Track Data'!U956)</f>
        <v>4.8208358613991411</v>
      </c>
    </row>
    <row r="957" spans="2:34" x14ac:dyDescent="0.25">
      <c r="B957" s="16">
        <v>223.36600000000001</v>
      </c>
      <c r="C957" s="16">
        <v>8227</v>
      </c>
      <c r="D957" s="16">
        <v>954</v>
      </c>
      <c r="E957" s="113">
        <v>168</v>
      </c>
      <c r="F957" s="113">
        <v>156.30000000000001</v>
      </c>
      <c r="G957" s="113">
        <v>148.1</v>
      </c>
      <c r="H957" s="113">
        <f t="shared" si="103"/>
        <v>41.138888888888886</v>
      </c>
      <c r="I957" s="113">
        <v>8.9</v>
      </c>
      <c r="J957" s="113">
        <v>22.17</v>
      </c>
      <c r="K957" s="113">
        <v>51.3</v>
      </c>
      <c r="L957" s="183"/>
      <c r="M957" s="16">
        <v>954</v>
      </c>
      <c r="N957" s="16">
        <f t="shared" si="105"/>
        <v>2.2937824583009154E-2</v>
      </c>
      <c r="O957" s="16">
        <v>4</v>
      </c>
      <c r="P957" s="16">
        <f t="shared" si="101"/>
        <v>9.1833785004516724</v>
      </c>
      <c r="Q957" s="16">
        <f t="shared" si="106"/>
        <v>43.59611332718687</v>
      </c>
      <c r="R957" s="113">
        <f t="shared" si="102"/>
        <v>329.49099999999999</v>
      </c>
      <c r="S957" s="16">
        <f>IF(S956=15800,15800,ROUND((((Q957*60)/'Gearing Calculator'!$C$14)*'Track Data'!P957),-2))</f>
        <v>12100</v>
      </c>
      <c r="T957" s="16">
        <f t="shared" si="104"/>
        <v>4.8208358613991411</v>
      </c>
      <c r="U957" s="16">
        <f>IF(AC957=100,Braking!$AG$2354,IF(AC957=50,Braking!$AG$1179,IF(AC957=75,Braking!$AG$1767,0)))</f>
        <v>0</v>
      </c>
      <c r="V957" s="16">
        <f>0.5*'Gearing Calculator'!$C$15*'Gearing Calculator'!$C$20*'Gearing Calculator'!$W$20*('Track Data'!Q957^2)</f>
        <v>201.16173693155565</v>
      </c>
      <c r="W957" s="16">
        <f>('Gearing Calculator'!$U$9*'Track Data'!T957)+'Track Data'!V957</f>
        <v>1484.4682432360069</v>
      </c>
      <c r="X957" s="16">
        <f>('Gearing Calculator'!$U$9*9.81)*('Gearing Calculator'!$U$16/'Gearing Calculator'!$C$7)-(('Track Data'!W957)*('Gearing Calculator'!$U$17/'Gearing Calculator'!$C$7))</f>
        <v>592.02572755831886</v>
      </c>
      <c r="Y957" s="16">
        <f>('Gearing Calculator'!$U$9*9.81)*(('Gearing Calculator'!$C$7-'Gearing Calculator'!$U$16)/'Gearing Calculator'!$C$7)+(('Track Data'!W957)*('Gearing Calculator'!$U$17/'Gearing Calculator'!$C$7))</f>
        <v>2019.396272441681</v>
      </c>
      <c r="Z957" s="16">
        <f>((X957*COS('Gearing Calculator'!$C$21))/'Gearing Calculator'!$C$22)/2</f>
        <v>18.303563078254452</v>
      </c>
      <c r="AA957" s="16">
        <f>Y957/'Gearing Calculator'!$C$24</f>
        <v>28.197545111657071</v>
      </c>
      <c r="AB957" s="16">
        <f t="shared" si="107"/>
        <v>220.44508037715221</v>
      </c>
      <c r="AC957" s="16">
        <v>0</v>
      </c>
      <c r="AD957" s="16">
        <v>48.889993475913293</v>
      </c>
      <c r="AE957" s="16">
        <v>954</v>
      </c>
      <c r="AF957" s="16">
        <f>IF(AC957=0,IF(O957=6,INDEX(Acceleration!$V$4:$V$110,MATCH('Track Data'!S957,Acceleration!$K$4:$K$110,0)),IF('Track Data'!O957=5,INDEX(Acceleration!$U$4:$U$110,MATCH('Track Data'!S957,Acceleration!$K$4:$K$110,0)),1)),U957)</f>
        <v>1</v>
      </c>
      <c r="AG957" s="16">
        <f>IF(AC957=0,IF(O957=4,INDEX(Acceleration!$T$4:$T$110,MATCH('Track Data'!S957,Acceleration!$K$4:$K$110,0)),IF('Track Data'!O957=3,INDEX(Acceleration!$S$4:$S$110,MATCH('Track Data'!S957,Acceleration!$K$4:$K$110,0)),'Track Data'!AF957)),'Track Data'!U957)</f>
        <v>4.8208358613991411</v>
      </c>
      <c r="AH957" s="16">
        <f>IF(AC957=0,IF(O957=2,INDEX(Acceleration!$R$4:$R$110,MATCH('Track Data'!S957,Acceleration!$K$4:$K$110,0)),IF('Track Data'!O957=1,INDEX(Acceleration!$Q$4:$Q$110,MATCH('Track Data'!S957,Acceleration!$K$4:$K$110,0)),'Track Data'!AG957)),'Track Data'!U957)</f>
        <v>4.8208358613991411</v>
      </c>
    </row>
    <row r="958" spans="2:34" x14ac:dyDescent="0.25">
      <c r="B958" s="16">
        <v>223.38900000000001</v>
      </c>
      <c r="C958" s="16">
        <v>8228</v>
      </c>
      <c r="D958" s="16">
        <v>955</v>
      </c>
      <c r="E958" s="113">
        <v>168</v>
      </c>
      <c r="F958" s="113">
        <v>156.69999999999999</v>
      </c>
      <c r="G958" s="113">
        <v>148.5</v>
      </c>
      <c r="H958" s="113">
        <f t="shared" si="103"/>
        <v>41.25</v>
      </c>
      <c r="I958" s="113">
        <v>9.4</v>
      </c>
      <c r="J958" s="113">
        <v>21.64</v>
      </c>
      <c r="K958" s="113">
        <v>51.3</v>
      </c>
      <c r="L958" s="183"/>
      <c r="M958" s="16">
        <v>955</v>
      </c>
      <c r="N958" s="16">
        <f t="shared" si="105"/>
        <v>2.2937824583009154E-2</v>
      </c>
      <c r="O958" s="16">
        <v>4</v>
      </c>
      <c r="P958" s="16">
        <f t="shared" si="101"/>
        <v>9.1833785004516724</v>
      </c>
      <c r="Q958" s="16">
        <f t="shared" si="106"/>
        <v>43.59611332718687</v>
      </c>
      <c r="R958" s="113">
        <f t="shared" si="102"/>
        <v>329.49099999999999</v>
      </c>
      <c r="S958" s="16">
        <f>IF(S957=15800,15800,ROUND((((Q958*60)/'Gearing Calculator'!$C$14)*'Track Data'!P958),-2))</f>
        <v>12100</v>
      </c>
      <c r="T958" s="16">
        <f t="shared" si="104"/>
        <v>4.8208358613991411</v>
      </c>
      <c r="U958" s="16">
        <f>IF(AC958=100,Braking!$AG$2354,IF(AC958=50,Braking!$AG$1179,IF(AC958=75,Braking!$AG$1767,0)))</f>
        <v>0</v>
      </c>
      <c r="V958" s="16">
        <f>0.5*'Gearing Calculator'!$C$15*'Gearing Calculator'!$C$20*'Gearing Calculator'!$W$20*('Track Data'!Q958^2)</f>
        <v>201.16173693155565</v>
      </c>
      <c r="W958" s="16">
        <f>('Gearing Calculator'!$U$9*'Track Data'!T958)+'Track Data'!V958</f>
        <v>1484.4682432360069</v>
      </c>
      <c r="X958" s="16">
        <f>('Gearing Calculator'!$U$9*9.81)*('Gearing Calculator'!$U$16/'Gearing Calculator'!$C$7)-(('Track Data'!W958)*('Gearing Calculator'!$U$17/'Gearing Calculator'!$C$7))</f>
        <v>592.02572755831886</v>
      </c>
      <c r="Y958" s="16">
        <f>('Gearing Calculator'!$U$9*9.81)*(('Gearing Calculator'!$C$7-'Gearing Calculator'!$U$16)/'Gearing Calculator'!$C$7)+(('Track Data'!W958)*('Gearing Calculator'!$U$17/'Gearing Calculator'!$C$7))</f>
        <v>2019.396272441681</v>
      </c>
      <c r="Z958" s="16">
        <f>((X958*COS('Gearing Calculator'!$C$21))/'Gearing Calculator'!$C$22)/2</f>
        <v>18.303563078254452</v>
      </c>
      <c r="AA958" s="16">
        <f>Y958/'Gearing Calculator'!$C$24</f>
        <v>28.197545111657071</v>
      </c>
      <c r="AB958" s="16">
        <f t="shared" si="107"/>
        <v>220.44508037715221</v>
      </c>
      <c r="AC958" s="16">
        <v>0</v>
      </c>
      <c r="AD958" s="16">
        <v>48.889993475913293</v>
      </c>
      <c r="AE958" s="16">
        <v>955</v>
      </c>
      <c r="AF958" s="16">
        <f>IF(AC958=0,IF(O958=6,INDEX(Acceleration!$V$4:$V$110,MATCH('Track Data'!S958,Acceleration!$K$4:$K$110,0)),IF('Track Data'!O958=5,INDEX(Acceleration!$U$4:$U$110,MATCH('Track Data'!S958,Acceleration!$K$4:$K$110,0)),1)),U958)</f>
        <v>1</v>
      </c>
      <c r="AG958" s="16">
        <f>IF(AC958=0,IF(O958=4,INDEX(Acceleration!$T$4:$T$110,MATCH('Track Data'!S958,Acceleration!$K$4:$K$110,0)),IF('Track Data'!O958=3,INDEX(Acceleration!$S$4:$S$110,MATCH('Track Data'!S958,Acceleration!$K$4:$K$110,0)),'Track Data'!AF958)),'Track Data'!U958)</f>
        <v>4.8208358613991411</v>
      </c>
      <c r="AH958" s="16">
        <f>IF(AC958=0,IF(O958=2,INDEX(Acceleration!$R$4:$R$110,MATCH('Track Data'!S958,Acceleration!$K$4:$K$110,0)),IF('Track Data'!O958=1,INDEX(Acceleration!$Q$4:$Q$110,MATCH('Track Data'!S958,Acceleration!$K$4:$K$110,0)),'Track Data'!AG958)),'Track Data'!U958)</f>
        <v>4.8208358613991411</v>
      </c>
    </row>
    <row r="959" spans="2:34" x14ac:dyDescent="0.25">
      <c r="B959" s="16">
        <v>223.41200000000001</v>
      </c>
      <c r="C959" s="16">
        <v>8229</v>
      </c>
      <c r="D959" s="16">
        <v>956</v>
      </c>
      <c r="E959" s="113">
        <v>168</v>
      </c>
      <c r="F959" s="113">
        <v>157</v>
      </c>
      <c r="G959" s="113">
        <v>149.1</v>
      </c>
      <c r="H959" s="113">
        <f t="shared" si="103"/>
        <v>41.416666666666664</v>
      </c>
      <c r="I959" s="113">
        <v>8.8000000000000007</v>
      </c>
      <c r="J959" s="113">
        <v>23.27</v>
      </c>
      <c r="K959" s="113">
        <v>51.3</v>
      </c>
      <c r="L959" s="183"/>
      <c r="M959" s="16">
        <v>956</v>
      </c>
      <c r="N959" s="16">
        <f t="shared" si="105"/>
        <v>2.2937824583009154E-2</v>
      </c>
      <c r="O959" s="16">
        <v>4</v>
      </c>
      <c r="P959" s="16">
        <f t="shared" si="101"/>
        <v>9.1833785004516724</v>
      </c>
      <c r="Q959" s="16">
        <f t="shared" si="106"/>
        <v>43.59611332718687</v>
      </c>
      <c r="R959" s="113">
        <f t="shared" si="102"/>
        <v>329.49099999999999</v>
      </c>
      <c r="S959" s="16">
        <f>IF(S958=15800,15800,ROUND((((Q959*60)/'Gearing Calculator'!$C$14)*'Track Data'!P959),-2))</f>
        <v>12100</v>
      </c>
      <c r="T959" s="16">
        <f t="shared" si="104"/>
        <v>4.8208358613991411</v>
      </c>
      <c r="U959" s="16">
        <f>IF(AC959=100,Braking!$AG$2354,IF(AC959=50,Braking!$AG$1179,IF(AC959=75,Braking!$AG$1767,0)))</f>
        <v>0</v>
      </c>
      <c r="V959" s="16">
        <f>0.5*'Gearing Calculator'!$C$15*'Gearing Calculator'!$C$20*'Gearing Calculator'!$W$20*('Track Data'!Q959^2)</f>
        <v>201.16173693155565</v>
      </c>
      <c r="W959" s="16">
        <f>('Gearing Calculator'!$U$9*'Track Data'!T959)+'Track Data'!V959</f>
        <v>1484.4682432360069</v>
      </c>
      <c r="X959" s="16">
        <f>('Gearing Calculator'!$U$9*9.81)*('Gearing Calculator'!$U$16/'Gearing Calculator'!$C$7)-(('Track Data'!W959)*('Gearing Calculator'!$U$17/'Gearing Calculator'!$C$7))</f>
        <v>592.02572755831886</v>
      </c>
      <c r="Y959" s="16">
        <f>('Gearing Calculator'!$U$9*9.81)*(('Gearing Calculator'!$C$7-'Gearing Calculator'!$U$16)/'Gearing Calculator'!$C$7)+(('Track Data'!W959)*('Gearing Calculator'!$U$17/'Gearing Calculator'!$C$7))</f>
        <v>2019.396272441681</v>
      </c>
      <c r="Z959" s="16">
        <f>((X959*COS('Gearing Calculator'!$C$21))/'Gearing Calculator'!$C$22)/2</f>
        <v>18.303563078254452</v>
      </c>
      <c r="AA959" s="16">
        <f>Y959/'Gearing Calculator'!$C$24</f>
        <v>28.197545111657071</v>
      </c>
      <c r="AB959" s="16">
        <f t="shared" si="107"/>
        <v>220.44508037715221</v>
      </c>
      <c r="AC959" s="16">
        <v>0</v>
      </c>
      <c r="AD959" s="16">
        <v>48.889993475913293</v>
      </c>
      <c r="AE959" s="16">
        <v>956</v>
      </c>
      <c r="AF959" s="16">
        <f>IF(AC959=0,IF(O959=6,INDEX(Acceleration!$V$4:$V$110,MATCH('Track Data'!S959,Acceleration!$K$4:$K$110,0)),IF('Track Data'!O959=5,INDEX(Acceleration!$U$4:$U$110,MATCH('Track Data'!S959,Acceleration!$K$4:$K$110,0)),1)),U959)</f>
        <v>1</v>
      </c>
      <c r="AG959" s="16">
        <f>IF(AC959=0,IF(O959=4,INDEX(Acceleration!$T$4:$T$110,MATCH('Track Data'!S959,Acceleration!$K$4:$K$110,0)),IF('Track Data'!O959=3,INDEX(Acceleration!$S$4:$S$110,MATCH('Track Data'!S959,Acceleration!$K$4:$K$110,0)),'Track Data'!AF959)),'Track Data'!U959)</f>
        <v>4.8208358613991411</v>
      </c>
      <c r="AH959" s="16">
        <f>IF(AC959=0,IF(O959=2,INDEX(Acceleration!$R$4:$R$110,MATCH('Track Data'!S959,Acceleration!$K$4:$K$110,0)),IF('Track Data'!O959=1,INDEX(Acceleration!$Q$4:$Q$110,MATCH('Track Data'!S959,Acceleration!$K$4:$K$110,0)),'Track Data'!AG959)),'Track Data'!U959)</f>
        <v>4.8208358613991411</v>
      </c>
    </row>
    <row r="960" spans="2:34" x14ac:dyDescent="0.25">
      <c r="B960" s="16">
        <v>223.435</v>
      </c>
      <c r="C960" s="16">
        <v>8230</v>
      </c>
      <c r="D960" s="16">
        <v>957</v>
      </c>
      <c r="E960" s="113">
        <v>169</v>
      </c>
      <c r="F960" s="113">
        <v>157.19999999999999</v>
      </c>
      <c r="G960" s="113">
        <v>149.5</v>
      </c>
      <c r="H960" s="113">
        <f t="shared" si="103"/>
        <v>41.527777777777779</v>
      </c>
      <c r="I960" s="113">
        <v>8.4</v>
      </c>
      <c r="J960" s="113">
        <v>21.66</v>
      </c>
      <c r="K960" s="113">
        <v>51.3</v>
      </c>
      <c r="L960" s="183"/>
      <c r="M960" s="16">
        <v>957</v>
      </c>
      <c r="N960" s="16">
        <f t="shared" si="105"/>
        <v>2.2937824583009154E-2</v>
      </c>
      <c r="O960" s="16">
        <v>4</v>
      </c>
      <c r="P960" s="16">
        <f t="shared" si="101"/>
        <v>9.1833785004516724</v>
      </c>
      <c r="Q960" s="16">
        <f t="shared" si="106"/>
        <v>43.59611332718687</v>
      </c>
      <c r="R960" s="113">
        <f t="shared" si="102"/>
        <v>329.49099999999999</v>
      </c>
      <c r="S960" s="16">
        <f>IF(S959=15800,15800,ROUND((((Q960*60)/'Gearing Calculator'!$C$14)*'Track Data'!P960),-2))</f>
        <v>12100</v>
      </c>
      <c r="T960" s="16">
        <f t="shared" si="104"/>
        <v>4.8208358613991411</v>
      </c>
      <c r="U960" s="16">
        <f>IF(AC960=100,Braking!$AG$2354,IF(AC960=50,Braking!$AG$1179,IF(AC960=75,Braking!$AG$1767,0)))</f>
        <v>0</v>
      </c>
      <c r="V960" s="16">
        <f>0.5*'Gearing Calculator'!$C$15*'Gearing Calculator'!$C$20*'Gearing Calculator'!$W$20*('Track Data'!Q960^2)</f>
        <v>201.16173693155565</v>
      </c>
      <c r="W960" s="16">
        <f>('Gearing Calculator'!$U$9*'Track Data'!T960)+'Track Data'!V960</f>
        <v>1484.4682432360069</v>
      </c>
      <c r="X960" s="16">
        <f>('Gearing Calculator'!$U$9*9.81)*('Gearing Calculator'!$U$16/'Gearing Calculator'!$C$7)-(('Track Data'!W960)*('Gearing Calculator'!$U$17/'Gearing Calculator'!$C$7))</f>
        <v>592.02572755831886</v>
      </c>
      <c r="Y960" s="16">
        <f>('Gearing Calculator'!$U$9*9.81)*(('Gearing Calculator'!$C$7-'Gearing Calculator'!$U$16)/'Gearing Calculator'!$C$7)+(('Track Data'!W960)*('Gearing Calculator'!$U$17/'Gearing Calculator'!$C$7))</f>
        <v>2019.396272441681</v>
      </c>
      <c r="Z960" s="16">
        <f>((X960*COS('Gearing Calculator'!$C$21))/'Gearing Calculator'!$C$22)/2</f>
        <v>18.303563078254452</v>
      </c>
      <c r="AA960" s="16">
        <f>Y960/'Gearing Calculator'!$C$24</f>
        <v>28.197545111657071</v>
      </c>
      <c r="AB960" s="16">
        <f t="shared" si="107"/>
        <v>220.44508037715221</v>
      </c>
      <c r="AC960" s="16">
        <v>0</v>
      </c>
      <c r="AD960" s="16">
        <v>48.889993475913293</v>
      </c>
      <c r="AE960" s="16">
        <v>957</v>
      </c>
      <c r="AF960" s="16">
        <f>IF(AC960=0,IF(O960=6,INDEX(Acceleration!$V$4:$V$110,MATCH('Track Data'!S960,Acceleration!$K$4:$K$110,0)),IF('Track Data'!O960=5,INDEX(Acceleration!$U$4:$U$110,MATCH('Track Data'!S960,Acceleration!$K$4:$K$110,0)),1)),U960)</f>
        <v>1</v>
      </c>
      <c r="AG960" s="16">
        <f>IF(AC960=0,IF(O960=4,INDEX(Acceleration!$T$4:$T$110,MATCH('Track Data'!S960,Acceleration!$K$4:$K$110,0)),IF('Track Data'!O960=3,INDEX(Acceleration!$S$4:$S$110,MATCH('Track Data'!S960,Acceleration!$K$4:$K$110,0)),'Track Data'!AF960)),'Track Data'!U960)</f>
        <v>4.8208358613991411</v>
      </c>
      <c r="AH960" s="16">
        <f>IF(AC960=0,IF(O960=2,INDEX(Acceleration!$R$4:$R$110,MATCH('Track Data'!S960,Acceleration!$K$4:$K$110,0)),IF('Track Data'!O960=1,INDEX(Acceleration!$Q$4:$Q$110,MATCH('Track Data'!S960,Acceleration!$K$4:$K$110,0)),'Track Data'!AG960)),'Track Data'!U960)</f>
        <v>4.8208358613991411</v>
      </c>
    </row>
    <row r="961" spans="2:34" x14ac:dyDescent="0.25">
      <c r="B961" s="16">
        <v>223.458</v>
      </c>
      <c r="C961" s="16">
        <v>8231</v>
      </c>
      <c r="D961" s="16">
        <v>958</v>
      </c>
      <c r="E961" s="113">
        <v>169</v>
      </c>
      <c r="F961" s="113">
        <v>157.4</v>
      </c>
      <c r="G961" s="113">
        <v>149.9</v>
      </c>
      <c r="H961" s="113">
        <f t="shared" si="103"/>
        <v>41.638888888888893</v>
      </c>
      <c r="I961" s="113">
        <v>8.5</v>
      </c>
      <c r="J961" s="113">
        <v>19.86</v>
      </c>
      <c r="K961" s="113">
        <v>50.2</v>
      </c>
      <c r="L961" s="183"/>
      <c r="M961" s="16">
        <v>958</v>
      </c>
      <c r="N961" s="16">
        <f t="shared" si="105"/>
        <v>2.2937824583009154E-2</v>
      </c>
      <c r="O961" s="16">
        <v>4</v>
      </c>
      <c r="P961" s="16">
        <f t="shared" si="101"/>
        <v>9.1833785004516724</v>
      </c>
      <c r="Q961" s="16">
        <f t="shared" si="106"/>
        <v>43.59611332718687</v>
      </c>
      <c r="R961" s="113">
        <f t="shared" si="102"/>
        <v>329.49099999999999</v>
      </c>
      <c r="S961" s="16">
        <f>IF(S960=15800,15800,ROUND((((Q961*60)/'Gearing Calculator'!$C$14)*'Track Data'!P961),-2))</f>
        <v>12100</v>
      </c>
      <c r="T961" s="16">
        <f t="shared" si="104"/>
        <v>4.8208358613991411</v>
      </c>
      <c r="U961" s="16">
        <f>IF(AC961=100,Braking!$AG$2354,IF(AC961=50,Braking!$AG$1179,IF(AC961=75,Braking!$AG$1767,0)))</f>
        <v>0</v>
      </c>
      <c r="V961" s="16">
        <f>0.5*'Gearing Calculator'!$C$15*'Gearing Calculator'!$C$20*'Gearing Calculator'!$W$20*('Track Data'!Q961^2)</f>
        <v>201.16173693155565</v>
      </c>
      <c r="W961" s="16">
        <f>('Gearing Calculator'!$U$9*'Track Data'!T961)+'Track Data'!V961</f>
        <v>1484.4682432360069</v>
      </c>
      <c r="X961" s="16">
        <f>('Gearing Calculator'!$U$9*9.81)*('Gearing Calculator'!$U$16/'Gearing Calculator'!$C$7)-(('Track Data'!W961)*('Gearing Calculator'!$U$17/'Gearing Calculator'!$C$7))</f>
        <v>592.02572755831886</v>
      </c>
      <c r="Y961" s="16">
        <f>('Gearing Calculator'!$U$9*9.81)*(('Gearing Calculator'!$C$7-'Gearing Calculator'!$U$16)/'Gearing Calculator'!$C$7)+(('Track Data'!W961)*('Gearing Calculator'!$U$17/'Gearing Calculator'!$C$7))</f>
        <v>2019.396272441681</v>
      </c>
      <c r="Z961" s="16">
        <f>((X961*COS('Gearing Calculator'!$C$21))/'Gearing Calculator'!$C$22)/2</f>
        <v>18.303563078254452</v>
      </c>
      <c r="AA961" s="16">
        <f>Y961/'Gearing Calculator'!$C$24</f>
        <v>28.197545111657071</v>
      </c>
      <c r="AB961" s="16">
        <f t="shared" si="107"/>
        <v>220.44508037715221</v>
      </c>
      <c r="AC961" s="16">
        <v>0</v>
      </c>
      <c r="AD961" s="16">
        <v>48.889993475913293</v>
      </c>
      <c r="AE961" s="16">
        <v>958</v>
      </c>
      <c r="AF961" s="16">
        <f>IF(AC961=0,IF(O961=6,INDEX(Acceleration!$V$4:$V$110,MATCH('Track Data'!S961,Acceleration!$K$4:$K$110,0)),IF('Track Data'!O961=5,INDEX(Acceleration!$U$4:$U$110,MATCH('Track Data'!S961,Acceleration!$K$4:$K$110,0)),1)),U961)</f>
        <v>1</v>
      </c>
      <c r="AG961" s="16">
        <f>IF(AC961=0,IF(O961=4,INDEX(Acceleration!$T$4:$T$110,MATCH('Track Data'!S961,Acceleration!$K$4:$K$110,0)),IF('Track Data'!O961=3,INDEX(Acceleration!$S$4:$S$110,MATCH('Track Data'!S961,Acceleration!$K$4:$K$110,0)),'Track Data'!AF961)),'Track Data'!U961)</f>
        <v>4.8208358613991411</v>
      </c>
      <c r="AH961" s="16">
        <f>IF(AC961=0,IF(O961=2,INDEX(Acceleration!$R$4:$R$110,MATCH('Track Data'!S961,Acceleration!$K$4:$K$110,0)),IF('Track Data'!O961=1,INDEX(Acceleration!$Q$4:$Q$110,MATCH('Track Data'!S961,Acceleration!$K$4:$K$110,0)),'Track Data'!AG961)),'Track Data'!U961)</f>
        <v>4.8208358613991411</v>
      </c>
    </row>
    <row r="962" spans="2:34" x14ac:dyDescent="0.25">
      <c r="B962" s="16">
        <v>223.48099999999999</v>
      </c>
      <c r="C962" s="16">
        <v>8232</v>
      </c>
      <c r="D962" s="16">
        <v>959</v>
      </c>
      <c r="E962" s="113">
        <v>169</v>
      </c>
      <c r="F962" s="113">
        <v>157.69999999999999</v>
      </c>
      <c r="G962" s="113">
        <v>150.5</v>
      </c>
      <c r="H962" s="113">
        <f t="shared" si="103"/>
        <v>41.805555555555557</v>
      </c>
      <c r="I962" s="113">
        <v>8.1999999999999993</v>
      </c>
      <c r="J962" s="113">
        <v>18.82</v>
      </c>
      <c r="K962" s="113">
        <v>47.7</v>
      </c>
      <c r="L962" s="183"/>
      <c r="M962" s="16">
        <v>959</v>
      </c>
      <c r="N962" s="16">
        <f t="shared" si="105"/>
        <v>2.2937824583009154E-2</v>
      </c>
      <c r="O962" s="16">
        <v>4</v>
      </c>
      <c r="P962" s="16">
        <f t="shared" si="101"/>
        <v>9.1833785004516724</v>
      </c>
      <c r="Q962" s="16">
        <f t="shared" si="106"/>
        <v>43.59611332718687</v>
      </c>
      <c r="R962" s="113">
        <f t="shared" si="102"/>
        <v>329.49099999999999</v>
      </c>
      <c r="S962" s="16">
        <f>IF(S961=15800,15800,ROUND((((Q962*60)/'Gearing Calculator'!$C$14)*'Track Data'!P962),-2))</f>
        <v>12100</v>
      </c>
      <c r="T962" s="16">
        <f t="shared" si="104"/>
        <v>4.8208358613991411</v>
      </c>
      <c r="U962" s="16">
        <f>IF(AC962=100,Braking!$AG$2354,IF(AC962=50,Braking!$AG$1179,IF(AC962=75,Braking!$AG$1767,0)))</f>
        <v>0</v>
      </c>
      <c r="V962" s="16">
        <f>0.5*'Gearing Calculator'!$C$15*'Gearing Calculator'!$C$20*'Gearing Calculator'!$W$20*('Track Data'!Q962^2)</f>
        <v>201.16173693155565</v>
      </c>
      <c r="W962" s="16">
        <f>('Gearing Calculator'!$U$9*'Track Data'!T962)+'Track Data'!V962</f>
        <v>1484.4682432360069</v>
      </c>
      <c r="X962" s="16">
        <f>('Gearing Calculator'!$U$9*9.81)*('Gearing Calculator'!$U$16/'Gearing Calculator'!$C$7)-(('Track Data'!W962)*('Gearing Calculator'!$U$17/'Gearing Calculator'!$C$7))</f>
        <v>592.02572755831886</v>
      </c>
      <c r="Y962" s="16">
        <f>('Gearing Calculator'!$U$9*9.81)*(('Gearing Calculator'!$C$7-'Gearing Calculator'!$U$16)/'Gearing Calculator'!$C$7)+(('Track Data'!W962)*('Gearing Calculator'!$U$17/'Gearing Calculator'!$C$7))</f>
        <v>2019.396272441681</v>
      </c>
      <c r="Z962" s="16">
        <f>((X962*COS('Gearing Calculator'!$C$21))/'Gearing Calculator'!$C$22)/2</f>
        <v>18.303563078254452</v>
      </c>
      <c r="AA962" s="16">
        <f>Y962/'Gearing Calculator'!$C$24</f>
        <v>28.197545111657071</v>
      </c>
      <c r="AB962" s="16">
        <f t="shared" si="107"/>
        <v>220.44508037715221</v>
      </c>
      <c r="AC962" s="16">
        <v>0</v>
      </c>
      <c r="AD962" s="16">
        <v>48.889993475913293</v>
      </c>
      <c r="AE962" s="16">
        <v>959</v>
      </c>
      <c r="AF962" s="16">
        <f>IF(AC962=0,IF(O962=6,INDEX(Acceleration!$V$4:$V$110,MATCH('Track Data'!S962,Acceleration!$K$4:$K$110,0)),IF('Track Data'!O962=5,INDEX(Acceleration!$U$4:$U$110,MATCH('Track Data'!S962,Acceleration!$K$4:$K$110,0)),1)),U962)</f>
        <v>1</v>
      </c>
      <c r="AG962" s="16">
        <f>IF(AC962=0,IF(O962=4,INDEX(Acceleration!$T$4:$T$110,MATCH('Track Data'!S962,Acceleration!$K$4:$K$110,0)),IF('Track Data'!O962=3,INDEX(Acceleration!$S$4:$S$110,MATCH('Track Data'!S962,Acceleration!$K$4:$K$110,0)),'Track Data'!AF962)),'Track Data'!U962)</f>
        <v>4.8208358613991411</v>
      </c>
      <c r="AH962" s="16">
        <f>IF(AC962=0,IF(O962=2,INDEX(Acceleration!$R$4:$R$110,MATCH('Track Data'!S962,Acceleration!$K$4:$K$110,0)),IF('Track Data'!O962=1,INDEX(Acceleration!$Q$4:$Q$110,MATCH('Track Data'!S962,Acceleration!$K$4:$K$110,0)),'Track Data'!AG962)),'Track Data'!U962)</f>
        <v>4.8208358613991411</v>
      </c>
    </row>
    <row r="963" spans="2:34" x14ac:dyDescent="0.25">
      <c r="B963" s="16">
        <v>223.50399999999999</v>
      </c>
      <c r="C963" s="16">
        <v>8233</v>
      </c>
      <c r="D963" s="16">
        <v>960</v>
      </c>
      <c r="E963" s="113">
        <v>170</v>
      </c>
      <c r="F963" s="113">
        <v>158</v>
      </c>
      <c r="G963" s="113">
        <v>150.9</v>
      </c>
      <c r="H963" s="113">
        <f t="shared" si="103"/>
        <v>41.916666666666664</v>
      </c>
      <c r="I963" s="113">
        <v>7.7</v>
      </c>
      <c r="J963" s="113">
        <v>17.63</v>
      </c>
      <c r="K963" s="113">
        <v>46</v>
      </c>
      <c r="L963" s="183"/>
      <c r="M963" s="16">
        <v>960</v>
      </c>
      <c r="N963" s="16">
        <f t="shared" si="105"/>
        <v>2.2937824583009154E-2</v>
      </c>
      <c r="O963" s="16">
        <v>4</v>
      </c>
      <c r="P963" s="16">
        <f t="shared" si="101"/>
        <v>9.1833785004516724</v>
      </c>
      <c r="Q963" s="16">
        <f t="shared" si="106"/>
        <v>43.59611332718687</v>
      </c>
      <c r="R963" s="113">
        <f t="shared" si="102"/>
        <v>329.49099999999999</v>
      </c>
      <c r="S963" s="16">
        <f>IF(S962=15800,15800,ROUND((((Q963*60)/'Gearing Calculator'!$C$14)*'Track Data'!P963),-2))</f>
        <v>12100</v>
      </c>
      <c r="T963" s="16">
        <f t="shared" si="104"/>
        <v>4.8208358613991411</v>
      </c>
      <c r="U963" s="16">
        <f>IF(AC963=100,Braking!$AG$2354,IF(AC963=50,Braking!$AG$1179,IF(AC963=75,Braking!$AG$1767,0)))</f>
        <v>0</v>
      </c>
      <c r="V963" s="16">
        <f>0.5*'Gearing Calculator'!$C$15*'Gearing Calculator'!$C$20*'Gearing Calculator'!$W$20*('Track Data'!Q963^2)</f>
        <v>201.16173693155565</v>
      </c>
      <c r="W963" s="16">
        <f>('Gearing Calculator'!$U$9*'Track Data'!T963)+'Track Data'!V963</f>
        <v>1484.4682432360069</v>
      </c>
      <c r="X963" s="16">
        <f>('Gearing Calculator'!$U$9*9.81)*('Gearing Calculator'!$U$16/'Gearing Calculator'!$C$7)-(('Track Data'!W963)*('Gearing Calculator'!$U$17/'Gearing Calculator'!$C$7))</f>
        <v>592.02572755831886</v>
      </c>
      <c r="Y963" s="16">
        <f>('Gearing Calculator'!$U$9*9.81)*(('Gearing Calculator'!$C$7-'Gearing Calculator'!$U$16)/'Gearing Calculator'!$C$7)+(('Track Data'!W963)*('Gearing Calculator'!$U$17/'Gearing Calculator'!$C$7))</f>
        <v>2019.396272441681</v>
      </c>
      <c r="Z963" s="16">
        <f>((X963*COS('Gearing Calculator'!$C$21))/'Gearing Calculator'!$C$22)/2</f>
        <v>18.303563078254452</v>
      </c>
      <c r="AA963" s="16">
        <f>Y963/'Gearing Calculator'!$C$24</f>
        <v>28.197545111657071</v>
      </c>
      <c r="AB963" s="16">
        <f t="shared" si="107"/>
        <v>220.44508037715221</v>
      </c>
      <c r="AC963" s="16">
        <v>0</v>
      </c>
      <c r="AD963" s="16">
        <v>48.889993475913293</v>
      </c>
      <c r="AE963" s="16">
        <v>960</v>
      </c>
      <c r="AF963" s="16">
        <f>IF(AC963=0,IF(O963=6,INDEX(Acceleration!$V$4:$V$110,MATCH('Track Data'!S963,Acceleration!$K$4:$K$110,0)),IF('Track Data'!O963=5,INDEX(Acceleration!$U$4:$U$110,MATCH('Track Data'!S963,Acceleration!$K$4:$K$110,0)),1)),U963)</f>
        <v>1</v>
      </c>
      <c r="AG963" s="16">
        <f>IF(AC963=0,IF(O963=4,INDEX(Acceleration!$T$4:$T$110,MATCH('Track Data'!S963,Acceleration!$K$4:$K$110,0)),IF('Track Data'!O963=3,INDEX(Acceleration!$S$4:$S$110,MATCH('Track Data'!S963,Acceleration!$K$4:$K$110,0)),'Track Data'!AF963)),'Track Data'!U963)</f>
        <v>4.8208358613991411</v>
      </c>
      <c r="AH963" s="16">
        <f>IF(AC963=0,IF(O963=2,INDEX(Acceleration!$R$4:$R$110,MATCH('Track Data'!S963,Acceleration!$K$4:$K$110,0)),IF('Track Data'!O963=1,INDEX(Acceleration!$Q$4:$Q$110,MATCH('Track Data'!S963,Acceleration!$K$4:$K$110,0)),'Track Data'!AG963)),'Track Data'!U963)</f>
        <v>4.8208358613991411</v>
      </c>
    </row>
    <row r="964" spans="2:34" x14ac:dyDescent="0.25">
      <c r="B964" s="16">
        <v>223.52600000000001</v>
      </c>
      <c r="C964" s="16">
        <v>8234</v>
      </c>
      <c r="D964" s="16">
        <v>961</v>
      </c>
      <c r="E964" s="113">
        <v>170</v>
      </c>
      <c r="F964" s="113">
        <v>158.19999999999999</v>
      </c>
      <c r="G964" s="113">
        <v>151.30000000000001</v>
      </c>
      <c r="H964" s="113">
        <f t="shared" si="103"/>
        <v>42.027777777777779</v>
      </c>
      <c r="I964" s="113">
        <v>7.4</v>
      </c>
      <c r="J964" s="113">
        <v>16.260000000000002</v>
      </c>
      <c r="K964" s="113">
        <v>44.7</v>
      </c>
      <c r="L964" s="183"/>
      <c r="M964" s="16">
        <v>961</v>
      </c>
      <c r="N964" s="16">
        <f t="shared" si="105"/>
        <v>2.2937824583009154E-2</v>
      </c>
      <c r="O964" s="16">
        <v>4</v>
      </c>
      <c r="P964" s="16">
        <f t="shared" ref="P964:P1027" si="108">VLOOKUP(O964,$AJ$5:$AK$10,2,FALSE)</f>
        <v>9.1833785004516724</v>
      </c>
      <c r="Q964" s="16">
        <f t="shared" si="106"/>
        <v>43.59611332718687</v>
      </c>
      <c r="R964" s="113">
        <f t="shared" ref="R964:R1027" si="109">VLOOKUP(O964,$AJ$5:$AL$10,3,FALSE)</f>
        <v>329.49099999999999</v>
      </c>
      <c r="S964" s="16">
        <f>IF(S963=15800,15800,ROUND((((Q964*60)/'Gearing Calculator'!$C$14)*'Track Data'!P964),-2))</f>
        <v>12100</v>
      </c>
      <c r="T964" s="16">
        <f t="shared" si="104"/>
        <v>4.8208358613991411</v>
      </c>
      <c r="U964" s="16">
        <f>IF(AC964=100,Braking!$AG$2354,IF(AC964=50,Braking!$AG$1179,IF(AC964=75,Braking!$AG$1767,0)))</f>
        <v>0</v>
      </c>
      <c r="V964" s="16">
        <f>0.5*'Gearing Calculator'!$C$15*'Gearing Calculator'!$C$20*'Gearing Calculator'!$W$20*('Track Data'!Q964^2)</f>
        <v>201.16173693155565</v>
      </c>
      <c r="W964" s="16">
        <f>('Gearing Calculator'!$U$9*'Track Data'!T964)+'Track Data'!V964</f>
        <v>1484.4682432360069</v>
      </c>
      <c r="X964" s="16">
        <f>('Gearing Calculator'!$U$9*9.81)*('Gearing Calculator'!$U$16/'Gearing Calculator'!$C$7)-(('Track Data'!W964)*('Gearing Calculator'!$U$17/'Gearing Calculator'!$C$7))</f>
        <v>592.02572755831886</v>
      </c>
      <c r="Y964" s="16">
        <f>('Gearing Calculator'!$U$9*9.81)*(('Gearing Calculator'!$C$7-'Gearing Calculator'!$U$16)/'Gearing Calculator'!$C$7)+(('Track Data'!W964)*('Gearing Calculator'!$U$17/'Gearing Calculator'!$C$7))</f>
        <v>2019.396272441681</v>
      </c>
      <c r="Z964" s="16">
        <f>((X964*COS('Gearing Calculator'!$C$21))/'Gearing Calculator'!$C$22)/2</f>
        <v>18.303563078254452</v>
      </c>
      <c r="AA964" s="16">
        <f>Y964/'Gearing Calculator'!$C$24</f>
        <v>28.197545111657071</v>
      </c>
      <c r="AB964" s="16">
        <f t="shared" si="107"/>
        <v>220.44508037715221</v>
      </c>
      <c r="AC964" s="16">
        <v>0</v>
      </c>
      <c r="AD964" s="16">
        <v>48.889993475913293</v>
      </c>
      <c r="AE964" s="16">
        <v>961</v>
      </c>
      <c r="AF964" s="16">
        <f>IF(AC964=0,IF(O964=6,INDEX(Acceleration!$V$4:$V$110,MATCH('Track Data'!S964,Acceleration!$K$4:$K$110,0)),IF('Track Data'!O964=5,INDEX(Acceleration!$U$4:$U$110,MATCH('Track Data'!S964,Acceleration!$K$4:$K$110,0)),1)),U964)</f>
        <v>1</v>
      </c>
      <c r="AG964" s="16">
        <f>IF(AC964=0,IF(O964=4,INDEX(Acceleration!$T$4:$T$110,MATCH('Track Data'!S964,Acceleration!$K$4:$K$110,0)),IF('Track Data'!O964=3,INDEX(Acceleration!$S$4:$S$110,MATCH('Track Data'!S964,Acceleration!$K$4:$K$110,0)),'Track Data'!AF964)),'Track Data'!U964)</f>
        <v>4.8208358613991411</v>
      </c>
      <c r="AH964" s="16">
        <f>IF(AC964=0,IF(O964=2,INDEX(Acceleration!$R$4:$R$110,MATCH('Track Data'!S964,Acceleration!$K$4:$K$110,0)),IF('Track Data'!O964=1,INDEX(Acceleration!$Q$4:$Q$110,MATCH('Track Data'!S964,Acceleration!$K$4:$K$110,0)),'Track Data'!AG964)),'Track Data'!U964)</f>
        <v>4.8208358613991411</v>
      </c>
    </row>
    <row r="965" spans="2:34" x14ac:dyDescent="0.25">
      <c r="B965" s="16">
        <v>223.54900000000001</v>
      </c>
      <c r="C965" s="16">
        <v>8235</v>
      </c>
      <c r="D965" s="16">
        <v>962</v>
      </c>
      <c r="E965" s="113">
        <v>171</v>
      </c>
      <c r="F965" s="113">
        <v>158.4</v>
      </c>
      <c r="G965" s="113">
        <v>151.69999999999999</v>
      </c>
      <c r="H965" s="113">
        <f t="shared" ref="H965:H1028" si="110">G965/3.6</f>
        <v>42.138888888888886</v>
      </c>
      <c r="I965" s="113">
        <v>6.3</v>
      </c>
      <c r="J965" s="113">
        <v>16.27</v>
      </c>
      <c r="K965" s="113">
        <v>44.3</v>
      </c>
      <c r="L965" s="183"/>
      <c r="M965" s="16">
        <v>962</v>
      </c>
      <c r="N965" s="16">
        <f t="shared" si="105"/>
        <v>2.2937824583009154E-2</v>
      </c>
      <c r="O965" s="16">
        <v>4</v>
      </c>
      <c r="P965" s="16">
        <f t="shared" si="108"/>
        <v>9.1833785004516724</v>
      </c>
      <c r="Q965" s="16">
        <f t="shared" si="106"/>
        <v>43.59611332718687</v>
      </c>
      <c r="R965" s="113">
        <f t="shared" si="109"/>
        <v>329.49099999999999</v>
      </c>
      <c r="S965" s="16">
        <f>IF(S964=15800,15800,ROUND((((Q965*60)/'Gearing Calculator'!$C$14)*'Track Data'!P965),-2))</f>
        <v>12100</v>
      </c>
      <c r="T965" s="16">
        <f t="shared" ref="T965:T1028" si="111">AH965</f>
        <v>4.8208358613991411</v>
      </c>
      <c r="U965" s="16">
        <f>IF(AC965=100,Braking!$AG$2354,IF(AC965=50,Braking!$AG$1179,IF(AC965=75,Braking!$AG$1767,0)))</f>
        <v>0</v>
      </c>
      <c r="V965" s="16">
        <f>0.5*'Gearing Calculator'!$C$15*'Gearing Calculator'!$C$20*'Gearing Calculator'!$W$20*('Track Data'!Q965^2)</f>
        <v>201.16173693155565</v>
      </c>
      <c r="W965" s="16">
        <f>('Gearing Calculator'!$U$9*'Track Data'!T965)+'Track Data'!V965</f>
        <v>1484.4682432360069</v>
      </c>
      <c r="X965" s="16">
        <f>('Gearing Calculator'!$U$9*9.81)*('Gearing Calculator'!$U$16/'Gearing Calculator'!$C$7)-(('Track Data'!W965)*('Gearing Calculator'!$U$17/'Gearing Calculator'!$C$7))</f>
        <v>592.02572755831886</v>
      </c>
      <c r="Y965" s="16">
        <f>('Gearing Calculator'!$U$9*9.81)*(('Gearing Calculator'!$C$7-'Gearing Calculator'!$U$16)/'Gearing Calculator'!$C$7)+(('Track Data'!W965)*('Gearing Calculator'!$U$17/'Gearing Calculator'!$C$7))</f>
        <v>2019.396272441681</v>
      </c>
      <c r="Z965" s="16">
        <f>((X965*COS('Gearing Calculator'!$C$21))/'Gearing Calculator'!$C$22)/2</f>
        <v>18.303563078254452</v>
      </c>
      <c r="AA965" s="16">
        <f>Y965/'Gearing Calculator'!$C$24</f>
        <v>28.197545111657071</v>
      </c>
      <c r="AB965" s="16">
        <f t="shared" si="107"/>
        <v>220.44508037715221</v>
      </c>
      <c r="AC965" s="16">
        <v>0</v>
      </c>
      <c r="AD965" s="16">
        <v>48.889993475913293</v>
      </c>
      <c r="AE965" s="16">
        <v>962</v>
      </c>
      <c r="AF965" s="16">
        <f>IF(AC965=0,IF(O965=6,INDEX(Acceleration!$V$4:$V$110,MATCH('Track Data'!S965,Acceleration!$K$4:$K$110,0)),IF('Track Data'!O965=5,INDEX(Acceleration!$U$4:$U$110,MATCH('Track Data'!S965,Acceleration!$K$4:$K$110,0)),1)),U965)</f>
        <v>1</v>
      </c>
      <c r="AG965" s="16">
        <f>IF(AC965=0,IF(O965=4,INDEX(Acceleration!$T$4:$T$110,MATCH('Track Data'!S965,Acceleration!$K$4:$K$110,0)),IF('Track Data'!O965=3,INDEX(Acceleration!$S$4:$S$110,MATCH('Track Data'!S965,Acceleration!$K$4:$K$110,0)),'Track Data'!AF965)),'Track Data'!U965)</f>
        <v>4.8208358613991411</v>
      </c>
      <c r="AH965" s="16">
        <f>IF(AC965=0,IF(O965=2,INDEX(Acceleration!$R$4:$R$110,MATCH('Track Data'!S965,Acceleration!$K$4:$K$110,0)),IF('Track Data'!O965=1,INDEX(Acceleration!$Q$4:$Q$110,MATCH('Track Data'!S965,Acceleration!$K$4:$K$110,0)),'Track Data'!AG965)),'Track Data'!U965)</f>
        <v>4.8208358613991411</v>
      </c>
    </row>
    <row r="966" spans="2:34" x14ac:dyDescent="0.25">
      <c r="B966" s="16">
        <v>223.572</v>
      </c>
      <c r="C966" s="16">
        <v>8236</v>
      </c>
      <c r="D966" s="16">
        <v>963</v>
      </c>
      <c r="E966" s="113">
        <v>172</v>
      </c>
      <c r="F966" s="113">
        <v>158.9</v>
      </c>
      <c r="G966" s="113">
        <v>152.30000000000001</v>
      </c>
      <c r="H966" s="113">
        <f t="shared" si="110"/>
        <v>42.305555555555557</v>
      </c>
      <c r="I966" s="113">
        <v>4.9000000000000004</v>
      </c>
      <c r="J966" s="113">
        <v>12.68</v>
      </c>
      <c r="K966" s="113">
        <v>43.7</v>
      </c>
      <c r="L966" s="183"/>
      <c r="M966" s="16">
        <v>963</v>
      </c>
      <c r="N966" s="16">
        <f t="shared" ref="N966:N1029" si="112">1/Q966</f>
        <v>2.2937824583009154E-2</v>
      </c>
      <c r="O966" s="16">
        <v>4</v>
      </c>
      <c r="P966" s="16">
        <f t="shared" si="108"/>
        <v>9.1833785004516724</v>
      </c>
      <c r="Q966" s="16">
        <f t="shared" ref="Q966:Q1029" si="113">IF(AD965=0,SQRT(Q965^2+(2*T965)),Q965)</f>
        <v>43.59611332718687</v>
      </c>
      <c r="R966" s="113">
        <f t="shared" si="109"/>
        <v>329.49099999999999</v>
      </c>
      <c r="S966" s="16">
        <f>IF(S965=15800,15800,ROUND((((Q966*60)/'Gearing Calculator'!$C$14)*'Track Data'!P966),-2))</f>
        <v>12100</v>
      </c>
      <c r="T966" s="16">
        <f t="shared" si="111"/>
        <v>4.8208358613991411</v>
      </c>
      <c r="U966" s="16">
        <f>IF(AC966=100,Braking!$AG$2354,IF(AC966=50,Braking!$AG$1179,IF(AC966=75,Braking!$AG$1767,0)))</f>
        <v>0</v>
      </c>
      <c r="V966" s="16">
        <f>0.5*'Gearing Calculator'!$C$15*'Gearing Calculator'!$C$20*'Gearing Calculator'!$W$20*('Track Data'!Q966^2)</f>
        <v>201.16173693155565</v>
      </c>
      <c r="W966" s="16">
        <f>('Gearing Calculator'!$U$9*'Track Data'!T966)+'Track Data'!V966</f>
        <v>1484.4682432360069</v>
      </c>
      <c r="X966" s="16">
        <f>('Gearing Calculator'!$U$9*9.81)*('Gearing Calculator'!$U$16/'Gearing Calculator'!$C$7)-(('Track Data'!W966)*('Gearing Calculator'!$U$17/'Gearing Calculator'!$C$7))</f>
        <v>592.02572755831886</v>
      </c>
      <c r="Y966" s="16">
        <f>('Gearing Calculator'!$U$9*9.81)*(('Gearing Calculator'!$C$7-'Gearing Calculator'!$U$16)/'Gearing Calculator'!$C$7)+(('Track Data'!W966)*('Gearing Calculator'!$U$17/'Gearing Calculator'!$C$7))</f>
        <v>2019.396272441681</v>
      </c>
      <c r="Z966" s="16">
        <f>((X966*COS('Gearing Calculator'!$C$21))/'Gearing Calculator'!$C$22)/2</f>
        <v>18.303563078254452</v>
      </c>
      <c r="AA966" s="16">
        <f>Y966/'Gearing Calculator'!$C$24</f>
        <v>28.197545111657071</v>
      </c>
      <c r="AB966" s="16">
        <f t="shared" si="107"/>
        <v>220.44508037715221</v>
      </c>
      <c r="AC966" s="16">
        <v>0</v>
      </c>
      <c r="AD966" s="16">
        <v>48.889993475913293</v>
      </c>
      <c r="AE966" s="16">
        <v>963</v>
      </c>
      <c r="AF966" s="16">
        <f>IF(AC966=0,IF(O966=6,INDEX(Acceleration!$V$4:$V$110,MATCH('Track Data'!S966,Acceleration!$K$4:$K$110,0)),IF('Track Data'!O966=5,INDEX(Acceleration!$U$4:$U$110,MATCH('Track Data'!S966,Acceleration!$K$4:$K$110,0)),1)),U966)</f>
        <v>1</v>
      </c>
      <c r="AG966" s="16">
        <f>IF(AC966=0,IF(O966=4,INDEX(Acceleration!$T$4:$T$110,MATCH('Track Data'!S966,Acceleration!$K$4:$K$110,0)),IF('Track Data'!O966=3,INDEX(Acceleration!$S$4:$S$110,MATCH('Track Data'!S966,Acceleration!$K$4:$K$110,0)),'Track Data'!AF966)),'Track Data'!U966)</f>
        <v>4.8208358613991411</v>
      </c>
      <c r="AH966" s="16">
        <f>IF(AC966=0,IF(O966=2,INDEX(Acceleration!$R$4:$R$110,MATCH('Track Data'!S966,Acceleration!$K$4:$K$110,0)),IF('Track Data'!O966=1,INDEX(Acceleration!$Q$4:$Q$110,MATCH('Track Data'!S966,Acceleration!$K$4:$K$110,0)),'Track Data'!AG966)),'Track Data'!U966)</f>
        <v>4.8208358613991411</v>
      </c>
    </row>
    <row r="967" spans="2:34" x14ac:dyDescent="0.25">
      <c r="B967" s="16">
        <v>223.59399999999999</v>
      </c>
      <c r="C967" s="16">
        <v>8237</v>
      </c>
      <c r="D967" s="16">
        <v>964</v>
      </c>
      <c r="E967" s="113">
        <v>173</v>
      </c>
      <c r="F967" s="113">
        <v>159.4</v>
      </c>
      <c r="G967" s="113">
        <v>152.69999999999999</v>
      </c>
      <c r="H967" s="113">
        <f t="shared" si="110"/>
        <v>42.416666666666664</v>
      </c>
      <c r="I967" s="113">
        <v>3.9</v>
      </c>
      <c r="J967" s="113">
        <v>11.67</v>
      </c>
      <c r="K967" s="113">
        <v>43.4</v>
      </c>
      <c r="L967" s="183"/>
      <c r="M967" s="16">
        <v>964</v>
      </c>
      <c r="N967" s="16">
        <f t="shared" si="112"/>
        <v>2.2937824583009154E-2</v>
      </c>
      <c r="O967" s="16">
        <v>4</v>
      </c>
      <c r="P967" s="16">
        <f t="shared" si="108"/>
        <v>9.1833785004516724</v>
      </c>
      <c r="Q967" s="16">
        <f t="shared" si="113"/>
        <v>43.59611332718687</v>
      </c>
      <c r="R967" s="113">
        <f t="shared" si="109"/>
        <v>329.49099999999999</v>
      </c>
      <c r="S967" s="16">
        <f>IF(S966=15800,15800,ROUND((((Q967*60)/'Gearing Calculator'!$C$14)*'Track Data'!P967),-2))</f>
        <v>12100</v>
      </c>
      <c r="T967" s="16">
        <f t="shared" si="111"/>
        <v>4.8208358613991411</v>
      </c>
      <c r="U967" s="16">
        <f>IF(AC967=100,Braking!$AG$2354,IF(AC967=50,Braking!$AG$1179,IF(AC967=75,Braking!$AG$1767,0)))</f>
        <v>0</v>
      </c>
      <c r="V967" s="16">
        <f>0.5*'Gearing Calculator'!$C$15*'Gearing Calculator'!$C$20*'Gearing Calculator'!$W$20*('Track Data'!Q967^2)</f>
        <v>201.16173693155565</v>
      </c>
      <c r="W967" s="16">
        <f>('Gearing Calculator'!$U$9*'Track Data'!T967)+'Track Data'!V967</f>
        <v>1484.4682432360069</v>
      </c>
      <c r="X967" s="16">
        <f>('Gearing Calculator'!$U$9*9.81)*('Gearing Calculator'!$U$16/'Gearing Calculator'!$C$7)-(('Track Data'!W967)*('Gearing Calculator'!$U$17/'Gearing Calculator'!$C$7))</f>
        <v>592.02572755831886</v>
      </c>
      <c r="Y967" s="16">
        <f>('Gearing Calculator'!$U$9*9.81)*(('Gearing Calculator'!$C$7-'Gearing Calculator'!$U$16)/'Gearing Calculator'!$C$7)+(('Track Data'!W967)*('Gearing Calculator'!$U$17/'Gearing Calculator'!$C$7))</f>
        <v>2019.396272441681</v>
      </c>
      <c r="Z967" s="16">
        <f>((X967*COS('Gearing Calculator'!$C$21))/'Gearing Calculator'!$C$22)/2</f>
        <v>18.303563078254452</v>
      </c>
      <c r="AA967" s="16">
        <f>Y967/'Gearing Calculator'!$C$24</f>
        <v>28.197545111657071</v>
      </c>
      <c r="AB967" s="16">
        <f t="shared" si="107"/>
        <v>220.44508037715221</v>
      </c>
      <c r="AC967" s="16">
        <v>0</v>
      </c>
      <c r="AD967" s="16">
        <v>48.889993475913293</v>
      </c>
      <c r="AE967" s="16">
        <v>964</v>
      </c>
      <c r="AF967" s="16">
        <f>IF(AC967=0,IF(O967=6,INDEX(Acceleration!$V$4:$V$110,MATCH('Track Data'!S967,Acceleration!$K$4:$K$110,0)),IF('Track Data'!O967=5,INDEX(Acceleration!$U$4:$U$110,MATCH('Track Data'!S967,Acceleration!$K$4:$K$110,0)),1)),U967)</f>
        <v>1</v>
      </c>
      <c r="AG967" s="16">
        <f>IF(AC967=0,IF(O967=4,INDEX(Acceleration!$T$4:$T$110,MATCH('Track Data'!S967,Acceleration!$K$4:$K$110,0)),IF('Track Data'!O967=3,INDEX(Acceleration!$S$4:$S$110,MATCH('Track Data'!S967,Acceleration!$K$4:$K$110,0)),'Track Data'!AF967)),'Track Data'!U967)</f>
        <v>4.8208358613991411</v>
      </c>
      <c r="AH967" s="16">
        <f>IF(AC967=0,IF(O967=2,INDEX(Acceleration!$R$4:$R$110,MATCH('Track Data'!S967,Acceleration!$K$4:$K$110,0)),IF('Track Data'!O967=1,INDEX(Acceleration!$Q$4:$Q$110,MATCH('Track Data'!S967,Acceleration!$K$4:$K$110,0)),'Track Data'!AG967)),'Track Data'!U967)</f>
        <v>4.8208358613991411</v>
      </c>
    </row>
    <row r="968" spans="2:34" x14ac:dyDescent="0.25">
      <c r="B968" s="16">
        <v>223.61699999999999</v>
      </c>
      <c r="C968" s="16">
        <v>8238</v>
      </c>
      <c r="D968" s="16">
        <v>965</v>
      </c>
      <c r="E968" s="113">
        <v>173</v>
      </c>
      <c r="F968" s="113">
        <v>159.69999999999999</v>
      </c>
      <c r="G968" s="113">
        <v>153.1</v>
      </c>
      <c r="H968" s="113">
        <f t="shared" si="110"/>
        <v>42.527777777777779</v>
      </c>
      <c r="I968" s="113">
        <v>3.3</v>
      </c>
      <c r="J968" s="113">
        <v>11.31</v>
      </c>
      <c r="K968" s="113">
        <v>41.9</v>
      </c>
      <c r="L968" s="183"/>
      <c r="M968" s="16">
        <v>965</v>
      </c>
      <c r="N968" s="16">
        <f t="shared" si="112"/>
        <v>2.2937824583009154E-2</v>
      </c>
      <c r="O968" s="16">
        <v>4</v>
      </c>
      <c r="P968" s="16">
        <f t="shared" si="108"/>
        <v>9.1833785004516724</v>
      </c>
      <c r="Q968" s="16">
        <f t="shared" si="113"/>
        <v>43.59611332718687</v>
      </c>
      <c r="R968" s="113">
        <f t="shared" si="109"/>
        <v>329.49099999999999</v>
      </c>
      <c r="S968" s="16">
        <f>IF(S967=15800,15800,ROUND((((Q968*60)/'Gearing Calculator'!$C$14)*'Track Data'!P968),-2))</f>
        <v>12100</v>
      </c>
      <c r="T968" s="16">
        <f t="shared" si="111"/>
        <v>4.8208358613991411</v>
      </c>
      <c r="U968" s="16">
        <f>IF(AC968=100,Braking!$AG$2354,IF(AC968=50,Braking!$AG$1179,IF(AC968=75,Braking!$AG$1767,0)))</f>
        <v>0</v>
      </c>
      <c r="V968" s="16">
        <f>0.5*'Gearing Calculator'!$C$15*'Gearing Calculator'!$C$20*'Gearing Calculator'!$W$20*('Track Data'!Q968^2)</f>
        <v>201.16173693155565</v>
      </c>
      <c r="W968" s="16">
        <f>('Gearing Calculator'!$U$9*'Track Data'!T968)+'Track Data'!V968</f>
        <v>1484.4682432360069</v>
      </c>
      <c r="X968" s="16">
        <f>('Gearing Calculator'!$U$9*9.81)*('Gearing Calculator'!$U$16/'Gearing Calculator'!$C$7)-(('Track Data'!W968)*('Gearing Calculator'!$U$17/'Gearing Calculator'!$C$7))</f>
        <v>592.02572755831886</v>
      </c>
      <c r="Y968" s="16">
        <f>('Gearing Calculator'!$U$9*9.81)*(('Gearing Calculator'!$C$7-'Gearing Calculator'!$U$16)/'Gearing Calculator'!$C$7)+(('Track Data'!W968)*('Gearing Calculator'!$U$17/'Gearing Calculator'!$C$7))</f>
        <v>2019.396272441681</v>
      </c>
      <c r="Z968" s="16">
        <f>((X968*COS('Gearing Calculator'!$C$21))/'Gearing Calculator'!$C$22)/2</f>
        <v>18.303563078254452</v>
      </c>
      <c r="AA968" s="16">
        <f>Y968/'Gearing Calculator'!$C$24</f>
        <v>28.197545111657071</v>
      </c>
      <c r="AB968" s="16">
        <f t="shared" si="107"/>
        <v>220.44508037715221</v>
      </c>
      <c r="AC968" s="16">
        <v>0</v>
      </c>
      <c r="AD968" s="16">
        <v>48.889993475913293</v>
      </c>
      <c r="AE968" s="16">
        <v>965</v>
      </c>
      <c r="AF968" s="16">
        <f>IF(AC968=0,IF(O968=6,INDEX(Acceleration!$V$4:$V$110,MATCH('Track Data'!S968,Acceleration!$K$4:$K$110,0)),IF('Track Data'!O968=5,INDEX(Acceleration!$U$4:$U$110,MATCH('Track Data'!S968,Acceleration!$K$4:$K$110,0)),1)),U968)</f>
        <v>1</v>
      </c>
      <c r="AG968" s="16">
        <f>IF(AC968=0,IF(O968=4,INDEX(Acceleration!$T$4:$T$110,MATCH('Track Data'!S968,Acceleration!$K$4:$K$110,0)),IF('Track Data'!O968=3,INDEX(Acceleration!$S$4:$S$110,MATCH('Track Data'!S968,Acceleration!$K$4:$K$110,0)),'Track Data'!AF968)),'Track Data'!U968)</f>
        <v>4.8208358613991411</v>
      </c>
      <c r="AH968" s="16">
        <f>IF(AC968=0,IF(O968=2,INDEX(Acceleration!$R$4:$R$110,MATCH('Track Data'!S968,Acceleration!$K$4:$K$110,0)),IF('Track Data'!O968=1,INDEX(Acceleration!$Q$4:$Q$110,MATCH('Track Data'!S968,Acceleration!$K$4:$K$110,0)),'Track Data'!AG968)),'Track Data'!U968)</f>
        <v>4.8208358613991411</v>
      </c>
    </row>
    <row r="969" spans="2:34" x14ac:dyDescent="0.25">
      <c r="B969" s="16">
        <v>223.63900000000001</v>
      </c>
      <c r="C969" s="16">
        <v>8239</v>
      </c>
      <c r="D969" s="16">
        <v>966</v>
      </c>
      <c r="E969" s="113">
        <v>173</v>
      </c>
      <c r="F969" s="113">
        <v>159.69999999999999</v>
      </c>
      <c r="G969" s="113">
        <v>153.5</v>
      </c>
      <c r="H969" s="113">
        <f t="shared" si="110"/>
        <v>42.638888888888886</v>
      </c>
      <c r="I969" s="113">
        <v>3.1</v>
      </c>
      <c r="J969" s="113">
        <v>11.22</v>
      </c>
      <c r="K969" s="113">
        <v>39.9</v>
      </c>
      <c r="L969" s="183"/>
      <c r="M969" s="16">
        <v>966</v>
      </c>
      <c r="N969" s="16">
        <f t="shared" si="112"/>
        <v>2.2937824583009154E-2</v>
      </c>
      <c r="O969" s="16">
        <v>4</v>
      </c>
      <c r="P969" s="16">
        <f t="shared" si="108"/>
        <v>9.1833785004516724</v>
      </c>
      <c r="Q969" s="16">
        <f t="shared" si="113"/>
        <v>43.59611332718687</v>
      </c>
      <c r="R969" s="113">
        <f t="shared" si="109"/>
        <v>329.49099999999999</v>
      </c>
      <c r="S969" s="16">
        <f>IF(S968=15800,15800,ROUND((((Q969*60)/'Gearing Calculator'!$C$14)*'Track Data'!P969),-2))</f>
        <v>12100</v>
      </c>
      <c r="T969" s="16">
        <f t="shared" si="111"/>
        <v>4.8208358613991411</v>
      </c>
      <c r="U969" s="16">
        <f>IF(AC969=100,Braking!$AG$2354,IF(AC969=50,Braking!$AG$1179,IF(AC969=75,Braking!$AG$1767,0)))</f>
        <v>0</v>
      </c>
      <c r="V969" s="16">
        <f>0.5*'Gearing Calculator'!$C$15*'Gearing Calculator'!$C$20*'Gearing Calculator'!$W$20*('Track Data'!Q969^2)</f>
        <v>201.16173693155565</v>
      </c>
      <c r="W969" s="16">
        <f>('Gearing Calculator'!$U$9*'Track Data'!T969)+'Track Data'!V969</f>
        <v>1484.4682432360069</v>
      </c>
      <c r="X969" s="16">
        <f>('Gearing Calculator'!$U$9*9.81)*('Gearing Calculator'!$U$16/'Gearing Calculator'!$C$7)-(('Track Data'!W969)*('Gearing Calculator'!$U$17/'Gearing Calculator'!$C$7))</f>
        <v>592.02572755831886</v>
      </c>
      <c r="Y969" s="16">
        <f>('Gearing Calculator'!$U$9*9.81)*(('Gearing Calculator'!$C$7-'Gearing Calculator'!$U$16)/'Gearing Calculator'!$C$7)+(('Track Data'!W969)*('Gearing Calculator'!$U$17/'Gearing Calculator'!$C$7))</f>
        <v>2019.396272441681</v>
      </c>
      <c r="Z969" s="16">
        <f>((X969*COS('Gearing Calculator'!$C$21))/'Gearing Calculator'!$C$22)/2</f>
        <v>18.303563078254452</v>
      </c>
      <c r="AA969" s="16">
        <f>Y969/'Gearing Calculator'!$C$24</f>
        <v>28.197545111657071</v>
      </c>
      <c r="AB969" s="16">
        <f t="shared" si="107"/>
        <v>220.44508037715221</v>
      </c>
      <c r="AC969" s="16">
        <v>0</v>
      </c>
      <c r="AD969" s="16">
        <v>48.889993475913293</v>
      </c>
      <c r="AE969" s="16">
        <v>966</v>
      </c>
      <c r="AF969" s="16">
        <f>IF(AC969=0,IF(O969=6,INDEX(Acceleration!$V$4:$V$110,MATCH('Track Data'!S969,Acceleration!$K$4:$K$110,0)),IF('Track Data'!O969=5,INDEX(Acceleration!$U$4:$U$110,MATCH('Track Data'!S969,Acceleration!$K$4:$K$110,0)),1)),U969)</f>
        <v>1</v>
      </c>
      <c r="AG969" s="16">
        <f>IF(AC969=0,IF(O969=4,INDEX(Acceleration!$T$4:$T$110,MATCH('Track Data'!S969,Acceleration!$K$4:$K$110,0)),IF('Track Data'!O969=3,INDEX(Acceleration!$S$4:$S$110,MATCH('Track Data'!S969,Acceleration!$K$4:$K$110,0)),'Track Data'!AF969)),'Track Data'!U969)</f>
        <v>4.8208358613991411</v>
      </c>
      <c r="AH969" s="16">
        <f>IF(AC969=0,IF(O969=2,INDEX(Acceleration!$R$4:$R$110,MATCH('Track Data'!S969,Acceleration!$K$4:$K$110,0)),IF('Track Data'!O969=1,INDEX(Acceleration!$Q$4:$Q$110,MATCH('Track Data'!S969,Acceleration!$K$4:$K$110,0)),'Track Data'!AG969)),'Track Data'!U969)</f>
        <v>4.8208358613991411</v>
      </c>
    </row>
    <row r="970" spans="2:34" x14ac:dyDescent="0.25">
      <c r="B970" s="16">
        <v>223.66200000000001</v>
      </c>
      <c r="C970" s="16">
        <v>8240</v>
      </c>
      <c r="D970" s="16">
        <v>967</v>
      </c>
      <c r="E970" s="113">
        <v>173</v>
      </c>
      <c r="F970" s="113">
        <v>160.4</v>
      </c>
      <c r="G970" s="113">
        <v>154</v>
      </c>
      <c r="H970" s="113">
        <f t="shared" si="110"/>
        <v>42.777777777777779</v>
      </c>
      <c r="I970" s="113">
        <v>3.9</v>
      </c>
      <c r="J970" s="113">
        <v>9.48</v>
      </c>
      <c r="K970" s="113">
        <v>37</v>
      </c>
      <c r="L970" s="183"/>
      <c r="M970" s="16">
        <v>967</v>
      </c>
      <c r="N970" s="16">
        <f t="shared" si="112"/>
        <v>2.2937824583009154E-2</v>
      </c>
      <c r="O970" s="16">
        <v>4</v>
      </c>
      <c r="P970" s="16">
        <f t="shared" si="108"/>
        <v>9.1833785004516724</v>
      </c>
      <c r="Q970" s="16">
        <f t="shared" si="113"/>
        <v>43.59611332718687</v>
      </c>
      <c r="R970" s="113">
        <f t="shared" si="109"/>
        <v>329.49099999999999</v>
      </c>
      <c r="S970" s="16">
        <f>IF(S969=15800,15800,ROUND((((Q970*60)/'Gearing Calculator'!$C$14)*'Track Data'!P970),-2))</f>
        <v>12100</v>
      </c>
      <c r="T970" s="16">
        <f t="shared" si="111"/>
        <v>4.8208358613991411</v>
      </c>
      <c r="U970" s="16">
        <f>IF(AC970=100,Braking!$AG$2354,IF(AC970=50,Braking!$AG$1179,IF(AC970=75,Braking!$AG$1767,0)))</f>
        <v>0</v>
      </c>
      <c r="V970" s="16">
        <f>0.5*'Gearing Calculator'!$C$15*'Gearing Calculator'!$C$20*'Gearing Calculator'!$W$20*('Track Data'!Q970^2)</f>
        <v>201.16173693155565</v>
      </c>
      <c r="W970" s="16">
        <f>('Gearing Calculator'!$U$9*'Track Data'!T970)+'Track Data'!V970</f>
        <v>1484.4682432360069</v>
      </c>
      <c r="X970" s="16">
        <f>('Gearing Calculator'!$U$9*9.81)*('Gearing Calculator'!$U$16/'Gearing Calculator'!$C$7)-(('Track Data'!W970)*('Gearing Calculator'!$U$17/'Gearing Calculator'!$C$7))</f>
        <v>592.02572755831886</v>
      </c>
      <c r="Y970" s="16">
        <f>('Gearing Calculator'!$U$9*9.81)*(('Gearing Calculator'!$C$7-'Gearing Calculator'!$U$16)/'Gearing Calculator'!$C$7)+(('Track Data'!W970)*('Gearing Calculator'!$U$17/'Gearing Calculator'!$C$7))</f>
        <v>2019.396272441681</v>
      </c>
      <c r="Z970" s="16">
        <f>((X970*COS('Gearing Calculator'!$C$21))/'Gearing Calculator'!$C$22)/2</f>
        <v>18.303563078254452</v>
      </c>
      <c r="AA970" s="16">
        <f>Y970/'Gearing Calculator'!$C$24</f>
        <v>28.197545111657071</v>
      </c>
      <c r="AB970" s="16">
        <f t="shared" si="107"/>
        <v>220.44508037715221</v>
      </c>
      <c r="AC970" s="16">
        <v>0</v>
      </c>
      <c r="AD970" s="16">
        <v>48.889993475913293</v>
      </c>
      <c r="AE970" s="16">
        <v>967</v>
      </c>
      <c r="AF970" s="16">
        <f>IF(AC970=0,IF(O970=6,INDEX(Acceleration!$V$4:$V$110,MATCH('Track Data'!S970,Acceleration!$K$4:$K$110,0)),IF('Track Data'!O970=5,INDEX(Acceleration!$U$4:$U$110,MATCH('Track Data'!S970,Acceleration!$K$4:$K$110,0)),1)),U970)</f>
        <v>1</v>
      </c>
      <c r="AG970" s="16">
        <f>IF(AC970=0,IF(O970=4,INDEX(Acceleration!$T$4:$T$110,MATCH('Track Data'!S970,Acceleration!$K$4:$K$110,0)),IF('Track Data'!O970=3,INDEX(Acceleration!$S$4:$S$110,MATCH('Track Data'!S970,Acceleration!$K$4:$K$110,0)),'Track Data'!AF970)),'Track Data'!U970)</f>
        <v>4.8208358613991411</v>
      </c>
      <c r="AH970" s="16">
        <f>IF(AC970=0,IF(O970=2,INDEX(Acceleration!$R$4:$R$110,MATCH('Track Data'!S970,Acceleration!$K$4:$K$110,0)),IF('Track Data'!O970=1,INDEX(Acceleration!$Q$4:$Q$110,MATCH('Track Data'!S970,Acceleration!$K$4:$K$110,0)),'Track Data'!AG970)),'Track Data'!U970)</f>
        <v>4.8208358613991411</v>
      </c>
    </row>
    <row r="971" spans="2:34" x14ac:dyDescent="0.25">
      <c r="B971" s="16">
        <v>223.684</v>
      </c>
      <c r="C971" s="16">
        <v>8241</v>
      </c>
      <c r="D971" s="16">
        <v>968</v>
      </c>
      <c r="E971" s="113">
        <v>173</v>
      </c>
      <c r="F971" s="113">
        <v>160.9</v>
      </c>
      <c r="G971" s="113">
        <v>154.4</v>
      </c>
      <c r="H971" s="113">
        <f t="shared" si="110"/>
        <v>42.888888888888893</v>
      </c>
      <c r="I971" s="113">
        <v>3.6</v>
      </c>
      <c r="J971" s="113">
        <v>9.68</v>
      </c>
      <c r="K971" s="113">
        <v>34.9</v>
      </c>
      <c r="L971" s="183"/>
      <c r="M971" s="16">
        <v>968</v>
      </c>
      <c r="N971" s="16">
        <f t="shared" si="112"/>
        <v>2.2937824583009154E-2</v>
      </c>
      <c r="O971" s="16">
        <v>4</v>
      </c>
      <c r="P971" s="16">
        <f t="shared" si="108"/>
        <v>9.1833785004516724</v>
      </c>
      <c r="Q971" s="16">
        <f t="shared" si="113"/>
        <v>43.59611332718687</v>
      </c>
      <c r="R971" s="113">
        <f t="shared" si="109"/>
        <v>329.49099999999999</v>
      </c>
      <c r="S971" s="16">
        <f>IF(S970=15800,15800,ROUND((((Q971*60)/'Gearing Calculator'!$C$14)*'Track Data'!P971),-2))</f>
        <v>12100</v>
      </c>
      <c r="T971" s="16">
        <f t="shared" si="111"/>
        <v>4.8208358613991411</v>
      </c>
      <c r="U971" s="16">
        <f>IF(AC971=100,Braking!$AG$2354,IF(AC971=50,Braking!$AG$1179,IF(AC971=75,Braking!$AG$1767,0)))</f>
        <v>0</v>
      </c>
      <c r="V971" s="16">
        <f>0.5*'Gearing Calculator'!$C$15*'Gearing Calculator'!$C$20*'Gearing Calculator'!$W$20*('Track Data'!Q971^2)</f>
        <v>201.16173693155565</v>
      </c>
      <c r="W971" s="16">
        <f>('Gearing Calculator'!$U$9*'Track Data'!T971)+'Track Data'!V971</f>
        <v>1484.4682432360069</v>
      </c>
      <c r="X971" s="16">
        <f>('Gearing Calculator'!$U$9*9.81)*('Gearing Calculator'!$U$16/'Gearing Calculator'!$C$7)-(('Track Data'!W971)*('Gearing Calculator'!$U$17/'Gearing Calculator'!$C$7))</f>
        <v>592.02572755831886</v>
      </c>
      <c r="Y971" s="16">
        <f>('Gearing Calculator'!$U$9*9.81)*(('Gearing Calculator'!$C$7-'Gearing Calculator'!$U$16)/'Gearing Calculator'!$C$7)+(('Track Data'!W971)*('Gearing Calculator'!$U$17/'Gearing Calculator'!$C$7))</f>
        <v>2019.396272441681</v>
      </c>
      <c r="Z971" s="16">
        <f>((X971*COS('Gearing Calculator'!$C$21))/'Gearing Calculator'!$C$22)/2</f>
        <v>18.303563078254452</v>
      </c>
      <c r="AA971" s="16">
        <f>Y971/'Gearing Calculator'!$C$24</f>
        <v>28.197545111657071</v>
      </c>
      <c r="AB971" s="16">
        <f t="shared" si="107"/>
        <v>220.44508037715221</v>
      </c>
      <c r="AC971" s="16">
        <v>0</v>
      </c>
      <c r="AD971" s="16">
        <v>48.889993475913293</v>
      </c>
      <c r="AE971" s="16">
        <v>968</v>
      </c>
      <c r="AF971" s="16">
        <f>IF(AC971=0,IF(O971=6,INDEX(Acceleration!$V$4:$V$110,MATCH('Track Data'!S971,Acceleration!$K$4:$K$110,0)),IF('Track Data'!O971=5,INDEX(Acceleration!$U$4:$U$110,MATCH('Track Data'!S971,Acceleration!$K$4:$K$110,0)),1)),U971)</f>
        <v>1</v>
      </c>
      <c r="AG971" s="16">
        <f>IF(AC971=0,IF(O971=4,INDEX(Acceleration!$T$4:$T$110,MATCH('Track Data'!S971,Acceleration!$K$4:$K$110,0)),IF('Track Data'!O971=3,INDEX(Acceleration!$S$4:$S$110,MATCH('Track Data'!S971,Acceleration!$K$4:$K$110,0)),'Track Data'!AF971)),'Track Data'!U971)</f>
        <v>4.8208358613991411</v>
      </c>
      <c r="AH971" s="16">
        <f>IF(AC971=0,IF(O971=2,INDEX(Acceleration!$R$4:$R$110,MATCH('Track Data'!S971,Acceleration!$K$4:$K$110,0)),IF('Track Data'!O971=1,INDEX(Acceleration!$Q$4:$Q$110,MATCH('Track Data'!S971,Acceleration!$K$4:$K$110,0)),'Track Data'!AG971)),'Track Data'!U971)</f>
        <v>4.8208358613991411</v>
      </c>
    </row>
    <row r="972" spans="2:34" x14ac:dyDescent="0.25">
      <c r="B972" s="16">
        <v>223.70599999999999</v>
      </c>
      <c r="C972" s="16">
        <v>8242</v>
      </c>
      <c r="D972" s="16">
        <v>969</v>
      </c>
      <c r="E972" s="113">
        <v>174</v>
      </c>
      <c r="F972" s="113">
        <v>161.19999999999999</v>
      </c>
      <c r="G972" s="113">
        <v>154.80000000000001</v>
      </c>
      <c r="H972" s="113">
        <f t="shared" si="110"/>
        <v>43</v>
      </c>
      <c r="I972" s="113">
        <v>3.2</v>
      </c>
      <c r="J972" s="113">
        <v>9.9600000000000009</v>
      </c>
      <c r="K972" s="113">
        <v>32.5</v>
      </c>
      <c r="L972" s="183"/>
      <c r="M972" s="16">
        <v>969</v>
      </c>
      <c r="N972" s="16">
        <f t="shared" si="112"/>
        <v>2.2937824583009154E-2</v>
      </c>
      <c r="O972" s="16">
        <v>4</v>
      </c>
      <c r="P972" s="16">
        <f t="shared" si="108"/>
        <v>9.1833785004516724</v>
      </c>
      <c r="Q972" s="16">
        <f t="shared" si="113"/>
        <v>43.59611332718687</v>
      </c>
      <c r="R972" s="113">
        <f t="shared" si="109"/>
        <v>329.49099999999999</v>
      </c>
      <c r="S972" s="16">
        <f>IF(S971=15800,15800,ROUND((((Q972*60)/'Gearing Calculator'!$C$14)*'Track Data'!P972),-2))</f>
        <v>12100</v>
      </c>
      <c r="T972" s="16">
        <f t="shared" si="111"/>
        <v>4.8208358613991411</v>
      </c>
      <c r="U972" s="16">
        <f>IF(AC972=100,Braking!$AG$2354,IF(AC972=50,Braking!$AG$1179,IF(AC972=75,Braking!$AG$1767,0)))</f>
        <v>0</v>
      </c>
      <c r="V972" s="16">
        <f>0.5*'Gearing Calculator'!$C$15*'Gearing Calculator'!$C$20*'Gearing Calculator'!$W$20*('Track Data'!Q972^2)</f>
        <v>201.16173693155565</v>
      </c>
      <c r="W972" s="16">
        <f>('Gearing Calculator'!$U$9*'Track Data'!T972)+'Track Data'!V972</f>
        <v>1484.4682432360069</v>
      </c>
      <c r="X972" s="16">
        <f>('Gearing Calculator'!$U$9*9.81)*('Gearing Calculator'!$U$16/'Gearing Calculator'!$C$7)-(('Track Data'!W972)*('Gearing Calculator'!$U$17/'Gearing Calculator'!$C$7))</f>
        <v>592.02572755831886</v>
      </c>
      <c r="Y972" s="16">
        <f>('Gearing Calculator'!$U$9*9.81)*(('Gearing Calculator'!$C$7-'Gearing Calculator'!$U$16)/'Gearing Calculator'!$C$7)+(('Track Data'!W972)*('Gearing Calculator'!$U$17/'Gearing Calculator'!$C$7))</f>
        <v>2019.396272441681</v>
      </c>
      <c r="Z972" s="16">
        <f>((X972*COS('Gearing Calculator'!$C$21))/'Gearing Calculator'!$C$22)/2</f>
        <v>18.303563078254452</v>
      </c>
      <c r="AA972" s="16">
        <f>Y972/'Gearing Calculator'!$C$24</f>
        <v>28.197545111657071</v>
      </c>
      <c r="AB972" s="16">
        <f t="shared" si="107"/>
        <v>220.44508037715221</v>
      </c>
      <c r="AC972" s="16">
        <v>0</v>
      </c>
      <c r="AD972" s="16">
        <v>48.889993475913293</v>
      </c>
      <c r="AE972" s="16">
        <v>969</v>
      </c>
      <c r="AF972" s="16">
        <f>IF(AC972=0,IF(O972=6,INDEX(Acceleration!$V$4:$V$110,MATCH('Track Data'!S972,Acceleration!$K$4:$K$110,0)),IF('Track Data'!O972=5,INDEX(Acceleration!$U$4:$U$110,MATCH('Track Data'!S972,Acceleration!$K$4:$K$110,0)),1)),U972)</f>
        <v>1</v>
      </c>
      <c r="AG972" s="16">
        <f>IF(AC972=0,IF(O972=4,INDEX(Acceleration!$T$4:$T$110,MATCH('Track Data'!S972,Acceleration!$K$4:$K$110,0)),IF('Track Data'!O972=3,INDEX(Acceleration!$S$4:$S$110,MATCH('Track Data'!S972,Acceleration!$K$4:$K$110,0)),'Track Data'!AF972)),'Track Data'!U972)</f>
        <v>4.8208358613991411</v>
      </c>
      <c r="AH972" s="16">
        <f>IF(AC972=0,IF(O972=2,INDEX(Acceleration!$R$4:$R$110,MATCH('Track Data'!S972,Acceleration!$K$4:$K$110,0)),IF('Track Data'!O972=1,INDEX(Acceleration!$Q$4:$Q$110,MATCH('Track Data'!S972,Acceleration!$K$4:$K$110,0)),'Track Data'!AG972)),'Track Data'!U972)</f>
        <v>4.8208358613991411</v>
      </c>
    </row>
    <row r="973" spans="2:34" ht="15.75" thickBot="1" x14ac:dyDescent="0.3">
      <c r="B973" s="16">
        <v>223.72900000000001</v>
      </c>
      <c r="C973" s="16">
        <v>8243</v>
      </c>
      <c r="D973" s="16">
        <v>970</v>
      </c>
      <c r="E973" s="113">
        <v>175</v>
      </c>
      <c r="F973" s="113">
        <v>161.5</v>
      </c>
      <c r="G973" s="113">
        <v>155.1</v>
      </c>
      <c r="H973" s="113">
        <f t="shared" si="110"/>
        <v>43.083333333333329</v>
      </c>
      <c r="I973" s="113">
        <v>2.5</v>
      </c>
      <c r="J973" s="113">
        <v>11.68</v>
      </c>
      <c r="K973" s="113">
        <v>30.1</v>
      </c>
      <c r="L973" s="183"/>
      <c r="M973" s="16">
        <v>970</v>
      </c>
      <c r="N973" s="16">
        <f t="shared" si="112"/>
        <v>2.2937824583009154E-2</v>
      </c>
      <c r="O973" s="16">
        <v>4</v>
      </c>
      <c r="P973" s="16">
        <f t="shared" si="108"/>
        <v>9.1833785004516724</v>
      </c>
      <c r="Q973" s="16">
        <f t="shared" si="113"/>
        <v>43.59611332718687</v>
      </c>
      <c r="R973" s="113">
        <f t="shared" si="109"/>
        <v>329.49099999999999</v>
      </c>
      <c r="S973" s="16">
        <f>IF(S972=15800,15800,ROUND((((Q973*60)/'Gearing Calculator'!$C$14)*'Track Data'!P973),-2))</f>
        <v>12100</v>
      </c>
      <c r="T973" s="16">
        <f t="shared" si="111"/>
        <v>4.8208358613991411</v>
      </c>
      <c r="U973" s="16">
        <f>IF(AC973=100,Braking!$AG$2354,IF(AC973=50,Braking!$AG$1179,IF(AC973=75,Braking!$AG$1767,0)))</f>
        <v>0</v>
      </c>
      <c r="V973" s="16">
        <f>0.5*'Gearing Calculator'!$C$15*'Gearing Calculator'!$C$20*'Gearing Calculator'!$W$20*('Track Data'!Q973^2)</f>
        <v>201.16173693155565</v>
      </c>
      <c r="W973" s="16">
        <f>('Gearing Calculator'!$U$9*'Track Data'!T973)+'Track Data'!V973</f>
        <v>1484.4682432360069</v>
      </c>
      <c r="X973" s="16">
        <f>('Gearing Calculator'!$U$9*9.81)*('Gearing Calculator'!$U$16/'Gearing Calculator'!$C$7)-(('Track Data'!W973)*('Gearing Calculator'!$U$17/'Gearing Calculator'!$C$7))</f>
        <v>592.02572755831886</v>
      </c>
      <c r="Y973" s="16">
        <f>('Gearing Calculator'!$U$9*9.81)*(('Gearing Calculator'!$C$7-'Gearing Calculator'!$U$16)/'Gearing Calculator'!$C$7)+(('Track Data'!W973)*('Gearing Calculator'!$U$17/'Gearing Calculator'!$C$7))</f>
        <v>2019.396272441681</v>
      </c>
      <c r="Z973" s="16">
        <f>((X973*COS('Gearing Calculator'!$C$21))/'Gearing Calculator'!$C$22)/2</f>
        <v>18.303563078254452</v>
      </c>
      <c r="AA973" s="16">
        <f>Y973/'Gearing Calculator'!$C$24</f>
        <v>28.197545111657071</v>
      </c>
      <c r="AB973" s="16">
        <f t="shared" si="107"/>
        <v>220.44508037715221</v>
      </c>
      <c r="AC973" s="16">
        <v>0</v>
      </c>
      <c r="AD973" s="16">
        <v>48.889993475913293</v>
      </c>
      <c r="AE973" s="16">
        <v>970</v>
      </c>
      <c r="AF973" s="16">
        <f>IF(AC973=0,IF(O973=6,INDEX(Acceleration!$V$4:$V$110,MATCH('Track Data'!S973,Acceleration!$K$4:$K$110,0)),IF('Track Data'!O973=5,INDEX(Acceleration!$U$4:$U$110,MATCH('Track Data'!S973,Acceleration!$K$4:$K$110,0)),1)),U973)</f>
        <v>1</v>
      </c>
      <c r="AG973" s="16">
        <f>IF(AC973=0,IF(O973=4,INDEX(Acceleration!$T$4:$T$110,MATCH('Track Data'!S973,Acceleration!$K$4:$K$110,0)),IF('Track Data'!O973=3,INDEX(Acceleration!$S$4:$S$110,MATCH('Track Data'!S973,Acceleration!$K$4:$K$110,0)),'Track Data'!AF973)),'Track Data'!U973)</f>
        <v>4.8208358613991411</v>
      </c>
      <c r="AH973" s="16">
        <f>IF(AC973=0,IF(O973=2,INDEX(Acceleration!$R$4:$R$110,MATCH('Track Data'!S973,Acceleration!$K$4:$K$110,0)),IF('Track Data'!O973=1,INDEX(Acceleration!$Q$4:$Q$110,MATCH('Track Data'!S973,Acceleration!$K$4:$K$110,0)),'Track Data'!AG973)),'Track Data'!U973)</f>
        <v>4.8208358613991411</v>
      </c>
    </row>
    <row r="974" spans="2:34" x14ac:dyDescent="0.25">
      <c r="B974" s="16">
        <v>223.751</v>
      </c>
      <c r="C974" s="16">
        <v>8244</v>
      </c>
      <c r="D974" s="16">
        <v>971</v>
      </c>
      <c r="E974" s="113">
        <v>176</v>
      </c>
      <c r="F974" s="113">
        <v>161.9</v>
      </c>
      <c r="G974" s="113">
        <v>155.6</v>
      </c>
      <c r="H974" s="113">
        <f t="shared" si="110"/>
        <v>43.222222222222221</v>
      </c>
      <c r="I974" s="113">
        <v>2.6</v>
      </c>
      <c r="J974" s="113">
        <v>9.6199999999999992</v>
      </c>
      <c r="K974" s="113">
        <v>26.3</v>
      </c>
      <c r="L974" s="184" t="s">
        <v>191</v>
      </c>
      <c r="M974" s="16">
        <v>971</v>
      </c>
      <c r="N974" s="16">
        <f t="shared" si="112"/>
        <v>2.2937824583009154E-2</v>
      </c>
      <c r="O974" s="16">
        <v>4</v>
      </c>
      <c r="P974" s="16">
        <f t="shared" si="108"/>
        <v>9.1833785004516724</v>
      </c>
      <c r="Q974" s="16">
        <f t="shared" si="113"/>
        <v>43.59611332718687</v>
      </c>
      <c r="R974" s="113">
        <f t="shared" si="109"/>
        <v>329.49099999999999</v>
      </c>
      <c r="S974" s="16">
        <f>IF(S973=15800,15800,ROUND((((Q974*60)/'Gearing Calculator'!$C$14)*'Track Data'!P974),-2))</f>
        <v>12100</v>
      </c>
      <c r="T974" s="16">
        <f t="shared" si="111"/>
        <v>4.8208358613991411</v>
      </c>
      <c r="U974" s="16">
        <f>IF(AC974=100,Braking!$AG$2354,IF(AC974=50,Braking!$AG$1179,IF(AC974=75,Braking!$AG$1767,0)))</f>
        <v>0</v>
      </c>
      <c r="V974" s="16">
        <f>0.5*'Gearing Calculator'!$C$15*'Gearing Calculator'!$C$20*'Gearing Calculator'!$W$20*('Track Data'!Q974^2)</f>
        <v>201.16173693155565</v>
      </c>
      <c r="W974" s="16">
        <f>('Gearing Calculator'!$U$9*'Track Data'!T974)+'Track Data'!V974</f>
        <v>1484.4682432360069</v>
      </c>
      <c r="X974" s="16">
        <f>('Gearing Calculator'!$U$9*9.81)*('Gearing Calculator'!$U$16/'Gearing Calculator'!$C$7)-(('Track Data'!W974)*('Gearing Calculator'!$U$17/'Gearing Calculator'!$C$7))</f>
        <v>592.02572755831886</v>
      </c>
      <c r="Y974" s="16">
        <f>('Gearing Calculator'!$U$9*9.81)*(('Gearing Calculator'!$C$7-'Gearing Calculator'!$U$16)/'Gearing Calculator'!$C$7)+(('Track Data'!W974)*('Gearing Calculator'!$U$17/'Gearing Calculator'!$C$7))</f>
        <v>2019.396272441681</v>
      </c>
      <c r="Z974" s="16">
        <f>((X974*COS('Gearing Calculator'!$C$21))/'Gearing Calculator'!$C$22)/2</f>
        <v>18.303563078254452</v>
      </c>
      <c r="AA974" s="16">
        <f>Y974/'Gearing Calculator'!$C$24</f>
        <v>28.197545111657071</v>
      </c>
      <c r="AB974" s="16">
        <f t="shared" si="107"/>
        <v>220.44508037715221</v>
      </c>
      <c r="AC974" s="16">
        <v>0</v>
      </c>
      <c r="AD974" s="16">
        <v>0</v>
      </c>
      <c r="AE974" s="16">
        <v>971</v>
      </c>
      <c r="AF974" s="16">
        <f>IF(AC974=0,IF(O974=6,INDEX(Acceleration!$V$4:$V$110,MATCH('Track Data'!S974,Acceleration!$K$4:$K$110,0)),IF('Track Data'!O974=5,INDEX(Acceleration!$U$4:$U$110,MATCH('Track Data'!S974,Acceleration!$K$4:$K$110,0)),1)),U974)</f>
        <v>1</v>
      </c>
      <c r="AG974" s="16">
        <f>IF(AC974=0,IF(O974=4,INDEX(Acceleration!$T$4:$T$110,MATCH('Track Data'!S974,Acceleration!$K$4:$K$110,0)),IF('Track Data'!O974=3,INDEX(Acceleration!$S$4:$S$110,MATCH('Track Data'!S974,Acceleration!$K$4:$K$110,0)),'Track Data'!AF974)),'Track Data'!U974)</f>
        <v>4.8208358613991411</v>
      </c>
      <c r="AH974" s="16">
        <f>IF(AC974=0,IF(O974=2,INDEX(Acceleration!$R$4:$R$110,MATCH('Track Data'!S974,Acceleration!$K$4:$K$110,0)),IF('Track Data'!O974=1,INDEX(Acceleration!$Q$4:$Q$110,MATCH('Track Data'!S974,Acceleration!$K$4:$K$110,0)),'Track Data'!AG974)),'Track Data'!U974)</f>
        <v>4.8208358613991411</v>
      </c>
    </row>
    <row r="975" spans="2:34" x14ac:dyDescent="0.25">
      <c r="B975" s="16">
        <v>223.773</v>
      </c>
      <c r="C975" s="16">
        <v>8245</v>
      </c>
      <c r="D975" s="16">
        <v>972</v>
      </c>
      <c r="E975" s="113">
        <v>176</v>
      </c>
      <c r="F975" s="113">
        <v>162.4</v>
      </c>
      <c r="G975" s="113">
        <v>156</v>
      </c>
      <c r="H975" s="113">
        <f t="shared" si="110"/>
        <v>43.333333333333336</v>
      </c>
      <c r="I975" s="113">
        <v>2.8</v>
      </c>
      <c r="J975" s="113">
        <v>9.5</v>
      </c>
      <c r="K975" s="113">
        <v>25.6</v>
      </c>
      <c r="L975" s="185"/>
      <c r="M975" s="16">
        <v>972</v>
      </c>
      <c r="N975" s="16">
        <f t="shared" si="112"/>
        <v>2.2879864299024579E-2</v>
      </c>
      <c r="O975" s="16">
        <v>4</v>
      </c>
      <c r="P975" s="16">
        <f t="shared" si="108"/>
        <v>9.1833785004516724</v>
      </c>
      <c r="Q975" s="16">
        <f t="shared" si="113"/>
        <v>43.706552929277308</v>
      </c>
      <c r="R975" s="113">
        <f t="shared" si="109"/>
        <v>329.49099999999999</v>
      </c>
      <c r="S975" s="16">
        <f>IF(S974=15800,15800,ROUND((((Q975*60)/'Gearing Calculator'!$C$14)*'Track Data'!P975),-2))</f>
        <v>12200</v>
      </c>
      <c r="T975" s="16">
        <f t="shared" si="111"/>
        <v>4.8209066787706405</v>
      </c>
      <c r="U975" s="16">
        <f>IF(AC975=100,Braking!$AG$2354,IF(AC975=50,Braking!$AG$1179,IF(AC975=75,Braking!$AG$1767,0)))</f>
        <v>0</v>
      </c>
      <c r="V975" s="16">
        <f>0.5*'Gearing Calculator'!$C$15*'Gearing Calculator'!$C$20*'Gearing Calculator'!$W$20*('Track Data'!Q975^2)</f>
        <v>202.18221146669663</v>
      </c>
      <c r="W975" s="16">
        <f>('Gearing Calculator'!$U$9*'Track Data'!T975)+'Track Data'!V975</f>
        <v>1485.5075693554411</v>
      </c>
      <c r="X975" s="16">
        <f>('Gearing Calculator'!$U$9*9.81)*('Gearing Calculator'!$U$16/'Gearing Calculator'!$C$7)-(('Track Data'!W975)*('Gearing Calculator'!$U$17/'Gearing Calculator'!$C$7))</f>
        <v>591.45922384376661</v>
      </c>
      <c r="Y975" s="16">
        <f>('Gearing Calculator'!$U$9*9.81)*(('Gearing Calculator'!$C$7-'Gearing Calculator'!$U$16)/'Gearing Calculator'!$C$7)+(('Track Data'!W975)*('Gearing Calculator'!$U$17/'Gearing Calculator'!$C$7))</f>
        <v>2019.9627761562333</v>
      </c>
      <c r="Z975" s="16">
        <f>((X975*COS('Gearing Calculator'!$C$21))/'Gearing Calculator'!$C$22)/2</f>
        <v>18.286048575099098</v>
      </c>
      <c r="AA975" s="16">
        <f>Y975/'Gearing Calculator'!$C$24</f>
        <v>28.205455403591845</v>
      </c>
      <c r="AB975" s="16">
        <f t="shared" si="107"/>
        <v>221.46583818177919</v>
      </c>
      <c r="AC975" s="16">
        <v>0</v>
      </c>
      <c r="AD975" s="16">
        <v>0</v>
      </c>
      <c r="AE975" s="16">
        <v>972</v>
      </c>
      <c r="AF975" s="16">
        <f>IF(AC975=0,IF(O975=6,INDEX(Acceleration!$V$4:$V$110,MATCH('Track Data'!S975,Acceleration!$K$4:$K$110,0)),IF('Track Data'!O975=5,INDEX(Acceleration!$U$4:$U$110,MATCH('Track Data'!S975,Acceleration!$K$4:$K$110,0)),1)),U975)</f>
        <v>1</v>
      </c>
      <c r="AG975" s="16">
        <f>IF(AC975=0,IF(O975=4,INDEX(Acceleration!$T$4:$T$110,MATCH('Track Data'!S975,Acceleration!$K$4:$K$110,0)),IF('Track Data'!O975=3,INDEX(Acceleration!$S$4:$S$110,MATCH('Track Data'!S975,Acceleration!$K$4:$K$110,0)),'Track Data'!AF975)),'Track Data'!U975)</f>
        <v>4.8209066787706405</v>
      </c>
      <c r="AH975" s="16">
        <f>IF(AC975=0,IF(O975=2,INDEX(Acceleration!$R$4:$R$110,MATCH('Track Data'!S975,Acceleration!$K$4:$K$110,0)),IF('Track Data'!O975=1,INDEX(Acceleration!$Q$4:$Q$110,MATCH('Track Data'!S975,Acceleration!$K$4:$K$110,0)),'Track Data'!AG975)),'Track Data'!U975)</f>
        <v>4.8209066787706405</v>
      </c>
    </row>
    <row r="976" spans="2:34" x14ac:dyDescent="0.25">
      <c r="B976" s="16">
        <v>223.79599999999999</v>
      </c>
      <c r="C976" s="16">
        <v>8246</v>
      </c>
      <c r="D976" s="16">
        <v>973</v>
      </c>
      <c r="E976" s="113">
        <v>175</v>
      </c>
      <c r="F976" s="113">
        <v>162.9</v>
      </c>
      <c r="G976" s="113">
        <v>156.4</v>
      </c>
      <c r="H976" s="113">
        <f t="shared" si="110"/>
        <v>43.444444444444443</v>
      </c>
      <c r="I976" s="113">
        <v>4.2</v>
      </c>
      <c r="J976" s="113">
        <v>8.59</v>
      </c>
      <c r="K976" s="113">
        <v>25.6</v>
      </c>
      <c r="L976" s="185"/>
      <c r="M976" s="16">
        <v>973</v>
      </c>
      <c r="N976" s="16">
        <f t="shared" si="112"/>
        <v>2.2822340334039636E-2</v>
      </c>
      <c r="O976" s="16">
        <v>4</v>
      </c>
      <c r="P976" s="16">
        <f t="shared" si="108"/>
        <v>9.1833785004516724</v>
      </c>
      <c r="Q976" s="16">
        <f t="shared" si="113"/>
        <v>43.816715786526721</v>
      </c>
      <c r="R976" s="113">
        <f t="shared" si="109"/>
        <v>329.49099999999999</v>
      </c>
      <c r="S976" s="16">
        <f>IF(S975=15800,15800,ROUND((((Q976*60)/'Gearing Calculator'!$C$14)*'Track Data'!P976),-2))</f>
        <v>12200</v>
      </c>
      <c r="T976" s="16">
        <f t="shared" si="111"/>
        <v>4.8209066787706405</v>
      </c>
      <c r="U976" s="16">
        <f>IF(AC976=100,Braking!$AG$2354,IF(AC976=50,Braking!$AG$1179,IF(AC976=75,Braking!$AG$1767,0)))</f>
        <v>0</v>
      </c>
      <c r="V976" s="16">
        <f>0.5*'Gearing Calculator'!$C$15*'Gearing Calculator'!$C$20*'Gearing Calculator'!$W$20*('Track Data'!Q976^2)</f>
        <v>203.20270099245877</v>
      </c>
      <c r="W976" s="16">
        <f>('Gearing Calculator'!$U$9*'Track Data'!T976)+'Track Data'!V976</f>
        <v>1486.5280588812034</v>
      </c>
      <c r="X976" s="16">
        <f>('Gearing Calculator'!$U$9*9.81)*('Gearing Calculator'!$U$16/'Gearing Calculator'!$C$7)-(('Track Data'!W976)*('Gearing Calculator'!$U$17/'Gearing Calculator'!$C$7))</f>
        <v>590.9029873591868</v>
      </c>
      <c r="Y976" s="16">
        <f>('Gearing Calculator'!$U$9*9.81)*(('Gearing Calculator'!$C$7-'Gearing Calculator'!$U$16)/'Gearing Calculator'!$C$7)+(('Track Data'!W976)*('Gearing Calculator'!$U$17/'Gearing Calculator'!$C$7))</f>
        <v>2020.5190126408133</v>
      </c>
      <c r="Z976" s="16">
        <f>((X976*COS('Gearing Calculator'!$C$21))/'Gearing Calculator'!$C$22)/2</f>
        <v>18.268851502222006</v>
      </c>
      <c r="AA976" s="16">
        <f>Y976/'Gearing Calculator'!$C$24</f>
        <v>28.213222330559443</v>
      </c>
      <c r="AB976" s="16">
        <f t="shared" si="107"/>
        <v>222.48632770754134</v>
      </c>
      <c r="AC976" s="16">
        <v>0</v>
      </c>
      <c r="AD976" s="16">
        <v>0</v>
      </c>
      <c r="AE976" s="16">
        <v>973</v>
      </c>
      <c r="AF976" s="16">
        <f>IF(AC976=0,IF(O976=6,INDEX(Acceleration!$V$4:$V$110,MATCH('Track Data'!S976,Acceleration!$K$4:$K$110,0)),IF('Track Data'!O976=5,INDEX(Acceleration!$U$4:$U$110,MATCH('Track Data'!S976,Acceleration!$K$4:$K$110,0)),1)),U976)</f>
        <v>1</v>
      </c>
      <c r="AG976" s="16">
        <f>IF(AC976=0,IF(O976=4,INDEX(Acceleration!$T$4:$T$110,MATCH('Track Data'!S976,Acceleration!$K$4:$K$110,0)),IF('Track Data'!O976=3,INDEX(Acceleration!$S$4:$S$110,MATCH('Track Data'!S976,Acceleration!$K$4:$K$110,0)),'Track Data'!AF976)),'Track Data'!U976)</f>
        <v>4.8209066787706405</v>
      </c>
      <c r="AH976" s="16">
        <f>IF(AC976=0,IF(O976=2,INDEX(Acceleration!$R$4:$R$110,MATCH('Track Data'!S976,Acceleration!$K$4:$K$110,0)),IF('Track Data'!O976=1,INDEX(Acceleration!$Q$4:$Q$110,MATCH('Track Data'!S976,Acceleration!$K$4:$K$110,0)),'Track Data'!AG976)),'Track Data'!U976)</f>
        <v>4.8209066787706405</v>
      </c>
    </row>
    <row r="977" spans="2:34" x14ac:dyDescent="0.25">
      <c r="B977" s="16">
        <v>223.81700000000001</v>
      </c>
      <c r="C977" s="16">
        <v>8247</v>
      </c>
      <c r="D977" s="16">
        <v>974</v>
      </c>
      <c r="E977" s="113">
        <v>175</v>
      </c>
      <c r="F977" s="113">
        <v>163.4</v>
      </c>
      <c r="G977" s="113">
        <v>156.69999999999999</v>
      </c>
      <c r="H977" s="113">
        <f t="shared" si="110"/>
        <v>43.527777777777771</v>
      </c>
      <c r="I977" s="113">
        <v>5.2</v>
      </c>
      <c r="J977" s="113">
        <v>9.39</v>
      </c>
      <c r="K977" s="113">
        <v>25.6</v>
      </c>
      <c r="L977" s="185"/>
      <c r="M977" s="16">
        <v>974</v>
      </c>
      <c r="N977" s="16">
        <f t="shared" si="112"/>
        <v>2.2765248074551006E-2</v>
      </c>
      <c r="O977" s="16">
        <v>4</v>
      </c>
      <c r="P977" s="16">
        <f t="shared" si="108"/>
        <v>9.1833785004516724</v>
      </c>
      <c r="Q977" s="16">
        <f t="shared" si="113"/>
        <v>43.926602368892603</v>
      </c>
      <c r="R977" s="113">
        <f t="shared" si="109"/>
        <v>329.49099999999999</v>
      </c>
      <c r="S977" s="16">
        <f>IF(S976=15800,15800,ROUND((((Q977*60)/'Gearing Calculator'!$C$14)*'Track Data'!P977),-2))</f>
        <v>12200</v>
      </c>
      <c r="T977" s="16">
        <f t="shared" si="111"/>
        <v>4.8209066787706405</v>
      </c>
      <c r="U977" s="16">
        <f>IF(AC977=100,Braking!$AG$2354,IF(AC977=50,Braking!$AG$1179,IF(AC977=75,Braking!$AG$1767,0)))</f>
        <v>0</v>
      </c>
      <c r="V977" s="16">
        <f>0.5*'Gearing Calculator'!$C$15*'Gearing Calculator'!$C$20*'Gearing Calculator'!$W$20*('Track Data'!Q977^2)</f>
        <v>204.22319051822095</v>
      </c>
      <c r="W977" s="16">
        <f>('Gearing Calculator'!$U$9*'Track Data'!T977)+'Track Data'!V977</f>
        <v>1487.5485484069654</v>
      </c>
      <c r="X977" s="16">
        <f>('Gearing Calculator'!$U$9*9.81)*('Gearing Calculator'!$U$16/'Gearing Calculator'!$C$7)-(('Track Data'!W977)*('Gearing Calculator'!$U$17/'Gearing Calculator'!$C$7))</f>
        <v>590.3467508746071</v>
      </c>
      <c r="Y977" s="16">
        <f>('Gearing Calculator'!$U$9*9.81)*(('Gearing Calculator'!$C$7-'Gearing Calculator'!$U$16)/'Gearing Calculator'!$C$7)+(('Track Data'!W977)*('Gearing Calculator'!$U$17/'Gearing Calculator'!$C$7))</f>
        <v>2021.0752491253929</v>
      </c>
      <c r="Z977" s="16">
        <f>((X977*COS('Gearing Calculator'!$C$21))/'Gearing Calculator'!$C$22)/2</f>
        <v>18.251654429344917</v>
      </c>
      <c r="AA977" s="16">
        <f>Y977/'Gearing Calculator'!$C$24</f>
        <v>28.220989257527037</v>
      </c>
      <c r="AB977" s="16">
        <f t="shared" si="107"/>
        <v>223.50681723330351</v>
      </c>
      <c r="AC977" s="16">
        <v>0</v>
      </c>
      <c r="AD977" s="16">
        <v>0</v>
      </c>
      <c r="AE977" s="16">
        <v>974</v>
      </c>
      <c r="AF977" s="16">
        <f>IF(AC977=0,IF(O977=6,INDEX(Acceleration!$V$4:$V$110,MATCH('Track Data'!S977,Acceleration!$K$4:$K$110,0)),IF('Track Data'!O977=5,INDEX(Acceleration!$U$4:$U$110,MATCH('Track Data'!S977,Acceleration!$K$4:$K$110,0)),1)),U977)</f>
        <v>1</v>
      </c>
      <c r="AG977" s="16">
        <f>IF(AC977=0,IF(O977=4,INDEX(Acceleration!$T$4:$T$110,MATCH('Track Data'!S977,Acceleration!$K$4:$K$110,0)),IF('Track Data'!O977=3,INDEX(Acceleration!$S$4:$S$110,MATCH('Track Data'!S977,Acceleration!$K$4:$K$110,0)),'Track Data'!AF977)),'Track Data'!U977)</f>
        <v>4.8209066787706405</v>
      </c>
      <c r="AH977" s="16">
        <f>IF(AC977=0,IF(O977=2,INDEX(Acceleration!$R$4:$R$110,MATCH('Track Data'!S977,Acceleration!$K$4:$K$110,0)),IF('Track Data'!O977=1,INDEX(Acceleration!$Q$4:$Q$110,MATCH('Track Data'!S977,Acceleration!$K$4:$K$110,0)),'Track Data'!AG977)),'Track Data'!U977)</f>
        <v>4.8209066787706405</v>
      </c>
    </row>
    <row r="978" spans="2:34" x14ac:dyDescent="0.25">
      <c r="B978" s="16">
        <v>223.839</v>
      </c>
      <c r="C978" s="16">
        <v>8248</v>
      </c>
      <c r="D978" s="16">
        <v>975</v>
      </c>
      <c r="E978" s="113">
        <v>174</v>
      </c>
      <c r="F978" s="113">
        <v>163.80000000000001</v>
      </c>
      <c r="G978" s="113">
        <v>157.1</v>
      </c>
      <c r="H978" s="113">
        <f t="shared" si="110"/>
        <v>43.638888888888886</v>
      </c>
      <c r="I978" s="113">
        <v>6.8</v>
      </c>
      <c r="J978" s="113">
        <v>10.24</v>
      </c>
      <c r="K978" s="113">
        <v>25.6</v>
      </c>
      <c r="L978" s="185"/>
      <c r="M978" s="16">
        <v>975</v>
      </c>
      <c r="N978" s="16">
        <f t="shared" si="112"/>
        <v>2.2708582147666852E-2</v>
      </c>
      <c r="O978" s="16">
        <v>4</v>
      </c>
      <c r="P978" s="16">
        <f t="shared" si="108"/>
        <v>9.1833785004516724</v>
      </c>
      <c r="Q978" s="16">
        <f t="shared" si="113"/>
        <v>44.036214744597913</v>
      </c>
      <c r="R978" s="113">
        <f t="shared" si="109"/>
        <v>329.49099999999999</v>
      </c>
      <c r="S978" s="16">
        <f>IF(S977=15800,15800,ROUND((((Q978*60)/'Gearing Calculator'!$C$14)*'Track Data'!P978),-2))</f>
        <v>12300</v>
      </c>
      <c r="T978" s="16">
        <f t="shared" si="111"/>
        <v>4.8207797244267363</v>
      </c>
      <c r="U978" s="16">
        <f>IF(AC978=100,Braking!$AG$2354,IF(AC978=50,Braking!$AG$1179,IF(AC978=75,Braking!$AG$1767,0)))</f>
        <v>0</v>
      </c>
      <c r="V978" s="16">
        <f>0.5*'Gearing Calculator'!$C$15*'Gearing Calculator'!$C$20*'Gearing Calculator'!$W$20*('Track Data'!Q978^2)</f>
        <v>205.24368004398312</v>
      </c>
      <c r="W978" s="16">
        <f>('Gearing Calculator'!$U$9*'Track Data'!T978)+'Track Data'!V978</f>
        <v>1488.5352426863803</v>
      </c>
      <c r="X978" s="16">
        <f>('Gearing Calculator'!$U$9*9.81)*('Gearing Calculator'!$U$16/'Gearing Calculator'!$C$7)-(('Track Data'!W978)*('Gearing Calculator'!$U$17/'Gearing Calculator'!$C$7))</f>
        <v>589.80893510729015</v>
      </c>
      <c r="Y978" s="16">
        <f>('Gearing Calculator'!$U$9*9.81)*(('Gearing Calculator'!$C$7-'Gearing Calculator'!$U$16)/'Gearing Calculator'!$C$7)+(('Track Data'!W978)*('Gearing Calculator'!$U$17/'Gearing Calculator'!$C$7))</f>
        <v>2021.6130648927099</v>
      </c>
      <c r="Z978" s="16">
        <f>((X978*COS('Gearing Calculator'!$C$21))/'Gearing Calculator'!$C$22)/2</f>
        <v>18.23502686678583</v>
      </c>
      <c r="AA978" s="16">
        <f>Y978/'Gearing Calculator'!$C$24</f>
        <v>28.228498969497707</v>
      </c>
      <c r="AB978" s="16">
        <f t="shared" si="107"/>
        <v>224.52679894169006</v>
      </c>
      <c r="AC978" s="16">
        <v>0</v>
      </c>
      <c r="AD978" s="16">
        <v>0</v>
      </c>
      <c r="AE978" s="16">
        <v>975</v>
      </c>
      <c r="AF978" s="16">
        <f>IF(AC978=0,IF(O978=6,INDEX(Acceleration!$V$4:$V$110,MATCH('Track Data'!S978,Acceleration!$K$4:$K$110,0)),IF('Track Data'!O978=5,INDEX(Acceleration!$U$4:$U$110,MATCH('Track Data'!S978,Acceleration!$K$4:$K$110,0)),1)),U978)</f>
        <v>1</v>
      </c>
      <c r="AG978" s="16">
        <f>IF(AC978=0,IF(O978=4,INDEX(Acceleration!$T$4:$T$110,MATCH('Track Data'!S978,Acceleration!$K$4:$K$110,0)),IF('Track Data'!O978=3,INDEX(Acceleration!$S$4:$S$110,MATCH('Track Data'!S978,Acceleration!$K$4:$K$110,0)),'Track Data'!AF978)),'Track Data'!U978)</f>
        <v>4.8207797244267363</v>
      </c>
      <c r="AH978" s="16">
        <f>IF(AC978=0,IF(O978=2,INDEX(Acceleration!$R$4:$R$110,MATCH('Track Data'!S978,Acceleration!$K$4:$K$110,0)),IF('Track Data'!O978=1,INDEX(Acceleration!$Q$4:$Q$110,MATCH('Track Data'!S978,Acceleration!$K$4:$K$110,0)),'Track Data'!AG978)),'Track Data'!U978)</f>
        <v>4.8207797244267363</v>
      </c>
    </row>
    <row r="979" spans="2:34" x14ac:dyDescent="0.25">
      <c r="B979" s="16">
        <v>223.86099999999999</v>
      </c>
      <c r="C979" s="16">
        <v>8249</v>
      </c>
      <c r="D979" s="16">
        <v>976</v>
      </c>
      <c r="E979" s="113">
        <v>174</v>
      </c>
      <c r="F979" s="113">
        <v>164.2</v>
      </c>
      <c r="G979" s="113">
        <v>157.5</v>
      </c>
      <c r="H979" s="113">
        <f t="shared" si="110"/>
        <v>43.75</v>
      </c>
      <c r="I979" s="113">
        <v>9.3000000000000007</v>
      </c>
      <c r="J979" s="113">
        <v>16.52</v>
      </c>
      <c r="K979" s="113">
        <v>24.7</v>
      </c>
      <c r="L979" s="185"/>
      <c r="M979" s="16">
        <v>976</v>
      </c>
      <c r="N979" s="16">
        <f t="shared" si="112"/>
        <v>2.2652338749310327E-2</v>
      </c>
      <c r="O979" s="16">
        <v>4</v>
      </c>
      <c r="P979" s="16">
        <f t="shared" si="108"/>
        <v>9.1833785004516724</v>
      </c>
      <c r="Q979" s="16">
        <f t="shared" si="113"/>
        <v>44.145552080376071</v>
      </c>
      <c r="R979" s="113">
        <f t="shared" si="109"/>
        <v>329.49099999999999</v>
      </c>
      <c r="S979" s="16">
        <f>IF(S978=15800,15800,ROUND((((Q979*60)/'Gearing Calculator'!$C$14)*'Track Data'!P979),-2))</f>
        <v>12300</v>
      </c>
      <c r="T979" s="16">
        <f t="shared" si="111"/>
        <v>4.8207797244267363</v>
      </c>
      <c r="U979" s="16">
        <f>IF(AC979=100,Braking!$AG$2354,IF(AC979=50,Braking!$AG$1179,IF(AC979=75,Braking!$AG$1767,0)))</f>
        <v>0</v>
      </c>
      <c r="V979" s="16">
        <f>0.5*'Gearing Calculator'!$C$15*'Gearing Calculator'!$C$20*'Gearing Calculator'!$W$20*('Track Data'!Q979^2)</f>
        <v>206.26414269604976</v>
      </c>
      <c r="W979" s="16">
        <f>('Gearing Calculator'!$U$9*'Track Data'!T979)+'Track Data'!V979</f>
        <v>1489.5557053384468</v>
      </c>
      <c r="X979" s="16">
        <f>('Gearing Calculator'!$U$9*9.81)*('Gearing Calculator'!$U$16/'Gearing Calculator'!$C$7)-(('Track Data'!W979)*('Gearing Calculator'!$U$17/'Gearing Calculator'!$C$7))</f>
        <v>589.25271327070993</v>
      </c>
      <c r="Y979" s="16">
        <f>('Gearing Calculator'!$U$9*9.81)*(('Gearing Calculator'!$C$7-'Gearing Calculator'!$U$16)/'Gearing Calculator'!$C$7)+(('Track Data'!W979)*('Gearing Calculator'!$U$17/'Gearing Calculator'!$C$7))</f>
        <v>2022.16928672929</v>
      </c>
      <c r="Z979" s="16">
        <f>((X979*COS('Gearing Calculator'!$C$21))/'Gearing Calculator'!$C$22)/2</f>
        <v>18.217830246778561</v>
      </c>
      <c r="AA979" s="16">
        <f>Y979/'Gearing Calculator'!$C$24</f>
        <v>28.236265691930097</v>
      </c>
      <c r="AB979" s="16">
        <f t="shared" si="107"/>
        <v>225.5472615937567</v>
      </c>
      <c r="AC979" s="16">
        <v>0</v>
      </c>
      <c r="AD979" s="16">
        <v>0</v>
      </c>
      <c r="AE979" s="16">
        <v>976</v>
      </c>
      <c r="AF979" s="16">
        <f>IF(AC979=0,IF(O979=6,INDEX(Acceleration!$V$4:$V$110,MATCH('Track Data'!S979,Acceleration!$K$4:$K$110,0)),IF('Track Data'!O979=5,INDEX(Acceleration!$U$4:$U$110,MATCH('Track Data'!S979,Acceleration!$K$4:$K$110,0)),1)),U979)</f>
        <v>1</v>
      </c>
      <c r="AG979" s="16">
        <f>IF(AC979=0,IF(O979=4,INDEX(Acceleration!$T$4:$T$110,MATCH('Track Data'!S979,Acceleration!$K$4:$K$110,0)),IF('Track Data'!O979=3,INDEX(Acceleration!$S$4:$S$110,MATCH('Track Data'!S979,Acceleration!$K$4:$K$110,0)),'Track Data'!AF979)),'Track Data'!U979)</f>
        <v>4.8207797244267363</v>
      </c>
      <c r="AH979" s="16">
        <f>IF(AC979=0,IF(O979=2,INDEX(Acceleration!$R$4:$R$110,MATCH('Track Data'!S979,Acceleration!$K$4:$K$110,0)),IF('Track Data'!O979=1,INDEX(Acceleration!$Q$4:$Q$110,MATCH('Track Data'!S979,Acceleration!$K$4:$K$110,0)),'Track Data'!AG979)),'Track Data'!U979)</f>
        <v>4.8207797244267363</v>
      </c>
    </row>
    <row r="980" spans="2:34" x14ac:dyDescent="0.25">
      <c r="B980" s="16">
        <v>223.88300000000001</v>
      </c>
      <c r="C980" s="16">
        <v>8250</v>
      </c>
      <c r="D980" s="16">
        <v>977</v>
      </c>
      <c r="E980" s="113">
        <v>174</v>
      </c>
      <c r="F980" s="113">
        <v>164.4</v>
      </c>
      <c r="G980" s="113">
        <v>157.80000000000001</v>
      </c>
      <c r="H980" s="113">
        <f t="shared" si="110"/>
        <v>43.833333333333336</v>
      </c>
      <c r="I980" s="113">
        <v>11.1</v>
      </c>
      <c r="J980" s="113">
        <v>17.399999999999999</v>
      </c>
      <c r="K980" s="113">
        <v>23.7</v>
      </c>
      <c r="L980" s="185"/>
      <c r="M980" s="16">
        <v>977</v>
      </c>
      <c r="N980" s="16">
        <f t="shared" si="112"/>
        <v>2.2596511193402113E-2</v>
      </c>
      <c r="O980" s="16">
        <v>4</v>
      </c>
      <c r="P980" s="16">
        <f t="shared" si="108"/>
        <v>9.1833785004516724</v>
      </c>
      <c r="Q980" s="16">
        <f t="shared" si="113"/>
        <v>44.254619283528463</v>
      </c>
      <c r="R980" s="113">
        <f t="shared" si="109"/>
        <v>329.49099999999999</v>
      </c>
      <c r="S980" s="16">
        <f>IF(S979=15800,15800,ROUND((((Q980*60)/'Gearing Calculator'!$C$14)*'Track Data'!P980),-2))</f>
        <v>12300</v>
      </c>
      <c r="T980" s="16">
        <f t="shared" si="111"/>
        <v>4.8207797244267363</v>
      </c>
      <c r="U980" s="16">
        <f>IF(AC980=100,Braking!$AG$2354,IF(AC980=50,Braking!$AG$1179,IF(AC980=75,Braking!$AG$1767,0)))</f>
        <v>0</v>
      </c>
      <c r="V980" s="16">
        <f>0.5*'Gearing Calculator'!$C$15*'Gearing Calculator'!$C$20*'Gearing Calculator'!$W$20*('Track Data'!Q980^2)</f>
        <v>207.2846053481164</v>
      </c>
      <c r="W980" s="16">
        <f>('Gearing Calculator'!$U$9*'Track Data'!T980)+'Track Data'!V980</f>
        <v>1490.5761679905136</v>
      </c>
      <c r="X980" s="16">
        <f>('Gearing Calculator'!$U$9*9.81)*('Gearing Calculator'!$U$16/'Gearing Calculator'!$C$7)-(('Track Data'!W980)*('Gearing Calculator'!$U$17/'Gearing Calculator'!$C$7))</f>
        <v>588.69649143412948</v>
      </c>
      <c r="Y980" s="16">
        <f>('Gearing Calculator'!$U$9*9.81)*(('Gearing Calculator'!$C$7-'Gearing Calculator'!$U$16)/'Gearing Calculator'!$C$7)+(('Track Data'!W980)*('Gearing Calculator'!$U$17/'Gearing Calculator'!$C$7))</f>
        <v>2022.7255085658705</v>
      </c>
      <c r="Z980" s="16">
        <f>((X980*COS('Gearing Calculator'!$C$21))/'Gearing Calculator'!$C$22)/2</f>
        <v>18.200633626771282</v>
      </c>
      <c r="AA980" s="16">
        <f>Y980/'Gearing Calculator'!$C$24</f>
        <v>28.24403241436249</v>
      </c>
      <c r="AB980" s="16">
        <f t="shared" si="107"/>
        <v>226.56772424582334</v>
      </c>
      <c r="AC980" s="16">
        <v>0</v>
      </c>
      <c r="AD980" s="16">
        <v>0</v>
      </c>
      <c r="AE980" s="16">
        <v>977</v>
      </c>
      <c r="AF980" s="16">
        <f>IF(AC980=0,IF(O980=6,INDEX(Acceleration!$V$4:$V$110,MATCH('Track Data'!S980,Acceleration!$K$4:$K$110,0)),IF('Track Data'!O980=5,INDEX(Acceleration!$U$4:$U$110,MATCH('Track Data'!S980,Acceleration!$K$4:$K$110,0)),1)),U980)</f>
        <v>1</v>
      </c>
      <c r="AG980" s="16">
        <f>IF(AC980=0,IF(O980=4,INDEX(Acceleration!$T$4:$T$110,MATCH('Track Data'!S980,Acceleration!$K$4:$K$110,0)),IF('Track Data'!O980=3,INDEX(Acceleration!$S$4:$S$110,MATCH('Track Data'!S980,Acceleration!$K$4:$K$110,0)),'Track Data'!AF980)),'Track Data'!U980)</f>
        <v>4.8207797244267363</v>
      </c>
      <c r="AH980" s="16">
        <f>IF(AC980=0,IF(O980=2,INDEX(Acceleration!$R$4:$R$110,MATCH('Track Data'!S980,Acceleration!$K$4:$K$110,0)),IF('Track Data'!O980=1,INDEX(Acceleration!$Q$4:$Q$110,MATCH('Track Data'!S980,Acceleration!$K$4:$K$110,0)),'Track Data'!AG980)),'Track Data'!U980)</f>
        <v>4.8207797244267363</v>
      </c>
    </row>
    <row r="981" spans="2:34" x14ac:dyDescent="0.25">
      <c r="B981" s="16">
        <v>223.905</v>
      </c>
      <c r="C981" s="16">
        <v>8251</v>
      </c>
      <c r="D981" s="16">
        <v>978</v>
      </c>
      <c r="E981" s="113">
        <v>173</v>
      </c>
      <c r="F981" s="113">
        <v>164.6</v>
      </c>
      <c r="G981" s="113">
        <v>158.1</v>
      </c>
      <c r="H981" s="113">
        <f t="shared" si="110"/>
        <v>43.916666666666664</v>
      </c>
      <c r="I981" s="113">
        <v>12.3</v>
      </c>
      <c r="J981" s="113">
        <v>19.3</v>
      </c>
      <c r="K981" s="113">
        <v>22.9</v>
      </c>
      <c r="L981" s="185"/>
      <c r="M981" s="16">
        <v>978</v>
      </c>
      <c r="N981" s="16">
        <f t="shared" si="112"/>
        <v>2.2541094380767943E-2</v>
      </c>
      <c r="O981" s="16">
        <v>4</v>
      </c>
      <c r="P981" s="16">
        <f t="shared" si="108"/>
        <v>9.1833785004516724</v>
      </c>
      <c r="Q981" s="16">
        <f t="shared" si="113"/>
        <v>44.363418346413553</v>
      </c>
      <c r="R981" s="113">
        <f t="shared" si="109"/>
        <v>329.49099999999999</v>
      </c>
      <c r="S981" s="16">
        <f>IF(S980=15800,15800,ROUND((((Q981*60)/'Gearing Calculator'!$C$14)*'Track Data'!P981),-2))</f>
        <v>12400</v>
      </c>
      <c r="T981" s="16">
        <f t="shared" si="111"/>
        <v>4.820458184523007</v>
      </c>
      <c r="U981" s="16">
        <f>IF(AC981=100,Braking!$AG$2354,IF(AC981=50,Braking!$AG$1179,IF(AC981=75,Braking!$AG$1767,0)))</f>
        <v>0</v>
      </c>
      <c r="V981" s="16">
        <f>0.5*'Gearing Calculator'!$C$15*'Gearing Calculator'!$C$20*'Gearing Calculator'!$W$20*('Track Data'!Q981^2)</f>
        <v>208.30506800018301</v>
      </c>
      <c r="W981" s="16">
        <f>('Gearing Calculator'!$U$9*'Track Data'!T981)+'Track Data'!V981</f>
        <v>1491.5110367202074</v>
      </c>
      <c r="X981" s="16">
        <f>('Gearing Calculator'!$U$9*9.81)*('Gearing Calculator'!$U$16/'Gearing Calculator'!$C$7)-(('Track Data'!W981)*('Gearing Calculator'!$U$17/'Gearing Calculator'!$C$7))</f>
        <v>588.18692413077088</v>
      </c>
      <c r="Y981" s="16">
        <f>('Gearing Calculator'!$U$9*9.81)*(('Gearing Calculator'!$C$7-'Gearing Calculator'!$U$16)/'Gearing Calculator'!$C$7)+(('Track Data'!W981)*('Gearing Calculator'!$U$17/'Gearing Calculator'!$C$7))</f>
        <v>2023.2350758692291</v>
      </c>
      <c r="Z981" s="16">
        <f>((X981*COS('Gearing Calculator'!$C$21))/'Gearing Calculator'!$C$22)/2</f>
        <v>18.184879417375505</v>
      </c>
      <c r="AA981" s="16">
        <f>Y981/'Gearing Calculator'!$C$24</f>
        <v>28.25114768302965</v>
      </c>
      <c r="AB981" s="16">
        <f t="shared" si="107"/>
        <v>227.58690073827503</v>
      </c>
      <c r="AC981" s="16">
        <v>0</v>
      </c>
      <c r="AD981" s="16">
        <v>0</v>
      </c>
      <c r="AE981" s="16">
        <v>978</v>
      </c>
      <c r="AF981" s="16">
        <f>IF(AC981=0,IF(O981=6,INDEX(Acceleration!$V$4:$V$110,MATCH('Track Data'!S981,Acceleration!$K$4:$K$110,0)),IF('Track Data'!O981=5,INDEX(Acceleration!$U$4:$U$110,MATCH('Track Data'!S981,Acceleration!$K$4:$K$110,0)),1)),U981)</f>
        <v>1</v>
      </c>
      <c r="AG981" s="16">
        <f>IF(AC981=0,IF(O981=4,INDEX(Acceleration!$T$4:$T$110,MATCH('Track Data'!S981,Acceleration!$K$4:$K$110,0)),IF('Track Data'!O981=3,INDEX(Acceleration!$S$4:$S$110,MATCH('Track Data'!S981,Acceleration!$K$4:$K$110,0)),'Track Data'!AF981)),'Track Data'!U981)</f>
        <v>4.820458184523007</v>
      </c>
      <c r="AH981" s="16">
        <f>IF(AC981=0,IF(O981=2,INDEX(Acceleration!$R$4:$R$110,MATCH('Track Data'!S981,Acceleration!$K$4:$K$110,0)),IF('Track Data'!O981=1,INDEX(Acceleration!$Q$4:$Q$110,MATCH('Track Data'!S981,Acceleration!$K$4:$K$110,0)),'Track Data'!AG981)),'Track Data'!U981)</f>
        <v>4.820458184523007</v>
      </c>
    </row>
    <row r="982" spans="2:34" x14ac:dyDescent="0.25">
      <c r="B982" s="16">
        <v>223.92699999999999</v>
      </c>
      <c r="C982" s="16">
        <v>8252</v>
      </c>
      <c r="D982" s="16">
        <v>979</v>
      </c>
      <c r="E982" s="113">
        <v>173</v>
      </c>
      <c r="F982" s="113">
        <v>164.7</v>
      </c>
      <c r="G982" s="113">
        <v>158.4</v>
      </c>
      <c r="H982" s="113">
        <f t="shared" si="110"/>
        <v>44</v>
      </c>
      <c r="I982" s="113">
        <v>13</v>
      </c>
      <c r="J982" s="113">
        <v>18.440000000000001</v>
      </c>
      <c r="K982" s="113">
        <v>22.5</v>
      </c>
      <c r="L982" s="185"/>
      <c r="M982" s="16">
        <v>979</v>
      </c>
      <c r="N982" s="16">
        <f t="shared" si="112"/>
        <v>2.2486086955094315E-2</v>
      </c>
      <c r="O982" s="16">
        <v>4</v>
      </c>
      <c r="P982" s="16">
        <f t="shared" si="108"/>
        <v>9.1833785004516724</v>
      </c>
      <c r="Q982" s="16">
        <f t="shared" si="113"/>
        <v>44.471944006844907</v>
      </c>
      <c r="R982" s="113">
        <f t="shared" si="109"/>
        <v>329.49099999999999</v>
      </c>
      <c r="S982" s="16">
        <f>IF(S981=15800,15800,ROUND((((Q982*60)/'Gearing Calculator'!$C$14)*'Track Data'!P982),-2))</f>
        <v>12400</v>
      </c>
      <c r="T982" s="16">
        <f t="shared" si="111"/>
        <v>4.820458184523007</v>
      </c>
      <c r="U982" s="16">
        <f>IF(AC982=100,Braking!$AG$2354,IF(AC982=50,Braking!$AG$1179,IF(AC982=75,Braking!$AG$1767,0)))</f>
        <v>0</v>
      </c>
      <c r="V982" s="16">
        <f>0.5*'Gearing Calculator'!$C$15*'Gearing Calculator'!$C$20*'Gearing Calculator'!$W$20*('Track Data'!Q982^2)</f>
        <v>209.32546258868288</v>
      </c>
      <c r="W982" s="16">
        <f>('Gearing Calculator'!$U$9*'Track Data'!T982)+'Track Data'!V982</f>
        <v>1492.5314313087074</v>
      </c>
      <c r="X982" s="16">
        <f>('Gearing Calculator'!$U$9*9.81)*('Gearing Calculator'!$U$16/'Gearing Calculator'!$C$7)-(('Track Data'!W982)*('Gearing Calculator'!$U$17/'Gearing Calculator'!$C$7))</f>
        <v>587.6307393934826</v>
      </c>
      <c r="Y982" s="16">
        <f>('Gearing Calculator'!$U$9*9.81)*(('Gearing Calculator'!$C$7-'Gearing Calculator'!$U$16)/'Gearing Calculator'!$C$7)+(('Track Data'!W982)*('Gearing Calculator'!$U$17/'Gearing Calculator'!$C$7))</f>
        <v>2023.7912606065174</v>
      </c>
      <c r="Z982" s="16">
        <f>((X982*COS('Gearing Calculator'!$C$21))/'Gearing Calculator'!$C$22)/2</f>
        <v>18.167683944361006</v>
      </c>
      <c r="AA982" s="16">
        <f>Y982/'Gearing Calculator'!$C$24</f>
        <v>28.258913887431493</v>
      </c>
      <c r="AB982" s="16">
        <f t="shared" si="107"/>
        <v>228.6072953267749</v>
      </c>
      <c r="AC982" s="16">
        <v>0</v>
      </c>
      <c r="AD982" s="16">
        <v>0</v>
      </c>
      <c r="AE982" s="16">
        <v>979</v>
      </c>
      <c r="AF982" s="16">
        <f>IF(AC982=0,IF(O982=6,INDEX(Acceleration!$V$4:$V$110,MATCH('Track Data'!S982,Acceleration!$K$4:$K$110,0)),IF('Track Data'!O982=5,INDEX(Acceleration!$U$4:$U$110,MATCH('Track Data'!S982,Acceleration!$K$4:$K$110,0)),1)),U982)</f>
        <v>1</v>
      </c>
      <c r="AG982" s="16">
        <f>IF(AC982=0,IF(O982=4,INDEX(Acceleration!$T$4:$T$110,MATCH('Track Data'!S982,Acceleration!$K$4:$K$110,0)),IF('Track Data'!O982=3,INDEX(Acceleration!$S$4:$S$110,MATCH('Track Data'!S982,Acceleration!$K$4:$K$110,0)),'Track Data'!AF982)),'Track Data'!U982)</f>
        <v>4.820458184523007</v>
      </c>
      <c r="AH982" s="16">
        <f>IF(AC982=0,IF(O982=2,INDEX(Acceleration!$R$4:$R$110,MATCH('Track Data'!S982,Acceleration!$K$4:$K$110,0)),IF('Track Data'!O982=1,INDEX(Acceleration!$Q$4:$Q$110,MATCH('Track Data'!S982,Acceleration!$K$4:$K$110,0)),'Track Data'!AG982)),'Track Data'!U982)</f>
        <v>4.820458184523007</v>
      </c>
    </row>
    <row r="983" spans="2:34" x14ac:dyDescent="0.25">
      <c r="B983" s="16">
        <v>223.94900000000001</v>
      </c>
      <c r="C983" s="16">
        <v>8253</v>
      </c>
      <c r="D983" s="16">
        <v>980</v>
      </c>
      <c r="E983" s="113">
        <v>174</v>
      </c>
      <c r="F983" s="113">
        <v>164.5</v>
      </c>
      <c r="G983" s="113">
        <v>158.69999999999999</v>
      </c>
      <c r="H983" s="113">
        <f t="shared" si="110"/>
        <v>44.083333333333329</v>
      </c>
      <c r="I983" s="113">
        <v>12.9</v>
      </c>
      <c r="J983" s="113">
        <v>18.079999999999998</v>
      </c>
      <c r="K983" s="113">
        <v>23.5</v>
      </c>
      <c r="L983" s="185"/>
      <c r="M983" s="16">
        <v>980</v>
      </c>
      <c r="N983" s="16">
        <f t="shared" si="112"/>
        <v>2.2431480280636306E-2</v>
      </c>
      <c r="O983" s="16">
        <v>4</v>
      </c>
      <c r="P983" s="16">
        <f t="shared" si="108"/>
        <v>9.1833785004516724</v>
      </c>
      <c r="Q983" s="16">
        <f t="shared" si="113"/>
        <v>44.580205474145075</v>
      </c>
      <c r="R983" s="113">
        <f t="shared" si="109"/>
        <v>329.49099999999999</v>
      </c>
      <c r="S983" s="16">
        <f>IF(S982=15800,15800,ROUND((((Q983*60)/'Gearing Calculator'!$C$14)*'Track Data'!P983),-2))</f>
        <v>12400</v>
      </c>
      <c r="T983" s="16">
        <f t="shared" si="111"/>
        <v>4.820458184523007</v>
      </c>
      <c r="U983" s="16">
        <f>IF(AC983=100,Braking!$AG$2354,IF(AC983=50,Braking!$AG$1179,IF(AC983=75,Braking!$AG$1767,0)))</f>
        <v>0</v>
      </c>
      <c r="V983" s="16">
        <f>0.5*'Gearing Calculator'!$C$15*'Gearing Calculator'!$C$20*'Gearing Calculator'!$W$20*('Track Data'!Q983^2)</f>
        <v>210.34585717718267</v>
      </c>
      <c r="W983" s="16">
        <f>('Gearing Calculator'!$U$9*'Track Data'!T983)+'Track Data'!V983</f>
        <v>1493.551825897207</v>
      </c>
      <c r="X983" s="16">
        <f>('Gearing Calculator'!$U$9*9.81)*('Gearing Calculator'!$U$16/'Gearing Calculator'!$C$7)-(('Track Data'!W983)*('Gearing Calculator'!$U$17/'Gearing Calculator'!$C$7))</f>
        <v>587.07455465619455</v>
      </c>
      <c r="Y983" s="16">
        <f>('Gearing Calculator'!$U$9*9.81)*(('Gearing Calculator'!$C$7-'Gearing Calculator'!$U$16)/'Gearing Calculator'!$C$7)+(('Track Data'!W983)*('Gearing Calculator'!$U$17/'Gearing Calculator'!$C$7))</f>
        <v>2024.3474453438055</v>
      </c>
      <c r="Z983" s="16">
        <f>((X983*COS('Gearing Calculator'!$C$21))/'Gearing Calculator'!$C$22)/2</f>
        <v>18.150488471346513</v>
      </c>
      <c r="AA983" s="16">
        <f>Y983/'Gearing Calculator'!$C$24</f>
        <v>28.266680091833333</v>
      </c>
      <c r="AB983" s="16">
        <f t="shared" si="107"/>
        <v>229.62768991527469</v>
      </c>
      <c r="AC983" s="16">
        <v>0</v>
      </c>
      <c r="AD983" s="16">
        <v>0</v>
      </c>
      <c r="AE983" s="16">
        <v>980</v>
      </c>
      <c r="AF983" s="16">
        <f>IF(AC983=0,IF(O983=6,INDEX(Acceleration!$V$4:$V$110,MATCH('Track Data'!S983,Acceleration!$K$4:$K$110,0)),IF('Track Data'!O983=5,INDEX(Acceleration!$U$4:$U$110,MATCH('Track Data'!S983,Acceleration!$K$4:$K$110,0)),1)),U983)</f>
        <v>1</v>
      </c>
      <c r="AG983" s="16">
        <f>IF(AC983=0,IF(O983=4,INDEX(Acceleration!$T$4:$T$110,MATCH('Track Data'!S983,Acceleration!$K$4:$K$110,0)),IF('Track Data'!O983=3,INDEX(Acceleration!$S$4:$S$110,MATCH('Track Data'!S983,Acceleration!$K$4:$K$110,0)),'Track Data'!AF983)),'Track Data'!U983)</f>
        <v>4.820458184523007</v>
      </c>
      <c r="AH983" s="16">
        <f>IF(AC983=0,IF(O983=2,INDEX(Acceleration!$R$4:$R$110,MATCH('Track Data'!S983,Acceleration!$K$4:$K$110,0)),IF('Track Data'!O983=1,INDEX(Acceleration!$Q$4:$Q$110,MATCH('Track Data'!S983,Acceleration!$K$4:$K$110,0)),'Track Data'!AG983)),'Track Data'!U983)</f>
        <v>4.820458184523007</v>
      </c>
    </row>
    <row r="984" spans="2:34" x14ac:dyDescent="0.25">
      <c r="B984" s="16">
        <v>223.971</v>
      </c>
      <c r="C984" s="16">
        <v>8254</v>
      </c>
      <c r="D984" s="16">
        <v>981</v>
      </c>
      <c r="E984" s="113">
        <v>174</v>
      </c>
      <c r="F984" s="113">
        <v>164.8</v>
      </c>
      <c r="G984" s="113">
        <v>159.1</v>
      </c>
      <c r="H984" s="113">
        <f t="shared" si="110"/>
        <v>44.194444444444443</v>
      </c>
      <c r="I984" s="113">
        <v>11.7</v>
      </c>
      <c r="J984" s="113">
        <v>18.190000000000001</v>
      </c>
      <c r="K984" s="113">
        <v>24.9</v>
      </c>
      <c r="L984" s="185"/>
      <c r="M984" s="16">
        <v>981</v>
      </c>
      <c r="N984" s="16">
        <f t="shared" si="112"/>
        <v>2.2377269514852832E-2</v>
      </c>
      <c r="O984" s="16">
        <v>4</v>
      </c>
      <c r="P984" s="16">
        <f t="shared" si="108"/>
        <v>9.1833785004516724</v>
      </c>
      <c r="Q984" s="16">
        <f t="shared" si="113"/>
        <v>44.688204668413796</v>
      </c>
      <c r="R984" s="113">
        <f t="shared" si="109"/>
        <v>329.49099999999999</v>
      </c>
      <c r="S984" s="16">
        <f>IF(S983=15800,15800,ROUND((((Q984*60)/'Gearing Calculator'!$C$14)*'Track Data'!P984),-2))</f>
        <v>12400</v>
      </c>
      <c r="T984" s="16">
        <f t="shared" si="111"/>
        <v>4.820458184523007</v>
      </c>
      <c r="U984" s="16">
        <f>IF(AC984=100,Braking!$AG$2354,IF(AC984=50,Braking!$AG$1179,IF(AC984=75,Braking!$AG$1767,0)))</f>
        <v>0</v>
      </c>
      <c r="V984" s="16">
        <f>0.5*'Gearing Calculator'!$C$15*'Gearing Calculator'!$C$20*'Gearing Calculator'!$W$20*('Track Data'!Q984^2)</f>
        <v>211.36625176568251</v>
      </c>
      <c r="W984" s="16">
        <f>('Gearing Calculator'!$U$9*'Track Data'!T984)+'Track Data'!V984</f>
        <v>1494.572220485707</v>
      </c>
      <c r="X984" s="16">
        <f>('Gearing Calculator'!$U$9*9.81)*('Gearing Calculator'!$U$16/'Gearing Calculator'!$C$7)-(('Track Data'!W984)*('Gearing Calculator'!$U$17/'Gearing Calculator'!$C$7))</f>
        <v>586.51836991890639</v>
      </c>
      <c r="Y984" s="16">
        <f>('Gearing Calculator'!$U$9*9.81)*(('Gearing Calculator'!$C$7-'Gearing Calculator'!$U$16)/'Gearing Calculator'!$C$7)+(('Track Data'!W984)*('Gearing Calculator'!$U$17/'Gearing Calculator'!$C$7))</f>
        <v>2024.9036300810935</v>
      </c>
      <c r="Z984" s="16">
        <f>((X984*COS('Gearing Calculator'!$C$21))/'Gearing Calculator'!$C$22)/2</f>
        <v>18.133292998332017</v>
      </c>
      <c r="AA984" s="16">
        <f>Y984/'Gearing Calculator'!$C$24</f>
        <v>28.274446296235173</v>
      </c>
      <c r="AB984" s="16">
        <f t="shared" si="107"/>
        <v>230.64808450377453</v>
      </c>
      <c r="AC984" s="16">
        <v>0</v>
      </c>
      <c r="AD984" s="16">
        <v>0</v>
      </c>
      <c r="AE984" s="16">
        <v>981</v>
      </c>
      <c r="AF984" s="16">
        <f>IF(AC984=0,IF(O984=6,INDEX(Acceleration!$V$4:$V$110,MATCH('Track Data'!S984,Acceleration!$K$4:$K$110,0)),IF('Track Data'!O984=5,INDEX(Acceleration!$U$4:$U$110,MATCH('Track Data'!S984,Acceleration!$K$4:$K$110,0)),1)),U984)</f>
        <v>1</v>
      </c>
      <c r="AG984" s="16">
        <f>IF(AC984=0,IF(O984=4,INDEX(Acceleration!$T$4:$T$110,MATCH('Track Data'!S984,Acceleration!$K$4:$K$110,0)),IF('Track Data'!O984=3,INDEX(Acceleration!$S$4:$S$110,MATCH('Track Data'!S984,Acceleration!$K$4:$K$110,0)),'Track Data'!AF984)),'Track Data'!U984)</f>
        <v>4.820458184523007</v>
      </c>
      <c r="AH984" s="16">
        <f>IF(AC984=0,IF(O984=2,INDEX(Acceleration!$R$4:$R$110,MATCH('Track Data'!S984,Acceleration!$K$4:$K$110,0)),IF('Track Data'!O984=1,INDEX(Acceleration!$Q$4:$Q$110,MATCH('Track Data'!S984,Acceleration!$K$4:$K$110,0)),'Track Data'!AG984)),'Track Data'!U984)</f>
        <v>4.820458184523007</v>
      </c>
    </row>
    <row r="985" spans="2:34" x14ac:dyDescent="0.25">
      <c r="B985" s="16">
        <v>223.99299999999999</v>
      </c>
      <c r="C985" s="16">
        <v>8255</v>
      </c>
      <c r="D985" s="16">
        <v>982</v>
      </c>
      <c r="E985" s="113">
        <v>174</v>
      </c>
      <c r="F985" s="113">
        <v>165.2</v>
      </c>
      <c r="G985" s="113">
        <v>159.5</v>
      </c>
      <c r="H985" s="113">
        <f t="shared" si="110"/>
        <v>44.305555555555557</v>
      </c>
      <c r="I985" s="113">
        <v>11.4</v>
      </c>
      <c r="J985" s="113">
        <v>15.1</v>
      </c>
      <c r="K985" s="113">
        <v>25.8</v>
      </c>
      <c r="L985" s="185"/>
      <c r="M985" s="16">
        <v>982</v>
      </c>
      <c r="N985" s="16">
        <f t="shared" si="112"/>
        <v>2.2323449896730678E-2</v>
      </c>
      <c r="O985" s="16">
        <v>4</v>
      </c>
      <c r="P985" s="16">
        <f t="shared" si="108"/>
        <v>9.1833785004516724</v>
      </c>
      <c r="Q985" s="16">
        <f t="shared" si="113"/>
        <v>44.795943486604749</v>
      </c>
      <c r="R985" s="113">
        <f t="shared" si="109"/>
        <v>329.49099999999999</v>
      </c>
      <c r="S985" s="16">
        <f>IF(S984=15800,15800,ROUND((((Q985*60)/'Gearing Calculator'!$C$14)*'Track Data'!P985),-2))</f>
        <v>12500</v>
      </c>
      <c r="T985" s="16">
        <f t="shared" si="111"/>
        <v>4.8199451432580522</v>
      </c>
      <c r="U985" s="16">
        <f>IF(AC985=100,Braking!$AG$2354,IF(AC985=50,Braking!$AG$1179,IF(AC985=75,Braking!$AG$1767,0)))</f>
        <v>0</v>
      </c>
      <c r="V985" s="16">
        <f>0.5*'Gearing Calculator'!$C$15*'Gearing Calculator'!$C$20*'Gearing Calculator'!$W$20*('Track Data'!Q985^2)</f>
        <v>212.38664635418232</v>
      </c>
      <c r="W985" s="16">
        <f>('Gearing Calculator'!$U$9*'Track Data'!T985)+'Track Data'!V985</f>
        <v>1495.4560434894759</v>
      </c>
      <c r="X985" s="16">
        <f>('Gearing Calculator'!$U$9*9.81)*('Gearing Calculator'!$U$16/'Gearing Calculator'!$C$7)-(('Track Data'!W985)*('Gearing Calculator'!$U$17/'Gearing Calculator'!$C$7))</f>
        <v>586.03662602227996</v>
      </c>
      <c r="Y985" s="16">
        <f>('Gearing Calculator'!$U$9*9.81)*(('Gearing Calculator'!$C$7-'Gearing Calculator'!$U$16)/'Gearing Calculator'!$C$7)+(('Track Data'!W985)*('Gearing Calculator'!$U$17/'Gearing Calculator'!$C$7))</f>
        <v>2025.3853739777201</v>
      </c>
      <c r="Z985" s="16">
        <f>((X985*COS('Gearing Calculator'!$C$21))/'Gearing Calculator'!$C$22)/2</f>
        <v>18.118399000674462</v>
      </c>
      <c r="AA985" s="16">
        <f>Y985/'Gearing Calculator'!$C$24</f>
        <v>28.281173056823359</v>
      </c>
      <c r="AB985" s="16">
        <f t="shared" si="107"/>
        <v>231.66642692721453</v>
      </c>
      <c r="AC985" s="16">
        <v>0</v>
      </c>
      <c r="AD985" s="16">
        <v>0</v>
      </c>
      <c r="AE985" s="16">
        <v>982</v>
      </c>
      <c r="AF985" s="16">
        <f>IF(AC985=0,IF(O985=6,INDEX(Acceleration!$V$4:$V$110,MATCH('Track Data'!S985,Acceleration!$K$4:$K$110,0)),IF('Track Data'!O985=5,INDEX(Acceleration!$U$4:$U$110,MATCH('Track Data'!S985,Acceleration!$K$4:$K$110,0)),1)),U985)</f>
        <v>1</v>
      </c>
      <c r="AG985" s="16">
        <f>IF(AC985=0,IF(O985=4,INDEX(Acceleration!$T$4:$T$110,MATCH('Track Data'!S985,Acceleration!$K$4:$K$110,0)),IF('Track Data'!O985=3,INDEX(Acceleration!$S$4:$S$110,MATCH('Track Data'!S985,Acceleration!$K$4:$K$110,0)),'Track Data'!AF985)),'Track Data'!U985)</f>
        <v>4.8199451432580522</v>
      </c>
      <c r="AH985" s="16">
        <f>IF(AC985=0,IF(O985=2,INDEX(Acceleration!$R$4:$R$110,MATCH('Track Data'!S985,Acceleration!$K$4:$K$110,0)),IF('Track Data'!O985=1,INDEX(Acceleration!$Q$4:$Q$110,MATCH('Track Data'!S985,Acceleration!$K$4:$K$110,0)),'Track Data'!AG985)),'Track Data'!U985)</f>
        <v>4.8199451432580522</v>
      </c>
    </row>
    <row r="986" spans="2:34" x14ac:dyDescent="0.25">
      <c r="B986" s="16">
        <v>224.01400000000001</v>
      </c>
      <c r="C986" s="16">
        <v>8256</v>
      </c>
      <c r="D986" s="16">
        <v>983</v>
      </c>
      <c r="E986" s="113">
        <v>174</v>
      </c>
      <c r="F986" s="113">
        <v>165.4</v>
      </c>
      <c r="G986" s="113">
        <v>159.80000000000001</v>
      </c>
      <c r="H986" s="113">
        <f t="shared" si="110"/>
        <v>44.388888888888893</v>
      </c>
      <c r="I986" s="113">
        <v>9.1</v>
      </c>
      <c r="J986" s="113">
        <v>14.97</v>
      </c>
      <c r="K986" s="113">
        <v>26.5</v>
      </c>
      <c r="L986" s="185"/>
      <c r="M986" s="16">
        <v>983</v>
      </c>
      <c r="N986" s="16">
        <f t="shared" si="112"/>
        <v>2.2270022411517782E-2</v>
      </c>
      <c r="O986" s="16">
        <v>4</v>
      </c>
      <c r="P986" s="16">
        <f t="shared" si="108"/>
        <v>9.1833785004516724</v>
      </c>
      <c r="Q986" s="16">
        <f t="shared" si="113"/>
        <v>44.903412377475306</v>
      </c>
      <c r="R986" s="113">
        <f t="shared" si="109"/>
        <v>329.49099999999999</v>
      </c>
      <c r="S986" s="16">
        <f>IF(S985=15800,15800,ROUND((((Q986*60)/'Gearing Calculator'!$C$14)*'Track Data'!P986),-2))</f>
        <v>12500</v>
      </c>
      <c r="T986" s="16">
        <f t="shared" si="111"/>
        <v>4.8199451432580522</v>
      </c>
      <c r="U986" s="16">
        <f>IF(AC986=100,Braking!$AG$2354,IF(AC986=50,Braking!$AG$1179,IF(AC986=75,Braking!$AG$1767,0)))</f>
        <v>0</v>
      </c>
      <c r="V986" s="16">
        <f>0.5*'Gearing Calculator'!$C$15*'Gearing Calculator'!$C$20*'Gearing Calculator'!$W$20*('Track Data'!Q986^2)</f>
        <v>213.40693234210718</v>
      </c>
      <c r="W986" s="16">
        <f>('Gearing Calculator'!$U$9*'Track Data'!T986)+'Track Data'!V986</f>
        <v>1496.4763294774007</v>
      </c>
      <c r="X986" s="16">
        <f>('Gearing Calculator'!$U$9*9.81)*('Gearing Calculator'!$U$16/'Gearing Calculator'!$C$7)-(('Track Data'!W986)*('Gearing Calculator'!$U$17/'Gearing Calculator'!$C$7))</f>
        <v>585.48050047972197</v>
      </c>
      <c r="Y986" s="16">
        <f>('Gearing Calculator'!$U$9*9.81)*(('Gearing Calculator'!$C$7-'Gearing Calculator'!$U$16)/'Gearing Calculator'!$C$7)+(('Track Data'!W986)*('Gearing Calculator'!$U$17/'Gearing Calculator'!$C$7))</f>
        <v>2025.9414995202781</v>
      </c>
      <c r="Z986" s="16">
        <f>((X986*COS('Gearing Calculator'!$C$21))/'Gearing Calculator'!$C$22)/2</f>
        <v>18.101205357773807</v>
      </c>
      <c r="AA986" s="16">
        <f>Y986/'Gearing Calculator'!$C$24</f>
        <v>28.288938434668225</v>
      </c>
      <c r="AB986" s="16">
        <f t="shared" si="107"/>
        <v>232.6867129151394</v>
      </c>
      <c r="AC986" s="16">
        <v>0</v>
      </c>
      <c r="AD986" s="16">
        <v>0</v>
      </c>
      <c r="AE986" s="16">
        <v>983</v>
      </c>
      <c r="AF986" s="16">
        <f>IF(AC986=0,IF(O986=6,INDEX(Acceleration!$V$4:$V$110,MATCH('Track Data'!S986,Acceleration!$K$4:$K$110,0)),IF('Track Data'!O986=5,INDEX(Acceleration!$U$4:$U$110,MATCH('Track Data'!S986,Acceleration!$K$4:$K$110,0)),1)),U986)</f>
        <v>1</v>
      </c>
      <c r="AG986" s="16">
        <f>IF(AC986=0,IF(O986=4,INDEX(Acceleration!$T$4:$T$110,MATCH('Track Data'!S986,Acceleration!$K$4:$K$110,0)),IF('Track Data'!O986=3,INDEX(Acceleration!$S$4:$S$110,MATCH('Track Data'!S986,Acceleration!$K$4:$K$110,0)),'Track Data'!AF986)),'Track Data'!U986)</f>
        <v>4.8199451432580522</v>
      </c>
      <c r="AH986" s="16">
        <f>IF(AC986=0,IF(O986=2,INDEX(Acceleration!$R$4:$R$110,MATCH('Track Data'!S986,Acceleration!$K$4:$K$110,0)),IF('Track Data'!O986=1,INDEX(Acceleration!$Q$4:$Q$110,MATCH('Track Data'!S986,Acceleration!$K$4:$K$110,0)),'Track Data'!AG986)),'Track Data'!U986)</f>
        <v>4.8199451432580522</v>
      </c>
    </row>
    <row r="987" spans="2:34" x14ac:dyDescent="0.25">
      <c r="B987" s="16">
        <v>224.036</v>
      </c>
      <c r="C987" s="16">
        <v>8257</v>
      </c>
      <c r="D987" s="16">
        <v>984</v>
      </c>
      <c r="E987" s="113">
        <v>175</v>
      </c>
      <c r="F987" s="113">
        <v>165.5</v>
      </c>
      <c r="G987" s="113">
        <v>160.1</v>
      </c>
      <c r="H987" s="113">
        <f t="shared" si="110"/>
        <v>44.472222222222221</v>
      </c>
      <c r="I987" s="113">
        <v>6.4</v>
      </c>
      <c r="J987" s="113">
        <v>17.5</v>
      </c>
      <c r="K987" s="113">
        <v>27</v>
      </c>
      <c r="L987" s="185"/>
      <c r="M987" s="16">
        <v>984</v>
      </c>
      <c r="N987" s="16">
        <f t="shared" si="112"/>
        <v>2.2216976708749524E-2</v>
      </c>
      <c r="O987" s="16">
        <v>4</v>
      </c>
      <c r="P987" s="16">
        <f t="shared" si="108"/>
        <v>9.1833785004516724</v>
      </c>
      <c r="Q987" s="16">
        <f t="shared" si="113"/>
        <v>45.010624672716091</v>
      </c>
      <c r="R987" s="113">
        <f t="shared" si="109"/>
        <v>329.49099999999999</v>
      </c>
      <c r="S987" s="16">
        <f>IF(S986=15800,15800,ROUND((((Q987*60)/'Gearing Calculator'!$C$14)*'Track Data'!P987),-2))</f>
        <v>12500</v>
      </c>
      <c r="T987" s="16">
        <f t="shared" si="111"/>
        <v>4.8199451432580522</v>
      </c>
      <c r="U987" s="16">
        <f>IF(AC987=100,Braking!$AG$2354,IF(AC987=50,Braking!$AG$1179,IF(AC987=75,Braking!$AG$1767,0)))</f>
        <v>0</v>
      </c>
      <c r="V987" s="16">
        <f>0.5*'Gearing Calculator'!$C$15*'Gearing Calculator'!$C$20*'Gearing Calculator'!$W$20*('Track Data'!Q987^2)</f>
        <v>214.42721833003205</v>
      </c>
      <c r="W987" s="16">
        <f>('Gearing Calculator'!$U$9*'Track Data'!T987)+'Track Data'!V987</f>
        <v>1497.4966154653255</v>
      </c>
      <c r="X987" s="16">
        <f>('Gearing Calculator'!$U$9*9.81)*('Gearing Calculator'!$U$16/'Gearing Calculator'!$C$7)-(('Track Data'!W987)*('Gearing Calculator'!$U$17/'Gearing Calculator'!$C$7))</f>
        <v>584.92437493716398</v>
      </c>
      <c r="Y987" s="16">
        <f>('Gearing Calculator'!$U$9*9.81)*(('Gearing Calculator'!$C$7-'Gearing Calculator'!$U$16)/'Gearing Calculator'!$C$7)+(('Track Data'!W987)*('Gearing Calculator'!$U$17/'Gearing Calculator'!$C$7))</f>
        <v>2026.4976250628361</v>
      </c>
      <c r="Z987" s="16">
        <f>((X987*COS('Gearing Calculator'!$C$21))/'Gearing Calculator'!$C$22)/2</f>
        <v>18.084011714873153</v>
      </c>
      <c r="AA987" s="16">
        <f>Y987/'Gearing Calculator'!$C$24</f>
        <v>28.296703812513091</v>
      </c>
      <c r="AB987" s="16">
        <f t="shared" si="107"/>
        <v>233.70699890306426</v>
      </c>
      <c r="AC987" s="16">
        <v>0</v>
      </c>
      <c r="AD987" s="16">
        <v>0</v>
      </c>
      <c r="AE987" s="16">
        <v>984</v>
      </c>
      <c r="AF987" s="16">
        <f>IF(AC987=0,IF(O987=6,INDEX(Acceleration!$V$4:$V$110,MATCH('Track Data'!S987,Acceleration!$K$4:$K$110,0)),IF('Track Data'!O987=5,INDEX(Acceleration!$U$4:$U$110,MATCH('Track Data'!S987,Acceleration!$K$4:$K$110,0)),1)),U987)</f>
        <v>1</v>
      </c>
      <c r="AG987" s="16">
        <f>IF(AC987=0,IF(O987=4,INDEX(Acceleration!$T$4:$T$110,MATCH('Track Data'!S987,Acceleration!$K$4:$K$110,0)),IF('Track Data'!O987=3,INDEX(Acceleration!$S$4:$S$110,MATCH('Track Data'!S987,Acceleration!$K$4:$K$110,0)),'Track Data'!AF987)),'Track Data'!U987)</f>
        <v>4.8199451432580522</v>
      </c>
      <c r="AH987" s="16">
        <f>IF(AC987=0,IF(O987=2,INDEX(Acceleration!$R$4:$R$110,MATCH('Track Data'!S987,Acceleration!$K$4:$K$110,0)),IF('Track Data'!O987=1,INDEX(Acceleration!$Q$4:$Q$110,MATCH('Track Data'!S987,Acceleration!$K$4:$K$110,0)),'Track Data'!AG987)),'Track Data'!U987)</f>
        <v>4.8199451432580522</v>
      </c>
    </row>
    <row r="988" spans="2:34" x14ac:dyDescent="0.25">
      <c r="B988" s="16">
        <v>224.05799999999999</v>
      </c>
      <c r="C988" s="16">
        <v>8258</v>
      </c>
      <c r="D988" s="16">
        <v>985</v>
      </c>
      <c r="E988" s="113">
        <v>175</v>
      </c>
      <c r="F988" s="113">
        <v>165.7</v>
      </c>
      <c r="G988" s="113">
        <v>160.4</v>
      </c>
      <c r="H988" s="113">
        <f t="shared" si="110"/>
        <v>44.555555555555557</v>
      </c>
      <c r="I988" s="113">
        <v>5.2</v>
      </c>
      <c r="J988" s="113">
        <v>16.11</v>
      </c>
      <c r="K988" s="113">
        <v>27.5</v>
      </c>
      <c r="L988" s="185"/>
      <c r="M988" s="16">
        <v>985</v>
      </c>
      <c r="N988" s="16">
        <f t="shared" si="112"/>
        <v>2.2164308263074355E-2</v>
      </c>
      <c r="O988" s="16">
        <v>4</v>
      </c>
      <c r="P988" s="16">
        <f t="shared" si="108"/>
        <v>9.1833785004516724</v>
      </c>
      <c r="Q988" s="16">
        <f t="shared" si="113"/>
        <v>45.117582201561227</v>
      </c>
      <c r="R988" s="113">
        <f t="shared" si="109"/>
        <v>329.49099999999999</v>
      </c>
      <c r="S988" s="16">
        <f>IF(S987=15800,15800,ROUND((((Q988*60)/'Gearing Calculator'!$C$14)*'Track Data'!P988),-2))</f>
        <v>12600</v>
      </c>
      <c r="T988" s="16">
        <f t="shared" si="111"/>
        <v>4.8192435869194066</v>
      </c>
      <c r="U988" s="16">
        <f>IF(AC988=100,Braking!$AG$2354,IF(AC988=50,Braking!$AG$1179,IF(AC988=75,Braking!$AG$1767,0)))</f>
        <v>0</v>
      </c>
      <c r="V988" s="16">
        <f>0.5*'Gearing Calculator'!$C$15*'Gearing Calculator'!$C$20*'Gearing Calculator'!$W$20*('Track Data'!Q988^2)</f>
        <v>215.44750431795688</v>
      </c>
      <c r="W988" s="16">
        <f>('Gearing Calculator'!$U$9*'Track Data'!T988)+'Track Data'!V988</f>
        <v>1498.3301471559028</v>
      </c>
      <c r="X988" s="16">
        <f>('Gearing Calculator'!$U$9*9.81)*('Gearing Calculator'!$U$16/'Gearing Calculator'!$C$7)-(('Track Data'!W988)*('Gearing Calculator'!$U$17/'Gearing Calculator'!$C$7))</f>
        <v>584.47004324080854</v>
      </c>
      <c r="Y988" s="16">
        <f>('Gearing Calculator'!$U$9*9.81)*(('Gearing Calculator'!$C$7-'Gearing Calculator'!$U$16)/'Gearing Calculator'!$C$7)+(('Track Data'!W988)*('Gearing Calculator'!$U$17/'Gearing Calculator'!$C$7))</f>
        <v>2026.9519567591915</v>
      </c>
      <c r="Z988" s="16">
        <f>((X988*COS('Gearing Calculator'!$C$21))/'Gearing Calculator'!$C$22)/2</f>
        <v>18.069965215750575</v>
      </c>
      <c r="AA988" s="16">
        <f>Y988/'Gearing Calculator'!$C$24</f>
        <v>28.303047806843708</v>
      </c>
      <c r="AB988" s="16">
        <f t="shared" si="107"/>
        <v>234.72447866563451</v>
      </c>
      <c r="AC988" s="16">
        <v>0</v>
      </c>
      <c r="AD988" s="16">
        <v>0</v>
      </c>
      <c r="AE988" s="16">
        <v>985</v>
      </c>
      <c r="AF988" s="16">
        <f>IF(AC988=0,IF(O988=6,INDEX(Acceleration!$V$4:$V$110,MATCH('Track Data'!S988,Acceleration!$K$4:$K$110,0)),IF('Track Data'!O988=5,INDEX(Acceleration!$U$4:$U$110,MATCH('Track Data'!S988,Acceleration!$K$4:$K$110,0)),1)),U988)</f>
        <v>1</v>
      </c>
      <c r="AG988" s="16">
        <f>IF(AC988=0,IF(O988=4,INDEX(Acceleration!$T$4:$T$110,MATCH('Track Data'!S988,Acceleration!$K$4:$K$110,0)),IF('Track Data'!O988=3,INDEX(Acceleration!$S$4:$S$110,MATCH('Track Data'!S988,Acceleration!$K$4:$K$110,0)),'Track Data'!AF988)),'Track Data'!U988)</f>
        <v>4.8192435869194066</v>
      </c>
      <c r="AH988" s="16">
        <f>IF(AC988=0,IF(O988=2,INDEX(Acceleration!$R$4:$R$110,MATCH('Track Data'!S988,Acceleration!$K$4:$K$110,0)),IF('Track Data'!O988=1,INDEX(Acceleration!$Q$4:$Q$110,MATCH('Track Data'!S988,Acceleration!$K$4:$K$110,0)),'Track Data'!AG988)),'Track Data'!U988)</f>
        <v>4.8192435869194066</v>
      </c>
    </row>
    <row r="989" spans="2:34" x14ac:dyDescent="0.25">
      <c r="B989" s="16">
        <v>224.07900000000001</v>
      </c>
      <c r="C989" s="16">
        <v>8259</v>
      </c>
      <c r="D989" s="16">
        <v>986</v>
      </c>
      <c r="E989" s="113">
        <v>175</v>
      </c>
      <c r="F989" s="113">
        <v>166</v>
      </c>
      <c r="G989" s="113">
        <v>160.80000000000001</v>
      </c>
      <c r="H989" s="113">
        <f t="shared" si="110"/>
        <v>44.666666666666671</v>
      </c>
      <c r="I989" s="113">
        <v>5</v>
      </c>
      <c r="J989" s="113">
        <v>13.33</v>
      </c>
      <c r="K989" s="113">
        <v>28</v>
      </c>
      <c r="L989" s="185"/>
      <c r="M989" s="16">
        <v>986</v>
      </c>
      <c r="N989" s="16">
        <f t="shared" si="112"/>
        <v>2.2112020208742911E-2</v>
      </c>
      <c r="O989" s="16">
        <v>4</v>
      </c>
      <c r="P989" s="16">
        <f t="shared" si="108"/>
        <v>9.1833785004516724</v>
      </c>
      <c r="Q989" s="16">
        <f t="shared" si="113"/>
        <v>45.224271258788384</v>
      </c>
      <c r="R989" s="113">
        <f t="shared" si="109"/>
        <v>329.49099999999999</v>
      </c>
      <c r="S989" s="16">
        <f>IF(S988=15800,15800,ROUND((((Q989*60)/'Gearing Calculator'!$C$14)*'Track Data'!P989),-2))</f>
        <v>12600</v>
      </c>
      <c r="T989" s="16">
        <f t="shared" si="111"/>
        <v>4.8192435869194066</v>
      </c>
      <c r="U989" s="16">
        <f>IF(AC989=100,Braking!$AG$2354,IF(AC989=50,Braking!$AG$1179,IF(AC989=75,Braking!$AG$1767,0)))</f>
        <v>0</v>
      </c>
      <c r="V989" s="16">
        <f>0.5*'Gearing Calculator'!$C$15*'Gearing Calculator'!$C$20*'Gearing Calculator'!$W$20*('Track Data'!Q989^2)</f>
        <v>216.46764180043596</v>
      </c>
      <c r="W989" s="16">
        <f>('Gearing Calculator'!$U$9*'Track Data'!T989)+'Track Data'!V989</f>
        <v>1499.3502846383819</v>
      </c>
      <c r="X989" s="16">
        <f>('Gearing Calculator'!$U$9*9.81)*('Gearing Calculator'!$U$16/'Gearing Calculator'!$C$7)-(('Track Data'!W989)*('Gearing Calculator'!$U$17/'Gearing Calculator'!$C$7))</f>
        <v>583.9139986438604</v>
      </c>
      <c r="Y989" s="16">
        <f>('Gearing Calculator'!$U$9*9.81)*(('Gearing Calculator'!$C$7-'Gearing Calculator'!$U$16)/'Gearing Calculator'!$C$7)+(('Track Data'!W989)*('Gearing Calculator'!$U$17/'Gearing Calculator'!$C$7))</f>
        <v>2027.5080013561396</v>
      </c>
      <c r="Z989" s="16">
        <f>((X989*COS('Gearing Calculator'!$C$21))/'Gearing Calculator'!$C$22)/2</f>
        <v>18.052774075432165</v>
      </c>
      <c r="AA989" s="16">
        <f>Y989/'Gearing Calculator'!$C$24</f>
        <v>28.310812054416363</v>
      </c>
      <c r="AB989" s="16">
        <f t="shared" si="107"/>
        <v>235.74461614811358</v>
      </c>
      <c r="AC989" s="16">
        <v>0</v>
      </c>
      <c r="AD989" s="16">
        <v>0</v>
      </c>
      <c r="AE989" s="16">
        <v>986</v>
      </c>
      <c r="AF989" s="16">
        <f>IF(AC989=0,IF(O989=6,INDEX(Acceleration!$V$4:$V$110,MATCH('Track Data'!S989,Acceleration!$K$4:$K$110,0)),IF('Track Data'!O989=5,INDEX(Acceleration!$U$4:$U$110,MATCH('Track Data'!S989,Acceleration!$K$4:$K$110,0)),1)),U989)</f>
        <v>1</v>
      </c>
      <c r="AG989" s="16">
        <f>IF(AC989=0,IF(O989=4,INDEX(Acceleration!$T$4:$T$110,MATCH('Track Data'!S989,Acceleration!$K$4:$K$110,0)),IF('Track Data'!O989=3,INDEX(Acceleration!$S$4:$S$110,MATCH('Track Data'!S989,Acceleration!$K$4:$K$110,0)),'Track Data'!AF989)),'Track Data'!U989)</f>
        <v>4.8192435869194066</v>
      </c>
      <c r="AH989" s="16">
        <f>IF(AC989=0,IF(O989=2,INDEX(Acceleration!$R$4:$R$110,MATCH('Track Data'!S989,Acceleration!$K$4:$K$110,0)),IF('Track Data'!O989=1,INDEX(Acceleration!$Q$4:$Q$110,MATCH('Track Data'!S989,Acceleration!$K$4:$K$110,0)),'Track Data'!AG989)),'Track Data'!U989)</f>
        <v>4.8192435869194066</v>
      </c>
    </row>
    <row r="990" spans="2:34" x14ac:dyDescent="0.25">
      <c r="B990" s="16">
        <v>224.101</v>
      </c>
      <c r="C990" s="16">
        <v>8260</v>
      </c>
      <c r="D990" s="16">
        <v>987</v>
      </c>
      <c r="E990" s="113">
        <v>175</v>
      </c>
      <c r="F990" s="113">
        <v>166.5</v>
      </c>
      <c r="G990" s="113">
        <v>161.19999999999999</v>
      </c>
      <c r="H990" s="113">
        <f t="shared" si="110"/>
        <v>44.777777777777771</v>
      </c>
      <c r="I990" s="113">
        <v>3</v>
      </c>
      <c r="J990" s="113">
        <v>12.03</v>
      </c>
      <c r="K990" s="113">
        <v>22</v>
      </c>
      <c r="L990" s="185"/>
      <c r="M990" s="16">
        <v>987</v>
      </c>
      <c r="N990" s="16">
        <f t="shared" si="112"/>
        <v>2.2060100476832881E-2</v>
      </c>
      <c r="O990" s="16">
        <v>4</v>
      </c>
      <c r="P990" s="16">
        <f t="shared" si="108"/>
        <v>9.1833785004516724</v>
      </c>
      <c r="Q990" s="16">
        <f t="shared" si="113"/>
        <v>45.330709216405516</v>
      </c>
      <c r="R990" s="113">
        <f t="shared" si="109"/>
        <v>329.49099999999999</v>
      </c>
      <c r="S990" s="16">
        <f>IF(S989=15800,15800,ROUND((((Q990*60)/'Gearing Calculator'!$C$14)*'Track Data'!P990),-2))</f>
        <v>12600</v>
      </c>
      <c r="T990" s="16">
        <f t="shared" si="111"/>
        <v>4.8192435869194066</v>
      </c>
      <c r="U990" s="16">
        <f>IF(AC990=100,Braking!$AG$2354,IF(AC990=50,Braking!$AG$1179,IF(AC990=75,Braking!$AG$1767,0)))</f>
        <v>0</v>
      </c>
      <c r="V990" s="16">
        <f>0.5*'Gearing Calculator'!$C$15*'Gearing Calculator'!$C$20*'Gearing Calculator'!$W$20*('Track Data'!Q990^2)</f>
        <v>217.48777928291508</v>
      </c>
      <c r="W990" s="16">
        <f>('Gearing Calculator'!$U$9*'Track Data'!T990)+'Track Data'!V990</f>
        <v>1500.3704221208609</v>
      </c>
      <c r="X990" s="16">
        <f>('Gearing Calculator'!$U$9*9.81)*('Gearing Calculator'!$U$16/'Gearing Calculator'!$C$7)-(('Track Data'!W990)*('Gearing Calculator'!$U$17/'Gearing Calculator'!$C$7))</f>
        <v>583.35795404691237</v>
      </c>
      <c r="Y990" s="16">
        <f>('Gearing Calculator'!$U$9*9.81)*(('Gearing Calculator'!$C$7-'Gearing Calculator'!$U$16)/'Gearing Calculator'!$C$7)+(('Track Data'!W990)*('Gearing Calculator'!$U$17/'Gearing Calculator'!$C$7))</f>
        <v>2028.0640459530878</v>
      </c>
      <c r="Z990" s="16">
        <f>((X990*COS('Gearing Calculator'!$C$21))/'Gearing Calculator'!$C$22)/2</f>
        <v>18.035582935113759</v>
      </c>
      <c r="AA990" s="16">
        <f>Y990/'Gearing Calculator'!$C$24</f>
        <v>28.318576301989022</v>
      </c>
      <c r="AB990" s="16">
        <f t="shared" si="107"/>
        <v>236.76475363059271</v>
      </c>
      <c r="AC990" s="16">
        <v>0</v>
      </c>
      <c r="AD990" s="16">
        <v>0</v>
      </c>
      <c r="AE990" s="16">
        <v>987</v>
      </c>
      <c r="AF990" s="16">
        <f>IF(AC990=0,IF(O990=6,INDEX(Acceleration!$V$4:$V$110,MATCH('Track Data'!S990,Acceleration!$K$4:$K$110,0)),IF('Track Data'!O990=5,INDEX(Acceleration!$U$4:$U$110,MATCH('Track Data'!S990,Acceleration!$K$4:$K$110,0)),1)),U990)</f>
        <v>1</v>
      </c>
      <c r="AG990" s="16">
        <f>IF(AC990=0,IF(O990=4,INDEX(Acceleration!$T$4:$T$110,MATCH('Track Data'!S990,Acceleration!$K$4:$K$110,0)),IF('Track Data'!O990=3,INDEX(Acceleration!$S$4:$S$110,MATCH('Track Data'!S990,Acceleration!$K$4:$K$110,0)),'Track Data'!AF990)),'Track Data'!U990)</f>
        <v>4.8192435869194066</v>
      </c>
      <c r="AH990" s="16">
        <f>IF(AC990=0,IF(O990=2,INDEX(Acceleration!$R$4:$R$110,MATCH('Track Data'!S990,Acceleration!$K$4:$K$110,0)),IF('Track Data'!O990=1,INDEX(Acceleration!$Q$4:$Q$110,MATCH('Track Data'!S990,Acceleration!$K$4:$K$110,0)),'Track Data'!AG990)),'Track Data'!U990)</f>
        <v>4.8192435869194066</v>
      </c>
    </row>
    <row r="991" spans="2:34" x14ac:dyDescent="0.25">
      <c r="B991" s="16">
        <v>224.12299999999999</v>
      </c>
      <c r="C991" s="16">
        <v>8261</v>
      </c>
      <c r="D991" s="16">
        <v>988</v>
      </c>
      <c r="E991" s="113">
        <v>175</v>
      </c>
      <c r="F991" s="113">
        <v>166.8</v>
      </c>
      <c r="G991" s="113">
        <v>161.6</v>
      </c>
      <c r="H991" s="113">
        <f t="shared" si="110"/>
        <v>44.888888888888886</v>
      </c>
      <c r="I991" s="113">
        <v>2.6</v>
      </c>
      <c r="J991" s="113">
        <v>11.35</v>
      </c>
      <c r="K991" s="113">
        <v>16.8</v>
      </c>
      <c r="L991" s="185"/>
      <c r="M991" s="16">
        <v>988</v>
      </c>
      <c r="N991" s="16">
        <f t="shared" si="112"/>
        <v>2.2008544763383788E-2</v>
      </c>
      <c r="O991" s="16">
        <v>4</v>
      </c>
      <c r="P991" s="16">
        <f t="shared" si="108"/>
        <v>9.1833785004516724</v>
      </c>
      <c r="Q991" s="16">
        <f t="shared" si="113"/>
        <v>45.436897839048726</v>
      </c>
      <c r="R991" s="113">
        <f t="shared" si="109"/>
        <v>329.49099999999999</v>
      </c>
      <c r="S991" s="16">
        <f>IF(S990=15800,15800,ROUND((((Q991*60)/'Gearing Calculator'!$C$14)*'Track Data'!P991),-2))</f>
        <v>12700</v>
      </c>
      <c r="T991" s="16">
        <f t="shared" si="111"/>
        <v>4.8183564077382988</v>
      </c>
      <c r="U991" s="16">
        <f>IF(AC991=100,Braking!$AG$2354,IF(AC991=50,Braking!$AG$1179,IF(AC991=75,Braking!$AG$1767,0)))</f>
        <v>0</v>
      </c>
      <c r="V991" s="16">
        <f>0.5*'Gearing Calculator'!$C$15*'Gearing Calculator'!$C$20*'Gearing Calculator'!$W$20*('Track Data'!Q991^2)</f>
        <v>218.50791676539416</v>
      </c>
      <c r="W991" s="16">
        <f>('Gearing Calculator'!$U$9*'Track Data'!T991)+'Track Data'!V991</f>
        <v>1501.1543925053293</v>
      </c>
      <c r="X991" s="16">
        <f>('Gearing Calculator'!$U$9*9.81)*('Gearing Calculator'!$U$16/'Gearing Calculator'!$C$7)-(('Track Data'!W991)*('Gearing Calculator'!$U$17/'Gearing Calculator'!$C$7))</f>
        <v>582.93063664711281</v>
      </c>
      <c r="Y991" s="16">
        <f>('Gearing Calculator'!$U$9*9.81)*(('Gearing Calculator'!$C$7-'Gearing Calculator'!$U$16)/'Gearing Calculator'!$C$7)+(('Track Data'!W991)*('Gearing Calculator'!$U$17/'Gearing Calculator'!$C$7))</f>
        <v>2028.4913633528872</v>
      </c>
      <c r="Z991" s="16">
        <f>((X991*COS('Gearing Calculator'!$C$21))/'Gearing Calculator'!$C$22)/2</f>
        <v>18.022371632601747</v>
      </c>
      <c r="AA991" s="16">
        <f>Y991/'Gearing Calculator'!$C$24</f>
        <v>28.324543086132518</v>
      </c>
      <c r="AB991" s="16">
        <f t="shared" si="107"/>
        <v>237.78134239634736</v>
      </c>
      <c r="AC991" s="16">
        <v>0</v>
      </c>
      <c r="AD991" s="16">
        <v>0</v>
      </c>
      <c r="AE991" s="16">
        <v>988</v>
      </c>
      <c r="AF991" s="16">
        <f>IF(AC991=0,IF(O991=6,INDEX(Acceleration!$V$4:$V$110,MATCH('Track Data'!S991,Acceleration!$K$4:$K$110,0)),IF('Track Data'!O991=5,INDEX(Acceleration!$U$4:$U$110,MATCH('Track Data'!S991,Acceleration!$K$4:$K$110,0)),1)),U991)</f>
        <v>1</v>
      </c>
      <c r="AG991" s="16">
        <f>IF(AC991=0,IF(O991=4,INDEX(Acceleration!$T$4:$T$110,MATCH('Track Data'!S991,Acceleration!$K$4:$K$110,0)),IF('Track Data'!O991=3,INDEX(Acceleration!$S$4:$S$110,MATCH('Track Data'!S991,Acceleration!$K$4:$K$110,0)),'Track Data'!AF991)),'Track Data'!U991)</f>
        <v>4.8183564077382988</v>
      </c>
      <c r="AH991" s="16">
        <f>IF(AC991=0,IF(O991=2,INDEX(Acceleration!$R$4:$R$110,MATCH('Track Data'!S991,Acceleration!$K$4:$K$110,0)),IF('Track Data'!O991=1,INDEX(Acceleration!$Q$4:$Q$110,MATCH('Track Data'!S991,Acceleration!$K$4:$K$110,0)),'Track Data'!AG991)),'Track Data'!U991)</f>
        <v>4.8183564077382988</v>
      </c>
    </row>
    <row r="992" spans="2:34" x14ac:dyDescent="0.25">
      <c r="B992" s="16">
        <v>224.14400000000001</v>
      </c>
      <c r="C992" s="16">
        <v>8262</v>
      </c>
      <c r="D992" s="16">
        <v>989</v>
      </c>
      <c r="E992" s="113">
        <v>175</v>
      </c>
      <c r="F992" s="113">
        <v>167.1</v>
      </c>
      <c r="G992" s="113">
        <v>161.9</v>
      </c>
      <c r="H992" s="113">
        <f t="shared" si="110"/>
        <v>44.972222222222221</v>
      </c>
      <c r="I992" s="113">
        <v>2.2999999999999998</v>
      </c>
      <c r="J992" s="113">
        <v>11.35</v>
      </c>
      <c r="K992" s="113">
        <v>11.6</v>
      </c>
      <c r="L992" s="185"/>
      <c r="M992" s="16">
        <v>989</v>
      </c>
      <c r="N992" s="16">
        <f t="shared" si="112"/>
        <v>2.195735822637182E-2</v>
      </c>
      <c r="O992" s="16">
        <v>4</v>
      </c>
      <c r="P992" s="16">
        <f t="shared" si="108"/>
        <v>9.1833785004516724</v>
      </c>
      <c r="Q992" s="16">
        <f t="shared" si="113"/>
        <v>45.542819390674829</v>
      </c>
      <c r="R992" s="113">
        <f t="shared" si="109"/>
        <v>329.49099999999999</v>
      </c>
      <c r="S992" s="16">
        <f>IF(S991=15800,15800,ROUND((((Q992*60)/'Gearing Calculator'!$C$14)*'Track Data'!P992),-2))</f>
        <v>12700</v>
      </c>
      <c r="T992" s="16">
        <f t="shared" si="111"/>
        <v>4.8183564077382988</v>
      </c>
      <c r="U992" s="16">
        <f>IF(AC992=100,Braking!$AG$2354,IF(AC992=50,Braking!$AG$1179,IF(AC992=75,Braking!$AG$1767,0)))</f>
        <v>0</v>
      </c>
      <c r="V992" s="16">
        <f>0.5*'Gearing Calculator'!$C$15*'Gearing Calculator'!$C$20*'Gearing Calculator'!$W$20*('Track Data'!Q992^2)</f>
        <v>219.5278664497842</v>
      </c>
      <c r="W992" s="16">
        <f>('Gearing Calculator'!$U$9*'Track Data'!T992)+'Track Data'!V992</f>
        <v>1502.1743421897193</v>
      </c>
      <c r="X992" s="16">
        <f>('Gearing Calculator'!$U$9*9.81)*('Gearing Calculator'!$U$16/'Gearing Calculator'!$C$7)-(('Track Data'!W992)*('Gearing Calculator'!$U$17/'Gearing Calculator'!$C$7))</f>
        <v>582.37469441294877</v>
      </c>
      <c r="Y992" s="16">
        <f>('Gearing Calculator'!$U$9*9.81)*(('Gearing Calculator'!$C$7-'Gearing Calculator'!$U$16)/'Gearing Calculator'!$C$7)+(('Track Data'!W992)*('Gearing Calculator'!$U$17/'Gearing Calculator'!$C$7))</f>
        <v>2029.0473055870511</v>
      </c>
      <c r="Z992" s="16">
        <f>((X992*COS('Gearing Calculator'!$C$21))/'Gearing Calculator'!$C$22)/2</f>
        <v>18.005183657016875</v>
      </c>
      <c r="AA992" s="16">
        <f>Y992/'Gearing Calculator'!$C$24</f>
        <v>28.332305904377378</v>
      </c>
      <c r="AB992" s="16">
        <f t="shared" si="107"/>
        <v>238.8012920807374</v>
      </c>
      <c r="AC992" s="16">
        <v>0</v>
      </c>
      <c r="AD992" s="16">
        <v>0</v>
      </c>
      <c r="AE992" s="16">
        <v>989</v>
      </c>
      <c r="AF992" s="16">
        <f>IF(AC992=0,IF(O992=6,INDEX(Acceleration!$V$4:$V$110,MATCH('Track Data'!S992,Acceleration!$K$4:$K$110,0)),IF('Track Data'!O992=5,INDEX(Acceleration!$U$4:$U$110,MATCH('Track Data'!S992,Acceleration!$K$4:$K$110,0)),1)),U992)</f>
        <v>1</v>
      </c>
      <c r="AG992" s="16">
        <f>IF(AC992=0,IF(O992=4,INDEX(Acceleration!$T$4:$T$110,MATCH('Track Data'!S992,Acceleration!$K$4:$K$110,0)),IF('Track Data'!O992=3,INDEX(Acceleration!$S$4:$S$110,MATCH('Track Data'!S992,Acceleration!$K$4:$K$110,0)),'Track Data'!AF992)),'Track Data'!U992)</f>
        <v>4.8183564077382988</v>
      </c>
      <c r="AH992" s="16">
        <f>IF(AC992=0,IF(O992=2,INDEX(Acceleration!$R$4:$R$110,MATCH('Track Data'!S992,Acceleration!$K$4:$K$110,0)),IF('Track Data'!O992=1,INDEX(Acceleration!$Q$4:$Q$110,MATCH('Track Data'!S992,Acceleration!$K$4:$K$110,0)),'Track Data'!AG992)),'Track Data'!U992)</f>
        <v>4.8183564077382988</v>
      </c>
    </row>
    <row r="993" spans="2:34" x14ac:dyDescent="0.25">
      <c r="B993" s="16">
        <v>224.166</v>
      </c>
      <c r="C993" s="16">
        <v>8263</v>
      </c>
      <c r="D993" s="16">
        <v>990</v>
      </c>
      <c r="E993" s="113">
        <v>175</v>
      </c>
      <c r="F993" s="113">
        <v>167.4</v>
      </c>
      <c r="G993" s="113">
        <v>162.30000000000001</v>
      </c>
      <c r="H993" s="113">
        <f t="shared" si="110"/>
        <v>45.083333333333336</v>
      </c>
      <c r="I993" s="113">
        <v>3.3</v>
      </c>
      <c r="J993" s="113">
        <v>9.33</v>
      </c>
      <c r="K993" s="113">
        <v>7.4</v>
      </c>
      <c r="L993" s="185"/>
      <c r="M993" s="16">
        <v>990</v>
      </c>
      <c r="N993" s="16">
        <f t="shared" si="112"/>
        <v>2.1906527178525533E-2</v>
      </c>
      <c r="O993" s="16">
        <v>4</v>
      </c>
      <c r="P993" s="16">
        <f t="shared" si="108"/>
        <v>9.1833785004516724</v>
      </c>
      <c r="Q993" s="16">
        <f t="shared" si="113"/>
        <v>45.648495165417053</v>
      </c>
      <c r="R993" s="113">
        <f t="shared" si="109"/>
        <v>329.49099999999999</v>
      </c>
      <c r="S993" s="16">
        <f>IF(S992=15800,15800,ROUND((((Q993*60)/'Gearing Calculator'!$C$14)*'Track Data'!P993),-2))</f>
        <v>12700</v>
      </c>
      <c r="T993" s="16">
        <f t="shared" si="111"/>
        <v>4.8183564077382988</v>
      </c>
      <c r="U993" s="16">
        <f>IF(AC993=100,Braking!$AG$2354,IF(AC993=50,Braking!$AG$1179,IF(AC993=75,Braking!$AG$1767,0)))</f>
        <v>0</v>
      </c>
      <c r="V993" s="16">
        <f>0.5*'Gearing Calculator'!$C$15*'Gearing Calculator'!$C$20*'Gearing Calculator'!$W$20*('Track Data'!Q993^2)</f>
        <v>220.54781613417424</v>
      </c>
      <c r="W993" s="16">
        <f>('Gearing Calculator'!$U$9*'Track Data'!T993)+'Track Data'!V993</f>
        <v>1503.1942918741092</v>
      </c>
      <c r="X993" s="16">
        <f>('Gearing Calculator'!$U$9*9.81)*('Gearing Calculator'!$U$16/'Gearing Calculator'!$C$7)-(('Track Data'!W993)*('Gearing Calculator'!$U$17/'Gearing Calculator'!$C$7))</f>
        <v>581.81875217878462</v>
      </c>
      <c r="Y993" s="16">
        <f>('Gearing Calculator'!$U$9*9.81)*(('Gearing Calculator'!$C$7-'Gearing Calculator'!$U$16)/'Gearing Calculator'!$C$7)+(('Track Data'!W993)*('Gearing Calculator'!$U$17/'Gearing Calculator'!$C$7))</f>
        <v>2029.6032478212155</v>
      </c>
      <c r="Z993" s="16">
        <f>((X993*COS('Gearing Calculator'!$C$21))/'Gearing Calculator'!$C$22)/2</f>
        <v>17.987995681432004</v>
      </c>
      <c r="AA993" s="16">
        <f>Y993/'Gearing Calculator'!$C$24</f>
        <v>28.340068722622245</v>
      </c>
      <c r="AB993" s="16">
        <f t="shared" si="107"/>
        <v>239.82124176512744</v>
      </c>
      <c r="AC993" s="16">
        <v>0</v>
      </c>
      <c r="AD993" s="16">
        <v>0</v>
      </c>
      <c r="AE993" s="16">
        <v>990</v>
      </c>
      <c r="AF993" s="16">
        <f>IF(AC993=0,IF(O993=6,INDEX(Acceleration!$V$4:$V$110,MATCH('Track Data'!S993,Acceleration!$K$4:$K$110,0)),IF('Track Data'!O993=5,INDEX(Acceleration!$U$4:$U$110,MATCH('Track Data'!S993,Acceleration!$K$4:$K$110,0)),1)),U993)</f>
        <v>1</v>
      </c>
      <c r="AG993" s="16">
        <f>IF(AC993=0,IF(O993=4,INDEX(Acceleration!$T$4:$T$110,MATCH('Track Data'!S993,Acceleration!$K$4:$K$110,0)),IF('Track Data'!O993=3,INDEX(Acceleration!$S$4:$S$110,MATCH('Track Data'!S993,Acceleration!$K$4:$K$110,0)),'Track Data'!AF993)),'Track Data'!U993)</f>
        <v>4.8183564077382988</v>
      </c>
      <c r="AH993" s="16">
        <f>IF(AC993=0,IF(O993=2,INDEX(Acceleration!$R$4:$R$110,MATCH('Track Data'!S993,Acceleration!$K$4:$K$110,0)),IF('Track Data'!O993=1,INDEX(Acceleration!$Q$4:$Q$110,MATCH('Track Data'!S993,Acceleration!$K$4:$K$110,0)),'Track Data'!AG993)),'Track Data'!U993)</f>
        <v>4.8183564077382988</v>
      </c>
    </row>
    <row r="994" spans="2:34" x14ac:dyDescent="0.25">
      <c r="B994" s="16">
        <v>224.18700000000001</v>
      </c>
      <c r="C994" s="16">
        <v>8264</v>
      </c>
      <c r="D994" s="16">
        <v>991</v>
      </c>
      <c r="E994" s="113">
        <v>175</v>
      </c>
      <c r="F994" s="113">
        <v>167.8</v>
      </c>
      <c r="G994" s="113">
        <v>162.6</v>
      </c>
      <c r="H994" s="113">
        <f t="shared" si="110"/>
        <v>45.166666666666664</v>
      </c>
      <c r="I994" s="113">
        <v>3.6</v>
      </c>
      <c r="J994" s="113">
        <v>10.07</v>
      </c>
      <c r="K994" s="113">
        <v>7.4</v>
      </c>
      <c r="L994" s="185"/>
      <c r="M994" s="16">
        <v>991</v>
      </c>
      <c r="N994" s="16">
        <f t="shared" si="112"/>
        <v>2.1856047524033171E-2</v>
      </c>
      <c r="O994" s="16">
        <v>4</v>
      </c>
      <c r="P994" s="16">
        <f t="shared" si="108"/>
        <v>9.1833785004516724</v>
      </c>
      <c r="Q994" s="16">
        <f t="shared" si="113"/>
        <v>45.753926866254666</v>
      </c>
      <c r="R994" s="113">
        <f t="shared" si="109"/>
        <v>329.49099999999999</v>
      </c>
      <c r="S994" s="16">
        <f>IF(S993=15800,15800,ROUND((((Q994*60)/'Gearing Calculator'!$C$14)*'Track Data'!P994),-2))</f>
        <v>12700</v>
      </c>
      <c r="T994" s="16">
        <f t="shared" si="111"/>
        <v>4.8183564077382988</v>
      </c>
      <c r="U994" s="16">
        <f>IF(AC994=100,Braking!$AG$2354,IF(AC994=50,Braking!$AG$1179,IF(AC994=75,Braking!$AG$1767,0)))</f>
        <v>0</v>
      </c>
      <c r="V994" s="16">
        <f>0.5*'Gearing Calculator'!$C$15*'Gearing Calculator'!$C$20*'Gearing Calculator'!$W$20*('Track Data'!Q994^2)</f>
        <v>221.56776581856428</v>
      </c>
      <c r="W994" s="16">
        <f>('Gearing Calculator'!$U$9*'Track Data'!T994)+'Track Data'!V994</f>
        <v>1504.2142415584995</v>
      </c>
      <c r="X994" s="16">
        <f>('Gearing Calculator'!$U$9*9.81)*('Gearing Calculator'!$U$16/'Gearing Calculator'!$C$7)-(('Track Data'!W994)*('Gearing Calculator'!$U$17/'Gearing Calculator'!$C$7))</f>
        <v>581.26280994462036</v>
      </c>
      <c r="Y994" s="16">
        <f>('Gearing Calculator'!$U$9*9.81)*(('Gearing Calculator'!$C$7-'Gearing Calculator'!$U$16)/'Gearing Calculator'!$C$7)+(('Track Data'!W994)*('Gearing Calculator'!$U$17/'Gearing Calculator'!$C$7))</f>
        <v>2030.1591900553797</v>
      </c>
      <c r="Z994" s="16">
        <f>((X994*COS('Gearing Calculator'!$C$21))/'Gearing Calculator'!$C$22)/2</f>
        <v>17.970807705847125</v>
      </c>
      <c r="AA994" s="16">
        <f>Y994/'Gearing Calculator'!$C$24</f>
        <v>28.347831540867109</v>
      </c>
      <c r="AB994" s="16">
        <f t="shared" si="107"/>
        <v>240.84119144951748</v>
      </c>
      <c r="AC994" s="16">
        <v>0</v>
      </c>
      <c r="AD994" s="16">
        <v>0</v>
      </c>
      <c r="AE994" s="16">
        <v>991</v>
      </c>
      <c r="AF994" s="16">
        <f>IF(AC994=0,IF(O994=6,INDEX(Acceleration!$V$4:$V$110,MATCH('Track Data'!S994,Acceleration!$K$4:$K$110,0)),IF('Track Data'!O994=5,INDEX(Acceleration!$U$4:$U$110,MATCH('Track Data'!S994,Acceleration!$K$4:$K$110,0)),1)),U994)</f>
        <v>1</v>
      </c>
      <c r="AG994" s="16">
        <f>IF(AC994=0,IF(O994=4,INDEX(Acceleration!$T$4:$T$110,MATCH('Track Data'!S994,Acceleration!$K$4:$K$110,0)),IF('Track Data'!O994=3,INDEX(Acceleration!$S$4:$S$110,MATCH('Track Data'!S994,Acceleration!$K$4:$K$110,0)),'Track Data'!AF994)),'Track Data'!U994)</f>
        <v>4.8183564077382988</v>
      </c>
      <c r="AH994" s="16">
        <f>IF(AC994=0,IF(O994=2,INDEX(Acceleration!$R$4:$R$110,MATCH('Track Data'!S994,Acceleration!$K$4:$K$110,0)),IF('Track Data'!O994=1,INDEX(Acceleration!$Q$4:$Q$110,MATCH('Track Data'!S994,Acceleration!$K$4:$K$110,0)),'Track Data'!AG994)),'Track Data'!U994)</f>
        <v>4.8183564077382988</v>
      </c>
    </row>
    <row r="995" spans="2:34" x14ac:dyDescent="0.25">
      <c r="B995" s="16">
        <v>224.208</v>
      </c>
      <c r="C995" s="16">
        <v>8265</v>
      </c>
      <c r="D995" s="16">
        <v>992</v>
      </c>
      <c r="E995" s="113">
        <v>175</v>
      </c>
      <c r="F995" s="113">
        <v>168</v>
      </c>
      <c r="G995" s="113">
        <v>162.9</v>
      </c>
      <c r="H995" s="113">
        <f t="shared" si="110"/>
        <v>45.25</v>
      </c>
      <c r="I995" s="113">
        <v>3.9</v>
      </c>
      <c r="J995" s="113">
        <v>10.09</v>
      </c>
      <c r="K995" s="113">
        <v>7.4</v>
      </c>
      <c r="L995" s="185"/>
      <c r="M995" s="16">
        <v>992</v>
      </c>
      <c r="N995" s="16">
        <f t="shared" si="112"/>
        <v>2.1805915232846505E-2</v>
      </c>
      <c r="O995" s="16">
        <v>4</v>
      </c>
      <c r="P995" s="16">
        <f t="shared" si="108"/>
        <v>9.1833785004516724</v>
      </c>
      <c r="Q995" s="16">
        <f t="shared" si="113"/>
        <v>45.859116176590852</v>
      </c>
      <c r="R995" s="113">
        <f t="shared" si="109"/>
        <v>329.49099999999999</v>
      </c>
      <c r="S995" s="16">
        <f>IF(S994=15800,15800,ROUND((((Q995*60)/'Gearing Calculator'!$C$14)*'Track Data'!P995),-2))</f>
        <v>12800</v>
      </c>
      <c r="T995" s="16">
        <f t="shared" si="111"/>
        <v>4.792705712495037</v>
      </c>
      <c r="U995" s="16">
        <f>IF(AC995=100,Braking!$AG$2354,IF(AC995=50,Braking!$AG$1179,IF(AC995=75,Braking!$AG$1767,0)))</f>
        <v>0</v>
      </c>
      <c r="V995" s="16">
        <f>0.5*'Gearing Calculator'!$C$15*'Gearing Calculator'!$C$20*'Gearing Calculator'!$W$20*('Track Data'!Q995^2)</f>
        <v>222.5877155029543</v>
      </c>
      <c r="W995" s="16">
        <f>('Gearing Calculator'!$U$9*'Track Data'!T995)+'Track Data'!V995</f>
        <v>1498.4059761691331</v>
      </c>
      <c r="X995" s="16">
        <f>('Gearing Calculator'!$U$9*9.81)*('Gearing Calculator'!$U$16/'Gearing Calculator'!$C$7)-(('Track Data'!W995)*('Gearing Calculator'!$U$17/'Gearing Calculator'!$C$7))</f>
        <v>584.42871124995156</v>
      </c>
      <c r="Y995" s="16">
        <f>('Gearing Calculator'!$U$9*9.81)*(('Gearing Calculator'!$C$7-'Gearing Calculator'!$U$16)/'Gearing Calculator'!$C$7)+(('Track Data'!W995)*('Gearing Calculator'!$U$17/'Gearing Calculator'!$C$7))</f>
        <v>2026.9932887500486</v>
      </c>
      <c r="Z995" s="16">
        <f>((X995*COS('Gearing Calculator'!$C$21))/'Gearing Calculator'!$C$22)/2</f>
        <v>18.068687361315224</v>
      </c>
      <c r="AA995" s="16">
        <f>Y995/'Gearing Calculator'!$C$24</f>
        <v>28.303624940065479</v>
      </c>
      <c r="AB995" s="16">
        <f t="shared" si="107"/>
        <v>241.75853835293444</v>
      </c>
      <c r="AC995" s="16">
        <v>0</v>
      </c>
      <c r="AD995" s="16">
        <v>0</v>
      </c>
      <c r="AE995" s="16">
        <v>992</v>
      </c>
      <c r="AF995" s="16">
        <f>IF(AC995=0,IF(O995=6,INDEX(Acceleration!$V$4:$V$110,MATCH('Track Data'!S995,Acceleration!$K$4:$K$110,0)),IF('Track Data'!O995=5,INDEX(Acceleration!$U$4:$U$110,MATCH('Track Data'!S995,Acceleration!$K$4:$K$110,0)),1)),U995)</f>
        <v>1</v>
      </c>
      <c r="AG995" s="16">
        <f>IF(AC995=0,IF(O995=4,INDEX(Acceleration!$T$4:$T$110,MATCH('Track Data'!S995,Acceleration!$K$4:$K$110,0)),IF('Track Data'!O995=3,INDEX(Acceleration!$S$4:$S$110,MATCH('Track Data'!S995,Acceleration!$K$4:$K$110,0)),'Track Data'!AF995)),'Track Data'!U995)</f>
        <v>4.792705712495037</v>
      </c>
      <c r="AH995" s="16">
        <f>IF(AC995=0,IF(O995=2,INDEX(Acceleration!$R$4:$R$110,MATCH('Track Data'!S995,Acceleration!$K$4:$K$110,0)),IF('Track Data'!O995=1,INDEX(Acceleration!$Q$4:$Q$110,MATCH('Track Data'!S995,Acceleration!$K$4:$K$110,0)),'Track Data'!AG995)),'Track Data'!U995)</f>
        <v>4.792705712495037</v>
      </c>
    </row>
    <row r="996" spans="2:34" x14ac:dyDescent="0.25">
      <c r="B996" s="16">
        <v>224.22900000000001</v>
      </c>
      <c r="C996" s="16">
        <v>8266</v>
      </c>
      <c r="D996" s="16">
        <v>993</v>
      </c>
      <c r="E996" s="113">
        <v>174</v>
      </c>
      <c r="F996" s="113">
        <v>168.2</v>
      </c>
      <c r="G996" s="113">
        <v>163.30000000000001</v>
      </c>
      <c r="H996" s="113">
        <f t="shared" si="110"/>
        <v>45.361111111111114</v>
      </c>
      <c r="I996" s="113">
        <v>4.0999999999999996</v>
      </c>
      <c r="J996" s="113">
        <v>10.71</v>
      </c>
      <c r="K996" s="113">
        <v>7.4</v>
      </c>
      <c r="L996" s="185"/>
      <c r="M996" s="16">
        <v>993</v>
      </c>
      <c r="N996" s="16">
        <f t="shared" si="112"/>
        <v>2.1756390490029854E-2</v>
      </c>
      <c r="O996" s="16">
        <v>4</v>
      </c>
      <c r="P996" s="16">
        <f t="shared" si="108"/>
        <v>9.1833785004516724</v>
      </c>
      <c r="Q996" s="16">
        <f t="shared" si="113"/>
        <v>45.963506697412093</v>
      </c>
      <c r="R996" s="113">
        <f t="shared" si="109"/>
        <v>329.49099999999999</v>
      </c>
      <c r="S996" s="16">
        <f>IF(S995=15800,15800,ROUND((((Q996*60)/'Gearing Calculator'!$C$14)*'Track Data'!P996),-2))</f>
        <v>12800</v>
      </c>
      <c r="T996" s="16">
        <f t="shared" si="111"/>
        <v>4.792705712495037</v>
      </c>
      <c r="U996" s="16">
        <f>IF(AC996=100,Braking!$AG$2354,IF(AC996=50,Braking!$AG$1179,IF(AC996=75,Braking!$AG$1767,0)))</f>
        <v>0</v>
      </c>
      <c r="V996" s="16">
        <f>0.5*'Gearing Calculator'!$C$15*'Gearing Calculator'!$C$20*'Gearing Calculator'!$W$20*('Track Data'!Q996^2)</f>
        <v>223.60223544817518</v>
      </c>
      <c r="W996" s="16">
        <f>('Gearing Calculator'!$U$9*'Track Data'!T996)+'Track Data'!V996</f>
        <v>1499.4204961143539</v>
      </c>
      <c r="X996" s="16">
        <f>('Gearing Calculator'!$U$9*9.81)*('Gearing Calculator'!$U$16/'Gearing Calculator'!$C$7)-(('Track Data'!W996)*('Gearing Calculator'!$U$17/'Gearing Calculator'!$C$7))</f>
        <v>583.87572859445186</v>
      </c>
      <c r="Y996" s="16">
        <f>('Gearing Calculator'!$U$9*9.81)*(('Gearing Calculator'!$C$7-'Gearing Calculator'!$U$16)/'Gearing Calculator'!$C$7)+(('Track Data'!W996)*('Gearing Calculator'!$U$17/'Gearing Calculator'!$C$7))</f>
        <v>2027.5462714055482</v>
      </c>
      <c r="Z996" s="16">
        <f>((X996*COS('Gearing Calculator'!$C$21))/'Gearing Calculator'!$C$22)/2</f>
        <v>18.051590886542307</v>
      </c>
      <c r="AA996" s="16">
        <f>Y996/'Gearing Calculator'!$C$24</f>
        <v>28.311346432665619</v>
      </c>
      <c r="AB996" s="16">
        <f t="shared" si="107"/>
        <v>242.77305829815532</v>
      </c>
      <c r="AC996" s="16">
        <v>0</v>
      </c>
      <c r="AD996" s="16">
        <v>0</v>
      </c>
      <c r="AE996" s="16">
        <v>993</v>
      </c>
      <c r="AF996" s="16">
        <f>IF(AC996=0,IF(O996=6,INDEX(Acceleration!$V$4:$V$110,MATCH('Track Data'!S996,Acceleration!$K$4:$K$110,0)),IF('Track Data'!O996=5,INDEX(Acceleration!$U$4:$U$110,MATCH('Track Data'!S996,Acceleration!$K$4:$K$110,0)),1)),U996)</f>
        <v>1</v>
      </c>
      <c r="AG996" s="16">
        <f>IF(AC996=0,IF(O996=4,INDEX(Acceleration!$T$4:$T$110,MATCH('Track Data'!S996,Acceleration!$K$4:$K$110,0)),IF('Track Data'!O996=3,INDEX(Acceleration!$S$4:$S$110,MATCH('Track Data'!S996,Acceleration!$K$4:$K$110,0)),'Track Data'!AF996)),'Track Data'!U996)</f>
        <v>4.792705712495037</v>
      </c>
      <c r="AH996" s="16">
        <f>IF(AC996=0,IF(O996=2,INDEX(Acceleration!$R$4:$R$110,MATCH('Track Data'!S996,Acceleration!$K$4:$K$110,0)),IF('Track Data'!O996=1,INDEX(Acceleration!$Q$4:$Q$110,MATCH('Track Data'!S996,Acceleration!$K$4:$K$110,0)),'Track Data'!AG996)),'Track Data'!U996)</f>
        <v>4.792705712495037</v>
      </c>
    </row>
    <row r="997" spans="2:34" x14ac:dyDescent="0.25">
      <c r="B997" s="16">
        <v>224.251</v>
      </c>
      <c r="C997" s="16">
        <v>8267</v>
      </c>
      <c r="D997" s="16">
        <v>994</v>
      </c>
      <c r="E997" s="113">
        <v>174</v>
      </c>
      <c r="F997" s="113">
        <v>168.6</v>
      </c>
      <c r="G997" s="113">
        <v>163.80000000000001</v>
      </c>
      <c r="H997" s="113">
        <f t="shared" si="110"/>
        <v>45.5</v>
      </c>
      <c r="I997" s="113">
        <v>5.5</v>
      </c>
      <c r="J997" s="113">
        <v>9.17</v>
      </c>
      <c r="K997" s="113">
        <v>10.1</v>
      </c>
      <c r="L997" s="185"/>
      <c r="M997" s="16">
        <v>994</v>
      </c>
      <c r="N997" s="16">
        <f t="shared" si="112"/>
        <v>2.1707201657670781E-2</v>
      </c>
      <c r="O997" s="16">
        <v>4</v>
      </c>
      <c r="P997" s="16">
        <f t="shared" si="108"/>
        <v>9.1833785004516724</v>
      </c>
      <c r="Q997" s="16">
        <f t="shared" si="113"/>
        <v>46.067660667197288</v>
      </c>
      <c r="R997" s="113">
        <f t="shared" si="109"/>
        <v>329.49099999999999</v>
      </c>
      <c r="S997" s="16">
        <f>IF(S996=15800,15800,ROUND((((Q997*60)/'Gearing Calculator'!$C$14)*'Track Data'!P997),-2))</f>
        <v>12800</v>
      </c>
      <c r="T997" s="16">
        <f t="shared" si="111"/>
        <v>4.792705712495037</v>
      </c>
      <c r="U997" s="16">
        <f>IF(AC997=100,Braking!$AG$2354,IF(AC997=50,Braking!$AG$1179,IF(AC997=75,Braking!$AG$1767,0)))</f>
        <v>0</v>
      </c>
      <c r="V997" s="16">
        <f>0.5*'Gearing Calculator'!$C$15*'Gearing Calculator'!$C$20*'Gearing Calculator'!$W$20*('Track Data'!Q997^2)</f>
        <v>224.61675539339615</v>
      </c>
      <c r="W997" s="16">
        <f>('Gearing Calculator'!$U$9*'Track Data'!T997)+'Track Data'!V997</f>
        <v>1500.435016059575</v>
      </c>
      <c r="X997" s="16">
        <f>('Gearing Calculator'!$U$9*9.81)*('Gearing Calculator'!$U$16/'Gearing Calculator'!$C$7)-(('Track Data'!W997)*('Gearing Calculator'!$U$17/'Gearing Calculator'!$C$7))</f>
        <v>583.32274593895193</v>
      </c>
      <c r="Y997" s="16">
        <f>('Gearing Calculator'!$U$9*9.81)*(('Gearing Calculator'!$C$7-'Gearing Calculator'!$U$16)/'Gearing Calculator'!$C$7)+(('Track Data'!W997)*('Gearing Calculator'!$U$17/'Gearing Calculator'!$C$7))</f>
        <v>2028.0992540610482</v>
      </c>
      <c r="Z997" s="16">
        <f>((X997*COS('Gearing Calculator'!$C$21))/'Gearing Calculator'!$C$22)/2</f>
        <v>18.03449441176938</v>
      </c>
      <c r="AA997" s="16">
        <f>Y997/'Gearing Calculator'!$C$24</f>
        <v>28.31906792526577</v>
      </c>
      <c r="AB997" s="16">
        <f t="shared" si="107"/>
        <v>243.78757824337629</v>
      </c>
      <c r="AC997" s="16">
        <v>0</v>
      </c>
      <c r="AD997" s="16">
        <v>0</v>
      </c>
      <c r="AE997" s="16">
        <v>994</v>
      </c>
      <c r="AF997" s="16">
        <f>IF(AC997=0,IF(O997=6,INDEX(Acceleration!$V$4:$V$110,MATCH('Track Data'!S997,Acceleration!$K$4:$K$110,0)),IF('Track Data'!O997=5,INDEX(Acceleration!$U$4:$U$110,MATCH('Track Data'!S997,Acceleration!$K$4:$K$110,0)),1)),U997)</f>
        <v>1</v>
      </c>
      <c r="AG997" s="16">
        <f>IF(AC997=0,IF(O997=4,INDEX(Acceleration!$T$4:$T$110,MATCH('Track Data'!S997,Acceleration!$K$4:$K$110,0)),IF('Track Data'!O997=3,INDEX(Acceleration!$S$4:$S$110,MATCH('Track Data'!S997,Acceleration!$K$4:$K$110,0)),'Track Data'!AF997)),'Track Data'!U997)</f>
        <v>4.792705712495037</v>
      </c>
      <c r="AH997" s="16">
        <f>IF(AC997=0,IF(O997=2,INDEX(Acceleration!$R$4:$R$110,MATCH('Track Data'!S997,Acceleration!$K$4:$K$110,0)),IF('Track Data'!O997=1,INDEX(Acceleration!$Q$4:$Q$110,MATCH('Track Data'!S997,Acceleration!$K$4:$K$110,0)),'Track Data'!AG997)),'Track Data'!U997)</f>
        <v>4.792705712495037</v>
      </c>
    </row>
    <row r="998" spans="2:34" x14ac:dyDescent="0.25">
      <c r="B998" s="16">
        <v>224.273</v>
      </c>
      <c r="C998" s="16">
        <v>8268</v>
      </c>
      <c r="D998" s="16">
        <v>995</v>
      </c>
      <c r="E998" s="113">
        <v>174</v>
      </c>
      <c r="F998" s="113">
        <v>168.8</v>
      </c>
      <c r="G998" s="113">
        <v>164.2</v>
      </c>
      <c r="H998" s="113">
        <f t="shared" si="110"/>
        <v>45.611111111111107</v>
      </c>
      <c r="I998" s="113">
        <v>5.5</v>
      </c>
      <c r="J998" s="113">
        <v>10.47</v>
      </c>
      <c r="K998" s="113">
        <v>14.1</v>
      </c>
      <c r="L998" s="185"/>
      <c r="M998" s="16">
        <v>995</v>
      </c>
      <c r="N998" s="16">
        <f t="shared" si="112"/>
        <v>2.1658344955571035E-2</v>
      </c>
      <c r="O998" s="16">
        <v>4</v>
      </c>
      <c r="P998" s="16">
        <f t="shared" si="108"/>
        <v>9.1833785004516724</v>
      </c>
      <c r="Q998" s="16">
        <f t="shared" si="113"/>
        <v>46.171579686783801</v>
      </c>
      <c r="R998" s="113">
        <f t="shared" si="109"/>
        <v>329.49099999999999</v>
      </c>
      <c r="S998" s="16">
        <f>IF(S997=15800,15800,ROUND((((Q998*60)/'Gearing Calculator'!$C$14)*'Track Data'!P998),-2))</f>
        <v>12900</v>
      </c>
      <c r="T998" s="16">
        <f t="shared" si="111"/>
        <v>4.7672560072758658</v>
      </c>
      <c r="U998" s="16">
        <f>IF(AC998=100,Braking!$AG$2354,IF(AC998=50,Braking!$AG$1179,IF(AC998=75,Braking!$AG$1767,0)))</f>
        <v>0</v>
      </c>
      <c r="V998" s="16">
        <f>0.5*'Gearing Calculator'!$C$15*'Gearing Calculator'!$C$20*'Gearing Calculator'!$W$20*('Track Data'!Q998^2)</f>
        <v>225.63127533861709</v>
      </c>
      <c r="W998" s="16">
        <f>('Gearing Calculator'!$U$9*'Track Data'!T998)+'Track Data'!V998</f>
        <v>1494.6748244754526</v>
      </c>
      <c r="X998" s="16">
        <f>('Gearing Calculator'!$U$9*9.81)*('Gearing Calculator'!$U$16/'Gearing Calculator'!$C$7)-(('Track Data'!W998)*('Gearing Calculator'!$U$17/'Gearing Calculator'!$C$7))</f>
        <v>586.46244373728553</v>
      </c>
      <c r="Y998" s="16">
        <f>('Gearing Calculator'!$U$9*9.81)*(('Gearing Calculator'!$C$7-'Gearing Calculator'!$U$16)/'Gearing Calculator'!$C$7)+(('Track Data'!W998)*('Gearing Calculator'!$U$17/'Gearing Calculator'!$C$7))</f>
        <v>2024.9595562627146</v>
      </c>
      <c r="Z998" s="16">
        <f>((X998*COS('Gearing Calculator'!$C$21))/'Gearing Calculator'!$C$22)/2</f>
        <v>18.131563937675743</v>
      </c>
      <c r="AA998" s="16">
        <f>Y998/'Gearing Calculator'!$C$24</f>
        <v>28.275227213309599</v>
      </c>
      <c r="AB998" s="16">
        <f t="shared" si="107"/>
        <v>244.70029936772056</v>
      </c>
      <c r="AC998" s="16">
        <v>0</v>
      </c>
      <c r="AD998" s="16">
        <v>0</v>
      </c>
      <c r="AE998" s="16">
        <v>995</v>
      </c>
      <c r="AF998" s="16">
        <f>IF(AC998=0,IF(O998=6,INDEX(Acceleration!$V$4:$V$110,MATCH('Track Data'!S998,Acceleration!$K$4:$K$110,0)),IF('Track Data'!O998=5,INDEX(Acceleration!$U$4:$U$110,MATCH('Track Data'!S998,Acceleration!$K$4:$K$110,0)),1)),U998)</f>
        <v>1</v>
      </c>
      <c r="AG998" s="16">
        <f>IF(AC998=0,IF(O998=4,INDEX(Acceleration!$T$4:$T$110,MATCH('Track Data'!S998,Acceleration!$K$4:$K$110,0)),IF('Track Data'!O998=3,INDEX(Acceleration!$S$4:$S$110,MATCH('Track Data'!S998,Acceleration!$K$4:$K$110,0)),'Track Data'!AF998)),'Track Data'!U998)</f>
        <v>4.7672560072758658</v>
      </c>
      <c r="AH998" s="16">
        <f>IF(AC998=0,IF(O998=2,INDEX(Acceleration!$R$4:$R$110,MATCH('Track Data'!S998,Acceleration!$K$4:$K$110,0)),IF('Track Data'!O998=1,INDEX(Acceleration!$Q$4:$Q$110,MATCH('Track Data'!S998,Acceleration!$K$4:$K$110,0)),'Track Data'!AG998)),'Track Data'!U998)</f>
        <v>4.7672560072758658</v>
      </c>
    </row>
    <row r="999" spans="2:34" x14ac:dyDescent="0.25">
      <c r="B999" s="16">
        <v>224.29400000000001</v>
      </c>
      <c r="C999" s="16">
        <v>8269</v>
      </c>
      <c r="D999" s="16">
        <v>996</v>
      </c>
      <c r="E999" s="113">
        <v>174</v>
      </c>
      <c r="F999" s="113">
        <v>169.1</v>
      </c>
      <c r="G999" s="113">
        <v>164.6</v>
      </c>
      <c r="H999" s="113">
        <f t="shared" si="110"/>
        <v>45.722222222222221</v>
      </c>
      <c r="I999" s="113">
        <v>5.6</v>
      </c>
      <c r="J999" s="113">
        <v>10.91</v>
      </c>
      <c r="K999" s="113">
        <v>18.100000000000001</v>
      </c>
      <c r="L999" s="185"/>
      <c r="M999" s="16">
        <v>996</v>
      </c>
      <c r="N999" s="16">
        <f t="shared" si="112"/>
        <v>2.1610073491636263E-2</v>
      </c>
      <c r="O999" s="16">
        <v>4</v>
      </c>
      <c r="P999" s="16">
        <f t="shared" si="108"/>
        <v>9.1833785004516724</v>
      </c>
      <c r="Q999" s="16">
        <f t="shared" si="113"/>
        <v>46.274715372302161</v>
      </c>
      <c r="R999" s="113">
        <f t="shared" si="109"/>
        <v>329.49099999999999</v>
      </c>
      <c r="S999" s="16">
        <f>IF(S998=15800,15800,ROUND((((Q999*60)/'Gearing Calculator'!$C$14)*'Track Data'!P999),-2))</f>
        <v>12900</v>
      </c>
      <c r="T999" s="16">
        <f t="shared" si="111"/>
        <v>4.7672560072758658</v>
      </c>
      <c r="U999" s="16">
        <f>IF(AC999=100,Braking!$AG$2354,IF(AC999=50,Braking!$AG$1179,IF(AC999=75,Braking!$AG$1767,0)))</f>
        <v>0</v>
      </c>
      <c r="V999" s="16">
        <f>0.5*'Gearing Calculator'!$C$15*'Gearing Calculator'!$C$20*'Gearing Calculator'!$W$20*('Track Data'!Q999^2)</f>
        <v>226.64040809023723</v>
      </c>
      <c r="W999" s="16">
        <f>('Gearing Calculator'!$U$9*'Track Data'!T999)+'Track Data'!V999</f>
        <v>1495.6839572270728</v>
      </c>
      <c r="X999" s="16">
        <f>('Gearing Calculator'!$U$9*9.81)*('Gearing Calculator'!$U$16/'Gearing Calculator'!$C$7)-(('Track Data'!W999)*('Gearing Calculator'!$U$17/'Gearing Calculator'!$C$7))</f>
        <v>585.91239747020961</v>
      </c>
      <c r="Y999" s="16">
        <f>('Gearing Calculator'!$U$9*9.81)*(('Gearing Calculator'!$C$7-'Gearing Calculator'!$U$16)/'Gearing Calculator'!$C$7)+(('Track Data'!W999)*('Gearing Calculator'!$U$17/'Gearing Calculator'!$C$7))</f>
        <v>2025.5096025297903</v>
      </c>
      <c r="Z999" s="16">
        <f>((X999*COS('Gearing Calculator'!$C$21))/'Gearing Calculator'!$C$22)/2</f>
        <v>18.114558246745883</v>
      </c>
      <c r="AA999" s="16">
        <f>Y999/'Gearing Calculator'!$C$24</f>
        <v>28.282907704078561</v>
      </c>
      <c r="AB999" s="16">
        <f t="shared" si="107"/>
        <v>245.7094321193407</v>
      </c>
      <c r="AC999" s="16">
        <v>0</v>
      </c>
      <c r="AD999" s="16">
        <v>0</v>
      </c>
      <c r="AE999" s="16">
        <v>996</v>
      </c>
      <c r="AF999" s="16">
        <f>IF(AC999=0,IF(O999=6,INDEX(Acceleration!$V$4:$V$110,MATCH('Track Data'!S999,Acceleration!$K$4:$K$110,0)),IF('Track Data'!O999=5,INDEX(Acceleration!$U$4:$U$110,MATCH('Track Data'!S999,Acceleration!$K$4:$K$110,0)),1)),U999)</f>
        <v>1</v>
      </c>
      <c r="AG999" s="16">
        <f>IF(AC999=0,IF(O999=4,INDEX(Acceleration!$T$4:$T$110,MATCH('Track Data'!S999,Acceleration!$K$4:$K$110,0)),IF('Track Data'!O999=3,INDEX(Acceleration!$S$4:$S$110,MATCH('Track Data'!S999,Acceleration!$K$4:$K$110,0)),'Track Data'!AF999)),'Track Data'!U999)</f>
        <v>4.7672560072758658</v>
      </c>
      <c r="AH999" s="16">
        <f>IF(AC999=0,IF(O999=2,INDEX(Acceleration!$R$4:$R$110,MATCH('Track Data'!S999,Acceleration!$K$4:$K$110,0)),IF('Track Data'!O999=1,INDEX(Acceleration!$Q$4:$Q$110,MATCH('Track Data'!S999,Acceleration!$K$4:$K$110,0)),'Track Data'!AG999)),'Track Data'!U999)</f>
        <v>4.7672560072758658</v>
      </c>
    </row>
    <row r="1000" spans="2:34" x14ac:dyDescent="0.25">
      <c r="B1000" s="16">
        <v>224.315</v>
      </c>
      <c r="C1000" s="16">
        <v>8270</v>
      </c>
      <c r="D1000" s="16">
        <v>997</v>
      </c>
      <c r="E1000" s="113">
        <v>173</v>
      </c>
      <c r="F1000" s="113">
        <v>169.2</v>
      </c>
      <c r="G1000" s="113">
        <v>165</v>
      </c>
      <c r="H1000" s="113">
        <f t="shared" si="110"/>
        <v>45.833333333333336</v>
      </c>
      <c r="I1000" s="113">
        <v>5.6</v>
      </c>
      <c r="J1000" s="113">
        <v>13.32</v>
      </c>
      <c r="K1000" s="113">
        <v>22.1</v>
      </c>
      <c r="L1000" s="185"/>
      <c r="M1000" s="16">
        <v>997</v>
      </c>
      <c r="N1000" s="16">
        <f t="shared" si="112"/>
        <v>2.156212335357845E-2</v>
      </c>
      <c r="O1000" s="16">
        <v>4</v>
      </c>
      <c r="P1000" s="16">
        <f t="shared" si="108"/>
        <v>9.1833785004516724</v>
      </c>
      <c r="Q1000" s="16">
        <f t="shared" si="113"/>
        <v>46.377621702736434</v>
      </c>
      <c r="R1000" s="113">
        <f t="shared" si="109"/>
        <v>329.49099999999999</v>
      </c>
      <c r="S1000" s="16">
        <f>IF(S999=15800,15800,ROUND((((Q1000*60)/'Gearing Calculator'!$C$14)*'Track Data'!P1000),-2))</f>
        <v>12900</v>
      </c>
      <c r="T1000" s="16">
        <f t="shared" si="111"/>
        <v>4.7672560072758658</v>
      </c>
      <c r="U1000" s="16">
        <f>IF(AC1000=100,Braking!$AG$2354,IF(AC1000=50,Braking!$AG$1179,IF(AC1000=75,Braking!$AG$1767,0)))</f>
        <v>0</v>
      </c>
      <c r="V1000" s="16">
        <f>0.5*'Gearing Calculator'!$C$15*'Gearing Calculator'!$C$20*'Gearing Calculator'!$W$20*('Track Data'!Q1000^2)</f>
        <v>227.64954084185737</v>
      </c>
      <c r="W1000" s="16">
        <f>('Gearing Calculator'!$U$9*'Track Data'!T1000)+'Track Data'!V1000</f>
        <v>1496.6930899786928</v>
      </c>
      <c r="X1000" s="16">
        <f>('Gearing Calculator'!$U$9*9.81)*('Gearing Calculator'!$U$16/'Gearing Calculator'!$C$7)-(('Track Data'!W1000)*('Gearing Calculator'!$U$17/'Gearing Calculator'!$C$7))</f>
        <v>585.36235120313393</v>
      </c>
      <c r="Y1000" s="16">
        <f>('Gearing Calculator'!$U$9*9.81)*(('Gearing Calculator'!$C$7-'Gearing Calculator'!$U$16)/'Gearing Calculator'!$C$7)+(('Track Data'!W1000)*('Gearing Calculator'!$U$17/'Gearing Calculator'!$C$7))</f>
        <v>2026.059648796866</v>
      </c>
      <c r="Z1000" s="16">
        <f>((X1000*COS('Gearing Calculator'!$C$21))/'Gearing Calculator'!$C$22)/2</f>
        <v>18.09755255581603</v>
      </c>
      <c r="AA1000" s="16">
        <f>Y1000/'Gearing Calculator'!$C$24</f>
        <v>28.290588194847523</v>
      </c>
      <c r="AB1000" s="16">
        <f t="shared" si="107"/>
        <v>246.71856487096085</v>
      </c>
      <c r="AC1000" s="16">
        <v>0</v>
      </c>
      <c r="AD1000" s="16">
        <v>0</v>
      </c>
      <c r="AE1000" s="16">
        <v>997</v>
      </c>
      <c r="AF1000" s="16">
        <f>IF(AC1000=0,IF(O1000=6,INDEX(Acceleration!$V$4:$V$110,MATCH('Track Data'!S1000,Acceleration!$K$4:$K$110,0)),IF('Track Data'!O1000=5,INDEX(Acceleration!$U$4:$U$110,MATCH('Track Data'!S1000,Acceleration!$K$4:$K$110,0)),1)),U1000)</f>
        <v>1</v>
      </c>
      <c r="AG1000" s="16">
        <f>IF(AC1000=0,IF(O1000=4,INDEX(Acceleration!$T$4:$T$110,MATCH('Track Data'!S1000,Acceleration!$K$4:$K$110,0)),IF('Track Data'!O1000=3,INDEX(Acceleration!$S$4:$S$110,MATCH('Track Data'!S1000,Acceleration!$K$4:$K$110,0)),'Track Data'!AF1000)),'Track Data'!U1000)</f>
        <v>4.7672560072758658</v>
      </c>
      <c r="AH1000" s="16">
        <f>IF(AC1000=0,IF(O1000=2,INDEX(Acceleration!$R$4:$R$110,MATCH('Track Data'!S1000,Acceleration!$K$4:$K$110,0)),IF('Track Data'!O1000=1,INDEX(Acceleration!$Q$4:$Q$110,MATCH('Track Data'!S1000,Acceleration!$K$4:$K$110,0)),'Track Data'!AG1000)),'Track Data'!U1000)</f>
        <v>4.7672560072758658</v>
      </c>
    </row>
    <row r="1001" spans="2:34" x14ac:dyDescent="0.25">
      <c r="B1001" s="16">
        <v>224.33600000000001</v>
      </c>
      <c r="C1001" s="16">
        <v>8271</v>
      </c>
      <c r="D1001" s="16">
        <v>998</v>
      </c>
      <c r="E1001" s="113">
        <v>173</v>
      </c>
      <c r="F1001" s="113">
        <v>169.4</v>
      </c>
      <c r="G1001" s="113">
        <v>165.4</v>
      </c>
      <c r="H1001" s="113">
        <f t="shared" si="110"/>
        <v>45.944444444444443</v>
      </c>
      <c r="I1001" s="113">
        <v>6.1</v>
      </c>
      <c r="J1001" s="113">
        <v>12.05</v>
      </c>
      <c r="K1001" s="113">
        <v>22.9</v>
      </c>
      <c r="L1001" s="185"/>
      <c r="M1001" s="16">
        <v>998</v>
      </c>
      <c r="N1001" s="16">
        <f t="shared" si="112"/>
        <v>2.1514490992225941E-2</v>
      </c>
      <c r="O1001" s="16">
        <v>4</v>
      </c>
      <c r="P1001" s="16">
        <f t="shared" si="108"/>
        <v>9.1833785004516724</v>
      </c>
      <c r="Q1001" s="16">
        <f t="shared" si="113"/>
        <v>46.480300201447506</v>
      </c>
      <c r="R1001" s="113">
        <f t="shared" si="109"/>
        <v>329.49099999999999</v>
      </c>
      <c r="S1001" s="16">
        <f>IF(S1000=15800,15800,ROUND((((Q1001*60)/'Gearing Calculator'!$C$14)*'Track Data'!P1001),-2))</f>
        <v>12900</v>
      </c>
      <c r="T1001" s="16">
        <f t="shared" si="111"/>
        <v>4.7672560072758658</v>
      </c>
      <c r="U1001" s="16">
        <f>IF(AC1001=100,Braking!$AG$2354,IF(AC1001=50,Braking!$AG$1179,IF(AC1001=75,Braking!$AG$1767,0)))</f>
        <v>0</v>
      </c>
      <c r="V1001" s="16">
        <f>0.5*'Gearing Calculator'!$C$15*'Gearing Calculator'!$C$20*'Gearing Calculator'!$W$20*('Track Data'!Q1001^2)</f>
        <v>228.65867359347746</v>
      </c>
      <c r="W1001" s="16">
        <f>('Gearing Calculator'!$U$9*'Track Data'!T1001)+'Track Data'!V1001</f>
        <v>1497.702222730313</v>
      </c>
      <c r="X1001" s="16">
        <f>('Gearing Calculator'!$U$9*9.81)*('Gearing Calculator'!$U$16/'Gearing Calculator'!$C$7)-(('Track Data'!W1001)*('Gearing Calculator'!$U$17/'Gearing Calculator'!$C$7))</f>
        <v>584.81230493605801</v>
      </c>
      <c r="Y1001" s="16">
        <f>('Gearing Calculator'!$U$9*9.81)*(('Gearing Calculator'!$C$7-'Gearing Calculator'!$U$16)/'Gearing Calculator'!$C$7)+(('Track Data'!W1001)*('Gearing Calculator'!$U$17/'Gearing Calculator'!$C$7))</f>
        <v>2026.6096950639421</v>
      </c>
      <c r="Z1001" s="16">
        <f>((X1001*COS('Gearing Calculator'!$C$21))/'Gearing Calculator'!$C$22)/2</f>
        <v>18.08054686488617</v>
      </c>
      <c r="AA1001" s="16">
        <f>Y1001/'Gearing Calculator'!$C$24</f>
        <v>28.298268685616492</v>
      </c>
      <c r="AB1001" s="16">
        <f t="shared" si="107"/>
        <v>247.72769762258093</v>
      </c>
      <c r="AC1001" s="16">
        <v>0</v>
      </c>
      <c r="AD1001" s="16">
        <v>0</v>
      </c>
      <c r="AE1001" s="16">
        <v>998</v>
      </c>
      <c r="AF1001" s="16">
        <f>IF(AC1001=0,IF(O1001=6,INDEX(Acceleration!$V$4:$V$110,MATCH('Track Data'!S1001,Acceleration!$K$4:$K$110,0)),IF('Track Data'!O1001=5,INDEX(Acceleration!$U$4:$U$110,MATCH('Track Data'!S1001,Acceleration!$K$4:$K$110,0)),1)),U1001)</f>
        <v>1</v>
      </c>
      <c r="AG1001" s="16">
        <f>IF(AC1001=0,IF(O1001=4,INDEX(Acceleration!$T$4:$T$110,MATCH('Track Data'!S1001,Acceleration!$K$4:$K$110,0)),IF('Track Data'!O1001=3,INDEX(Acceleration!$S$4:$S$110,MATCH('Track Data'!S1001,Acceleration!$K$4:$K$110,0)),'Track Data'!AF1001)),'Track Data'!U1001)</f>
        <v>4.7672560072758658</v>
      </c>
      <c r="AH1001" s="16">
        <f>IF(AC1001=0,IF(O1001=2,INDEX(Acceleration!$R$4:$R$110,MATCH('Track Data'!S1001,Acceleration!$K$4:$K$110,0)),IF('Track Data'!O1001=1,INDEX(Acceleration!$Q$4:$Q$110,MATCH('Track Data'!S1001,Acceleration!$K$4:$K$110,0)),'Track Data'!AG1001)),'Track Data'!U1001)</f>
        <v>4.7672560072758658</v>
      </c>
    </row>
    <row r="1002" spans="2:34" x14ac:dyDescent="0.25">
      <c r="B1002" s="16">
        <v>224.357</v>
      </c>
      <c r="C1002" s="16">
        <v>8272</v>
      </c>
      <c r="D1002" s="16">
        <v>999</v>
      </c>
      <c r="E1002" s="113">
        <v>173</v>
      </c>
      <c r="F1002" s="113">
        <v>169.7</v>
      </c>
      <c r="G1002" s="113">
        <v>165.8</v>
      </c>
      <c r="H1002" s="113">
        <f t="shared" si="110"/>
        <v>46.055555555555557</v>
      </c>
      <c r="I1002" s="113">
        <v>6</v>
      </c>
      <c r="J1002" s="113">
        <v>12.14</v>
      </c>
      <c r="K1002" s="113">
        <v>22.2</v>
      </c>
      <c r="L1002" s="185"/>
      <c r="M1002" s="16">
        <v>999</v>
      </c>
      <c r="N1002" s="16">
        <f t="shared" si="112"/>
        <v>2.1467172913048525E-2</v>
      </c>
      <c r="O1002" s="16">
        <v>4</v>
      </c>
      <c r="P1002" s="16">
        <f t="shared" si="108"/>
        <v>9.1833785004516724</v>
      </c>
      <c r="Q1002" s="16">
        <f t="shared" si="113"/>
        <v>46.582752375007132</v>
      </c>
      <c r="R1002" s="113">
        <f t="shared" si="109"/>
        <v>329.49099999999999</v>
      </c>
      <c r="S1002" s="16">
        <f>IF(S1001=15800,15800,ROUND((((Q1002*60)/'Gearing Calculator'!$C$14)*'Track Data'!P1002),-2))</f>
        <v>13000</v>
      </c>
      <c r="T1002" s="16">
        <f t="shared" si="111"/>
        <v>4.7177985984598587</v>
      </c>
      <c r="U1002" s="16">
        <f>IF(AC1002=100,Braking!$AG$2354,IF(AC1002=50,Braking!$AG$1179,IF(AC1002=75,Braking!$AG$1767,0)))</f>
        <v>0</v>
      </c>
      <c r="V1002" s="16">
        <f>0.5*'Gearing Calculator'!$C$15*'Gearing Calculator'!$C$20*'Gearing Calculator'!$W$20*('Track Data'!Q1002^2)</f>
        <v>229.66780634509763</v>
      </c>
      <c r="W1002" s="16">
        <f>('Gearing Calculator'!$U$9*'Track Data'!T1002)+'Track Data'!V1002</f>
        <v>1485.5457932551121</v>
      </c>
      <c r="X1002" s="16">
        <f>('Gearing Calculator'!$U$9*9.81)*('Gearing Calculator'!$U$16/'Gearing Calculator'!$C$7)-(('Track Data'!W1002)*('Gearing Calculator'!$U$17/'Gearing Calculator'!$C$7))</f>
        <v>591.43838920799305</v>
      </c>
      <c r="Y1002" s="16">
        <f>('Gearing Calculator'!$U$9*9.81)*(('Gearing Calculator'!$C$7-'Gearing Calculator'!$U$16)/'Gearing Calculator'!$C$7)+(('Track Data'!W1002)*('Gearing Calculator'!$U$17/'Gearing Calculator'!$C$7))</f>
        <v>2019.9836107920069</v>
      </c>
      <c r="Z1002" s="16">
        <f>((X1002*COS('Gearing Calculator'!$C$21))/'Gearing Calculator'!$C$22)/2</f>
        <v>18.285404434055316</v>
      </c>
      <c r="AA1002" s="16">
        <f>Y1002/'Gearing Calculator'!$C$24</f>
        <v>28.205746324987576</v>
      </c>
      <c r="AB1002" s="16">
        <f t="shared" si="107"/>
        <v>248.53900073893706</v>
      </c>
      <c r="AC1002" s="16">
        <v>0</v>
      </c>
      <c r="AD1002" s="16">
        <v>0</v>
      </c>
      <c r="AE1002" s="16">
        <v>999</v>
      </c>
      <c r="AF1002" s="16">
        <f>IF(AC1002=0,IF(O1002=6,INDEX(Acceleration!$V$4:$V$110,MATCH('Track Data'!S1002,Acceleration!$K$4:$K$110,0)),IF('Track Data'!O1002=5,INDEX(Acceleration!$U$4:$U$110,MATCH('Track Data'!S1002,Acceleration!$K$4:$K$110,0)),1)),U1002)</f>
        <v>1</v>
      </c>
      <c r="AG1002" s="16">
        <f>IF(AC1002=0,IF(O1002=4,INDEX(Acceleration!$T$4:$T$110,MATCH('Track Data'!S1002,Acceleration!$K$4:$K$110,0)),IF('Track Data'!O1002=3,INDEX(Acceleration!$S$4:$S$110,MATCH('Track Data'!S1002,Acceleration!$K$4:$K$110,0)),'Track Data'!AF1002)),'Track Data'!U1002)</f>
        <v>4.7177985984598587</v>
      </c>
      <c r="AH1002" s="16">
        <f>IF(AC1002=0,IF(O1002=2,INDEX(Acceleration!$R$4:$R$110,MATCH('Track Data'!S1002,Acceleration!$K$4:$K$110,0)),IF('Track Data'!O1002=1,INDEX(Acceleration!$Q$4:$Q$110,MATCH('Track Data'!S1002,Acceleration!$K$4:$K$110,0)),'Track Data'!AG1002)),'Track Data'!U1002)</f>
        <v>4.7177985984598587</v>
      </c>
    </row>
    <row r="1003" spans="2:34" x14ac:dyDescent="0.25">
      <c r="B1003" s="16">
        <v>224.37799999999999</v>
      </c>
      <c r="C1003" s="16">
        <v>8273</v>
      </c>
      <c r="D1003" s="16">
        <v>1000</v>
      </c>
      <c r="E1003" s="113">
        <v>173</v>
      </c>
      <c r="F1003" s="113">
        <v>170</v>
      </c>
      <c r="G1003" s="113">
        <v>166.2</v>
      </c>
      <c r="H1003" s="113">
        <f t="shared" si="110"/>
        <v>46.166666666666664</v>
      </c>
      <c r="I1003" s="113">
        <v>5.7</v>
      </c>
      <c r="J1003" s="113">
        <v>11.3</v>
      </c>
      <c r="K1003" s="113">
        <v>21.5</v>
      </c>
      <c r="L1003" s="185"/>
      <c r="M1003" s="16">
        <v>1000</v>
      </c>
      <c r="N1003" s="16">
        <f t="shared" si="112"/>
        <v>2.1420651762765877E-2</v>
      </c>
      <c r="O1003" s="16">
        <v>4</v>
      </c>
      <c r="P1003" s="16">
        <f t="shared" si="108"/>
        <v>9.1833785004516724</v>
      </c>
      <c r="Q1003" s="16">
        <f t="shared" si="113"/>
        <v>46.683920315544967</v>
      </c>
      <c r="R1003" s="113">
        <f t="shared" si="109"/>
        <v>329.49099999999999</v>
      </c>
      <c r="S1003" s="16">
        <f>IF(S1002=15800,15800,ROUND((((Q1003*60)/'Gearing Calculator'!$C$14)*'Track Data'!P1003),-2))</f>
        <v>13000</v>
      </c>
      <c r="T1003" s="16">
        <f t="shared" si="111"/>
        <v>4.7177985984598587</v>
      </c>
      <c r="U1003" s="16">
        <f>IF(AC1003=100,Braking!$AG$2354,IF(AC1003=50,Braking!$AG$1179,IF(AC1003=75,Braking!$AG$1767,0)))</f>
        <v>0</v>
      </c>
      <c r="V1003" s="16">
        <f>0.5*'Gearing Calculator'!$C$15*'Gearing Calculator'!$C$20*'Gearing Calculator'!$W$20*('Track Data'!Q1003^2)</f>
        <v>230.66646995241962</v>
      </c>
      <c r="W1003" s="16">
        <f>('Gearing Calculator'!$U$9*'Track Data'!T1003)+'Track Data'!V1003</f>
        <v>1486.5444568624341</v>
      </c>
      <c r="X1003" s="16">
        <f>('Gearing Calculator'!$U$9*9.81)*('Gearing Calculator'!$U$16/'Gearing Calculator'!$C$7)-(('Track Data'!W1003)*('Gearing Calculator'!$U$17/'Gearing Calculator'!$C$7))</f>
        <v>590.89404933953665</v>
      </c>
      <c r="Y1003" s="16">
        <f>('Gearing Calculator'!$U$9*9.81)*(('Gearing Calculator'!$C$7-'Gearing Calculator'!$U$16)/'Gearing Calculator'!$C$7)+(('Track Data'!W1003)*('Gearing Calculator'!$U$17/'Gearing Calculator'!$C$7))</f>
        <v>2020.5279506604634</v>
      </c>
      <c r="Z1003" s="16">
        <f>((X1003*COS('Gearing Calculator'!$C$21))/'Gearing Calculator'!$C$22)/2</f>
        <v>18.268575166922972</v>
      </c>
      <c r="AA1003" s="16">
        <f>Y1003/'Gearing Calculator'!$C$24</f>
        <v>28.213347135292288</v>
      </c>
      <c r="AB1003" s="16">
        <f t="shared" si="107"/>
        <v>249.53766434625905</v>
      </c>
      <c r="AC1003" s="16">
        <v>0</v>
      </c>
      <c r="AD1003" s="16">
        <v>0</v>
      </c>
      <c r="AE1003" s="16">
        <v>1000</v>
      </c>
      <c r="AF1003" s="16">
        <f>IF(AC1003=0,IF(O1003=6,INDEX(Acceleration!$V$4:$V$110,MATCH('Track Data'!S1003,Acceleration!$K$4:$K$110,0)),IF('Track Data'!O1003=5,INDEX(Acceleration!$U$4:$U$110,MATCH('Track Data'!S1003,Acceleration!$K$4:$K$110,0)),1)),U1003)</f>
        <v>1</v>
      </c>
      <c r="AG1003" s="16">
        <f>IF(AC1003=0,IF(O1003=4,INDEX(Acceleration!$T$4:$T$110,MATCH('Track Data'!S1003,Acceleration!$K$4:$K$110,0)),IF('Track Data'!O1003=3,INDEX(Acceleration!$S$4:$S$110,MATCH('Track Data'!S1003,Acceleration!$K$4:$K$110,0)),'Track Data'!AF1003)),'Track Data'!U1003)</f>
        <v>4.7177985984598587</v>
      </c>
      <c r="AH1003" s="16">
        <f>IF(AC1003=0,IF(O1003=2,INDEX(Acceleration!$R$4:$R$110,MATCH('Track Data'!S1003,Acceleration!$K$4:$K$110,0)),IF('Track Data'!O1003=1,INDEX(Acceleration!$Q$4:$Q$110,MATCH('Track Data'!S1003,Acceleration!$K$4:$K$110,0)),'Track Data'!AG1003)),'Track Data'!U1003)</f>
        <v>4.7177985984598587</v>
      </c>
    </row>
    <row r="1004" spans="2:34" x14ac:dyDescent="0.25">
      <c r="B1004" s="16">
        <v>224.399</v>
      </c>
      <c r="C1004" s="16">
        <v>8274</v>
      </c>
      <c r="D1004" s="16">
        <v>1001</v>
      </c>
      <c r="E1004" s="113">
        <v>174</v>
      </c>
      <c r="F1004" s="113">
        <v>170.2</v>
      </c>
      <c r="G1004" s="113">
        <v>166.5</v>
      </c>
      <c r="H1004" s="113">
        <f t="shared" si="110"/>
        <v>46.25</v>
      </c>
      <c r="I1004" s="113">
        <v>4.8</v>
      </c>
      <c r="J1004" s="113">
        <v>13.26</v>
      </c>
      <c r="K1004" s="113">
        <v>20.8</v>
      </c>
      <c r="L1004" s="185"/>
      <c r="M1004" s="16">
        <v>1001</v>
      </c>
      <c r="N1004" s="16">
        <f t="shared" si="112"/>
        <v>2.137443175313718E-2</v>
      </c>
      <c r="O1004" s="16">
        <v>4</v>
      </c>
      <c r="P1004" s="16">
        <f t="shared" si="108"/>
        <v>9.1833785004516724</v>
      </c>
      <c r="Q1004" s="16">
        <f t="shared" si="113"/>
        <v>46.784869490307145</v>
      </c>
      <c r="R1004" s="113">
        <f t="shared" si="109"/>
        <v>329.49099999999999</v>
      </c>
      <c r="S1004" s="16">
        <f>IF(S1003=15800,15800,ROUND((((Q1004*60)/'Gearing Calculator'!$C$14)*'Track Data'!P1004),-2))</f>
        <v>13000</v>
      </c>
      <c r="T1004" s="16">
        <f t="shared" si="111"/>
        <v>4.7177985984598587</v>
      </c>
      <c r="U1004" s="16">
        <f>IF(AC1004=100,Braking!$AG$2354,IF(AC1004=50,Braking!$AG$1179,IF(AC1004=75,Braking!$AG$1767,0)))</f>
        <v>0</v>
      </c>
      <c r="V1004" s="16">
        <f>0.5*'Gearing Calculator'!$C$15*'Gearing Calculator'!$C$20*'Gearing Calculator'!$W$20*('Track Data'!Q1004^2)</f>
        <v>231.66513355974161</v>
      </c>
      <c r="W1004" s="16">
        <f>('Gearing Calculator'!$U$9*'Track Data'!T1004)+'Track Data'!V1004</f>
        <v>1487.5431204697561</v>
      </c>
      <c r="X1004" s="16">
        <f>('Gearing Calculator'!$U$9*9.81)*('Gearing Calculator'!$U$16/'Gearing Calculator'!$C$7)-(('Track Data'!W1004)*('Gearing Calculator'!$U$17/'Gearing Calculator'!$C$7))</f>
        <v>590.34970947108025</v>
      </c>
      <c r="Y1004" s="16">
        <f>('Gearing Calculator'!$U$9*9.81)*(('Gearing Calculator'!$C$7-'Gearing Calculator'!$U$16)/'Gearing Calculator'!$C$7)+(('Track Data'!W1004)*('Gearing Calculator'!$U$17/'Gearing Calculator'!$C$7))</f>
        <v>2021.0722905289199</v>
      </c>
      <c r="Z1004" s="16">
        <f>((X1004*COS('Gearing Calculator'!$C$21))/'Gearing Calculator'!$C$22)/2</f>
        <v>18.251745899790624</v>
      </c>
      <c r="AA1004" s="16">
        <f>Y1004/'Gearing Calculator'!$C$24</f>
        <v>28.220947945597004</v>
      </c>
      <c r="AB1004" s="16">
        <f t="shared" si="107"/>
        <v>250.53632795358104</v>
      </c>
      <c r="AC1004" s="16">
        <v>0</v>
      </c>
      <c r="AD1004" s="16">
        <v>0</v>
      </c>
      <c r="AE1004" s="16">
        <v>1001</v>
      </c>
      <c r="AF1004" s="16">
        <f>IF(AC1004=0,IF(O1004=6,INDEX(Acceleration!$V$4:$V$110,MATCH('Track Data'!S1004,Acceleration!$K$4:$K$110,0)),IF('Track Data'!O1004=5,INDEX(Acceleration!$U$4:$U$110,MATCH('Track Data'!S1004,Acceleration!$K$4:$K$110,0)),1)),U1004)</f>
        <v>1</v>
      </c>
      <c r="AG1004" s="16">
        <f>IF(AC1004=0,IF(O1004=4,INDEX(Acceleration!$T$4:$T$110,MATCH('Track Data'!S1004,Acceleration!$K$4:$K$110,0)),IF('Track Data'!O1004=3,INDEX(Acceleration!$S$4:$S$110,MATCH('Track Data'!S1004,Acceleration!$K$4:$K$110,0)),'Track Data'!AF1004)),'Track Data'!U1004)</f>
        <v>4.7177985984598587</v>
      </c>
      <c r="AH1004" s="16">
        <f>IF(AC1004=0,IF(O1004=2,INDEX(Acceleration!$R$4:$R$110,MATCH('Track Data'!S1004,Acceleration!$K$4:$K$110,0)),IF('Track Data'!O1004=1,INDEX(Acceleration!$Q$4:$Q$110,MATCH('Track Data'!S1004,Acceleration!$K$4:$K$110,0)),'Track Data'!AG1004)),'Track Data'!U1004)</f>
        <v>4.7177985984598587</v>
      </c>
    </row>
    <row r="1005" spans="2:34" x14ac:dyDescent="0.25">
      <c r="B1005" s="16">
        <v>224.42099999999999</v>
      </c>
      <c r="C1005" s="16">
        <v>8275</v>
      </c>
      <c r="D1005" s="16">
        <v>1002</v>
      </c>
      <c r="E1005" s="113">
        <v>174</v>
      </c>
      <c r="F1005" s="113">
        <v>170.6</v>
      </c>
      <c r="G1005" s="113">
        <v>167.1</v>
      </c>
      <c r="H1005" s="113">
        <f t="shared" si="110"/>
        <v>46.416666666666664</v>
      </c>
      <c r="I1005" s="113">
        <v>4.5999999999999996</v>
      </c>
      <c r="J1005" s="113">
        <v>13.07</v>
      </c>
      <c r="K1005" s="113">
        <v>21.3</v>
      </c>
      <c r="L1005" s="185"/>
      <c r="M1005" s="16">
        <v>1002</v>
      </c>
      <c r="N1005" s="16">
        <f t="shared" si="112"/>
        <v>2.1328509649214726E-2</v>
      </c>
      <c r="O1005" s="16">
        <v>4</v>
      </c>
      <c r="P1005" s="16">
        <f t="shared" si="108"/>
        <v>9.1833785004516724</v>
      </c>
      <c r="Q1005" s="16">
        <f t="shared" si="113"/>
        <v>46.885601312364457</v>
      </c>
      <c r="R1005" s="113">
        <f t="shared" si="109"/>
        <v>329.49099999999999</v>
      </c>
      <c r="S1005" s="16">
        <f>IF(S1004=15800,15800,ROUND((((Q1005*60)/'Gearing Calculator'!$C$14)*'Track Data'!P1005),-2))</f>
        <v>13100</v>
      </c>
      <c r="T1005" s="16">
        <f t="shared" si="111"/>
        <v>4.668899545953348</v>
      </c>
      <c r="U1005" s="16">
        <f>IF(AC1005=100,Braking!$AG$2354,IF(AC1005=50,Braking!$AG$1179,IF(AC1005=75,Braking!$AG$1767,0)))</f>
        <v>0</v>
      </c>
      <c r="V1005" s="16">
        <f>0.5*'Gearing Calculator'!$C$15*'Gearing Calculator'!$C$20*'Gearing Calculator'!$W$20*('Track Data'!Q1005^2)</f>
        <v>232.66379716706356</v>
      </c>
      <c r="W1005" s="16">
        <f>('Gearing Calculator'!$U$9*'Track Data'!T1005)+'Track Data'!V1005</f>
        <v>1475.5248562998449</v>
      </c>
      <c r="X1005" s="16">
        <f>('Gearing Calculator'!$U$9*9.81)*('Gearing Calculator'!$U$16/'Gearing Calculator'!$C$7)-(('Track Data'!W1005)*('Gearing Calculator'!$U$17/'Gearing Calculator'!$C$7))</f>
        <v>596.90048421580786</v>
      </c>
      <c r="Y1005" s="16">
        <f>('Gearing Calculator'!$U$9*9.81)*(('Gearing Calculator'!$C$7-'Gearing Calculator'!$U$16)/'Gearing Calculator'!$C$7)+(('Track Data'!W1005)*('Gearing Calculator'!$U$17/'Gearing Calculator'!$C$7))</f>
        <v>2014.5215157841922</v>
      </c>
      <c r="Z1005" s="16">
        <f>((X1005*COS('Gearing Calculator'!$C$21))/'Gearing Calculator'!$C$22)/2</f>
        <v>18.454275136562259</v>
      </c>
      <c r="AA1005" s="16">
        <f>Y1005/'Gearing Calculator'!$C$24</f>
        <v>28.129477158559538</v>
      </c>
      <c r="AB1005" s="16">
        <f t="shared" si="107"/>
        <v>251.33939535087694</v>
      </c>
      <c r="AC1005" s="16">
        <v>0</v>
      </c>
      <c r="AD1005" s="16">
        <v>0</v>
      </c>
      <c r="AE1005" s="16">
        <v>1002</v>
      </c>
      <c r="AF1005" s="16">
        <f>IF(AC1005=0,IF(O1005=6,INDEX(Acceleration!$V$4:$V$110,MATCH('Track Data'!S1005,Acceleration!$K$4:$K$110,0)),IF('Track Data'!O1005=5,INDEX(Acceleration!$U$4:$U$110,MATCH('Track Data'!S1005,Acceleration!$K$4:$K$110,0)),1)),U1005)</f>
        <v>1</v>
      </c>
      <c r="AG1005" s="16">
        <f>IF(AC1005=0,IF(O1005=4,INDEX(Acceleration!$T$4:$T$110,MATCH('Track Data'!S1005,Acceleration!$K$4:$K$110,0)),IF('Track Data'!O1005=3,INDEX(Acceleration!$S$4:$S$110,MATCH('Track Data'!S1005,Acceleration!$K$4:$K$110,0)),'Track Data'!AF1005)),'Track Data'!U1005)</f>
        <v>4.668899545953348</v>
      </c>
      <c r="AH1005" s="16">
        <f>IF(AC1005=0,IF(O1005=2,INDEX(Acceleration!$R$4:$R$110,MATCH('Track Data'!S1005,Acceleration!$K$4:$K$110,0)),IF('Track Data'!O1005=1,INDEX(Acceleration!$Q$4:$Q$110,MATCH('Track Data'!S1005,Acceleration!$K$4:$K$110,0)),'Track Data'!AG1005)),'Track Data'!U1005)</f>
        <v>4.668899545953348</v>
      </c>
    </row>
    <row r="1006" spans="2:34" x14ac:dyDescent="0.25">
      <c r="B1006" s="16">
        <v>224.44200000000001</v>
      </c>
      <c r="C1006" s="16">
        <v>8276</v>
      </c>
      <c r="D1006" s="16">
        <v>1003</v>
      </c>
      <c r="E1006" s="113">
        <v>174</v>
      </c>
      <c r="F1006" s="113">
        <v>170.9</v>
      </c>
      <c r="G1006" s="113">
        <v>167.4</v>
      </c>
      <c r="H1006" s="113">
        <f t="shared" si="110"/>
        <v>46.5</v>
      </c>
      <c r="I1006" s="113">
        <v>4.5</v>
      </c>
      <c r="J1006" s="113">
        <v>11.95</v>
      </c>
      <c r="K1006" s="113">
        <v>21.8</v>
      </c>
      <c r="L1006" s="185"/>
      <c r="M1006" s="16">
        <v>1003</v>
      </c>
      <c r="N1006" s="16">
        <f t="shared" si="112"/>
        <v>2.1283353682537275E-2</v>
      </c>
      <c r="O1006" s="16">
        <v>4</v>
      </c>
      <c r="P1006" s="16">
        <f t="shared" si="108"/>
        <v>9.1833785004516724</v>
      </c>
      <c r="Q1006" s="16">
        <f t="shared" si="113"/>
        <v>46.985076455337371</v>
      </c>
      <c r="R1006" s="113">
        <f t="shared" si="109"/>
        <v>329.49099999999999</v>
      </c>
      <c r="S1006" s="16">
        <f>IF(S1005=15800,15800,ROUND((((Q1006*60)/'Gearing Calculator'!$C$14)*'Track Data'!P1006),-2))</f>
        <v>13100</v>
      </c>
      <c r="T1006" s="16">
        <f t="shared" si="111"/>
        <v>4.668899545953348</v>
      </c>
      <c r="U1006" s="16">
        <f>IF(AC1006=100,Braking!$AG$2354,IF(AC1006=50,Braking!$AG$1179,IF(AC1006=75,Braking!$AG$1767,0)))</f>
        <v>0</v>
      </c>
      <c r="V1006" s="16">
        <f>0.5*'Gearing Calculator'!$C$15*'Gearing Calculator'!$C$20*'Gearing Calculator'!$W$20*('Track Data'!Q1006^2)</f>
        <v>233.65210982295096</v>
      </c>
      <c r="W1006" s="16">
        <f>('Gearing Calculator'!$U$9*'Track Data'!T1006)+'Track Data'!V1006</f>
        <v>1476.5131689557322</v>
      </c>
      <c r="X1006" s="16">
        <f>('Gearing Calculator'!$U$9*9.81)*('Gearing Calculator'!$U$16/'Gearing Calculator'!$C$7)-(('Track Data'!W1006)*('Gearing Calculator'!$U$17/'Gearing Calculator'!$C$7))</f>
        <v>596.36178632278859</v>
      </c>
      <c r="Y1006" s="16">
        <f>('Gearing Calculator'!$U$9*9.81)*(('Gearing Calculator'!$C$7-'Gearing Calculator'!$U$16)/'Gearing Calculator'!$C$7)+(('Track Data'!W1006)*('Gearing Calculator'!$U$17/'Gearing Calculator'!$C$7))</f>
        <v>2015.0602136772113</v>
      </c>
      <c r="Z1006" s="16">
        <f>((X1006*COS('Gearing Calculator'!$C$21))/'Gearing Calculator'!$C$22)/2</f>
        <v>18.437620301466382</v>
      </c>
      <c r="AA1006" s="16">
        <f>Y1006/'Gearing Calculator'!$C$24</f>
        <v>28.136999187963703</v>
      </c>
      <c r="AB1006" s="16">
        <f t="shared" si="107"/>
        <v>252.32770800676434</v>
      </c>
      <c r="AC1006" s="16">
        <v>0</v>
      </c>
      <c r="AD1006" s="16">
        <v>0</v>
      </c>
      <c r="AE1006" s="16">
        <v>1003</v>
      </c>
      <c r="AF1006" s="16">
        <f>IF(AC1006=0,IF(O1006=6,INDEX(Acceleration!$V$4:$V$110,MATCH('Track Data'!S1006,Acceleration!$K$4:$K$110,0)),IF('Track Data'!O1006=5,INDEX(Acceleration!$U$4:$U$110,MATCH('Track Data'!S1006,Acceleration!$K$4:$K$110,0)),1)),U1006)</f>
        <v>1</v>
      </c>
      <c r="AG1006" s="16">
        <f>IF(AC1006=0,IF(O1006=4,INDEX(Acceleration!$T$4:$T$110,MATCH('Track Data'!S1006,Acceleration!$K$4:$K$110,0)),IF('Track Data'!O1006=3,INDEX(Acceleration!$S$4:$S$110,MATCH('Track Data'!S1006,Acceleration!$K$4:$K$110,0)),'Track Data'!AF1006)),'Track Data'!U1006)</f>
        <v>4.668899545953348</v>
      </c>
      <c r="AH1006" s="16">
        <f>IF(AC1006=0,IF(O1006=2,INDEX(Acceleration!$R$4:$R$110,MATCH('Track Data'!S1006,Acceleration!$K$4:$K$110,0)),IF('Track Data'!O1006=1,INDEX(Acceleration!$Q$4:$Q$110,MATCH('Track Data'!S1006,Acceleration!$K$4:$K$110,0)),'Track Data'!AG1006)),'Track Data'!U1006)</f>
        <v>4.668899545953348</v>
      </c>
    </row>
    <row r="1007" spans="2:34" x14ac:dyDescent="0.25">
      <c r="B1007" s="16">
        <v>224.46299999999999</v>
      </c>
      <c r="C1007" s="16">
        <v>8277</v>
      </c>
      <c r="D1007" s="16">
        <v>1004</v>
      </c>
      <c r="E1007" s="113">
        <v>175</v>
      </c>
      <c r="F1007" s="113">
        <v>171.4</v>
      </c>
      <c r="G1007" s="113">
        <v>167.8</v>
      </c>
      <c r="H1007" s="113">
        <f t="shared" si="110"/>
        <v>46.611111111111114</v>
      </c>
      <c r="I1007" s="113">
        <v>4.4000000000000004</v>
      </c>
      <c r="J1007" s="113">
        <v>11.98</v>
      </c>
      <c r="K1007" s="113">
        <v>22.4</v>
      </c>
      <c r="L1007" s="185"/>
      <c r="M1007" s="16">
        <v>1004</v>
      </c>
      <c r="N1007" s="16">
        <f t="shared" si="112"/>
        <v>2.1238483314602381E-2</v>
      </c>
      <c r="O1007" s="16">
        <v>4</v>
      </c>
      <c r="P1007" s="16">
        <f t="shared" si="108"/>
        <v>9.1833785004516724</v>
      </c>
      <c r="Q1007" s="16">
        <f t="shared" si="113"/>
        <v>47.084341437528941</v>
      </c>
      <c r="R1007" s="113">
        <f t="shared" si="109"/>
        <v>329.49099999999999</v>
      </c>
      <c r="S1007" s="16">
        <f>IF(S1006=15800,15800,ROUND((((Q1007*60)/'Gearing Calculator'!$C$14)*'Track Data'!P1007),-2))</f>
        <v>13100</v>
      </c>
      <c r="T1007" s="16">
        <f t="shared" si="111"/>
        <v>4.668899545953348</v>
      </c>
      <c r="U1007" s="16">
        <f>IF(AC1007=100,Braking!$AG$2354,IF(AC1007=50,Braking!$AG$1179,IF(AC1007=75,Braking!$AG$1767,0)))</f>
        <v>0</v>
      </c>
      <c r="V1007" s="16">
        <f>0.5*'Gearing Calculator'!$C$15*'Gearing Calculator'!$C$20*'Gearing Calculator'!$W$20*('Track Data'!Q1007^2)</f>
        <v>234.64042247883836</v>
      </c>
      <c r="W1007" s="16">
        <f>('Gearing Calculator'!$U$9*'Track Data'!T1007)+'Track Data'!V1007</f>
        <v>1477.5014816116197</v>
      </c>
      <c r="X1007" s="16">
        <f>('Gearing Calculator'!$U$9*9.81)*('Gearing Calculator'!$U$16/'Gearing Calculator'!$C$7)-(('Track Data'!W1007)*('Gearing Calculator'!$U$17/'Gearing Calculator'!$C$7))</f>
        <v>595.82308842976909</v>
      </c>
      <c r="Y1007" s="16">
        <f>('Gearing Calculator'!$U$9*9.81)*(('Gearing Calculator'!$C$7-'Gearing Calculator'!$U$16)/'Gearing Calculator'!$C$7)+(('Track Data'!W1007)*('Gearing Calculator'!$U$17/'Gearing Calculator'!$C$7))</f>
        <v>2015.5989115702309</v>
      </c>
      <c r="Z1007" s="16">
        <f>((X1007*COS('Gearing Calculator'!$C$21))/'Gearing Calculator'!$C$22)/2</f>
        <v>18.420965466370497</v>
      </c>
      <c r="AA1007" s="16">
        <f>Y1007/'Gearing Calculator'!$C$24</f>
        <v>28.14452121736787</v>
      </c>
      <c r="AB1007" s="16">
        <f t="shared" si="107"/>
        <v>253.31602066265174</v>
      </c>
      <c r="AC1007" s="16">
        <v>0</v>
      </c>
      <c r="AD1007" s="16">
        <v>0</v>
      </c>
      <c r="AE1007" s="16">
        <v>1004</v>
      </c>
      <c r="AF1007" s="16">
        <f>IF(AC1007=0,IF(O1007=6,INDEX(Acceleration!$V$4:$V$110,MATCH('Track Data'!S1007,Acceleration!$K$4:$K$110,0)),IF('Track Data'!O1007=5,INDEX(Acceleration!$U$4:$U$110,MATCH('Track Data'!S1007,Acceleration!$K$4:$K$110,0)),1)),U1007)</f>
        <v>1</v>
      </c>
      <c r="AG1007" s="16">
        <f>IF(AC1007=0,IF(O1007=4,INDEX(Acceleration!$T$4:$T$110,MATCH('Track Data'!S1007,Acceleration!$K$4:$K$110,0)),IF('Track Data'!O1007=3,INDEX(Acceleration!$S$4:$S$110,MATCH('Track Data'!S1007,Acceleration!$K$4:$K$110,0)),'Track Data'!AF1007)),'Track Data'!U1007)</f>
        <v>4.668899545953348</v>
      </c>
      <c r="AH1007" s="16">
        <f>IF(AC1007=0,IF(O1007=2,INDEX(Acceleration!$R$4:$R$110,MATCH('Track Data'!S1007,Acceleration!$K$4:$K$110,0)),IF('Track Data'!O1007=1,INDEX(Acceleration!$Q$4:$Q$110,MATCH('Track Data'!S1007,Acceleration!$K$4:$K$110,0)),'Track Data'!AG1007)),'Track Data'!U1007)</f>
        <v>4.668899545953348</v>
      </c>
    </row>
    <row r="1008" spans="2:34" x14ac:dyDescent="0.25">
      <c r="B1008" s="16">
        <v>224.48400000000001</v>
      </c>
      <c r="C1008" s="16">
        <v>8278</v>
      </c>
      <c r="D1008" s="16">
        <v>1005</v>
      </c>
      <c r="E1008" s="113">
        <v>175</v>
      </c>
      <c r="F1008" s="113">
        <v>171.8</v>
      </c>
      <c r="G1008" s="113">
        <v>168.1</v>
      </c>
      <c r="H1008" s="113">
        <f t="shared" si="110"/>
        <v>46.694444444444443</v>
      </c>
      <c r="I1008" s="113">
        <v>4</v>
      </c>
      <c r="J1008" s="113">
        <v>12.97</v>
      </c>
      <c r="K1008" s="113">
        <v>22.5</v>
      </c>
      <c r="L1008" s="185"/>
      <c r="M1008" s="16">
        <v>1005</v>
      </c>
      <c r="N1008" s="16">
        <f t="shared" si="112"/>
        <v>2.1193895547496108E-2</v>
      </c>
      <c r="O1008" s="16">
        <v>4</v>
      </c>
      <c r="P1008" s="16">
        <f t="shared" si="108"/>
        <v>9.1833785004516724</v>
      </c>
      <c r="Q1008" s="16">
        <f t="shared" si="113"/>
        <v>47.183397585355287</v>
      </c>
      <c r="R1008" s="113">
        <f t="shared" si="109"/>
        <v>329.49099999999999</v>
      </c>
      <c r="S1008" s="16">
        <f>IF(S1007=15800,15800,ROUND((((Q1008*60)/'Gearing Calculator'!$C$14)*'Track Data'!P1008),-2))</f>
        <v>13100</v>
      </c>
      <c r="T1008" s="16">
        <f t="shared" si="111"/>
        <v>4.668899545953348</v>
      </c>
      <c r="U1008" s="16">
        <f>IF(AC1008=100,Braking!$AG$2354,IF(AC1008=50,Braking!$AG$1179,IF(AC1008=75,Braking!$AG$1767,0)))</f>
        <v>0</v>
      </c>
      <c r="V1008" s="16">
        <f>0.5*'Gearing Calculator'!$C$15*'Gearing Calculator'!$C$20*'Gearing Calculator'!$W$20*('Track Data'!Q1008^2)</f>
        <v>235.62873513472576</v>
      </c>
      <c r="W1008" s="16">
        <f>('Gearing Calculator'!$U$9*'Track Data'!T1008)+'Track Data'!V1008</f>
        <v>1478.489794267507</v>
      </c>
      <c r="X1008" s="16">
        <f>('Gearing Calculator'!$U$9*9.81)*('Gearing Calculator'!$U$16/'Gearing Calculator'!$C$7)-(('Track Data'!W1008)*('Gearing Calculator'!$U$17/'Gearing Calculator'!$C$7))</f>
        <v>595.2843905367497</v>
      </c>
      <c r="Y1008" s="16">
        <f>('Gearing Calculator'!$U$9*9.81)*(('Gearing Calculator'!$C$7-'Gearing Calculator'!$U$16)/'Gearing Calculator'!$C$7)+(('Track Data'!W1008)*('Gearing Calculator'!$U$17/'Gearing Calculator'!$C$7))</f>
        <v>2016.1376094632503</v>
      </c>
      <c r="Z1008" s="16">
        <f>((X1008*COS('Gearing Calculator'!$C$21))/'Gearing Calculator'!$C$22)/2</f>
        <v>18.404310631274615</v>
      </c>
      <c r="AA1008" s="16">
        <f>Y1008/'Gearing Calculator'!$C$24</f>
        <v>28.152043246772035</v>
      </c>
      <c r="AB1008" s="16">
        <f t="shared" si="107"/>
        <v>254.30433331853914</v>
      </c>
      <c r="AC1008" s="16">
        <v>0</v>
      </c>
      <c r="AD1008" s="16">
        <v>0</v>
      </c>
      <c r="AE1008" s="16">
        <v>1005</v>
      </c>
      <c r="AF1008" s="16">
        <f>IF(AC1008=0,IF(O1008=6,INDEX(Acceleration!$V$4:$V$110,MATCH('Track Data'!S1008,Acceleration!$K$4:$K$110,0)),IF('Track Data'!O1008=5,INDEX(Acceleration!$U$4:$U$110,MATCH('Track Data'!S1008,Acceleration!$K$4:$K$110,0)),1)),U1008)</f>
        <v>1</v>
      </c>
      <c r="AG1008" s="16">
        <f>IF(AC1008=0,IF(O1008=4,INDEX(Acceleration!$T$4:$T$110,MATCH('Track Data'!S1008,Acceleration!$K$4:$K$110,0)),IF('Track Data'!O1008=3,INDEX(Acceleration!$S$4:$S$110,MATCH('Track Data'!S1008,Acceleration!$K$4:$K$110,0)),'Track Data'!AF1008)),'Track Data'!U1008)</f>
        <v>4.668899545953348</v>
      </c>
      <c r="AH1008" s="16">
        <f>IF(AC1008=0,IF(O1008=2,INDEX(Acceleration!$R$4:$R$110,MATCH('Track Data'!S1008,Acceleration!$K$4:$K$110,0)),IF('Track Data'!O1008=1,INDEX(Acceleration!$Q$4:$Q$110,MATCH('Track Data'!S1008,Acceleration!$K$4:$K$110,0)),'Track Data'!AG1008)),'Track Data'!U1008)</f>
        <v>4.668899545953348</v>
      </c>
    </row>
    <row r="1009" spans="2:34" x14ac:dyDescent="0.25">
      <c r="B1009" s="16">
        <v>224.50399999999999</v>
      </c>
      <c r="C1009" s="16">
        <v>8279</v>
      </c>
      <c r="D1009" s="16">
        <v>1006</v>
      </c>
      <c r="E1009" s="113">
        <v>175</v>
      </c>
      <c r="F1009" s="113">
        <v>171.8</v>
      </c>
      <c r="G1009" s="113">
        <v>168.4</v>
      </c>
      <c r="H1009" s="113">
        <f t="shared" si="110"/>
        <v>46.777777777777779</v>
      </c>
      <c r="I1009" s="113">
        <v>4</v>
      </c>
      <c r="J1009" s="113">
        <v>13.69</v>
      </c>
      <c r="K1009" s="113">
        <v>21.3</v>
      </c>
      <c r="L1009" s="185"/>
      <c r="M1009" s="16">
        <v>1006</v>
      </c>
      <c r="N1009" s="16">
        <f t="shared" si="112"/>
        <v>2.1149587427176819E-2</v>
      </c>
      <c r="O1009" s="16">
        <v>4</v>
      </c>
      <c r="P1009" s="16">
        <f t="shared" si="108"/>
        <v>9.1833785004516724</v>
      </c>
      <c r="Q1009" s="16">
        <f t="shared" si="113"/>
        <v>47.282246211338332</v>
      </c>
      <c r="R1009" s="113">
        <f t="shared" si="109"/>
        <v>329.49099999999999</v>
      </c>
      <c r="S1009" s="16">
        <f>IF(S1008=15800,15800,ROUND((((Q1009*60)/'Gearing Calculator'!$C$14)*'Track Data'!P1009),-2))</f>
        <v>13200</v>
      </c>
      <c r="T1009" s="16">
        <f t="shared" si="111"/>
        <v>4.6205446580837366</v>
      </c>
      <c r="U1009" s="16">
        <f>IF(AC1009=100,Braking!$AG$2354,IF(AC1009=50,Braking!$AG$1179,IF(AC1009=75,Braking!$AG$1767,0)))</f>
        <v>0</v>
      </c>
      <c r="V1009" s="16">
        <f>0.5*'Gearing Calculator'!$C$15*'Gearing Calculator'!$C$20*'Gearing Calculator'!$W$20*('Track Data'!Q1009^2)</f>
        <v>236.61704779061316</v>
      </c>
      <c r="W1009" s="16">
        <f>('Gearing Calculator'!$U$9*'Track Data'!T1009)+'Track Data'!V1009</f>
        <v>1466.6060357725039</v>
      </c>
      <c r="X1009" s="16">
        <f>('Gearing Calculator'!$U$9*9.81)*('Gearing Calculator'!$U$16/'Gearing Calculator'!$C$7)-(('Track Data'!W1009)*('Gearing Calculator'!$U$17/'Gearing Calculator'!$C$7))</f>
        <v>601.76185050275774</v>
      </c>
      <c r="Y1009" s="16">
        <f>('Gearing Calculator'!$U$9*9.81)*(('Gearing Calculator'!$C$7-'Gearing Calculator'!$U$16)/'Gearing Calculator'!$C$7)+(('Track Data'!W1009)*('Gearing Calculator'!$U$17/'Gearing Calculator'!$C$7))</f>
        <v>2009.6601494972424</v>
      </c>
      <c r="Z1009" s="16">
        <f>((X1009*COS('Gearing Calculator'!$C$21))/'Gearing Calculator'!$C$22)/2</f>
        <v>18.604573206963131</v>
      </c>
      <c r="AA1009" s="16">
        <f>Y1009/'Gearing Calculator'!$C$24</f>
        <v>28.061596179946655</v>
      </c>
      <c r="AB1009" s="16">
        <f t="shared" si="107"/>
        <v>255.09922642294811</v>
      </c>
      <c r="AC1009" s="16">
        <v>0</v>
      </c>
      <c r="AD1009" s="16">
        <v>0</v>
      </c>
      <c r="AE1009" s="16">
        <v>1006</v>
      </c>
      <c r="AF1009" s="16">
        <f>IF(AC1009=0,IF(O1009=6,INDEX(Acceleration!$V$4:$V$110,MATCH('Track Data'!S1009,Acceleration!$K$4:$K$110,0)),IF('Track Data'!O1009=5,INDEX(Acceleration!$U$4:$U$110,MATCH('Track Data'!S1009,Acceleration!$K$4:$K$110,0)),1)),U1009)</f>
        <v>1</v>
      </c>
      <c r="AG1009" s="16">
        <f>IF(AC1009=0,IF(O1009=4,INDEX(Acceleration!$T$4:$T$110,MATCH('Track Data'!S1009,Acceleration!$K$4:$K$110,0)),IF('Track Data'!O1009=3,INDEX(Acceleration!$S$4:$S$110,MATCH('Track Data'!S1009,Acceleration!$K$4:$K$110,0)),'Track Data'!AF1009)),'Track Data'!U1009)</f>
        <v>4.6205446580837366</v>
      </c>
      <c r="AH1009" s="16">
        <f>IF(AC1009=0,IF(O1009=2,INDEX(Acceleration!$R$4:$R$110,MATCH('Track Data'!S1009,Acceleration!$K$4:$K$110,0)),IF('Track Data'!O1009=1,INDEX(Acceleration!$Q$4:$Q$110,MATCH('Track Data'!S1009,Acceleration!$K$4:$K$110,0)),'Track Data'!AG1009)),'Track Data'!U1009)</f>
        <v>4.6205446580837366</v>
      </c>
    </row>
    <row r="1010" spans="2:34" x14ac:dyDescent="0.25">
      <c r="B1010" s="16">
        <v>224.52600000000001</v>
      </c>
      <c r="C1010" s="16">
        <v>8280</v>
      </c>
      <c r="D1010" s="16">
        <v>1007</v>
      </c>
      <c r="E1010" s="113">
        <v>175</v>
      </c>
      <c r="F1010" s="113">
        <v>171.8</v>
      </c>
      <c r="G1010" s="113">
        <v>168.8</v>
      </c>
      <c r="H1010" s="113">
        <f t="shared" si="110"/>
        <v>46.888888888888893</v>
      </c>
      <c r="I1010" s="113">
        <v>4.5999999999999996</v>
      </c>
      <c r="J1010" s="113">
        <v>13.48</v>
      </c>
      <c r="K1010" s="113">
        <v>20.100000000000001</v>
      </c>
      <c r="L1010" s="185"/>
      <c r="M1010" s="16">
        <v>1007</v>
      </c>
      <c r="N1010" s="16">
        <f t="shared" si="112"/>
        <v>2.1106010658748935E-2</v>
      </c>
      <c r="O1010" s="16">
        <v>4</v>
      </c>
      <c r="P1010" s="16">
        <f t="shared" si="108"/>
        <v>9.1833785004516724</v>
      </c>
      <c r="Q1010" s="16">
        <f t="shared" si="113"/>
        <v>47.379868046521459</v>
      </c>
      <c r="R1010" s="113">
        <f t="shared" si="109"/>
        <v>329.49099999999999</v>
      </c>
      <c r="S1010" s="16">
        <f>IF(S1009=15800,15800,ROUND((((Q1010*60)/'Gearing Calculator'!$C$14)*'Track Data'!P1010),-2))</f>
        <v>13200</v>
      </c>
      <c r="T1010" s="16">
        <f t="shared" si="111"/>
        <v>4.6205446580837366</v>
      </c>
      <c r="U1010" s="16">
        <f>IF(AC1010=100,Braking!$AG$2354,IF(AC1010=50,Braking!$AG$1179,IF(AC1010=75,Braking!$AG$1767,0)))</f>
        <v>0</v>
      </c>
      <c r="V1010" s="16">
        <f>0.5*'Gearing Calculator'!$C$15*'Gearing Calculator'!$C$20*'Gearing Calculator'!$W$20*('Track Data'!Q1010^2)</f>
        <v>237.5951246838363</v>
      </c>
      <c r="W1010" s="16">
        <f>('Gearing Calculator'!$U$9*'Track Data'!T1010)+'Track Data'!V1010</f>
        <v>1467.5841126657269</v>
      </c>
      <c r="X1010" s="16">
        <f>('Gearing Calculator'!$U$9*9.81)*('Gearing Calculator'!$U$16/'Gearing Calculator'!$C$7)-(('Track Data'!W1010)*('Gearing Calculator'!$U$17/'Gearing Calculator'!$C$7))</f>
        <v>601.22873179942883</v>
      </c>
      <c r="Y1010" s="16">
        <f>('Gearing Calculator'!$U$9*9.81)*(('Gearing Calculator'!$C$7-'Gearing Calculator'!$U$16)/'Gearing Calculator'!$C$7)+(('Track Data'!W1010)*('Gearing Calculator'!$U$17/'Gearing Calculator'!$C$7))</f>
        <v>2010.1932682005713</v>
      </c>
      <c r="Z1010" s="16">
        <f>((X1010*COS('Gearing Calculator'!$C$21))/'Gearing Calculator'!$C$22)/2</f>
        <v>18.588090862767004</v>
      </c>
      <c r="AA1010" s="16">
        <f>Y1010/'Gearing Calculator'!$C$24</f>
        <v>28.06904030514988</v>
      </c>
      <c r="AB1010" s="16">
        <f t="shared" si="107"/>
        <v>256.07730331617125</v>
      </c>
      <c r="AC1010" s="16">
        <v>0</v>
      </c>
      <c r="AD1010" s="16">
        <v>0</v>
      </c>
      <c r="AE1010" s="16">
        <v>1007</v>
      </c>
      <c r="AF1010" s="16">
        <f>IF(AC1010=0,IF(O1010=6,INDEX(Acceleration!$V$4:$V$110,MATCH('Track Data'!S1010,Acceleration!$K$4:$K$110,0)),IF('Track Data'!O1010=5,INDEX(Acceleration!$U$4:$U$110,MATCH('Track Data'!S1010,Acceleration!$K$4:$K$110,0)),1)),U1010)</f>
        <v>1</v>
      </c>
      <c r="AG1010" s="16">
        <f>IF(AC1010=0,IF(O1010=4,INDEX(Acceleration!$T$4:$T$110,MATCH('Track Data'!S1010,Acceleration!$K$4:$K$110,0)),IF('Track Data'!O1010=3,INDEX(Acceleration!$S$4:$S$110,MATCH('Track Data'!S1010,Acceleration!$K$4:$K$110,0)),'Track Data'!AF1010)),'Track Data'!U1010)</f>
        <v>4.6205446580837366</v>
      </c>
      <c r="AH1010" s="16">
        <f>IF(AC1010=0,IF(O1010=2,INDEX(Acceleration!$R$4:$R$110,MATCH('Track Data'!S1010,Acceleration!$K$4:$K$110,0)),IF('Track Data'!O1010=1,INDEX(Acceleration!$Q$4:$Q$110,MATCH('Track Data'!S1010,Acceleration!$K$4:$K$110,0)),'Track Data'!AG1010)),'Track Data'!U1010)</f>
        <v>4.6205446580837366</v>
      </c>
    </row>
    <row r="1011" spans="2:34" x14ac:dyDescent="0.25">
      <c r="B1011" s="16">
        <v>224.54599999999999</v>
      </c>
      <c r="C1011" s="16">
        <v>8281</v>
      </c>
      <c r="D1011" s="16">
        <v>1008</v>
      </c>
      <c r="E1011" s="113">
        <v>175</v>
      </c>
      <c r="F1011" s="113">
        <v>172.2</v>
      </c>
      <c r="G1011" s="113">
        <v>169.1</v>
      </c>
      <c r="H1011" s="113">
        <f t="shared" si="110"/>
        <v>46.972222222222221</v>
      </c>
      <c r="I1011" s="113">
        <v>5.4</v>
      </c>
      <c r="J1011" s="113">
        <v>12.65</v>
      </c>
      <c r="K1011" s="113">
        <v>18.8</v>
      </c>
      <c r="L1011" s="185"/>
      <c r="M1011" s="16">
        <v>1008</v>
      </c>
      <c r="N1011" s="16">
        <f t="shared" si="112"/>
        <v>2.1062702142791954E-2</v>
      </c>
      <c r="O1011" s="16">
        <v>4</v>
      </c>
      <c r="P1011" s="16">
        <f t="shared" si="108"/>
        <v>9.1833785004516724</v>
      </c>
      <c r="Q1011" s="16">
        <f t="shared" si="113"/>
        <v>47.477289154099275</v>
      </c>
      <c r="R1011" s="113">
        <f t="shared" si="109"/>
        <v>329.49099999999999</v>
      </c>
      <c r="S1011" s="16">
        <f>IF(S1010=15800,15800,ROUND((((Q1011*60)/'Gearing Calculator'!$C$14)*'Track Data'!P1011),-2))</f>
        <v>13200</v>
      </c>
      <c r="T1011" s="16">
        <f t="shared" si="111"/>
        <v>4.6205446580837366</v>
      </c>
      <c r="U1011" s="16">
        <f>IF(AC1011=100,Braking!$AG$2354,IF(AC1011=50,Braking!$AG$1179,IF(AC1011=75,Braking!$AG$1767,0)))</f>
        <v>0</v>
      </c>
      <c r="V1011" s="16">
        <f>0.5*'Gearing Calculator'!$C$15*'Gearing Calculator'!$C$20*'Gearing Calculator'!$W$20*('Track Data'!Q1011^2)</f>
        <v>238.57320157705942</v>
      </c>
      <c r="W1011" s="16">
        <f>('Gearing Calculator'!$U$9*'Track Data'!T1011)+'Track Data'!V1011</f>
        <v>1468.5621895589502</v>
      </c>
      <c r="X1011" s="16">
        <f>('Gearing Calculator'!$U$9*9.81)*('Gearing Calculator'!$U$16/'Gearing Calculator'!$C$7)-(('Track Data'!W1011)*('Gearing Calculator'!$U$17/'Gearing Calculator'!$C$7))</f>
        <v>600.69561309609992</v>
      </c>
      <c r="Y1011" s="16">
        <f>('Gearing Calculator'!$U$9*9.81)*(('Gearing Calculator'!$C$7-'Gearing Calculator'!$U$16)/'Gearing Calculator'!$C$7)+(('Track Data'!W1011)*('Gearing Calculator'!$U$17/'Gearing Calculator'!$C$7))</f>
        <v>2010.7263869039002</v>
      </c>
      <c r="Z1011" s="16">
        <f>((X1011*COS('Gearing Calculator'!$C$21))/'Gearing Calculator'!$C$22)/2</f>
        <v>18.57160851857088</v>
      </c>
      <c r="AA1011" s="16">
        <f>Y1011/'Gearing Calculator'!$C$24</f>
        <v>28.076484430353105</v>
      </c>
      <c r="AB1011" s="16">
        <f t="shared" si="107"/>
        <v>257.05538020939434</v>
      </c>
      <c r="AC1011" s="16">
        <v>0</v>
      </c>
      <c r="AD1011" s="16">
        <v>0</v>
      </c>
      <c r="AE1011" s="16">
        <v>1008</v>
      </c>
      <c r="AF1011" s="16">
        <f>IF(AC1011=0,IF(O1011=6,INDEX(Acceleration!$V$4:$V$110,MATCH('Track Data'!S1011,Acceleration!$K$4:$K$110,0)),IF('Track Data'!O1011=5,INDEX(Acceleration!$U$4:$U$110,MATCH('Track Data'!S1011,Acceleration!$K$4:$K$110,0)),1)),U1011)</f>
        <v>1</v>
      </c>
      <c r="AG1011" s="16">
        <f>IF(AC1011=0,IF(O1011=4,INDEX(Acceleration!$T$4:$T$110,MATCH('Track Data'!S1011,Acceleration!$K$4:$K$110,0)),IF('Track Data'!O1011=3,INDEX(Acceleration!$S$4:$S$110,MATCH('Track Data'!S1011,Acceleration!$K$4:$K$110,0)),'Track Data'!AF1011)),'Track Data'!U1011)</f>
        <v>4.6205446580837366</v>
      </c>
      <c r="AH1011" s="16">
        <f>IF(AC1011=0,IF(O1011=2,INDEX(Acceleration!$R$4:$R$110,MATCH('Track Data'!S1011,Acceleration!$K$4:$K$110,0)),IF('Track Data'!O1011=1,INDEX(Acceleration!$Q$4:$Q$110,MATCH('Track Data'!S1011,Acceleration!$K$4:$K$110,0)),'Track Data'!AG1011)),'Track Data'!U1011)</f>
        <v>4.6205446580837366</v>
      </c>
    </row>
    <row r="1012" spans="2:34" x14ac:dyDescent="0.25">
      <c r="B1012" s="16">
        <v>224.56700000000001</v>
      </c>
      <c r="C1012" s="16">
        <v>8282</v>
      </c>
      <c r="D1012" s="16">
        <v>1009</v>
      </c>
      <c r="E1012" s="113">
        <v>175</v>
      </c>
      <c r="F1012" s="113">
        <v>172.4</v>
      </c>
      <c r="G1012" s="113">
        <v>169.3</v>
      </c>
      <c r="H1012" s="113">
        <f t="shared" si="110"/>
        <v>47.027777777777779</v>
      </c>
      <c r="I1012" s="113">
        <v>5.4</v>
      </c>
      <c r="J1012" s="113">
        <v>11.62</v>
      </c>
      <c r="K1012" s="113">
        <v>17.8</v>
      </c>
      <c r="L1012" s="185"/>
      <c r="M1012" s="16">
        <v>1009</v>
      </c>
      <c r="N1012" s="16">
        <f t="shared" si="112"/>
        <v>2.1019659138345002E-2</v>
      </c>
      <c r="O1012" s="16">
        <v>4</v>
      </c>
      <c r="P1012" s="16">
        <f t="shared" si="108"/>
        <v>9.1833785004516724</v>
      </c>
      <c r="Q1012" s="16">
        <f t="shared" si="113"/>
        <v>47.574510767196756</v>
      </c>
      <c r="R1012" s="113">
        <f t="shared" si="109"/>
        <v>329.49099999999999</v>
      </c>
      <c r="S1012" s="16">
        <f>IF(S1011=15800,15800,ROUND((((Q1012*60)/'Gearing Calculator'!$C$14)*'Track Data'!P1012),-2))</f>
        <v>13200</v>
      </c>
      <c r="T1012" s="16">
        <f t="shared" si="111"/>
        <v>4.6205446580837366</v>
      </c>
      <c r="U1012" s="16">
        <f>IF(AC1012=100,Braking!$AG$2354,IF(AC1012=50,Braking!$AG$1179,IF(AC1012=75,Braking!$AG$1767,0)))</f>
        <v>0</v>
      </c>
      <c r="V1012" s="16">
        <f>0.5*'Gearing Calculator'!$C$15*'Gearing Calculator'!$C$20*'Gearing Calculator'!$W$20*('Track Data'!Q1012^2)</f>
        <v>239.55127847028257</v>
      </c>
      <c r="W1012" s="16">
        <f>('Gearing Calculator'!$U$9*'Track Data'!T1012)+'Track Data'!V1012</f>
        <v>1469.5402664521732</v>
      </c>
      <c r="X1012" s="16">
        <f>('Gearing Calculator'!$U$9*9.81)*('Gearing Calculator'!$U$16/'Gearing Calculator'!$C$7)-(('Track Data'!W1012)*('Gearing Calculator'!$U$17/'Gearing Calculator'!$C$7))</f>
        <v>600.16249439277101</v>
      </c>
      <c r="Y1012" s="16">
        <f>('Gearing Calculator'!$U$9*9.81)*(('Gearing Calculator'!$C$7-'Gearing Calculator'!$U$16)/'Gearing Calculator'!$C$7)+(('Track Data'!W1012)*('Gearing Calculator'!$U$17/'Gearing Calculator'!$C$7))</f>
        <v>2011.2595056072291</v>
      </c>
      <c r="Z1012" s="16">
        <f>((X1012*COS('Gearing Calculator'!$C$21))/'Gearing Calculator'!$C$22)/2</f>
        <v>18.555126174374752</v>
      </c>
      <c r="AA1012" s="16">
        <f>Y1012/'Gearing Calculator'!$C$24</f>
        <v>28.083928555556334</v>
      </c>
      <c r="AB1012" s="16">
        <f t="shared" si="107"/>
        <v>258.03345710261749</v>
      </c>
      <c r="AC1012" s="16">
        <v>0</v>
      </c>
      <c r="AD1012" s="16">
        <v>0</v>
      </c>
      <c r="AE1012" s="16">
        <v>1009</v>
      </c>
      <c r="AF1012" s="16">
        <f>IF(AC1012=0,IF(O1012=6,INDEX(Acceleration!$V$4:$V$110,MATCH('Track Data'!S1012,Acceleration!$K$4:$K$110,0)),IF('Track Data'!O1012=5,INDEX(Acceleration!$U$4:$U$110,MATCH('Track Data'!S1012,Acceleration!$K$4:$K$110,0)),1)),U1012)</f>
        <v>1</v>
      </c>
      <c r="AG1012" s="16">
        <f>IF(AC1012=0,IF(O1012=4,INDEX(Acceleration!$T$4:$T$110,MATCH('Track Data'!S1012,Acceleration!$K$4:$K$110,0)),IF('Track Data'!O1012=3,INDEX(Acceleration!$S$4:$S$110,MATCH('Track Data'!S1012,Acceleration!$K$4:$K$110,0)),'Track Data'!AF1012)),'Track Data'!U1012)</f>
        <v>4.6205446580837366</v>
      </c>
      <c r="AH1012" s="16">
        <f>IF(AC1012=0,IF(O1012=2,INDEX(Acceleration!$R$4:$R$110,MATCH('Track Data'!S1012,Acceleration!$K$4:$K$110,0)),IF('Track Data'!O1012=1,INDEX(Acceleration!$Q$4:$Q$110,MATCH('Track Data'!S1012,Acceleration!$K$4:$K$110,0)),'Track Data'!AG1012)),'Track Data'!U1012)</f>
        <v>4.6205446580837366</v>
      </c>
    </row>
    <row r="1013" spans="2:34" x14ac:dyDescent="0.25">
      <c r="B1013" s="16">
        <v>224.58799999999999</v>
      </c>
      <c r="C1013" s="16">
        <v>8283</v>
      </c>
      <c r="D1013" s="16">
        <v>1010</v>
      </c>
      <c r="E1013" s="113">
        <v>175</v>
      </c>
      <c r="F1013" s="113">
        <v>172.4</v>
      </c>
      <c r="G1013" s="113">
        <v>169.5</v>
      </c>
      <c r="H1013" s="113">
        <f t="shared" si="110"/>
        <v>47.083333333333336</v>
      </c>
      <c r="I1013" s="113">
        <v>5.2</v>
      </c>
      <c r="J1013" s="113">
        <v>12.33</v>
      </c>
      <c r="K1013" s="113">
        <v>17.8</v>
      </c>
      <c r="L1013" s="185"/>
      <c r="M1013" s="16">
        <v>1010</v>
      </c>
      <c r="N1013" s="16">
        <f t="shared" si="112"/>
        <v>2.0976878943497011E-2</v>
      </c>
      <c r="O1013" s="16">
        <v>4</v>
      </c>
      <c r="P1013" s="16">
        <f t="shared" si="108"/>
        <v>9.1833785004516724</v>
      </c>
      <c r="Q1013" s="16">
        <f t="shared" si="113"/>
        <v>47.671534106364639</v>
      </c>
      <c r="R1013" s="113">
        <f t="shared" si="109"/>
        <v>329.49099999999999</v>
      </c>
      <c r="S1013" s="16">
        <f>IF(S1012=15800,15800,ROUND((((Q1013*60)/'Gearing Calculator'!$C$14)*'Track Data'!P1013),-2))</f>
        <v>13300</v>
      </c>
      <c r="T1013" s="16">
        <f t="shared" si="111"/>
        <v>4.5727201699956463</v>
      </c>
      <c r="U1013" s="16">
        <f>IF(AC1013=100,Braking!$AG$2354,IF(AC1013=50,Braking!$AG$1179,IF(AC1013=75,Braking!$AG$1767,0)))</f>
        <v>0</v>
      </c>
      <c r="V1013" s="16">
        <f>0.5*'Gearing Calculator'!$C$15*'Gearing Calculator'!$C$20*'Gearing Calculator'!$W$20*('Track Data'!Q1013^2)</f>
        <v>240.52935536350572</v>
      </c>
      <c r="W1013" s="16">
        <f>('Gearing Calculator'!$U$9*'Track Data'!T1013)+'Track Data'!V1013</f>
        <v>1457.7874646163468</v>
      </c>
      <c r="X1013" s="16">
        <f>('Gearing Calculator'!$U$9*9.81)*('Gearing Calculator'!$U$16/'Gearing Calculator'!$C$7)-(('Track Data'!W1013)*('Gearing Calculator'!$U$17/'Gearing Calculator'!$C$7))</f>
        <v>606.56857403600861</v>
      </c>
      <c r="Y1013" s="16">
        <f>('Gearing Calculator'!$U$9*9.81)*(('Gearing Calculator'!$C$7-'Gearing Calculator'!$U$16)/'Gearing Calculator'!$C$7)+(('Track Data'!W1013)*('Gearing Calculator'!$U$17/'Gearing Calculator'!$C$7))</f>
        <v>2004.8534259639914</v>
      </c>
      <c r="Z1013" s="16">
        <f>((X1013*COS('Gearing Calculator'!$C$21))/'Gearing Calculator'!$C$22)/2</f>
        <v>18.753181896239933</v>
      </c>
      <c r="AA1013" s="16">
        <f>Y1013/'Gearing Calculator'!$C$24</f>
        <v>27.994478197449723</v>
      </c>
      <c r="AB1013" s="16">
        <f t="shared" si="107"/>
        <v>258.82023604348831</v>
      </c>
      <c r="AC1013" s="16">
        <v>0</v>
      </c>
      <c r="AD1013" s="16">
        <v>0</v>
      </c>
      <c r="AE1013" s="16">
        <v>1010</v>
      </c>
      <c r="AF1013" s="16">
        <f>IF(AC1013=0,IF(O1013=6,INDEX(Acceleration!$V$4:$V$110,MATCH('Track Data'!S1013,Acceleration!$K$4:$K$110,0)),IF('Track Data'!O1013=5,INDEX(Acceleration!$U$4:$U$110,MATCH('Track Data'!S1013,Acceleration!$K$4:$K$110,0)),1)),U1013)</f>
        <v>1</v>
      </c>
      <c r="AG1013" s="16">
        <f>IF(AC1013=0,IF(O1013=4,INDEX(Acceleration!$T$4:$T$110,MATCH('Track Data'!S1013,Acceleration!$K$4:$K$110,0)),IF('Track Data'!O1013=3,INDEX(Acceleration!$S$4:$S$110,MATCH('Track Data'!S1013,Acceleration!$K$4:$K$110,0)),'Track Data'!AF1013)),'Track Data'!U1013)</f>
        <v>4.5727201699956463</v>
      </c>
      <c r="AH1013" s="16">
        <f>IF(AC1013=0,IF(O1013=2,INDEX(Acceleration!$R$4:$R$110,MATCH('Track Data'!S1013,Acceleration!$K$4:$K$110,0)),IF('Track Data'!O1013=1,INDEX(Acceleration!$Q$4:$Q$110,MATCH('Track Data'!S1013,Acceleration!$K$4:$K$110,0)),'Track Data'!AG1013)),'Track Data'!U1013)</f>
        <v>4.5727201699956463</v>
      </c>
    </row>
    <row r="1014" spans="2:34" x14ac:dyDescent="0.25">
      <c r="B1014" s="16">
        <v>224.60900000000001</v>
      </c>
      <c r="C1014" s="16">
        <v>8284</v>
      </c>
      <c r="D1014" s="16">
        <v>1011</v>
      </c>
      <c r="E1014" s="113">
        <v>175</v>
      </c>
      <c r="F1014" s="113">
        <v>172.5</v>
      </c>
      <c r="G1014" s="113">
        <v>169.8</v>
      </c>
      <c r="H1014" s="113">
        <f t="shared" si="110"/>
        <v>47.166666666666671</v>
      </c>
      <c r="I1014" s="113">
        <v>4.7</v>
      </c>
      <c r="J1014" s="113">
        <v>14.59</v>
      </c>
      <c r="K1014" s="113">
        <v>17.8</v>
      </c>
      <c r="L1014" s="185"/>
      <c r="M1014" s="16">
        <v>1011</v>
      </c>
      <c r="N1014" s="16">
        <f t="shared" si="112"/>
        <v>2.0934797670790758E-2</v>
      </c>
      <c r="O1014" s="16">
        <v>4</v>
      </c>
      <c r="P1014" s="16">
        <f t="shared" si="108"/>
        <v>9.1833785004516724</v>
      </c>
      <c r="Q1014" s="16">
        <f t="shared" si="113"/>
        <v>47.767359194268614</v>
      </c>
      <c r="R1014" s="113">
        <f t="shared" si="109"/>
        <v>329.49099999999999</v>
      </c>
      <c r="S1014" s="16">
        <f>IF(S1013=15800,15800,ROUND((((Q1014*60)/'Gearing Calculator'!$C$14)*'Track Data'!P1014),-2))</f>
        <v>13300</v>
      </c>
      <c r="T1014" s="16">
        <f t="shared" si="111"/>
        <v>4.5727201699956463</v>
      </c>
      <c r="U1014" s="16">
        <f>IF(AC1014=100,Braking!$AG$2354,IF(AC1014=50,Braking!$AG$1179,IF(AC1014=75,Braking!$AG$1767,0)))</f>
        <v>0</v>
      </c>
      <c r="V1014" s="16">
        <f>0.5*'Gearing Calculator'!$C$15*'Gearing Calculator'!$C$20*'Gearing Calculator'!$W$20*('Track Data'!Q1014^2)</f>
        <v>241.49730876909038</v>
      </c>
      <c r="W1014" s="16">
        <f>('Gearing Calculator'!$U$9*'Track Data'!T1014)+'Track Data'!V1014</f>
        <v>1458.7554180219313</v>
      </c>
      <c r="X1014" s="16">
        <f>('Gearing Calculator'!$U$9*9.81)*('Gearing Calculator'!$U$16/'Gearing Calculator'!$C$7)-(('Track Data'!W1014)*('Gearing Calculator'!$U$17/'Gearing Calculator'!$C$7))</f>
        <v>606.04097332481354</v>
      </c>
      <c r="Y1014" s="16">
        <f>('Gearing Calculator'!$U$9*9.81)*(('Gearing Calculator'!$C$7-'Gearing Calculator'!$U$16)/'Gearing Calculator'!$C$7)+(('Track Data'!W1014)*('Gearing Calculator'!$U$17/'Gearing Calculator'!$C$7))</f>
        <v>2005.3810266751866</v>
      </c>
      <c r="Z1014" s="16">
        <f>((X1014*COS('Gearing Calculator'!$C$21))/'Gearing Calculator'!$C$22)/2</f>
        <v>18.736870150908665</v>
      </c>
      <c r="AA1014" s="16">
        <f>Y1014/'Gearing Calculator'!$C$24</f>
        <v>28.00184527297516</v>
      </c>
      <c r="AB1014" s="16">
        <f t="shared" ref="AB1014:AB1077" si="114">(T1014*O1014)+V1014</f>
        <v>259.78818944907295</v>
      </c>
      <c r="AC1014" s="16">
        <v>0</v>
      </c>
      <c r="AD1014" s="16">
        <v>0</v>
      </c>
      <c r="AE1014" s="16">
        <v>1011</v>
      </c>
      <c r="AF1014" s="16">
        <f>IF(AC1014=0,IF(O1014=6,INDEX(Acceleration!$V$4:$V$110,MATCH('Track Data'!S1014,Acceleration!$K$4:$K$110,0)),IF('Track Data'!O1014=5,INDEX(Acceleration!$U$4:$U$110,MATCH('Track Data'!S1014,Acceleration!$K$4:$K$110,0)),1)),U1014)</f>
        <v>1</v>
      </c>
      <c r="AG1014" s="16">
        <f>IF(AC1014=0,IF(O1014=4,INDEX(Acceleration!$T$4:$T$110,MATCH('Track Data'!S1014,Acceleration!$K$4:$K$110,0)),IF('Track Data'!O1014=3,INDEX(Acceleration!$S$4:$S$110,MATCH('Track Data'!S1014,Acceleration!$K$4:$K$110,0)),'Track Data'!AF1014)),'Track Data'!U1014)</f>
        <v>4.5727201699956463</v>
      </c>
      <c r="AH1014" s="16">
        <f>IF(AC1014=0,IF(O1014=2,INDEX(Acceleration!$R$4:$R$110,MATCH('Track Data'!S1014,Acceleration!$K$4:$K$110,0)),IF('Track Data'!O1014=1,INDEX(Acceleration!$Q$4:$Q$110,MATCH('Track Data'!S1014,Acceleration!$K$4:$K$110,0)),'Track Data'!AG1014)),'Track Data'!U1014)</f>
        <v>4.5727201699956463</v>
      </c>
    </row>
    <row r="1015" spans="2:34" x14ac:dyDescent="0.25">
      <c r="B1015" s="16">
        <v>224.62899999999999</v>
      </c>
      <c r="C1015" s="16">
        <v>8285</v>
      </c>
      <c r="D1015" s="16">
        <v>1012</v>
      </c>
      <c r="E1015" s="113">
        <v>174</v>
      </c>
      <c r="F1015" s="113">
        <v>172.6</v>
      </c>
      <c r="G1015" s="113">
        <v>170</v>
      </c>
      <c r="H1015" s="113">
        <f t="shared" si="110"/>
        <v>47.222222222222221</v>
      </c>
      <c r="I1015" s="113">
        <v>4.8</v>
      </c>
      <c r="J1015" s="113">
        <v>13.12</v>
      </c>
      <c r="K1015" s="113">
        <v>17.8</v>
      </c>
      <c r="L1015" s="185"/>
      <c r="M1015" s="16">
        <v>1012</v>
      </c>
      <c r="N1015" s="16">
        <f t="shared" si="112"/>
        <v>2.0892968641264182E-2</v>
      </c>
      <c r="O1015" s="16">
        <v>4</v>
      </c>
      <c r="P1015" s="16">
        <f t="shared" si="108"/>
        <v>9.1833785004516724</v>
      </c>
      <c r="Q1015" s="16">
        <f t="shared" si="113"/>
        <v>47.86299243397</v>
      </c>
      <c r="R1015" s="113">
        <f t="shared" si="109"/>
        <v>329.49099999999999</v>
      </c>
      <c r="S1015" s="16">
        <f>IF(S1014=15800,15800,ROUND((((Q1015*60)/'Gearing Calculator'!$C$14)*'Track Data'!P1015),-2))</f>
        <v>13300</v>
      </c>
      <c r="T1015" s="16">
        <f t="shared" si="111"/>
        <v>4.5727201699956463</v>
      </c>
      <c r="U1015" s="16">
        <f>IF(AC1015=100,Braking!$AG$2354,IF(AC1015=50,Braking!$AG$1179,IF(AC1015=75,Braking!$AG$1767,0)))</f>
        <v>0</v>
      </c>
      <c r="V1015" s="16">
        <f>0.5*'Gearing Calculator'!$C$15*'Gearing Calculator'!$C$20*'Gearing Calculator'!$W$20*('Track Data'!Q1015^2)</f>
        <v>242.46526217467505</v>
      </c>
      <c r="W1015" s="16">
        <f>('Gearing Calculator'!$U$9*'Track Data'!T1015)+'Track Data'!V1015</f>
        <v>1459.723371427516</v>
      </c>
      <c r="X1015" s="16">
        <f>('Gearing Calculator'!$U$9*9.81)*('Gearing Calculator'!$U$16/'Gearing Calculator'!$C$7)-(('Track Data'!W1015)*('Gearing Calculator'!$U$17/'Gearing Calculator'!$C$7))</f>
        <v>605.51337261361823</v>
      </c>
      <c r="Y1015" s="16">
        <f>('Gearing Calculator'!$U$9*9.81)*(('Gearing Calculator'!$C$7-'Gearing Calculator'!$U$16)/'Gearing Calculator'!$C$7)+(('Track Data'!W1015)*('Gearing Calculator'!$U$17/'Gearing Calculator'!$C$7))</f>
        <v>2005.9086273863818</v>
      </c>
      <c r="Z1015" s="16">
        <f>((X1015*COS('Gearing Calculator'!$C$21))/'Gearing Calculator'!$C$22)/2</f>
        <v>18.720558405577389</v>
      </c>
      <c r="AA1015" s="16">
        <f>Y1015/'Gearing Calculator'!$C$24</f>
        <v>28.009212348500601</v>
      </c>
      <c r="AB1015" s="16">
        <f t="shared" si="114"/>
        <v>260.75614285465764</v>
      </c>
      <c r="AC1015" s="16">
        <v>0</v>
      </c>
      <c r="AD1015" s="16">
        <v>0</v>
      </c>
      <c r="AE1015" s="16">
        <v>1012</v>
      </c>
      <c r="AF1015" s="16">
        <f>IF(AC1015=0,IF(O1015=6,INDEX(Acceleration!$V$4:$V$110,MATCH('Track Data'!S1015,Acceleration!$K$4:$K$110,0)),IF('Track Data'!O1015=5,INDEX(Acceleration!$U$4:$U$110,MATCH('Track Data'!S1015,Acceleration!$K$4:$K$110,0)),1)),U1015)</f>
        <v>1</v>
      </c>
      <c r="AG1015" s="16">
        <f>IF(AC1015=0,IF(O1015=4,INDEX(Acceleration!$T$4:$T$110,MATCH('Track Data'!S1015,Acceleration!$K$4:$K$110,0)),IF('Track Data'!O1015=3,INDEX(Acceleration!$S$4:$S$110,MATCH('Track Data'!S1015,Acceleration!$K$4:$K$110,0)),'Track Data'!AF1015)),'Track Data'!U1015)</f>
        <v>4.5727201699956463</v>
      </c>
      <c r="AH1015" s="16">
        <f>IF(AC1015=0,IF(O1015=2,INDEX(Acceleration!$R$4:$R$110,MATCH('Track Data'!S1015,Acceleration!$K$4:$K$110,0)),IF('Track Data'!O1015=1,INDEX(Acceleration!$Q$4:$Q$110,MATCH('Track Data'!S1015,Acceleration!$K$4:$K$110,0)),'Track Data'!AG1015)),'Track Data'!U1015)</f>
        <v>4.5727201699956463</v>
      </c>
    </row>
    <row r="1016" spans="2:34" x14ac:dyDescent="0.25">
      <c r="B1016" s="16">
        <v>224.65100000000001</v>
      </c>
      <c r="C1016" s="16">
        <v>8286</v>
      </c>
      <c r="D1016" s="16">
        <v>1013</v>
      </c>
      <c r="E1016" s="113">
        <v>172</v>
      </c>
      <c r="F1016" s="113">
        <v>172.6</v>
      </c>
      <c r="G1016" s="113">
        <v>170.2</v>
      </c>
      <c r="H1016" s="113">
        <f t="shared" si="110"/>
        <v>47.277777777777771</v>
      </c>
      <c r="I1016" s="113">
        <v>5.6</v>
      </c>
      <c r="J1016" s="113">
        <v>13.3</v>
      </c>
      <c r="K1016" s="113">
        <v>17.600000000000001</v>
      </c>
      <c r="L1016" s="185"/>
      <c r="M1016" s="16">
        <v>1013</v>
      </c>
      <c r="N1016" s="16">
        <f t="shared" si="112"/>
        <v>2.0851389344956152E-2</v>
      </c>
      <c r="O1016" s="16">
        <v>4</v>
      </c>
      <c r="P1016" s="16">
        <f t="shared" si="108"/>
        <v>9.1833785004516724</v>
      </c>
      <c r="Q1016" s="16">
        <f t="shared" si="113"/>
        <v>47.958434973154205</v>
      </c>
      <c r="R1016" s="113">
        <f t="shared" si="109"/>
        <v>329.49099999999999</v>
      </c>
      <c r="S1016" s="16">
        <f>IF(S1015=15800,15800,ROUND((((Q1016*60)/'Gearing Calculator'!$C$14)*'Track Data'!P1016),-2))</f>
        <v>13400</v>
      </c>
      <c r="T1016" s="16">
        <f t="shared" si="111"/>
        <v>4.5254127277249072</v>
      </c>
      <c r="U1016" s="16">
        <f>IF(AC1016=100,Braking!$AG$2354,IF(AC1016=50,Braking!$AG$1179,IF(AC1016=75,Braking!$AG$1767,0)))</f>
        <v>0</v>
      </c>
      <c r="V1016" s="16">
        <f>0.5*'Gearing Calculator'!$C$15*'Gearing Calculator'!$C$20*'Gearing Calculator'!$W$20*('Track Data'!Q1016^2)</f>
        <v>243.43321558025968</v>
      </c>
      <c r="W1016" s="16">
        <f>('Gearing Calculator'!$U$9*'Track Data'!T1016)+'Track Data'!V1016</f>
        <v>1448.09808370063</v>
      </c>
      <c r="X1016" s="16">
        <f>('Gearing Calculator'!$U$9*9.81)*('Gearing Calculator'!$U$16/'Gearing Calculator'!$C$7)-(('Track Data'!W1016)*('Gearing Calculator'!$U$17/'Gearing Calculator'!$C$7))</f>
        <v>611.84994835906878</v>
      </c>
      <c r="Y1016" s="16">
        <f>('Gearing Calculator'!$U$9*9.81)*(('Gearing Calculator'!$C$7-'Gearing Calculator'!$U$16)/'Gearing Calculator'!$C$7)+(('Track Data'!W1016)*('Gearing Calculator'!$U$17/'Gearing Calculator'!$C$7))</f>
        <v>1999.5720516409312</v>
      </c>
      <c r="Z1016" s="16">
        <f>((X1016*COS('Gearing Calculator'!$C$21))/'Gearing Calculator'!$C$22)/2</f>
        <v>18.91646528674509</v>
      </c>
      <c r="AA1016" s="16">
        <f>Y1016/'Gearing Calculator'!$C$24</f>
        <v>27.920732497926384</v>
      </c>
      <c r="AB1016" s="16">
        <f t="shared" si="114"/>
        <v>261.53486649115933</v>
      </c>
      <c r="AC1016" s="16">
        <v>0</v>
      </c>
      <c r="AD1016" s="16">
        <v>0</v>
      </c>
      <c r="AE1016" s="16">
        <v>1013</v>
      </c>
      <c r="AF1016" s="16">
        <f>IF(AC1016=0,IF(O1016=6,INDEX(Acceleration!$V$4:$V$110,MATCH('Track Data'!S1016,Acceleration!$K$4:$K$110,0)),IF('Track Data'!O1016=5,INDEX(Acceleration!$U$4:$U$110,MATCH('Track Data'!S1016,Acceleration!$K$4:$K$110,0)),1)),U1016)</f>
        <v>1</v>
      </c>
      <c r="AG1016" s="16">
        <f>IF(AC1016=0,IF(O1016=4,INDEX(Acceleration!$T$4:$T$110,MATCH('Track Data'!S1016,Acceleration!$K$4:$K$110,0)),IF('Track Data'!O1016=3,INDEX(Acceleration!$S$4:$S$110,MATCH('Track Data'!S1016,Acceleration!$K$4:$K$110,0)),'Track Data'!AF1016)),'Track Data'!U1016)</f>
        <v>4.5254127277249072</v>
      </c>
      <c r="AH1016" s="16">
        <f>IF(AC1016=0,IF(O1016=2,INDEX(Acceleration!$R$4:$R$110,MATCH('Track Data'!S1016,Acceleration!$K$4:$K$110,0)),IF('Track Data'!O1016=1,INDEX(Acceleration!$Q$4:$Q$110,MATCH('Track Data'!S1016,Acceleration!$K$4:$K$110,0)),'Track Data'!AG1016)),'Track Data'!U1016)</f>
        <v>4.5254127277249072</v>
      </c>
    </row>
    <row r="1017" spans="2:34" x14ac:dyDescent="0.25">
      <c r="B1017" s="16">
        <v>224.67099999999999</v>
      </c>
      <c r="C1017" s="16">
        <v>8287</v>
      </c>
      <c r="D1017" s="16">
        <v>1014</v>
      </c>
      <c r="E1017" s="113">
        <v>170</v>
      </c>
      <c r="F1017" s="113">
        <v>172.6</v>
      </c>
      <c r="G1017" s="113">
        <v>170.3</v>
      </c>
      <c r="H1017" s="113">
        <f t="shared" si="110"/>
        <v>47.305555555555557</v>
      </c>
      <c r="I1017" s="113">
        <v>5.7</v>
      </c>
      <c r="J1017" s="113">
        <v>17.71</v>
      </c>
      <c r="K1017" s="113">
        <v>17.3</v>
      </c>
      <c r="L1017" s="185"/>
      <c r="M1017" s="16">
        <v>1014</v>
      </c>
      <c r="N1017" s="16">
        <f t="shared" si="112"/>
        <v>2.0810483653174512E-2</v>
      </c>
      <c r="O1017" s="16">
        <v>4</v>
      </c>
      <c r="P1017" s="16">
        <f t="shared" si="108"/>
        <v>9.1833785004516724</v>
      </c>
      <c r="Q1017" s="16">
        <f t="shared" si="113"/>
        <v>48.052703467439891</v>
      </c>
      <c r="R1017" s="113">
        <f t="shared" si="109"/>
        <v>329.49099999999999</v>
      </c>
      <c r="S1017" s="16">
        <f>IF(S1016=15800,15800,ROUND((((Q1017*60)/'Gearing Calculator'!$C$14)*'Track Data'!P1017),-2))</f>
        <v>13400</v>
      </c>
      <c r="T1017" s="16">
        <f t="shared" si="111"/>
        <v>4.5254127277249072</v>
      </c>
      <c r="U1017" s="16">
        <f>IF(AC1017=100,Braking!$AG$2354,IF(AC1017=50,Braking!$AG$1179,IF(AC1017=75,Braking!$AG$1767,0)))</f>
        <v>0</v>
      </c>
      <c r="V1017" s="16">
        <f>0.5*'Gearing Calculator'!$C$15*'Gearing Calculator'!$C$20*'Gearing Calculator'!$W$20*('Track Data'!Q1017^2)</f>
        <v>244.39115494646444</v>
      </c>
      <c r="W1017" s="16">
        <f>('Gearing Calculator'!$U$9*'Track Data'!T1017)+'Track Data'!V1017</f>
        <v>1449.0560230668348</v>
      </c>
      <c r="X1017" s="16">
        <f>('Gearing Calculator'!$U$9*9.81)*('Gearing Calculator'!$U$16/'Gearing Calculator'!$C$7)-(('Track Data'!W1017)*('Gearing Calculator'!$U$17/'Gearing Calculator'!$C$7))</f>
        <v>611.32780598323177</v>
      </c>
      <c r="Y1017" s="16">
        <f>('Gearing Calculator'!$U$9*9.81)*(('Gearing Calculator'!$C$7-'Gearing Calculator'!$U$16)/'Gearing Calculator'!$C$7)+(('Track Data'!W1017)*('Gearing Calculator'!$U$17/'Gearing Calculator'!$C$7))</f>
        <v>2000.0941940167681</v>
      </c>
      <c r="Z1017" s="16">
        <f>((X1017*COS('Gearing Calculator'!$C$21))/'Gearing Calculator'!$C$22)/2</f>
        <v>18.90032229587985</v>
      </c>
      <c r="AA1017" s="16">
        <f>Y1017/'Gearing Calculator'!$C$24</f>
        <v>27.92802335678271</v>
      </c>
      <c r="AB1017" s="16">
        <f t="shared" si="114"/>
        <v>262.49280585736409</v>
      </c>
      <c r="AC1017" s="16">
        <v>0</v>
      </c>
      <c r="AD1017" s="16">
        <v>0</v>
      </c>
      <c r="AE1017" s="16">
        <v>1014</v>
      </c>
      <c r="AF1017" s="16">
        <f>IF(AC1017=0,IF(O1017=6,INDEX(Acceleration!$V$4:$V$110,MATCH('Track Data'!S1017,Acceleration!$K$4:$K$110,0)),IF('Track Data'!O1017=5,INDEX(Acceleration!$U$4:$U$110,MATCH('Track Data'!S1017,Acceleration!$K$4:$K$110,0)),1)),U1017)</f>
        <v>1</v>
      </c>
      <c r="AG1017" s="16">
        <f>IF(AC1017=0,IF(O1017=4,INDEX(Acceleration!$T$4:$T$110,MATCH('Track Data'!S1017,Acceleration!$K$4:$K$110,0)),IF('Track Data'!O1017=3,INDEX(Acceleration!$S$4:$S$110,MATCH('Track Data'!S1017,Acceleration!$K$4:$K$110,0)),'Track Data'!AF1017)),'Track Data'!U1017)</f>
        <v>4.5254127277249072</v>
      </c>
      <c r="AH1017" s="16">
        <f>IF(AC1017=0,IF(O1017=2,INDEX(Acceleration!$R$4:$R$110,MATCH('Track Data'!S1017,Acceleration!$K$4:$K$110,0)),IF('Track Data'!O1017=1,INDEX(Acceleration!$Q$4:$Q$110,MATCH('Track Data'!S1017,Acceleration!$K$4:$K$110,0)),'Track Data'!AG1017)),'Track Data'!U1017)</f>
        <v>4.5254127277249072</v>
      </c>
    </row>
    <row r="1018" spans="2:34" x14ac:dyDescent="0.25">
      <c r="B1018" s="16">
        <v>224.69200000000001</v>
      </c>
      <c r="C1018" s="16">
        <v>8288</v>
      </c>
      <c r="D1018" s="16">
        <v>1015</v>
      </c>
      <c r="E1018" s="113">
        <v>170</v>
      </c>
      <c r="F1018" s="113">
        <v>172.3</v>
      </c>
      <c r="G1018" s="113">
        <v>170.5</v>
      </c>
      <c r="H1018" s="113">
        <f t="shared" si="110"/>
        <v>47.361111111111107</v>
      </c>
      <c r="I1018" s="113">
        <v>5.3</v>
      </c>
      <c r="J1018" s="113">
        <v>20.38</v>
      </c>
      <c r="K1018" s="113">
        <v>17</v>
      </c>
      <c r="L1018" s="185"/>
      <c r="M1018" s="16">
        <v>1015</v>
      </c>
      <c r="N1018" s="16">
        <f t="shared" si="112"/>
        <v>2.076981776371074E-2</v>
      </c>
      <c r="O1018" s="16">
        <v>4</v>
      </c>
      <c r="P1018" s="16">
        <f t="shared" si="108"/>
        <v>9.1833785004516724</v>
      </c>
      <c r="Q1018" s="16">
        <f t="shared" si="113"/>
        <v>48.146787390075772</v>
      </c>
      <c r="R1018" s="113">
        <f t="shared" si="109"/>
        <v>329.49099999999999</v>
      </c>
      <c r="S1018" s="16">
        <f>IF(S1017=15800,15800,ROUND((((Q1018*60)/'Gearing Calculator'!$C$14)*'Track Data'!P1018),-2))</f>
        <v>13400</v>
      </c>
      <c r="T1018" s="16">
        <f t="shared" si="111"/>
        <v>4.5254127277249072</v>
      </c>
      <c r="U1018" s="16">
        <f>IF(AC1018=100,Braking!$AG$2354,IF(AC1018=50,Braking!$AG$1179,IF(AC1018=75,Braking!$AG$1767,0)))</f>
        <v>0</v>
      </c>
      <c r="V1018" s="16">
        <f>0.5*'Gearing Calculator'!$C$15*'Gearing Calculator'!$C$20*'Gearing Calculator'!$W$20*('Track Data'!Q1018^2)</f>
        <v>245.34909431266922</v>
      </c>
      <c r="W1018" s="16">
        <f>('Gearing Calculator'!$U$9*'Track Data'!T1018)+'Track Data'!V1018</f>
        <v>1450.0139624330395</v>
      </c>
      <c r="X1018" s="16">
        <f>('Gearing Calculator'!$U$9*9.81)*('Gearing Calculator'!$U$16/'Gearing Calculator'!$C$7)-(('Track Data'!W1018)*('Gearing Calculator'!$U$17/'Gearing Calculator'!$C$7))</f>
        <v>610.80566360739476</v>
      </c>
      <c r="Y1018" s="16">
        <f>('Gearing Calculator'!$U$9*9.81)*(('Gearing Calculator'!$C$7-'Gearing Calculator'!$U$16)/'Gearing Calculator'!$C$7)+(('Track Data'!W1018)*('Gearing Calculator'!$U$17/'Gearing Calculator'!$C$7))</f>
        <v>2000.6163363926053</v>
      </c>
      <c r="Z1018" s="16">
        <f>((X1018*COS('Gearing Calculator'!$C$21))/'Gearing Calculator'!$C$22)/2</f>
        <v>18.884179305014605</v>
      </c>
      <c r="AA1018" s="16">
        <f>Y1018/'Gearing Calculator'!$C$24</f>
        <v>27.935314215639043</v>
      </c>
      <c r="AB1018" s="16">
        <f t="shared" si="114"/>
        <v>263.45074522356884</v>
      </c>
      <c r="AC1018" s="16">
        <v>0</v>
      </c>
      <c r="AD1018" s="16">
        <v>0</v>
      </c>
      <c r="AE1018" s="16">
        <v>1015</v>
      </c>
      <c r="AF1018" s="16">
        <f>IF(AC1018=0,IF(O1018=6,INDEX(Acceleration!$V$4:$V$110,MATCH('Track Data'!S1018,Acceleration!$K$4:$K$110,0)),IF('Track Data'!O1018=5,INDEX(Acceleration!$U$4:$U$110,MATCH('Track Data'!S1018,Acceleration!$K$4:$K$110,0)),1)),U1018)</f>
        <v>1</v>
      </c>
      <c r="AG1018" s="16">
        <f>IF(AC1018=0,IF(O1018=4,INDEX(Acceleration!$T$4:$T$110,MATCH('Track Data'!S1018,Acceleration!$K$4:$K$110,0)),IF('Track Data'!O1018=3,INDEX(Acceleration!$S$4:$S$110,MATCH('Track Data'!S1018,Acceleration!$K$4:$K$110,0)),'Track Data'!AF1018)),'Track Data'!U1018)</f>
        <v>4.5254127277249072</v>
      </c>
      <c r="AH1018" s="16">
        <f>IF(AC1018=0,IF(O1018=2,INDEX(Acceleration!$R$4:$R$110,MATCH('Track Data'!S1018,Acceleration!$K$4:$K$110,0)),IF('Track Data'!O1018=1,INDEX(Acceleration!$Q$4:$Q$110,MATCH('Track Data'!S1018,Acceleration!$K$4:$K$110,0)),'Track Data'!AG1018)),'Track Data'!U1018)</f>
        <v>4.5254127277249072</v>
      </c>
    </row>
    <row r="1019" spans="2:34" x14ac:dyDescent="0.25">
      <c r="B1019" s="16">
        <v>224.71299999999999</v>
      </c>
      <c r="C1019" s="16">
        <v>8289</v>
      </c>
      <c r="D1019" s="16">
        <v>1016</v>
      </c>
      <c r="E1019" s="113">
        <v>169</v>
      </c>
      <c r="F1019" s="113">
        <v>172</v>
      </c>
      <c r="G1019" s="113">
        <v>170.6</v>
      </c>
      <c r="H1019" s="113">
        <f t="shared" si="110"/>
        <v>47.388888888888886</v>
      </c>
      <c r="I1019" s="113">
        <v>4.0999999999999996</v>
      </c>
      <c r="J1019" s="113">
        <v>25.17</v>
      </c>
      <c r="K1019" s="113">
        <v>16.7</v>
      </c>
      <c r="L1019" s="185"/>
      <c r="M1019" s="16">
        <v>1016</v>
      </c>
      <c r="N1019" s="16">
        <f t="shared" si="112"/>
        <v>2.0729389342687497E-2</v>
      </c>
      <c r="O1019" s="16">
        <v>4</v>
      </c>
      <c r="P1019" s="16">
        <f t="shared" si="108"/>
        <v>9.1833785004516724</v>
      </c>
      <c r="Q1019" s="16">
        <f t="shared" si="113"/>
        <v>48.240687820973378</v>
      </c>
      <c r="R1019" s="113">
        <f t="shared" si="109"/>
        <v>329.49099999999999</v>
      </c>
      <c r="S1019" s="16">
        <f>IF(S1018=15800,15800,ROUND((((Q1019*60)/'Gearing Calculator'!$C$14)*'Track Data'!P1019),-2))</f>
        <v>13400</v>
      </c>
      <c r="T1019" s="16">
        <f t="shared" si="111"/>
        <v>4.5254127277249072</v>
      </c>
      <c r="U1019" s="16">
        <f>IF(AC1019=100,Braking!$AG$2354,IF(AC1019=50,Braking!$AG$1179,IF(AC1019=75,Braking!$AG$1767,0)))</f>
        <v>0</v>
      </c>
      <c r="V1019" s="16">
        <f>0.5*'Gearing Calculator'!$C$15*'Gearing Calculator'!$C$20*'Gearing Calculator'!$W$20*('Track Data'!Q1019^2)</f>
        <v>246.30703367887403</v>
      </c>
      <c r="W1019" s="16">
        <f>('Gearing Calculator'!$U$9*'Track Data'!T1019)+'Track Data'!V1019</f>
        <v>1450.9719017992443</v>
      </c>
      <c r="X1019" s="16">
        <f>('Gearing Calculator'!$U$9*9.81)*('Gearing Calculator'!$U$16/'Gearing Calculator'!$C$7)-(('Track Data'!W1019)*('Gearing Calculator'!$U$17/'Gearing Calculator'!$C$7))</f>
        <v>610.28352123155776</v>
      </c>
      <c r="Y1019" s="16">
        <f>('Gearing Calculator'!$U$9*9.81)*(('Gearing Calculator'!$C$7-'Gearing Calculator'!$U$16)/'Gearing Calculator'!$C$7)+(('Track Data'!W1019)*('Gearing Calculator'!$U$17/'Gearing Calculator'!$C$7))</f>
        <v>2001.1384787684424</v>
      </c>
      <c r="Z1019" s="16">
        <f>((X1019*COS('Gearing Calculator'!$C$21))/'Gearing Calculator'!$C$22)/2</f>
        <v>18.868036314149364</v>
      </c>
      <c r="AA1019" s="16">
        <f>Y1019/'Gearing Calculator'!$C$24</f>
        <v>27.942605074495376</v>
      </c>
      <c r="AB1019" s="16">
        <f t="shared" si="114"/>
        <v>264.40868458977366</v>
      </c>
      <c r="AC1019" s="16">
        <v>0</v>
      </c>
      <c r="AD1019" s="16">
        <v>0</v>
      </c>
      <c r="AE1019" s="16">
        <v>1016</v>
      </c>
      <c r="AF1019" s="16">
        <f>IF(AC1019=0,IF(O1019=6,INDEX(Acceleration!$V$4:$V$110,MATCH('Track Data'!S1019,Acceleration!$K$4:$K$110,0)),IF('Track Data'!O1019=5,INDEX(Acceleration!$U$4:$U$110,MATCH('Track Data'!S1019,Acceleration!$K$4:$K$110,0)),1)),U1019)</f>
        <v>1</v>
      </c>
      <c r="AG1019" s="16">
        <f>IF(AC1019=0,IF(O1019=4,INDEX(Acceleration!$T$4:$T$110,MATCH('Track Data'!S1019,Acceleration!$K$4:$K$110,0)),IF('Track Data'!O1019=3,INDEX(Acceleration!$S$4:$S$110,MATCH('Track Data'!S1019,Acceleration!$K$4:$K$110,0)),'Track Data'!AF1019)),'Track Data'!U1019)</f>
        <v>4.5254127277249072</v>
      </c>
      <c r="AH1019" s="16">
        <f>IF(AC1019=0,IF(O1019=2,INDEX(Acceleration!$R$4:$R$110,MATCH('Track Data'!S1019,Acceleration!$K$4:$K$110,0)),IF('Track Data'!O1019=1,INDEX(Acceleration!$Q$4:$Q$110,MATCH('Track Data'!S1019,Acceleration!$K$4:$K$110,0)),'Track Data'!AG1019)),'Track Data'!U1019)</f>
        <v>4.5254127277249072</v>
      </c>
    </row>
    <row r="1020" spans="2:34" x14ac:dyDescent="0.25">
      <c r="B1020" s="16">
        <v>224.73400000000001</v>
      </c>
      <c r="C1020" s="16">
        <v>8290</v>
      </c>
      <c r="D1020" s="16">
        <v>1017</v>
      </c>
      <c r="E1020" s="113">
        <v>167</v>
      </c>
      <c r="F1020" s="113">
        <v>171.9</v>
      </c>
      <c r="G1020" s="113">
        <v>170.7</v>
      </c>
      <c r="H1020" s="113">
        <f t="shared" si="110"/>
        <v>47.416666666666664</v>
      </c>
      <c r="I1020" s="113">
        <v>4.3</v>
      </c>
      <c r="J1020" s="113">
        <v>27.86</v>
      </c>
      <c r="K1020" s="113">
        <v>15.7</v>
      </c>
      <c r="L1020" s="185"/>
      <c r="M1020" s="16">
        <v>1017</v>
      </c>
      <c r="N1020" s="16">
        <f t="shared" si="112"/>
        <v>2.0689196087904406E-2</v>
      </c>
      <c r="O1020" s="16">
        <v>4</v>
      </c>
      <c r="P1020" s="16">
        <f t="shared" si="108"/>
        <v>9.1833785004516724</v>
      </c>
      <c r="Q1020" s="16">
        <f t="shared" si="113"/>
        <v>48.334405829554363</v>
      </c>
      <c r="R1020" s="113">
        <f t="shared" si="109"/>
        <v>329.49099999999999</v>
      </c>
      <c r="S1020" s="16">
        <f>IF(S1019=15800,15800,ROUND((((Q1020*60)/'Gearing Calculator'!$C$14)*'Track Data'!P1020),-2))</f>
        <v>13500</v>
      </c>
      <c r="T1020" s="16">
        <f t="shared" si="111"/>
        <v>4.4786093729803564</v>
      </c>
      <c r="U1020" s="16">
        <f>IF(AC1020=100,Braking!$AG$2354,IF(AC1020=50,Braking!$AG$1179,IF(AC1020=75,Braking!$AG$1767,0)))</f>
        <v>0</v>
      </c>
      <c r="V1020" s="16">
        <f>0.5*'Gearing Calculator'!$C$15*'Gearing Calculator'!$C$20*'Gearing Calculator'!$W$20*('Track Data'!Q1020^2)</f>
        <v>247.26497304507885</v>
      </c>
      <c r="W1020" s="16">
        <f>('Gearing Calculator'!$U$9*'Track Data'!T1020)+'Track Data'!V1020</f>
        <v>1439.4707881324498</v>
      </c>
      <c r="X1020" s="16">
        <f>('Gearing Calculator'!$U$9*9.81)*('Gearing Calculator'!$U$16/'Gearing Calculator'!$C$7)-(('Track Data'!W1020)*('Gearing Calculator'!$U$17/'Gearing Calculator'!$C$7))</f>
        <v>616.55241363394828</v>
      </c>
      <c r="Y1020" s="16">
        <f>('Gearing Calculator'!$U$9*9.81)*(('Gearing Calculator'!$C$7-'Gearing Calculator'!$U$16)/'Gearing Calculator'!$C$7)+(('Track Data'!W1020)*('Gearing Calculator'!$U$17/'Gearing Calculator'!$C$7))</f>
        <v>1994.8695863660519</v>
      </c>
      <c r="Z1020" s="16">
        <f>((X1020*COS('Gearing Calculator'!$C$21))/'Gearing Calculator'!$C$22)/2</f>
        <v>19.06185064041383</v>
      </c>
      <c r="AA1020" s="16">
        <f>Y1020/'Gearing Calculator'!$C$24</f>
        <v>27.855070310403335</v>
      </c>
      <c r="AB1020" s="16">
        <f t="shared" si="114"/>
        <v>265.17941053700025</v>
      </c>
      <c r="AC1020" s="16">
        <v>0</v>
      </c>
      <c r="AD1020" s="16">
        <v>0</v>
      </c>
      <c r="AE1020" s="16">
        <v>1017</v>
      </c>
      <c r="AF1020" s="16">
        <f>IF(AC1020=0,IF(O1020=6,INDEX(Acceleration!$V$4:$V$110,MATCH('Track Data'!S1020,Acceleration!$K$4:$K$110,0)),IF('Track Data'!O1020=5,INDEX(Acceleration!$U$4:$U$110,MATCH('Track Data'!S1020,Acceleration!$K$4:$K$110,0)),1)),U1020)</f>
        <v>1</v>
      </c>
      <c r="AG1020" s="16">
        <f>IF(AC1020=0,IF(O1020=4,INDEX(Acceleration!$T$4:$T$110,MATCH('Track Data'!S1020,Acceleration!$K$4:$K$110,0)),IF('Track Data'!O1020=3,INDEX(Acceleration!$S$4:$S$110,MATCH('Track Data'!S1020,Acceleration!$K$4:$K$110,0)),'Track Data'!AF1020)),'Track Data'!U1020)</f>
        <v>4.4786093729803564</v>
      </c>
      <c r="AH1020" s="16">
        <f>IF(AC1020=0,IF(O1020=2,INDEX(Acceleration!$R$4:$R$110,MATCH('Track Data'!S1020,Acceleration!$K$4:$K$110,0)),IF('Track Data'!O1020=1,INDEX(Acceleration!$Q$4:$Q$110,MATCH('Track Data'!S1020,Acceleration!$K$4:$K$110,0)),'Track Data'!AG1020)),'Track Data'!U1020)</f>
        <v>4.4786093729803564</v>
      </c>
    </row>
    <row r="1021" spans="2:34" x14ac:dyDescent="0.25">
      <c r="B1021" s="16">
        <v>224.75399999999999</v>
      </c>
      <c r="C1021" s="16">
        <v>8291</v>
      </c>
      <c r="D1021" s="16">
        <v>1018</v>
      </c>
      <c r="E1021" s="113">
        <v>165</v>
      </c>
      <c r="F1021" s="113">
        <v>171.9</v>
      </c>
      <c r="G1021" s="113">
        <v>170.7</v>
      </c>
      <c r="H1021" s="113">
        <f t="shared" si="110"/>
        <v>47.416666666666664</v>
      </c>
      <c r="I1021" s="113">
        <v>4.0999999999999996</v>
      </c>
      <c r="J1021" s="113">
        <v>32.47</v>
      </c>
      <c r="K1021" s="113">
        <v>14.3</v>
      </c>
      <c r="L1021" s="185"/>
      <c r="M1021" s="16">
        <v>1018</v>
      </c>
      <c r="N1021" s="16">
        <f t="shared" si="112"/>
        <v>2.0649647827638309E-2</v>
      </c>
      <c r="O1021" s="16">
        <v>4</v>
      </c>
      <c r="P1021" s="16">
        <f t="shared" si="108"/>
        <v>9.1833785004516724</v>
      </c>
      <c r="Q1021" s="16">
        <f t="shared" si="113"/>
        <v>48.426976011743903</v>
      </c>
      <c r="R1021" s="113">
        <f t="shared" si="109"/>
        <v>329.49099999999999</v>
      </c>
      <c r="S1021" s="16">
        <f>IF(S1020=15800,15800,ROUND((((Q1021*60)/'Gearing Calculator'!$C$14)*'Track Data'!P1021),-2))</f>
        <v>13500</v>
      </c>
      <c r="T1021" s="16">
        <f t="shared" si="111"/>
        <v>4.4786093729803564</v>
      </c>
      <c r="U1021" s="16">
        <f>IF(AC1021=100,Braking!$AG$2354,IF(AC1021=50,Braking!$AG$1179,IF(AC1021=75,Braking!$AG$1767,0)))</f>
        <v>0</v>
      </c>
      <c r="V1021" s="16">
        <f>0.5*'Gearing Calculator'!$C$15*'Gearing Calculator'!$C$20*'Gearing Calculator'!$W$20*('Track Data'!Q1021^2)</f>
        <v>248.21300507715131</v>
      </c>
      <c r="W1021" s="16">
        <f>('Gearing Calculator'!$U$9*'Track Data'!T1021)+'Track Data'!V1021</f>
        <v>1440.4188201645222</v>
      </c>
      <c r="X1021" s="16">
        <f>('Gearing Calculator'!$U$9*9.81)*('Gearing Calculator'!$U$16/'Gearing Calculator'!$C$7)-(('Track Data'!W1021)*('Gearing Calculator'!$U$17/'Gearing Calculator'!$C$7))</f>
        <v>616.03567143182215</v>
      </c>
      <c r="Y1021" s="16">
        <f>('Gearing Calculator'!$U$9*9.81)*(('Gearing Calculator'!$C$7-'Gearing Calculator'!$U$16)/'Gearing Calculator'!$C$7)+(('Track Data'!W1021)*('Gearing Calculator'!$U$17/'Gearing Calculator'!$C$7))</f>
        <v>1995.3863285681778</v>
      </c>
      <c r="Z1021" s="16">
        <f>((X1021*COS('Gearing Calculator'!$C$21))/'Gearing Calculator'!$C$22)/2</f>
        <v>19.045874605840435</v>
      </c>
      <c r="AA1021" s="16">
        <f>Y1021/'Gearing Calculator'!$C$24</f>
        <v>27.862285764722223</v>
      </c>
      <c r="AB1021" s="16">
        <f t="shared" si="114"/>
        <v>266.12744256907274</v>
      </c>
      <c r="AC1021" s="16">
        <v>0</v>
      </c>
      <c r="AD1021" s="16">
        <v>0</v>
      </c>
      <c r="AE1021" s="16">
        <v>1018</v>
      </c>
      <c r="AF1021" s="16">
        <f>IF(AC1021=0,IF(O1021=6,INDEX(Acceleration!$V$4:$V$110,MATCH('Track Data'!S1021,Acceleration!$K$4:$K$110,0)),IF('Track Data'!O1021=5,INDEX(Acceleration!$U$4:$U$110,MATCH('Track Data'!S1021,Acceleration!$K$4:$K$110,0)),1)),U1021)</f>
        <v>1</v>
      </c>
      <c r="AG1021" s="16">
        <f>IF(AC1021=0,IF(O1021=4,INDEX(Acceleration!$T$4:$T$110,MATCH('Track Data'!S1021,Acceleration!$K$4:$K$110,0)),IF('Track Data'!O1021=3,INDEX(Acceleration!$S$4:$S$110,MATCH('Track Data'!S1021,Acceleration!$K$4:$K$110,0)),'Track Data'!AF1021)),'Track Data'!U1021)</f>
        <v>4.4786093729803564</v>
      </c>
      <c r="AH1021" s="16">
        <f>IF(AC1021=0,IF(O1021=2,INDEX(Acceleration!$R$4:$R$110,MATCH('Track Data'!S1021,Acceleration!$K$4:$K$110,0)),IF('Track Data'!O1021=1,INDEX(Acceleration!$Q$4:$Q$110,MATCH('Track Data'!S1021,Acceleration!$K$4:$K$110,0)),'Track Data'!AG1021)),'Track Data'!U1021)</f>
        <v>4.4786093729803564</v>
      </c>
    </row>
    <row r="1022" spans="2:34" x14ac:dyDescent="0.25">
      <c r="B1022" s="16">
        <v>224.77600000000001</v>
      </c>
      <c r="C1022" s="16">
        <v>8292</v>
      </c>
      <c r="D1022" s="16">
        <v>1019</v>
      </c>
      <c r="E1022" s="113">
        <v>164</v>
      </c>
      <c r="F1022" s="113">
        <v>171.8</v>
      </c>
      <c r="G1022" s="113">
        <v>170.6</v>
      </c>
      <c r="H1022" s="113">
        <f t="shared" si="110"/>
        <v>47.388888888888886</v>
      </c>
      <c r="I1022" s="113">
        <v>3.2</v>
      </c>
      <c r="J1022" s="113">
        <v>36.380000000000003</v>
      </c>
      <c r="K1022" s="113">
        <v>13</v>
      </c>
      <c r="L1022" s="185"/>
      <c r="M1022" s="16">
        <v>1019</v>
      </c>
      <c r="N1022" s="16">
        <f t="shared" si="112"/>
        <v>2.0610325498198329E-2</v>
      </c>
      <c r="O1022" s="16">
        <v>4</v>
      </c>
      <c r="P1022" s="16">
        <f t="shared" si="108"/>
        <v>9.1833785004516724</v>
      </c>
      <c r="Q1022" s="16">
        <f t="shared" si="113"/>
        <v>48.51936957945744</v>
      </c>
      <c r="R1022" s="113">
        <f t="shared" si="109"/>
        <v>329.49099999999999</v>
      </c>
      <c r="S1022" s="16">
        <f>IF(S1021=15800,15800,ROUND((((Q1022*60)/'Gearing Calculator'!$C$14)*'Track Data'!P1022),-2))</f>
        <v>13500</v>
      </c>
      <c r="T1022" s="16">
        <f t="shared" si="111"/>
        <v>4.4786093729803564</v>
      </c>
      <c r="U1022" s="16">
        <f>IF(AC1022=100,Braking!$AG$2354,IF(AC1022=50,Braking!$AG$1179,IF(AC1022=75,Braking!$AG$1767,0)))</f>
        <v>0</v>
      </c>
      <c r="V1022" s="16">
        <f>0.5*'Gearing Calculator'!$C$15*'Gearing Calculator'!$C$20*'Gearing Calculator'!$W$20*('Track Data'!Q1022^2)</f>
        <v>249.16103710922374</v>
      </c>
      <c r="W1022" s="16">
        <f>('Gearing Calculator'!$U$9*'Track Data'!T1022)+'Track Data'!V1022</f>
        <v>1441.3668521965947</v>
      </c>
      <c r="X1022" s="16">
        <f>('Gearing Calculator'!$U$9*9.81)*('Gearing Calculator'!$U$16/'Gearing Calculator'!$C$7)-(('Track Data'!W1022)*('Gearing Calculator'!$U$17/'Gearing Calculator'!$C$7))</f>
        <v>615.51892922969614</v>
      </c>
      <c r="Y1022" s="16">
        <f>('Gearing Calculator'!$U$9*9.81)*(('Gearing Calculator'!$C$7-'Gearing Calculator'!$U$16)/'Gearing Calculator'!$C$7)+(('Track Data'!W1022)*('Gearing Calculator'!$U$17/'Gearing Calculator'!$C$7))</f>
        <v>1995.9030707703039</v>
      </c>
      <c r="Z1022" s="16">
        <f>((X1022*COS('Gearing Calculator'!$C$21))/'Gearing Calculator'!$C$22)/2</f>
        <v>19.02989857126704</v>
      </c>
      <c r="AA1022" s="16">
        <f>Y1022/'Gearing Calculator'!$C$24</f>
        <v>27.869501219041119</v>
      </c>
      <c r="AB1022" s="16">
        <f t="shared" si="114"/>
        <v>267.07547460114517</v>
      </c>
      <c r="AC1022" s="16">
        <v>0</v>
      </c>
      <c r="AD1022" s="16">
        <v>0</v>
      </c>
      <c r="AE1022" s="16">
        <v>1019</v>
      </c>
      <c r="AF1022" s="16">
        <f>IF(AC1022=0,IF(O1022=6,INDEX(Acceleration!$V$4:$V$110,MATCH('Track Data'!S1022,Acceleration!$K$4:$K$110,0)),IF('Track Data'!O1022=5,INDEX(Acceleration!$U$4:$U$110,MATCH('Track Data'!S1022,Acceleration!$K$4:$K$110,0)),1)),U1022)</f>
        <v>1</v>
      </c>
      <c r="AG1022" s="16">
        <f>IF(AC1022=0,IF(O1022=4,INDEX(Acceleration!$T$4:$T$110,MATCH('Track Data'!S1022,Acceleration!$K$4:$K$110,0)),IF('Track Data'!O1022=3,INDEX(Acceleration!$S$4:$S$110,MATCH('Track Data'!S1022,Acceleration!$K$4:$K$110,0)),'Track Data'!AF1022)),'Track Data'!U1022)</f>
        <v>4.4786093729803564</v>
      </c>
      <c r="AH1022" s="16">
        <f>IF(AC1022=0,IF(O1022=2,INDEX(Acceleration!$R$4:$R$110,MATCH('Track Data'!S1022,Acceleration!$K$4:$K$110,0)),IF('Track Data'!O1022=1,INDEX(Acceleration!$Q$4:$Q$110,MATCH('Track Data'!S1022,Acceleration!$K$4:$K$110,0)),'Track Data'!AG1022)),'Track Data'!U1022)</f>
        <v>4.4786093729803564</v>
      </c>
    </row>
    <row r="1023" spans="2:34" x14ac:dyDescent="0.25">
      <c r="B1023" s="16">
        <v>224.79599999999999</v>
      </c>
      <c r="C1023" s="16">
        <v>8293</v>
      </c>
      <c r="D1023" s="16">
        <v>1020</v>
      </c>
      <c r="E1023" s="113">
        <v>163</v>
      </c>
      <c r="F1023" s="113">
        <v>171.6</v>
      </c>
      <c r="G1023" s="113">
        <v>170.5</v>
      </c>
      <c r="H1023" s="113">
        <f t="shared" si="110"/>
        <v>47.361111111111107</v>
      </c>
      <c r="I1023" s="113">
        <v>2.7</v>
      </c>
      <c r="J1023" s="113">
        <v>41.41</v>
      </c>
      <c r="K1023" s="113">
        <v>11.6</v>
      </c>
      <c r="L1023" s="185"/>
      <c r="M1023" s="16">
        <v>1020</v>
      </c>
      <c r="N1023" s="16">
        <f t="shared" si="112"/>
        <v>2.0571226956586652E-2</v>
      </c>
      <c r="O1023" s="16">
        <v>4</v>
      </c>
      <c r="P1023" s="16">
        <f t="shared" si="108"/>
        <v>9.1833785004516724</v>
      </c>
      <c r="Q1023" s="16">
        <f t="shared" si="113"/>
        <v>48.611587539741393</v>
      </c>
      <c r="R1023" s="113">
        <f t="shared" si="109"/>
        <v>329.49099999999999</v>
      </c>
      <c r="S1023" s="16">
        <f>IF(S1022=15800,15800,ROUND((((Q1023*60)/'Gearing Calculator'!$C$14)*'Track Data'!P1023),-2))</f>
        <v>13500</v>
      </c>
      <c r="T1023" s="16">
        <f t="shared" si="111"/>
        <v>4.4786093729803564</v>
      </c>
      <c r="U1023" s="16">
        <f>IF(AC1023=100,Braking!$AG$2354,IF(AC1023=50,Braking!$AG$1179,IF(AC1023=75,Braking!$AG$1767,0)))</f>
        <v>0</v>
      </c>
      <c r="V1023" s="16">
        <f>0.5*'Gearing Calculator'!$C$15*'Gearing Calculator'!$C$20*'Gearing Calculator'!$W$20*('Track Data'!Q1023^2)</f>
        <v>250.10906914129623</v>
      </c>
      <c r="W1023" s="16">
        <f>('Gearing Calculator'!$U$9*'Track Data'!T1023)+'Track Data'!V1023</f>
        <v>1442.3148842286671</v>
      </c>
      <c r="X1023" s="16">
        <f>('Gearing Calculator'!$U$9*9.81)*('Gearing Calculator'!$U$16/'Gearing Calculator'!$C$7)-(('Track Data'!W1023)*('Gearing Calculator'!$U$17/'Gearing Calculator'!$C$7))</f>
        <v>615.00218702757002</v>
      </c>
      <c r="Y1023" s="16">
        <f>('Gearing Calculator'!$U$9*9.81)*(('Gearing Calculator'!$C$7-'Gearing Calculator'!$U$16)/'Gearing Calculator'!$C$7)+(('Track Data'!W1023)*('Gearing Calculator'!$U$17/'Gearing Calculator'!$C$7))</f>
        <v>1996.41981297243</v>
      </c>
      <c r="Z1023" s="16">
        <f>((X1023*COS('Gearing Calculator'!$C$21))/'Gearing Calculator'!$C$22)/2</f>
        <v>19.013922536693642</v>
      </c>
      <c r="AA1023" s="16">
        <f>Y1023/'Gearing Calculator'!$C$24</f>
        <v>27.876716673360015</v>
      </c>
      <c r="AB1023" s="16">
        <f t="shared" si="114"/>
        <v>268.02350663321766</v>
      </c>
      <c r="AC1023" s="16">
        <v>0</v>
      </c>
      <c r="AD1023" s="16">
        <v>0</v>
      </c>
      <c r="AE1023" s="16">
        <v>1020</v>
      </c>
      <c r="AF1023" s="16">
        <f>IF(AC1023=0,IF(O1023=6,INDEX(Acceleration!$V$4:$V$110,MATCH('Track Data'!S1023,Acceleration!$K$4:$K$110,0)),IF('Track Data'!O1023=5,INDEX(Acceleration!$U$4:$U$110,MATCH('Track Data'!S1023,Acceleration!$K$4:$K$110,0)),1)),U1023)</f>
        <v>1</v>
      </c>
      <c r="AG1023" s="16">
        <f>IF(AC1023=0,IF(O1023=4,INDEX(Acceleration!$T$4:$T$110,MATCH('Track Data'!S1023,Acceleration!$K$4:$K$110,0)),IF('Track Data'!O1023=3,INDEX(Acceleration!$S$4:$S$110,MATCH('Track Data'!S1023,Acceleration!$K$4:$K$110,0)),'Track Data'!AF1023)),'Track Data'!U1023)</f>
        <v>4.4786093729803564</v>
      </c>
      <c r="AH1023" s="16">
        <f>IF(AC1023=0,IF(O1023=2,INDEX(Acceleration!$R$4:$R$110,MATCH('Track Data'!S1023,Acceleration!$K$4:$K$110,0)),IF('Track Data'!O1023=1,INDEX(Acceleration!$Q$4:$Q$110,MATCH('Track Data'!S1023,Acceleration!$K$4:$K$110,0)),'Track Data'!AG1023)),'Track Data'!U1023)</f>
        <v>4.4786093729803564</v>
      </c>
    </row>
    <row r="1024" spans="2:34" x14ac:dyDescent="0.25">
      <c r="B1024" s="16">
        <v>224.81700000000001</v>
      </c>
      <c r="C1024" s="16">
        <v>8294</v>
      </c>
      <c r="D1024" s="16">
        <v>1021</v>
      </c>
      <c r="E1024" s="113">
        <v>163</v>
      </c>
      <c r="F1024" s="113">
        <v>171.3</v>
      </c>
      <c r="G1024" s="113">
        <v>170.5</v>
      </c>
      <c r="H1024" s="113">
        <f t="shared" si="110"/>
        <v>47.361111111111107</v>
      </c>
      <c r="I1024" s="113">
        <v>2.9</v>
      </c>
      <c r="J1024" s="113">
        <v>42.7</v>
      </c>
      <c r="K1024" s="113">
        <v>11.2</v>
      </c>
      <c r="L1024" s="185"/>
      <c r="M1024" s="16">
        <v>1021</v>
      </c>
      <c r="N1024" s="16">
        <f t="shared" si="112"/>
        <v>2.053235008815538E-2</v>
      </c>
      <c r="O1024" s="16">
        <v>4</v>
      </c>
      <c r="P1024" s="16">
        <f t="shared" si="108"/>
        <v>9.1833785004516724</v>
      </c>
      <c r="Q1024" s="16">
        <f t="shared" si="113"/>
        <v>48.703630890108194</v>
      </c>
      <c r="R1024" s="113">
        <f t="shared" si="109"/>
        <v>329.49099999999999</v>
      </c>
      <c r="S1024" s="16">
        <f>IF(S1023=15800,15800,ROUND((((Q1024*60)/'Gearing Calculator'!$C$14)*'Track Data'!P1024),-2))</f>
        <v>13600</v>
      </c>
      <c r="T1024" s="16">
        <f t="shared" si="111"/>
        <v>4.4322975285970454</v>
      </c>
      <c r="U1024" s="16">
        <f>IF(AC1024=100,Braking!$AG$2354,IF(AC1024=50,Braking!$AG$1179,IF(AC1024=75,Braking!$AG$1767,0)))</f>
        <v>0</v>
      </c>
      <c r="V1024" s="16">
        <f>0.5*'Gearing Calculator'!$C$15*'Gearing Calculator'!$C$20*'Gearing Calculator'!$W$20*('Track Data'!Q1024^2)</f>
        <v>251.05710117336872</v>
      </c>
      <c r="W1024" s="16">
        <f>('Gearing Calculator'!$U$9*'Track Data'!T1024)+'Track Data'!V1024</f>
        <v>1430.9347032859021</v>
      </c>
      <c r="X1024" s="16">
        <f>('Gearing Calculator'!$U$9*9.81)*('Gearing Calculator'!$U$16/'Gearing Calculator'!$C$7)-(('Track Data'!W1024)*('Gearing Calculator'!$U$17/'Gearing Calculator'!$C$7))</f>
        <v>621.20516283641734</v>
      </c>
      <c r="Y1024" s="16">
        <f>('Gearing Calculator'!$U$9*9.81)*(('Gearing Calculator'!$C$7-'Gearing Calculator'!$U$16)/'Gearing Calculator'!$C$7)+(('Track Data'!W1024)*('Gearing Calculator'!$U$17/'Gearing Calculator'!$C$7))</f>
        <v>1990.2168371635826</v>
      </c>
      <c r="Z1024" s="16">
        <f>((X1024*COS('Gearing Calculator'!$C$21))/'Gearing Calculator'!$C$22)/2</f>
        <v>19.205698930362178</v>
      </c>
      <c r="AA1024" s="16">
        <f>Y1024/'Gearing Calculator'!$C$24</f>
        <v>27.790102326001133</v>
      </c>
      <c r="AB1024" s="16">
        <f t="shared" si="114"/>
        <v>268.78629128775691</v>
      </c>
      <c r="AC1024" s="16">
        <v>0</v>
      </c>
      <c r="AD1024" s="16">
        <v>0</v>
      </c>
      <c r="AE1024" s="16">
        <v>1021</v>
      </c>
      <c r="AF1024" s="16">
        <f>IF(AC1024=0,IF(O1024=6,INDEX(Acceleration!$V$4:$V$110,MATCH('Track Data'!S1024,Acceleration!$K$4:$K$110,0)),IF('Track Data'!O1024=5,INDEX(Acceleration!$U$4:$U$110,MATCH('Track Data'!S1024,Acceleration!$K$4:$K$110,0)),1)),U1024)</f>
        <v>1</v>
      </c>
      <c r="AG1024" s="16">
        <f>IF(AC1024=0,IF(O1024=4,INDEX(Acceleration!$T$4:$T$110,MATCH('Track Data'!S1024,Acceleration!$K$4:$K$110,0)),IF('Track Data'!O1024=3,INDEX(Acceleration!$S$4:$S$110,MATCH('Track Data'!S1024,Acceleration!$K$4:$K$110,0)),'Track Data'!AF1024)),'Track Data'!U1024)</f>
        <v>4.4322975285970454</v>
      </c>
      <c r="AH1024" s="16">
        <f>IF(AC1024=0,IF(O1024=2,INDEX(Acceleration!$R$4:$R$110,MATCH('Track Data'!S1024,Acceleration!$K$4:$K$110,0)),IF('Track Data'!O1024=1,INDEX(Acceleration!$Q$4:$Q$110,MATCH('Track Data'!S1024,Acceleration!$K$4:$K$110,0)),'Track Data'!AG1024)),'Track Data'!U1024)</f>
        <v>4.4322975285970454</v>
      </c>
    </row>
    <row r="1025" spans="2:34" x14ac:dyDescent="0.25">
      <c r="B1025" s="16">
        <v>224.83799999999999</v>
      </c>
      <c r="C1025" s="16">
        <v>8295</v>
      </c>
      <c r="D1025" s="16">
        <v>1022</v>
      </c>
      <c r="E1025" s="113">
        <v>163</v>
      </c>
      <c r="F1025" s="113">
        <v>170.7</v>
      </c>
      <c r="G1025" s="113">
        <v>170.4</v>
      </c>
      <c r="H1025" s="113">
        <f t="shared" si="110"/>
        <v>47.333333333333336</v>
      </c>
      <c r="I1025" s="113">
        <v>3.4</v>
      </c>
      <c r="J1025" s="113">
        <v>45.74</v>
      </c>
      <c r="K1025" s="113">
        <v>11.2</v>
      </c>
      <c r="L1025" s="185"/>
      <c r="M1025" s="16">
        <v>1022</v>
      </c>
      <c r="N1025" s="16">
        <f t="shared" si="112"/>
        <v>2.0494091431935771E-2</v>
      </c>
      <c r="O1025" s="16">
        <v>4</v>
      </c>
      <c r="P1025" s="16">
        <f t="shared" si="108"/>
        <v>9.1833785004516724</v>
      </c>
      <c r="Q1025" s="16">
        <f t="shared" si="113"/>
        <v>48.79455150871965</v>
      </c>
      <c r="R1025" s="113">
        <f t="shared" si="109"/>
        <v>329.49099999999999</v>
      </c>
      <c r="S1025" s="16">
        <f>IF(S1024=15800,15800,ROUND((((Q1025*60)/'Gearing Calculator'!$C$14)*'Track Data'!P1025),-2))</f>
        <v>13600</v>
      </c>
      <c r="T1025" s="16">
        <f t="shared" si="111"/>
        <v>4.4322975285970454</v>
      </c>
      <c r="U1025" s="16">
        <f>IF(AC1025=100,Braking!$AG$2354,IF(AC1025=50,Braking!$AG$1179,IF(AC1025=75,Braking!$AG$1767,0)))</f>
        <v>0</v>
      </c>
      <c r="V1025" s="16">
        <f>0.5*'Gearing Calculator'!$C$15*'Gearing Calculator'!$C$20*'Gearing Calculator'!$W$20*('Track Data'!Q1025^2)</f>
        <v>251.99532991422208</v>
      </c>
      <c r="W1025" s="16">
        <f>('Gearing Calculator'!$U$9*'Track Data'!T1025)+'Track Data'!V1025</f>
        <v>1431.8729320267555</v>
      </c>
      <c r="X1025" s="16">
        <f>('Gearing Calculator'!$U$9*9.81)*('Gearing Calculator'!$U$16/'Gearing Calculator'!$C$7)-(('Track Data'!W1025)*('Gearing Calculator'!$U$17/'Gearing Calculator'!$C$7))</f>
        <v>620.69376409750896</v>
      </c>
      <c r="Y1025" s="16">
        <f>('Gearing Calculator'!$U$9*9.81)*(('Gearing Calculator'!$C$7-'Gearing Calculator'!$U$16)/'Gearing Calculator'!$C$7)+(('Track Data'!W1025)*('Gearing Calculator'!$U$17/'Gearing Calculator'!$C$7))</f>
        <v>1990.7282359024912</v>
      </c>
      <c r="Z1025" s="16">
        <f>((X1025*COS('Gearing Calculator'!$C$21))/'Gearing Calculator'!$C$22)/2</f>
        <v>19.189888098771537</v>
      </c>
      <c r="AA1025" s="16">
        <f>Y1025/'Gearing Calculator'!$C$24</f>
        <v>27.797243167651288</v>
      </c>
      <c r="AB1025" s="16">
        <f t="shared" si="114"/>
        <v>269.72452002861024</v>
      </c>
      <c r="AC1025" s="16">
        <v>0</v>
      </c>
      <c r="AD1025" s="16">
        <v>0</v>
      </c>
      <c r="AE1025" s="16">
        <v>1022</v>
      </c>
      <c r="AF1025" s="16">
        <f>IF(AC1025=0,IF(O1025=6,INDEX(Acceleration!$V$4:$V$110,MATCH('Track Data'!S1025,Acceleration!$K$4:$K$110,0)),IF('Track Data'!O1025=5,INDEX(Acceleration!$U$4:$U$110,MATCH('Track Data'!S1025,Acceleration!$K$4:$K$110,0)),1)),U1025)</f>
        <v>1</v>
      </c>
      <c r="AG1025" s="16">
        <f>IF(AC1025=0,IF(O1025=4,INDEX(Acceleration!$T$4:$T$110,MATCH('Track Data'!S1025,Acceleration!$K$4:$K$110,0)),IF('Track Data'!O1025=3,INDEX(Acceleration!$S$4:$S$110,MATCH('Track Data'!S1025,Acceleration!$K$4:$K$110,0)),'Track Data'!AF1025)),'Track Data'!U1025)</f>
        <v>4.4322975285970454</v>
      </c>
      <c r="AH1025" s="16">
        <f>IF(AC1025=0,IF(O1025=2,INDEX(Acceleration!$R$4:$R$110,MATCH('Track Data'!S1025,Acceleration!$K$4:$K$110,0)),IF('Track Data'!O1025=1,INDEX(Acceleration!$Q$4:$Q$110,MATCH('Track Data'!S1025,Acceleration!$K$4:$K$110,0)),'Track Data'!AG1025)),'Track Data'!U1025)</f>
        <v>4.4322975285970454</v>
      </c>
    </row>
    <row r="1026" spans="2:34" x14ac:dyDescent="0.25">
      <c r="B1026" s="16">
        <v>224.85900000000001</v>
      </c>
      <c r="C1026" s="16">
        <v>8296</v>
      </c>
      <c r="D1026" s="16">
        <v>1023</v>
      </c>
      <c r="E1026" s="113">
        <v>163</v>
      </c>
      <c r="F1026" s="113">
        <v>170.1</v>
      </c>
      <c r="G1026" s="113">
        <v>170.3</v>
      </c>
      <c r="H1026" s="113">
        <f t="shared" si="110"/>
        <v>47.305555555555557</v>
      </c>
      <c r="I1026" s="113">
        <v>4</v>
      </c>
      <c r="J1026" s="113">
        <v>49.43</v>
      </c>
      <c r="K1026" s="113">
        <v>11.2</v>
      </c>
      <c r="L1026" s="185"/>
      <c r="M1026" s="16">
        <v>1023</v>
      </c>
      <c r="N1026" s="16">
        <f t="shared" si="112"/>
        <v>2.045604584792261E-2</v>
      </c>
      <c r="O1026" s="16">
        <v>4</v>
      </c>
      <c r="P1026" s="16">
        <f t="shared" si="108"/>
        <v>9.1833785004516724</v>
      </c>
      <c r="Q1026" s="16">
        <f t="shared" si="113"/>
        <v>48.885303026515942</v>
      </c>
      <c r="R1026" s="113">
        <f t="shared" si="109"/>
        <v>329.49099999999999</v>
      </c>
      <c r="S1026" s="16">
        <f>IF(S1025=15800,15800,ROUND((((Q1026*60)/'Gearing Calculator'!$C$14)*'Track Data'!P1026),-2))</f>
        <v>13600</v>
      </c>
      <c r="T1026" s="16">
        <f t="shared" si="111"/>
        <v>4.4322975285970454</v>
      </c>
      <c r="U1026" s="16">
        <f>IF(AC1026=100,Braking!$AG$2354,IF(AC1026=50,Braking!$AG$1179,IF(AC1026=75,Braking!$AG$1767,0)))</f>
        <v>0</v>
      </c>
      <c r="V1026" s="16">
        <f>0.5*'Gearing Calculator'!$C$15*'Gearing Calculator'!$C$20*'Gearing Calculator'!$W$20*('Track Data'!Q1026^2)</f>
        <v>252.9335586550755</v>
      </c>
      <c r="W1026" s="16">
        <f>('Gearing Calculator'!$U$9*'Track Data'!T1026)+'Track Data'!V1026</f>
        <v>1432.811160767609</v>
      </c>
      <c r="X1026" s="16">
        <f>('Gearing Calculator'!$U$9*9.81)*('Gearing Calculator'!$U$16/'Gearing Calculator'!$C$7)-(('Track Data'!W1026)*('Gearing Calculator'!$U$17/'Gearing Calculator'!$C$7))</f>
        <v>620.18236535860058</v>
      </c>
      <c r="Y1026" s="16">
        <f>('Gearing Calculator'!$U$9*9.81)*(('Gearing Calculator'!$C$7-'Gearing Calculator'!$U$16)/'Gearing Calculator'!$C$7)+(('Track Data'!W1026)*('Gearing Calculator'!$U$17/'Gearing Calculator'!$C$7))</f>
        <v>1991.2396346413993</v>
      </c>
      <c r="Z1026" s="16">
        <f>((X1026*COS('Gearing Calculator'!$C$21))/'Gearing Calculator'!$C$22)/2</f>
        <v>19.174077267180902</v>
      </c>
      <c r="AA1026" s="16">
        <f>Y1026/'Gearing Calculator'!$C$24</f>
        <v>27.804384009301437</v>
      </c>
      <c r="AB1026" s="16">
        <f t="shared" si="114"/>
        <v>270.66274876946369</v>
      </c>
      <c r="AC1026" s="16">
        <v>0</v>
      </c>
      <c r="AD1026" s="16">
        <v>0</v>
      </c>
      <c r="AE1026" s="16">
        <v>1023</v>
      </c>
      <c r="AF1026" s="16">
        <f>IF(AC1026=0,IF(O1026=6,INDEX(Acceleration!$V$4:$V$110,MATCH('Track Data'!S1026,Acceleration!$K$4:$K$110,0)),IF('Track Data'!O1026=5,INDEX(Acceleration!$U$4:$U$110,MATCH('Track Data'!S1026,Acceleration!$K$4:$K$110,0)),1)),U1026)</f>
        <v>1</v>
      </c>
      <c r="AG1026" s="16">
        <f>IF(AC1026=0,IF(O1026=4,INDEX(Acceleration!$T$4:$T$110,MATCH('Track Data'!S1026,Acceleration!$K$4:$K$110,0)),IF('Track Data'!O1026=3,INDEX(Acceleration!$S$4:$S$110,MATCH('Track Data'!S1026,Acceleration!$K$4:$K$110,0)),'Track Data'!AF1026)),'Track Data'!U1026)</f>
        <v>4.4322975285970454</v>
      </c>
      <c r="AH1026" s="16">
        <f>IF(AC1026=0,IF(O1026=2,INDEX(Acceleration!$R$4:$R$110,MATCH('Track Data'!S1026,Acceleration!$K$4:$K$110,0)),IF('Track Data'!O1026=1,INDEX(Acceleration!$Q$4:$Q$110,MATCH('Track Data'!S1026,Acceleration!$K$4:$K$110,0)),'Track Data'!AG1026)),'Track Data'!U1026)</f>
        <v>4.4322975285970454</v>
      </c>
    </row>
    <row r="1027" spans="2:34" x14ac:dyDescent="0.25">
      <c r="B1027" s="16">
        <v>224.88</v>
      </c>
      <c r="C1027" s="16">
        <v>8296</v>
      </c>
      <c r="D1027" s="16">
        <v>1024</v>
      </c>
      <c r="E1027" s="113">
        <v>163</v>
      </c>
      <c r="F1027" s="113">
        <v>169.1</v>
      </c>
      <c r="G1027" s="113">
        <v>170.1</v>
      </c>
      <c r="H1027" s="113">
        <f t="shared" si="110"/>
        <v>47.25</v>
      </c>
      <c r="I1027" s="113">
        <v>4.7</v>
      </c>
      <c r="J1027" s="113">
        <v>53.55</v>
      </c>
      <c r="K1027" s="113">
        <v>11</v>
      </c>
      <c r="L1027" s="185"/>
      <c r="M1027" s="16">
        <v>1024</v>
      </c>
      <c r="N1027" s="16">
        <f t="shared" si="112"/>
        <v>2.0418211365674992E-2</v>
      </c>
      <c r="O1027" s="16">
        <v>4</v>
      </c>
      <c r="P1027" s="16">
        <f t="shared" si="108"/>
        <v>9.1833785004516724</v>
      </c>
      <c r="Q1027" s="16">
        <f t="shared" si="113"/>
        <v>48.975886383520233</v>
      </c>
      <c r="R1027" s="113">
        <f t="shared" si="109"/>
        <v>329.49099999999999</v>
      </c>
      <c r="S1027" s="16">
        <f>IF(S1026=15800,15800,ROUND((((Q1027*60)/'Gearing Calculator'!$C$14)*'Track Data'!P1027),-2))</f>
        <v>13600</v>
      </c>
      <c r="T1027" s="16">
        <f t="shared" si="111"/>
        <v>4.4322975285970454</v>
      </c>
      <c r="U1027" s="16">
        <f>IF(AC1027=100,Braking!$AG$2354,IF(AC1027=50,Braking!$AG$1179,IF(AC1027=75,Braking!$AG$1767,0)))</f>
        <v>0</v>
      </c>
      <c r="V1027" s="16">
        <f>0.5*'Gearing Calculator'!$C$15*'Gearing Calculator'!$C$20*'Gearing Calculator'!$W$20*('Track Data'!Q1027^2)</f>
        <v>253.87178739592889</v>
      </c>
      <c r="W1027" s="16">
        <f>('Gearing Calculator'!$U$9*'Track Data'!T1027)+'Track Data'!V1027</f>
        <v>1433.7493895084622</v>
      </c>
      <c r="X1027" s="16">
        <f>('Gearing Calculator'!$U$9*9.81)*('Gearing Calculator'!$U$16/'Gearing Calculator'!$C$7)-(('Track Data'!W1027)*('Gearing Calculator'!$U$17/'Gearing Calculator'!$C$7))</f>
        <v>619.67096661969231</v>
      </c>
      <c r="Y1027" s="16">
        <f>('Gearing Calculator'!$U$9*9.81)*(('Gearing Calculator'!$C$7-'Gearing Calculator'!$U$16)/'Gearing Calculator'!$C$7)+(('Track Data'!W1027)*('Gearing Calculator'!$U$17/'Gearing Calculator'!$C$7))</f>
        <v>1991.7510333803077</v>
      </c>
      <c r="Z1027" s="16">
        <f>((X1027*COS('Gearing Calculator'!$C$21))/'Gearing Calculator'!$C$22)/2</f>
        <v>19.158266435590267</v>
      </c>
      <c r="AA1027" s="16">
        <f>Y1027/'Gearing Calculator'!$C$24</f>
        <v>27.811524850951589</v>
      </c>
      <c r="AB1027" s="16">
        <f t="shared" si="114"/>
        <v>271.60097751031708</v>
      </c>
      <c r="AC1027" s="16">
        <v>0</v>
      </c>
      <c r="AD1027" s="16">
        <v>0</v>
      </c>
      <c r="AE1027" s="16">
        <v>1024</v>
      </c>
      <c r="AF1027" s="16">
        <f>IF(AC1027=0,IF(O1027=6,INDEX(Acceleration!$V$4:$V$110,MATCH('Track Data'!S1027,Acceleration!$K$4:$K$110,0)),IF('Track Data'!O1027=5,INDEX(Acceleration!$U$4:$U$110,MATCH('Track Data'!S1027,Acceleration!$K$4:$K$110,0)),1)),U1027)</f>
        <v>1</v>
      </c>
      <c r="AG1027" s="16">
        <f>IF(AC1027=0,IF(O1027=4,INDEX(Acceleration!$T$4:$T$110,MATCH('Track Data'!S1027,Acceleration!$K$4:$K$110,0)),IF('Track Data'!O1027=3,INDEX(Acceleration!$S$4:$S$110,MATCH('Track Data'!S1027,Acceleration!$K$4:$K$110,0)),'Track Data'!AF1027)),'Track Data'!U1027)</f>
        <v>4.4322975285970454</v>
      </c>
      <c r="AH1027" s="16">
        <f>IF(AC1027=0,IF(O1027=2,INDEX(Acceleration!$R$4:$R$110,MATCH('Track Data'!S1027,Acceleration!$K$4:$K$110,0)),IF('Track Data'!O1027=1,INDEX(Acceleration!$Q$4:$Q$110,MATCH('Track Data'!S1027,Acceleration!$K$4:$K$110,0)),'Track Data'!AG1027)),'Track Data'!U1027)</f>
        <v>4.4322975285970454</v>
      </c>
    </row>
    <row r="1028" spans="2:34" x14ac:dyDescent="0.25">
      <c r="B1028" s="16">
        <v>224.90100000000001</v>
      </c>
      <c r="C1028" s="16">
        <v>8298</v>
      </c>
      <c r="D1028" s="16">
        <v>1025</v>
      </c>
      <c r="E1028" s="113">
        <v>163</v>
      </c>
      <c r="F1028" s="113">
        <v>168.6</v>
      </c>
      <c r="G1028" s="113">
        <v>169.9</v>
      </c>
      <c r="H1028" s="113">
        <f t="shared" si="110"/>
        <v>47.194444444444443</v>
      </c>
      <c r="I1028" s="113">
        <v>4.8</v>
      </c>
      <c r="J1028" s="113">
        <v>54.58</v>
      </c>
      <c r="K1028" s="113">
        <v>10.1</v>
      </c>
      <c r="L1028" s="185"/>
      <c r="M1028" s="16">
        <v>1025</v>
      </c>
      <c r="N1028" s="16">
        <f t="shared" si="112"/>
        <v>2.0380586040169055E-2</v>
      </c>
      <c r="O1028" s="16">
        <v>4</v>
      </c>
      <c r="P1028" s="16">
        <f t="shared" ref="P1028:P1091" si="115">VLOOKUP(O1028,$AJ$5:$AK$10,2,FALSE)</f>
        <v>9.1833785004516724</v>
      </c>
      <c r="Q1028" s="16">
        <f t="shared" si="113"/>
        <v>49.066302511078582</v>
      </c>
      <c r="R1028" s="113">
        <f t="shared" ref="R1028:R1091" si="116">VLOOKUP(O1028,$AJ$5:$AL$10,3,FALSE)</f>
        <v>329.49099999999999</v>
      </c>
      <c r="S1028" s="16">
        <f>IF(S1027=15800,15800,ROUND((((Q1028*60)/'Gearing Calculator'!$C$14)*'Track Data'!P1028),-2))</f>
        <v>13700</v>
      </c>
      <c r="T1028" s="16">
        <f t="shared" si="111"/>
        <v>4.3864649846265227</v>
      </c>
      <c r="U1028" s="16">
        <f>IF(AC1028=100,Braking!$AG$2354,IF(AC1028=50,Braking!$AG$1179,IF(AC1028=75,Braking!$AG$1767,0)))</f>
        <v>0</v>
      </c>
      <c r="V1028" s="16">
        <f>0.5*'Gearing Calculator'!$C$15*'Gearing Calculator'!$C$20*'Gearing Calculator'!$W$20*('Track Data'!Q1028^2)</f>
        <v>254.81001613678231</v>
      </c>
      <c r="W1028" s="16">
        <f>('Gearing Calculator'!$U$9*'Track Data'!T1028)+'Track Data'!V1028</f>
        <v>1422.4869950443624</v>
      </c>
      <c r="X1028" s="16">
        <f>('Gearing Calculator'!$U$9*9.81)*('Gearing Calculator'!$U$16/'Gearing Calculator'!$C$7)-(('Track Data'!W1028)*('Gearing Calculator'!$U$17/'Gearing Calculator'!$C$7))</f>
        <v>625.8097407535887</v>
      </c>
      <c r="Y1028" s="16">
        <f>('Gearing Calculator'!$U$9*9.81)*(('Gearing Calculator'!$C$7-'Gearing Calculator'!$U$16)/'Gearing Calculator'!$C$7)+(('Track Data'!W1028)*('Gearing Calculator'!$U$17/'Gearing Calculator'!$C$7))</f>
        <v>1985.6122592464112</v>
      </c>
      <c r="Z1028" s="16">
        <f>((X1028*COS('Gearing Calculator'!$C$21))/'Gearing Calculator'!$C$22)/2</f>
        <v>19.348057916521913</v>
      </c>
      <c r="AA1028" s="16">
        <f>Y1028/'Gearing Calculator'!$C$24</f>
        <v>27.725806974310405</v>
      </c>
      <c r="AB1028" s="16">
        <f t="shared" si="114"/>
        <v>272.35587607528839</v>
      </c>
      <c r="AC1028" s="16">
        <v>0</v>
      </c>
      <c r="AD1028" s="16">
        <v>0</v>
      </c>
      <c r="AE1028" s="16">
        <v>1025</v>
      </c>
      <c r="AF1028" s="16">
        <f>IF(AC1028=0,IF(O1028=6,INDEX(Acceleration!$V$4:$V$110,MATCH('Track Data'!S1028,Acceleration!$K$4:$K$110,0)),IF('Track Data'!O1028=5,INDEX(Acceleration!$U$4:$U$110,MATCH('Track Data'!S1028,Acceleration!$K$4:$K$110,0)),1)),U1028)</f>
        <v>1</v>
      </c>
      <c r="AG1028" s="16">
        <f>IF(AC1028=0,IF(O1028=4,INDEX(Acceleration!$T$4:$T$110,MATCH('Track Data'!S1028,Acceleration!$K$4:$K$110,0)),IF('Track Data'!O1028=3,INDEX(Acceleration!$S$4:$S$110,MATCH('Track Data'!S1028,Acceleration!$K$4:$K$110,0)),'Track Data'!AF1028)),'Track Data'!U1028)</f>
        <v>4.3864649846265227</v>
      </c>
      <c r="AH1028" s="16">
        <f>IF(AC1028=0,IF(O1028=2,INDEX(Acceleration!$R$4:$R$110,MATCH('Track Data'!S1028,Acceleration!$K$4:$K$110,0)),IF('Track Data'!O1028=1,INDEX(Acceleration!$Q$4:$Q$110,MATCH('Track Data'!S1028,Acceleration!$K$4:$K$110,0)),'Track Data'!AG1028)),'Track Data'!U1028)</f>
        <v>4.3864649846265227</v>
      </c>
    </row>
    <row r="1029" spans="2:34" x14ac:dyDescent="0.25">
      <c r="B1029" s="16">
        <v>224.923</v>
      </c>
      <c r="C1029" s="16">
        <v>8299</v>
      </c>
      <c r="D1029" s="16">
        <v>1026</v>
      </c>
      <c r="E1029" s="113">
        <v>163</v>
      </c>
      <c r="F1029" s="113">
        <v>168.2</v>
      </c>
      <c r="G1029" s="113">
        <v>169.8</v>
      </c>
      <c r="H1029" s="113">
        <f t="shared" ref="H1029:H1092" si="117">G1029/3.6</f>
        <v>47.166666666666671</v>
      </c>
      <c r="I1029" s="113">
        <v>4.3</v>
      </c>
      <c r="J1029" s="113">
        <v>57.95</v>
      </c>
      <c r="K1029" s="113">
        <v>9.1</v>
      </c>
      <c r="L1029" s="185"/>
      <c r="M1029" s="16">
        <v>1026</v>
      </c>
      <c r="N1029" s="16">
        <f t="shared" si="112"/>
        <v>2.034355382231888E-2</v>
      </c>
      <c r="O1029" s="16">
        <v>4</v>
      </c>
      <c r="P1029" s="16">
        <f t="shared" si="115"/>
        <v>9.1833785004516724</v>
      </c>
      <c r="Q1029" s="16">
        <f t="shared" si="113"/>
        <v>49.155619943989414</v>
      </c>
      <c r="R1029" s="113">
        <f t="shared" si="116"/>
        <v>329.49099999999999</v>
      </c>
      <c r="S1029" s="16">
        <f>IF(S1028=15800,15800,ROUND((((Q1029*60)/'Gearing Calculator'!$C$14)*'Track Data'!P1029),-2))</f>
        <v>13700</v>
      </c>
      <c r="T1029" s="16">
        <f t="shared" ref="T1029:T1092" si="118">AH1029</f>
        <v>4.3864649846265227</v>
      </c>
      <c r="U1029" s="16">
        <f>IF(AC1029=100,Braking!$AG$2354,IF(AC1029=50,Braking!$AG$1179,IF(AC1029=75,Braking!$AG$1767,0)))</f>
        <v>0</v>
      </c>
      <c r="V1029" s="16">
        <f>0.5*'Gearing Calculator'!$C$15*'Gearing Calculator'!$C$20*'Gearing Calculator'!$W$20*('Track Data'!Q1029^2)</f>
        <v>255.73854304472806</v>
      </c>
      <c r="W1029" s="16">
        <f>('Gearing Calculator'!$U$9*'Track Data'!T1029)+'Track Data'!V1029</f>
        <v>1423.4155219523082</v>
      </c>
      <c r="X1029" s="16">
        <f>('Gearing Calculator'!$U$9*9.81)*('Gearing Calculator'!$U$16/'Gearing Calculator'!$C$7)-(('Track Data'!W1029)*('Gearing Calculator'!$U$17/'Gearing Calculator'!$C$7))</f>
        <v>625.30363017618947</v>
      </c>
      <c r="Y1029" s="16">
        <f>('Gearing Calculator'!$U$9*9.81)*(('Gearing Calculator'!$C$7-'Gearing Calculator'!$U$16)/'Gearing Calculator'!$C$7)+(('Track Data'!W1029)*('Gearing Calculator'!$U$17/'Gearing Calculator'!$C$7))</f>
        <v>1986.1183698238106</v>
      </c>
      <c r="Z1029" s="16">
        <f>((X1029*COS('Gearing Calculator'!$C$21))/'Gearing Calculator'!$C$22)/2</f>
        <v>19.332410578160111</v>
      </c>
      <c r="AA1029" s="16">
        <f>Y1029/'Gearing Calculator'!$C$24</f>
        <v>27.732873975489156</v>
      </c>
      <c r="AB1029" s="16">
        <f t="shared" si="114"/>
        <v>273.28440298323414</v>
      </c>
      <c r="AC1029" s="16">
        <v>0</v>
      </c>
      <c r="AD1029" s="16">
        <v>0</v>
      </c>
      <c r="AE1029" s="16">
        <v>1026</v>
      </c>
      <c r="AF1029" s="16">
        <f>IF(AC1029=0,IF(O1029=6,INDEX(Acceleration!$V$4:$V$110,MATCH('Track Data'!S1029,Acceleration!$K$4:$K$110,0)),IF('Track Data'!O1029=5,INDEX(Acceleration!$U$4:$U$110,MATCH('Track Data'!S1029,Acceleration!$K$4:$K$110,0)),1)),U1029)</f>
        <v>1</v>
      </c>
      <c r="AG1029" s="16">
        <f>IF(AC1029=0,IF(O1029=4,INDEX(Acceleration!$T$4:$T$110,MATCH('Track Data'!S1029,Acceleration!$K$4:$K$110,0)),IF('Track Data'!O1029=3,INDEX(Acceleration!$S$4:$S$110,MATCH('Track Data'!S1029,Acceleration!$K$4:$K$110,0)),'Track Data'!AF1029)),'Track Data'!U1029)</f>
        <v>4.3864649846265227</v>
      </c>
      <c r="AH1029" s="16">
        <f>IF(AC1029=0,IF(O1029=2,INDEX(Acceleration!$R$4:$R$110,MATCH('Track Data'!S1029,Acceleration!$K$4:$K$110,0)),IF('Track Data'!O1029=1,INDEX(Acceleration!$Q$4:$Q$110,MATCH('Track Data'!S1029,Acceleration!$K$4:$K$110,0)),'Track Data'!AG1029)),'Track Data'!U1029)</f>
        <v>4.3864649846265227</v>
      </c>
    </row>
    <row r="1030" spans="2:34" x14ac:dyDescent="0.25">
      <c r="B1030" s="16">
        <v>224.94399999999999</v>
      </c>
      <c r="C1030" s="16">
        <v>8300</v>
      </c>
      <c r="D1030" s="16">
        <v>1027</v>
      </c>
      <c r="E1030" s="113">
        <v>162</v>
      </c>
      <c r="F1030" s="113">
        <v>167.5</v>
      </c>
      <c r="G1030" s="113">
        <v>169.6</v>
      </c>
      <c r="H1030" s="113">
        <f t="shared" si="117"/>
        <v>47.111111111111107</v>
      </c>
      <c r="I1030" s="113">
        <v>3.9</v>
      </c>
      <c r="J1030" s="113">
        <v>60.36</v>
      </c>
      <c r="K1030" s="113">
        <v>8.1</v>
      </c>
      <c r="L1030" s="185"/>
      <c r="M1030" s="16">
        <v>1027</v>
      </c>
      <c r="N1030" s="16">
        <f t="shared" ref="N1030:N1093" si="119">1/Q1030</f>
        <v>2.0306722740035851E-2</v>
      </c>
      <c r="O1030" s="16">
        <v>4</v>
      </c>
      <c r="P1030" s="16">
        <f t="shared" si="115"/>
        <v>9.1833785004516724</v>
      </c>
      <c r="Q1030" s="16">
        <f t="shared" ref="Q1030:Q1093" si="120">IF(AD1029=0,SQRT(Q1029^2+(2*T1029)),Q1029)</f>
        <v>49.244775378177764</v>
      </c>
      <c r="R1030" s="113">
        <f t="shared" si="116"/>
        <v>329.49099999999999</v>
      </c>
      <c r="S1030" s="16">
        <f>IF(S1029=15800,15800,ROUND((((Q1030*60)/'Gearing Calculator'!$C$14)*'Track Data'!P1030),-2))</f>
        <v>13700</v>
      </c>
      <c r="T1030" s="16">
        <f t="shared" si="118"/>
        <v>4.3864649846265227</v>
      </c>
      <c r="U1030" s="16">
        <f>IF(AC1030=100,Braking!$AG$2354,IF(AC1030=50,Braking!$AG$1179,IF(AC1030=75,Braking!$AG$1767,0)))</f>
        <v>0</v>
      </c>
      <c r="V1030" s="16">
        <f>0.5*'Gearing Calculator'!$C$15*'Gearing Calculator'!$C$20*'Gearing Calculator'!$W$20*('Track Data'!Q1030^2)</f>
        <v>256.66706995267384</v>
      </c>
      <c r="W1030" s="16">
        <f>('Gearing Calculator'!$U$9*'Track Data'!T1030)+'Track Data'!V1030</f>
        <v>1424.3440488602541</v>
      </c>
      <c r="X1030" s="16">
        <f>('Gearing Calculator'!$U$9*9.81)*('Gearing Calculator'!$U$16/'Gearing Calculator'!$C$7)-(('Track Data'!W1030)*('Gearing Calculator'!$U$17/'Gearing Calculator'!$C$7))</f>
        <v>624.79751959879002</v>
      </c>
      <c r="Y1030" s="16">
        <f>('Gearing Calculator'!$U$9*9.81)*(('Gearing Calculator'!$C$7-'Gearing Calculator'!$U$16)/'Gearing Calculator'!$C$7)+(('Track Data'!W1030)*('Gearing Calculator'!$U$17/'Gearing Calculator'!$C$7))</f>
        <v>1986.6244804012099</v>
      </c>
      <c r="Z1030" s="16">
        <f>((X1030*COS('Gearing Calculator'!$C$21))/'Gearing Calculator'!$C$22)/2</f>
        <v>19.316763239798298</v>
      </c>
      <c r="AA1030" s="16">
        <f>Y1030/'Gearing Calculator'!$C$24</f>
        <v>27.739940976667903</v>
      </c>
      <c r="AB1030" s="16">
        <f t="shared" si="114"/>
        <v>274.21292989117995</v>
      </c>
      <c r="AC1030" s="16">
        <v>0</v>
      </c>
      <c r="AD1030" s="16">
        <v>0</v>
      </c>
      <c r="AE1030" s="16">
        <v>1027</v>
      </c>
      <c r="AF1030" s="16">
        <f>IF(AC1030=0,IF(O1030=6,INDEX(Acceleration!$V$4:$V$110,MATCH('Track Data'!S1030,Acceleration!$K$4:$K$110,0)),IF('Track Data'!O1030=5,INDEX(Acceleration!$U$4:$U$110,MATCH('Track Data'!S1030,Acceleration!$K$4:$K$110,0)),1)),U1030)</f>
        <v>1</v>
      </c>
      <c r="AG1030" s="16">
        <f>IF(AC1030=0,IF(O1030=4,INDEX(Acceleration!$T$4:$T$110,MATCH('Track Data'!S1030,Acceleration!$K$4:$K$110,0)),IF('Track Data'!O1030=3,INDEX(Acceleration!$S$4:$S$110,MATCH('Track Data'!S1030,Acceleration!$K$4:$K$110,0)),'Track Data'!AF1030)),'Track Data'!U1030)</f>
        <v>4.3864649846265227</v>
      </c>
      <c r="AH1030" s="16">
        <f>IF(AC1030=0,IF(O1030=2,INDEX(Acceleration!$R$4:$R$110,MATCH('Track Data'!S1030,Acceleration!$K$4:$K$110,0)),IF('Track Data'!O1030=1,INDEX(Acceleration!$Q$4:$Q$110,MATCH('Track Data'!S1030,Acceleration!$K$4:$K$110,0)),'Track Data'!AG1030)),'Track Data'!U1030)</f>
        <v>4.3864649846265227</v>
      </c>
    </row>
    <row r="1031" spans="2:34" x14ac:dyDescent="0.25">
      <c r="B1031" s="16">
        <v>224.96600000000001</v>
      </c>
      <c r="C1031" s="16">
        <v>8301</v>
      </c>
      <c r="D1031" s="16">
        <v>1028</v>
      </c>
      <c r="E1031" s="113">
        <v>162</v>
      </c>
      <c r="F1031" s="113">
        <v>166.9</v>
      </c>
      <c r="G1031" s="113">
        <v>169.4</v>
      </c>
      <c r="H1031" s="113">
        <f t="shared" si="117"/>
        <v>47.055555555555557</v>
      </c>
      <c r="I1031" s="113">
        <v>4.2</v>
      </c>
      <c r="J1031" s="113">
        <v>61.15</v>
      </c>
      <c r="K1031" s="113">
        <v>7.4</v>
      </c>
      <c r="L1031" s="185"/>
      <c r="M1031" s="16">
        <v>1028</v>
      </c>
      <c r="N1031" s="16">
        <f t="shared" si="119"/>
        <v>2.0270090979152774E-2</v>
      </c>
      <c r="O1031" s="16">
        <v>4</v>
      </c>
      <c r="P1031" s="16">
        <f t="shared" si="115"/>
        <v>9.1833785004516724</v>
      </c>
      <c r="Q1031" s="16">
        <f t="shared" si="120"/>
        <v>49.333769691930456</v>
      </c>
      <c r="R1031" s="113">
        <f t="shared" si="116"/>
        <v>329.49099999999999</v>
      </c>
      <c r="S1031" s="16">
        <f>IF(S1030=15800,15800,ROUND((((Q1031*60)/'Gearing Calculator'!$C$14)*'Track Data'!P1031),-2))</f>
        <v>13700</v>
      </c>
      <c r="T1031" s="16">
        <f t="shared" si="118"/>
        <v>4.3864649846265227</v>
      </c>
      <c r="U1031" s="16">
        <f>IF(AC1031=100,Braking!$AG$2354,IF(AC1031=50,Braking!$AG$1179,IF(AC1031=75,Braking!$AG$1767,0)))</f>
        <v>0</v>
      </c>
      <c r="V1031" s="16">
        <f>0.5*'Gearing Calculator'!$C$15*'Gearing Calculator'!$C$20*'Gearing Calculator'!$W$20*('Track Data'!Q1031^2)</f>
        <v>257.59559686061959</v>
      </c>
      <c r="W1031" s="16">
        <f>('Gearing Calculator'!$U$9*'Track Data'!T1031)+'Track Data'!V1031</f>
        <v>1425.2725757681997</v>
      </c>
      <c r="X1031" s="16">
        <f>('Gearing Calculator'!$U$9*9.81)*('Gearing Calculator'!$U$16/'Gearing Calculator'!$C$7)-(('Track Data'!W1031)*('Gearing Calculator'!$U$17/'Gearing Calculator'!$C$7))</f>
        <v>624.29140902139079</v>
      </c>
      <c r="Y1031" s="16">
        <f>('Gearing Calculator'!$U$9*9.81)*(('Gearing Calculator'!$C$7-'Gearing Calculator'!$U$16)/'Gearing Calculator'!$C$7)+(('Track Data'!W1031)*('Gearing Calculator'!$U$17/'Gearing Calculator'!$C$7))</f>
        <v>1987.1305909786092</v>
      </c>
      <c r="Z1031" s="16">
        <f>((X1031*COS('Gearing Calculator'!$C$21))/'Gearing Calculator'!$C$22)/2</f>
        <v>19.301115901436493</v>
      </c>
      <c r="AA1031" s="16">
        <f>Y1031/'Gearing Calculator'!$C$24</f>
        <v>27.74700797784665</v>
      </c>
      <c r="AB1031" s="16">
        <f t="shared" si="114"/>
        <v>275.14145679912571</v>
      </c>
      <c r="AC1031" s="16">
        <v>0</v>
      </c>
      <c r="AD1031" s="16">
        <v>0</v>
      </c>
      <c r="AE1031" s="16">
        <v>1028</v>
      </c>
      <c r="AF1031" s="16">
        <f>IF(AC1031=0,IF(O1031=6,INDEX(Acceleration!$V$4:$V$110,MATCH('Track Data'!S1031,Acceleration!$K$4:$K$110,0)),IF('Track Data'!O1031=5,INDEX(Acceleration!$U$4:$U$110,MATCH('Track Data'!S1031,Acceleration!$K$4:$K$110,0)),1)),U1031)</f>
        <v>1</v>
      </c>
      <c r="AG1031" s="16">
        <f>IF(AC1031=0,IF(O1031=4,INDEX(Acceleration!$T$4:$T$110,MATCH('Track Data'!S1031,Acceleration!$K$4:$K$110,0)),IF('Track Data'!O1031=3,INDEX(Acceleration!$S$4:$S$110,MATCH('Track Data'!S1031,Acceleration!$K$4:$K$110,0)),'Track Data'!AF1031)),'Track Data'!U1031)</f>
        <v>4.3864649846265227</v>
      </c>
      <c r="AH1031" s="16">
        <f>IF(AC1031=0,IF(O1031=2,INDEX(Acceleration!$R$4:$R$110,MATCH('Track Data'!S1031,Acceleration!$K$4:$K$110,0)),IF('Track Data'!O1031=1,INDEX(Acceleration!$Q$4:$Q$110,MATCH('Track Data'!S1031,Acceleration!$K$4:$K$110,0)),'Track Data'!AG1031)),'Track Data'!U1031)</f>
        <v>4.3864649846265227</v>
      </c>
    </row>
    <row r="1032" spans="2:34" x14ac:dyDescent="0.25">
      <c r="B1032" s="16">
        <v>224.98699999999999</v>
      </c>
      <c r="C1032" s="16">
        <v>8302</v>
      </c>
      <c r="D1032" s="16">
        <v>1029</v>
      </c>
      <c r="E1032" s="113">
        <v>162</v>
      </c>
      <c r="F1032" s="113">
        <v>166.3</v>
      </c>
      <c r="G1032" s="113">
        <v>169.1</v>
      </c>
      <c r="H1032" s="113">
        <f t="shared" si="117"/>
        <v>46.972222222222221</v>
      </c>
      <c r="I1032" s="113">
        <v>4.8</v>
      </c>
      <c r="J1032" s="113">
        <v>61.59</v>
      </c>
      <c r="K1032" s="113">
        <v>7.4</v>
      </c>
      <c r="L1032" s="185"/>
      <c r="M1032" s="16">
        <v>1029</v>
      </c>
      <c r="N1032" s="16">
        <f t="shared" si="119"/>
        <v>2.0233656748328454E-2</v>
      </c>
      <c r="O1032" s="16">
        <v>4</v>
      </c>
      <c r="P1032" s="16">
        <f t="shared" si="115"/>
        <v>9.1833785004516724</v>
      </c>
      <c r="Q1032" s="16">
        <f t="shared" si="120"/>
        <v>49.422603755626731</v>
      </c>
      <c r="R1032" s="113">
        <f t="shared" si="116"/>
        <v>329.49099999999999</v>
      </c>
      <c r="S1032" s="16">
        <f>IF(S1031=15800,15800,ROUND((((Q1032*60)/'Gearing Calculator'!$C$14)*'Track Data'!P1032),-2))</f>
        <v>13800</v>
      </c>
      <c r="T1032" s="16">
        <f t="shared" si="118"/>
        <v>4.3638993703129962</v>
      </c>
      <c r="U1032" s="16">
        <f>IF(AC1032=100,Braking!$AG$2354,IF(AC1032=50,Braking!$AG$1179,IF(AC1032=75,Braking!$AG$1767,0)))</f>
        <v>0</v>
      </c>
      <c r="V1032" s="16">
        <f>0.5*'Gearing Calculator'!$C$15*'Gearing Calculator'!$C$20*'Gearing Calculator'!$W$20*('Track Data'!Q1032^2)</f>
        <v>258.52412376856535</v>
      </c>
      <c r="W1032" s="16">
        <f>('Gearing Calculator'!$U$9*'Track Data'!T1032)+'Track Data'!V1032</f>
        <v>1420.1941361458848</v>
      </c>
      <c r="X1032" s="16">
        <f>('Gearing Calculator'!$U$9*9.81)*('Gearing Calculator'!$U$16/'Gearing Calculator'!$C$7)-(('Track Data'!W1032)*('Gearing Calculator'!$U$17/'Gearing Calculator'!$C$7))</f>
        <v>627.05950544115274</v>
      </c>
      <c r="Y1032" s="16">
        <f>('Gearing Calculator'!$U$9*9.81)*(('Gearing Calculator'!$C$7-'Gearing Calculator'!$U$16)/'Gearing Calculator'!$C$7)+(('Track Data'!W1032)*('Gearing Calculator'!$U$17/'Gearing Calculator'!$C$7))</f>
        <v>1984.3624945588472</v>
      </c>
      <c r="Z1032" s="16">
        <f>((X1032*COS('Gearing Calculator'!$C$21))/'Gearing Calculator'!$C$22)/2</f>
        <v>19.386696687992451</v>
      </c>
      <c r="AA1032" s="16">
        <f>Y1032/'Gearing Calculator'!$C$24</f>
        <v>27.708356067503527</v>
      </c>
      <c r="AB1032" s="16">
        <f t="shared" si="114"/>
        <v>275.97972124981732</v>
      </c>
      <c r="AC1032" s="16">
        <v>0</v>
      </c>
      <c r="AD1032" s="16">
        <v>0</v>
      </c>
      <c r="AE1032" s="16">
        <v>1029</v>
      </c>
      <c r="AF1032" s="16">
        <f>IF(AC1032=0,IF(O1032=6,INDEX(Acceleration!$V$4:$V$110,MATCH('Track Data'!S1032,Acceleration!$K$4:$K$110,0)),IF('Track Data'!O1032=5,INDEX(Acceleration!$U$4:$U$110,MATCH('Track Data'!S1032,Acceleration!$K$4:$K$110,0)),1)),U1032)</f>
        <v>1</v>
      </c>
      <c r="AG1032" s="16">
        <f>IF(AC1032=0,IF(O1032=4,INDEX(Acceleration!$T$4:$T$110,MATCH('Track Data'!S1032,Acceleration!$K$4:$K$110,0)),IF('Track Data'!O1032=3,INDEX(Acceleration!$S$4:$S$110,MATCH('Track Data'!S1032,Acceleration!$K$4:$K$110,0)),'Track Data'!AF1032)),'Track Data'!U1032)</f>
        <v>4.3638993703129962</v>
      </c>
      <c r="AH1032" s="16">
        <f>IF(AC1032=0,IF(O1032=2,INDEX(Acceleration!$R$4:$R$110,MATCH('Track Data'!S1032,Acceleration!$K$4:$K$110,0)),IF('Track Data'!O1032=1,INDEX(Acceleration!$Q$4:$Q$110,MATCH('Track Data'!S1032,Acceleration!$K$4:$K$110,0)),'Track Data'!AG1032)),'Track Data'!U1032)</f>
        <v>4.3638993703129962</v>
      </c>
    </row>
    <row r="1033" spans="2:34" x14ac:dyDescent="0.25">
      <c r="B1033" s="16">
        <v>225.00899999999999</v>
      </c>
      <c r="C1033" s="16">
        <v>8303</v>
      </c>
      <c r="D1033" s="16">
        <v>1030</v>
      </c>
      <c r="E1033" s="113">
        <v>162</v>
      </c>
      <c r="F1033" s="113">
        <v>165.7</v>
      </c>
      <c r="G1033" s="113">
        <v>168.9</v>
      </c>
      <c r="H1033" s="113">
        <f t="shared" si="117"/>
        <v>46.916666666666664</v>
      </c>
      <c r="I1033" s="113">
        <v>4.8</v>
      </c>
      <c r="J1033" s="113">
        <v>61.98</v>
      </c>
      <c r="K1033" s="113">
        <v>7.4</v>
      </c>
      <c r="L1033" s="185"/>
      <c r="M1033" s="16">
        <v>1030</v>
      </c>
      <c r="N1033" s="16">
        <f t="shared" si="119"/>
        <v>2.0197604204941173E-2</v>
      </c>
      <c r="O1033" s="16">
        <v>4</v>
      </c>
      <c r="P1033" s="16">
        <f t="shared" si="115"/>
        <v>9.1833785004516724</v>
      </c>
      <c r="Q1033" s="16">
        <f t="shared" si="120"/>
        <v>49.510822662588787</v>
      </c>
      <c r="R1033" s="113">
        <f t="shared" si="116"/>
        <v>329.49099999999999</v>
      </c>
      <c r="S1033" s="16">
        <f>IF(S1032=15800,15800,ROUND((((Q1033*60)/'Gearing Calculator'!$C$14)*'Track Data'!P1033),-2))</f>
        <v>13800</v>
      </c>
      <c r="T1033" s="16">
        <f t="shared" si="118"/>
        <v>4.3638993703129962</v>
      </c>
      <c r="U1033" s="16">
        <f>IF(AC1033=100,Braking!$AG$2354,IF(AC1033=50,Braking!$AG$1179,IF(AC1033=75,Braking!$AG$1767,0)))</f>
        <v>0</v>
      </c>
      <c r="V1033" s="16">
        <f>0.5*'Gearing Calculator'!$C$15*'Gearing Calculator'!$C$20*'Gearing Calculator'!$W$20*('Track Data'!Q1033^2)</f>
        <v>259.44787398727323</v>
      </c>
      <c r="W1033" s="16">
        <f>('Gearing Calculator'!$U$9*'Track Data'!T1033)+'Track Data'!V1033</f>
        <v>1421.1178863645928</v>
      </c>
      <c r="X1033" s="16">
        <f>('Gearing Calculator'!$U$9*9.81)*('Gearing Calculator'!$U$16/'Gearing Calculator'!$C$7)-(('Track Data'!W1033)*('Gearing Calculator'!$U$17/'Gearing Calculator'!$C$7))</f>
        <v>626.55599848560598</v>
      </c>
      <c r="Y1033" s="16">
        <f>('Gearing Calculator'!$U$9*9.81)*(('Gearing Calculator'!$C$7-'Gearing Calculator'!$U$16)/'Gearing Calculator'!$C$7)+(('Track Data'!W1033)*('Gearing Calculator'!$U$17/'Gearing Calculator'!$C$7))</f>
        <v>1984.8660015143942</v>
      </c>
      <c r="Z1033" s="16">
        <f>((X1033*COS('Gearing Calculator'!$C$21))/'Gearing Calculator'!$C$22)/2</f>
        <v>19.37112984538377</v>
      </c>
      <c r="AA1033" s="16">
        <f>Y1033/'Gearing Calculator'!$C$24</f>
        <v>27.715386713388547</v>
      </c>
      <c r="AB1033" s="16">
        <f t="shared" si="114"/>
        <v>276.9034714685252</v>
      </c>
      <c r="AC1033" s="16">
        <v>0</v>
      </c>
      <c r="AD1033" s="16">
        <v>0</v>
      </c>
      <c r="AE1033" s="16">
        <v>1030</v>
      </c>
      <c r="AF1033" s="16">
        <f>IF(AC1033=0,IF(O1033=6,INDEX(Acceleration!$V$4:$V$110,MATCH('Track Data'!S1033,Acceleration!$K$4:$K$110,0)),IF('Track Data'!O1033=5,INDEX(Acceleration!$U$4:$U$110,MATCH('Track Data'!S1033,Acceleration!$K$4:$K$110,0)),1)),U1033)</f>
        <v>1</v>
      </c>
      <c r="AG1033" s="16">
        <f>IF(AC1033=0,IF(O1033=4,INDEX(Acceleration!$T$4:$T$110,MATCH('Track Data'!S1033,Acceleration!$K$4:$K$110,0)),IF('Track Data'!O1033=3,INDEX(Acceleration!$S$4:$S$110,MATCH('Track Data'!S1033,Acceleration!$K$4:$K$110,0)),'Track Data'!AF1033)),'Track Data'!U1033)</f>
        <v>4.3638993703129962</v>
      </c>
      <c r="AH1033" s="16">
        <f>IF(AC1033=0,IF(O1033=2,INDEX(Acceleration!$R$4:$R$110,MATCH('Track Data'!S1033,Acceleration!$K$4:$K$110,0)),IF('Track Data'!O1033=1,INDEX(Acceleration!$Q$4:$Q$110,MATCH('Track Data'!S1033,Acceleration!$K$4:$K$110,0)),'Track Data'!AG1033)),'Track Data'!U1033)</f>
        <v>4.3638993703129962</v>
      </c>
    </row>
    <row r="1034" spans="2:34" x14ac:dyDescent="0.25">
      <c r="B1034" s="16">
        <v>225.03</v>
      </c>
      <c r="C1034" s="16">
        <v>8304</v>
      </c>
      <c r="D1034" s="16">
        <v>1031</v>
      </c>
      <c r="E1034" s="113">
        <v>161</v>
      </c>
      <c r="F1034" s="113">
        <v>164.6</v>
      </c>
      <c r="G1034" s="113">
        <v>168.6</v>
      </c>
      <c r="H1034" s="113">
        <f t="shared" si="117"/>
        <v>46.833333333333329</v>
      </c>
      <c r="I1034" s="113">
        <v>4.0999999999999996</v>
      </c>
      <c r="J1034" s="113">
        <v>63.52</v>
      </c>
      <c r="K1034" s="113">
        <v>7.4</v>
      </c>
      <c r="L1034" s="185"/>
      <c r="M1034" s="16">
        <v>1031</v>
      </c>
      <c r="N1034" s="16">
        <f t="shared" si="119"/>
        <v>2.0161743693733448E-2</v>
      </c>
      <c r="O1034" s="16">
        <v>4</v>
      </c>
      <c r="P1034" s="16">
        <f t="shared" si="115"/>
        <v>9.1833785004516724</v>
      </c>
      <c r="Q1034" s="16">
        <f t="shared" si="120"/>
        <v>49.598884659505615</v>
      </c>
      <c r="R1034" s="113">
        <f t="shared" si="116"/>
        <v>329.49099999999999</v>
      </c>
      <c r="S1034" s="16">
        <f>IF(S1033=15800,15800,ROUND((((Q1034*60)/'Gearing Calculator'!$C$14)*'Track Data'!P1034),-2))</f>
        <v>13800</v>
      </c>
      <c r="T1034" s="16">
        <f t="shared" si="118"/>
        <v>4.3638993703129962</v>
      </c>
      <c r="U1034" s="16">
        <f>IF(AC1034=100,Braking!$AG$2354,IF(AC1034=50,Braking!$AG$1179,IF(AC1034=75,Braking!$AG$1767,0)))</f>
        <v>0</v>
      </c>
      <c r="V1034" s="16">
        <f>0.5*'Gearing Calculator'!$C$15*'Gearing Calculator'!$C$20*'Gearing Calculator'!$W$20*('Track Data'!Q1034^2)</f>
        <v>260.37162420598105</v>
      </c>
      <c r="W1034" s="16">
        <f>('Gearing Calculator'!$U$9*'Track Data'!T1034)+'Track Data'!V1034</f>
        <v>1422.0416365833007</v>
      </c>
      <c r="X1034" s="16">
        <f>('Gearing Calculator'!$U$9*9.81)*('Gearing Calculator'!$U$16/'Gearing Calculator'!$C$7)-(('Track Data'!W1034)*('Gearing Calculator'!$U$17/'Gearing Calculator'!$C$7))</f>
        <v>626.05249153005923</v>
      </c>
      <c r="Y1034" s="16">
        <f>('Gearing Calculator'!$U$9*9.81)*(('Gearing Calculator'!$C$7-'Gearing Calculator'!$U$16)/'Gearing Calculator'!$C$7)+(('Track Data'!W1034)*('Gearing Calculator'!$U$17/'Gearing Calculator'!$C$7))</f>
        <v>1985.3695084699407</v>
      </c>
      <c r="Z1034" s="16">
        <f>((X1034*COS('Gearing Calculator'!$C$21))/'Gearing Calculator'!$C$22)/2</f>
        <v>19.355563002775092</v>
      </c>
      <c r="AA1034" s="16">
        <f>Y1034/'Gearing Calculator'!$C$24</f>
        <v>27.72241735927356</v>
      </c>
      <c r="AB1034" s="16">
        <f t="shared" si="114"/>
        <v>277.82722168723302</v>
      </c>
      <c r="AC1034" s="16">
        <v>0</v>
      </c>
      <c r="AD1034" s="16">
        <v>0</v>
      </c>
      <c r="AE1034" s="16">
        <v>1031</v>
      </c>
      <c r="AF1034" s="16">
        <f>IF(AC1034=0,IF(O1034=6,INDEX(Acceleration!$V$4:$V$110,MATCH('Track Data'!S1034,Acceleration!$K$4:$K$110,0)),IF('Track Data'!O1034=5,INDEX(Acceleration!$U$4:$U$110,MATCH('Track Data'!S1034,Acceleration!$K$4:$K$110,0)),1)),U1034)</f>
        <v>1</v>
      </c>
      <c r="AG1034" s="16">
        <f>IF(AC1034=0,IF(O1034=4,INDEX(Acceleration!$T$4:$T$110,MATCH('Track Data'!S1034,Acceleration!$K$4:$K$110,0)),IF('Track Data'!O1034=3,INDEX(Acceleration!$S$4:$S$110,MATCH('Track Data'!S1034,Acceleration!$K$4:$K$110,0)),'Track Data'!AF1034)),'Track Data'!U1034)</f>
        <v>4.3638993703129962</v>
      </c>
      <c r="AH1034" s="16">
        <f>IF(AC1034=0,IF(O1034=2,INDEX(Acceleration!$R$4:$R$110,MATCH('Track Data'!S1034,Acceleration!$K$4:$K$110,0)),IF('Track Data'!O1034=1,INDEX(Acceleration!$Q$4:$Q$110,MATCH('Track Data'!S1034,Acceleration!$K$4:$K$110,0)),'Track Data'!AG1034)),'Track Data'!U1034)</f>
        <v>4.3638993703129962</v>
      </c>
    </row>
    <row r="1035" spans="2:34" x14ac:dyDescent="0.25">
      <c r="B1035" s="16">
        <v>225.05199999999999</v>
      </c>
      <c r="C1035" s="16">
        <v>8305</v>
      </c>
      <c r="D1035" s="16">
        <v>1032</v>
      </c>
      <c r="E1035" s="113">
        <v>160</v>
      </c>
      <c r="F1035" s="113">
        <v>163.9</v>
      </c>
      <c r="G1035" s="113">
        <v>168.3</v>
      </c>
      <c r="H1035" s="113">
        <f t="shared" si="117"/>
        <v>46.75</v>
      </c>
      <c r="I1035" s="113">
        <v>3.5</v>
      </c>
      <c r="J1035" s="113">
        <v>63.59</v>
      </c>
      <c r="K1035" s="113">
        <v>5.9</v>
      </c>
      <c r="L1035" s="185"/>
      <c r="M1035" s="16">
        <v>1032</v>
      </c>
      <c r="N1035" s="16">
        <f t="shared" si="119"/>
        <v>2.0126073515985846E-2</v>
      </c>
      <c r="O1035" s="16">
        <v>4</v>
      </c>
      <c r="P1035" s="16">
        <f t="shared" si="115"/>
        <v>9.1833785004516724</v>
      </c>
      <c r="Q1035" s="16">
        <f t="shared" si="120"/>
        <v>49.686790580672117</v>
      </c>
      <c r="R1035" s="113">
        <f t="shared" si="116"/>
        <v>329.49099999999999</v>
      </c>
      <c r="S1035" s="16">
        <f>IF(S1034=15800,15800,ROUND((((Q1035*60)/'Gearing Calculator'!$C$14)*'Track Data'!P1035),-2))</f>
        <v>13800</v>
      </c>
      <c r="T1035" s="16">
        <f t="shared" si="118"/>
        <v>4.3638993703129962</v>
      </c>
      <c r="U1035" s="16">
        <f>IF(AC1035=100,Braking!$AG$2354,IF(AC1035=50,Braking!$AG$1179,IF(AC1035=75,Braking!$AG$1767,0)))</f>
        <v>0</v>
      </c>
      <c r="V1035" s="16">
        <f>0.5*'Gearing Calculator'!$C$15*'Gearing Calculator'!$C$20*'Gearing Calculator'!$W$20*('Track Data'!Q1035^2)</f>
        <v>261.29537442468893</v>
      </c>
      <c r="W1035" s="16">
        <f>('Gearing Calculator'!$U$9*'Track Data'!T1035)+'Track Data'!V1035</f>
        <v>1422.9653868020087</v>
      </c>
      <c r="X1035" s="16">
        <f>('Gearing Calculator'!$U$9*9.81)*('Gearing Calculator'!$U$16/'Gearing Calculator'!$C$7)-(('Track Data'!W1035)*('Gearing Calculator'!$U$17/'Gearing Calculator'!$C$7))</f>
        <v>625.54898457451247</v>
      </c>
      <c r="Y1035" s="16">
        <f>('Gearing Calculator'!$U$9*9.81)*(('Gearing Calculator'!$C$7-'Gearing Calculator'!$U$16)/'Gearing Calculator'!$C$7)+(('Track Data'!W1035)*('Gearing Calculator'!$U$17/'Gearing Calculator'!$C$7))</f>
        <v>1985.8730154254877</v>
      </c>
      <c r="Z1035" s="16">
        <f>((X1035*COS('Gearing Calculator'!$C$21))/'Gearing Calculator'!$C$22)/2</f>
        <v>19.339996160166411</v>
      </c>
      <c r="AA1035" s="16">
        <f>Y1035/'Gearing Calculator'!$C$24</f>
        <v>27.729448005158581</v>
      </c>
      <c r="AB1035" s="16">
        <f t="shared" si="114"/>
        <v>278.7509719059409</v>
      </c>
      <c r="AC1035" s="16">
        <v>0</v>
      </c>
      <c r="AD1035" s="16">
        <v>0</v>
      </c>
      <c r="AE1035" s="16">
        <v>1032</v>
      </c>
      <c r="AF1035" s="16">
        <f>IF(AC1035=0,IF(O1035=6,INDEX(Acceleration!$V$4:$V$110,MATCH('Track Data'!S1035,Acceleration!$K$4:$K$110,0)),IF('Track Data'!O1035=5,INDEX(Acceleration!$U$4:$U$110,MATCH('Track Data'!S1035,Acceleration!$K$4:$K$110,0)),1)),U1035)</f>
        <v>1</v>
      </c>
      <c r="AG1035" s="16">
        <f>IF(AC1035=0,IF(O1035=4,INDEX(Acceleration!$T$4:$T$110,MATCH('Track Data'!S1035,Acceleration!$K$4:$K$110,0)),IF('Track Data'!O1035=3,INDEX(Acceleration!$S$4:$S$110,MATCH('Track Data'!S1035,Acceleration!$K$4:$K$110,0)),'Track Data'!AF1035)),'Track Data'!U1035)</f>
        <v>4.3638993703129962</v>
      </c>
      <c r="AH1035" s="16">
        <f>IF(AC1035=0,IF(O1035=2,INDEX(Acceleration!$R$4:$R$110,MATCH('Track Data'!S1035,Acceleration!$K$4:$K$110,0)),IF('Track Data'!O1035=1,INDEX(Acceleration!$Q$4:$Q$110,MATCH('Track Data'!S1035,Acceleration!$K$4:$K$110,0)),'Track Data'!AG1035)),'Track Data'!U1035)</f>
        <v>4.3638993703129962</v>
      </c>
    </row>
    <row r="1036" spans="2:34" x14ac:dyDescent="0.25">
      <c r="B1036" s="16">
        <v>225.07400000000001</v>
      </c>
      <c r="C1036" s="16">
        <v>8306</v>
      </c>
      <c r="D1036" s="16">
        <v>1033</v>
      </c>
      <c r="E1036" s="113">
        <v>159</v>
      </c>
      <c r="F1036" s="113">
        <v>163.30000000000001</v>
      </c>
      <c r="G1036" s="113">
        <v>168</v>
      </c>
      <c r="H1036" s="113">
        <f t="shared" si="117"/>
        <v>46.666666666666664</v>
      </c>
      <c r="I1036" s="113">
        <v>2.7</v>
      </c>
      <c r="J1036" s="113">
        <v>64.099999999999994</v>
      </c>
      <c r="K1036" s="113">
        <v>3.8</v>
      </c>
      <c r="L1036" s="185"/>
      <c r="M1036" s="16">
        <v>1033</v>
      </c>
      <c r="N1036" s="16">
        <f t="shared" si="119"/>
        <v>2.0090591993942412E-2</v>
      </c>
      <c r="O1036" s="16">
        <v>4</v>
      </c>
      <c r="P1036" s="16">
        <f t="shared" si="115"/>
        <v>9.1833785004516724</v>
      </c>
      <c r="Q1036" s="16">
        <f t="shared" si="120"/>
        <v>49.774541253016018</v>
      </c>
      <c r="R1036" s="113">
        <f t="shared" si="116"/>
        <v>329.49099999999999</v>
      </c>
      <c r="S1036" s="16">
        <f>IF(S1035=15800,15800,ROUND((((Q1036*60)/'Gearing Calculator'!$C$14)*'Track Data'!P1036),-2))</f>
        <v>13900</v>
      </c>
      <c r="T1036" s="16">
        <f t="shared" si="118"/>
        <v>4.3414616353714317</v>
      </c>
      <c r="U1036" s="16">
        <f>IF(AC1036=100,Braking!$AG$2354,IF(AC1036=50,Braking!$AG$1179,IF(AC1036=75,Braking!$AG$1767,0)))</f>
        <v>0</v>
      </c>
      <c r="V1036" s="16">
        <f>0.5*'Gearing Calculator'!$C$15*'Gearing Calculator'!$C$20*'Gearing Calculator'!$W$20*('Track Data'!Q1036^2)</f>
        <v>262.21912464339675</v>
      </c>
      <c r="W1036" s="16">
        <f>('Gearing Calculator'!$U$9*'Track Data'!T1036)+'Track Data'!V1036</f>
        <v>1417.9162119792718</v>
      </c>
      <c r="X1036" s="16">
        <f>('Gearing Calculator'!$U$9*9.81)*('Gearing Calculator'!$U$16/'Gearing Calculator'!$C$7)-(('Track Data'!W1036)*('Gearing Calculator'!$U$17/'Gearing Calculator'!$C$7))</f>
        <v>628.30112967990203</v>
      </c>
      <c r="Y1036" s="16">
        <f>('Gearing Calculator'!$U$9*9.81)*(('Gearing Calculator'!$C$7-'Gearing Calculator'!$U$16)/'Gearing Calculator'!$C$7)+(('Track Data'!W1036)*('Gearing Calculator'!$U$17/'Gearing Calculator'!$C$7))</f>
        <v>1983.120870320098</v>
      </c>
      <c r="Z1036" s="16">
        <f>((X1036*COS('Gearing Calculator'!$C$21))/'Gearing Calculator'!$C$22)/2</f>
        <v>19.425083782531679</v>
      </c>
      <c r="AA1036" s="16">
        <f>Y1036/'Gearing Calculator'!$C$24</f>
        <v>27.691018828665541</v>
      </c>
      <c r="AB1036" s="16">
        <f t="shared" si="114"/>
        <v>279.58497118488248</v>
      </c>
      <c r="AC1036" s="16">
        <v>0</v>
      </c>
      <c r="AD1036" s="16">
        <v>0</v>
      </c>
      <c r="AE1036" s="16">
        <v>1033</v>
      </c>
      <c r="AF1036" s="16">
        <f>IF(AC1036=0,IF(O1036=6,INDEX(Acceleration!$V$4:$V$110,MATCH('Track Data'!S1036,Acceleration!$K$4:$K$110,0)),IF('Track Data'!O1036=5,INDEX(Acceleration!$U$4:$U$110,MATCH('Track Data'!S1036,Acceleration!$K$4:$K$110,0)),1)),U1036)</f>
        <v>1</v>
      </c>
      <c r="AG1036" s="16">
        <f>IF(AC1036=0,IF(O1036=4,INDEX(Acceleration!$T$4:$T$110,MATCH('Track Data'!S1036,Acceleration!$K$4:$K$110,0)),IF('Track Data'!O1036=3,INDEX(Acceleration!$S$4:$S$110,MATCH('Track Data'!S1036,Acceleration!$K$4:$K$110,0)),'Track Data'!AF1036)),'Track Data'!U1036)</f>
        <v>4.3414616353714317</v>
      </c>
      <c r="AH1036" s="16">
        <f>IF(AC1036=0,IF(O1036=2,INDEX(Acceleration!$R$4:$R$110,MATCH('Track Data'!S1036,Acceleration!$K$4:$K$110,0)),IF('Track Data'!O1036=1,INDEX(Acceleration!$Q$4:$Q$110,MATCH('Track Data'!S1036,Acceleration!$K$4:$K$110,0)),'Track Data'!AG1036)),'Track Data'!U1036)</f>
        <v>4.3414616353714317</v>
      </c>
    </row>
    <row r="1037" spans="2:34" x14ac:dyDescent="0.25">
      <c r="B1037" s="16">
        <v>225.096</v>
      </c>
      <c r="C1037" s="16">
        <v>8307</v>
      </c>
      <c r="D1037" s="16">
        <v>1034</v>
      </c>
      <c r="E1037" s="113">
        <v>158</v>
      </c>
      <c r="F1037" s="113">
        <v>162.80000000000001</v>
      </c>
      <c r="G1037" s="113">
        <v>167.7</v>
      </c>
      <c r="H1037" s="113">
        <f t="shared" si="117"/>
        <v>46.583333333333329</v>
      </c>
      <c r="I1037" s="113">
        <v>1.8</v>
      </c>
      <c r="J1037" s="113">
        <v>63.92</v>
      </c>
      <c r="K1037" s="113">
        <v>1.6</v>
      </c>
      <c r="L1037" s="185"/>
      <c r="M1037" s="16">
        <v>1034</v>
      </c>
      <c r="N1037" s="16">
        <f t="shared" si="119"/>
        <v>2.0055478467829374E-2</v>
      </c>
      <c r="O1037" s="16">
        <v>4</v>
      </c>
      <c r="P1037" s="16">
        <f t="shared" si="115"/>
        <v>9.1833785004516724</v>
      </c>
      <c r="Q1037" s="16">
        <f t="shared" si="120"/>
        <v>49.86168749870923</v>
      </c>
      <c r="R1037" s="113">
        <f t="shared" si="116"/>
        <v>329.49099999999999</v>
      </c>
      <c r="S1037" s="16">
        <f>IF(S1036=15800,15800,ROUND((((Q1037*60)/'Gearing Calculator'!$C$14)*'Track Data'!P1037),-2))</f>
        <v>13900</v>
      </c>
      <c r="T1037" s="16">
        <f t="shared" si="118"/>
        <v>4.3414616353714317</v>
      </c>
      <c r="U1037" s="16">
        <f>IF(AC1037=100,Braking!$AG$2354,IF(AC1037=50,Braking!$AG$1179,IF(AC1037=75,Braking!$AG$1767,0)))</f>
        <v>0</v>
      </c>
      <c r="V1037" s="16">
        <f>0.5*'Gearing Calculator'!$C$15*'Gearing Calculator'!$C$20*'Gearing Calculator'!$W$20*('Track Data'!Q1037^2)</f>
        <v>263.13812524237221</v>
      </c>
      <c r="W1037" s="16">
        <f>('Gearing Calculator'!$U$9*'Track Data'!T1037)+'Track Data'!V1037</f>
        <v>1418.8352125782471</v>
      </c>
      <c r="X1037" s="16">
        <f>('Gearing Calculator'!$U$9*9.81)*('Gearing Calculator'!$U$16/'Gearing Calculator'!$C$7)-(('Track Data'!W1037)*('Gearing Calculator'!$U$17/'Gearing Calculator'!$C$7))</f>
        <v>627.80021159147884</v>
      </c>
      <c r="Y1037" s="16">
        <f>('Gearing Calculator'!$U$9*9.81)*(('Gearing Calculator'!$C$7-'Gearing Calculator'!$U$16)/'Gearing Calculator'!$C$7)+(('Track Data'!W1037)*('Gearing Calculator'!$U$17/'Gearing Calculator'!$C$7))</f>
        <v>1983.6217884085213</v>
      </c>
      <c r="Z1037" s="16">
        <f>((X1037*COS('Gearing Calculator'!$C$21))/'Gearing Calculator'!$C$22)/2</f>
        <v>19.409596979506571</v>
      </c>
      <c r="AA1037" s="16">
        <f>Y1037/'Gearing Calculator'!$C$24</f>
        <v>27.698013325282336</v>
      </c>
      <c r="AB1037" s="16">
        <f t="shared" si="114"/>
        <v>280.50397178385793</v>
      </c>
      <c r="AC1037" s="16">
        <v>0</v>
      </c>
      <c r="AD1037" s="16">
        <v>0</v>
      </c>
      <c r="AE1037" s="16">
        <v>1034</v>
      </c>
      <c r="AF1037" s="16">
        <f>IF(AC1037=0,IF(O1037=6,INDEX(Acceleration!$V$4:$V$110,MATCH('Track Data'!S1037,Acceleration!$K$4:$K$110,0)),IF('Track Data'!O1037=5,INDEX(Acceleration!$U$4:$U$110,MATCH('Track Data'!S1037,Acceleration!$K$4:$K$110,0)),1)),U1037)</f>
        <v>1</v>
      </c>
      <c r="AG1037" s="16">
        <f>IF(AC1037=0,IF(O1037=4,INDEX(Acceleration!$T$4:$T$110,MATCH('Track Data'!S1037,Acceleration!$K$4:$K$110,0)),IF('Track Data'!O1037=3,INDEX(Acceleration!$S$4:$S$110,MATCH('Track Data'!S1037,Acceleration!$K$4:$K$110,0)),'Track Data'!AF1037)),'Track Data'!U1037)</f>
        <v>4.3414616353714317</v>
      </c>
      <c r="AH1037" s="16">
        <f>IF(AC1037=0,IF(O1037=2,INDEX(Acceleration!$R$4:$R$110,MATCH('Track Data'!S1037,Acceleration!$K$4:$K$110,0)),IF('Track Data'!O1037=1,INDEX(Acceleration!$Q$4:$Q$110,MATCH('Track Data'!S1037,Acceleration!$K$4:$K$110,0)),'Track Data'!AG1037)),'Track Data'!U1037)</f>
        <v>4.3414616353714317</v>
      </c>
    </row>
    <row r="1038" spans="2:34" x14ac:dyDescent="0.25">
      <c r="B1038" s="16">
        <v>225.11799999999999</v>
      </c>
      <c r="C1038" s="16">
        <v>8308</v>
      </c>
      <c r="D1038" s="16">
        <v>1035</v>
      </c>
      <c r="E1038" s="113">
        <v>157</v>
      </c>
      <c r="F1038" s="113">
        <v>162.30000000000001</v>
      </c>
      <c r="G1038" s="113">
        <v>167.4</v>
      </c>
      <c r="H1038" s="113">
        <f t="shared" si="117"/>
        <v>46.5</v>
      </c>
      <c r="I1038" s="113">
        <v>0.9</v>
      </c>
      <c r="J1038" s="113">
        <v>63.89</v>
      </c>
      <c r="K1038" s="113">
        <v>-0.5</v>
      </c>
      <c r="L1038" s="185"/>
      <c r="M1038" s="16">
        <v>1035</v>
      </c>
      <c r="N1038" s="16">
        <f t="shared" si="119"/>
        <v>2.0020548410503484E-2</v>
      </c>
      <c r="O1038" s="16">
        <v>4</v>
      </c>
      <c r="P1038" s="16">
        <f t="shared" si="115"/>
        <v>9.1833785004516724</v>
      </c>
      <c r="Q1038" s="16">
        <f t="shared" si="120"/>
        <v>49.948681699216834</v>
      </c>
      <c r="R1038" s="113">
        <f t="shared" si="116"/>
        <v>329.49099999999999</v>
      </c>
      <c r="S1038" s="16">
        <f>IF(S1037=15800,15800,ROUND((((Q1038*60)/'Gearing Calculator'!$C$14)*'Track Data'!P1038),-2))</f>
        <v>13900</v>
      </c>
      <c r="T1038" s="16">
        <f t="shared" si="118"/>
        <v>4.3414616353714317</v>
      </c>
      <c r="U1038" s="16">
        <f>IF(AC1038=100,Braking!$AG$2354,IF(AC1038=50,Braking!$AG$1179,IF(AC1038=75,Braking!$AG$1767,0)))</f>
        <v>0</v>
      </c>
      <c r="V1038" s="16">
        <f>0.5*'Gearing Calculator'!$C$15*'Gearing Calculator'!$C$20*'Gearing Calculator'!$W$20*('Track Data'!Q1038^2)</f>
        <v>264.05712584134756</v>
      </c>
      <c r="W1038" s="16">
        <f>('Gearing Calculator'!$U$9*'Track Data'!T1038)+'Track Data'!V1038</f>
        <v>1419.7542131772225</v>
      </c>
      <c r="X1038" s="16">
        <f>('Gearing Calculator'!$U$9*9.81)*('Gearing Calculator'!$U$16/'Gearing Calculator'!$C$7)-(('Track Data'!W1038)*('Gearing Calculator'!$U$17/'Gearing Calculator'!$C$7))</f>
        <v>627.29929350305554</v>
      </c>
      <c r="Y1038" s="16">
        <f>('Gearing Calculator'!$U$9*9.81)*(('Gearing Calculator'!$C$7-'Gearing Calculator'!$U$16)/'Gearing Calculator'!$C$7)+(('Track Data'!W1038)*('Gearing Calculator'!$U$17/'Gearing Calculator'!$C$7))</f>
        <v>1984.1227064969444</v>
      </c>
      <c r="Z1038" s="16">
        <f>((X1038*COS('Gearing Calculator'!$C$21))/'Gearing Calculator'!$C$22)/2</f>
        <v>19.394110176481458</v>
      </c>
      <c r="AA1038" s="16">
        <f>Y1038/'Gearing Calculator'!$C$24</f>
        <v>27.705007821899127</v>
      </c>
      <c r="AB1038" s="16">
        <f t="shared" si="114"/>
        <v>281.42297238283328</v>
      </c>
      <c r="AC1038" s="16">
        <v>0</v>
      </c>
      <c r="AD1038" s="16">
        <v>0</v>
      </c>
      <c r="AE1038" s="16">
        <v>1035</v>
      </c>
      <c r="AF1038" s="16">
        <f>IF(AC1038=0,IF(O1038=6,INDEX(Acceleration!$V$4:$V$110,MATCH('Track Data'!S1038,Acceleration!$K$4:$K$110,0)),IF('Track Data'!O1038=5,INDEX(Acceleration!$U$4:$U$110,MATCH('Track Data'!S1038,Acceleration!$K$4:$K$110,0)),1)),U1038)</f>
        <v>1</v>
      </c>
      <c r="AG1038" s="16">
        <f>IF(AC1038=0,IF(O1038=4,INDEX(Acceleration!$T$4:$T$110,MATCH('Track Data'!S1038,Acceleration!$K$4:$K$110,0)),IF('Track Data'!O1038=3,INDEX(Acceleration!$S$4:$S$110,MATCH('Track Data'!S1038,Acceleration!$K$4:$K$110,0)),'Track Data'!AF1038)),'Track Data'!U1038)</f>
        <v>4.3414616353714317</v>
      </c>
      <c r="AH1038" s="16">
        <f>IF(AC1038=0,IF(O1038=2,INDEX(Acceleration!$R$4:$R$110,MATCH('Track Data'!S1038,Acceleration!$K$4:$K$110,0)),IF('Track Data'!O1038=1,INDEX(Acceleration!$Q$4:$Q$110,MATCH('Track Data'!S1038,Acceleration!$K$4:$K$110,0)),'Track Data'!AG1038)),'Track Data'!U1038)</f>
        <v>4.3414616353714317</v>
      </c>
    </row>
    <row r="1039" spans="2:34" x14ac:dyDescent="0.25">
      <c r="B1039" s="16">
        <v>225.14</v>
      </c>
      <c r="C1039" s="16">
        <v>8309</v>
      </c>
      <c r="D1039" s="16">
        <v>1036</v>
      </c>
      <c r="E1039" s="113">
        <v>156</v>
      </c>
      <c r="F1039" s="113">
        <v>162</v>
      </c>
      <c r="G1039" s="113">
        <v>166.9</v>
      </c>
      <c r="H1039" s="113">
        <f t="shared" si="117"/>
        <v>46.361111111111114</v>
      </c>
      <c r="I1039" s="113">
        <v>-0.2</v>
      </c>
      <c r="J1039" s="113">
        <v>62.93</v>
      </c>
      <c r="K1039" s="113">
        <v>-0.3</v>
      </c>
      <c r="L1039" s="185"/>
      <c r="M1039" s="16">
        <v>1036</v>
      </c>
      <c r="N1039" s="16">
        <f t="shared" si="119"/>
        <v>1.9985800229797311E-2</v>
      </c>
      <c r="O1039" s="16">
        <v>4</v>
      </c>
      <c r="P1039" s="16">
        <f t="shared" si="115"/>
        <v>9.1833785004516724</v>
      </c>
      <c r="Q1039" s="16">
        <f t="shared" si="120"/>
        <v>50.035524647598344</v>
      </c>
      <c r="R1039" s="113">
        <f t="shared" si="116"/>
        <v>329.49099999999999</v>
      </c>
      <c r="S1039" s="16">
        <f>IF(S1038=15800,15800,ROUND((((Q1039*60)/'Gearing Calculator'!$C$14)*'Track Data'!P1039),-2))</f>
        <v>13900</v>
      </c>
      <c r="T1039" s="16">
        <f t="shared" si="118"/>
        <v>4.3414616353714317</v>
      </c>
      <c r="U1039" s="16">
        <f>IF(AC1039=100,Braking!$AG$2354,IF(AC1039=50,Braking!$AG$1179,IF(AC1039=75,Braking!$AG$1767,0)))</f>
        <v>0</v>
      </c>
      <c r="V1039" s="16">
        <f>0.5*'Gearing Calculator'!$C$15*'Gearing Calculator'!$C$20*'Gearing Calculator'!$W$20*('Track Data'!Q1039^2)</f>
        <v>264.97612644032296</v>
      </c>
      <c r="W1039" s="16">
        <f>('Gearing Calculator'!$U$9*'Track Data'!T1039)+'Track Data'!V1039</f>
        <v>1420.6732137761981</v>
      </c>
      <c r="X1039" s="16">
        <f>('Gearing Calculator'!$U$9*9.81)*('Gearing Calculator'!$U$16/'Gearing Calculator'!$C$7)-(('Track Data'!W1039)*('Gearing Calculator'!$U$17/'Gearing Calculator'!$C$7))</f>
        <v>626.79837541463223</v>
      </c>
      <c r="Y1039" s="16">
        <f>('Gearing Calculator'!$U$9*9.81)*(('Gearing Calculator'!$C$7-'Gearing Calculator'!$U$16)/'Gearing Calculator'!$C$7)+(('Track Data'!W1039)*('Gearing Calculator'!$U$17/'Gearing Calculator'!$C$7))</f>
        <v>1984.6236245853679</v>
      </c>
      <c r="Z1039" s="16">
        <f>((X1039*COS('Gearing Calculator'!$C$21))/'Gearing Calculator'!$C$22)/2</f>
        <v>19.378623373456346</v>
      </c>
      <c r="AA1039" s="16">
        <f>Y1039/'Gearing Calculator'!$C$24</f>
        <v>27.712002318515925</v>
      </c>
      <c r="AB1039" s="16">
        <f t="shared" si="114"/>
        <v>282.34197298180868</v>
      </c>
      <c r="AC1039" s="16">
        <v>0</v>
      </c>
      <c r="AD1039" s="16">
        <v>0</v>
      </c>
      <c r="AE1039" s="16">
        <v>1036</v>
      </c>
      <c r="AF1039" s="16">
        <f>IF(AC1039=0,IF(O1039=6,INDEX(Acceleration!$V$4:$V$110,MATCH('Track Data'!S1039,Acceleration!$K$4:$K$110,0)),IF('Track Data'!O1039=5,INDEX(Acceleration!$U$4:$U$110,MATCH('Track Data'!S1039,Acceleration!$K$4:$K$110,0)),1)),U1039)</f>
        <v>1</v>
      </c>
      <c r="AG1039" s="16">
        <f>IF(AC1039=0,IF(O1039=4,INDEX(Acceleration!$T$4:$T$110,MATCH('Track Data'!S1039,Acceleration!$K$4:$K$110,0)),IF('Track Data'!O1039=3,INDEX(Acceleration!$S$4:$S$110,MATCH('Track Data'!S1039,Acceleration!$K$4:$K$110,0)),'Track Data'!AF1039)),'Track Data'!U1039)</f>
        <v>4.3414616353714317</v>
      </c>
      <c r="AH1039" s="16">
        <f>IF(AC1039=0,IF(O1039=2,INDEX(Acceleration!$R$4:$R$110,MATCH('Track Data'!S1039,Acceleration!$K$4:$K$110,0)),IF('Track Data'!O1039=1,INDEX(Acceleration!$Q$4:$Q$110,MATCH('Track Data'!S1039,Acceleration!$K$4:$K$110,0)),'Track Data'!AG1039)),'Track Data'!U1039)</f>
        <v>4.3414616353714317</v>
      </c>
    </row>
    <row r="1040" spans="2:34" x14ac:dyDescent="0.25">
      <c r="B1040" s="16">
        <v>225.16200000000001</v>
      </c>
      <c r="C1040" s="16">
        <v>8310</v>
      </c>
      <c r="D1040" s="16">
        <v>1037</v>
      </c>
      <c r="E1040" s="113">
        <v>155</v>
      </c>
      <c r="F1040" s="113">
        <v>161.9</v>
      </c>
      <c r="G1040" s="113">
        <v>166.6</v>
      </c>
      <c r="H1040" s="113">
        <f t="shared" si="117"/>
        <v>46.277777777777779</v>
      </c>
      <c r="I1040" s="113">
        <v>-1.1000000000000001</v>
      </c>
      <c r="J1040" s="113">
        <v>63.99</v>
      </c>
      <c r="K1040" s="113">
        <v>0.5</v>
      </c>
      <c r="L1040" s="185"/>
      <c r="M1040" s="16">
        <v>1037</v>
      </c>
      <c r="N1040" s="16">
        <f t="shared" si="119"/>
        <v>1.995123235282039E-2</v>
      </c>
      <c r="O1040" s="16">
        <v>4</v>
      </c>
      <c r="P1040" s="16">
        <f t="shared" si="115"/>
        <v>9.1833785004516724</v>
      </c>
      <c r="Q1040" s="16">
        <f t="shared" si="120"/>
        <v>50.122217130042884</v>
      </c>
      <c r="R1040" s="113">
        <f t="shared" si="116"/>
        <v>329.49099999999999</v>
      </c>
      <c r="S1040" s="16">
        <f>IF(S1039=15800,15800,ROUND((((Q1040*60)/'Gearing Calculator'!$C$14)*'Track Data'!P1040),-2))</f>
        <v>14000</v>
      </c>
      <c r="T1040" s="16">
        <f t="shared" si="118"/>
        <v>4.3416214019362878</v>
      </c>
      <c r="U1040" s="16">
        <f>IF(AC1040=100,Braking!$AG$2354,IF(AC1040=50,Braking!$AG$1179,IF(AC1040=75,Braking!$AG$1767,0)))</f>
        <v>0</v>
      </c>
      <c r="V1040" s="16">
        <f>0.5*'Gearing Calculator'!$C$15*'Gearing Calculator'!$C$20*'Gearing Calculator'!$W$20*('Track Data'!Q1040^2)</f>
        <v>265.89512703929836</v>
      </c>
      <c r="W1040" s="16">
        <f>('Gearing Calculator'!$U$9*'Track Data'!T1040)+'Track Data'!V1040</f>
        <v>1421.634744234738</v>
      </c>
      <c r="X1040" s="16">
        <f>('Gearing Calculator'!$U$9*9.81)*('Gearing Calculator'!$U$16/'Gearing Calculator'!$C$7)-(('Track Data'!W1040)*('Gearing Calculator'!$U$17/'Gearing Calculator'!$C$7))</f>
        <v>626.27427564822335</v>
      </c>
      <c r="Y1040" s="16">
        <f>('Gearing Calculator'!$U$9*9.81)*(('Gearing Calculator'!$C$7-'Gearing Calculator'!$U$16)/'Gearing Calculator'!$C$7)+(('Track Data'!W1040)*('Gearing Calculator'!$U$17/'Gearing Calculator'!$C$7))</f>
        <v>1985.1477243517766</v>
      </c>
      <c r="Z1040" s="16">
        <f>((X1040*COS('Gearing Calculator'!$C$21))/'Gearing Calculator'!$C$22)/2</f>
        <v>19.36241986626532</v>
      </c>
      <c r="AA1040" s="16">
        <f>Y1040/'Gearing Calculator'!$C$24</f>
        <v>27.719320509109814</v>
      </c>
      <c r="AB1040" s="16">
        <f t="shared" si="114"/>
        <v>283.26161264704353</v>
      </c>
      <c r="AC1040" s="16">
        <v>0</v>
      </c>
      <c r="AD1040" s="16">
        <v>0</v>
      </c>
      <c r="AE1040" s="16">
        <v>1037</v>
      </c>
      <c r="AF1040" s="16">
        <f>IF(AC1040=0,IF(O1040=6,INDEX(Acceleration!$V$4:$V$110,MATCH('Track Data'!S1040,Acceleration!$K$4:$K$110,0)),IF('Track Data'!O1040=5,INDEX(Acceleration!$U$4:$U$110,MATCH('Track Data'!S1040,Acceleration!$K$4:$K$110,0)),1)),U1040)</f>
        <v>1</v>
      </c>
      <c r="AG1040" s="16">
        <f>IF(AC1040=0,IF(O1040=4,INDEX(Acceleration!$T$4:$T$110,MATCH('Track Data'!S1040,Acceleration!$K$4:$K$110,0)),IF('Track Data'!O1040=3,INDEX(Acceleration!$S$4:$S$110,MATCH('Track Data'!S1040,Acceleration!$K$4:$K$110,0)),'Track Data'!AF1040)),'Track Data'!U1040)</f>
        <v>4.3416214019362878</v>
      </c>
      <c r="AH1040" s="16">
        <f>IF(AC1040=0,IF(O1040=2,INDEX(Acceleration!$R$4:$R$110,MATCH('Track Data'!S1040,Acceleration!$K$4:$K$110,0)),IF('Track Data'!O1040=1,INDEX(Acceleration!$Q$4:$Q$110,MATCH('Track Data'!S1040,Acceleration!$K$4:$K$110,0)),'Track Data'!AG1040)),'Track Data'!U1040)</f>
        <v>4.3416214019362878</v>
      </c>
    </row>
    <row r="1041" spans="2:34" x14ac:dyDescent="0.25">
      <c r="B1041" s="16">
        <v>225.184</v>
      </c>
      <c r="C1041" s="16">
        <v>8311</v>
      </c>
      <c r="D1041" s="16">
        <v>1038</v>
      </c>
      <c r="E1041" s="113">
        <v>154</v>
      </c>
      <c r="F1041" s="113">
        <v>161.5</v>
      </c>
      <c r="G1041" s="113">
        <v>166.3</v>
      </c>
      <c r="H1041" s="113">
        <f t="shared" si="117"/>
        <v>46.19444444444445</v>
      </c>
      <c r="I1041" s="113">
        <v>-1.2</v>
      </c>
      <c r="J1041" s="113">
        <v>64</v>
      </c>
      <c r="K1041" s="113">
        <v>1.2</v>
      </c>
      <c r="L1041" s="185"/>
      <c r="M1041" s="16">
        <v>1038</v>
      </c>
      <c r="N1041" s="16">
        <f t="shared" si="119"/>
        <v>1.9916841963404392E-2</v>
      </c>
      <c r="O1041" s="16">
        <v>4</v>
      </c>
      <c r="P1041" s="16">
        <f t="shared" si="115"/>
        <v>9.1833785004516724</v>
      </c>
      <c r="Q1041" s="16">
        <f t="shared" si="120"/>
        <v>50.208763107997754</v>
      </c>
      <c r="R1041" s="113">
        <f t="shared" si="116"/>
        <v>329.49099999999999</v>
      </c>
      <c r="S1041" s="16">
        <f>IF(S1040=15800,15800,ROUND((((Q1041*60)/'Gearing Calculator'!$C$14)*'Track Data'!P1041),-2))</f>
        <v>14000</v>
      </c>
      <c r="T1041" s="16">
        <f t="shared" si="118"/>
        <v>4.3416214019362878</v>
      </c>
      <c r="U1041" s="16">
        <f>IF(AC1041=100,Braking!$AG$2354,IF(AC1041=50,Braking!$AG$1179,IF(AC1041=75,Braking!$AG$1767,0)))</f>
        <v>0</v>
      </c>
      <c r="V1041" s="16">
        <f>0.5*'Gearing Calculator'!$C$15*'Gearing Calculator'!$C$20*'Gearing Calculator'!$W$20*('Track Data'!Q1041^2)</f>
        <v>266.81416145766019</v>
      </c>
      <c r="W1041" s="16">
        <f>('Gearing Calculator'!$U$9*'Track Data'!T1041)+'Track Data'!V1041</f>
        <v>1422.5537786530999</v>
      </c>
      <c r="X1041" s="16">
        <f>('Gearing Calculator'!$U$9*9.81)*('Gearing Calculator'!$U$16/'Gearing Calculator'!$C$7)-(('Track Data'!W1041)*('Gearing Calculator'!$U$17/'Gearing Calculator'!$C$7))</f>
        <v>625.77333912592485</v>
      </c>
      <c r="Y1041" s="16">
        <f>('Gearing Calculator'!$U$9*9.81)*(('Gearing Calculator'!$C$7-'Gearing Calculator'!$U$16)/'Gearing Calculator'!$C$7)+(('Track Data'!W1041)*('Gearing Calculator'!$U$17/'Gearing Calculator'!$C$7))</f>
        <v>1985.6486608740752</v>
      </c>
      <c r="Z1041" s="16">
        <f>((X1041*COS('Gearing Calculator'!$C$21))/'Gearing Calculator'!$C$22)/2</f>
        <v>19.346932493323088</v>
      </c>
      <c r="AA1041" s="16">
        <f>Y1041/'Gearing Calculator'!$C$24</f>
        <v>27.726315263125336</v>
      </c>
      <c r="AB1041" s="16">
        <f t="shared" si="114"/>
        <v>284.18064706540537</v>
      </c>
      <c r="AC1041" s="16">
        <v>0</v>
      </c>
      <c r="AD1041" s="16">
        <v>0</v>
      </c>
      <c r="AE1041" s="16">
        <v>1038</v>
      </c>
      <c r="AF1041" s="16">
        <f>IF(AC1041=0,IF(O1041=6,INDEX(Acceleration!$V$4:$V$110,MATCH('Track Data'!S1041,Acceleration!$K$4:$K$110,0)),IF('Track Data'!O1041=5,INDEX(Acceleration!$U$4:$U$110,MATCH('Track Data'!S1041,Acceleration!$K$4:$K$110,0)),1)),U1041)</f>
        <v>1</v>
      </c>
      <c r="AG1041" s="16">
        <f>IF(AC1041=0,IF(O1041=4,INDEX(Acceleration!$T$4:$T$110,MATCH('Track Data'!S1041,Acceleration!$K$4:$K$110,0)),IF('Track Data'!O1041=3,INDEX(Acceleration!$S$4:$S$110,MATCH('Track Data'!S1041,Acceleration!$K$4:$K$110,0)),'Track Data'!AF1041)),'Track Data'!U1041)</f>
        <v>4.3416214019362878</v>
      </c>
      <c r="AH1041" s="16">
        <f>IF(AC1041=0,IF(O1041=2,INDEX(Acceleration!$R$4:$R$110,MATCH('Track Data'!S1041,Acceleration!$K$4:$K$110,0)),IF('Track Data'!O1041=1,INDEX(Acceleration!$Q$4:$Q$110,MATCH('Track Data'!S1041,Acceleration!$K$4:$K$110,0)),'Track Data'!AG1041)),'Track Data'!U1041)</f>
        <v>4.3416214019362878</v>
      </c>
    </row>
    <row r="1042" spans="2:34" x14ac:dyDescent="0.25">
      <c r="B1042" s="16">
        <v>225.20599999999999</v>
      </c>
      <c r="C1042" s="16">
        <v>8312</v>
      </c>
      <c r="D1042" s="16">
        <v>1039</v>
      </c>
      <c r="E1042" s="113">
        <v>153</v>
      </c>
      <c r="F1042" s="113">
        <v>161.19999999999999</v>
      </c>
      <c r="G1042" s="113">
        <v>166</v>
      </c>
      <c r="H1042" s="113">
        <f t="shared" si="117"/>
        <v>46.111111111111107</v>
      </c>
      <c r="I1042" s="113">
        <v>-1.2</v>
      </c>
      <c r="J1042" s="113">
        <v>64.66</v>
      </c>
      <c r="K1042" s="113">
        <v>2.2999999999999998</v>
      </c>
      <c r="L1042" s="185"/>
      <c r="M1042" s="16">
        <v>1039</v>
      </c>
      <c r="N1042" s="16">
        <f t="shared" si="119"/>
        <v>1.9882628801564328E-2</v>
      </c>
      <c r="O1042" s="16">
        <v>4</v>
      </c>
      <c r="P1042" s="16">
        <f t="shared" si="115"/>
        <v>9.1833785004516724</v>
      </c>
      <c r="Q1042" s="16">
        <f t="shared" si="120"/>
        <v>50.295160161181599</v>
      </c>
      <c r="R1042" s="113">
        <f t="shared" si="116"/>
        <v>329.49099999999999</v>
      </c>
      <c r="S1042" s="16">
        <f>IF(S1041=15800,15800,ROUND((((Q1042*60)/'Gearing Calculator'!$C$14)*'Track Data'!P1042),-2))</f>
        <v>14000</v>
      </c>
      <c r="T1042" s="16">
        <f t="shared" si="118"/>
        <v>4.3416214019362878</v>
      </c>
      <c r="U1042" s="16">
        <f>IF(AC1042=100,Braking!$AG$2354,IF(AC1042=50,Braking!$AG$1179,IF(AC1042=75,Braking!$AG$1767,0)))</f>
        <v>0</v>
      </c>
      <c r="V1042" s="16">
        <f>0.5*'Gearing Calculator'!$C$15*'Gearing Calculator'!$C$20*'Gearing Calculator'!$W$20*('Track Data'!Q1042^2)</f>
        <v>267.73319587602202</v>
      </c>
      <c r="W1042" s="16">
        <f>('Gearing Calculator'!$U$9*'Track Data'!T1042)+'Track Data'!V1042</f>
        <v>1423.4728130714616</v>
      </c>
      <c r="X1042" s="16">
        <f>('Gearing Calculator'!$U$9*9.81)*('Gearing Calculator'!$U$16/'Gearing Calculator'!$C$7)-(('Track Data'!W1042)*('Gearing Calculator'!$U$17/'Gearing Calculator'!$C$7))</f>
        <v>625.27240260362646</v>
      </c>
      <c r="Y1042" s="16">
        <f>('Gearing Calculator'!$U$9*9.81)*(('Gearing Calculator'!$C$7-'Gearing Calculator'!$U$16)/'Gearing Calculator'!$C$7)+(('Track Data'!W1042)*('Gearing Calculator'!$U$17/'Gearing Calculator'!$C$7))</f>
        <v>1986.1495973963736</v>
      </c>
      <c r="Z1042" s="16">
        <f>((X1042*COS('Gearing Calculator'!$C$21))/'Gearing Calculator'!$C$22)/2</f>
        <v>19.331445120380859</v>
      </c>
      <c r="AA1042" s="16">
        <f>Y1042/'Gearing Calculator'!$C$24</f>
        <v>27.733310017140855</v>
      </c>
      <c r="AB1042" s="16">
        <f t="shared" si="114"/>
        <v>285.0996814837672</v>
      </c>
      <c r="AC1042" s="16">
        <v>0</v>
      </c>
      <c r="AD1042" s="16">
        <v>0</v>
      </c>
      <c r="AE1042" s="16">
        <v>1039</v>
      </c>
      <c r="AF1042" s="16">
        <f>IF(AC1042=0,IF(O1042=6,INDEX(Acceleration!$V$4:$V$110,MATCH('Track Data'!S1042,Acceleration!$K$4:$K$110,0)),IF('Track Data'!O1042=5,INDEX(Acceleration!$U$4:$U$110,MATCH('Track Data'!S1042,Acceleration!$K$4:$K$110,0)),1)),U1042)</f>
        <v>1</v>
      </c>
      <c r="AG1042" s="16">
        <f>IF(AC1042=0,IF(O1042=4,INDEX(Acceleration!$T$4:$T$110,MATCH('Track Data'!S1042,Acceleration!$K$4:$K$110,0)),IF('Track Data'!O1042=3,INDEX(Acceleration!$S$4:$S$110,MATCH('Track Data'!S1042,Acceleration!$K$4:$K$110,0)),'Track Data'!AF1042)),'Track Data'!U1042)</f>
        <v>4.3416214019362878</v>
      </c>
      <c r="AH1042" s="16">
        <f>IF(AC1042=0,IF(O1042=2,INDEX(Acceleration!$R$4:$R$110,MATCH('Track Data'!S1042,Acceleration!$K$4:$K$110,0)),IF('Track Data'!O1042=1,INDEX(Acceleration!$Q$4:$Q$110,MATCH('Track Data'!S1042,Acceleration!$K$4:$K$110,0)),'Track Data'!AG1042)),'Track Data'!U1042)</f>
        <v>4.3416214019362878</v>
      </c>
    </row>
    <row r="1043" spans="2:34" x14ac:dyDescent="0.25">
      <c r="B1043" s="16">
        <v>225.22900000000001</v>
      </c>
      <c r="C1043" s="16">
        <v>8313</v>
      </c>
      <c r="D1043" s="16">
        <v>1040</v>
      </c>
      <c r="E1043" s="113">
        <v>152</v>
      </c>
      <c r="F1043" s="113">
        <v>160.80000000000001</v>
      </c>
      <c r="G1043" s="113">
        <v>165.7</v>
      </c>
      <c r="H1043" s="113">
        <f t="shared" si="117"/>
        <v>46.027777777777771</v>
      </c>
      <c r="I1043" s="113">
        <v>-0.3</v>
      </c>
      <c r="J1043" s="113">
        <v>65.05</v>
      </c>
      <c r="K1043" s="113">
        <v>5.3</v>
      </c>
      <c r="L1043" s="185"/>
      <c r="M1043" s="16">
        <v>1040</v>
      </c>
      <c r="N1043" s="16">
        <f t="shared" si="119"/>
        <v>1.984859135030238E-2</v>
      </c>
      <c r="O1043" s="16">
        <v>4</v>
      </c>
      <c r="P1043" s="16">
        <f t="shared" si="115"/>
        <v>9.1833785004516724</v>
      </c>
      <c r="Q1043" s="16">
        <f t="shared" si="120"/>
        <v>50.381409055749728</v>
      </c>
      <c r="R1043" s="113">
        <f t="shared" si="116"/>
        <v>329.49099999999999</v>
      </c>
      <c r="S1043" s="16">
        <f>IF(S1042=15800,15800,ROUND((((Q1043*60)/'Gearing Calculator'!$C$14)*'Track Data'!P1043),-2))</f>
        <v>14000</v>
      </c>
      <c r="T1043" s="16">
        <f t="shared" si="118"/>
        <v>4.3416214019362878</v>
      </c>
      <c r="U1043" s="16">
        <f>IF(AC1043=100,Braking!$AG$2354,IF(AC1043=50,Braking!$AG$1179,IF(AC1043=75,Braking!$AG$1767,0)))</f>
        <v>0</v>
      </c>
      <c r="V1043" s="16">
        <f>0.5*'Gearing Calculator'!$C$15*'Gearing Calculator'!$C$20*'Gearing Calculator'!$W$20*('Track Data'!Q1043^2)</f>
        <v>268.65223029438391</v>
      </c>
      <c r="W1043" s="16">
        <f>('Gearing Calculator'!$U$9*'Track Data'!T1043)+'Track Data'!V1043</f>
        <v>1424.3918474898237</v>
      </c>
      <c r="X1043" s="16">
        <f>('Gearing Calculator'!$U$9*9.81)*('Gearing Calculator'!$U$16/'Gearing Calculator'!$C$7)-(('Track Data'!W1043)*('Gearing Calculator'!$U$17/'Gearing Calculator'!$C$7))</f>
        <v>624.77146608132773</v>
      </c>
      <c r="Y1043" s="16">
        <f>('Gearing Calculator'!$U$9*9.81)*(('Gearing Calculator'!$C$7-'Gearing Calculator'!$U$16)/'Gearing Calculator'!$C$7)+(('Track Data'!W1043)*('Gearing Calculator'!$U$17/'Gearing Calculator'!$C$7))</f>
        <v>1986.6505339186724</v>
      </c>
      <c r="Z1043" s="16">
        <f>((X1043*COS('Gearing Calculator'!$C$21))/'Gearing Calculator'!$C$22)/2</f>
        <v>19.31595774743862</v>
      </c>
      <c r="AA1043" s="16">
        <f>Y1043/'Gearing Calculator'!$C$24</f>
        <v>27.740304771156381</v>
      </c>
      <c r="AB1043" s="16">
        <f t="shared" si="114"/>
        <v>286.01871590212909</v>
      </c>
      <c r="AC1043" s="16">
        <v>0</v>
      </c>
      <c r="AD1043" s="16">
        <v>0</v>
      </c>
      <c r="AE1043" s="16">
        <v>1040</v>
      </c>
      <c r="AF1043" s="16">
        <f>IF(AC1043=0,IF(O1043=6,INDEX(Acceleration!$V$4:$V$110,MATCH('Track Data'!S1043,Acceleration!$K$4:$K$110,0)),IF('Track Data'!O1043=5,INDEX(Acceleration!$U$4:$U$110,MATCH('Track Data'!S1043,Acceleration!$K$4:$K$110,0)),1)),U1043)</f>
        <v>1</v>
      </c>
      <c r="AG1043" s="16">
        <f>IF(AC1043=0,IF(O1043=4,INDEX(Acceleration!$T$4:$T$110,MATCH('Track Data'!S1043,Acceleration!$K$4:$K$110,0)),IF('Track Data'!O1043=3,INDEX(Acceleration!$S$4:$S$110,MATCH('Track Data'!S1043,Acceleration!$K$4:$K$110,0)),'Track Data'!AF1043)),'Track Data'!U1043)</f>
        <v>4.3416214019362878</v>
      </c>
      <c r="AH1043" s="16">
        <f>IF(AC1043=0,IF(O1043=2,INDEX(Acceleration!$R$4:$R$110,MATCH('Track Data'!S1043,Acceleration!$K$4:$K$110,0)),IF('Track Data'!O1043=1,INDEX(Acceleration!$Q$4:$Q$110,MATCH('Track Data'!S1043,Acceleration!$K$4:$K$110,0)),'Track Data'!AG1043)),'Track Data'!U1043)</f>
        <v>4.3416214019362878</v>
      </c>
    </row>
    <row r="1044" spans="2:34" x14ac:dyDescent="0.25">
      <c r="B1044" s="16">
        <v>225.251</v>
      </c>
      <c r="C1044" s="16">
        <v>8314</v>
      </c>
      <c r="D1044" s="16">
        <v>1041</v>
      </c>
      <c r="E1044" s="113">
        <v>152</v>
      </c>
      <c r="F1044" s="113">
        <v>160.19999999999999</v>
      </c>
      <c r="G1044" s="113">
        <v>165.2</v>
      </c>
      <c r="H1044" s="113">
        <f t="shared" si="117"/>
        <v>45.888888888888886</v>
      </c>
      <c r="I1044" s="113">
        <v>-0.1</v>
      </c>
      <c r="J1044" s="113">
        <v>68.05</v>
      </c>
      <c r="K1044" s="113">
        <v>9.6999999999999993</v>
      </c>
      <c r="L1044" s="185"/>
      <c r="M1044" s="16">
        <v>1041</v>
      </c>
      <c r="N1044" s="16">
        <f t="shared" si="119"/>
        <v>1.9814728110737562E-2</v>
      </c>
      <c r="O1044" s="16">
        <v>4</v>
      </c>
      <c r="P1044" s="16">
        <f t="shared" si="115"/>
        <v>9.1833785004516724</v>
      </c>
      <c r="Q1044" s="16">
        <f t="shared" si="120"/>
        <v>50.467510551310667</v>
      </c>
      <c r="R1044" s="113">
        <f t="shared" si="116"/>
        <v>329.49099999999999</v>
      </c>
      <c r="S1044" s="16">
        <f>IF(S1043=15800,15800,ROUND((((Q1044*60)/'Gearing Calculator'!$C$14)*'Track Data'!P1044),-2))</f>
        <v>14100</v>
      </c>
      <c r="T1044" s="16">
        <f t="shared" si="118"/>
        <v>4.3192676865042872</v>
      </c>
      <c r="U1044" s="16">
        <f>IF(AC1044=100,Braking!$AG$2354,IF(AC1044=50,Braking!$AG$1179,IF(AC1044=75,Braking!$AG$1767,0)))</f>
        <v>0</v>
      </c>
      <c r="V1044" s="16">
        <f>0.5*'Gearing Calculator'!$C$15*'Gearing Calculator'!$C$20*'Gearing Calculator'!$W$20*('Track Data'!Q1044^2)</f>
        <v>269.57126471274574</v>
      </c>
      <c r="W1044" s="16">
        <f>('Gearing Calculator'!$U$9*'Track Data'!T1044)+'Track Data'!V1044</f>
        <v>1419.3603228601869</v>
      </c>
      <c r="X1044" s="16">
        <f>('Gearing Calculator'!$U$9*9.81)*('Gearing Calculator'!$U$16/'Gearing Calculator'!$C$7)-(('Track Data'!W1044)*('Gearing Calculator'!$U$17/'Gearing Calculator'!$C$7))</f>
        <v>627.51399062608016</v>
      </c>
      <c r="Y1044" s="16">
        <f>('Gearing Calculator'!$U$9*9.81)*(('Gearing Calculator'!$C$7-'Gearing Calculator'!$U$16)/'Gearing Calculator'!$C$7)+(('Track Data'!W1044)*('Gearing Calculator'!$U$17/'Gearing Calculator'!$C$7))</f>
        <v>1983.9080093739199</v>
      </c>
      <c r="Z1044" s="16">
        <f>((X1044*COS('Gearing Calculator'!$C$21))/'Gearing Calculator'!$C$22)/2</f>
        <v>19.40074793249623</v>
      </c>
      <c r="AA1044" s="16">
        <f>Y1044/'Gearing Calculator'!$C$24</f>
        <v>27.702009929957637</v>
      </c>
      <c r="AB1044" s="16">
        <f t="shared" si="114"/>
        <v>286.8483354587629</v>
      </c>
      <c r="AC1044" s="16">
        <v>0</v>
      </c>
      <c r="AD1044" s="16">
        <v>0</v>
      </c>
      <c r="AE1044" s="16">
        <v>1041</v>
      </c>
      <c r="AF1044" s="16">
        <f>IF(AC1044=0,IF(O1044=6,INDEX(Acceleration!$V$4:$V$110,MATCH('Track Data'!S1044,Acceleration!$K$4:$K$110,0)),IF('Track Data'!O1044=5,INDEX(Acceleration!$U$4:$U$110,MATCH('Track Data'!S1044,Acceleration!$K$4:$K$110,0)),1)),U1044)</f>
        <v>1</v>
      </c>
      <c r="AG1044" s="16">
        <f>IF(AC1044=0,IF(O1044=4,INDEX(Acceleration!$T$4:$T$110,MATCH('Track Data'!S1044,Acceleration!$K$4:$K$110,0)),IF('Track Data'!O1044=3,INDEX(Acceleration!$S$4:$S$110,MATCH('Track Data'!S1044,Acceleration!$K$4:$K$110,0)),'Track Data'!AF1044)),'Track Data'!U1044)</f>
        <v>4.3192676865042872</v>
      </c>
      <c r="AH1044" s="16">
        <f>IF(AC1044=0,IF(O1044=2,INDEX(Acceleration!$R$4:$R$110,MATCH('Track Data'!S1044,Acceleration!$K$4:$K$110,0)),IF('Track Data'!O1044=1,INDEX(Acceleration!$Q$4:$Q$110,MATCH('Track Data'!S1044,Acceleration!$K$4:$K$110,0)),'Track Data'!AG1044)),'Track Data'!U1044)</f>
        <v>4.3192676865042872</v>
      </c>
    </row>
    <row r="1045" spans="2:34" x14ac:dyDescent="0.25">
      <c r="B1045" s="16">
        <v>225.273</v>
      </c>
      <c r="C1045" s="16">
        <v>8315</v>
      </c>
      <c r="D1045" s="16">
        <v>1042</v>
      </c>
      <c r="E1045" s="113">
        <v>151</v>
      </c>
      <c r="F1045" s="113">
        <v>159.80000000000001</v>
      </c>
      <c r="G1045" s="113">
        <v>164.8</v>
      </c>
      <c r="H1045" s="113">
        <f t="shared" si="117"/>
        <v>45.777777777777779</v>
      </c>
      <c r="I1045" s="113">
        <v>0.3</v>
      </c>
      <c r="J1045" s="113">
        <v>69.42</v>
      </c>
      <c r="K1045" s="113">
        <v>12.7</v>
      </c>
      <c r="L1045" s="185"/>
      <c r="M1045" s="16">
        <v>1042</v>
      </c>
      <c r="N1045" s="16">
        <f t="shared" si="119"/>
        <v>1.9781210624343921E-2</v>
      </c>
      <c r="O1045" s="16">
        <v>4</v>
      </c>
      <c r="P1045" s="16">
        <f t="shared" si="115"/>
        <v>9.1833785004516724</v>
      </c>
      <c r="Q1045" s="16">
        <f t="shared" si="120"/>
        <v>50.553023219384826</v>
      </c>
      <c r="R1045" s="113">
        <f t="shared" si="116"/>
        <v>329.49099999999999</v>
      </c>
      <c r="S1045" s="16">
        <f>IF(S1044=15800,15800,ROUND((((Q1045*60)/'Gearing Calculator'!$C$14)*'Track Data'!P1045),-2))</f>
        <v>14100</v>
      </c>
      <c r="T1045" s="16">
        <f t="shared" si="118"/>
        <v>4.3192676865042872</v>
      </c>
      <c r="U1045" s="16">
        <f>IF(AC1045=100,Braking!$AG$2354,IF(AC1045=50,Braking!$AG$1179,IF(AC1045=75,Braking!$AG$1767,0)))</f>
        <v>0</v>
      </c>
      <c r="V1045" s="16">
        <f>0.5*'Gearing Calculator'!$C$15*'Gearing Calculator'!$C$20*'Gearing Calculator'!$W$20*('Track Data'!Q1045^2)</f>
        <v>270.48556729662494</v>
      </c>
      <c r="W1045" s="16">
        <f>('Gearing Calculator'!$U$9*'Track Data'!T1045)+'Track Data'!V1045</f>
        <v>1420.2746254440663</v>
      </c>
      <c r="X1045" s="16">
        <f>('Gearing Calculator'!$U$9*9.81)*('Gearing Calculator'!$U$16/'Gearing Calculator'!$C$7)-(('Track Data'!W1045)*('Gearing Calculator'!$U$17/'Gearing Calculator'!$C$7))</f>
        <v>627.0156332767292</v>
      </c>
      <c r="Y1045" s="16">
        <f>('Gearing Calculator'!$U$9*9.81)*(('Gearing Calculator'!$C$7-'Gearing Calculator'!$U$16)/'Gearing Calculator'!$C$7)+(('Track Data'!W1045)*('Gearing Calculator'!$U$17/'Gearing Calculator'!$C$7))</f>
        <v>1984.4063667232708</v>
      </c>
      <c r="Z1045" s="16">
        <f>((X1045*COS('Gearing Calculator'!$C$21))/'Gearing Calculator'!$C$22)/2</f>
        <v>19.385340299424307</v>
      </c>
      <c r="AA1045" s="16">
        <f>Y1045/'Gearing Calculator'!$C$24</f>
        <v>27.708968670068145</v>
      </c>
      <c r="AB1045" s="16">
        <f t="shared" si="114"/>
        <v>287.7626380426421</v>
      </c>
      <c r="AC1045" s="16">
        <v>0</v>
      </c>
      <c r="AD1045" s="16">
        <v>0</v>
      </c>
      <c r="AE1045" s="16">
        <v>1042</v>
      </c>
      <c r="AF1045" s="16">
        <f>IF(AC1045=0,IF(O1045=6,INDEX(Acceleration!$V$4:$V$110,MATCH('Track Data'!S1045,Acceleration!$K$4:$K$110,0)),IF('Track Data'!O1045=5,INDEX(Acceleration!$U$4:$U$110,MATCH('Track Data'!S1045,Acceleration!$K$4:$K$110,0)),1)),U1045)</f>
        <v>1</v>
      </c>
      <c r="AG1045" s="16">
        <f>IF(AC1045=0,IF(O1045=4,INDEX(Acceleration!$T$4:$T$110,MATCH('Track Data'!S1045,Acceleration!$K$4:$K$110,0)),IF('Track Data'!O1045=3,INDEX(Acceleration!$S$4:$S$110,MATCH('Track Data'!S1045,Acceleration!$K$4:$K$110,0)),'Track Data'!AF1045)),'Track Data'!U1045)</f>
        <v>4.3192676865042872</v>
      </c>
      <c r="AH1045" s="16">
        <f>IF(AC1045=0,IF(O1045=2,INDEX(Acceleration!$R$4:$R$110,MATCH('Track Data'!S1045,Acceleration!$K$4:$K$110,0)),IF('Track Data'!O1045=1,INDEX(Acceleration!$Q$4:$Q$110,MATCH('Track Data'!S1045,Acceleration!$K$4:$K$110,0)),'Track Data'!AG1045)),'Track Data'!U1045)</f>
        <v>4.3192676865042872</v>
      </c>
    </row>
    <row r="1046" spans="2:34" x14ac:dyDescent="0.25">
      <c r="B1046" s="16">
        <v>225.29599999999999</v>
      </c>
      <c r="C1046" s="16">
        <v>8316</v>
      </c>
      <c r="D1046" s="16">
        <v>1043</v>
      </c>
      <c r="E1046" s="113">
        <v>151</v>
      </c>
      <c r="F1046" s="113">
        <v>159.5</v>
      </c>
      <c r="G1046" s="113">
        <v>164.4</v>
      </c>
      <c r="H1046" s="113">
        <f t="shared" si="117"/>
        <v>45.666666666666664</v>
      </c>
      <c r="I1046" s="113">
        <v>0.3</v>
      </c>
      <c r="J1046" s="113">
        <v>71.86</v>
      </c>
      <c r="K1046" s="113">
        <v>10.4</v>
      </c>
      <c r="L1046" s="185"/>
      <c r="M1046" s="16">
        <v>1043</v>
      </c>
      <c r="N1046" s="16">
        <f t="shared" si="119"/>
        <v>1.9747862653463802E-2</v>
      </c>
      <c r="O1046" s="16">
        <v>4</v>
      </c>
      <c r="P1046" s="16">
        <f t="shared" si="115"/>
        <v>9.1833785004516724</v>
      </c>
      <c r="Q1046" s="16">
        <f t="shared" si="120"/>
        <v>50.63839148307013</v>
      </c>
      <c r="R1046" s="113">
        <f t="shared" si="116"/>
        <v>329.49099999999999</v>
      </c>
      <c r="S1046" s="16">
        <f>IF(S1045=15800,15800,ROUND((((Q1046*60)/'Gearing Calculator'!$C$14)*'Track Data'!P1046),-2))</f>
        <v>14100</v>
      </c>
      <c r="T1046" s="16">
        <f t="shared" si="118"/>
        <v>4.3192676865042872</v>
      </c>
      <c r="U1046" s="16">
        <f>IF(AC1046=100,Braking!$AG$2354,IF(AC1046=50,Braking!$AG$1179,IF(AC1046=75,Braking!$AG$1767,0)))</f>
        <v>0</v>
      </c>
      <c r="V1046" s="16">
        <f>0.5*'Gearing Calculator'!$C$15*'Gearing Calculator'!$C$20*'Gearing Calculator'!$W$20*('Track Data'!Q1046^2)</f>
        <v>271.39986988050413</v>
      </c>
      <c r="W1046" s="16">
        <f>('Gearing Calculator'!$U$9*'Track Data'!T1046)+'Track Data'!V1046</f>
        <v>1421.1889280279454</v>
      </c>
      <c r="X1046" s="16">
        <f>('Gearing Calculator'!$U$9*9.81)*('Gearing Calculator'!$U$16/'Gearing Calculator'!$C$7)-(('Track Data'!W1046)*('Gearing Calculator'!$U$17/'Gearing Calculator'!$C$7))</f>
        <v>626.51727592737848</v>
      </c>
      <c r="Y1046" s="16">
        <f>('Gearing Calculator'!$U$9*9.81)*(('Gearing Calculator'!$C$7-'Gearing Calculator'!$U$16)/'Gearing Calculator'!$C$7)+(('Track Data'!W1046)*('Gearing Calculator'!$U$17/'Gearing Calculator'!$C$7))</f>
        <v>1984.9047240726215</v>
      </c>
      <c r="Z1046" s="16">
        <f>((X1046*COS('Gearing Calculator'!$C$21))/'Gearing Calculator'!$C$22)/2</f>
        <v>19.369932666352391</v>
      </c>
      <c r="AA1046" s="16">
        <f>Y1046/'Gearing Calculator'!$C$24</f>
        <v>27.715927410178651</v>
      </c>
      <c r="AB1046" s="16">
        <f t="shared" si="114"/>
        <v>288.67694062652129</v>
      </c>
      <c r="AC1046" s="16">
        <v>0</v>
      </c>
      <c r="AD1046" s="16">
        <v>0</v>
      </c>
      <c r="AE1046" s="16">
        <v>1043</v>
      </c>
      <c r="AF1046" s="16">
        <f>IF(AC1046=0,IF(O1046=6,INDEX(Acceleration!$V$4:$V$110,MATCH('Track Data'!S1046,Acceleration!$K$4:$K$110,0)),IF('Track Data'!O1046=5,INDEX(Acceleration!$U$4:$U$110,MATCH('Track Data'!S1046,Acceleration!$K$4:$K$110,0)),1)),U1046)</f>
        <v>1</v>
      </c>
      <c r="AG1046" s="16">
        <f>IF(AC1046=0,IF(O1046=4,INDEX(Acceleration!$T$4:$T$110,MATCH('Track Data'!S1046,Acceleration!$K$4:$K$110,0)),IF('Track Data'!O1046=3,INDEX(Acceleration!$S$4:$S$110,MATCH('Track Data'!S1046,Acceleration!$K$4:$K$110,0)),'Track Data'!AF1046)),'Track Data'!U1046)</f>
        <v>4.3192676865042872</v>
      </c>
      <c r="AH1046" s="16">
        <f>IF(AC1046=0,IF(O1046=2,INDEX(Acceleration!$R$4:$R$110,MATCH('Track Data'!S1046,Acceleration!$K$4:$K$110,0)),IF('Track Data'!O1046=1,INDEX(Acceleration!$Q$4:$Q$110,MATCH('Track Data'!S1046,Acceleration!$K$4:$K$110,0)),'Track Data'!AG1046)),'Track Data'!U1046)</f>
        <v>4.3192676865042872</v>
      </c>
    </row>
    <row r="1047" spans="2:34" x14ac:dyDescent="0.25">
      <c r="B1047" s="16">
        <v>225.31800000000001</v>
      </c>
      <c r="C1047" s="16">
        <v>8317</v>
      </c>
      <c r="D1047" s="16">
        <v>1044</v>
      </c>
      <c r="E1047" s="113">
        <v>150</v>
      </c>
      <c r="F1047" s="113">
        <v>159</v>
      </c>
      <c r="G1047" s="113">
        <v>164.1</v>
      </c>
      <c r="H1047" s="113">
        <f t="shared" si="117"/>
        <v>45.583333333333329</v>
      </c>
      <c r="I1047" s="113">
        <v>0.8</v>
      </c>
      <c r="J1047" s="113">
        <v>72.41</v>
      </c>
      <c r="K1047" s="113">
        <v>5.7</v>
      </c>
      <c r="L1047" s="185"/>
      <c r="M1047" s="16">
        <v>1044</v>
      </c>
      <c r="N1047" s="16">
        <f t="shared" si="119"/>
        <v>1.9714682774016598E-2</v>
      </c>
      <c r="O1047" s="16">
        <v>4</v>
      </c>
      <c r="P1047" s="16">
        <f t="shared" si="115"/>
        <v>9.1833785004516724</v>
      </c>
      <c r="Q1047" s="16">
        <f t="shared" si="120"/>
        <v>50.723616071467916</v>
      </c>
      <c r="R1047" s="113">
        <f t="shared" si="116"/>
        <v>329.49099999999999</v>
      </c>
      <c r="S1047" s="16">
        <f>IF(S1046=15800,15800,ROUND((((Q1047*60)/'Gearing Calculator'!$C$14)*'Track Data'!P1047),-2))</f>
        <v>14100</v>
      </c>
      <c r="T1047" s="16">
        <f t="shared" si="118"/>
        <v>4.3192676865042872</v>
      </c>
      <c r="U1047" s="16">
        <f>IF(AC1047=100,Braking!$AG$2354,IF(AC1047=50,Braking!$AG$1179,IF(AC1047=75,Braking!$AG$1767,0)))</f>
        <v>0</v>
      </c>
      <c r="V1047" s="16">
        <f>0.5*'Gearing Calculator'!$C$15*'Gearing Calculator'!$C$20*'Gearing Calculator'!$W$20*('Track Data'!Q1047^2)</f>
        <v>272.31417246438332</v>
      </c>
      <c r="W1047" s="16">
        <f>('Gearing Calculator'!$U$9*'Track Data'!T1047)+'Track Data'!V1047</f>
        <v>1422.1032306118245</v>
      </c>
      <c r="X1047" s="16">
        <f>('Gearing Calculator'!$U$9*9.81)*('Gearing Calculator'!$U$16/'Gearing Calculator'!$C$7)-(('Track Data'!W1047)*('Gearing Calculator'!$U$17/'Gearing Calculator'!$C$7))</f>
        <v>626.01891857802764</v>
      </c>
      <c r="Y1047" s="16">
        <f>('Gearing Calculator'!$U$9*9.81)*(('Gearing Calculator'!$C$7-'Gearing Calculator'!$U$16)/'Gearing Calculator'!$C$7)+(('Track Data'!W1047)*('Gearing Calculator'!$U$17/'Gearing Calculator'!$C$7))</f>
        <v>1985.4030814219723</v>
      </c>
      <c r="Z1047" s="16">
        <f>((X1047*COS('Gearing Calculator'!$C$21))/'Gearing Calculator'!$C$22)/2</f>
        <v>19.354525033280474</v>
      </c>
      <c r="AA1047" s="16">
        <f>Y1047/'Gearing Calculator'!$C$24</f>
        <v>27.722886150289153</v>
      </c>
      <c r="AB1047" s="16">
        <f t="shared" si="114"/>
        <v>289.59124321040048</v>
      </c>
      <c r="AC1047" s="16">
        <v>0</v>
      </c>
      <c r="AD1047" s="16">
        <v>0</v>
      </c>
      <c r="AE1047" s="16">
        <v>1044</v>
      </c>
      <c r="AF1047" s="16">
        <f>IF(AC1047=0,IF(O1047=6,INDEX(Acceleration!$V$4:$V$110,MATCH('Track Data'!S1047,Acceleration!$K$4:$K$110,0)),IF('Track Data'!O1047=5,INDEX(Acceleration!$U$4:$U$110,MATCH('Track Data'!S1047,Acceleration!$K$4:$K$110,0)),1)),U1047)</f>
        <v>1</v>
      </c>
      <c r="AG1047" s="16">
        <f>IF(AC1047=0,IF(O1047=4,INDEX(Acceleration!$T$4:$T$110,MATCH('Track Data'!S1047,Acceleration!$K$4:$K$110,0)),IF('Track Data'!O1047=3,INDEX(Acceleration!$S$4:$S$110,MATCH('Track Data'!S1047,Acceleration!$K$4:$K$110,0)),'Track Data'!AF1047)),'Track Data'!U1047)</f>
        <v>4.3192676865042872</v>
      </c>
      <c r="AH1047" s="16">
        <f>IF(AC1047=0,IF(O1047=2,INDEX(Acceleration!$R$4:$R$110,MATCH('Track Data'!S1047,Acceleration!$K$4:$K$110,0)),IF('Track Data'!O1047=1,INDEX(Acceleration!$Q$4:$Q$110,MATCH('Track Data'!S1047,Acceleration!$K$4:$K$110,0)),'Track Data'!AG1047)),'Track Data'!U1047)</f>
        <v>4.3192676865042872</v>
      </c>
    </row>
    <row r="1048" spans="2:34" x14ac:dyDescent="0.25">
      <c r="B1048" s="16">
        <v>225.34100000000001</v>
      </c>
      <c r="C1048" s="16">
        <v>8318</v>
      </c>
      <c r="D1048" s="16">
        <v>1045</v>
      </c>
      <c r="E1048" s="113">
        <v>150</v>
      </c>
      <c r="F1048" s="113">
        <v>158.4</v>
      </c>
      <c r="G1048" s="113">
        <v>163.6</v>
      </c>
      <c r="H1048" s="113">
        <f t="shared" si="117"/>
        <v>45.444444444444443</v>
      </c>
      <c r="I1048" s="113">
        <v>1.3</v>
      </c>
      <c r="J1048" s="113">
        <v>76.2</v>
      </c>
      <c r="K1048" s="113">
        <v>-1.2</v>
      </c>
      <c r="L1048" s="185"/>
      <c r="M1048" s="16">
        <v>1045</v>
      </c>
      <c r="N1048" s="16">
        <f t="shared" si="119"/>
        <v>1.9681669578614586E-2</v>
      </c>
      <c r="O1048" s="16">
        <v>4</v>
      </c>
      <c r="P1048" s="16">
        <f t="shared" si="115"/>
        <v>9.1833785004516724</v>
      </c>
      <c r="Q1048" s="16">
        <f t="shared" si="120"/>
        <v>50.808697707564662</v>
      </c>
      <c r="R1048" s="113">
        <f t="shared" si="116"/>
        <v>329.49099999999999</v>
      </c>
      <c r="S1048" s="16">
        <f>IF(S1047=15800,15800,ROUND((((Q1048*60)/'Gearing Calculator'!$C$14)*'Track Data'!P1048),-2))</f>
        <v>14100</v>
      </c>
      <c r="T1048" s="16">
        <f t="shared" si="118"/>
        <v>4.3192676865042872</v>
      </c>
      <c r="U1048" s="16">
        <f>IF(AC1048=100,Braking!$AG$2354,IF(AC1048=50,Braking!$AG$1179,IF(AC1048=75,Braking!$AG$1767,0)))</f>
        <v>0</v>
      </c>
      <c r="V1048" s="16">
        <f>0.5*'Gearing Calculator'!$C$15*'Gearing Calculator'!$C$20*'Gearing Calculator'!$W$20*('Track Data'!Q1048^2)</f>
        <v>273.22847504826257</v>
      </c>
      <c r="W1048" s="16">
        <f>('Gearing Calculator'!$U$9*'Track Data'!T1048)+'Track Data'!V1048</f>
        <v>1423.0175331957039</v>
      </c>
      <c r="X1048" s="16">
        <f>('Gearing Calculator'!$U$9*9.81)*('Gearing Calculator'!$U$16/'Gearing Calculator'!$C$7)-(('Track Data'!W1048)*('Gearing Calculator'!$U$17/'Gearing Calculator'!$C$7))</f>
        <v>625.52056122867668</v>
      </c>
      <c r="Y1048" s="16">
        <f>('Gearing Calculator'!$U$9*9.81)*(('Gearing Calculator'!$C$7-'Gearing Calculator'!$U$16)/'Gearing Calculator'!$C$7)+(('Track Data'!W1048)*('Gearing Calculator'!$U$17/'Gearing Calculator'!$C$7))</f>
        <v>1985.9014387713232</v>
      </c>
      <c r="Z1048" s="16">
        <f>((X1048*COS('Gearing Calculator'!$C$21))/'Gearing Calculator'!$C$22)/2</f>
        <v>19.339117400208551</v>
      </c>
      <c r="AA1048" s="16">
        <f>Y1048/'Gearing Calculator'!$C$24</f>
        <v>27.729844890399661</v>
      </c>
      <c r="AB1048" s="16">
        <f t="shared" si="114"/>
        <v>290.50554579427973</v>
      </c>
      <c r="AC1048" s="16">
        <v>0</v>
      </c>
      <c r="AD1048" s="16">
        <v>0</v>
      </c>
      <c r="AE1048" s="16">
        <v>1045</v>
      </c>
      <c r="AF1048" s="16">
        <f>IF(AC1048=0,IF(O1048=6,INDEX(Acceleration!$V$4:$V$110,MATCH('Track Data'!S1048,Acceleration!$K$4:$K$110,0)),IF('Track Data'!O1048=5,INDEX(Acceleration!$U$4:$U$110,MATCH('Track Data'!S1048,Acceleration!$K$4:$K$110,0)),1)),U1048)</f>
        <v>1</v>
      </c>
      <c r="AG1048" s="16">
        <f>IF(AC1048=0,IF(O1048=4,INDEX(Acceleration!$T$4:$T$110,MATCH('Track Data'!S1048,Acceleration!$K$4:$K$110,0)),IF('Track Data'!O1048=3,INDEX(Acceleration!$S$4:$S$110,MATCH('Track Data'!S1048,Acceleration!$K$4:$K$110,0)),'Track Data'!AF1048)),'Track Data'!U1048)</f>
        <v>4.3192676865042872</v>
      </c>
      <c r="AH1048" s="16">
        <f>IF(AC1048=0,IF(O1048=2,INDEX(Acceleration!$R$4:$R$110,MATCH('Track Data'!S1048,Acceleration!$K$4:$K$110,0)),IF('Track Data'!O1048=1,INDEX(Acceleration!$Q$4:$Q$110,MATCH('Track Data'!S1048,Acceleration!$K$4:$K$110,0)),'Track Data'!AG1048)),'Track Data'!U1048)</f>
        <v>4.3192676865042872</v>
      </c>
    </row>
    <row r="1049" spans="2:34" x14ac:dyDescent="0.25">
      <c r="B1049" s="16">
        <v>225.363</v>
      </c>
      <c r="C1049" s="16">
        <v>8319</v>
      </c>
      <c r="D1049" s="16">
        <v>1046</v>
      </c>
      <c r="E1049" s="113">
        <v>150</v>
      </c>
      <c r="F1049" s="113">
        <v>157.9</v>
      </c>
      <c r="G1049" s="113">
        <v>163.19999999999999</v>
      </c>
      <c r="H1049" s="113">
        <f t="shared" si="117"/>
        <v>45.333333333333329</v>
      </c>
      <c r="I1049" s="113">
        <v>1.9</v>
      </c>
      <c r="J1049" s="113">
        <v>76.44</v>
      </c>
      <c r="K1049" s="113">
        <v>-5</v>
      </c>
      <c r="L1049" s="185"/>
      <c r="M1049" s="16">
        <v>1046</v>
      </c>
      <c r="N1049" s="16">
        <f t="shared" si="119"/>
        <v>1.9648821676312156E-2</v>
      </c>
      <c r="O1049" s="16">
        <v>4</v>
      </c>
      <c r="P1049" s="16">
        <f t="shared" si="115"/>
        <v>9.1833785004516724</v>
      </c>
      <c r="Q1049" s="16">
        <f t="shared" si="120"/>
        <v>50.893637108303579</v>
      </c>
      <c r="R1049" s="113">
        <f t="shared" si="116"/>
        <v>329.49099999999999</v>
      </c>
      <c r="S1049" s="16">
        <f>IF(S1048=15800,15800,ROUND((((Q1049*60)/'Gearing Calculator'!$C$14)*'Track Data'!P1049),-2))</f>
        <v>14200</v>
      </c>
      <c r="T1049" s="16">
        <f t="shared" si="118"/>
        <v>4.2970319762791629</v>
      </c>
      <c r="U1049" s="16">
        <f>IF(AC1049=100,Braking!$AG$2354,IF(AC1049=50,Braking!$AG$1179,IF(AC1049=75,Braking!$AG$1767,0)))</f>
        <v>0</v>
      </c>
      <c r="V1049" s="16">
        <f>0.5*'Gearing Calculator'!$C$15*'Gearing Calculator'!$C$20*'Gearing Calculator'!$W$20*('Track Data'!Q1049^2)</f>
        <v>274.14277763214182</v>
      </c>
      <c r="W1049" s="16">
        <f>('Gearing Calculator'!$U$9*'Track Data'!T1049)+'Track Data'!V1049</f>
        <v>1418.0126897176549</v>
      </c>
      <c r="X1049" s="16">
        <f>('Gearing Calculator'!$U$9*9.81)*('Gearing Calculator'!$U$16/'Gearing Calculator'!$C$7)-(('Track Data'!W1049)*('Gearing Calculator'!$U$17/'Gearing Calculator'!$C$7))</f>
        <v>628.24854272365826</v>
      </c>
      <c r="Y1049" s="16">
        <f>('Gearing Calculator'!$U$9*9.81)*(('Gearing Calculator'!$C$7-'Gearing Calculator'!$U$16)/'Gearing Calculator'!$C$7)+(('Track Data'!W1049)*('Gearing Calculator'!$U$17/'Gearing Calculator'!$C$7))</f>
        <v>1983.1734572763417</v>
      </c>
      <c r="Z1049" s="16">
        <f>((X1049*COS('Gearing Calculator'!$C$21))/'Gearing Calculator'!$C$22)/2</f>
        <v>19.423457960162995</v>
      </c>
      <c r="AA1049" s="16">
        <f>Y1049/'Gearing Calculator'!$C$24</f>
        <v>27.69175311895378</v>
      </c>
      <c r="AB1049" s="16">
        <f t="shared" si="114"/>
        <v>291.33090553725845</v>
      </c>
      <c r="AC1049" s="16">
        <v>0</v>
      </c>
      <c r="AD1049" s="16">
        <v>0</v>
      </c>
      <c r="AE1049" s="16">
        <v>1046</v>
      </c>
      <c r="AF1049" s="16">
        <f>IF(AC1049=0,IF(O1049=6,INDEX(Acceleration!$V$4:$V$110,MATCH('Track Data'!S1049,Acceleration!$K$4:$K$110,0)),IF('Track Data'!O1049=5,INDEX(Acceleration!$U$4:$U$110,MATCH('Track Data'!S1049,Acceleration!$K$4:$K$110,0)),1)),U1049)</f>
        <v>1</v>
      </c>
      <c r="AG1049" s="16">
        <f>IF(AC1049=0,IF(O1049=4,INDEX(Acceleration!$T$4:$T$110,MATCH('Track Data'!S1049,Acceleration!$K$4:$K$110,0)),IF('Track Data'!O1049=3,INDEX(Acceleration!$S$4:$S$110,MATCH('Track Data'!S1049,Acceleration!$K$4:$K$110,0)),'Track Data'!AF1049)),'Track Data'!U1049)</f>
        <v>4.2970319762791629</v>
      </c>
      <c r="AH1049" s="16">
        <f>IF(AC1049=0,IF(O1049=2,INDEX(Acceleration!$R$4:$R$110,MATCH('Track Data'!S1049,Acceleration!$K$4:$K$110,0)),IF('Track Data'!O1049=1,INDEX(Acceleration!$Q$4:$Q$110,MATCH('Track Data'!S1049,Acceleration!$K$4:$K$110,0)),'Track Data'!AG1049)),'Track Data'!U1049)</f>
        <v>4.2970319762791629</v>
      </c>
    </row>
    <row r="1050" spans="2:34" x14ac:dyDescent="0.25">
      <c r="B1050" s="16">
        <v>225.386</v>
      </c>
      <c r="C1050" s="16">
        <v>8320</v>
      </c>
      <c r="D1050" s="16">
        <v>1047</v>
      </c>
      <c r="E1050" s="113">
        <v>150</v>
      </c>
      <c r="F1050" s="113">
        <v>157.4</v>
      </c>
      <c r="G1050" s="113">
        <v>162.80000000000001</v>
      </c>
      <c r="H1050" s="113">
        <f t="shared" si="117"/>
        <v>45.222222222222221</v>
      </c>
      <c r="I1050" s="113">
        <v>2.1</v>
      </c>
      <c r="J1050" s="113">
        <v>77.22</v>
      </c>
      <c r="K1050" s="113">
        <v>-5</v>
      </c>
      <c r="L1050" s="185"/>
      <c r="M1050" s="16">
        <v>1047</v>
      </c>
      <c r="N1050" s="16">
        <f t="shared" si="119"/>
        <v>1.9616305532982922E-2</v>
      </c>
      <c r="O1050" s="16">
        <v>4</v>
      </c>
      <c r="P1050" s="16">
        <f t="shared" si="115"/>
        <v>9.1833785004516724</v>
      </c>
      <c r="Q1050" s="16">
        <f t="shared" si="120"/>
        <v>50.977998804035586</v>
      </c>
      <c r="R1050" s="113">
        <f t="shared" si="116"/>
        <v>329.49099999999999</v>
      </c>
      <c r="S1050" s="16">
        <f>IF(S1049=15800,15800,ROUND((((Q1050*60)/'Gearing Calculator'!$C$14)*'Track Data'!P1050),-2))</f>
        <v>14200</v>
      </c>
      <c r="T1050" s="16">
        <f t="shared" si="118"/>
        <v>4.2970319762791629</v>
      </c>
      <c r="U1050" s="16">
        <f>IF(AC1050=100,Braking!$AG$2354,IF(AC1050=50,Braking!$AG$1179,IF(AC1050=75,Braking!$AG$1767,0)))</f>
        <v>0</v>
      </c>
      <c r="V1050" s="16">
        <f>0.5*'Gearing Calculator'!$C$15*'Gearing Calculator'!$C$20*'Gearing Calculator'!$W$20*('Track Data'!Q1050^2)</f>
        <v>275.05237336088055</v>
      </c>
      <c r="W1050" s="16">
        <f>('Gearing Calculator'!$U$9*'Track Data'!T1050)+'Track Data'!V1050</f>
        <v>1418.9222854463937</v>
      </c>
      <c r="X1050" s="16">
        <f>('Gearing Calculator'!$U$9*9.81)*('Gearing Calculator'!$U$16/'Gearing Calculator'!$C$7)-(('Track Data'!W1050)*('Gearing Calculator'!$U$17/'Gearing Calculator'!$C$7))</f>
        <v>627.75275093180767</v>
      </c>
      <c r="Y1050" s="16">
        <f>('Gearing Calculator'!$U$9*9.81)*(('Gearing Calculator'!$C$7-'Gearing Calculator'!$U$16)/'Gearing Calculator'!$C$7)+(('Track Data'!W1050)*('Gearing Calculator'!$U$17/'Gearing Calculator'!$C$7))</f>
        <v>1983.6692490681924</v>
      </c>
      <c r="Z1050" s="16">
        <f>((X1050*COS('Gearing Calculator'!$C$21))/'Gearing Calculator'!$C$22)/2</f>
        <v>19.408129646014814</v>
      </c>
      <c r="AA1050" s="16">
        <f>Y1050/'Gearing Calculator'!$C$24</f>
        <v>27.698676035276588</v>
      </c>
      <c r="AB1050" s="16">
        <f t="shared" si="114"/>
        <v>292.24050126599718</v>
      </c>
      <c r="AC1050" s="16">
        <v>0</v>
      </c>
      <c r="AD1050" s="16">
        <v>0</v>
      </c>
      <c r="AE1050" s="16">
        <v>1047</v>
      </c>
      <c r="AF1050" s="16">
        <f>IF(AC1050=0,IF(O1050=6,INDEX(Acceleration!$V$4:$V$110,MATCH('Track Data'!S1050,Acceleration!$K$4:$K$110,0)),IF('Track Data'!O1050=5,INDEX(Acceleration!$U$4:$U$110,MATCH('Track Data'!S1050,Acceleration!$K$4:$K$110,0)),1)),U1050)</f>
        <v>1</v>
      </c>
      <c r="AG1050" s="16">
        <f>IF(AC1050=0,IF(O1050=4,INDEX(Acceleration!$T$4:$T$110,MATCH('Track Data'!S1050,Acceleration!$K$4:$K$110,0)),IF('Track Data'!O1050=3,INDEX(Acceleration!$S$4:$S$110,MATCH('Track Data'!S1050,Acceleration!$K$4:$K$110,0)),'Track Data'!AF1050)),'Track Data'!U1050)</f>
        <v>4.2970319762791629</v>
      </c>
      <c r="AH1050" s="16">
        <f>IF(AC1050=0,IF(O1050=2,INDEX(Acceleration!$R$4:$R$110,MATCH('Track Data'!S1050,Acceleration!$K$4:$K$110,0)),IF('Track Data'!O1050=1,INDEX(Acceleration!$Q$4:$Q$110,MATCH('Track Data'!S1050,Acceleration!$K$4:$K$110,0)),'Track Data'!AG1050)),'Track Data'!U1050)</f>
        <v>4.2970319762791629</v>
      </c>
    </row>
    <row r="1051" spans="2:34" x14ac:dyDescent="0.25">
      <c r="B1051" s="16">
        <v>225.40899999999999</v>
      </c>
      <c r="C1051" s="16">
        <v>8321</v>
      </c>
      <c r="D1051" s="16">
        <v>1048</v>
      </c>
      <c r="E1051" s="113">
        <v>150</v>
      </c>
      <c r="F1051" s="113">
        <v>157</v>
      </c>
      <c r="G1051" s="113">
        <v>162.4</v>
      </c>
      <c r="H1051" s="113">
        <f t="shared" si="117"/>
        <v>45.111111111111114</v>
      </c>
      <c r="I1051" s="113">
        <v>2</v>
      </c>
      <c r="J1051" s="113">
        <v>77.63</v>
      </c>
      <c r="K1051" s="113">
        <v>-5</v>
      </c>
      <c r="L1051" s="185"/>
      <c r="M1051" s="16">
        <v>1048</v>
      </c>
      <c r="N1051" s="16">
        <f t="shared" si="119"/>
        <v>1.9583950286664247E-2</v>
      </c>
      <c r="O1051" s="16">
        <v>4</v>
      </c>
      <c r="P1051" s="16">
        <f t="shared" si="115"/>
        <v>9.1833785004516724</v>
      </c>
      <c r="Q1051" s="16">
        <f t="shared" si="120"/>
        <v>51.062221123026092</v>
      </c>
      <c r="R1051" s="113">
        <f t="shared" si="116"/>
        <v>329.49099999999999</v>
      </c>
      <c r="S1051" s="16">
        <f>IF(S1050=15800,15800,ROUND((((Q1051*60)/'Gearing Calculator'!$C$14)*'Track Data'!P1051),-2))</f>
        <v>14200</v>
      </c>
      <c r="T1051" s="16">
        <f t="shared" si="118"/>
        <v>4.2970319762791629</v>
      </c>
      <c r="U1051" s="16">
        <f>IF(AC1051=100,Braking!$AG$2354,IF(AC1051=50,Braking!$AG$1179,IF(AC1051=75,Braking!$AG$1767,0)))</f>
        <v>0</v>
      </c>
      <c r="V1051" s="16">
        <f>0.5*'Gearing Calculator'!$C$15*'Gearing Calculator'!$C$20*'Gearing Calculator'!$W$20*('Track Data'!Q1051^2)</f>
        <v>275.96196908961934</v>
      </c>
      <c r="W1051" s="16">
        <f>('Gearing Calculator'!$U$9*'Track Data'!T1051)+'Track Data'!V1051</f>
        <v>1419.8318811751324</v>
      </c>
      <c r="X1051" s="16">
        <f>('Gearing Calculator'!$U$9*9.81)*('Gearing Calculator'!$U$16/'Gearing Calculator'!$C$7)-(('Track Data'!W1051)*('Gearing Calculator'!$U$17/'Gearing Calculator'!$C$7))</f>
        <v>627.25695913995719</v>
      </c>
      <c r="Y1051" s="16">
        <f>('Gearing Calculator'!$U$9*9.81)*(('Gearing Calculator'!$C$7-'Gearing Calculator'!$U$16)/'Gearing Calculator'!$C$7)+(('Track Data'!W1051)*('Gearing Calculator'!$U$17/'Gearing Calculator'!$C$7))</f>
        <v>1984.1650408600428</v>
      </c>
      <c r="Z1051" s="16">
        <f>((X1051*COS('Gearing Calculator'!$C$21))/'Gearing Calculator'!$C$22)/2</f>
        <v>19.392801331866639</v>
      </c>
      <c r="AA1051" s="16">
        <f>Y1051/'Gearing Calculator'!$C$24</f>
        <v>27.705598951599391</v>
      </c>
      <c r="AB1051" s="16">
        <f t="shared" si="114"/>
        <v>293.15009699473597</v>
      </c>
      <c r="AC1051" s="16">
        <v>0</v>
      </c>
      <c r="AD1051" s="16">
        <v>0</v>
      </c>
      <c r="AE1051" s="16">
        <v>1048</v>
      </c>
      <c r="AF1051" s="16">
        <f>IF(AC1051=0,IF(O1051=6,INDEX(Acceleration!$V$4:$V$110,MATCH('Track Data'!S1051,Acceleration!$K$4:$K$110,0)),IF('Track Data'!O1051=5,INDEX(Acceleration!$U$4:$U$110,MATCH('Track Data'!S1051,Acceleration!$K$4:$K$110,0)),1)),U1051)</f>
        <v>1</v>
      </c>
      <c r="AG1051" s="16">
        <f>IF(AC1051=0,IF(O1051=4,INDEX(Acceleration!$T$4:$T$110,MATCH('Track Data'!S1051,Acceleration!$K$4:$K$110,0)),IF('Track Data'!O1051=3,INDEX(Acceleration!$S$4:$S$110,MATCH('Track Data'!S1051,Acceleration!$K$4:$K$110,0)),'Track Data'!AF1051)),'Track Data'!U1051)</f>
        <v>4.2970319762791629</v>
      </c>
      <c r="AH1051" s="16">
        <f>IF(AC1051=0,IF(O1051=2,INDEX(Acceleration!$R$4:$R$110,MATCH('Track Data'!S1051,Acceleration!$K$4:$K$110,0)),IF('Track Data'!O1051=1,INDEX(Acceleration!$Q$4:$Q$110,MATCH('Track Data'!S1051,Acceleration!$K$4:$K$110,0)),'Track Data'!AG1051)),'Track Data'!U1051)</f>
        <v>4.2970319762791629</v>
      </c>
    </row>
    <row r="1052" spans="2:34" x14ac:dyDescent="0.25">
      <c r="B1052" s="16">
        <v>225.43199999999999</v>
      </c>
      <c r="C1052" s="16">
        <v>8322</v>
      </c>
      <c r="D1052" s="16">
        <v>1049</v>
      </c>
      <c r="E1052" s="113">
        <v>149</v>
      </c>
      <c r="F1052" s="113">
        <v>156.5</v>
      </c>
      <c r="G1052" s="113">
        <v>161.80000000000001</v>
      </c>
      <c r="H1052" s="113">
        <f t="shared" si="117"/>
        <v>44.94444444444445</v>
      </c>
      <c r="I1052" s="113">
        <v>1.4</v>
      </c>
      <c r="J1052" s="113">
        <v>77.88</v>
      </c>
      <c r="K1052" s="113">
        <v>-5</v>
      </c>
      <c r="L1052" s="185"/>
      <c r="M1052" s="16">
        <v>1049</v>
      </c>
      <c r="N1052" s="16">
        <f t="shared" si="119"/>
        <v>1.955175461479557E-2</v>
      </c>
      <c r="O1052" s="16">
        <v>4</v>
      </c>
      <c r="P1052" s="16">
        <f t="shared" si="115"/>
        <v>9.1833785004516724</v>
      </c>
      <c r="Q1052" s="16">
        <f t="shared" si="120"/>
        <v>51.146304753807684</v>
      </c>
      <c r="R1052" s="113">
        <f t="shared" si="116"/>
        <v>329.49099999999999</v>
      </c>
      <c r="S1052" s="16">
        <f>IF(S1051=15800,15800,ROUND((((Q1052*60)/'Gearing Calculator'!$C$14)*'Track Data'!P1052),-2))</f>
        <v>14200</v>
      </c>
      <c r="T1052" s="16">
        <f t="shared" si="118"/>
        <v>4.2970319762791629</v>
      </c>
      <c r="U1052" s="16">
        <f>IF(AC1052=100,Braking!$AG$2354,IF(AC1052=50,Braking!$AG$1179,IF(AC1052=75,Braking!$AG$1767,0)))</f>
        <v>0</v>
      </c>
      <c r="V1052" s="16">
        <f>0.5*'Gearing Calculator'!$C$15*'Gearing Calculator'!$C$20*'Gearing Calculator'!$W$20*('Track Data'!Q1052^2)</f>
        <v>276.87156481835814</v>
      </c>
      <c r="W1052" s="16">
        <f>('Gearing Calculator'!$U$9*'Track Data'!T1052)+'Track Data'!V1052</f>
        <v>1420.7414769038712</v>
      </c>
      <c r="X1052" s="16">
        <f>('Gearing Calculator'!$U$9*9.81)*('Gearing Calculator'!$U$16/'Gearing Calculator'!$C$7)-(('Track Data'!W1052)*('Gearing Calculator'!$U$17/'Gearing Calculator'!$C$7))</f>
        <v>626.76116734810648</v>
      </c>
      <c r="Y1052" s="16">
        <f>('Gearing Calculator'!$U$9*9.81)*(('Gearing Calculator'!$C$7-'Gearing Calculator'!$U$16)/'Gearing Calculator'!$C$7)+(('Track Data'!W1052)*('Gearing Calculator'!$U$17/'Gearing Calculator'!$C$7))</f>
        <v>1984.6608326518935</v>
      </c>
      <c r="Z1052" s="16">
        <f>((X1052*COS('Gearing Calculator'!$C$21))/'Gearing Calculator'!$C$22)/2</f>
        <v>19.377473017718454</v>
      </c>
      <c r="AA1052" s="16">
        <f>Y1052/'Gearing Calculator'!$C$24</f>
        <v>27.712521867922195</v>
      </c>
      <c r="AB1052" s="16">
        <f t="shared" si="114"/>
        <v>294.05969272347477</v>
      </c>
      <c r="AC1052" s="16">
        <v>0</v>
      </c>
      <c r="AD1052" s="16">
        <v>0</v>
      </c>
      <c r="AE1052" s="16">
        <v>1049</v>
      </c>
      <c r="AF1052" s="16">
        <f>IF(AC1052=0,IF(O1052=6,INDEX(Acceleration!$V$4:$V$110,MATCH('Track Data'!S1052,Acceleration!$K$4:$K$110,0)),IF('Track Data'!O1052=5,INDEX(Acceleration!$U$4:$U$110,MATCH('Track Data'!S1052,Acceleration!$K$4:$K$110,0)),1)),U1052)</f>
        <v>1</v>
      </c>
      <c r="AG1052" s="16">
        <f>IF(AC1052=0,IF(O1052=4,INDEX(Acceleration!$T$4:$T$110,MATCH('Track Data'!S1052,Acceleration!$K$4:$K$110,0)),IF('Track Data'!O1052=3,INDEX(Acceleration!$S$4:$S$110,MATCH('Track Data'!S1052,Acceleration!$K$4:$K$110,0)),'Track Data'!AF1052)),'Track Data'!U1052)</f>
        <v>4.2970319762791629</v>
      </c>
      <c r="AH1052" s="16">
        <f>IF(AC1052=0,IF(O1052=2,INDEX(Acceleration!$R$4:$R$110,MATCH('Track Data'!S1052,Acceleration!$K$4:$K$110,0)),IF('Track Data'!O1052=1,INDEX(Acceleration!$Q$4:$Q$110,MATCH('Track Data'!S1052,Acceleration!$K$4:$K$110,0)),'Track Data'!AG1052)),'Track Data'!U1052)</f>
        <v>4.2970319762791629</v>
      </c>
    </row>
    <row r="1053" spans="2:34" x14ac:dyDescent="0.25">
      <c r="B1053" s="16">
        <v>225.45400000000001</v>
      </c>
      <c r="C1053" s="16">
        <v>8323</v>
      </c>
      <c r="D1053" s="16">
        <v>1050</v>
      </c>
      <c r="E1053" s="113">
        <v>149</v>
      </c>
      <c r="F1053" s="113">
        <v>156.19999999999999</v>
      </c>
      <c r="G1053" s="113">
        <v>161.19999999999999</v>
      </c>
      <c r="H1053" s="113">
        <f t="shared" si="117"/>
        <v>44.777777777777771</v>
      </c>
      <c r="I1053" s="113">
        <v>1.1000000000000001</v>
      </c>
      <c r="J1053" s="113">
        <v>78.08</v>
      </c>
      <c r="K1053" s="113">
        <v>-5.7</v>
      </c>
      <c r="L1053" s="185"/>
      <c r="M1053" s="16">
        <v>1050</v>
      </c>
      <c r="N1053" s="16">
        <f t="shared" si="119"/>
        <v>1.951971720998634E-2</v>
      </c>
      <c r="O1053" s="16">
        <v>4</v>
      </c>
      <c r="P1053" s="16">
        <f t="shared" si="115"/>
        <v>9.1833785004516724</v>
      </c>
      <c r="Q1053" s="16">
        <f t="shared" si="120"/>
        <v>51.230250379262529</v>
      </c>
      <c r="R1053" s="113">
        <f t="shared" si="116"/>
        <v>329.49099999999999</v>
      </c>
      <c r="S1053" s="16">
        <f>IF(S1052=15800,15800,ROUND((((Q1053*60)/'Gearing Calculator'!$C$14)*'Track Data'!P1053),-2))</f>
        <v>14300</v>
      </c>
      <c r="T1053" s="16">
        <f t="shared" si="118"/>
        <v>4.2529081089093834</v>
      </c>
      <c r="U1053" s="16">
        <f>IF(AC1053=100,Braking!$AG$2354,IF(AC1053=50,Braking!$AG$1179,IF(AC1053=75,Braking!$AG$1767,0)))</f>
        <v>0</v>
      </c>
      <c r="V1053" s="16">
        <f>0.5*'Gearing Calculator'!$C$15*'Gearing Calculator'!$C$20*'Gearing Calculator'!$W$20*('Track Data'!Q1053^2)</f>
        <v>277.78116054709687</v>
      </c>
      <c r="W1053" s="16">
        <f>('Gearing Calculator'!$U$9*'Track Data'!T1053)+'Track Data'!V1053</f>
        <v>1409.9052991387748</v>
      </c>
      <c r="X1053" s="16">
        <f>('Gearing Calculator'!$U$9*9.81)*('Gearing Calculator'!$U$16/'Gearing Calculator'!$C$7)-(('Track Data'!W1053)*('Gearing Calculator'!$U$17/'Gearing Calculator'!$C$7))</f>
        <v>632.66762427311664</v>
      </c>
      <c r="Y1053" s="16">
        <f>('Gearing Calculator'!$U$9*9.81)*(('Gearing Calculator'!$C$7-'Gearing Calculator'!$U$16)/'Gearing Calculator'!$C$7)+(('Track Data'!W1053)*('Gearing Calculator'!$U$17/'Gearing Calculator'!$C$7))</f>
        <v>1978.7543757268834</v>
      </c>
      <c r="Z1053" s="16">
        <f>((X1053*COS('Gearing Calculator'!$C$21))/'Gearing Calculator'!$C$22)/2</f>
        <v>19.560081985308074</v>
      </c>
      <c r="AA1053" s="16">
        <f>Y1053/'Gearing Calculator'!$C$24</f>
        <v>27.630047918719715</v>
      </c>
      <c r="AB1053" s="16">
        <f t="shared" si="114"/>
        <v>294.7927929827344</v>
      </c>
      <c r="AC1053" s="16">
        <v>0</v>
      </c>
      <c r="AD1053" s="16">
        <v>0</v>
      </c>
      <c r="AE1053" s="16">
        <v>1050</v>
      </c>
      <c r="AF1053" s="16">
        <f>IF(AC1053=0,IF(O1053=6,INDEX(Acceleration!$V$4:$V$110,MATCH('Track Data'!S1053,Acceleration!$K$4:$K$110,0)),IF('Track Data'!O1053=5,INDEX(Acceleration!$U$4:$U$110,MATCH('Track Data'!S1053,Acceleration!$K$4:$K$110,0)),1)),U1053)</f>
        <v>1</v>
      </c>
      <c r="AG1053" s="16">
        <f>IF(AC1053=0,IF(O1053=4,INDEX(Acceleration!$T$4:$T$110,MATCH('Track Data'!S1053,Acceleration!$K$4:$K$110,0)),IF('Track Data'!O1053=3,INDEX(Acceleration!$S$4:$S$110,MATCH('Track Data'!S1053,Acceleration!$K$4:$K$110,0)),'Track Data'!AF1053)),'Track Data'!U1053)</f>
        <v>4.2529081089093834</v>
      </c>
      <c r="AH1053" s="16">
        <f>IF(AC1053=0,IF(O1053=2,INDEX(Acceleration!$R$4:$R$110,MATCH('Track Data'!S1053,Acceleration!$K$4:$K$110,0)),IF('Track Data'!O1053=1,INDEX(Acceleration!$Q$4:$Q$110,MATCH('Track Data'!S1053,Acceleration!$K$4:$K$110,0)),'Track Data'!AG1053)),'Track Data'!U1053)</f>
        <v>4.2529081089093834</v>
      </c>
    </row>
    <row r="1054" spans="2:34" x14ac:dyDescent="0.25">
      <c r="B1054" s="16">
        <v>225.477</v>
      </c>
      <c r="C1054" s="16">
        <v>8324</v>
      </c>
      <c r="D1054" s="16">
        <v>1051</v>
      </c>
      <c r="E1054" s="113">
        <v>148</v>
      </c>
      <c r="F1054" s="113">
        <v>155.80000000000001</v>
      </c>
      <c r="G1054" s="113">
        <v>160.6</v>
      </c>
      <c r="H1054" s="113">
        <f t="shared" si="117"/>
        <v>44.611111111111107</v>
      </c>
      <c r="I1054" s="113">
        <v>0.8</v>
      </c>
      <c r="J1054" s="113">
        <v>78.67</v>
      </c>
      <c r="K1054" s="113">
        <v>-6.6</v>
      </c>
      <c r="L1054" s="185"/>
      <c r="M1054" s="16">
        <v>1051</v>
      </c>
      <c r="N1054" s="16">
        <f t="shared" si="119"/>
        <v>1.948816334911728E-2</v>
      </c>
      <c r="O1054" s="16">
        <v>4</v>
      </c>
      <c r="P1054" s="16">
        <f t="shared" si="115"/>
        <v>9.1833785004516724</v>
      </c>
      <c r="Q1054" s="16">
        <f t="shared" si="120"/>
        <v>51.313198790757014</v>
      </c>
      <c r="R1054" s="113">
        <f t="shared" si="116"/>
        <v>329.49099999999999</v>
      </c>
      <c r="S1054" s="16">
        <f>IF(S1053=15800,15800,ROUND((((Q1054*60)/'Gearing Calculator'!$C$14)*'Track Data'!P1054),-2))</f>
        <v>14300</v>
      </c>
      <c r="T1054" s="16">
        <f t="shared" si="118"/>
        <v>-12.968079387143963</v>
      </c>
      <c r="U1054" s="16">
        <f>IF(AC1054=100,Braking!$AG$2354,IF(AC1054=50,Braking!$AG$1179,IF(AC1054=75,Braking!$AG$1767,0)))</f>
        <v>-12.968079387143963</v>
      </c>
      <c r="V1054" s="16">
        <f>0.5*'Gearing Calculator'!$C$15*'Gearing Calculator'!$C$20*'Gearing Calculator'!$W$20*('Track Data'!Q1054^2)</f>
        <v>278.68141613559078</v>
      </c>
      <c r="W1054" s="16">
        <f>('Gearing Calculator'!$U$9*'Track Data'!T1054)+'Track Data'!V1054</f>
        <v>-3173.4213167221324</v>
      </c>
      <c r="X1054" s="16">
        <f>('Gearing Calculator'!$U$9*9.81)*('Gearing Calculator'!$U$16/'Gearing Calculator'!$C$7)-(('Track Data'!W1054)*('Gearing Calculator'!$U$17/'Gearing Calculator'!$C$7))</f>
        <v>3130.8936424021058</v>
      </c>
      <c r="Y1054" s="16">
        <f>('Gearing Calculator'!$U$9*9.81)*(('Gearing Calculator'!$C$7-'Gearing Calculator'!$U$16)/'Gearing Calculator'!$C$7)+(('Track Data'!W1054)*('Gearing Calculator'!$U$17/'Gearing Calculator'!$C$7))</f>
        <v>-519.47164240210554</v>
      </c>
      <c r="Z1054" s="16">
        <f>((X1054*COS('Gearing Calculator'!$C$21))/'Gearing Calculator'!$C$22)/2</f>
        <v>96.797329250134112</v>
      </c>
      <c r="AA1054" s="16">
        <f>Y1054/'Gearing Calculator'!$C$24</f>
        <v>-7.2535664598157679</v>
      </c>
      <c r="AB1054" s="16">
        <f t="shared" si="114"/>
        <v>226.80909858701494</v>
      </c>
      <c r="AC1054" s="16">
        <v>75</v>
      </c>
      <c r="AD1054" s="16">
        <v>0</v>
      </c>
      <c r="AE1054" s="16">
        <v>1051</v>
      </c>
      <c r="AF1054" s="16">
        <f>IF(AC1054=0,IF(O1054=6,INDEX(Acceleration!$V$4:$V$110,MATCH('Track Data'!S1054,Acceleration!$K$4:$K$110,0)),IF('Track Data'!O1054=5,INDEX(Acceleration!$U$4:$U$110,MATCH('Track Data'!S1054,Acceleration!$K$4:$K$110,0)),1)),U1054)</f>
        <v>-12.968079387143963</v>
      </c>
      <c r="AG1054" s="16">
        <f>IF(AC1054=0,IF(O1054=4,INDEX(Acceleration!$T$4:$T$110,MATCH('Track Data'!S1054,Acceleration!$K$4:$K$110,0)),IF('Track Data'!O1054=3,INDEX(Acceleration!$S$4:$S$110,MATCH('Track Data'!S1054,Acceleration!$K$4:$K$110,0)),'Track Data'!AF1054)),'Track Data'!U1054)</f>
        <v>-12.968079387143963</v>
      </c>
      <c r="AH1054" s="16">
        <f>IF(AC1054=0,IF(O1054=2,INDEX(Acceleration!$R$4:$R$110,MATCH('Track Data'!S1054,Acceleration!$K$4:$K$110,0)),IF('Track Data'!O1054=1,INDEX(Acceleration!$Q$4:$Q$110,MATCH('Track Data'!S1054,Acceleration!$K$4:$K$110,0)),'Track Data'!AG1054)),'Track Data'!U1054)</f>
        <v>-12.968079387143963</v>
      </c>
    </row>
    <row r="1055" spans="2:34" x14ac:dyDescent="0.25">
      <c r="B1055" s="16">
        <v>225.501</v>
      </c>
      <c r="C1055" s="16">
        <v>8325</v>
      </c>
      <c r="D1055" s="16">
        <v>1052</v>
      </c>
      <c r="E1055" s="113">
        <v>147</v>
      </c>
      <c r="F1055" s="113">
        <v>155.4</v>
      </c>
      <c r="G1055" s="113">
        <v>159.69999999999999</v>
      </c>
      <c r="H1055" s="113">
        <f t="shared" si="117"/>
        <v>44.361111111111107</v>
      </c>
      <c r="I1055" s="113">
        <v>0.7</v>
      </c>
      <c r="J1055" s="113">
        <v>79.510000000000005</v>
      </c>
      <c r="K1055" s="113">
        <v>-8.1</v>
      </c>
      <c r="L1055" s="185"/>
      <c r="M1055" s="16">
        <v>1052</v>
      </c>
      <c r="N1055" s="16">
        <f t="shared" si="119"/>
        <v>1.9584859993729817E-2</v>
      </c>
      <c r="O1055" s="16">
        <v>4</v>
      </c>
      <c r="P1055" s="16">
        <f t="shared" si="115"/>
        <v>9.1833785004516724</v>
      </c>
      <c r="Q1055" s="16">
        <f t="shared" si="120"/>
        <v>51.059849308095878</v>
      </c>
      <c r="R1055" s="113">
        <f t="shared" si="116"/>
        <v>329.49099999999999</v>
      </c>
      <c r="S1055" s="16">
        <f>IF(S1054=15800,15800,ROUND((((Q1055*60)/'Gearing Calculator'!$C$14)*'Track Data'!P1055),-2))</f>
        <v>14200</v>
      </c>
      <c r="T1055" s="16">
        <f t="shared" si="118"/>
        <v>-12.968079387143963</v>
      </c>
      <c r="U1055" s="16">
        <f>IF(AC1055=100,Braking!$AG$2354,IF(AC1055=50,Braking!$AG$1179,IF(AC1055=75,Braking!$AG$1767,0)))</f>
        <v>-12.968079387143963</v>
      </c>
      <c r="V1055" s="16">
        <f>0.5*'Gearing Calculator'!$C$15*'Gearing Calculator'!$C$20*'Gearing Calculator'!$W$20*('Track Data'!Q1055^2)</f>
        <v>275.93633309092019</v>
      </c>
      <c r="W1055" s="16">
        <f>('Gearing Calculator'!$U$9*'Track Data'!T1055)+'Track Data'!V1055</f>
        <v>-3176.1663997668029</v>
      </c>
      <c r="X1055" s="16">
        <f>('Gearing Calculator'!$U$9*9.81)*('Gearing Calculator'!$U$16/'Gearing Calculator'!$C$7)-(('Track Data'!W1055)*('Gearing Calculator'!$U$17/'Gearing Calculator'!$C$7))</f>
        <v>3132.3899001334203</v>
      </c>
      <c r="Y1055" s="16">
        <f>('Gearing Calculator'!$U$9*9.81)*(('Gearing Calculator'!$C$7-'Gearing Calculator'!$U$16)/'Gearing Calculator'!$C$7)+(('Track Data'!W1055)*('Gearing Calculator'!$U$17/'Gearing Calculator'!$C$7))</f>
        <v>-520.96790013342002</v>
      </c>
      <c r="Z1055" s="16">
        <f>((X1055*COS('Gearing Calculator'!$C$21))/'Gearing Calculator'!$C$22)/2</f>
        <v>96.843588806926334</v>
      </c>
      <c r="AA1055" s="16">
        <f>Y1055/'Gearing Calculator'!$C$24</f>
        <v>-7.2744592362624587</v>
      </c>
      <c r="AB1055" s="16">
        <f t="shared" si="114"/>
        <v>224.06401554234435</v>
      </c>
      <c r="AC1055" s="16">
        <v>75</v>
      </c>
      <c r="AD1055" s="16">
        <v>0</v>
      </c>
      <c r="AE1055" s="16">
        <v>1052</v>
      </c>
      <c r="AF1055" s="16">
        <f>IF(AC1055=0,IF(O1055=6,INDEX(Acceleration!$V$4:$V$110,MATCH('Track Data'!S1055,Acceleration!$K$4:$K$110,0)),IF('Track Data'!O1055=5,INDEX(Acceleration!$U$4:$U$110,MATCH('Track Data'!S1055,Acceleration!$K$4:$K$110,0)),1)),U1055)</f>
        <v>-12.968079387143963</v>
      </c>
      <c r="AG1055" s="16">
        <f>IF(AC1055=0,IF(O1055=4,INDEX(Acceleration!$T$4:$T$110,MATCH('Track Data'!S1055,Acceleration!$K$4:$K$110,0)),IF('Track Data'!O1055=3,INDEX(Acceleration!$S$4:$S$110,MATCH('Track Data'!S1055,Acceleration!$K$4:$K$110,0)),'Track Data'!AF1055)),'Track Data'!U1055)</f>
        <v>-12.968079387143963</v>
      </c>
      <c r="AH1055" s="16">
        <f>IF(AC1055=0,IF(O1055=2,INDEX(Acceleration!$R$4:$R$110,MATCH('Track Data'!S1055,Acceleration!$K$4:$K$110,0)),IF('Track Data'!O1055=1,INDEX(Acceleration!$Q$4:$Q$110,MATCH('Track Data'!S1055,Acceleration!$K$4:$K$110,0)),'Track Data'!AG1055)),'Track Data'!U1055)</f>
        <v>-12.968079387143963</v>
      </c>
    </row>
    <row r="1056" spans="2:34" x14ac:dyDescent="0.25">
      <c r="B1056" s="16">
        <v>225.524</v>
      </c>
      <c r="C1056" s="16">
        <v>8326</v>
      </c>
      <c r="D1056" s="16">
        <v>1053</v>
      </c>
      <c r="E1056" s="113">
        <v>147</v>
      </c>
      <c r="F1056" s="113">
        <v>155.1</v>
      </c>
      <c r="G1056" s="113">
        <v>159.1</v>
      </c>
      <c r="H1056" s="113">
        <f t="shared" si="117"/>
        <v>44.194444444444443</v>
      </c>
      <c r="I1056" s="113">
        <v>1.1000000000000001</v>
      </c>
      <c r="J1056" s="113">
        <v>80.06</v>
      </c>
      <c r="K1056" s="113">
        <v>-8.5</v>
      </c>
      <c r="L1056" s="185"/>
      <c r="M1056" s="16">
        <v>1053</v>
      </c>
      <c r="N1056" s="16">
        <f t="shared" si="119"/>
        <v>1.9683010443729328E-2</v>
      </c>
      <c r="O1056" s="16">
        <v>4</v>
      </c>
      <c r="P1056" s="16">
        <f t="shared" si="115"/>
        <v>9.1833785004516724</v>
      </c>
      <c r="Q1056" s="16">
        <f t="shared" si="120"/>
        <v>50.805236468214289</v>
      </c>
      <c r="R1056" s="113">
        <f t="shared" si="116"/>
        <v>329.49099999999999</v>
      </c>
      <c r="S1056" s="16">
        <f>IF(S1055=15800,15800,ROUND((((Q1056*60)/'Gearing Calculator'!$C$14)*'Track Data'!P1056),-2))</f>
        <v>14100</v>
      </c>
      <c r="T1056" s="16">
        <f t="shared" si="118"/>
        <v>-12.968079387143963</v>
      </c>
      <c r="U1056" s="16">
        <f>IF(AC1056=100,Braking!$AG$2354,IF(AC1056=50,Braking!$AG$1179,IF(AC1056=75,Braking!$AG$1767,0)))</f>
        <v>-12.968079387143963</v>
      </c>
      <c r="V1056" s="16">
        <f>0.5*'Gearing Calculator'!$C$15*'Gearing Calculator'!$C$20*'Gearing Calculator'!$W$20*('Track Data'!Q1056^2)</f>
        <v>273.19125004624954</v>
      </c>
      <c r="W1056" s="16">
        <f>('Gearing Calculator'!$U$9*'Track Data'!T1056)+'Track Data'!V1056</f>
        <v>-3178.9114828114734</v>
      </c>
      <c r="X1056" s="16">
        <f>('Gearing Calculator'!$U$9*9.81)*('Gearing Calculator'!$U$16/'Gearing Calculator'!$C$7)-(('Track Data'!W1056)*('Gearing Calculator'!$U$17/'Gearing Calculator'!$C$7))</f>
        <v>3133.8861578647343</v>
      </c>
      <c r="Y1056" s="16">
        <f>('Gearing Calculator'!$U$9*9.81)*(('Gearing Calculator'!$C$7-'Gearing Calculator'!$U$16)/'Gearing Calculator'!$C$7)+(('Track Data'!W1056)*('Gearing Calculator'!$U$17/'Gearing Calculator'!$C$7))</f>
        <v>-522.46415786473426</v>
      </c>
      <c r="Z1056" s="16">
        <f>((X1056*COS('Gearing Calculator'!$C$21))/'Gearing Calculator'!$C$22)/2</f>
        <v>96.889848363718542</v>
      </c>
      <c r="AA1056" s="16">
        <f>Y1056/'Gearing Calculator'!$C$24</f>
        <v>-7.2953520127091469</v>
      </c>
      <c r="AB1056" s="16">
        <f t="shared" si="114"/>
        <v>221.3189324976737</v>
      </c>
      <c r="AC1056" s="16">
        <v>75</v>
      </c>
      <c r="AD1056" s="16">
        <v>0</v>
      </c>
      <c r="AE1056" s="16">
        <v>1053</v>
      </c>
      <c r="AF1056" s="16">
        <f>IF(AC1056=0,IF(O1056=6,INDEX(Acceleration!$V$4:$V$110,MATCH('Track Data'!S1056,Acceleration!$K$4:$K$110,0)),IF('Track Data'!O1056=5,INDEX(Acceleration!$U$4:$U$110,MATCH('Track Data'!S1056,Acceleration!$K$4:$K$110,0)),1)),U1056)</f>
        <v>-12.968079387143963</v>
      </c>
      <c r="AG1056" s="16">
        <f>IF(AC1056=0,IF(O1056=4,INDEX(Acceleration!$T$4:$T$110,MATCH('Track Data'!S1056,Acceleration!$K$4:$K$110,0)),IF('Track Data'!O1056=3,INDEX(Acceleration!$S$4:$S$110,MATCH('Track Data'!S1056,Acceleration!$K$4:$K$110,0)),'Track Data'!AF1056)),'Track Data'!U1056)</f>
        <v>-12.968079387143963</v>
      </c>
      <c r="AH1056" s="16">
        <f>IF(AC1056=0,IF(O1056=2,INDEX(Acceleration!$R$4:$R$110,MATCH('Track Data'!S1056,Acceleration!$K$4:$K$110,0)),IF('Track Data'!O1056=1,INDEX(Acceleration!$Q$4:$Q$110,MATCH('Track Data'!S1056,Acceleration!$K$4:$K$110,0)),'Track Data'!AG1056)),'Track Data'!U1056)</f>
        <v>-12.968079387143963</v>
      </c>
    </row>
    <row r="1057" spans="2:34" x14ac:dyDescent="0.25">
      <c r="B1057" s="16">
        <v>225.547</v>
      </c>
      <c r="C1057" s="16">
        <v>8327</v>
      </c>
      <c r="D1057" s="16">
        <v>1054</v>
      </c>
      <c r="E1057" s="113">
        <v>147</v>
      </c>
      <c r="F1057" s="113">
        <v>154.80000000000001</v>
      </c>
      <c r="G1057" s="113">
        <v>158.4</v>
      </c>
      <c r="H1057" s="113">
        <f t="shared" si="117"/>
        <v>44</v>
      </c>
      <c r="I1057" s="113">
        <v>1</v>
      </c>
      <c r="J1057" s="113">
        <v>80.38</v>
      </c>
      <c r="K1057" s="113">
        <v>-6.5</v>
      </c>
      <c r="L1057" s="185"/>
      <c r="M1057" s="16">
        <v>1054</v>
      </c>
      <c r="N1057" s="16">
        <f t="shared" si="119"/>
        <v>1.9782651497326578E-2</v>
      </c>
      <c r="O1057" s="16">
        <v>4</v>
      </c>
      <c r="P1057" s="16">
        <f t="shared" si="115"/>
        <v>9.1833785004516724</v>
      </c>
      <c r="Q1057" s="16">
        <f t="shared" si="120"/>
        <v>50.549341180839171</v>
      </c>
      <c r="R1057" s="113">
        <f t="shared" si="116"/>
        <v>329.49099999999999</v>
      </c>
      <c r="S1057" s="16">
        <f>IF(S1056=15800,15800,ROUND((((Q1057*60)/'Gearing Calculator'!$C$14)*'Track Data'!P1057),-2))</f>
        <v>14100</v>
      </c>
      <c r="T1057" s="16">
        <f t="shared" si="118"/>
        <v>-12.968079387143963</v>
      </c>
      <c r="U1057" s="16">
        <f>IF(AC1057=100,Braking!$AG$2354,IF(AC1057=50,Braking!$AG$1179,IF(AC1057=75,Braking!$AG$1767,0)))</f>
        <v>-12.968079387143963</v>
      </c>
      <c r="V1057" s="16">
        <f>0.5*'Gearing Calculator'!$C$15*'Gearing Calculator'!$C$20*'Gearing Calculator'!$W$20*('Track Data'!Q1057^2)</f>
        <v>270.44616700157883</v>
      </c>
      <c r="W1057" s="16">
        <f>('Gearing Calculator'!$U$9*'Track Data'!T1057)+'Track Data'!V1057</f>
        <v>-3181.656565856144</v>
      </c>
      <c r="X1057" s="16">
        <f>('Gearing Calculator'!$U$9*9.81)*('Gearing Calculator'!$U$16/'Gearing Calculator'!$C$7)-(('Track Data'!W1057)*('Gearing Calculator'!$U$17/'Gearing Calculator'!$C$7))</f>
        <v>3135.3824155960488</v>
      </c>
      <c r="Y1057" s="16">
        <f>('Gearing Calculator'!$U$9*9.81)*(('Gearing Calculator'!$C$7-'Gearing Calculator'!$U$16)/'Gearing Calculator'!$C$7)+(('Track Data'!W1057)*('Gearing Calculator'!$U$17/'Gearing Calculator'!$C$7))</f>
        <v>-523.96041559604873</v>
      </c>
      <c r="Z1057" s="16">
        <f>((X1057*COS('Gearing Calculator'!$C$21))/'Gearing Calculator'!$C$22)/2</f>
        <v>96.936107920510764</v>
      </c>
      <c r="AA1057" s="16">
        <f>Y1057/'Gearing Calculator'!$C$24</f>
        <v>-7.3162447891558378</v>
      </c>
      <c r="AB1057" s="16">
        <f t="shared" si="114"/>
        <v>218.57384945300299</v>
      </c>
      <c r="AC1057" s="16">
        <v>75</v>
      </c>
      <c r="AD1057" s="16">
        <v>0</v>
      </c>
      <c r="AE1057" s="16">
        <v>1054</v>
      </c>
      <c r="AF1057" s="16">
        <f>IF(AC1057=0,IF(O1057=6,INDEX(Acceleration!$V$4:$V$110,MATCH('Track Data'!S1057,Acceleration!$K$4:$K$110,0)),IF('Track Data'!O1057=5,INDEX(Acceleration!$U$4:$U$110,MATCH('Track Data'!S1057,Acceleration!$K$4:$K$110,0)),1)),U1057)</f>
        <v>-12.968079387143963</v>
      </c>
      <c r="AG1057" s="16">
        <f>IF(AC1057=0,IF(O1057=4,INDEX(Acceleration!$T$4:$T$110,MATCH('Track Data'!S1057,Acceleration!$K$4:$K$110,0)),IF('Track Data'!O1057=3,INDEX(Acceleration!$S$4:$S$110,MATCH('Track Data'!S1057,Acceleration!$K$4:$K$110,0)),'Track Data'!AF1057)),'Track Data'!U1057)</f>
        <v>-12.968079387143963</v>
      </c>
      <c r="AH1057" s="16">
        <f>IF(AC1057=0,IF(O1057=2,INDEX(Acceleration!$R$4:$R$110,MATCH('Track Data'!S1057,Acceleration!$K$4:$K$110,0)),IF('Track Data'!O1057=1,INDEX(Acceleration!$Q$4:$Q$110,MATCH('Track Data'!S1057,Acceleration!$K$4:$K$110,0)),'Track Data'!AG1057)),'Track Data'!U1057)</f>
        <v>-12.968079387143963</v>
      </c>
    </row>
    <row r="1058" spans="2:34" x14ac:dyDescent="0.25">
      <c r="B1058" s="16">
        <v>225.57</v>
      </c>
      <c r="C1058" s="16">
        <v>8328</v>
      </c>
      <c r="D1058" s="16">
        <v>1055</v>
      </c>
      <c r="E1058" s="113">
        <v>147</v>
      </c>
      <c r="F1058" s="113">
        <v>154.4</v>
      </c>
      <c r="G1058" s="113">
        <v>157.30000000000001</v>
      </c>
      <c r="H1058" s="113">
        <f t="shared" si="117"/>
        <v>43.69444444444445</v>
      </c>
      <c r="I1058" s="113">
        <v>1.5</v>
      </c>
      <c r="J1058" s="113">
        <v>80.87</v>
      </c>
      <c r="K1058" s="113">
        <v>-3.7</v>
      </c>
      <c r="L1058" s="185"/>
      <c r="M1058" s="16">
        <v>1055</v>
      </c>
      <c r="N1058" s="16">
        <f t="shared" si="119"/>
        <v>1.9883821270068297E-2</v>
      </c>
      <c r="O1058" s="16">
        <v>4</v>
      </c>
      <c r="P1058" s="16">
        <f t="shared" si="115"/>
        <v>9.1833785004516724</v>
      </c>
      <c r="Q1058" s="16">
        <f t="shared" si="120"/>
        <v>50.292143870018059</v>
      </c>
      <c r="R1058" s="113">
        <f t="shared" si="116"/>
        <v>329.49099999999999</v>
      </c>
      <c r="S1058" s="16">
        <f>IF(S1057=15800,15800,ROUND((((Q1058*60)/'Gearing Calculator'!$C$14)*'Track Data'!P1058),-2))</f>
        <v>14000</v>
      </c>
      <c r="T1058" s="16">
        <f t="shared" si="118"/>
        <v>-12.968079387143963</v>
      </c>
      <c r="U1058" s="16">
        <f>IF(AC1058=100,Braking!$AG$2354,IF(AC1058=50,Braking!$AG$1179,IF(AC1058=75,Braking!$AG$1767,0)))</f>
        <v>-12.968079387143963</v>
      </c>
      <c r="V1058" s="16">
        <f>0.5*'Gearing Calculator'!$C$15*'Gearing Calculator'!$C$20*'Gearing Calculator'!$W$20*('Track Data'!Q1058^2)</f>
        <v>267.70108395690823</v>
      </c>
      <c r="W1058" s="16">
        <f>('Gearing Calculator'!$U$9*'Track Data'!T1058)+'Track Data'!V1058</f>
        <v>-3184.4016489008145</v>
      </c>
      <c r="X1058" s="16">
        <f>('Gearing Calculator'!$U$9*9.81)*('Gearing Calculator'!$U$16/'Gearing Calculator'!$C$7)-(('Track Data'!W1058)*('Gearing Calculator'!$U$17/'Gearing Calculator'!$C$7))</f>
        <v>3136.8786733273628</v>
      </c>
      <c r="Y1058" s="16">
        <f>('Gearing Calculator'!$U$9*9.81)*(('Gearing Calculator'!$C$7-'Gearing Calculator'!$U$16)/'Gearing Calculator'!$C$7)+(('Track Data'!W1058)*('Gearing Calculator'!$U$17/'Gearing Calculator'!$C$7))</f>
        <v>-525.45667332736298</v>
      </c>
      <c r="Z1058" s="16">
        <f>((X1058*COS('Gearing Calculator'!$C$21))/'Gearing Calculator'!$C$22)/2</f>
        <v>96.982367477302972</v>
      </c>
      <c r="AA1058" s="16">
        <f>Y1058/'Gearing Calculator'!$C$24</f>
        <v>-7.3371375656025259</v>
      </c>
      <c r="AB1058" s="16">
        <f t="shared" si="114"/>
        <v>215.8287664083324</v>
      </c>
      <c r="AC1058" s="16">
        <v>75</v>
      </c>
      <c r="AD1058" s="16">
        <v>0</v>
      </c>
      <c r="AE1058" s="16">
        <v>1055</v>
      </c>
      <c r="AF1058" s="16">
        <f>IF(AC1058=0,IF(O1058=6,INDEX(Acceleration!$V$4:$V$110,MATCH('Track Data'!S1058,Acceleration!$K$4:$K$110,0)),IF('Track Data'!O1058=5,INDEX(Acceleration!$U$4:$U$110,MATCH('Track Data'!S1058,Acceleration!$K$4:$K$110,0)),1)),U1058)</f>
        <v>-12.968079387143963</v>
      </c>
      <c r="AG1058" s="16">
        <f>IF(AC1058=0,IF(O1058=4,INDEX(Acceleration!$T$4:$T$110,MATCH('Track Data'!S1058,Acceleration!$K$4:$K$110,0)),IF('Track Data'!O1058=3,INDEX(Acceleration!$S$4:$S$110,MATCH('Track Data'!S1058,Acceleration!$K$4:$K$110,0)),'Track Data'!AF1058)),'Track Data'!U1058)</f>
        <v>-12.968079387143963</v>
      </c>
      <c r="AH1058" s="16">
        <f>IF(AC1058=0,IF(O1058=2,INDEX(Acceleration!$R$4:$R$110,MATCH('Track Data'!S1058,Acceleration!$K$4:$K$110,0)),IF('Track Data'!O1058=1,INDEX(Acceleration!$Q$4:$Q$110,MATCH('Track Data'!S1058,Acceleration!$K$4:$K$110,0)),'Track Data'!AG1058)),'Track Data'!U1058)</f>
        <v>-12.968079387143963</v>
      </c>
    </row>
    <row r="1059" spans="2:34" x14ac:dyDescent="0.25">
      <c r="B1059" s="16">
        <v>225.59299999999999</v>
      </c>
      <c r="C1059" s="16">
        <v>8329</v>
      </c>
      <c r="D1059" s="16">
        <v>1056</v>
      </c>
      <c r="E1059" s="113">
        <v>147</v>
      </c>
      <c r="F1059" s="113">
        <v>153.9</v>
      </c>
      <c r="G1059" s="113">
        <v>156.6</v>
      </c>
      <c r="H1059" s="113">
        <f t="shared" si="117"/>
        <v>43.5</v>
      </c>
      <c r="I1059" s="113">
        <v>1.5</v>
      </c>
      <c r="J1059" s="113">
        <v>82.11</v>
      </c>
      <c r="K1059" s="113">
        <v>-1.8</v>
      </c>
      <c r="L1059" s="185"/>
      <c r="M1059" s="16">
        <v>1056</v>
      </c>
      <c r="N1059" s="16">
        <f t="shared" si="119"/>
        <v>1.9986559256097321E-2</v>
      </c>
      <c r="O1059" s="16">
        <v>4</v>
      </c>
      <c r="P1059" s="16">
        <f t="shared" si="115"/>
        <v>9.1833785004516724</v>
      </c>
      <c r="Q1059" s="16">
        <f t="shared" si="120"/>
        <v>50.033624456642222</v>
      </c>
      <c r="R1059" s="113">
        <f t="shared" si="116"/>
        <v>329.49099999999999</v>
      </c>
      <c r="S1059" s="16">
        <f>IF(S1058=15800,15800,ROUND((((Q1059*60)/'Gearing Calculator'!$C$14)*'Track Data'!P1059),-2))</f>
        <v>13900</v>
      </c>
      <c r="T1059" s="16">
        <f t="shared" si="118"/>
        <v>-12.968079387143963</v>
      </c>
      <c r="U1059" s="16">
        <f>IF(AC1059=100,Braking!$AG$2354,IF(AC1059=50,Braking!$AG$1179,IF(AC1059=75,Braking!$AG$1767,0)))</f>
        <v>-12.968079387143963</v>
      </c>
      <c r="V1059" s="16">
        <f>0.5*'Gearing Calculator'!$C$15*'Gearing Calculator'!$C$20*'Gearing Calculator'!$W$20*('Track Data'!Q1059^2)</f>
        <v>264.95600091223753</v>
      </c>
      <c r="W1059" s="16">
        <f>('Gearing Calculator'!$U$9*'Track Data'!T1059)+'Track Data'!V1059</f>
        <v>-3187.1467319454855</v>
      </c>
      <c r="X1059" s="16">
        <f>('Gearing Calculator'!$U$9*9.81)*('Gearing Calculator'!$U$16/'Gearing Calculator'!$C$7)-(('Track Data'!W1059)*('Gearing Calculator'!$U$17/'Gearing Calculator'!$C$7))</f>
        <v>3138.3749310586777</v>
      </c>
      <c r="Y1059" s="16">
        <f>('Gearing Calculator'!$U$9*9.81)*(('Gearing Calculator'!$C$7-'Gearing Calculator'!$U$16)/'Gearing Calculator'!$C$7)+(('Track Data'!W1059)*('Gearing Calculator'!$U$17/'Gearing Calculator'!$C$7))</f>
        <v>-526.95293105867768</v>
      </c>
      <c r="Z1059" s="16">
        <f>((X1059*COS('Gearing Calculator'!$C$21))/'Gearing Calculator'!$C$22)/2</f>
        <v>97.028627034095209</v>
      </c>
      <c r="AA1059" s="16">
        <f>Y1059/'Gearing Calculator'!$C$24</f>
        <v>-7.3580303420492204</v>
      </c>
      <c r="AB1059" s="16">
        <f t="shared" si="114"/>
        <v>213.08368336366169</v>
      </c>
      <c r="AC1059" s="16">
        <v>75</v>
      </c>
      <c r="AD1059" s="16">
        <v>0</v>
      </c>
      <c r="AE1059" s="16">
        <v>1056</v>
      </c>
      <c r="AF1059" s="16">
        <f>IF(AC1059=0,IF(O1059=6,INDEX(Acceleration!$V$4:$V$110,MATCH('Track Data'!S1059,Acceleration!$K$4:$K$110,0)),IF('Track Data'!O1059=5,INDEX(Acceleration!$U$4:$U$110,MATCH('Track Data'!S1059,Acceleration!$K$4:$K$110,0)),1)),U1059)</f>
        <v>-12.968079387143963</v>
      </c>
      <c r="AG1059" s="16">
        <f>IF(AC1059=0,IF(O1059=4,INDEX(Acceleration!$T$4:$T$110,MATCH('Track Data'!S1059,Acceleration!$K$4:$K$110,0)),IF('Track Data'!O1059=3,INDEX(Acceleration!$S$4:$S$110,MATCH('Track Data'!S1059,Acceleration!$K$4:$K$110,0)),'Track Data'!AF1059)),'Track Data'!U1059)</f>
        <v>-12.968079387143963</v>
      </c>
      <c r="AH1059" s="16">
        <f>IF(AC1059=0,IF(O1059=2,INDEX(Acceleration!$R$4:$R$110,MATCH('Track Data'!S1059,Acceleration!$K$4:$K$110,0)),IF('Track Data'!O1059=1,INDEX(Acceleration!$Q$4:$Q$110,MATCH('Track Data'!S1059,Acceleration!$K$4:$K$110,0)),'Track Data'!AG1059)),'Track Data'!U1059)</f>
        <v>-12.968079387143963</v>
      </c>
    </row>
    <row r="1060" spans="2:34" x14ac:dyDescent="0.25">
      <c r="B1060" s="16">
        <v>225.61600000000001</v>
      </c>
      <c r="C1060" s="16">
        <v>8330</v>
      </c>
      <c r="D1060" s="16">
        <v>1057</v>
      </c>
      <c r="E1060" s="113">
        <v>147</v>
      </c>
      <c r="F1060" s="113">
        <v>153.69999999999999</v>
      </c>
      <c r="G1060" s="113">
        <v>155.9</v>
      </c>
      <c r="H1060" s="113">
        <f t="shared" si="117"/>
        <v>43.305555555555557</v>
      </c>
      <c r="I1060" s="113">
        <v>2.6</v>
      </c>
      <c r="J1060" s="113">
        <v>82.44</v>
      </c>
      <c r="K1060" s="113">
        <v>-3.7</v>
      </c>
      <c r="L1060" s="185"/>
      <c r="M1060" s="16">
        <v>1057</v>
      </c>
      <c r="N1060" s="16">
        <f t="shared" si="119"/>
        <v>2.0090906392930895E-2</v>
      </c>
      <c r="O1060" s="16">
        <v>4</v>
      </c>
      <c r="P1060" s="16">
        <f t="shared" si="115"/>
        <v>9.1833785004516724</v>
      </c>
      <c r="Q1060" s="16">
        <f t="shared" si="120"/>
        <v>49.773762340152857</v>
      </c>
      <c r="R1060" s="113">
        <f t="shared" si="116"/>
        <v>329.49099999999999</v>
      </c>
      <c r="S1060" s="16">
        <f>IF(S1059=15800,15800,ROUND((((Q1060*60)/'Gearing Calculator'!$C$14)*'Track Data'!P1060),-2))</f>
        <v>13900</v>
      </c>
      <c r="T1060" s="16">
        <f t="shared" si="118"/>
        <v>-12.968079387143963</v>
      </c>
      <c r="U1060" s="16">
        <f>IF(AC1060=100,Braking!$AG$2354,IF(AC1060=50,Braking!$AG$1179,IF(AC1060=75,Braking!$AG$1767,0)))</f>
        <v>-12.968079387143963</v>
      </c>
      <c r="V1060" s="16">
        <f>0.5*'Gearing Calculator'!$C$15*'Gearing Calculator'!$C$20*'Gearing Calculator'!$W$20*('Track Data'!Q1060^2)</f>
        <v>262.21091786756693</v>
      </c>
      <c r="W1060" s="16">
        <f>('Gearing Calculator'!$U$9*'Track Data'!T1060)+'Track Data'!V1060</f>
        <v>-3189.891814990156</v>
      </c>
      <c r="X1060" s="16">
        <f>('Gearing Calculator'!$U$9*9.81)*('Gearing Calculator'!$U$16/'Gearing Calculator'!$C$7)-(('Track Data'!W1060)*('Gearing Calculator'!$U$17/'Gearing Calculator'!$C$7))</f>
        <v>3139.8711887899917</v>
      </c>
      <c r="Y1060" s="16">
        <f>('Gearing Calculator'!$U$9*9.81)*(('Gearing Calculator'!$C$7-'Gearing Calculator'!$U$16)/'Gearing Calculator'!$C$7)+(('Track Data'!W1060)*('Gearing Calculator'!$U$17/'Gearing Calculator'!$C$7))</f>
        <v>-528.44918878999192</v>
      </c>
      <c r="Z1060" s="16">
        <f>((X1060*COS('Gearing Calculator'!$C$21))/'Gearing Calculator'!$C$22)/2</f>
        <v>97.074886590887417</v>
      </c>
      <c r="AA1060" s="16">
        <f>Y1060/'Gearing Calculator'!$C$24</f>
        <v>-7.3789231184959085</v>
      </c>
      <c r="AB1060" s="16">
        <f t="shared" si="114"/>
        <v>210.3386003189911</v>
      </c>
      <c r="AC1060" s="16">
        <v>75</v>
      </c>
      <c r="AD1060" s="16">
        <v>0</v>
      </c>
      <c r="AE1060" s="16">
        <v>1057</v>
      </c>
      <c r="AF1060" s="16">
        <f>IF(AC1060=0,IF(O1060=6,INDEX(Acceleration!$V$4:$V$110,MATCH('Track Data'!S1060,Acceleration!$K$4:$K$110,0)),IF('Track Data'!O1060=5,INDEX(Acceleration!$U$4:$U$110,MATCH('Track Data'!S1060,Acceleration!$K$4:$K$110,0)),1)),U1060)</f>
        <v>-12.968079387143963</v>
      </c>
      <c r="AG1060" s="16">
        <f>IF(AC1060=0,IF(O1060=4,INDEX(Acceleration!$T$4:$T$110,MATCH('Track Data'!S1060,Acceleration!$K$4:$K$110,0)),IF('Track Data'!O1060=3,INDEX(Acceleration!$S$4:$S$110,MATCH('Track Data'!S1060,Acceleration!$K$4:$K$110,0)),'Track Data'!AF1060)),'Track Data'!U1060)</f>
        <v>-12.968079387143963</v>
      </c>
      <c r="AH1060" s="16">
        <f>IF(AC1060=0,IF(O1060=2,INDEX(Acceleration!$R$4:$R$110,MATCH('Track Data'!S1060,Acceleration!$K$4:$K$110,0)),IF('Track Data'!O1060=1,INDEX(Acceleration!$Q$4:$Q$110,MATCH('Track Data'!S1060,Acceleration!$K$4:$K$110,0)),'Track Data'!AG1060)),'Track Data'!U1060)</f>
        <v>-12.968079387143963</v>
      </c>
    </row>
    <row r="1061" spans="2:34" x14ac:dyDescent="0.25">
      <c r="B1061" s="16">
        <v>225.64</v>
      </c>
      <c r="C1061" s="16">
        <v>8331</v>
      </c>
      <c r="D1061" s="16">
        <v>1058</v>
      </c>
      <c r="E1061" s="113">
        <v>147</v>
      </c>
      <c r="F1061" s="113">
        <v>153.6</v>
      </c>
      <c r="G1061" s="113">
        <v>154.69999999999999</v>
      </c>
      <c r="H1061" s="113">
        <f t="shared" si="117"/>
        <v>42.972222222222221</v>
      </c>
      <c r="I1061" s="113">
        <v>3.6</v>
      </c>
      <c r="J1061" s="113">
        <v>82.77</v>
      </c>
      <c r="K1061" s="113">
        <v>-8.9</v>
      </c>
      <c r="L1061" s="185"/>
      <c r="M1061" s="16">
        <v>1058</v>
      </c>
      <c r="N1061" s="16">
        <f t="shared" si="119"/>
        <v>2.019690512999852E-2</v>
      </c>
      <c r="O1061" s="16">
        <v>4</v>
      </c>
      <c r="P1061" s="16">
        <f t="shared" si="115"/>
        <v>9.1833785004516724</v>
      </c>
      <c r="Q1061" s="16">
        <f t="shared" si="120"/>
        <v>49.512536379383057</v>
      </c>
      <c r="R1061" s="113">
        <f t="shared" si="116"/>
        <v>329.49099999999999</v>
      </c>
      <c r="S1061" s="16">
        <f>IF(S1060=15800,15800,ROUND((((Q1061*60)/'Gearing Calculator'!$C$14)*'Track Data'!P1061),-2))</f>
        <v>13800</v>
      </c>
      <c r="T1061" s="16">
        <f t="shared" si="118"/>
        <v>-12.968079387143963</v>
      </c>
      <c r="U1061" s="16">
        <f>IF(AC1061=100,Braking!$AG$2354,IF(AC1061=50,Braking!$AG$1179,IF(AC1061=75,Braking!$AG$1767,0)))</f>
        <v>-12.968079387143963</v>
      </c>
      <c r="V1061" s="16">
        <f>0.5*'Gearing Calculator'!$C$15*'Gearing Calculator'!$C$20*'Gearing Calculator'!$W$20*('Track Data'!Q1061^2)</f>
        <v>259.46583482289628</v>
      </c>
      <c r="W1061" s="16">
        <f>('Gearing Calculator'!$U$9*'Track Data'!T1061)+'Track Data'!V1061</f>
        <v>-3192.6368980348266</v>
      </c>
      <c r="X1061" s="16">
        <f>('Gearing Calculator'!$U$9*9.81)*('Gearing Calculator'!$U$16/'Gearing Calculator'!$C$7)-(('Track Data'!W1061)*('Gearing Calculator'!$U$17/'Gearing Calculator'!$C$7))</f>
        <v>3141.3674465213062</v>
      </c>
      <c r="Y1061" s="16">
        <f>('Gearing Calculator'!$U$9*9.81)*(('Gearing Calculator'!$C$7-'Gearing Calculator'!$U$16)/'Gearing Calculator'!$C$7)+(('Track Data'!W1061)*('Gearing Calculator'!$U$17/'Gearing Calculator'!$C$7))</f>
        <v>-529.94544652130617</v>
      </c>
      <c r="Z1061" s="16">
        <f>((X1061*COS('Gearing Calculator'!$C$21))/'Gearing Calculator'!$C$22)/2</f>
        <v>97.121146147679639</v>
      </c>
      <c r="AA1061" s="16">
        <f>Y1061/'Gearing Calculator'!$C$24</f>
        <v>-7.3998158949425958</v>
      </c>
      <c r="AB1061" s="16">
        <f t="shared" si="114"/>
        <v>207.59351727432045</v>
      </c>
      <c r="AC1061" s="16">
        <v>75</v>
      </c>
      <c r="AD1061" s="16">
        <v>0</v>
      </c>
      <c r="AE1061" s="16">
        <v>1058</v>
      </c>
      <c r="AF1061" s="16">
        <f>IF(AC1061=0,IF(O1061=6,INDEX(Acceleration!$V$4:$V$110,MATCH('Track Data'!S1061,Acceleration!$K$4:$K$110,0)),IF('Track Data'!O1061=5,INDEX(Acceleration!$U$4:$U$110,MATCH('Track Data'!S1061,Acceleration!$K$4:$K$110,0)),1)),U1061)</f>
        <v>-12.968079387143963</v>
      </c>
      <c r="AG1061" s="16">
        <f>IF(AC1061=0,IF(O1061=4,INDEX(Acceleration!$T$4:$T$110,MATCH('Track Data'!S1061,Acceleration!$K$4:$K$110,0)),IF('Track Data'!O1061=3,INDEX(Acceleration!$S$4:$S$110,MATCH('Track Data'!S1061,Acceleration!$K$4:$K$110,0)),'Track Data'!AF1061)),'Track Data'!U1061)</f>
        <v>-12.968079387143963</v>
      </c>
      <c r="AH1061" s="16">
        <f>IF(AC1061=0,IF(O1061=2,INDEX(Acceleration!$R$4:$R$110,MATCH('Track Data'!S1061,Acceleration!$K$4:$K$110,0)),IF('Track Data'!O1061=1,INDEX(Acceleration!$Q$4:$Q$110,MATCH('Track Data'!S1061,Acceleration!$K$4:$K$110,0)),'Track Data'!AG1061)),'Track Data'!U1061)</f>
        <v>-12.968079387143963</v>
      </c>
    </row>
    <row r="1062" spans="2:34" x14ac:dyDescent="0.25">
      <c r="B1062" s="16">
        <v>225.66300000000001</v>
      </c>
      <c r="C1062" s="16">
        <v>8332</v>
      </c>
      <c r="D1062" s="16">
        <v>1059</v>
      </c>
      <c r="E1062" s="113">
        <v>147</v>
      </c>
      <c r="F1062" s="113">
        <v>153.4</v>
      </c>
      <c r="G1062" s="113">
        <v>153.9</v>
      </c>
      <c r="H1062" s="113">
        <f t="shared" si="117"/>
        <v>42.75</v>
      </c>
      <c r="I1062" s="113">
        <v>4.5</v>
      </c>
      <c r="J1062" s="113">
        <v>82.87</v>
      </c>
      <c r="K1062" s="113">
        <v>-12.5</v>
      </c>
      <c r="L1062" s="185"/>
      <c r="M1062" s="16">
        <v>1059</v>
      </c>
      <c r="N1062" s="16">
        <f t="shared" si="119"/>
        <v>2.0304599501199963E-2</v>
      </c>
      <c r="O1062" s="16">
        <v>4</v>
      </c>
      <c r="P1062" s="16">
        <f t="shared" si="115"/>
        <v>9.1833785004516724</v>
      </c>
      <c r="Q1062" s="16">
        <f t="shared" si="120"/>
        <v>49.249924872485266</v>
      </c>
      <c r="R1062" s="113">
        <f t="shared" si="116"/>
        <v>329.49099999999999</v>
      </c>
      <c r="S1062" s="16">
        <f>IF(S1061=15800,15800,ROUND((((Q1062*60)/'Gearing Calculator'!$C$14)*'Track Data'!P1062),-2))</f>
        <v>13700</v>
      </c>
      <c r="T1062" s="16">
        <f t="shared" si="118"/>
        <v>-12.968079387143963</v>
      </c>
      <c r="U1062" s="16">
        <f>IF(AC1062=100,Braking!$AG$2354,IF(AC1062=50,Braking!$AG$1179,IF(AC1062=75,Braking!$AG$1767,0)))</f>
        <v>-12.968079387143963</v>
      </c>
      <c r="V1062" s="16">
        <f>0.5*'Gearing Calculator'!$C$15*'Gearing Calculator'!$C$20*'Gearing Calculator'!$W$20*('Track Data'!Q1062^2)</f>
        <v>256.72075177822569</v>
      </c>
      <c r="W1062" s="16">
        <f>('Gearing Calculator'!$U$9*'Track Data'!T1062)+'Track Data'!V1062</f>
        <v>-3195.3819810794971</v>
      </c>
      <c r="X1062" s="16">
        <f>('Gearing Calculator'!$U$9*9.81)*('Gearing Calculator'!$U$16/'Gearing Calculator'!$C$7)-(('Track Data'!W1062)*('Gearing Calculator'!$U$17/'Gearing Calculator'!$C$7))</f>
        <v>3142.8637042526207</v>
      </c>
      <c r="Y1062" s="16">
        <f>('Gearing Calculator'!$U$9*9.81)*(('Gearing Calculator'!$C$7-'Gearing Calculator'!$U$16)/'Gearing Calculator'!$C$7)+(('Track Data'!W1062)*('Gearing Calculator'!$U$17/'Gearing Calculator'!$C$7))</f>
        <v>-531.44170425262064</v>
      </c>
      <c r="Z1062" s="16">
        <f>((X1062*COS('Gearing Calculator'!$C$21))/'Gearing Calculator'!$C$22)/2</f>
        <v>97.167405704471861</v>
      </c>
      <c r="AA1062" s="16">
        <f>Y1062/'Gearing Calculator'!$C$24</f>
        <v>-7.4207086713892876</v>
      </c>
      <c r="AB1062" s="16">
        <f t="shared" si="114"/>
        <v>204.84843422964985</v>
      </c>
      <c r="AC1062" s="16">
        <v>75</v>
      </c>
      <c r="AD1062" s="16">
        <v>0</v>
      </c>
      <c r="AE1062" s="16">
        <v>1059</v>
      </c>
      <c r="AF1062" s="16">
        <f>IF(AC1062=0,IF(O1062=6,INDEX(Acceleration!$V$4:$V$110,MATCH('Track Data'!S1062,Acceleration!$K$4:$K$110,0)),IF('Track Data'!O1062=5,INDEX(Acceleration!$U$4:$U$110,MATCH('Track Data'!S1062,Acceleration!$K$4:$K$110,0)),1)),U1062)</f>
        <v>-12.968079387143963</v>
      </c>
      <c r="AG1062" s="16">
        <f>IF(AC1062=0,IF(O1062=4,INDEX(Acceleration!$T$4:$T$110,MATCH('Track Data'!S1062,Acceleration!$K$4:$K$110,0)),IF('Track Data'!O1062=3,INDEX(Acceleration!$S$4:$S$110,MATCH('Track Data'!S1062,Acceleration!$K$4:$K$110,0)),'Track Data'!AF1062)),'Track Data'!U1062)</f>
        <v>-12.968079387143963</v>
      </c>
      <c r="AH1062" s="16">
        <f>IF(AC1062=0,IF(O1062=2,INDEX(Acceleration!$R$4:$R$110,MATCH('Track Data'!S1062,Acceleration!$K$4:$K$110,0)),IF('Track Data'!O1062=1,INDEX(Acceleration!$Q$4:$Q$110,MATCH('Track Data'!S1062,Acceleration!$K$4:$K$110,0)),'Track Data'!AG1062)),'Track Data'!U1062)</f>
        <v>-12.968079387143963</v>
      </c>
    </row>
    <row r="1063" spans="2:34" x14ac:dyDescent="0.25">
      <c r="B1063" s="16">
        <v>225.68700000000001</v>
      </c>
      <c r="C1063" s="16">
        <v>8333</v>
      </c>
      <c r="D1063" s="16">
        <v>1060</v>
      </c>
      <c r="E1063" s="113">
        <v>147</v>
      </c>
      <c r="F1063" s="113">
        <v>153.1</v>
      </c>
      <c r="G1063" s="113">
        <v>153.1</v>
      </c>
      <c r="H1063" s="113">
        <f t="shared" si="117"/>
        <v>42.527777777777779</v>
      </c>
      <c r="I1063" s="113">
        <v>4.8</v>
      </c>
      <c r="J1063" s="113">
        <v>82.81</v>
      </c>
      <c r="K1063" s="113">
        <v>-17.3</v>
      </c>
      <c r="L1063" s="185"/>
      <c r="M1063" s="16">
        <v>1060</v>
      </c>
      <c r="N1063" s="16">
        <f t="shared" si="119"/>
        <v>2.0414035201765064E-2</v>
      </c>
      <c r="O1063" s="16">
        <v>4</v>
      </c>
      <c r="P1063" s="16">
        <f t="shared" si="115"/>
        <v>9.1833785004516724</v>
      </c>
      <c r="Q1063" s="16">
        <f t="shared" si="120"/>
        <v>48.985905535890168</v>
      </c>
      <c r="R1063" s="113">
        <f t="shared" si="116"/>
        <v>329.49099999999999</v>
      </c>
      <c r="S1063" s="16">
        <f>IF(S1062=15800,15800,ROUND((((Q1063*60)/'Gearing Calculator'!$C$14)*'Track Data'!P1063),-2))</f>
        <v>13600</v>
      </c>
      <c r="T1063" s="16">
        <f t="shared" si="118"/>
        <v>-12.968079387143963</v>
      </c>
      <c r="U1063" s="16">
        <f>IF(AC1063=100,Braking!$AG$2354,IF(AC1063=50,Braking!$AG$1179,IF(AC1063=75,Braking!$AG$1767,0)))</f>
        <v>-12.968079387143963</v>
      </c>
      <c r="V1063" s="16">
        <f>0.5*'Gearing Calculator'!$C$15*'Gearing Calculator'!$C$20*'Gearing Calculator'!$W$20*('Track Data'!Q1063^2)</f>
        <v>253.97566873355504</v>
      </c>
      <c r="W1063" s="16">
        <f>('Gearing Calculator'!$U$9*'Track Data'!T1063)+'Track Data'!V1063</f>
        <v>-3198.1270641241681</v>
      </c>
      <c r="X1063" s="16">
        <f>('Gearing Calculator'!$U$9*9.81)*('Gearing Calculator'!$U$16/'Gearing Calculator'!$C$7)-(('Track Data'!W1063)*('Gearing Calculator'!$U$17/'Gearing Calculator'!$C$7))</f>
        <v>3144.3599619839351</v>
      </c>
      <c r="Y1063" s="16">
        <f>('Gearing Calculator'!$U$9*9.81)*(('Gearing Calculator'!$C$7-'Gearing Calculator'!$U$16)/'Gearing Calculator'!$C$7)+(('Track Data'!W1063)*('Gearing Calculator'!$U$17/'Gearing Calculator'!$C$7))</f>
        <v>-532.93796198393511</v>
      </c>
      <c r="Z1063" s="16">
        <f>((X1063*COS('Gearing Calculator'!$C$21))/'Gearing Calculator'!$C$22)/2</f>
        <v>97.213665261264083</v>
      </c>
      <c r="AA1063" s="16">
        <f>Y1063/'Gearing Calculator'!$C$24</f>
        <v>-7.4416014478359784</v>
      </c>
      <c r="AB1063" s="16">
        <f t="shared" si="114"/>
        <v>202.1033511849792</v>
      </c>
      <c r="AC1063" s="16">
        <v>75</v>
      </c>
      <c r="AD1063" s="16">
        <v>0</v>
      </c>
      <c r="AE1063" s="16">
        <v>1060</v>
      </c>
      <c r="AF1063" s="16">
        <f>IF(AC1063=0,IF(O1063=6,INDEX(Acceleration!$V$4:$V$110,MATCH('Track Data'!S1063,Acceleration!$K$4:$K$110,0)),IF('Track Data'!O1063=5,INDEX(Acceleration!$U$4:$U$110,MATCH('Track Data'!S1063,Acceleration!$K$4:$K$110,0)),1)),U1063)</f>
        <v>-12.968079387143963</v>
      </c>
      <c r="AG1063" s="16">
        <f>IF(AC1063=0,IF(O1063=4,INDEX(Acceleration!$T$4:$T$110,MATCH('Track Data'!S1063,Acceleration!$K$4:$K$110,0)),IF('Track Data'!O1063=3,INDEX(Acceleration!$S$4:$S$110,MATCH('Track Data'!S1063,Acceleration!$K$4:$K$110,0)),'Track Data'!AF1063)),'Track Data'!U1063)</f>
        <v>-12.968079387143963</v>
      </c>
      <c r="AH1063" s="16">
        <f>IF(AC1063=0,IF(O1063=2,INDEX(Acceleration!$R$4:$R$110,MATCH('Track Data'!S1063,Acceleration!$K$4:$K$110,0)),IF('Track Data'!O1063=1,INDEX(Acceleration!$Q$4:$Q$110,MATCH('Track Data'!S1063,Acceleration!$K$4:$K$110,0)),'Track Data'!AG1063)),'Track Data'!U1063)</f>
        <v>-12.968079387143963</v>
      </c>
    </row>
    <row r="1064" spans="2:34" x14ac:dyDescent="0.25">
      <c r="B1064" s="16">
        <v>225.71</v>
      </c>
      <c r="C1064" s="16">
        <v>8334</v>
      </c>
      <c r="D1064" s="16">
        <v>1061</v>
      </c>
      <c r="E1064" s="113">
        <v>147</v>
      </c>
      <c r="F1064" s="113">
        <v>152.69999999999999</v>
      </c>
      <c r="G1064" s="113">
        <v>152</v>
      </c>
      <c r="H1064" s="113">
        <f t="shared" si="117"/>
        <v>42.222222222222221</v>
      </c>
      <c r="I1064" s="113">
        <v>6.6</v>
      </c>
      <c r="J1064" s="113">
        <v>82.04</v>
      </c>
      <c r="K1064" s="113">
        <v>-32.5</v>
      </c>
      <c r="L1064" s="185"/>
      <c r="M1064" s="16">
        <v>1061</v>
      </c>
      <c r="N1064" s="16">
        <f t="shared" si="119"/>
        <v>2.0525259669720079E-2</v>
      </c>
      <c r="O1064" s="16">
        <v>4</v>
      </c>
      <c r="P1064" s="16">
        <f t="shared" si="115"/>
        <v>9.1833785004516724</v>
      </c>
      <c r="Q1064" s="16">
        <f t="shared" si="120"/>
        <v>48.720455482239359</v>
      </c>
      <c r="R1064" s="113">
        <f t="shared" si="116"/>
        <v>329.49099999999999</v>
      </c>
      <c r="S1064" s="16">
        <f>IF(S1063=15800,15800,ROUND((((Q1064*60)/'Gearing Calculator'!$C$14)*'Track Data'!P1064),-2))</f>
        <v>13600</v>
      </c>
      <c r="T1064" s="16">
        <f t="shared" si="118"/>
        <v>-12.968079387143963</v>
      </c>
      <c r="U1064" s="16">
        <f>IF(AC1064=100,Braking!$AG$2354,IF(AC1064=50,Braking!$AG$1179,IF(AC1064=75,Braking!$AG$1767,0)))</f>
        <v>-12.968079387143963</v>
      </c>
      <c r="V1064" s="16">
        <f>0.5*'Gearing Calculator'!$C$15*'Gearing Calculator'!$C$20*'Gearing Calculator'!$W$20*('Track Data'!Q1064^2)</f>
        <v>251.23058568888442</v>
      </c>
      <c r="W1064" s="16">
        <f>('Gearing Calculator'!$U$9*'Track Data'!T1064)+'Track Data'!V1064</f>
        <v>-3200.8721471688386</v>
      </c>
      <c r="X1064" s="16">
        <f>('Gearing Calculator'!$U$9*9.81)*('Gearing Calculator'!$U$16/'Gearing Calculator'!$C$7)-(('Track Data'!W1064)*('Gearing Calculator'!$U$17/'Gearing Calculator'!$C$7))</f>
        <v>3145.8562197152496</v>
      </c>
      <c r="Y1064" s="16">
        <f>('Gearing Calculator'!$U$9*9.81)*(('Gearing Calculator'!$C$7-'Gearing Calculator'!$U$16)/'Gearing Calculator'!$C$7)+(('Track Data'!W1064)*('Gearing Calculator'!$U$17/'Gearing Calculator'!$C$7))</f>
        <v>-534.43421971524958</v>
      </c>
      <c r="Z1064" s="16">
        <f>((X1064*COS('Gearing Calculator'!$C$21))/'Gearing Calculator'!$C$22)/2</f>
        <v>97.259924818056305</v>
      </c>
      <c r="AA1064" s="16">
        <f>Y1064/'Gearing Calculator'!$C$24</f>
        <v>-7.4624942242826702</v>
      </c>
      <c r="AB1064" s="16">
        <f t="shared" si="114"/>
        <v>199.35826814030855</v>
      </c>
      <c r="AC1064" s="16">
        <v>75</v>
      </c>
      <c r="AD1064" s="16">
        <v>0</v>
      </c>
      <c r="AE1064" s="16">
        <v>1061</v>
      </c>
      <c r="AF1064" s="16">
        <f>IF(AC1064=0,IF(O1064=6,INDEX(Acceleration!$V$4:$V$110,MATCH('Track Data'!S1064,Acceleration!$K$4:$K$110,0)),IF('Track Data'!O1064=5,INDEX(Acceleration!$U$4:$U$110,MATCH('Track Data'!S1064,Acceleration!$K$4:$K$110,0)),1)),U1064)</f>
        <v>-12.968079387143963</v>
      </c>
      <c r="AG1064" s="16">
        <f>IF(AC1064=0,IF(O1064=4,INDEX(Acceleration!$T$4:$T$110,MATCH('Track Data'!S1064,Acceleration!$K$4:$K$110,0)),IF('Track Data'!O1064=3,INDEX(Acceleration!$S$4:$S$110,MATCH('Track Data'!S1064,Acceleration!$K$4:$K$110,0)),'Track Data'!AF1064)),'Track Data'!U1064)</f>
        <v>-12.968079387143963</v>
      </c>
      <c r="AH1064" s="16">
        <f>IF(AC1064=0,IF(O1064=2,INDEX(Acceleration!$R$4:$R$110,MATCH('Track Data'!S1064,Acceleration!$K$4:$K$110,0)),IF('Track Data'!O1064=1,INDEX(Acceleration!$Q$4:$Q$110,MATCH('Track Data'!S1064,Acceleration!$K$4:$K$110,0)),'Track Data'!AG1064)),'Track Data'!U1064)</f>
        <v>-12.968079387143963</v>
      </c>
    </row>
    <row r="1065" spans="2:34" x14ac:dyDescent="0.25">
      <c r="B1065" s="16">
        <v>225.73400000000001</v>
      </c>
      <c r="C1065" s="16">
        <v>8335</v>
      </c>
      <c r="D1065" s="16">
        <v>1062</v>
      </c>
      <c r="E1065" s="113">
        <v>147</v>
      </c>
      <c r="F1065" s="113">
        <v>152.5</v>
      </c>
      <c r="G1065" s="113">
        <v>151.19999999999999</v>
      </c>
      <c r="H1065" s="113">
        <f t="shared" si="117"/>
        <v>41.999999999999993</v>
      </c>
      <c r="I1065" s="113">
        <v>7.2</v>
      </c>
      <c r="J1065" s="113">
        <v>82.06</v>
      </c>
      <c r="K1065" s="113">
        <v>-42.6</v>
      </c>
      <c r="L1065" s="185"/>
      <c r="M1065" s="16">
        <v>1062</v>
      </c>
      <c r="N1065" s="16">
        <f t="shared" si="119"/>
        <v>2.0638322172290439E-2</v>
      </c>
      <c r="O1065" s="16">
        <v>4</v>
      </c>
      <c r="P1065" s="16">
        <f t="shared" si="115"/>
        <v>9.1833785004516724</v>
      </c>
      <c r="Q1065" s="16">
        <f t="shared" si="120"/>
        <v>48.453551197229906</v>
      </c>
      <c r="R1065" s="113">
        <f t="shared" si="116"/>
        <v>329.49099999999999</v>
      </c>
      <c r="S1065" s="16">
        <f>IF(S1064=15800,15800,ROUND((((Q1065*60)/'Gearing Calculator'!$C$14)*'Track Data'!P1065),-2))</f>
        <v>13500</v>
      </c>
      <c r="T1065" s="16">
        <f t="shared" si="118"/>
        <v>-12.968079387143963</v>
      </c>
      <c r="U1065" s="16">
        <f>IF(AC1065=100,Braking!$AG$2354,IF(AC1065=50,Braking!$AG$1179,IF(AC1065=75,Braking!$AG$1767,0)))</f>
        <v>-12.968079387143963</v>
      </c>
      <c r="V1065" s="16">
        <f>0.5*'Gearing Calculator'!$C$15*'Gearing Calculator'!$C$20*'Gearing Calculator'!$W$20*('Track Data'!Q1065^2)</f>
        <v>248.4855026442138</v>
      </c>
      <c r="W1065" s="16">
        <f>('Gearing Calculator'!$U$9*'Track Data'!T1065)+'Track Data'!V1065</f>
        <v>-3203.6172302135092</v>
      </c>
      <c r="X1065" s="16">
        <f>('Gearing Calculator'!$U$9*9.81)*('Gearing Calculator'!$U$16/'Gearing Calculator'!$C$7)-(('Track Data'!W1065)*('Gearing Calculator'!$U$17/'Gearing Calculator'!$C$7))</f>
        <v>3147.3524774465641</v>
      </c>
      <c r="Y1065" s="16">
        <f>('Gearing Calculator'!$U$9*9.81)*(('Gearing Calculator'!$C$7-'Gearing Calculator'!$U$16)/'Gearing Calculator'!$C$7)+(('Track Data'!W1065)*('Gearing Calculator'!$U$17/'Gearing Calculator'!$C$7))</f>
        <v>-535.93047744656383</v>
      </c>
      <c r="Z1065" s="16">
        <f>((X1065*COS('Gearing Calculator'!$C$21))/'Gearing Calculator'!$C$22)/2</f>
        <v>97.306184374848527</v>
      </c>
      <c r="AA1065" s="16">
        <f>Y1065/'Gearing Calculator'!$C$24</f>
        <v>-7.4833870007293575</v>
      </c>
      <c r="AB1065" s="16">
        <f t="shared" si="114"/>
        <v>196.61318509563796</v>
      </c>
      <c r="AC1065" s="16">
        <v>75</v>
      </c>
      <c r="AD1065" s="16">
        <v>0</v>
      </c>
      <c r="AE1065" s="16">
        <v>1062</v>
      </c>
      <c r="AF1065" s="16">
        <f>IF(AC1065=0,IF(O1065=6,INDEX(Acceleration!$V$4:$V$110,MATCH('Track Data'!S1065,Acceleration!$K$4:$K$110,0)),IF('Track Data'!O1065=5,INDEX(Acceleration!$U$4:$U$110,MATCH('Track Data'!S1065,Acceleration!$K$4:$K$110,0)),1)),U1065)</f>
        <v>-12.968079387143963</v>
      </c>
      <c r="AG1065" s="16">
        <f>IF(AC1065=0,IF(O1065=4,INDEX(Acceleration!$T$4:$T$110,MATCH('Track Data'!S1065,Acceleration!$K$4:$K$110,0)),IF('Track Data'!O1065=3,INDEX(Acceleration!$S$4:$S$110,MATCH('Track Data'!S1065,Acceleration!$K$4:$K$110,0)),'Track Data'!AF1065)),'Track Data'!U1065)</f>
        <v>-12.968079387143963</v>
      </c>
      <c r="AH1065" s="16">
        <f>IF(AC1065=0,IF(O1065=2,INDEX(Acceleration!$R$4:$R$110,MATCH('Track Data'!S1065,Acceleration!$K$4:$K$110,0)),IF('Track Data'!O1065=1,INDEX(Acceleration!$Q$4:$Q$110,MATCH('Track Data'!S1065,Acceleration!$K$4:$K$110,0)),'Track Data'!AG1065)),'Track Data'!U1065)</f>
        <v>-12.968079387143963</v>
      </c>
    </row>
    <row r="1066" spans="2:34" x14ac:dyDescent="0.25">
      <c r="B1066" s="16">
        <v>225.75700000000001</v>
      </c>
      <c r="C1066" s="16">
        <v>8336</v>
      </c>
      <c r="D1066" s="16">
        <v>1063</v>
      </c>
      <c r="E1066" s="113">
        <v>148</v>
      </c>
      <c r="F1066" s="113">
        <v>152.1</v>
      </c>
      <c r="G1066" s="113">
        <v>150.4</v>
      </c>
      <c r="H1066" s="113">
        <f t="shared" si="117"/>
        <v>41.777777777777779</v>
      </c>
      <c r="I1066" s="113">
        <v>8.6</v>
      </c>
      <c r="J1066" s="113">
        <v>80.94</v>
      </c>
      <c r="K1066" s="113">
        <v>-52.7</v>
      </c>
      <c r="L1066" s="185"/>
      <c r="M1066" s="16">
        <v>1063</v>
      </c>
      <c r="N1066" s="16">
        <f t="shared" si="119"/>
        <v>2.0753273897597381E-2</v>
      </c>
      <c r="O1066" s="16">
        <v>4</v>
      </c>
      <c r="P1066" s="16">
        <f t="shared" si="115"/>
        <v>9.1833785004516724</v>
      </c>
      <c r="Q1066" s="16">
        <f t="shared" si="120"/>
        <v>48.185168515304497</v>
      </c>
      <c r="R1066" s="113">
        <f t="shared" si="116"/>
        <v>329.49099999999999</v>
      </c>
      <c r="S1066" s="16">
        <f>IF(S1065=15800,15800,ROUND((((Q1066*60)/'Gearing Calculator'!$C$14)*'Track Data'!P1066),-2))</f>
        <v>13400</v>
      </c>
      <c r="T1066" s="16">
        <f t="shared" si="118"/>
        <v>-12.968079387143963</v>
      </c>
      <c r="U1066" s="16">
        <f>IF(AC1066=100,Braking!$AG$2354,IF(AC1066=50,Braking!$AG$1179,IF(AC1066=75,Braking!$AG$1767,0)))</f>
        <v>-12.968079387143963</v>
      </c>
      <c r="V1066" s="16">
        <f>0.5*'Gearing Calculator'!$C$15*'Gearing Calculator'!$C$20*'Gearing Calculator'!$W$20*('Track Data'!Q1066^2)</f>
        <v>245.74041959954317</v>
      </c>
      <c r="W1066" s="16">
        <f>('Gearing Calculator'!$U$9*'Track Data'!T1066)+'Track Data'!V1066</f>
        <v>-3206.3623132581797</v>
      </c>
      <c r="X1066" s="16">
        <f>('Gearing Calculator'!$U$9*9.81)*('Gearing Calculator'!$U$16/'Gearing Calculator'!$C$7)-(('Track Data'!W1066)*('Gearing Calculator'!$U$17/'Gearing Calculator'!$C$7))</f>
        <v>3148.8487351778786</v>
      </c>
      <c r="Y1066" s="16">
        <f>('Gearing Calculator'!$U$9*9.81)*(('Gearing Calculator'!$C$7-'Gearing Calculator'!$U$16)/'Gearing Calculator'!$C$7)+(('Track Data'!W1066)*('Gearing Calculator'!$U$17/'Gearing Calculator'!$C$7))</f>
        <v>-537.4267351778783</v>
      </c>
      <c r="Z1066" s="16">
        <f>((X1066*COS('Gearing Calculator'!$C$21))/'Gearing Calculator'!$C$22)/2</f>
        <v>97.352443931640749</v>
      </c>
      <c r="AA1066" s="16">
        <f>Y1066/'Gearing Calculator'!$C$24</f>
        <v>-7.5042797771760492</v>
      </c>
      <c r="AB1066" s="16">
        <f t="shared" si="114"/>
        <v>193.86810205096731</v>
      </c>
      <c r="AC1066" s="16">
        <v>75</v>
      </c>
      <c r="AD1066" s="16">
        <v>0</v>
      </c>
      <c r="AE1066" s="16">
        <v>1063</v>
      </c>
      <c r="AF1066" s="16">
        <f>IF(AC1066=0,IF(O1066=6,INDEX(Acceleration!$V$4:$V$110,MATCH('Track Data'!S1066,Acceleration!$K$4:$K$110,0)),IF('Track Data'!O1066=5,INDEX(Acceleration!$U$4:$U$110,MATCH('Track Data'!S1066,Acceleration!$K$4:$K$110,0)),1)),U1066)</f>
        <v>-12.968079387143963</v>
      </c>
      <c r="AG1066" s="16">
        <f>IF(AC1066=0,IF(O1066=4,INDEX(Acceleration!$T$4:$T$110,MATCH('Track Data'!S1066,Acceleration!$K$4:$K$110,0)),IF('Track Data'!O1066=3,INDEX(Acceleration!$S$4:$S$110,MATCH('Track Data'!S1066,Acceleration!$K$4:$K$110,0)),'Track Data'!AF1066)),'Track Data'!U1066)</f>
        <v>-12.968079387143963</v>
      </c>
      <c r="AH1066" s="16">
        <f>IF(AC1066=0,IF(O1066=2,INDEX(Acceleration!$R$4:$R$110,MATCH('Track Data'!S1066,Acceleration!$K$4:$K$110,0)),IF('Track Data'!O1066=1,INDEX(Acceleration!$Q$4:$Q$110,MATCH('Track Data'!S1066,Acceleration!$K$4:$K$110,0)),'Track Data'!AG1066)),'Track Data'!U1066)</f>
        <v>-12.968079387143963</v>
      </c>
    </row>
    <row r="1067" spans="2:34" x14ac:dyDescent="0.25">
      <c r="B1067" s="16">
        <v>225.78100000000001</v>
      </c>
      <c r="C1067" s="16">
        <v>8337</v>
      </c>
      <c r="D1067" s="16">
        <v>1064</v>
      </c>
      <c r="E1067" s="113">
        <v>148</v>
      </c>
      <c r="F1067" s="113">
        <v>151.80000000000001</v>
      </c>
      <c r="G1067" s="113">
        <v>149.1</v>
      </c>
      <c r="H1067" s="113">
        <f t="shared" si="117"/>
        <v>41.416666666666664</v>
      </c>
      <c r="I1067" s="113">
        <v>10</v>
      </c>
      <c r="J1067" s="113">
        <v>80.16</v>
      </c>
      <c r="K1067" s="113">
        <v>-55.9</v>
      </c>
      <c r="L1067" s="185"/>
      <c r="M1067" s="16">
        <v>1064</v>
      </c>
      <c r="N1067" s="16">
        <f t="shared" si="119"/>
        <v>2.0870168052036037E-2</v>
      </c>
      <c r="O1067" s="16">
        <v>4</v>
      </c>
      <c r="P1067" s="16">
        <f t="shared" si="115"/>
        <v>9.1833785004516724</v>
      </c>
      <c r="Q1067" s="16">
        <f t="shared" si="120"/>
        <v>47.915282594116086</v>
      </c>
      <c r="R1067" s="113">
        <f t="shared" si="116"/>
        <v>329.49099999999999</v>
      </c>
      <c r="S1067" s="16">
        <f>IF(S1066=15800,15800,ROUND((((Q1067*60)/'Gearing Calculator'!$C$14)*'Track Data'!P1067),-2))</f>
        <v>13300</v>
      </c>
      <c r="T1067" s="16">
        <f t="shared" si="118"/>
        <v>-12.968079387143963</v>
      </c>
      <c r="U1067" s="16">
        <f>IF(AC1067=100,Braking!$AG$2354,IF(AC1067=50,Braking!$AG$1179,IF(AC1067=75,Braking!$AG$1767,0)))</f>
        <v>-12.968079387143963</v>
      </c>
      <c r="V1067" s="16">
        <f>0.5*'Gearing Calculator'!$C$15*'Gearing Calculator'!$C$20*'Gearing Calculator'!$W$20*('Track Data'!Q1067^2)</f>
        <v>242.99533655487255</v>
      </c>
      <c r="W1067" s="16">
        <f>('Gearing Calculator'!$U$9*'Track Data'!T1067)+'Track Data'!V1067</f>
        <v>-3209.1073963028502</v>
      </c>
      <c r="X1067" s="16">
        <f>('Gearing Calculator'!$U$9*9.81)*('Gearing Calculator'!$U$16/'Gearing Calculator'!$C$7)-(('Track Data'!W1067)*('Gearing Calculator'!$U$17/'Gearing Calculator'!$C$7))</f>
        <v>3150.3449929091926</v>
      </c>
      <c r="Y1067" s="16">
        <f>('Gearing Calculator'!$U$9*9.81)*(('Gearing Calculator'!$C$7-'Gearing Calculator'!$U$16)/'Gearing Calculator'!$C$7)+(('Track Data'!W1067)*('Gearing Calculator'!$U$17/'Gearing Calculator'!$C$7))</f>
        <v>-538.92299290919254</v>
      </c>
      <c r="Z1067" s="16">
        <f>((X1067*COS('Gearing Calculator'!$C$21))/'Gearing Calculator'!$C$22)/2</f>
        <v>97.398703488432943</v>
      </c>
      <c r="AA1067" s="16">
        <f>Y1067/'Gearing Calculator'!$C$24</f>
        <v>-7.5251725536227365</v>
      </c>
      <c r="AB1067" s="16">
        <f t="shared" si="114"/>
        <v>191.12301900629672</v>
      </c>
      <c r="AC1067" s="16">
        <v>75</v>
      </c>
      <c r="AD1067" s="16">
        <v>0</v>
      </c>
      <c r="AE1067" s="16">
        <v>1064</v>
      </c>
      <c r="AF1067" s="16">
        <f>IF(AC1067=0,IF(O1067=6,INDEX(Acceleration!$V$4:$V$110,MATCH('Track Data'!S1067,Acceleration!$K$4:$K$110,0)),IF('Track Data'!O1067=5,INDEX(Acceleration!$U$4:$U$110,MATCH('Track Data'!S1067,Acceleration!$K$4:$K$110,0)),1)),U1067)</f>
        <v>-12.968079387143963</v>
      </c>
      <c r="AG1067" s="16">
        <f>IF(AC1067=0,IF(O1067=4,INDEX(Acceleration!$T$4:$T$110,MATCH('Track Data'!S1067,Acceleration!$K$4:$K$110,0)),IF('Track Data'!O1067=3,INDEX(Acceleration!$S$4:$S$110,MATCH('Track Data'!S1067,Acceleration!$K$4:$K$110,0)),'Track Data'!AF1067)),'Track Data'!U1067)</f>
        <v>-12.968079387143963</v>
      </c>
      <c r="AH1067" s="16">
        <f>IF(AC1067=0,IF(O1067=2,INDEX(Acceleration!$R$4:$R$110,MATCH('Track Data'!S1067,Acceleration!$K$4:$K$110,0)),IF('Track Data'!O1067=1,INDEX(Acceleration!$Q$4:$Q$110,MATCH('Track Data'!S1067,Acceleration!$K$4:$K$110,0)),'Track Data'!AG1067)),'Track Data'!U1067)</f>
        <v>-12.968079387143963</v>
      </c>
    </row>
    <row r="1068" spans="2:34" x14ac:dyDescent="0.25">
      <c r="B1068" s="16">
        <v>225.804</v>
      </c>
      <c r="C1068" s="16">
        <v>8338</v>
      </c>
      <c r="D1068" s="16">
        <v>1065</v>
      </c>
      <c r="E1068" s="113">
        <v>148</v>
      </c>
      <c r="F1068" s="113">
        <v>151.6</v>
      </c>
      <c r="G1068" s="113">
        <v>148.30000000000001</v>
      </c>
      <c r="H1068" s="113">
        <f t="shared" si="117"/>
        <v>41.19444444444445</v>
      </c>
      <c r="I1068" s="113">
        <v>10.199999999999999</v>
      </c>
      <c r="J1068" s="113">
        <v>78.3</v>
      </c>
      <c r="K1068" s="113">
        <v>-55.9</v>
      </c>
      <c r="L1068" s="185"/>
      <c r="M1068" s="16">
        <v>1065</v>
      </c>
      <c r="N1068" s="16">
        <f t="shared" si="119"/>
        <v>2.0989059963755854E-2</v>
      </c>
      <c r="O1068" s="16">
        <v>4</v>
      </c>
      <c r="P1068" s="16">
        <f t="shared" si="115"/>
        <v>9.1833785004516724</v>
      </c>
      <c r="Q1068" s="16">
        <f t="shared" si="120"/>
        <v>47.643867887690604</v>
      </c>
      <c r="R1068" s="113">
        <f t="shared" si="116"/>
        <v>329.49099999999999</v>
      </c>
      <c r="S1068" s="16">
        <f>IF(S1067=15800,15800,ROUND((((Q1068*60)/'Gearing Calculator'!$C$14)*'Track Data'!P1068),-2))</f>
        <v>13300</v>
      </c>
      <c r="T1068" s="16">
        <f t="shared" si="118"/>
        <v>-14.71670186282954</v>
      </c>
      <c r="U1068" s="16">
        <f>IF(AC1068=100,Braking!$AG$2354,IF(AC1068=50,Braking!$AG$1179,IF(AC1068=75,Braking!$AG$1767,0)))</f>
        <v>-14.71670186282954</v>
      </c>
      <c r="V1068" s="16">
        <f>0.5*'Gearing Calculator'!$C$15*'Gearing Calculator'!$C$20*'Gearing Calculator'!$W$20*('Track Data'!Q1068^2)</f>
        <v>240.25025351020193</v>
      </c>
      <c r="W1068" s="16">
        <f>('Gearing Calculator'!$U$9*'Track Data'!T1068)+'Track Data'!V1068</f>
        <v>-3677.3357823750212</v>
      </c>
      <c r="X1068" s="16">
        <f>('Gearing Calculator'!$U$9*9.81)*('Gearing Calculator'!$U$16/'Gearing Calculator'!$C$7)-(('Track Data'!W1068)*('Gearing Calculator'!$U$17/'Gearing Calculator'!$C$7))</f>
        <v>3405.5614403829723</v>
      </c>
      <c r="Y1068" s="16">
        <f>('Gearing Calculator'!$U$9*9.81)*(('Gearing Calculator'!$C$7-'Gearing Calculator'!$U$16)/'Gearing Calculator'!$C$7)+(('Track Data'!W1068)*('Gearing Calculator'!$U$17/'Gearing Calculator'!$C$7))</f>
        <v>-794.13944038297245</v>
      </c>
      <c r="Z1068" s="16">
        <f>((X1068*COS('Gearing Calculator'!$C$21))/'Gearing Calculator'!$C$22)/2</f>
        <v>105.28918886346958</v>
      </c>
      <c r="AA1068" s="16">
        <f>Y1068/'Gearing Calculator'!$C$24</f>
        <v>-11.088850168109666</v>
      </c>
      <c r="AB1068" s="16">
        <f t="shared" si="114"/>
        <v>181.38344605888378</v>
      </c>
      <c r="AC1068" s="16">
        <v>100</v>
      </c>
      <c r="AD1068" s="16">
        <v>0</v>
      </c>
      <c r="AE1068" s="16">
        <v>1065</v>
      </c>
      <c r="AF1068" s="16">
        <f>IF(AC1068=0,IF(O1068=6,INDEX(Acceleration!$V$4:$V$110,MATCH('Track Data'!S1068,Acceleration!$K$4:$K$110,0)),IF('Track Data'!O1068=5,INDEX(Acceleration!$U$4:$U$110,MATCH('Track Data'!S1068,Acceleration!$K$4:$K$110,0)),1)),U1068)</f>
        <v>-14.71670186282954</v>
      </c>
      <c r="AG1068" s="16">
        <f>IF(AC1068=0,IF(O1068=4,INDEX(Acceleration!$T$4:$T$110,MATCH('Track Data'!S1068,Acceleration!$K$4:$K$110,0)),IF('Track Data'!O1068=3,INDEX(Acceleration!$S$4:$S$110,MATCH('Track Data'!S1068,Acceleration!$K$4:$K$110,0)),'Track Data'!AF1068)),'Track Data'!U1068)</f>
        <v>-14.71670186282954</v>
      </c>
      <c r="AH1068" s="16">
        <f>IF(AC1068=0,IF(O1068=2,INDEX(Acceleration!$R$4:$R$110,MATCH('Track Data'!S1068,Acceleration!$K$4:$K$110,0)),IF('Track Data'!O1068=1,INDEX(Acceleration!$Q$4:$Q$110,MATCH('Track Data'!S1068,Acceleration!$K$4:$K$110,0)),'Track Data'!AG1068)),'Track Data'!U1068)</f>
        <v>-14.71670186282954</v>
      </c>
    </row>
    <row r="1069" spans="2:34" x14ac:dyDescent="0.25">
      <c r="B1069" s="16">
        <v>225.828</v>
      </c>
      <c r="C1069" s="16">
        <v>8339</v>
      </c>
      <c r="D1069" s="16">
        <v>1066</v>
      </c>
      <c r="E1069" s="113">
        <v>148</v>
      </c>
      <c r="F1069" s="113">
        <v>151.30000000000001</v>
      </c>
      <c r="G1069" s="113">
        <v>147.5</v>
      </c>
      <c r="H1069" s="113">
        <f t="shared" si="117"/>
        <v>40.972222222222221</v>
      </c>
      <c r="I1069" s="113">
        <v>10.199999999999999</v>
      </c>
      <c r="J1069" s="113">
        <v>77.61</v>
      </c>
      <c r="K1069" s="113">
        <v>-55.9</v>
      </c>
      <c r="L1069" s="185"/>
      <c r="M1069" s="16">
        <v>1066</v>
      </c>
      <c r="N1069" s="16">
        <f t="shared" si="119"/>
        <v>2.1126476267208042E-2</v>
      </c>
      <c r="O1069" s="16">
        <v>4</v>
      </c>
      <c r="P1069" s="16">
        <f t="shared" si="115"/>
        <v>9.1833785004516724</v>
      </c>
      <c r="Q1069" s="16">
        <f t="shared" si="120"/>
        <v>47.333970291684352</v>
      </c>
      <c r="R1069" s="113">
        <f t="shared" si="116"/>
        <v>329.49099999999999</v>
      </c>
      <c r="S1069" s="16">
        <f>IF(S1068=15800,15800,ROUND((((Q1069*60)/'Gearing Calculator'!$C$14)*'Track Data'!P1069),-2))</f>
        <v>13200</v>
      </c>
      <c r="T1069" s="16">
        <f t="shared" si="118"/>
        <v>-14.71670186282954</v>
      </c>
      <c r="U1069" s="16">
        <f>IF(AC1069=100,Braking!$AG$2354,IF(AC1069=50,Braking!$AG$1179,IF(AC1069=75,Braking!$AG$1767,0)))</f>
        <v>-14.71670186282954</v>
      </c>
      <c r="V1069" s="16">
        <f>0.5*'Gearing Calculator'!$C$15*'Gearing Calculator'!$C$20*'Gearing Calculator'!$W$20*('Track Data'!Q1069^2)</f>
        <v>237.13502205987814</v>
      </c>
      <c r="W1069" s="16">
        <f>('Gearing Calculator'!$U$9*'Track Data'!T1069)+'Track Data'!V1069</f>
        <v>-3680.4510138253449</v>
      </c>
      <c r="X1069" s="16">
        <f>('Gearing Calculator'!$U$9*9.81)*('Gearing Calculator'!$U$16/'Gearing Calculator'!$C$7)-(('Track Data'!W1069)*('Gearing Calculator'!$U$17/'Gearing Calculator'!$C$7))</f>
        <v>3407.2594542741845</v>
      </c>
      <c r="Y1069" s="16">
        <f>('Gearing Calculator'!$U$9*9.81)*(('Gearing Calculator'!$C$7-'Gearing Calculator'!$U$16)/'Gearing Calculator'!$C$7)+(('Track Data'!W1069)*('Gearing Calculator'!$U$17/'Gearing Calculator'!$C$7))</f>
        <v>-795.83745427418421</v>
      </c>
      <c r="Z1069" s="16">
        <f>((X1069*COS('Gearing Calculator'!$C$21))/'Gearing Calculator'!$C$22)/2</f>
        <v>105.34168608262547</v>
      </c>
      <c r="AA1069" s="16">
        <f>Y1069/'Gearing Calculator'!$C$24</f>
        <v>-11.112560137248002</v>
      </c>
      <c r="AB1069" s="16">
        <f t="shared" si="114"/>
        <v>178.26821460855999</v>
      </c>
      <c r="AC1069" s="16">
        <v>100</v>
      </c>
      <c r="AD1069" s="16">
        <v>0</v>
      </c>
      <c r="AE1069" s="16">
        <v>1066</v>
      </c>
      <c r="AF1069" s="16">
        <f>IF(AC1069=0,IF(O1069=6,INDEX(Acceleration!$V$4:$V$110,MATCH('Track Data'!S1069,Acceleration!$K$4:$K$110,0)),IF('Track Data'!O1069=5,INDEX(Acceleration!$U$4:$U$110,MATCH('Track Data'!S1069,Acceleration!$K$4:$K$110,0)),1)),U1069)</f>
        <v>-14.71670186282954</v>
      </c>
      <c r="AG1069" s="16">
        <f>IF(AC1069=0,IF(O1069=4,INDEX(Acceleration!$T$4:$T$110,MATCH('Track Data'!S1069,Acceleration!$K$4:$K$110,0)),IF('Track Data'!O1069=3,INDEX(Acceleration!$S$4:$S$110,MATCH('Track Data'!S1069,Acceleration!$K$4:$K$110,0)),'Track Data'!AF1069)),'Track Data'!U1069)</f>
        <v>-14.71670186282954</v>
      </c>
      <c r="AH1069" s="16">
        <f>IF(AC1069=0,IF(O1069=2,INDEX(Acceleration!$R$4:$R$110,MATCH('Track Data'!S1069,Acceleration!$K$4:$K$110,0)),IF('Track Data'!O1069=1,INDEX(Acceleration!$Q$4:$Q$110,MATCH('Track Data'!S1069,Acceleration!$K$4:$K$110,0)),'Track Data'!AG1069)),'Track Data'!U1069)</f>
        <v>-14.71670186282954</v>
      </c>
    </row>
    <row r="1070" spans="2:34" x14ac:dyDescent="0.25">
      <c r="B1070" s="16">
        <v>225.852</v>
      </c>
      <c r="C1070" s="16">
        <v>8340</v>
      </c>
      <c r="D1070" s="16">
        <v>1067</v>
      </c>
      <c r="E1070" s="113">
        <v>148</v>
      </c>
      <c r="F1070" s="113">
        <v>151.1</v>
      </c>
      <c r="G1070" s="113">
        <v>146.6</v>
      </c>
      <c r="H1070" s="113">
        <f t="shared" si="117"/>
        <v>40.722222222222221</v>
      </c>
      <c r="I1070" s="113">
        <v>10</v>
      </c>
      <c r="J1070" s="113">
        <v>74.37</v>
      </c>
      <c r="K1070" s="113">
        <v>-52.9</v>
      </c>
      <c r="L1070" s="185"/>
      <c r="M1070" s="16">
        <v>1067</v>
      </c>
      <c r="N1070" s="16">
        <f t="shared" si="119"/>
        <v>2.1266627412558196E-2</v>
      </c>
      <c r="O1070" s="16">
        <v>4</v>
      </c>
      <c r="P1070" s="16">
        <f t="shared" si="115"/>
        <v>9.1833785004516724</v>
      </c>
      <c r="Q1070" s="16">
        <f t="shared" si="120"/>
        <v>47.022030367141717</v>
      </c>
      <c r="R1070" s="113">
        <f t="shared" si="116"/>
        <v>329.49099999999999</v>
      </c>
      <c r="S1070" s="16">
        <f>IF(S1069=15800,15800,ROUND((((Q1070*60)/'Gearing Calculator'!$C$14)*'Track Data'!P1070),-2))</f>
        <v>13100</v>
      </c>
      <c r="T1070" s="16">
        <f t="shared" si="118"/>
        <v>-14.71670186282954</v>
      </c>
      <c r="U1070" s="16">
        <f>IF(AC1070=100,Braking!$AG$2354,IF(AC1070=50,Braking!$AG$1179,IF(AC1070=75,Braking!$AG$1767,0)))</f>
        <v>-14.71670186282954</v>
      </c>
      <c r="V1070" s="16">
        <f>0.5*'Gearing Calculator'!$C$15*'Gearing Calculator'!$C$20*'Gearing Calculator'!$W$20*('Track Data'!Q1070^2)</f>
        <v>234.01979060955438</v>
      </c>
      <c r="W1070" s="16">
        <f>('Gearing Calculator'!$U$9*'Track Data'!T1070)+'Track Data'!V1070</f>
        <v>-3683.5662452756687</v>
      </c>
      <c r="X1070" s="16">
        <f>('Gearing Calculator'!$U$9*9.81)*('Gearing Calculator'!$U$16/'Gearing Calculator'!$C$7)-(('Track Data'!W1070)*('Gearing Calculator'!$U$17/'Gearing Calculator'!$C$7))</f>
        <v>3408.9574681653958</v>
      </c>
      <c r="Y1070" s="16">
        <f>('Gearing Calculator'!$U$9*9.81)*(('Gearing Calculator'!$C$7-'Gearing Calculator'!$U$16)/'Gearing Calculator'!$C$7)+(('Track Data'!W1070)*('Gearing Calculator'!$U$17/'Gearing Calculator'!$C$7))</f>
        <v>-797.53546816539597</v>
      </c>
      <c r="Z1070" s="16">
        <f>((X1070*COS('Gearing Calculator'!$C$21))/'Gearing Calculator'!$C$22)/2</f>
        <v>105.39418330178134</v>
      </c>
      <c r="AA1070" s="16">
        <f>Y1070/'Gearing Calculator'!$C$24</f>
        <v>-11.136270106386339</v>
      </c>
      <c r="AB1070" s="16">
        <f t="shared" si="114"/>
        <v>175.15298315823622</v>
      </c>
      <c r="AC1070" s="16">
        <v>100</v>
      </c>
      <c r="AD1070" s="16">
        <v>0</v>
      </c>
      <c r="AE1070" s="16">
        <v>1067</v>
      </c>
      <c r="AF1070" s="16">
        <f>IF(AC1070=0,IF(O1070=6,INDEX(Acceleration!$V$4:$V$110,MATCH('Track Data'!S1070,Acceleration!$K$4:$K$110,0)),IF('Track Data'!O1070=5,INDEX(Acceleration!$U$4:$U$110,MATCH('Track Data'!S1070,Acceleration!$K$4:$K$110,0)),1)),U1070)</f>
        <v>-14.71670186282954</v>
      </c>
      <c r="AG1070" s="16">
        <f>IF(AC1070=0,IF(O1070=4,INDEX(Acceleration!$T$4:$T$110,MATCH('Track Data'!S1070,Acceleration!$K$4:$K$110,0)),IF('Track Data'!O1070=3,INDEX(Acceleration!$S$4:$S$110,MATCH('Track Data'!S1070,Acceleration!$K$4:$K$110,0)),'Track Data'!AF1070)),'Track Data'!U1070)</f>
        <v>-14.71670186282954</v>
      </c>
      <c r="AH1070" s="16">
        <f>IF(AC1070=0,IF(O1070=2,INDEX(Acceleration!$R$4:$R$110,MATCH('Track Data'!S1070,Acceleration!$K$4:$K$110,0)),IF('Track Data'!O1070=1,INDEX(Acceleration!$Q$4:$Q$110,MATCH('Track Data'!S1070,Acceleration!$K$4:$K$110,0)),'Track Data'!AG1070)),'Track Data'!U1070)</f>
        <v>-14.71670186282954</v>
      </c>
    </row>
    <row r="1071" spans="2:34" x14ac:dyDescent="0.25">
      <c r="B1071" s="16">
        <v>225.876</v>
      </c>
      <c r="C1071" s="16">
        <v>8341</v>
      </c>
      <c r="D1071" s="16">
        <v>1068</v>
      </c>
      <c r="E1071" s="113">
        <v>148</v>
      </c>
      <c r="F1071" s="113">
        <v>151</v>
      </c>
      <c r="G1071" s="113">
        <v>146</v>
      </c>
      <c r="H1071" s="113">
        <f t="shared" si="117"/>
        <v>40.555555555555557</v>
      </c>
      <c r="I1071" s="113">
        <v>9.6999999999999993</v>
      </c>
      <c r="J1071" s="113">
        <v>73.11</v>
      </c>
      <c r="K1071" s="113">
        <v>-48.5</v>
      </c>
      <c r="L1071" s="185"/>
      <c r="M1071" s="16">
        <v>1068</v>
      </c>
      <c r="N1071" s="16">
        <f t="shared" si="119"/>
        <v>2.1409605334399562E-2</v>
      </c>
      <c r="O1071" s="16">
        <v>4</v>
      </c>
      <c r="P1071" s="16">
        <f t="shared" si="115"/>
        <v>9.1833785004516724</v>
      </c>
      <c r="Q1071" s="16">
        <f t="shared" si="120"/>
        <v>46.708007194941842</v>
      </c>
      <c r="R1071" s="113">
        <f t="shared" si="116"/>
        <v>329.49099999999999</v>
      </c>
      <c r="S1071" s="16">
        <f>IF(S1070=15800,15800,ROUND((((Q1071*60)/'Gearing Calculator'!$C$14)*'Track Data'!P1071),-2))</f>
        <v>13000</v>
      </c>
      <c r="T1071" s="16">
        <f t="shared" si="118"/>
        <v>-14.71670186282954</v>
      </c>
      <c r="U1071" s="16">
        <f>IF(AC1071=100,Braking!$AG$2354,IF(AC1071=50,Braking!$AG$1179,IF(AC1071=75,Braking!$AG$1767,0)))</f>
        <v>-14.71670186282954</v>
      </c>
      <c r="V1071" s="16">
        <f>0.5*'Gearing Calculator'!$C$15*'Gearing Calculator'!$C$20*'Gearing Calculator'!$W$20*('Track Data'!Q1071^2)</f>
        <v>230.90455915923067</v>
      </c>
      <c r="W1071" s="16">
        <f>('Gearing Calculator'!$U$9*'Track Data'!T1071)+'Track Data'!V1071</f>
        <v>-3686.6814767259925</v>
      </c>
      <c r="X1071" s="16">
        <f>('Gearing Calculator'!$U$9*9.81)*('Gearing Calculator'!$U$16/'Gearing Calculator'!$C$7)-(('Track Data'!W1071)*('Gearing Calculator'!$U$17/'Gearing Calculator'!$C$7))</f>
        <v>3410.655482056608</v>
      </c>
      <c r="Y1071" s="16">
        <f>('Gearing Calculator'!$U$9*9.81)*(('Gearing Calculator'!$C$7-'Gearing Calculator'!$U$16)/'Gearing Calculator'!$C$7)+(('Track Data'!W1071)*('Gearing Calculator'!$U$17/'Gearing Calculator'!$C$7))</f>
        <v>-799.23348205660795</v>
      </c>
      <c r="Z1071" s="16">
        <f>((X1071*COS('Gearing Calculator'!$C$21))/'Gearing Calculator'!$C$22)/2</f>
        <v>105.44668052093724</v>
      </c>
      <c r="AA1071" s="16">
        <f>Y1071/'Gearing Calculator'!$C$24</f>
        <v>-11.159980075524679</v>
      </c>
      <c r="AB1071" s="16">
        <f t="shared" si="114"/>
        <v>172.03775170791252</v>
      </c>
      <c r="AC1071" s="16">
        <v>100</v>
      </c>
      <c r="AD1071" s="16">
        <v>0</v>
      </c>
      <c r="AE1071" s="16">
        <v>1068</v>
      </c>
      <c r="AF1071" s="16">
        <f>IF(AC1071=0,IF(O1071=6,INDEX(Acceleration!$V$4:$V$110,MATCH('Track Data'!S1071,Acceleration!$K$4:$K$110,0)),IF('Track Data'!O1071=5,INDEX(Acceleration!$U$4:$U$110,MATCH('Track Data'!S1071,Acceleration!$K$4:$K$110,0)),1)),U1071)</f>
        <v>-14.71670186282954</v>
      </c>
      <c r="AG1071" s="16">
        <f>IF(AC1071=0,IF(O1071=4,INDEX(Acceleration!$T$4:$T$110,MATCH('Track Data'!S1071,Acceleration!$K$4:$K$110,0)),IF('Track Data'!O1071=3,INDEX(Acceleration!$S$4:$S$110,MATCH('Track Data'!S1071,Acceleration!$K$4:$K$110,0)),'Track Data'!AF1071)),'Track Data'!U1071)</f>
        <v>-14.71670186282954</v>
      </c>
      <c r="AH1071" s="16">
        <f>IF(AC1071=0,IF(O1071=2,INDEX(Acceleration!$R$4:$R$110,MATCH('Track Data'!S1071,Acceleration!$K$4:$K$110,0)),IF('Track Data'!O1071=1,INDEX(Acceleration!$Q$4:$Q$110,MATCH('Track Data'!S1071,Acceleration!$K$4:$K$110,0)),'Track Data'!AG1071)),'Track Data'!U1071)</f>
        <v>-14.71670186282954</v>
      </c>
    </row>
    <row r="1072" spans="2:34" x14ac:dyDescent="0.25">
      <c r="B1072" s="16">
        <v>225.899</v>
      </c>
      <c r="C1072" s="16">
        <v>8342</v>
      </c>
      <c r="D1072" s="16">
        <v>1069</v>
      </c>
      <c r="E1072" s="113">
        <v>148</v>
      </c>
      <c r="F1072" s="113">
        <v>150.80000000000001</v>
      </c>
      <c r="G1072" s="113">
        <v>145.4</v>
      </c>
      <c r="H1072" s="113">
        <f t="shared" si="117"/>
        <v>40.388888888888893</v>
      </c>
      <c r="I1072" s="113">
        <v>9.1</v>
      </c>
      <c r="J1072" s="113">
        <v>71.3</v>
      </c>
      <c r="K1072" s="113">
        <v>-44.2</v>
      </c>
      <c r="L1072" s="185"/>
      <c r="M1072" s="16">
        <v>1069</v>
      </c>
      <c r="N1072" s="16">
        <f t="shared" si="119"/>
        <v>2.1555506353000069E-2</v>
      </c>
      <c r="O1072" s="16">
        <v>4</v>
      </c>
      <c r="P1072" s="16">
        <f t="shared" si="115"/>
        <v>9.1833785004516724</v>
      </c>
      <c r="Q1072" s="16">
        <f t="shared" si="120"/>
        <v>46.391858471040798</v>
      </c>
      <c r="R1072" s="113">
        <f t="shared" si="116"/>
        <v>329.49099999999999</v>
      </c>
      <c r="S1072" s="16">
        <f>IF(S1071=15800,15800,ROUND((((Q1072*60)/'Gearing Calculator'!$C$14)*'Track Data'!P1072),-2))</f>
        <v>12900</v>
      </c>
      <c r="T1072" s="16">
        <f t="shared" si="118"/>
        <v>-14.71670186282954</v>
      </c>
      <c r="U1072" s="16">
        <f>IF(AC1072=100,Braking!$AG$2354,IF(AC1072=50,Braking!$AG$1179,IF(AC1072=75,Braking!$AG$1767,0)))</f>
        <v>-14.71670186282954</v>
      </c>
      <c r="V1072" s="16">
        <f>0.5*'Gearing Calculator'!$C$15*'Gearing Calculator'!$C$20*'Gearing Calculator'!$W$20*('Track Data'!Q1072^2)</f>
        <v>227.78932770890688</v>
      </c>
      <c r="W1072" s="16">
        <f>('Gearing Calculator'!$U$9*'Track Data'!T1072)+'Track Data'!V1072</f>
        <v>-3689.7967081763163</v>
      </c>
      <c r="X1072" s="16">
        <f>('Gearing Calculator'!$U$9*9.81)*('Gearing Calculator'!$U$16/'Gearing Calculator'!$C$7)-(('Track Data'!W1072)*('Gearing Calculator'!$U$17/'Gearing Calculator'!$C$7))</f>
        <v>3412.3534959478197</v>
      </c>
      <c r="Y1072" s="16">
        <f>('Gearing Calculator'!$U$9*9.81)*(('Gearing Calculator'!$C$7-'Gearing Calculator'!$U$16)/'Gearing Calculator'!$C$7)+(('Track Data'!W1072)*('Gearing Calculator'!$U$17/'Gearing Calculator'!$C$7))</f>
        <v>-800.93149594781971</v>
      </c>
      <c r="Z1072" s="16">
        <f>((X1072*COS('Gearing Calculator'!$C$21))/'Gearing Calculator'!$C$22)/2</f>
        <v>105.4991777400931</v>
      </c>
      <c r="AA1072" s="16">
        <f>Y1072/'Gearing Calculator'!$C$24</f>
        <v>-11.183690044663015</v>
      </c>
      <c r="AB1072" s="16">
        <f t="shared" si="114"/>
        <v>168.92252025758873</v>
      </c>
      <c r="AC1072" s="16">
        <v>100</v>
      </c>
      <c r="AD1072" s="16">
        <v>0</v>
      </c>
      <c r="AE1072" s="16">
        <v>1069</v>
      </c>
      <c r="AF1072" s="16">
        <f>IF(AC1072=0,IF(O1072=6,INDEX(Acceleration!$V$4:$V$110,MATCH('Track Data'!S1072,Acceleration!$K$4:$K$110,0)),IF('Track Data'!O1072=5,INDEX(Acceleration!$U$4:$U$110,MATCH('Track Data'!S1072,Acceleration!$K$4:$K$110,0)),1)),U1072)</f>
        <v>-14.71670186282954</v>
      </c>
      <c r="AG1072" s="16">
        <f>IF(AC1072=0,IF(O1072=4,INDEX(Acceleration!$T$4:$T$110,MATCH('Track Data'!S1072,Acceleration!$K$4:$K$110,0)),IF('Track Data'!O1072=3,INDEX(Acceleration!$S$4:$S$110,MATCH('Track Data'!S1072,Acceleration!$K$4:$K$110,0)),'Track Data'!AF1072)),'Track Data'!U1072)</f>
        <v>-14.71670186282954</v>
      </c>
      <c r="AH1072" s="16">
        <f>IF(AC1072=0,IF(O1072=2,INDEX(Acceleration!$R$4:$R$110,MATCH('Track Data'!S1072,Acceleration!$K$4:$K$110,0)),IF('Track Data'!O1072=1,INDEX(Acceleration!$Q$4:$Q$110,MATCH('Track Data'!S1072,Acceleration!$K$4:$K$110,0)),'Track Data'!AG1072)),'Track Data'!U1072)</f>
        <v>-14.71670186282954</v>
      </c>
    </row>
    <row r="1073" spans="2:34" x14ac:dyDescent="0.25">
      <c r="B1073" s="16">
        <v>225.923</v>
      </c>
      <c r="C1073" s="16">
        <v>8343</v>
      </c>
      <c r="D1073" s="16">
        <v>1070</v>
      </c>
      <c r="E1073" s="113">
        <v>147</v>
      </c>
      <c r="F1073" s="113">
        <v>150.5</v>
      </c>
      <c r="G1073" s="113">
        <v>144.6</v>
      </c>
      <c r="H1073" s="113">
        <f t="shared" si="117"/>
        <v>40.166666666666664</v>
      </c>
      <c r="I1073" s="113">
        <v>8.6</v>
      </c>
      <c r="J1073" s="113">
        <v>70.459999999999994</v>
      </c>
      <c r="K1073" s="113">
        <v>-38.4</v>
      </c>
      <c r="L1073" s="185"/>
      <c r="M1073" s="16">
        <v>1070</v>
      </c>
      <c r="N1073" s="16">
        <f t="shared" si="119"/>
        <v>2.1704431447012819E-2</v>
      </c>
      <c r="O1073" s="16">
        <v>4</v>
      </c>
      <c r="P1073" s="16">
        <f t="shared" si="115"/>
        <v>9.1833785004516724</v>
      </c>
      <c r="Q1073" s="16">
        <f t="shared" si="120"/>
        <v>46.073540439946882</v>
      </c>
      <c r="R1073" s="113">
        <f t="shared" si="116"/>
        <v>329.49099999999999</v>
      </c>
      <c r="S1073" s="16">
        <f>IF(S1072=15800,15800,ROUND((((Q1073*60)/'Gearing Calculator'!$C$14)*'Track Data'!P1073),-2))</f>
        <v>12800</v>
      </c>
      <c r="T1073" s="16">
        <f t="shared" si="118"/>
        <v>-14.71670186282954</v>
      </c>
      <c r="U1073" s="16">
        <f>IF(AC1073=100,Braking!$AG$2354,IF(AC1073=50,Braking!$AG$1179,IF(AC1073=75,Braking!$AG$1767,0)))</f>
        <v>-14.71670186282954</v>
      </c>
      <c r="V1073" s="16">
        <f>0.5*'Gearing Calculator'!$C$15*'Gearing Calculator'!$C$20*'Gearing Calculator'!$W$20*('Track Data'!Q1073^2)</f>
        <v>224.67409625858315</v>
      </c>
      <c r="W1073" s="16">
        <f>('Gearing Calculator'!$U$9*'Track Data'!T1073)+'Track Data'!V1073</f>
        <v>-3692.9119396266401</v>
      </c>
      <c r="X1073" s="16">
        <f>('Gearing Calculator'!$U$9*9.81)*('Gearing Calculator'!$U$16/'Gearing Calculator'!$C$7)-(('Track Data'!W1073)*('Gearing Calculator'!$U$17/'Gearing Calculator'!$C$7))</f>
        <v>3414.0515098390315</v>
      </c>
      <c r="Y1073" s="16">
        <f>('Gearing Calculator'!$U$9*9.81)*(('Gearing Calculator'!$C$7-'Gearing Calculator'!$U$16)/'Gearing Calculator'!$C$7)+(('Track Data'!W1073)*('Gearing Calculator'!$U$17/'Gearing Calculator'!$C$7))</f>
        <v>-802.62950983903147</v>
      </c>
      <c r="Z1073" s="16">
        <f>((X1073*COS('Gearing Calculator'!$C$21))/'Gearing Calculator'!$C$22)/2</f>
        <v>105.55167495924898</v>
      </c>
      <c r="AA1073" s="16">
        <f>Y1073/'Gearing Calculator'!$C$24</f>
        <v>-11.207400013801351</v>
      </c>
      <c r="AB1073" s="16">
        <f t="shared" si="114"/>
        <v>165.807288807265</v>
      </c>
      <c r="AC1073" s="16">
        <v>100</v>
      </c>
      <c r="AD1073" s="16">
        <v>0</v>
      </c>
      <c r="AE1073" s="16">
        <v>1070</v>
      </c>
      <c r="AF1073" s="16">
        <f>IF(AC1073=0,IF(O1073=6,INDEX(Acceleration!$V$4:$V$110,MATCH('Track Data'!S1073,Acceleration!$K$4:$K$110,0)),IF('Track Data'!O1073=5,INDEX(Acceleration!$U$4:$U$110,MATCH('Track Data'!S1073,Acceleration!$K$4:$K$110,0)),1)),U1073)</f>
        <v>-14.71670186282954</v>
      </c>
      <c r="AG1073" s="16">
        <f>IF(AC1073=0,IF(O1073=4,INDEX(Acceleration!$T$4:$T$110,MATCH('Track Data'!S1073,Acceleration!$K$4:$K$110,0)),IF('Track Data'!O1073=3,INDEX(Acceleration!$S$4:$S$110,MATCH('Track Data'!S1073,Acceleration!$K$4:$K$110,0)),'Track Data'!AF1073)),'Track Data'!U1073)</f>
        <v>-14.71670186282954</v>
      </c>
      <c r="AH1073" s="16">
        <f>IF(AC1073=0,IF(O1073=2,INDEX(Acceleration!$R$4:$R$110,MATCH('Track Data'!S1073,Acceleration!$K$4:$K$110,0)),IF('Track Data'!O1073=1,INDEX(Acceleration!$Q$4:$Q$110,MATCH('Track Data'!S1073,Acceleration!$K$4:$K$110,0)),'Track Data'!AG1073)),'Track Data'!U1073)</f>
        <v>-14.71670186282954</v>
      </c>
    </row>
    <row r="1074" spans="2:34" x14ac:dyDescent="0.25">
      <c r="B1074" s="16">
        <v>225.947</v>
      </c>
      <c r="C1074" s="16">
        <v>8344</v>
      </c>
      <c r="D1074" s="16">
        <v>1071</v>
      </c>
      <c r="E1074" s="113">
        <v>147</v>
      </c>
      <c r="F1074" s="113">
        <v>150.1</v>
      </c>
      <c r="G1074" s="113">
        <v>144.1</v>
      </c>
      <c r="H1074" s="113">
        <f t="shared" si="117"/>
        <v>40.027777777777779</v>
      </c>
      <c r="I1074" s="113">
        <v>8.5</v>
      </c>
      <c r="J1074" s="113">
        <v>68.67</v>
      </c>
      <c r="K1074" s="113">
        <v>-38</v>
      </c>
      <c r="L1074" s="185"/>
      <c r="M1074" s="16">
        <v>1071</v>
      </c>
      <c r="N1074" s="16">
        <f t="shared" si="119"/>
        <v>2.1856486547203263E-2</v>
      </c>
      <c r="O1074" s="16">
        <v>4</v>
      </c>
      <c r="P1074" s="16">
        <f t="shared" si="115"/>
        <v>9.1833785004516724</v>
      </c>
      <c r="Q1074" s="16">
        <f t="shared" si="120"/>
        <v>45.753007824030121</v>
      </c>
      <c r="R1074" s="113">
        <f t="shared" si="116"/>
        <v>329.49099999999999</v>
      </c>
      <c r="S1074" s="16">
        <f>IF(S1073=15800,15800,ROUND((((Q1074*60)/'Gearing Calculator'!$C$14)*'Track Data'!P1074),-2))</f>
        <v>12700</v>
      </c>
      <c r="T1074" s="16">
        <f t="shared" si="118"/>
        <v>-14.71670186282954</v>
      </c>
      <c r="U1074" s="16">
        <f>IF(AC1074=100,Braking!$AG$2354,IF(AC1074=50,Braking!$AG$1179,IF(AC1074=75,Braking!$AG$1767,0)))</f>
        <v>-14.71670186282954</v>
      </c>
      <c r="V1074" s="16">
        <f>0.5*'Gearing Calculator'!$C$15*'Gearing Calculator'!$C$20*'Gearing Calculator'!$W$20*('Track Data'!Q1074^2)</f>
        <v>221.55886480825936</v>
      </c>
      <c r="W1074" s="16">
        <f>('Gearing Calculator'!$U$9*'Track Data'!T1074)+'Track Data'!V1074</f>
        <v>-3696.0271710769639</v>
      </c>
      <c r="X1074" s="16">
        <f>('Gearing Calculator'!$U$9*9.81)*('Gearing Calculator'!$U$16/'Gearing Calculator'!$C$7)-(('Track Data'!W1074)*('Gearing Calculator'!$U$17/'Gearing Calculator'!$C$7))</f>
        <v>3415.7495237302433</v>
      </c>
      <c r="Y1074" s="16">
        <f>('Gearing Calculator'!$U$9*9.81)*(('Gearing Calculator'!$C$7-'Gearing Calculator'!$U$16)/'Gearing Calculator'!$C$7)+(('Track Data'!W1074)*('Gearing Calculator'!$U$17/'Gearing Calculator'!$C$7))</f>
        <v>-804.32752373024323</v>
      </c>
      <c r="Z1074" s="16">
        <f>((X1074*COS('Gearing Calculator'!$C$21))/'Gearing Calculator'!$C$22)/2</f>
        <v>105.60417217840487</v>
      </c>
      <c r="AA1074" s="16">
        <f>Y1074/'Gearing Calculator'!$C$24</f>
        <v>-11.231109982939687</v>
      </c>
      <c r="AB1074" s="16">
        <f t="shared" si="114"/>
        <v>162.69205735694121</v>
      </c>
      <c r="AC1074" s="16">
        <v>100</v>
      </c>
      <c r="AD1074" s="16">
        <v>0</v>
      </c>
      <c r="AE1074" s="16">
        <v>1071</v>
      </c>
      <c r="AF1074" s="16">
        <f>IF(AC1074=0,IF(O1074=6,INDEX(Acceleration!$V$4:$V$110,MATCH('Track Data'!S1074,Acceleration!$K$4:$K$110,0)),IF('Track Data'!O1074=5,INDEX(Acceleration!$U$4:$U$110,MATCH('Track Data'!S1074,Acceleration!$K$4:$K$110,0)),1)),U1074)</f>
        <v>-14.71670186282954</v>
      </c>
      <c r="AG1074" s="16">
        <f>IF(AC1074=0,IF(O1074=4,INDEX(Acceleration!$T$4:$T$110,MATCH('Track Data'!S1074,Acceleration!$K$4:$K$110,0)),IF('Track Data'!O1074=3,INDEX(Acceleration!$S$4:$S$110,MATCH('Track Data'!S1074,Acceleration!$K$4:$K$110,0)),'Track Data'!AF1074)),'Track Data'!U1074)</f>
        <v>-14.71670186282954</v>
      </c>
      <c r="AH1074" s="16">
        <f>IF(AC1074=0,IF(O1074=2,INDEX(Acceleration!$R$4:$R$110,MATCH('Track Data'!S1074,Acceleration!$K$4:$K$110,0)),IF('Track Data'!O1074=1,INDEX(Acceleration!$Q$4:$Q$110,MATCH('Track Data'!S1074,Acceleration!$K$4:$K$110,0)),'Track Data'!AG1074)),'Track Data'!U1074)</f>
        <v>-14.71670186282954</v>
      </c>
    </row>
    <row r="1075" spans="2:34" x14ac:dyDescent="0.25">
      <c r="B1075" s="16">
        <v>225.971</v>
      </c>
      <c r="C1075" s="16">
        <v>8345</v>
      </c>
      <c r="D1075" s="16">
        <v>1072</v>
      </c>
      <c r="E1075" s="113">
        <v>147</v>
      </c>
      <c r="F1075" s="113">
        <v>149.69999999999999</v>
      </c>
      <c r="G1075" s="113">
        <v>143.4</v>
      </c>
      <c r="H1075" s="113">
        <f t="shared" si="117"/>
        <v>39.833333333333336</v>
      </c>
      <c r="I1075" s="113">
        <v>8.5</v>
      </c>
      <c r="J1075" s="113">
        <v>66.02</v>
      </c>
      <c r="K1075" s="113">
        <v>-37.299999999999997</v>
      </c>
      <c r="L1075" s="185"/>
      <c r="M1075" s="16">
        <v>1072</v>
      </c>
      <c r="N1075" s="16">
        <f t="shared" si="119"/>
        <v>2.2011782853134407E-2</v>
      </c>
      <c r="O1075" s="16">
        <v>4</v>
      </c>
      <c r="P1075" s="16">
        <f t="shared" si="115"/>
        <v>9.1833785004516724</v>
      </c>
      <c r="Q1075" s="16">
        <f t="shared" si="120"/>
        <v>45.430213748342659</v>
      </c>
      <c r="R1075" s="113">
        <f t="shared" si="116"/>
        <v>329.49099999999999</v>
      </c>
      <c r="S1075" s="16">
        <f>IF(S1074=15800,15800,ROUND((((Q1075*60)/'Gearing Calculator'!$C$14)*'Track Data'!P1075),-2))</f>
        <v>12600</v>
      </c>
      <c r="T1075" s="16">
        <f t="shared" si="118"/>
        <v>-14.71670186282954</v>
      </c>
      <c r="U1075" s="16">
        <f>IF(AC1075=100,Braking!$AG$2354,IF(AC1075=50,Braking!$AG$1179,IF(AC1075=75,Braking!$AG$1767,0)))</f>
        <v>-14.71670186282954</v>
      </c>
      <c r="V1075" s="16">
        <f>0.5*'Gearing Calculator'!$C$15*'Gearing Calculator'!$C$20*'Gearing Calculator'!$W$20*('Track Data'!Q1075^2)</f>
        <v>218.4436333579356</v>
      </c>
      <c r="W1075" s="16">
        <f>('Gearing Calculator'!$U$9*'Track Data'!T1075)+'Track Data'!V1075</f>
        <v>-3699.1424025272877</v>
      </c>
      <c r="X1075" s="16">
        <f>('Gearing Calculator'!$U$9*9.81)*('Gearing Calculator'!$U$16/'Gearing Calculator'!$C$7)-(('Track Data'!W1075)*('Gearing Calculator'!$U$17/'Gearing Calculator'!$C$7))</f>
        <v>3417.447537621455</v>
      </c>
      <c r="Y1075" s="16">
        <f>('Gearing Calculator'!$U$9*9.81)*(('Gearing Calculator'!$C$7-'Gearing Calculator'!$U$16)/'Gearing Calculator'!$C$7)+(('Track Data'!W1075)*('Gearing Calculator'!$U$17/'Gearing Calculator'!$C$7))</f>
        <v>-806.02553762145499</v>
      </c>
      <c r="Z1075" s="16">
        <f>((X1075*COS('Gearing Calculator'!$C$21))/'Gearing Calculator'!$C$22)/2</f>
        <v>105.65666939756073</v>
      </c>
      <c r="AA1075" s="16">
        <f>Y1075/'Gearing Calculator'!$C$24</f>
        <v>-11.254819952078025</v>
      </c>
      <c r="AB1075" s="16">
        <f t="shared" si="114"/>
        <v>159.57682590661744</v>
      </c>
      <c r="AC1075" s="16">
        <v>100</v>
      </c>
      <c r="AD1075" s="16">
        <v>0</v>
      </c>
      <c r="AE1075" s="16">
        <v>1072</v>
      </c>
      <c r="AF1075" s="16">
        <f>IF(AC1075=0,IF(O1075=6,INDEX(Acceleration!$V$4:$V$110,MATCH('Track Data'!S1075,Acceleration!$K$4:$K$110,0)),IF('Track Data'!O1075=5,INDEX(Acceleration!$U$4:$U$110,MATCH('Track Data'!S1075,Acceleration!$K$4:$K$110,0)),1)),U1075)</f>
        <v>-14.71670186282954</v>
      </c>
      <c r="AG1075" s="16">
        <f>IF(AC1075=0,IF(O1075=4,INDEX(Acceleration!$T$4:$T$110,MATCH('Track Data'!S1075,Acceleration!$K$4:$K$110,0)),IF('Track Data'!O1075=3,INDEX(Acceleration!$S$4:$S$110,MATCH('Track Data'!S1075,Acceleration!$K$4:$K$110,0)),'Track Data'!AF1075)),'Track Data'!U1075)</f>
        <v>-14.71670186282954</v>
      </c>
      <c r="AH1075" s="16">
        <f>IF(AC1075=0,IF(O1075=2,INDEX(Acceleration!$R$4:$R$110,MATCH('Track Data'!S1075,Acceleration!$K$4:$K$110,0)),IF('Track Data'!O1075=1,INDEX(Acceleration!$Q$4:$Q$110,MATCH('Track Data'!S1075,Acceleration!$K$4:$K$110,0)),'Track Data'!AG1075)),'Track Data'!U1075)</f>
        <v>-14.71670186282954</v>
      </c>
    </row>
    <row r="1076" spans="2:34" x14ac:dyDescent="0.25">
      <c r="B1076" s="16">
        <v>225.994</v>
      </c>
      <c r="C1076" s="16">
        <v>8346</v>
      </c>
      <c r="D1076" s="16">
        <v>1073</v>
      </c>
      <c r="E1076" s="113">
        <v>147</v>
      </c>
      <c r="F1076" s="113">
        <v>149.5</v>
      </c>
      <c r="G1076" s="113">
        <v>142.9</v>
      </c>
      <c r="H1076" s="113">
        <f t="shared" si="117"/>
        <v>39.694444444444443</v>
      </c>
      <c r="I1076" s="113">
        <v>8</v>
      </c>
      <c r="J1076" s="113">
        <v>64.72</v>
      </c>
      <c r="K1076" s="113">
        <v>-36.9</v>
      </c>
      <c r="L1076" s="185"/>
      <c r="M1076" s="16">
        <v>1073</v>
      </c>
      <c r="N1076" s="16">
        <f t="shared" si="119"/>
        <v>2.2170437174961376E-2</v>
      </c>
      <c r="O1076" s="16">
        <v>4</v>
      </c>
      <c r="P1076" s="16">
        <f t="shared" si="115"/>
        <v>9.1833785004516724</v>
      </c>
      <c r="Q1076" s="16">
        <f t="shared" si="120"/>
        <v>45.105109660596582</v>
      </c>
      <c r="R1076" s="113">
        <f t="shared" si="116"/>
        <v>329.49099999999999</v>
      </c>
      <c r="S1076" s="16">
        <f>IF(S1075=15800,15800,ROUND((((Q1076*60)/'Gearing Calculator'!$C$14)*'Track Data'!P1076),-2))</f>
        <v>12600</v>
      </c>
      <c r="T1076" s="16">
        <f t="shared" si="118"/>
        <v>-14.71670186282954</v>
      </c>
      <c r="U1076" s="16">
        <f>IF(AC1076=100,Braking!$AG$2354,IF(AC1076=50,Braking!$AG$1179,IF(AC1076=75,Braking!$AG$1767,0)))</f>
        <v>-14.71670186282954</v>
      </c>
      <c r="V1076" s="16">
        <f>0.5*'Gearing Calculator'!$C$15*'Gearing Calculator'!$C$20*'Gearing Calculator'!$W$20*('Track Data'!Q1076^2)</f>
        <v>215.32840190761186</v>
      </c>
      <c r="W1076" s="16">
        <f>('Gearing Calculator'!$U$9*'Track Data'!T1076)+'Track Data'!V1076</f>
        <v>-3702.2576339776115</v>
      </c>
      <c r="X1076" s="16">
        <f>('Gearing Calculator'!$U$9*9.81)*('Gearing Calculator'!$U$16/'Gearing Calculator'!$C$7)-(('Track Data'!W1076)*('Gearing Calculator'!$U$17/'Gearing Calculator'!$C$7))</f>
        <v>3419.1455515126672</v>
      </c>
      <c r="Y1076" s="16">
        <f>('Gearing Calculator'!$U$9*9.81)*(('Gearing Calculator'!$C$7-'Gearing Calculator'!$U$16)/'Gearing Calculator'!$C$7)+(('Track Data'!W1076)*('Gearing Calculator'!$U$17/'Gearing Calculator'!$C$7))</f>
        <v>-807.72355151266697</v>
      </c>
      <c r="Z1076" s="16">
        <f>((X1076*COS('Gearing Calculator'!$C$21))/'Gearing Calculator'!$C$22)/2</f>
        <v>105.70916661671663</v>
      </c>
      <c r="AA1076" s="16">
        <f>Y1076/'Gearing Calculator'!$C$24</f>
        <v>-11.278529921216364</v>
      </c>
      <c r="AB1076" s="16">
        <f t="shared" si="114"/>
        <v>156.46159445629371</v>
      </c>
      <c r="AC1076" s="16">
        <v>100</v>
      </c>
      <c r="AD1076" s="16">
        <v>0</v>
      </c>
      <c r="AE1076" s="16">
        <v>1073</v>
      </c>
      <c r="AF1076" s="16">
        <f>IF(AC1076=0,IF(O1076=6,INDEX(Acceleration!$V$4:$V$110,MATCH('Track Data'!S1076,Acceleration!$K$4:$K$110,0)),IF('Track Data'!O1076=5,INDEX(Acceleration!$U$4:$U$110,MATCH('Track Data'!S1076,Acceleration!$K$4:$K$110,0)),1)),U1076)</f>
        <v>-14.71670186282954</v>
      </c>
      <c r="AG1076" s="16">
        <f>IF(AC1076=0,IF(O1076=4,INDEX(Acceleration!$T$4:$T$110,MATCH('Track Data'!S1076,Acceleration!$K$4:$K$110,0)),IF('Track Data'!O1076=3,INDEX(Acceleration!$S$4:$S$110,MATCH('Track Data'!S1076,Acceleration!$K$4:$K$110,0)),'Track Data'!AF1076)),'Track Data'!U1076)</f>
        <v>-14.71670186282954</v>
      </c>
      <c r="AH1076" s="16">
        <f>IF(AC1076=0,IF(O1076=2,INDEX(Acceleration!$R$4:$R$110,MATCH('Track Data'!S1076,Acceleration!$K$4:$K$110,0)),IF('Track Data'!O1076=1,INDEX(Acceleration!$Q$4:$Q$110,MATCH('Track Data'!S1076,Acceleration!$K$4:$K$110,0)),'Track Data'!AG1076)),'Track Data'!U1076)</f>
        <v>-14.71670186282954</v>
      </c>
    </row>
    <row r="1077" spans="2:34" x14ac:dyDescent="0.25">
      <c r="B1077" s="16">
        <v>226.01900000000001</v>
      </c>
      <c r="C1077" s="16">
        <v>8347</v>
      </c>
      <c r="D1077" s="16">
        <v>1074</v>
      </c>
      <c r="E1077" s="113">
        <v>147</v>
      </c>
      <c r="F1077" s="113">
        <v>149.30000000000001</v>
      </c>
      <c r="G1077" s="113">
        <v>142.4</v>
      </c>
      <c r="H1077" s="113">
        <f t="shared" si="117"/>
        <v>39.555555555555557</v>
      </c>
      <c r="I1077" s="113">
        <v>7.6</v>
      </c>
      <c r="J1077" s="113">
        <v>63.79</v>
      </c>
      <c r="K1077" s="113">
        <v>-37.5</v>
      </c>
      <c r="L1077" s="185"/>
      <c r="M1077" s="16">
        <v>1074</v>
      </c>
      <c r="N1077" s="16">
        <f t="shared" si="119"/>
        <v>2.233257230272255E-2</v>
      </c>
      <c r="O1077" s="16">
        <v>4</v>
      </c>
      <c r="P1077" s="16">
        <f t="shared" si="115"/>
        <v>9.1833785004516724</v>
      </c>
      <c r="Q1077" s="16">
        <f t="shared" si="120"/>
        <v>44.777645245912431</v>
      </c>
      <c r="R1077" s="113">
        <f t="shared" si="116"/>
        <v>329.49099999999999</v>
      </c>
      <c r="S1077" s="16">
        <f>IF(S1076=15800,15800,ROUND((((Q1077*60)/'Gearing Calculator'!$C$14)*'Track Data'!P1077),-2))</f>
        <v>12500</v>
      </c>
      <c r="T1077" s="16">
        <f t="shared" si="118"/>
        <v>-14.71670186282954</v>
      </c>
      <c r="U1077" s="16">
        <f>IF(AC1077=100,Braking!$AG$2354,IF(AC1077=50,Braking!$AG$1179,IF(AC1077=75,Braking!$AG$1767,0)))</f>
        <v>-14.71670186282954</v>
      </c>
      <c r="V1077" s="16">
        <f>0.5*'Gearing Calculator'!$C$15*'Gearing Calculator'!$C$20*'Gearing Calculator'!$W$20*('Track Data'!Q1077^2)</f>
        <v>212.2131704572881</v>
      </c>
      <c r="W1077" s="16">
        <f>('Gearing Calculator'!$U$9*'Track Data'!T1077)+'Track Data'!V1077</f>
        <v>-3705.3728654279353</v>
      </c>
      <c r="X1077" s="16">
        <f>('Gearing Calculator'!$U$9*9.81)*('Gearing Calculator'!$U$16/'Gearing Calculator'!$C$7)-(('Track Data'!W1077)*('Gearing Calculator'!$U$17/'Gearing Calculator'!$C$7))</f>
        <v>3420.8435654038785</v>
      </c>
      <c r="Y1077" s="16">
        <f>('Gearing Calculator'!$U$9*9.81)*(('Gearing Calculator'!$C$7-'Gearing Calculator'!$U$16)/'Gearing Calculator'!$C$7)+(('Track Data'!W1077)*('Gearing Calculator'!$U$17/'Gearing Calculator'!$C$7))</f>
        <v>-809.42156540387873</v>
      </c>
      <c r="Z1077" s="16">
        <f>((X1077*COS('Gearing Calculator'!$C$21))/'Gearing Calculator'!$C$22)/2</f>
        <v>105.7616638358725</v>
      </c>
      <c r="AA1077" s="16">
        <f>Y1077/'Gearing Calculator'!$C$24</f>
        <v>-11.3022398903547</v>
      </c>
      <c r="AB1077" s="16">
        <f t="shared" si="114"/>
        <v>153.34636300596995</v>
      </c>
      <c r="AC1077" s="16">
        <v>100</v>
      </c>
      <c r="AD1077" s="16">
        <v>0</v>
      </c>
      <c r="AE1077" s="16">
        <v>1074</v>
      </c>
      <c r="AF1077" s="16">
        <f>IF(AC1077=0,IF(O1077=6,INDEX(Acceleration!$V$4:$V$110,MATCH('Track Data'!S1077,Acceleration!$K$4:$K$110,0)),IF('Track Data'!O1077=5,INDEX(Acceleration!$U$4:$U$110,MATCH('Track Data'!S1077,Acceleration!$K$4:$K$110,0)),1)),U1077)</f>
        <v>-14.71670186282954</v>
      </c>
      <c r="AG1077" s="16">
        <f>IF(AC1077=0,IF(O1077=4,INDEX(Acceleration!$T$4:$T$110,MATCH('Track Data'!S1077,Acceleration!$K$4:$K$110,0)),IF('Track Data'!O1077=3,INDEX(Acceleration!$S$4:$S$110,MATCH('Track Data'!S1077,Acceleration!$K$4:$K$110,0)),'Track Data'!AF1077)),'Track Data'!U1077)</f>
        <v>-14.71670186282954</v>
      </c>
      <c r="AH1077" s="16">
        <f>IF(AC1077=0,IF(O1077=2,INDEX(Acceleration!$R$4:$R$110,MATCH('Track Data'!S1077,Acceleration!$K$4:$K$110,0)),IF('Track Data'!O1077=1,INDEX(Acceleration!$Q$4:$Q$110,MATCH('Track Data'!S1077,Acceleration!$K$4:$K$110,0)),'Track Data'!AG1077)),'Track Data'!U1077)</f>
        <v>-14.71670186282954</v>
      </c>
    </row>
    <row r="1078" spans="2:34" x14ac:dyDescent="0.25">
      <c r="B1078" s="16">
        <v>226.042</v>
      </c>
      <c r="C1078" s="16">
        <v>8348</v>
      </c>
      <c r="D1078" s="16">
        <v>1075</v>
      </c>
      <c r="E1078" s="113">
        <v>146</v>
      </c>
      <c r="F1078" s="113">
        <v>148.80000000000001</v>
      </c>
      <c r="G1078" s="113">
        <v>141.69999999999999</v>
      </c>
      <c r="H1078" s="113">
        <f t="shared" si="117"/>
        <v>39.361111111111107</v>
      </c>
      <c r="I1078" s="113">
        <v>7.5</v>
      </c>
      <c r="J1078" s="113">
        <v>62.16</v>
      </c>
      <c r="K1078" s="113">
        <v>-39.200000000000003</v>
      </c>
      <c r="L1078" s="185"/>
      <c r="M1078" s="16">
        <v>1075</v>
      </c>
      <c r="N1078" s="16">
        <f t="shared" si="119"/>
        <v>2.2498317405780389E-2</v>
      </c>
      <c r="O1078" s="16">
        <v>4</v>
      </c>
      <c r="P1078" s="16">
        <f t="shared" si="115"/>
        <v>9.1833785004516724</v>
      </c>
      <c r="Q1078" s="16">
        <f t="shared" si="120"/>
        <v>44.447768335914517</v>
      </c>
      <c r="R1078" s="113">
        <f t="shared" si="116"/>
        <v>329.49099999999999</v>
      </c>
      <c r="S1078" s="16">
        <f>IF(S1077=15800,15800,ROUND((((Q1078*60)/'Gearing Calculator'!$C$14)*'Track Data'!P1078),-2))</f>
        <v>12400</v>
      </c>
      <c r="T1078" s="16">
        <f t="shared" si="118"/>
        <v>-14.71670186282954</v>
      </c>
      <c r="U1078" s="16">
        <f>IF(AC1078=100,Braking!$AG$2354,IF(AC1078=50,Braking!$AG$1179,IF(AC1078=75,Braking!$AG$1767,0)))</f>
        <v>-14.71670186282954</v>
      </c>
      <c r="V1078" s="16">
        <f>0.5*'Gearing Calculator'!$C$15*'Gearing Calculator'!$C$20*'Gearing Calculator'!$W$20*('Track Data'!Q1078^2)</f>
        <v>209.09793900696437</v>
      </c>
      <c r="W1078" s="16">
        <f>('Gearing Calculator'!$U$9*'Track Data'!T1078)+'Track Data'!V1078</f>
        <v>-3708.4880968782591</v>
      </c>
      <c r="X1078" s="16">
        <f>('Gearing Calculator'!$U$9*9.81)*('Gearing Calculator'!$U$16/'Gearing Calculator'!$C$7)-(('Track Data'!W1078)*('Gearing Calculator'!$U$17/'Gearing Calculator'!$C$7))</f>
        <v>3422.5415792950907</v>
      </c>
      <c r="Y1078" s="16">
        <f>('Gearing Calculator'!$U$9*9.81)*(('Gearing Calculator'!$C$7-'Gearing Calculator'!$U$16)/'Gearing Calculator'!$C$7)+(('Track Data'!W1078)*('Gearing Calculator'!$U$17/'Gearing Calculator'!$C$7))</f>
        <v>-811.11957929509049</v>
      </c>
      <c r="Z1078" s="16">
        <f>((X1078*COS('Gearing Calculator'!$C$21))/'Gearing Calculator'!$C$22)/2</f>
        <v>105.81416105502838</v>
      </c>
      <c r="AA1078" s="16">
        <f>Y1078/'Gearing Calculator'!$C$24</f>
        <v>-11.325949859493036</v>
      </c>
      <c r="AB1078" s="16">
        <f t="shared" ref="AB1078:AB1141" si="121">(T1078*O1078)+V1078</f>
        <v>150.23113155564621</v>
      </c>
      <c r="AC1078" s="16">
        <v>100</v>
      </c>
      <c r="AD1078" s="16">
        <v>0</v>
      </c>
      <c r="AE1078" s="16">
        <v>1075</v>
      </c>
      <c r="AF1078" s="16">
        <f>IF(AC1078=0,IF(O1078=6,INDEX(Acceleration!$V$4:$V$110,MATCH('Track Data'!S1078,Acceleration!$K$4:$K$110,0)),IF('Track Data'!O1078=5,INDEX(Acceleration!$U$4:$U$110,MATCH('Track Data'!S1078,Acceleration!$K$4:$K$110,0)),1)),U1078)</f>
        <v>-14.71670186282954</v>
      </c>
      <c r="AG1078" s="16">
        <f>IF(AC1078=0,IF(O1078=4,INDEX(Acceleration!$T$4:$T$110,MATCH('Track Data'!S1078,Acceleration!$K$4:$K$110,0)),IF('Track Data'!O1078=3,INDEX(Acceleration!$S$4:$S$110,MATCH('Track Data'!S1078,Acceleration!$K$4:$K$110,0)),'Track Data'!AF1078)),'Track Data'!U1078)</f>
        <v>-14.71670186282954</v>
      </c>
      <c r="AH1078" s="16">
        <f>IF(AC1078=0,IF(O1078=2,INDEX(Acceleration!$R$4:$R$110,MATCH('Track Data'!S1078,Acceleration!$K$4:$K$110,0)),IF('Track Data'!O1078=1,INDEX(Acceleration!$Q$4:$Q$110,MATCH('Track Data'!S1078,Acceleration!$K$4:$K$110,0)),'Track Data'!AG1078)),'Track Data'!U1078)</f>
        <v>-14.71670186282954</v>
      </c>
    </row>
    <row r="1079" spans="2:34" ht="15.75" thickBot="1" x14ac:dyDescent="0.3">
      <c r="B1079" s="16">
        <v>226.06700000000001</v>
      </c>
      <c r="C1079" s="16">
        <v>8349</v>
      </c>
      <c r="D1079" s="16">
        <v>1076</v>
      </c>
      <c r="E1079" s="113">
        <v>146</v>
      </c>
      <c r="F1079" s="113">
        <v>148.6</v>
      </c>
      <c r="G1079" s="113">
        <v>141.19999999999999</v>
      </c>
      <c r="H1079" s="113">
        <f t="shared" si="117"/>
        <v>39.222222222222221</v>
      </c>
      <c r="I1079" s="113">
        <v>8</v>
      </c>
      <c r="J1079" s="113">
        <v>61.83</v>
      </c>
      <c r="K1079" s="113">
        <v>-40.299999999999997</v>
      </c>
      <c r="L1079" s="186"/>
      <c r="M1079" s="16">
        <v>1076</v>
      </c>
      <c r="N1079" s="16">
        <f t="shared" si="119"/>
        <v>2.2667808465364796E-2</v>
      </c>
      <c r="O1079" s="16">
        <v>4</v>
      </c>
      <c r="P1079" s="16">
        <f t="shared" si="115"/>
        <v>9.1833785004516724</v>
      </c>
      <c r="Q1079" s="16">
        <f t="shared" si="120"/>
        <v>44.115424811708053</v>
      </c>
      <c r="R1079" s="113">
        <f t="shared" si="116"/>
        <v>329.49099999999999</v>
      </c>
      <c r="S1079" s="16">
        <f>IF(S1078=15800,15800,ROUND((((Q1079*60)/'Gearing Calculator'!$C$14)*'Track Data'!P1079),-2))</f>
        <v>12300</v>
      </c>
      <c r="T1079" s="16">
        <f t="shared" si="118"/>
        <v>-14.71670186282954</v>
      </c>
      <c r="U1079" s="16">
        <f>IF(AC1079=100,Braking!$AG$2354,IF(AC1079=50,Braking!$AG$1179,IF(AC1079=75,Braking!$AG$1767,0)))</f>
        <v>-14.71670186282954</v>
      </c>
      <c r="V1079" s="16">
        <f>0.5*'Gearing Calculator'!$C$15*'Gearing Calculator'!$C$20*'Gearing Calculator'!$W$20*('Track Data'!Q1079^2)</f>
        <v>205.98270755664063</v>
      </c>
      <c r="W1079" s="16">
        <f>('Gearing Calculator'!$U$9*'Track Data'!T1079)+'Track Data'!V1079</f>
        <v>-3711.6033283285828</v>
      </c>
      <c r="X1079" s="16">
        <f>('Gearing Calculator'!$U$9*9.81)*('Gearing Calculator'!$U$16/'Gearing Calculator'!$C$7)-(('Track Data'!W1079)*('Gearing Calculator'!$U$17/'Gearing Calculator'!$C$7))</f>
        <v>3424.239593186302</v>
      </c>
      <c r="Y1079" s="16">
        <f>('Gearing Calculator'!$U$9*9.81)*(('Gearing Calculator'!$C$7-'Gearing Calculator'!$U$16)/'Gearing Calculator'!$C$7)+(('Track Data'!W1079)*('Gearing Calculator'!$U$17/'Gearing Calculator'!$C$7))</f>
        <v>-812.81759318630225</v>
      </c>
      <c r="Z1079" s="16">
        <f>((X1079*COS('Gearing Calculator'!$C$21))/'Gearing Calculator'!$C$22)/2</f>
        <v>105.86665827418425</v>
      </c>
      <c r="AA1079" s="16">
        <f>Y1079/'Gearing Calculator'!$C$24</f>
        <v>-11.349659828631372</v>
      </c>
      <c r="AB1079" s="16">
        <f t="shared" si="121"/>
        <v>147.11590010532248</v>
      </c>
      <c r="AC1079" s="16">
        <v>100</v>
      </c>
      <c r="AD1079" s="16">
        <v>0</v>
      </c>
      <c r="AE1079" s="16">
        <v>1076</v>
      </c>
      <c r="AF1079" s="16">
        <f>IF(AC1079=0,IF(O1079=6,INDEX(Acceleration!$V$4:$V$110,MATCH('Track Data'!S1079,Acceleration!$K$4:$K$110,0)),IF('Track Data'!O1079=5,INDEX(Acceleration!$U$4:$U$110,MATCH('Track Data'!S1079,Acceleration!$K$4:$K$110,0)),1)),U1079)</f>
        <v>-14.71670186282954</v>
      </c>
      <c r="AG1079" s="16">
        <f>IF(AC1079=0,IF(O1079=4,INDEX(Acceleration!$T$4:$T$110,MATCH('Track Data'!S1079,Acceleration!$K$4:$K$110,0)),IF('Track Data'!O1079=3,INDEX(Acceleration!$S$4:$S$110,MATCH('Track Data'!S1079,Acceleration!$K$4:$K$110,0)),'Track Data'!AF1079)),'Track Data'!U1079)</f>
        <v>-14.71670186282954</v>
      </c>
      <c r="AH1079" s="16">
        <f>IF(AC1079=0,IF(O1079=2,INDEX(Acceleration!$R$4:$R$110,MATCH('Track Data'!S1079,Acceleration!$K$4:$K$110,0)),IF('Track Data'!O1079=1,INDEX(Acceleration!$Q$4:$Q$110,MATCH('Track Data'!S1079,Acceleration!$K$4:$K$110,0)),'Track Data'!AG1079)),'Track Data'!U1079)</f>
        <v>-14.71670186282954</v>
      </c>
    </row>
    <row r="1080" spans="2:34" x14ac:dyDescent="0.25">
      <c r="B1080" s="16">
        <v>226.09100000000001</v>
      </c>
      <c r="C1080" s="16">
        <v>8350</v>
      </c>
      <c r="D1080" s="16">
        <v>1077</v>
      </c>
      <c r="E1080" s="113">
        <v>146</v>
      </c>
      <c r="F1080" s="113">
        <v>148.19999999999999</v>
      </c>
      <c r="G1080" s="113">
        <v>140.5</v>
      </c>
      <c r="H1080" s="113">
        <f t="shared" si="117"/>
        <v>39.027777777777779</v>
      </c>
      <c r="I1080" s="113">
        <v>8.6999999999999993</v>
      </c>
      <c r="J1080" s="113">
        <v>60.8</v>
      </c>
      <c r="K1080" s="113">
        <v>-37.700000000000003</v>
      </c>
      <c r="L1080" s="182" t="s">
        <v>192</v>
      </c>
      <c r="M1080" s="16">
        <v>1077</v>
      </c>
      <c r="N1080" s="16">
        <f t="shared" si="119"/>
        <v>2.2841188743510724E-2</v>
      </c>
      <c r="O1080" s="16">
        <v>4</v>
      </c>
      <c r="P1080" s="16">
        <f t="shared" si="115"/>
        <v>9.1833785004516724</v>
      </c>
      <c r="Q1080" s="134">
        <f t="shared" si="120"/>
        <v>43.780558500227102</v>
      </c>
      <c r="R1080" s="113">
        <f t="shared" si="116"/>
        <v>329.49099999999999</v>
      </c>
      <c r="S1080" s="16">
        <f>IF(S1079=15800,15800,ROUND((((Q1080*60)/'Gearing Calculator'!$C$14)*'Track Data'!P1080),-2))</f>
        <v>12200</v>
      </c>
      <c r="T1080" s="16">
        <f t="shared" si="118"/>
        <v>4.8209066787706405</v>
      </c>
      <c r="U1080" s="16">
        <f>IF(AC1080=100,Braking!$AG$2354,IF(AC1080=50,Braking!$AG$1179,IF(AC1080=75,Braking!$AG$1767,0)))</f>
        <v>0</v>
      </c>
      <c r="V1080" s="16">
        <f>0.5*'Gearing Calculator'!$C$15*'Gearing Calculator'!$C$20*'Gearing Calculator'!$W$20*('Track Data'!Q1080^2)</f>
        <v>202.8674761063169</v>
      </c>
      <c r="W1080" s="16">
        <f>('Gearing Calculator'!$U$9*'Track Data'!T1080)+'Track Data'!V1080</f>
        <v>1486.1928339950614</v>
      </c>
      <c r="X1080" s="16">
        <f>('Gearing Calculator'!$U$9*9.81)*('Gearing Calculator'!$U$16/'Gearing Calculator'!$C$7)-(('Track Data'!W1080)*('Gearing Calculator'!$U$17/'Gearing Calculator'!$C$7))</f>
        <v>591.0857078158931</v>
      </c>
      <c r="Y1080" s="16">
        <f>('Gearing Calculator'!$U$9*9.81)*(('Gearing Calculator'!$C$7-'Gearing Calculator'!$U$16)/'Gearing Calculator'!$C$7)+(('Track Data'!W1080)*('Gearing Calculator'!$U$17/'Gearing Calculator'!$C$7))</f>
        <v>2020.3362921841069</v>
      </c>
      <c r="Z1080" s="16">
        <f>((X1080*COS('Gearing Calculator'!$C$21))/'Gearing Calculator'!$C$22)/2</f>
        <v>18.274500640847798</v>
      </c>
      <c r="AA1080" s="16">
        <f>Y1080/'Gearing Calculator'!$C$24</f>
        <v>28.210670940130971</v>
      </c>
      <c r="AB1080" s="16">
        <f t="shared" si="121"/>
        <v>222.15110282139946</v>
      </c>
      <c r="AC1080" s="16">
        <v>0</v>
      </c>
      <c r="AD1080" s="16">
        <v>-45.249166535644598</v>
      </c>
      <c r="AE1080" s="16">
        <v>1077</v>
      </c>
      <c r="AF1080" s="16">
        <f>IF(AC1080=0,IF(O1080=6,INDEX(Acceleration!$V$4:$V$110,MATCH('Track Data'!S1080,Acceleration!$K$4:$K$110,0)),IF('Track Data'!O1080=5,INDEX(Acceleration!$U$4:$U$110,MATCH('Track Data'!S1080,Acceleration!$K$4:$K$110,0)),1)),U1080)</f>
        <v>1</v>
      </c>
      <c r="AG1080" s="16">
        <f>IF(AC1080=0,IF(O1080=4,INDEX(Acceleration!$T$4:$T$110,MATCH('Track Data'!S1080,Acceleration!$K$4:$K$110,0)),IF('Track Data'!O1080=3,INDEX(Acceleration!$S$4:$S$110,MATCH('Track Data'!S1080,Acceleration!$K$4:$K$110,0)),'Track Data'!AF1080)),'Track Data'!U1080)</f>
        <v>4.8209066787706405</v>
      </c>
      <c r="AH1080" s="16">
        <f>IF(AC1080=0,IF(O1080=2,INDEX(Acceleration!$R$4:$R$110,MATCH('Track Data'!S1080,Acceleration!$K$4:$K$110,0)),IF('Track Data'!O1080=1,INDEX(Acceleration!$Q$4:$Q$110,MATCH('Track Data'!S1080,Acceleration!$K$4:$K$110,0)),'Track Data'!AG1080)),'Track Data'!U1080)</f>
        <v>4.8209066787706405</v>
      </c>
    </row>
    <row r="1081" spans="2:34" x14ac:dyDescent="0.25">
      <c r="B1081" s="16">
        <v>226.11500000000001</v>
      </c>
      <c r="C1081" s="16">
        <v>8351</v>
      </c>
      <c r="D1081" s="16">
        <v>1078</v>
      </c>
      <c r="E1081" s="113">
        <v>146</v>
      </c>
      <c r="F1081" s="113">
        <v>148.1</v>
      </c>
      <c r="G1081" s="113">
        <v>140</v>
      </c>
      <c r="H1081" s="113">
        <f t="shared" si="117"/>
        <v>38.888888888888886</v>
      </c>
      <c r="I1081" s="113">
        <v>8.9</v>
      </c>
      <c r="J1081" s="113">
        <v>60.49</v>
      </c>
      <c r="K1081" s="113">
        <v>-32.5</v>
      </c>
      <c r="L1081" s="183"/>
      <c r="M1081" s="16">
        <v>1078</v>
      </c>
      <c r="N1081" s="16">
        <f t="shared" si="119"/>
        <v>2.2841188743510724E-2</v>
      </c>
      <c r="O1081" s="16">
        <v>4</v>
      </c>
      <c r="P1081" s="16">
        <f t="shared" si="115"/>
        <v>9.1833785004516724</v>
      </c>
      <c r="Q1081" s="16">
        <f t="shared" si="120"/>
        <v>43.780558500227102</v>
      </c>
      <c r="R1081" s="113">
        <f t="shared" si="116"/>
        <v>329.49099999999999</v>
      </c>
      <c r="S1081" s="16">
        <f>IF(S1080=15800,15800,ROUND((((Q1081*60)/'Gearing Calculator'!$C$14)*'Track Data'!P1081),-2))</f>
        <v>12200</v>
      </c>
      <c r="T1081" s="16">
        <f t="shared" si="118"/>
        <v>4.8209066787706405</v>
      </c>
      <c r="U1081" s="16">
        <f>IF(AC1081=100,Braking!$AG$2354,IF(AC1081=50,Braking!$AG$1179,IF(AC1081=75,Braking!$AG$1767,0)))</f>
        <v>0</v>
      </c>
      <c r="V1081" s="16">
        <f>0.5*'Gearing Calculator'!$C$15*'Gearing Calculator'!$C$20*'Gearing Calculator'!$W$20*('Track Data'!Q1081^2)</f>
        <v>202.8674761063169</v>
      </c>
      <c r="W1081" s="16">
        <f>('Gearing Calculator'!$U$9*'Track Data'!T1081)+'Track Data'!V1081</f>
        <v>1486.1928339950614</v>
      </c>
      <c r="X1081" s="16">
        <f>('Gearing Calculator'!$U$9*9.81)*('Gearing Calculator'!$U$16/'Gearing Calculator'!$C$7)-(('Track Data'!W1081)*('Gearing Calculator'!$U$17/'Gearing Calculator'!$C$7))</f>
        <v>591.0857078158931</v>
      </c>
      <c r="Y1081" s="16">
        <f>('Gearing Calculator'!$U$9*9.81)*(('Gearing Calculator'!$C$7-'Gearing Calculator'!$U$16)/'Gearing Calculator'!$C$7)+(('Track Data'!W1081)*('Gearing Calculator'!$U$17/'Gearing Calculator'!$C$7))</f>
        <v>2020.3362921841069</v>
      </c>
      <c r="Z1081" s="16">
        <f>((X1081*COS('Gearing Calculator'!$C$21))/'Gearing Calculator'!$C$22)/2</f>
        <v>18.274500640847798</v>
      </c>
      <c r="AA1081" s="16">
        <f>Y1081/'Gearing Calculator'!$C$24</f>
        <v>28.210670940130971</v>
      </c>
      <c r="AB1081" s="16">
        <f t="shared" si="121"/>
        <v>222.15110282139946</v>
      </c>
      <c r="AC1081" s="16">
        <v>0</v>
      </c>
      <c r="AD1081" s="16">
        <v>-45.249166535644598</v>
      </c>
      <c r="AE1081" s="16">
        <v>1078</v>
      </c>
      <c r="AF1081" s="16">
        <f>IF(AC1081=0,IF(O1081=6,INDEX(Acceleration!$V$4:$V$110,MATCH('Track Data'!S1081,Acceleration!$K$4:$K$110,0)),IF('Track Data'!O1081=5,INDEX(Acceleration!$U$4:$U$110,MATCH('Track Data'!S1081,Acceleration!$K$4:$K$110,0)),1)),U1081)</f>
        <v>1</v>
      </c>
      <c r="AG1081" s="16">
        <f>IF(AC1081=0,IF(O1081=4,INDEX(Acceleration!$T$4:$T$110,MATCH('Track Data'!S1081,Acceleration!$K$4:$K$110,0)),IF('Track Data'!O1081=3,INDEX(Acceleration!$S$4:$S$110,MATCH('Track Data'!S1081,Acceleration!$K$4:$K$110,0)),'Track Data'!AF1081)),'Track Data'!U1081)</f>
        <v>4.8209066787706405</v>
      </c>
      <c r="AH1081" s="16">
        <f>IF(AC1081=0,IF(O1081=2,INDEX(Acceleration!$R$4:$R$110,MATCH('Track Data'!S1081,Acceleration!$K$4:$K$110,0)),IF('Track Data'!O1081=1,INDEX(Acceleration!$Q$4:$Q$110,MATCH('Track Data'!S1081,Acceleration!$K$4:$K$110,0)),'Track Data'!AG1081)),'Track Data'!U1081)</f>
        <v>4.8209066787706405</v>
      </c>
    </row>
    <row r="1082" spans="2:34" x14ac:dyDescent="0.25">
      <c r="B1082" s="16">
        <v>226.13900000000001</v>
      </c>
      <c r="C1082" s="16">
        <v>8352</v>
      </c>
      <c r="D1082" s="16">
        <v>1079</v>
      </c>
      <c r="E1082" s="113">
        <v>146</v>
      </c>
      <c r="F1082" s="113">
        <v>147.9</v>
      </c>
      <c r="G1082" s="113">
        <v>139.5</v>
      </c>
      <c r="H1082" s="113">
        <f t="shared" si="117"/>
        <v>38.75</v>
      </c>
      <c r="I1082" s="113">
        <v>8.6</v>
      </c>
      <c r="J1082" s="113">
        <v>60.76</v>
      </c>
      <c r="K1082" s="113">
        <v>-27.4</v>
      </c>
      <c r="L1082" s="183"/>
      <c r="M1082" s="16">
        <v>1079</v>
      </c>
      <c r="N1082" s="16">
        <f t="shared" si="119"/>
        <v>2.2841188743510724E-2</v>
      </c>
      <c r="O1082" s="16">
        <v>4</v>
      </c>
      <c r="P1082" s="16">
        <f t="shared" si="115"/>
        <v>9.1833785004516724</v>
      </c>
      <c r="Q1082" s="16">
        <f t="shared" si="120"/>
        <v>43.780558500227102</v>
      </c>
      <c r="R1082" s="113">
        <f t="shared" si="116"/>
        <v>329.49099999999999</v>
      </c>
      <c r="S1082" s="16">
        <f>IF(S1081=15800,15800,ROUND((((Q1082*60)/'Gearing Calculator'!$C$14)*'Track Data'!P1082),-2))</f>
        <v>12200</v>
      </c>
      <c r="T1082" s="16">
        <f t="shared" si="118"/>
        <v>4.8209066787706405</v>
      </c>
      <c r="U1082" s="16">
        <f>IF(AC1082=100,Braking!$AG$2354,IF(AC1082=50,Braking!$AG$1179,IF(AC1082=75,Braking!$AG$1767,0)))</f>
        <v>0</v>
      </c>
      <c r="V1082" s="16">
        <f>0.5*'Gearing Calculator'!$C$15*'Gearing Calculator'!$C$20*'Gearing Calculator'!$W$20*('Track Data'!Q1082^2)</f>
        <v>202.8674761063169</v>
      </c>
      <c r="W1082" s="16">
        <f>('Gearing Calculator'!$U$9*'Track Data'!T1082)+'Track Data'!V1082</f>
        <v>1486.1928339950614</v>
      </c>
      <c r="X1082" s="16">
        <f>('Gearing Calculator'!$U$9*9.81)*('Gearing Calculator'!$U$16/'Gearing Calculator'!$C$7)-(('Track Data'!W1082)*('Gearing Calculator'!$U$17/'Gearing Calculator'!$C$7))</f>
        <v>591.0857078158931</v>
      </c>
      <c r="Y1082" s="16">
        <f>('Gearing Calculator'!$U$9*9.81)*(('Gearing Calculator'!$C$7-'Gearing Calculator'!$U$16)/'Gearing Calculator'!$C$7)+(('Track Data'!W1082)*('Gearing Calculator'!$U$17/'Gearing Calculator'!$C$7))</f>
        <v>2020.3362921841069</v>
      </c>
      <c r="Z1082" s="16">
        <f>((X1082*COS('Gearing Calculator'!$C$21))/'Gearing Calculator'!$C$22)/2</f>
        <v>18.274500640847798</v>
      </c>
      <c r="AA1082" s="16">
        <f>Y1082/'Gearing Calculator'!$C$24</f>
        <v>28.210670940130971</v>
      </c>
      <c r="AB1082" s="16">
        <f t="shared" si="121"/>
        <v>222.15110282139946</v>
      </c>
      <c r="AC1082" s="16">
        <v>0</v>
      </c>
      <c r="AD1082" s="16">
        <v>-45.249166535644598</v>
      </c>
      <c r="AE1082" s="16">
        <v>1079</v>
      </c>
      <c r="AF1082" s="16">
        <f>IF(AC1082=0,IF(O1082=6,INDEX(Acceleration!$V$4:$V$110,MATCH('Track Data'!S1082,Acceleration!$K$4:$K$110,0)),IF('Track Data'!O1082=5,INDEX(Acceleration!$U$4:$U$110,MATCH('Track Data'!S1082,Acceleration!$K$4:$K$110,0)),1)),U1082)</f>
        <v>1</v>
      </c>
      <c r="AG1082" s="16">
        <f>IF(AC1082=0,IF(O1082=4,INDEX(Acceleration!$T$4:$T$110,MATCH('Track Data'!S1082,Acceleration!$K$4:$K$110,0)),IF('Track Data'!O1082=3,INDEX(Acceleration!$S$4:$S$110,MATCH('Track Data'!S1082,Acceleration!$K$4:$K$110,0)),'Track Data'!AF1082)),'Track Data'!U1082)</f>
        <v>4.8209066787706405</v>
      </c>
      <c r="AH1082" s="16">
        <f>IF(AC1082=0,IF(O1082=2,INDEX(Acceleration!$R$4:$R$110,MATCH('Track Data'!S1082,Acceleration!$K$4:$K$110,0)),IF('Track Data'!O1082=1,INDEX(Acceleration!$Q$4:$Q$110,MATCH('Track Data'!S1082,Acceleration!$K$4:$K$110,0)),'Track Data'!AG1082)),'Track Data'!U1082)</f>
        <v>4.8209066787706405</v>
      </c>
    </row>
    <row r="1083" spans="2:34" x14ac:dyDescent="0.25">
      <c r="B1083" s="16">
        <v>226.16399999999999</v>
      </c>
      <c r="C1083" s="16">
        <v>8353</v>
      </c>
      <c r="D1083" s="16">
        <v>1080</v>
      </c>
      <c r="E1083" s="113">
        <v>145</v>
      </c>
      <c r="F1083" s="113">
        <v>147.5</v>
      </c>
      <c r="G1083" s="113">
        <v>138.9</v>
      </c>
      <c r="H1083" s="113">
        <f t="shared" si="117"/>
        <v>38.583333333333336</v>
      </c>
      <c r="I1083" s="113">
        <v>8.6</v>
      </c>
      <c r="J1083" s="113">
        <v>59.41</v>
      </c>
      <c r="K1083" s="113">
        <v>-20.6</v>
      </c>
      <c r="L1083" s="183"/>
      <c r="M1083" s="16">
        <v>1080</v>
      </c>
      <c r="N1083" s="16">
        <f t="shared" si="119"/>
        <v>2.2841188743510724E-2</v>
      </c>
      <c r="O1083" s="16">
        <v>4</v>
      </c>
      <c r="P1083" s="16">
        <f t="shared" si="115"/>
        <v>9.1833785004516724</v>
      </c>
      <c r="Q1083" s="16">
        <f t="shared" si="120"/>
        <v>43.780558500227102</v>
      </c>
      <c r="R1083" s="113">
        <f t="shared" si="116"/>
        <v>329.49099999999999</v>
      </c>
      <c r="S1083" s="16">
        <f>IF(S1082=15800,15800,ROUND((((Q1083*60)/'Gearing Calculator'!$C$14)*'Track Data'!P1083),-2))</f>
        <v>12200</v>
      </c>
      <c r="T1083" s="16">
        <f t="shared" si="118"/>
        <v>4.8209066787706405</v>
      </c>
      <c r="U1083" s="16">
        <f>IF(AC1083=100,Braking!$AG$2354,IF(AC1083=50,Braking!$AG$1179,IF(AC1083=75,Braking!$AG$1767,0)))</f>
        <v>0</v>
      </c>
      <c r="V1083" s="16">
        <f>0.5*'Gearing Calculator'!$C$15*'Gearing Calculator'!$C$20*'Gearing Calculator'!$W$20*('Track Data'!Q1083^2)</f>
        <v>202.8674761063169</v>
      </c>
      <c r="W1083" s="16">
        <f>('Gearing Calculator'!$U$9*'Track Data'!T1083)+'Track Data'!V1083</f>
        <v>1486.1928339950614</v>
      </c>
      <c r="X1083" s="16">
        <f>('Gearing Calculator'!$U$9*9.81)*('Gearing Calculator'!$U$16/'Gearing Calculator'!$C$7)-(('Track Data'!W1083)*('Gearing Calculator'!$U$17/'Gearing Calculator'!$C$7))</f>
        <v>591.0857078158931</v>
      </c>
      <c r="Y1083" s="16">
        <f>('Gearing Calculator'!$U$9*9.81)*(('Gearing Calculator'!$C$7-'Gearing Calculator'!$U$16)/'Gearing Calculator'!$C$7)+(('Track Data'!W1083)*('Gearing Calculator'!$U$17/'Gearing Calculator'!$C$7))</f>
        <v>2020.3362921841069</v>
      </c>
      <c r="Z1083" s="16">
        <f>((X1083*COS('Gearing Calculator'!$C$21))/'Gearing Calculator'!$C$22)/2</f>
        <v>18.274500640847798</v>
      </c>
      <c r="AA1083" s="16">
        <f>Y1083/'Gearing Calculator'!$C$24</f>
        <v>28.210670940130971</v>
      </c>
      <c r="AB1083" s="16">
        <f t="shared" si="121"/>
        <v>222.15110282139946</v>
      </c>
      <c r="AC1083" s="16">
        <v>0</v>
      </c>
      <c r="AD1083" s="16">
        <v>-45.249166535644598</v>
      </c>
      <c r="AE1083" s="16">
        <v>1080</v>
      </c>
      <c r="AF1083" s="16">
        <f>IF(AC1083=0,IF(O1083=6,INDEX(Acceleration!$V$4:$V$110,MATCH('Track Data'!S1083,Acceleration!$K$4:$K$110,0)),IF('Track Data'!O1083=5,INDEX(Acceleration!$U$4:$U$110,MATCH('Track Data'!S1083,Acceleration!$K$4:$K$110,0)),1)),U1083)</f>
        <v>1</v>
      </c>
      <c r="AG1083" s="16">
        <f>IF(AC1083=0,IF(O1083=4,INDEX(Acceleration!$T$4:$T$110,MATCH('Track Data'!S1083,Acceleration!$K$4:$K$110,0)),IF('Track Data'!O1083=3,INDEX(Acceleration!$S$4:$S$110,MATCH('Track Data'!S1083,Acceleration!$K$4:$K$110,0)),'Track Data'!AF1083)),'Track Data'!U1083)</f>
        <v>4.8209066787706405</v>
      </c>
      <c r="AH1083" s="16">
        <f>IF(AC1083=0,IF(O1083=2,INDEX(Acceleration!$R$4:$R$110,MATCH('Track Data'!S1083,Acceleration!$K$4:$K$110,0)),IF('Track Data'!O1083=1,INDEX(Acceleration!$Q$4:$Q$110,MATCH('Track Data'!S1083,Acceleration!$K$4:$K$110,0)),'Track Data'!AG1083)),'Track Data'!U1083)</f>
        <v>4.8209066787706405</v>
      </c>
    </row>
    <row r="1084" spans="2:34" x14ac:dyDescent="0.25">
      <c r="B1084" s="16">
        <v>226.18799999999999</v>
      </c>
      <c r="C1084" s="16">
        <v>8354</v>
      </c>
      <c r="D1084" s="16">
        <v>1081</v>
      </c>
      <c r="E1084" s="113">
        <v>145</v>
      </c>
      <c r="F1084" s="113">
        <v>147.4</v>
      </c>
      <c r="G1084" s="113">
        <v>138.4</v>
      </c>
      <c r="H1084" s="113">
        <f t="shared" si="117"/>
        <v>38.444444444444443</v>
      </c>
      <c r="I1084" s="113">
        <v>8.6</v>
      </c>
      <c r="J1084" s="113">
        <v>59.08</v>
      </c>
      <c r="K1084" s="113">
        <v>-20.6</v>
      </c>
      <c r="L1084" s="183"/>
      <c r="M1084" s="16">
        <v>1081</v>
      </c>
      <c r="N1084" s="16">
        <f t="shared" si="119"/>
        <v>2.2841188743510724E-2</v>
      </c>
      <c r="O1084" s="16">
        <v>4</v>
      </c>
      <c r="P1084" s="16">
        <f t="shared" si="115"/>
        <v>9.1833785004516724</v>
      </c>
      <c r="Q1084" s="16">
        <f t="shared" si="120"/>
        <v>43.780558500227102</v>
      </c>
      <c r="R1084" s="113">
        <f t="shared" si="116"/>
        <v>329.49099999999999</v>
      </c>
      <c r="S1084" s="16">
        <f>IF(S1083=15800,15800,ROUND((((Q1084*60)/'Gearing Calculator'!$C$14)*'Track Data'!P1084),-2))</f>
        <v>12200</v>
      </c>
      <c r="T1084" s="16">
        <f t="shared" si="118"/>
        <v>4.8209066787706405</v>
      </c>
      <c r="U1084" s="16">
        <f>IF(AC1084=100,Braking!$AG$2354,IF(AC1084=50,Braking!$AG$1179,IF(AC1084=75,Braking!$AG$1767,0)))</f>
        <v>0</v>
      </c>
      <c r="V1084" s="16">
        <f>0.5*'Gearing Calculator'!$C$15*'Gearing Calculator'!$C$20*'Gearing Calculator'!$W$20*('Track Data'!Q1084^2)</f>
        <v>202.8674761063169</v>
      </c>
      <c r="W1084" s="16">
        <f>('Gearing Calculator'!$U$9*'Track Data'!T1084)+'Track Data'!V1084</f>
        <v>1486.1928339950614</v>
      </c>
      <c r="X1084" s="16">
        <f>('Gearing Calculator'!$U$9*9.81)*('Gearing Calculator'!$U$16/'Gearing Calculator'!$C$7)-(('Track Data'!W1084)*('Gearing Calculator'!$U$17/'Gearing Calculator'!$C$7))</f>
        <v>591.0857078158931</v>
      </c>
      <c r="Y1084" s="16">
        <f>('Gearing Calculator'!$U$9*9.81)*(('Gearing Calculator'!$C$7-'Gearing Calculator'!$U$16)/'Gearing Calculator'!$C$7)+(('Track Data'!W1084)*('Gearing Calculator'!$U$17/'Gearing Calculator'!$C$7))</f>
        <v>2020.3362921841069</v>
      </c>
      <c r="Z1084" s="16">
        <f>((X1084*COS('Gearing Calculator'!$C$21))/'Gearing Calculator'!$C$22)/2</f>
        <v>18.274500640847798</v>
      </c>
      <c r="AA1084" s="16">
        <f>Y1084/'Gearing Calculator'!$C$24</f>
        <v>28.210670940130971</v>
      </c>
      <c r="AB1084" s="16">
        <f t="shared" si="121"/>
        <v>222.15110282139946</v>
      </c>
      <c r="AC1084" s="16">
        <v>0</v>
      </c>
      <c r="AD1084" s="16">
        <v>-45.249166535644598</v>
      </c>
      <c r="AE1084" s="16">
        <v>1081</v>
      </c>
      <c r="AF1084" s="16">
        <f>IF(AC1084=0,IF(O1084=6,INDEX(Acceleration!$V$4:$V$110,MATCH('Track Data'!S1084,Acceleration!$K$4:$K$110,0)),IF('Track Data'!O1084=5,INDEX(Acceleration!$U$4:$U$110,MATCH('Track Data'!S1084,Acceleration!$K$4:$K$110,0)),1)),U1084)</f>
        <v>1</v>
      </c>
      <c r="AG1084" s="16">
        <f>IF(AC1084=0,IF(O1084=4,INDEX(Acceleration!$T$4:$T$110,MATCH('Track Data'!S1084,Acceleration!$K$4:$K$110,0)),IF('Track Data'!O1084=3,INDEX(Acceleration!$S$4:$S$110,MATCH('Track Data'!S1084,Acceleration!$K$4:$K$110,0)),'Track Data'!AF1084)),'Track Data'!U1084)</f>
        <v>4.8209066787706405</v>
      </c>
      <c r="AH1084" s="16">
        <f>IF(AC1084=0,IF(O1084=2,INDEX(Acceleration!$R$4:$R$110,MATCH('Track Data'!S1084,Acceleration!$K$4:$K$110,0)),IF('Track Data'!O1084=1,INDEX(Acceleration!$Q$4:$Q$110,MATCH('Track Data'!S1084,Acceleration!$K$4:$K$110,0)),'Track Data'!AG1084)),'Track Data'!U1084)</f>
        <v>4.8209066787706405</v>
      </c>
    </row>
    <row r="1085" spans="2:34" x14ac:dyDescent="0.25">
      <c r="B1085" s="16">
        <v>226.21299999999999</v>
      </c>
      <c r="C1085" s="16">
        <v>8355</v>
      </c>
      <c r="D1085" s="16">
        <v>1082</v>
      </c>
      <c r="E1085" s="113">
        <v>145</v>
      </c>
      <c r="F1085" s="113">
        <v>147.19999999999999</v>
      </c>
      <c r="G1085" s="113">
        <v>137.80000000000001</v>
      </c>
      <c r="H1085" s="113">
        <f t="shared" si="117"/>
        <v>38.277777777777779</v>
      </c>
      <c r="I1085" s="113">
        <v>8.1999999999999993</v>
      </c>
      <c r="J1085" s="113">
        <v>59.49</v>
      </c>
      <c r="K1085" s="113">
        <v>-20.6</v>
      </c>
      <c r="L1085" s="183"/>
      <c r="M1085" s="16">
        <v>1082</v>
      </c>
      <c r="N1085" s="16">
        <f t="shared" si="119"/>
        <v>2.2841188743510724E-2</v>
      </c>
      <c r="O1085" s="16">
        <v>4</v>
      </c>
      <c r="P1085" s="16">
        <f t="shared" si="115"/>
        <v>9.1833785004516724</v>
      </c>
      <c r="Q1085" s="16">
        <f t="shared" si="120"/>
        <v>43.780558500227102</v>
      </c>
      <c r="R1085" s="113">
        <f t="shared" si="116"/>
        <v>329.49099999999999</v>
      </c>
      <c r="S1085" s="16">
        <f>IF(S1084=15800,15800,ROUND((((Q1085*60)/'Gearing Calculator'!$C$14)*'Track Data'!P1085),-2))</f>
        <v>12200</v>
      </c>
      <c r="T1085" s="16">
        <f t="shared" si="118"/>
        <v>4.8209066787706405</v>
      </c>
      <c r="U1085" s="16">
        <f>IF(AC1085=100,Braking!$AG$2354,IF(AC1085=50,Braking!$AG$1179,IF(AC1085=75,Braking!$AG$1767,0)))</f>
        <v>0</v>
      </c>
      <c r="V1085" s="16">
        <f>0.5*'Gearing Calculator'!$C$15*'Gearing Calculator'!$C$20*'Gearing Calculator'!$W$20*('Track Data'!Q1085^2)</f>
        <v>202.8674761063169</v>
      </c>
      <c r="W1085" s="16">
        <f>('Gearing Calculator'!$U$9*'Track Data'!T1085)+'Track Data'!V1085</f>
        <v>1486.1928339950614</v>
      </c>
      <c r="X1085" s="16">
        <f>('Gearing Calculator'!$U$9*9.81)*('Gearing Calculator'!$U$16/'Gearing Calculator'!$C$7)-(('Track Data'!W1085)*('Gearing Calculator'!$U$17/'Gearing Calculator'!$C$7))</f>
        <v>591.0857078158931</v>
      </c>
      <c r="Y1085" s="16">
        <f>('Gearing Calculator'!$U$9*9.81)*(('Gearing Calculator'!$C$7-'Gearing Calculator'!$U$16)/'Gearing Calculator'!$C$7)+(('Track Data'!W1085)*('Gearing Calculator'!$U$17/'Gearing Calculator'!$C$7))</f>
        <v>2020.3362921841069</v>
      </c>
      <c r="Z1085" s="16">
        <f>((X1085*COS('Gearing Calculator'!$C$21))/'Gearing Calculator'!$C$22)/2</f>
        <v>18.274500640847798</v>
      </c>
      <c r="AA1085" s="16">
        <f>Y1085/'Gearing Calculator'!$C$24</f>
        <v>28.210670940130971</v>
      </c>
      <c r="AB1085" s="16">
        <f t="shared" si="121"/>
        <v>222.15110282139946</v>
      </c>
      <c r="AC1085" s="16">
        <v>0</v>
      </c>
      <c r="AD1085" s="16">
        <v>-45.249166535644598</v>
      </c>
      <c r="AE1085" s="16">
        <v>1082</v>
      </c>
      <c r="AF1085" s="16">
        <f>IF(AC1085=0,IF(O1085=6,INDEX(Acceleration!$V$4:$V$110,MATCH('Track Data'!S1085,Acceleration!$K$4:$K$110,0)),IF('Track Data'!O1085=5,INDEX(Acceleration!$U$4:$U$110,MATCH('Track Data'!S1085,Acceleration!$K$4:$K$110,0)),1)),U1085)</f>
        <v>1</v>
      </c>
      <c r="AG1085" s="16">
        <f>IF(AC1085=0,IF(O1085=4,INDEX(Acceleration!$T$4:$T$110,MATCH('Track Data'!S1085,Acceleration!$K$4:$K$110,0)),IF('Track Data'!O1085=3,INDEX(Acceleration!$S$4:$S$110,MATCH('Track Data'!S1085,Acceleration!$K$4:$K$110,0)),'Track Data'!AF1085)),'Track Data'!U1085)</f>
        <v>4.8209066787706405</v>
      </c>
      <c r="AH1085" s="16">
        <f>IF(AC1085=0,IF(O1085=2,INDEX(Acceleration!$R$4:$R$110,MATCH('Track Data'!S1085,Acceleration!$K$4:$K$110,0)),IF('Track Data'!O1085=1,INDEX(Acceleration!$Q$4:$Q$110,MATCH('Track Data'!S1085,Acceleration!$K$4:$K$110,0)),'Track Data'!AG1085)),'Track Data'!U1085)</f>
        <v>4.8209066787706405</v>
      </c>
    </row>
    <row r="1086" spans="2:34" x14ac:dyDescent="0.25">
      <c r="B1086" s="16">
        <v>226.23699999999999</v>
      </c>
      <c r="C1086" s="16">
        <v>8356</v>
      </c>
      <c r="D1086" s="16">
        <v>1083</v>
      </c>
      <c r="E1086" s="113">
        <v>145</v>
      </c>
      <c r="F1086" s="113">
        <v>147</v>
      </c>
      <c r="G1086" s="113">
        <v>137.30000000000001</v>
      </c>
      <c r="H1086" s="113">
        <f t="shared" si="117"/>
        <v>38.138888888888893</v>
      </c>
      <c r="I1086" s="113">
        <v>8</v>
      </c>
      <c r="J1086" s="113">
        <v>59.85</v>
      </c>
      <c r="K1086" s="113">
        <v>-20.6</v>
      </c>
      <c r="L1086" s="183"/>
      <c r="M1086" s="16">
        <v>1083</v>
      </c>
      <c r="N1086" s="16">
        <f t="shared" si="119"/>
        <v>2.2841188743510724E-2</v>
      </c>
      <c r="O1086" s="16">
        <v>4</v>
      </c>
      <c r="P1086" s="16">
        <f t="shared" si="115"/>
        <v>9.1833785004516724</v>
      </c>
      <c r="Q1086" s="16">
        <f t="shared" si="120"/>
        <v>43.780558500227102</v>
      </c>
      <c r="R1086" s="113">
        <f t="shared" si="116"/>
        <v>329.49099999999999</v>
      </c>
      <c r="S1086" s="16">
        <f>IF(S1085=15800,15800,ROUND((((Q1086*60)/'Gearing Calculator'!$C$14)*'Track Data'!P1086),-2))</f>
        <v>12200</v>
      </c>
      <c r="T1086" s="16">
        <f t="shared" si="118"/>
        <v>4.8209066787706405</v>
      </c>
      <c r="U1086" s="16">
        <f>IF(AC1086=100,Braking!$AG$2354,IF(AC1086=50,Braking!$AG$1179,IF(AC1086=75,Braking!$AG$1767,0)))</f>
        <v>0</v>
      </c>
      <c r="V1086" s="16">
        <f>0.5*'Gearing Calculator'!$C$15*'Gearing Calculator'!$C$20*'Gearing Calculator'!$W$20*('Track Data'!Q1086^2)</f>
        <v>202.8674761063169</v>
      </c>
      <c r="W1086" s="16">
        <f>('Gearing Calculator'!$U$9*'Track Data'!T1086)+'Track Data'!V1086</f>
        <v>1486.1928339950614</v>
      </c>
      <c r="X1086" s="16">
        <f>('Gearing Calculator'!$U$9*9.81)*('Gearing Calculator'!$U$16/'Gearing Calculator'!$C$7)-(('Track Data'!W1086)*('Gearing Calculator'!$U$17/'Gearing Calculator'!$C$7))</f>
        <v>591.0857078158931</v>
      </c>
      <c r="Y1086" s="16">
        <f>('Gearing Calculator'!$U$9*9.81)*(('Gearing Calculator'!$C$7-'Gearing Calculator'!$U$16)/'Gearing Calculator'!$C$7)+(('Track Data'!W1086)*('Gearing Calculator'!$U$17/'Gearing Calculator'!$C$7))</f>
        <v>2020.3362921841069</v>
      </c>
      <c r="Z1086" s="16">
        <f>((X1086*COS('Gearing Calculator'!$C$21))/'Gearing Calculator'!$C$22)/2</f>
        <v>18.274500640847798</v>
      </c>
      <c r="AA1086" s="16">
        <f>Y1086/'Gearing Calculator'!$C$24</f>
        <v>28.210670940130971</v>
      </c>
      <c r="AB1086" s="16">
        <f t="shared" si="121"/>
        <v>222.15110282139946</v>
      </c>
      <c r="AC1086" s="16">
        <v>0</v>
      </c>
      <c r="AD1086" s="16">
        <v>-45.249166535644598</v>
      </c>
      <c r="AE1086" s="16">
        <v>1083</v>
      </c>
      <c r="AF1086" s="16">
        <f>IF(AC1086=0,IF(O1086=6,INDEX(Acceleration!$V$4:$V$110,MATCH('Track Data'!S1086,Acceleration!$K$4:$K$110,0)),IF('Track Data'!O1086=5,INDEX(Acceleration!$U$4:$U$110,MATCH('Track Data'!S1086,Acceleration!$K$4:$K$110,0)),1)),U1086)</f>
        <v>1</v>
      </c>
      <c r="AG1086" s="16">
        <f>IF(AC1086=0,IF(O1086=4,INDEX(Acceleration!$T$4:$T$110,MATCH('Track Data'!S1086,Acceleration!$K$4:$K$110,0)),IF('Track Data'!O1086=3,INDEX(Acceleration!$S$4:$S$110,MATCH('Track Data'!S1086,Acceleration!$K$4:$K$110,0)),'Track Data'!AF1086)),'Track Data'!U1086)</f>
        <v>4.8209066787706405</v>
      </c>
      <c r="AH1086" s="16">
        <f>IF(AC1086=0,IF(O1086=2,INDEX(Acceleration!$R$4:$R$110,MATCH('Track Data'!S1086,Acceleration!$K$4:$K$110,0)),IF('Track Data'!O1086=1,INDEX(Acceleration!$Q$4:$Q$110,MATCH('Track Data'!S1086,Acceleration!$K$4:$K$110,0)),'Track Data'!AG1086)),'Track Data'!U1086)</f>
        <v>4.8209066787706405</v>
      </c>
    </row>
    <row r="1087" spans="2:34" x14ac:dyDescent="0.25">
      <c r="B1087" s="16">
        <v>226.261</v>
      </c>
      <c r="C1087" s="16">
        <v>8357</v>
      </c>
      <c r="D1087" s="16">
        <v>1084</v>
      </c>
      <c r="E1087" s="113">
        <v>145</v>
      </c>
      <c r="F1087" s="113">
        <v>146.69999999999999</v>
      </c>
      <c r="G1087" s="113">
        <v>136.6</v>
      </c>
      <c r="H1087" s="113">
        <f t="shared" si="117"/>
        <v>37.944444444444443</v>
      </c>
      <c r="I1087" s="113">
        <v>8.9</v>
      </c>
      <c r="J1087" s="113">
        <v>63.5</v>
      </c>
      <c r="K1087" s="113">
        <v>-29.8</v>
      </c>
      <c r="L1087" s="183"/>
      <c r="M1087" s="16">
        <v>1084</v>
      </c>
      <c r="N1087" s="16">
        <f t="shared" si="119"/>
        <v>2.2841188743510724E-2</v>
      </c>
      <c r="O1087" s="16">
        <v>4</v>
      </c>
      <c r="P1087" s="16">
        <f t="shared" si="115"/>
        <v>9.1833785004516724</v>
      </c>
      <c r="Q1087" s="16">
        <f t="shared" si="120"/>
        <v>43.780558500227102</v>
      </c>
      <c r="R1087" s="113">
        <f t="shared" si="116"/>
        <v>329.49099999999999</v>
      </c>
      <c r="S1087" s="16">
        <f>IF(S1086=15800,15800,ROUND((((Q1087*60)/'Gearing Calculator'!$C$14)*'Track Data'!P1087),-2))</f>
        <v>12200</v>
      </c>
      <c r="T1087" s="16">
        <f t="shared" si="118"/>
        <v>4.8209066787706405</v>
      </c>
      <c r="U1087" s="16">
        <f>IF(AC1087=100,Braking!$AG$2354,IF(AC1087=50,Braking!$AG$1179,IF(AC1087=75,Braking!$AG$1767,0)))</f>
        <v>0</v>
      </c>
      <c r="V1087" s="16">
        <f>0.5*'Gearing Calculator'!$C$15*'Gearing Calculator'!$C$20*'Gearing Calculator'!$W$20*('Track Data'!Q1087^2)</f>
        <v>202.8674761063169</v>
      </c>
      <c r="W1087" s="16">
        <f>('Gearing Calculator'!$U$9*'Track Data'!T1087)+'Track Data'!V1087</f>
        <v>1486.1928339950614</v>
      </c>
      <c r="X1087" s="16">
        <f>('Gearing Calculator'!$U$9*9.81)*('Gearing Calculator'!$U$16/'Gearing Calculator'!$C$7)-(('Track Data'!W1087)*('Gearing Calculator'!$U$17/'Gearing Calculator'!$C$7))</f>
        <v>591.0857078158931</v>
      </c>
      <c r="Y1087" s="16">
        <f>('Gearing Calculator'!$U$9*9.81)*(('Gearing Calculator'!$C$7-'Gearing Calculator'!$U$16)/'Gearing Calculator'!$C$7)+(('Track Data'!W1087)*('Gearing Calculator'!$U$17/'Gearing Calculator'!$C$7))</f>
        <v>2020.3362921841069</v>
      </c>
      <c r="Z1087" s="16">
        <f>((X1087*COS('Gearing Calculator'!$C$21))/'Gearing Calculator'!$C$22)/2</f>
        <v>18.274500640847798</v>
      </c>
      <c r="AA1087" s="16">
        <f>Y1087/'Gearing Calculator'!$C$24</f>
        <v>28.210670940130971</v>
      </c>
      <c r="AB1087" s="16">
        <f t="shared" si="121"/>
        <v>222.15110282139946</v>
      </c>
      <c r="AC1087" s="16">
        <v>0</v>
      </c>
      <c r="AD1087" s="16">
        <v>-45.249166535644598</v>
      </c>
      <c r="AE1087" s="16">
        <v>1084</v>
      </c>
      <c r="AF1087" s="16">
        <f>IF(AC1087=0,IF(O1087=6,INDEX(Acceleration!$V$4:$V$110,MATCH('Track Data'!S1087,Acceleration!$K$4:$K$110,0)),IF('Track Data'!O1087=5,INDEX(Acceleration!$U$4:$U$110,MATCH('Track Data'!S1087,Acceleration!$K$4:$K$110,0)),1)),U1087)</f>
        <v>1</v>
      </c>
      <c r="AG1087" s="16">
        <f>IF(AC1087=0,IF(O1087=4,INDEX(Acceleration!$T$4:$T$110,MATCH('Track Data'!S1087,Acceleration!$K$4:$K$110,0)),IF('Track Data'!O1087=3,INDEX(Acceleration!$S$4:$S$110,MATCH('Track Data'!S1087,Acceleration!$K$4:$K$110,0)),'Track Data'!AF1087)),'Track Data'!U1087)</f>
        <v>4.8209066787706405</v>
      </c>
      <c r="AH1087" s="16">
        <f>IF(AC1087=0,IF(O1087=2,INDEX(Acceleration!$R$4:$R$110,MATCH('Track Data'!S1087,Acceleration!$K$4:$K$110,0)),IF('Track Data'!O1087=1,INDEX(Acceleration!$Q$4:$Q$110,MATCH('Track Data'!S1087,Acceleration!$K$4:$K$110,0)),'Track Data'!AG1087)),'Track Data'!U1087)</f>
        <v>4.8209066787706405</v>
      </c>
    </row>
    <row r="1088" spans="2:34" x14ac:dyDescent="0.25">
      <c r="B1088" s="16">
        <v>226.286</v>
      </c>
      <c r="C1088" s="16">
        <v>8358</v>
      </c>
      <c r="D1088" s="16">
        <v>1085</v>
      </c>
      <c r="E1088" s="113">
        <v>145</v>
      </c>
      <c r="F1088" s="113">
        <v>146.4</v>
      </c>
      <c r="G1088" s="113">
        <v>136.19999999999999</v>
      </c>
      <c r="H1088" s="113">
        <f t="shared" si="117"/>
        <v>37.833333333333329</v>
      </c>
      <c r="I1088" s="113">
        <v>9.6999999999999993</v>
      </c>
      <c r="J1088" s="113">
        <v>65.760000000000005</v>
      </c>
      <c r="K1088" s="113">
        <v>-37.6</v>
      </c>
      <c r="L1088" s="183"/>
      <c r="M1088" s="16">
        <v>1085</v>
      </c>
      <c r="N1088" s="16">
        <f t="shared" si="119"/>
        <v>2.2841188743510724E-2</v>
      </c>
      <c r="O1088" s="16">
        <v>4</v>
      </c>
      <c r="P1088" s="16">
        <f t="shared" si="115"/>
        <v>9.1833785004516724</v>
      </c>
      <c r="Q1088" s="16">
        <f t="shared" si="120"/>
        <v>43.780558500227102</v>
      </c>
      <c r="R1088" s="113">
        <f t="shared" si="116"/>
        <v>329.49099999999999</v>
      </c>
      <c r="S1088" s="16">
        <f>IF(S1087=15800,15800,ROUND((((Q1088*60)/'Gearing Calculator'!$C$14)*'Track Data'!P1088),-2))</f>
        <v>12200</v>
      </c>
      <c r="T1088" s="16">
        <f t="shared" si="118"/>
        <v>4.8209066787706405</v>
      </c>
      <c r="U1088" s="16">
        <f>IF(AC1088=100,Braking!$AG$2354,IF(AC1088=50,Braking!$AG$1179,IF(AC1088=75,Braking!$AG$1767,0)))</f>
        <v>0</v>
      </c>
      <c r="V1088" s="16">
        <f>0.5*'Gearing Calculator'!$C$15*'Gearing Calculator'!$C$20*'Gearing Calculator'!$W$20*('Track Data'!Q1088^2)</f>
        <v>202.8674761063169</v>
      </c>
      <c r="W1088" s="16">
        <f>('Gearing Calculator'!$U$9*'Track Data'!T1088)+'Track Data'!V1088</f>
        <v>1486.1928339950614</v>
      </c>
      <c r="X1088" s="16">
        <f>('Gearing Calculator'!$U$9*9.81)*('Gearing Calculator'!$U$16/'Gearing Calculator'!$C$7)-(('Track Data'!W1088)*('Gearing Calculator'!$U$17/'Gearing Calculator'!$C$7))</f>
        <v>591.0857078158931</v>
      </c>
      <c r="Y1088" s="16">
        <f>('Gearing Calculator'!$U$9*9.81)*(('Gearing Calculator'!$C$7-'Gearing Calculator'!$U$16)/'Gearing Calculator'!$C$7)+(('Track Data'!W1088)*('Gearing Calculator'!$U$17/'Gearing Calculator'!$C$7))</f>
        <v>2020.3362921841069</v>
      </c>
      <c r="Z1088" s="16">
        <f>((X1088*COS('Gearing Calculator'!$C$21))/'Gearing Calculator'!$C$22)/2</f>
        <v>18.274500640847798</v>
      </c>
      <c r="AA1088" s="16">
        <f>Y1088/'Gearing Calculator'!$C$24</f>
        <v>28.210670940130971</v>
      </c>
      <c r="AB1088" s="16">
        <f t="shared" si="121"/>
        <v>222.15110282139946</v>
      </c>
      <c r="AC1088" s="16">
        <v>0</v>
      </c>
      <c r="AD1088" s="16">
        <v>-45.249166535644598</v>
      </c>
      <c r="AE1088" s="16">
        <v>1085</v>
      </c>
      <c r="AF1088" s="16">
        <f>IF(AC1088=0,IF(O1088=6,INDEX(Acceleration!$V$4:$V$110,MATCH('Track Data'!S1088,Acceleration!$K$4:$K$110,0)),IF('Track Data'!O1088=5,INDEX(Acceleration!$U$4:$U$110,MATCH('Track Data'!S1088,Acceleration!$K$4:$K$110,0)),1)),U1088)</f>
        <v>1</v>
      </c>
      <c r="AG1088" s="16">
        <f>IF(AC1088=0,IF(O1088=4,INDEX(Acceleration!$T$4:$T$110,MATCH('Track Data'!S1088,Acceleration!$K$4:$K$110,0)),IF('Track Data'!O1088=3,INDEX(Acceleration!$S$4:$S$110,MATCH('Track Data'!S1088,Acceleration!$K$4:$K$110,0)),'Track Data'!AF1088)),'Track Data'!U1088)</f>
        <v>4.8209066787706405</v>
      </c>
      <c r="AH1088" s="16">
        <f>IF(AC1088=0,IF(O1088=2,INDEX(Acceleration!$R$4:$R$110,MATCH('Track Data'!S1088,Acceleration!$K$4:$K$110,0)),IF('Track Data'!O1088=1,INDEX(Acceleration!$Q$4:$Q$110,MATCH('Track Data'!S1088,Acceleration!$K$4:$K$110,0)),'Track Data'!AG1088)),'Track Data'!U1088)</f>
        <v>4.8209066787706405</v>
      </c>
    </row>
    <row r="1089" spans="2:34" x14ac:dyDescent="0.25">
      <c r="B1089" s="16">
        <v>226.31</v>
      </c>
      <c r="C1089" s="16">
        <v>8359</v>
      </c>
      <c r="D1089" s="16">
        <v>1086</v>
      </c>
      <c r="E1089" s="113">
        <v>145</v>
      </c>
      <c r="F1089" s="113">
        <v>146.30000000000001</v>
      </c>
      <c r="G1089" s="113">
        <v>135.5</v>
      </c>
      <c r="H1089" s="113">
        <f t="shared" si="117"/>
        <v>37.638888888888886</v>
      </c>
      <c r="I1089" s="113">
        <v>11.8</v>
      </c>
      <c r="J1089" s="113">
        <v>65.84</v>
      </c>
      <c r="K1089" s="113">
        <v>-49.3</v>
      </c>
      <c r="L1089" s="183"/>
      <c r="M1089" s="16">
        <v>1086</v>
      </c>
      <c r="N1089" s="16">
        <f t="shared" si="119"/>
        <v>2.2841188743510724E-2</v>
      </c>
      <c r="O1089" s="16">
        <v>4</v>
      </c>
      <c r="P1089" s="16">
        <f t="shared" si="115"/>
        <v>9.1833785004516724</v>
      </c>
      <c r="Q1089" s="16">
        <f t="shared" si="120"/>
        <v>43.780558500227102</v>
      </c>
      <c r="R1089" s="113">
        <f t="shared" si="116"/>
        <v>329.49099999999999</v>
      </c>
      <c r="S1089" s="16">
        <f>IF(S1088=15800,15800,ROUND((((Q1089*60)/'Gearing Calculator'!$C$14)*'Track Data'!P1089),-2))</f>
        <v>12200</v>
      </c>
      <c r="T1089" s="16">
        <f t="shared" si="118"/>
        <v>4.8209066787706405</v>
      </c>
      <c r="U1089" s="16">
        <f>IF(AC1089=100,Braking!$AG$2354,IF(AC1089=50,Braking!$AG$1179,IF(AC1089=75,Braking!$AG$1767,0)))</f>
        <v>0</v>
      </c>
      <c r="V1089" s="16">
        <f>0.5*'Gearing Calculator'!$C$15*'Gearing Calculator'!$C$20*'Gearing Calculator'!$W$20*('Track Data'!Q1089^2)</f>
        <v>202.8674761063169</v>
      </c>
      <c r="W1089" s="16">
        <f>('Gearing Calculator'!$U$9*'Track Data'!T1089)+'Track Data'!V1089</f>
        <v>1486.1928339950614</v>
      </c>
      <c r="X1089" s="16">
        <f>('Gearing Calculator'!$U$9*9.81)*('Gearing Calculator'!$U$16/'Gearing Calculator'!$C$7)-(('Track Data'!W1089)*('Gearing Calculator'!$U$17/'Gearing Calculator'!$C$7))</f>
        <v>591.0857078158931</v>
      </c>
      <c r="Y1089" s="16">
        <f>('Gearing Calculator'!$U$9*9.81)*(('Gearing Calculator'!$C$7-'Gearing Calculator'!$U$16)/'Gearing Calculator'!$C$7)+(('Track Data'!W1089)*('Gearing Calculator'!$U$17/'Gearing Calculator'!$C$7))</f>
        <v>2020.3362921841069</v>
      </c>
      <c r="Z1089" s="16">
        <f>((X1089*COS('Gearing Calculator'!$C$21))/'Gearing Calculator'!$C$22)/2</f>
        <v>18.274500640847798</v>
      </c>
      <c r="AA1089" s="16">
        <f>Y1089/'Gearing Calculator'!$C$24</f>
        <v>28.210670940130971</v>
      </c>
      <c r="AB1089" s="16">
        <f t="shared" si="121"/>
        <v>222.15110282139946</v>
      </c>
      <c r="AC1089" s="16">
        <v>0</v>
      </c>
      <c r="AD1089" s="16">
        <v>-45.249166535644598</v>
      </c>
      <c r="AE1089" s="16">
        <v>1086</v>
      </c>
      <c r="AF1089" s="16">
        <f>IF(AC1089=0,IF(O1089=6,INDEX(Acceleration!$V$4:$V$110,MATCH('Track Data'!S1089,Acceleration!$K$4:$K$110,0)),IF('Track Data'!O1089=5,INDEX(Acceleration!$U$4:$U$110,MATCH('Track Data'!S1089,Acceleration!$K$4:$K$110,0)),1)),U1089)</f>
        <v>1</v>
      </c>
      <c r="AG1089" s="16">
        <f>IF(AC1089=0,IF(O1089=4,INDEX(Acceleration!$T$4:$T$110,MATCH('Track Data'!S1089,Acceleration!$K$4:$K$110,0)),IF('Track Data'!O1089=3,INDEX(Acceleration!$S$4:$S$110,MATCH('Track Data'!S1089,Acceleration!$K$4:$K$110,0)),'Track Data'!AF1089)),'Track Data'!U1089)</f>
        <v>4.8209066787706405</v>
      </c>
      <c r="AH1089" s="16">
        <f>IF(AC1089=0,IF(O1089=2,INDEX(Acceleration!$R$4:$R$110,MATCH('Track Data'!S1089,Acceleration!$K$4:$K$110,0)),IF('Track Data'!O1089=1,INDEX(Acceleration!$Q$4:$Q$110,MATCH('Track Data'!S1089,Acceleration!$K$4:$K$110,0)),'Track Data'!AG1089)),'Track Data'!U1089)</f>
        <v>4.8209066787706405</v>
      </c>
    </row>
    <row r="1090" spans="2:34" x14ac:dyDescent="0.25">
      <c r="B1090" s="16">
        <v>226.334</v>
      </c>
      <c r="C1090" s="16">
        <v>8360</v>
      </c>
      <c r="D1090" s="16">
        <v>1087</v>
      </c>
      <c r="E1090" s="113">
        <v>145</v>
      </c>
      <c r="F1090" s="113">
        <v>146.19999999999999</v>
      </c>
      <c r="G1090" s="113">
        <v>135.1</v>
      </c>
      <c r="H1090" s="113">
        <f t="shared" si="117"/>
        <v>37.527777777777779</v>
      </c>
      <c r="I1090" s="113">
        <v>11.7</v>
      </c>
      <c r="J1090" s="113">
        <v>67.98</v>
      </c>
      <c r="K1090" s="113">
        <v>-51.6</v>
      </c>
      <c r="L1090" s="183"/>
      <c r="M1090" s="16">
        <v>1087</v>
      </c>
      <c r="N1090" s="16">
        <f t="shared" si="119"/>
        <v>2.2841188743510724E-2</v>
      </c>
      <c r="O1090" s="16">
        <v>4</v>
      </c>
      <c r="P1090" s="16">
        <f t="shared" si="115"/>
        <v>9.1833785004516724</v>
      </c>
      <c r="Q1090" s="16">
        <f t="shared" si="120"/>
        <v>43.780558500227102</v>
      </c>
      <c r="R1090" s="113">
        <f t="shared" si="116"/>
        <v>329.49099999999999</v>
      </c>
      <c r="S1090" s="16">
        <f>IF(S1089=15800,15800,ROUND((((Q1090*60)/'Gearing Calculator'!$C$14)*'Track Data'!P1090),-2))</f>
        <v>12200</v>
      </c>
      <c r="T1090" s="16">
        <f t="shared" si="118"/>
        <v>4.8209066787706405</v>
      </c>
      <c r="U1090" s="16">
        <f>IF(AC1090=100,Braking!$AG$2354,IF(AC1090=50,Braking!$AG$1179,IF(AC1090=75,Braking!$AG$1767,0)))</f>
        <v>0</v>
      </c>
      <c r="V1090" s="16">
        <f>0.5*'Gearing Calculator'!$C$15*'Gearing Calculator'!$C$20*'Gearing Calculator'!$W$20*('Track Data'!Q1090^2)</f>
        <v>202.8674761063169</v>
      </c>
      <c r="W1090" s="16">
        <f>('Gearing Calculator'!$U$9*'Track Data'!T1090)+'Track Data'!V1090</f>
        <v>1486.1928339950614</v>
      </c>
      <c r="X1090" s="16">
        <f>('Gearing Calculator'!$U$9*9.81)*('Gearing Calculator'!$U$16/'Gearing Calculator'!$C$7)-(('Track Data'!W1090)*('Gearing Calculator'!$U$17/'Gearing Calculator'!$C$7))</f>
        <v>591.0857078158931</v>
      </c>
      <c r="Y1090" s="16">
        <f>('Gearing Calculator'!$U$9*9.81)*(('Gearing Calculator'!$C$7-'Gearing Calculator'!$U$16)/'Gearing Calculator'!$C$7)+(('Track Data'!W1090)*('Gearing Calculator'!$U$17/'Gearing Calculator'!$C$7))</f>
        <v>2020.3362921841069</v>
      </c>
      <c r="Z1090" s="16">
        <f>((X1090*COS('Gearing Calculator'!$C$21))/'Gearing Calculator'!$C$22)/2</f>
        <v>18.274500640847798</v>
      </c>
      <c r="AA1090" s="16">
        <f>Y1090/'Gearing Calculator'!$C$24</f>
        <v>28.210670940130971</v>
      </c>
      <c r="AB1090" s="16">
        <f t="shared" si="121"/>
        <v>222.15110282139946</v>
      </c>
      <c r="AC1090" s="16">
        <v>0</v>
      </c>
      <c r="AD1090" s="16">
        <v>-45.249166535644598</v>
      </c>
      <c r="AE1090" s="16">
        <v>1087</v>
      </c>
      <c r="AF1090" s="16">
        <f>IF(AC1090=0,IF(O1090=6,INDEX(Acceleration!$V$4:$V$110,MATCH('Track Data'!S1090,Acceleration!$K$4:$K$110,0)),IF('Track Data'!O1090=5,INDEX(Acceleration!$U$4:$U$110,MATCH('Track Data'!S1090,Acceleration!$K$4:$K$110,0)),1)),U1090)</f>
        <v>1</v>
      </c>
      <c r="AG1090" s="16">
        <f>IF(AC1090=0,IF(O1090=4,INDEX(Acceleration!$T$4:$T$110,MATCH('Track Data'!S1090,Acceleration!$K$4:$K$110,0)),IF('Track Data'!O1090=3,INDEX(Acceleration!$S$4:$S$110,MATCH('Track Data'!S1090,Acceleration!$K$4:$K$110,0)),'Track Data'!AF1090)),'Track Data'!U1090)</f>
        <v>4.8209066787706405</v>
      </c>
      <c r="AH1090" s="16">
        <f>IF(AC1090=0,IF(O1090=2,INDEX(Acceleration!$R$4:$R$110,MATCH('Track Data'!S1090,Acceleration!$K$4:$K$110,0)),IF('Track Data'!O1090=1,INDEX(Acceleration!$Q$4:$Q$110,MATCH('Track Data'!S1090,Acceleration!$K$4:$K$110,0)),'Track Data'!AG1090)),'Track Data'!U1090)</f>
        <v>4.8209066787706405</v>
      </c>
    </row>
    <row r="1091" spans="2:34" x14ac:dyDescent="0.25">
      <c r="B1091" s="16">
        <v>226.35900000000001</v>
      </c>
      <c r="C1091" s="16">
        <v>8361</v>
      </c>
      <c r="D1091" s="16">
        <v>1088</v>
      </c>
      <c r="E1091" s="113">
        <v>145</v>
      </c>
      <c r="F1091" s="113">
        <v>146.19999999999999</v>
      </c>
      <c r="G1091" s="113">
        <v>134.69999999999999</v>
      </c>
      <c r="H1091" s="113">
        <f t="shared" si="117"/>
        <v>37.416666666666664</v>
      </c>
      <c r="I1091" s="113">
        <v>11.6</v>
      </c>
      <c r="J1091" s="113">
        <v>67.58</v>
      </c>
      <c r="K1091" s="113">
        <v>-51.4</v>
      </c>
      <c r="L1091" s="183"/>
      <c r="M1091" s="16">
        <v>1088</v>
      </c>
      <c r="N1091" s="16">
        <f t="shared" si="119"/>
        <v>2.2841188743510724E-2</v>
      </c>
      <c r="O1091" s="16">
        <v>4</v>
      </c>
      <c r="P1091" s="16">
        <f t="shared" si="115"/>
        <v>9.1833785004516724</v>
      </c>
      <c r="Q1091" s="16">
        <f t="shared" si="120"/>
        <v>43.780558500227102</v>
      </c>
      <c r="R1091" s="113">
        <f t="shared" si="116"/>
        <v>329.49099999999999</v>
      </c>
      <c r="S1091" s="16">
        <f>IF(S1090=15800,15800,ROUND((((Q1091*60)/'Gearing Calculator'!$C$14)*'Track Data'!P1091),-2))</f>
        <v>12200</v>
      </c>
      <c r="T1091" s="16">
        <f t="shared" si="118"/>
        <v>4.8209066787706405</v>
      </c>
      <c r="U1091" s="16">
        <f>IF(AC1091=100,Braking!$AG$2354,IF(AC1091=50,Braking!$AG$1179,IF(AC1091=75,Braking!$AG$1767,0)))</f>
        <v>0</v>
      </c>
      <c r="V1091" s="16">
        <f>0.5*'Gearing Calculator'!$C$15*'Gearing Calculator'!$C$20*'Gearing Calculator'!$W$20*('Track Data'!Q1091^2)</f>
        <v>202.8674761063169</v>
      </c>
      <c r="W1091" s="16">
        <f>('Gearing Calculator'!$U$9*'Track Data'!T1091)+'Track Data'!V1091</f>
        <v>1486.1928339950614</v>
      </c>
      <c r="X1091" s="16">
        <f>('Gearing Calculator'!$U$9*9.81)*('Gearing Calculator'!$U$16/'Gearing Calculator'!$C$7)-(('Track Data'!W1091)*('Gearing Calculator'!$U$17/'Gearing Calculator'!$C$7))</f>
        <v>591.0857078158931</v>
      </c>
      <c r="Y1091" s="16">
        <f>('Gearing Calculator'!$U$9*9.81)*(('Gearing Calculator'!$C$7-'Gearing Calculator'!$U$16)/'Gearing Calculator'!$C$7)+(('Track Data'!W1091)*('Gearing Calculator'!$U$17/'Gearing Calculator'!$C$7))</f>
        <v>2020.3362921841069</v>
      </c>
      <c r="Z1091" s="16">
        <f>((X1091*COS('Gearing Calculator'!$C$21))/'Gearing Calculator'!$C$22)/2</f>
        <v>18.274500640847798</v>
      </c>
      <c r="AA1091" s="16">
        <f>Y1091/'Gearing Calculator'!$C$24</f>
        <v>28.210670940130971</v>
      </c>
      <c r="AB1091" s="16">
        <f t="shared" si="121"/>
        <v>222.15110282139946</v>
      </c>
      <c r="AC1091" s="16">
        <v>0</v>
      </c>
      <c r="AD1091" s="16">
        <v>-45.249166535644598</v>
      </c>
      <c r="AE1091" s="16">
        <v>1088</v>
      </c>
      <c r="AF1091" s="16">
        <f>IF(AC1091=0,IF(O1091=6,INDEX(Acceleration!$V$4:$V$110,MATCH('Track Data'!S1091,Acceleration!$K$4:$K$110,0)),IF('Track Data'!O1091=5,INDEX(Acceleration!$U$4:$U$110,MATCH('Track Data'!S1091,Acceleration!$K$4:$K$110,0)),1)),U1091)</f>
        <v>1</v>
      </c>
      <c r="AG1091" s="16">
        <f>IF(AC1091=0,IF(O1091=4,INDEX(Acceleration!$T$4:$T$110,MATCH('Track Data'!S1091,Acceleration!$K$4:$K$110,0)),IF('Track Data'!O1091=3,INDEX(Acceleration!$S$4:$S$110,MATCH('Track Data'!S1091,Acceleration!$K$4:$K$110,0)),'Track Data'!AF1091)),'Track Data'!U1091)</f>
        <v>4.8209066787706405</v>
      </c>
      <c r="AH1091" s="16">
        <f>IF(AC1091=0,IF(O1091=2,INDEX(Acceleration!$R$4:$R$110,MATCH('Track Data'!S1091,Acceleration!$K$4:$K$110,0)),IF('Track Data'!O1091=1,INDEX(Acceleration!$Q$4:$Q$110,MATCH('Track Data'!S1091,Acceleration!$K$4:$K$110,0)),'Track Data'!AG1091)),'Track Data'!U1091)</f>
        <v>4.8209066787706405</v>
      </c>
    </row>
    <row r="1092" spans="2:34" x14ac:dyDescent="0.25">
      <c r="B1092" s="16">
        <v>226.38399999999999</v>
      </c>
      <c r="C1092" s="16">
        <v>8362</v>
      </c>
      <c r="D1092" s="16">
        <v>1089</v>
      </c>
      <c r="E1092" s="113">
        <v>145</v>
      </c>
      <c r="F1092" s="113">
        <v>145.9</v>
      </c>
      <c r="G1092" s="113">
        <v>134.1</v>
      </c>
      <c r="H1092" s="113">
        <f t="shared" si="117"/>
        <v>37.25</v>
      </c>
      <c r="I1092" s="113">
        <v>11.4</v>
      </c>
      <c r="J1092" s="113">
        <v>68.040000000000006</v>
      </c>
      <c r="K1092" s="113">
        <v>-51.1</v>
      </c>
      <c r="L1092" s="183"/>
      <c r="M1092" s="16">
        <v>1089</v>
      </c>
      <c r="N1092" s="16">
        <f t="shared" si="119"/>
        <v>2.2841188743510724E-2</v>
      </c>
      <c r="O1092" s="16">
        <v>4</v>
      </c>
      <c r="P1092" s="16">
        <f t="shared" ref="P1092:P1155" si="122">VLOOKUP(O1092,$AJ$5:$AK$10,2,FALSE)</f>
        <v>9.1833785004516724</v>
      </c>
      <c r="Q1092" s="16">
        <f t="shared" si="120"/>
        <v>43.780558500227102</v>
      </c>
      <c r="R1092" s="113">
        <f t="shared" ref="R1092:R1155" si="123">VLOOKUP(O1092,$AJ$5:$AL$10,3,FALSE)</f>
        <v>329.49099999999999</v>
      </c>
      <c r="S1092" s="16">
        <f>IF(S1091=15800,15800,ROUND((((Q1092*60)/'Gearing Calculator'!$C$14)*'Track Data'!P1092),-2))</f>
        <v>12200</v>
      </c>
      <c r="T1092" s="16">
        <f t="shared" si="118"/>
        <v>4.8209066787706405</v>
      </c>
      <c r="U1092" s="16">
        <f>IF(AC1092=100,Braking!$AG$2354,IF(AC1092=50,Braking!$AG$1179,IF(AC1092=75,Braking!$AG$1767,0)))</f>
        <v>0</v>
      </c>
      <c r="V1092" s="16">
        <f>0.5*'Gearing Calculator'!$C$15*'Gearing Calculator'!$C$20*'Gearing Calculator'!$W$20*('Track Data'!Q1092^2)</f>
        <v>202.8674761063169</v>
      </c>
      <c r="W1092" s="16">
        <f>('Gearing Calculator'!$U$9*'Track Data'!T1092)+'Track Data'!V1092</f>
        <v>1486.1928339950614</v>
      </c>
      <c r="X1092" s="16">
        <f>('Gearing Calculator'!$U$9*9.81)*('Gearing Calculator'!$U$16/'Gearing Calculator'!$C$7)-(('Track Data'!W1092)*('Gearing Calculator'!$U$17/'Gearing Calculator'!$C$7))</f>
        <v>591.0857078158931</v>
      </c>
      <c r="Y1092" s="16">
        <f>('Gearing Calculator'!$U$9*9.81)*(('Gearing Calculator'!$C$7-'Gearing Calculator'!$U$16)/'Gearing Calculator'!$C$7)+(('Track Data'!W1092)*('Gearing Calculator'!$U$17/'Gearing Calculator'!$C$7))</f>
        <v>2020.3362921841069</v>
      </c>
      <c r="Z1092" s="16">
        <f>((X1092*COS('Gearing Calculator'!$C$21))/'Gearing Calculator'!$C$22)/2</f>
        <v>18.274500640847798</v>
      </c>
      <c r="AA1092" s="16">
        <f>Y1092/'Gearing Calculator'!$C$24</f>
        <v>28.210670940130971</v>
      </c>
      <c r="AB1092" s="16">
        <f t="shared" si="121"/>
        <v>222.15110282139946</v>
      </c>
      <c r="AC1092" s="16">
        <v>0</v>
      </c>
      <c r="AD1092" s="16">
        <v>-45.249166535644598</v>
      </c>
      <c r="AE1092" s="16">
        <v>1089</v>
      </c>
      <c r="AF1092" s="16">
        <f>IF(AC1092=0,IF(O1092=6,INDEX(Acceleration!$V$4:$V$110,MATCH('Track Data'!S1092,Acceleration!$K$4:$K$110,0)),IF('Track Data'!O1092=5,INDEX(Acceleration!$U$4:$U$110,MATCH('Track Data'!S1092,Acceleration!$K$4:$K$110,0)),1)),U1092)</f>
        <v>1</v>
      </c>
      <c r="AG1092" s="16">
        <f>IF(AC1092=0,IF(O1092=4,INDEX(Acceleration!$T$4:$T$110,MATCH('Track Data'!S1092,Acceleration!$K$4:$K$110,0)),IF('Track Data'!O1092=3,INDEX(Acceleration!$S$4:$S$110,MATCH('Track Data'!S1092,Acceleration!$K$4:$K$110,0)),'Track Data'!AF1092)),'Track Data'!U1092)</f>
        <v>4.8209066787706405</v>
      </c>
      <c r="AH1092" s="16">
        <f>IF(AC1092=0,IF(O1092=2,INDEX(Acceleration!$R$4:$R$110,MATCH('Track Data'!S1092,Acceleration!$K$4:$K$110,0)),IF('Track Data'!O1092=1,INDEX(Acceleration!$Q$4:$Q$110,MATCH('Track Data'!S1092,Acceleration!$K$4:$K$110,0)),'Track Data'!AG1092)),'Track Data'!U1092)</f>
        <v>4.8209066787706405</v>
      </c>
    </row>
    <row r="1093" spans="2:34" x14ac:dyDescent="0.25">
      <c r="B1093" s="16">
        <v>226.40799999999999</v>
      </c>
      <c r="C1093" s="16">
        <v>8363</v>
      </c>
      <c r="D1093" s="16">
        <v>1090</v>
      </c>
      <c r="E1093" s="113">
        <v>145</v>
      </c>
      <c r="F1093" s="113">
        <v>145.69999999999999</v>
      </c>
      <c r="G1093" s="113">
        <v>133.69999999999999</v>
      </c>
      <c r="H1093" s="113">
        <f t="shared" ref="H1093:H1156" si="124">G1093/3.6</f>
        <v>37.138888888888886</v>
      </c>
      <c r="I1093" s="113">
        <v>11.7</v>
      </c>
      <c r="J1093" s="113">
        <v>69.849999999999994</v>
      </c>
      <c r="K1093" s="113">
        <v>-50.7</v>
      </c>
      <c r="L1093" s="183"/>
      <c r="M1093" s="16">
        <v>1090</v>
      </c>
      <c r="N1093" s="16">
        <f t="shared" si="119"/>
        <v>2.2841188743510724E-2</v>
      </c>
      <c r="O1093" s="16">
        <v>4</v>
      </c>
      <c r="P1093" s="16">
        <f t="shared" si="122"/>
        <v>9.1833785004516724</v>
      </c>
      <c r="Q1093" s="16">
        <f t="shared" si="120"/>
        <v>43.780558500227102</v>
      </c>
      <c r="R1093" s="113">
        <f t="shared" si="123"/>
        <v>329.49099999999999</v>
      </c>
      <c r="S1093" s="16">
        <f>IF(S1092=15800,15800,ROUND((((Q1093*60)/'Gearing Calculator'!$C$14)*'Track Data'!P1093),-2))</f>
        <v>12200</v>
      </c>
      <c r="T1093" s="16">
        <f t="shared" ref="T1093:T1156" si="125">AH1093</f>
        <v>4.8209066787706405</v>
      </c>
      <c r="U1093" s="16">
        <f>IF(AC1093=100,Braking!$AG$2354,IF(AC1093=50,Braking!$AG$1179,IF(AC1093=75,Braking!$AG$1767,0)))</f>
        <v>0</v>
      </c>
      <c r="V1093" s="16">
        <f>0.5*'Gearing Calculator'!$C$15*'Gearing Calculator'!$C$20*'Gearing Calculator'!$W$20*('Track Data'!Q1093^2)</f>
        <v>202.8674761063169</v>
      </c>
      <c r="W1093" s="16">
        <f>('Gearing Calculator'!$U$9*'Track Data'!T1093)+'Track Data'!V1093</f>
        <v>1486.1928339950614</v>
      </c>
      <c r="X1093" s="16">
        <f>('Gearing Calculator'!$U$9*9.81)*('Gearing Calculator'!$U$16/'Gearing Calculator'!$C$7)-(('Track Data'!W1093)*('Gearing Calculator'!$U$17/'Gearing Calculator'!$C$7))</f>
        <v>591.0857078158931</v>
      </c>
      <c r="Y1093" s="16">
        <f>('Gearing Calculator'!$U$9*9.81)*(('Gearing Calculator'!$C$7-'Gearing Calculator'!$U$16)/'Gearing Calculator'!$C$7)+(('Track Data'!W1093)*('Gearing Calculator'!$U$17/'Gearing Calculator'!$C$7))</f>
        <v>2020.3362921841069</v>
      </c>
      <c r="Z1093" s="16">
        <f>((X1093*COS('Gearing Calculator'!$C$21))/'Gearing Calculator'!$C$22)/2</f>
        <v>18.274500640847798</v>
      </c>
      <c r="AA1093" s="16">
        <f>Y1093/'Gearing Calculator'!$C$24</f>
        <v>28.210670940130971</v>
      </c>
      <c r="AB1093" s="16">
        <f t="shared" si="121"/>
        <v>222.15110282139946</v>
      </c>
      <c r="AC1093" s="16">
        <v>0</v>
      </c>
      <c r="AD1093" s="16">
        <v>-45.249166535644598</v>
      </c>
      <c r="AE1093" s="16">
        <v>1090</v>
      </c>
      <c r="AF1093" s="16">
        <f>IF(AC1093=0,IF(O1093=6,INDEX(Acceleration!$V$4:$V$110,MATCH('Track Data'!S1093,Acceleration!$K$4:$K$110,0)),IF('Track Data'!O1093=5,INDEX(Acceleration!$U$4:$U$110,MATCH('Track Data'!S1093,Acceleration!$K$4:$K$110,0)),1)),U1093)</f>
        <v>1</v>
      </c>
      <c r="AG1093" s="16">
        <f>IF(AC1093=0,IF(O1093=4,INDEX(Acceleration!$T$4:$T$110,MATCH('Track Data'!S1093,Acceleration!$K$4:$K$110,0)),IF('Track Data'!O1093=3,INDEX(Acceleration!$S$4:$S$110,MATCH('Track Data'!S1093,Acceleration!$K$4:$K$110,0)),'Track Data'!AF1093)),'Track Data'!U1093)</f>
        <v>4.8209066787706405</v>
      </c>
      <c r="AH1093" s="16">
        <f>IF(AC1093=0,IF(O1093=2,INDEX(Acceleration!$R$4:$R$110,MATCH('Track Data'!S1093,Acceleration!$K$4:$K$110,0)),IF('Track Data'!O1093=1,INDEX(Acceleration!$Q$4:$Q$110,MATCH('Track Data'!S1093,Acceleration!$K$4:$K$110,0)),'Track Data'!AG1093)),'Track Data'!U1093)</f>
        <v>4.8209066787706405</v>
      </c>
    </row>
    <row r="1094" spans="2:34" x14ac:dyDescent="0.25">
      <c r="B1094" s="16">
        <v>226.43299999999999</v>
      </c>
      <c r="C1094" s="16">
        <v>8364</v>
      </c>
      <c r="D1094" s="16">
        <v>1091</v>
      </c>
      <c r="E1094" s="113">
        <v>144</v>
      </c>
      <c r="F1094" s="113">
        <v>145.19999999999999</v>
      </c>
      <c r="G1094" s="113">
        <v>133.1</v>
      </c>
      <c r="H1094" s="113">
        <f t="shared" si="124"/>
        <v>36.972222222222221</v>
      </c>
      <c r="I1094" s="113">
        <v>13.3</v>
      </c>
      <c r="J1094" s="113">
        <v>72.44</v>
      </c>
      <c r="K1094" s="113">
        <v>-48.3</v>
      </c>
      <c r="L1094" s="183"/>
      <c r="M1094" s="16">
        <v>1091</v>
      </c>
      <c r="N1094" s="16">
        <f t="shared" ref="N1094:N1157" si="126">1/Q1094</f>
        <v>2.2841188743510724E-2</v>
      </c>
      <c r="O1094" s="16">
        <v>4</v>
      </c>
      <c r="P1094" s="16">
        <f t="shared" si="122"/>
        <v>9.1833785004516724</v>
      </c>
      <c r="Q1094" s="16">
        <f t="shared" ref="Q1094:Q1157" si="127">IF(AD1093=0,SQRT(Q1093^2+(2*T1093)),Q1093)</f>
        <v>43.780558500227102</v>
      </c>
      <c r="R1094" s="113">
        <f t="shared" si="123"/>
        <v>329.49099999999999</v>
      </c>
      <c r="S1094" s="16">
        <f>IF(S1093=15800,15800,ROUND((((Q1094*60)/'Gearing Calculator'!$C$14)*'Track Data'!P1094),-2))</f>
        <v>12200</v>
      </c>
      <c r="T1094" s="16">
        <f t="shared" si="125"/>
        <v>4.8209066787706405</v>
      </c>
      <c r="U1094" s="16">
        <f>IF(AC1094=100,Braking!$AG$2354,IF(AC1094=50,Braking!$AG$1179,IF(AC1094=75,Braking!$AG$1767,0)))</f>
        <v>0</v>
      </c>
      <c r="V1094" s="16">
        <f>0.5*'Gearing Calculator'!$C$15*'Gearing Calculator'!$C$20*'Gearing Calculator'!$W$20*('Track Data'!Q1094^2)</f>
        <v>202.8674761063169</v>
      </c>
      <c r="W1094" s="16">
        <f>('Gearing Calculator'!$U$9*'Track Data'!T1094)+'Track Data'!V1094</f>
        <v>1486.1928339950614</v>
      </c>
      <c r="X1094" s="16">
        <f>('Gearing Calculator'!$U$9*9.81)*('Gearing Calculator'!$U$16/'Gearing Calculator'!$C$7)-(('Track Data'!W1094)*('Gearing Calculator'!$U$17/'Gearing Calculator'!$C$7))</f>
        <v>591.0857078158931</v>
      </c>
      <c r="Y1094" s="16">
        <f>('Gearing Calculator'!$U$9*9.81)*(('Gearing Calculator'!$C$7-'Gearing Calculator'!$U$16)/'Gearing Calculator'!$C$7)+(('Track Data'!W1094)*('Gearing Calculator'!$U$17/'Gearing Calculator'!$C$7))</f>
        <v>2020.3362921841069</v>
      </c>
      <c r="Z1094" s="16">
        <f>((X1094*COS('Gearing Calculator'!$C$21))/'Gearing Calculator'!$C$22)/2</f>
        <v>18.274500640847798</v>
      </c>
      <c r="AA1094" s="16">
        <f>Y1094/'Gearing Calculator'!$C$24</f>
        <v>28.210670940130971</v>
      </c>
      <c r="AB1094" s="16">
        <f t="shared" si="121"/>
        <v>222.15110282139946</v>
      </c>
      <c r="AC1094" s="16">
        <v>0</v>
      </c>
      <c r="AD1094" s="16">
        <v>-45.249166535644598</v>
      </c>
      <c r="AE1094" s="16">
        <v>1091</v>
      </c>
      <c r="AF1094" s="16">
        <f>IF(AC1094=0,IF(O1094=6,INDEX(Acceleration!$V$4:$V$110,MATCH('Track Data'!S1094,Acceleration!$K$4:$K$110,0)),IF('Track Data'!O1094=5,INDEX(Acceleration!$U$4:$U$110,MATCH('Track Data'!S1094,Acceleration!$K$4:$K$110,0)),1)),U1094)</f>
        <v>1</v>
      </c>
      <c r="AG1094" s="16">
        <f>IF(AC1094=0,IF(O1094=4,INDEX(Acceleration!$T$4:$T$110,MATCH('Track Data'!S1094,Acceleration!$K$4:$K$110,0)),IF('Track Data'!O1094=3,INDEX(Acceleration!$S$4:$S$110,MATCH('Track Data'!S1094,Acceleration!$K$4:$K$110,0)),'Track Data'!AF1094)),'Track Data'!U1094)</f>
        <v>4.8209066787706405</v>
      </c>
      <c r="AH1094" s="16">
        <f>IF(AC1094=0,IF(O1094=2,INDEX(Acceleration!$R$4:$R$110,MATCH('Track Data'!S1094,Acceleration!$K$4:$K$110,0)),IF('Track Data'!O1094=1,INDEX(Acceleration!$Q$4:$Q$110,MATCH('Track Data'!S1094,Acceleration!$K$4:$K$110,0)),'Track Data'!AG1094)),'Track Data'!U1094)</f>
        <v>4.8209066787706405</v>
      </c>
    </row>
    <row r="1095" spans="2:34" x14ac:dyDescent="0.25">
      <c r="B1095" s="16">
        <v>226.458</v>
      </c>
      <c r="C1095" s="16">
        <v>8365</v>
      </c>
      <c r="D1095" s="16">
        <v>1092</v>
      </c>
      <c r="E1095" s="113">
        <v>144</v>
      </c>
      <c r="F1095" s="113">
        <v>144.9</v>
      </c>
      <c r="G1095" s="113">
        <v>132.80000000000001</v>
      </c>
      <c r="H1095" s="113">
        <f t="shared" si="124"/>
        <v>36.888888888888893</v>
      </c>
      <c r="I1095" s="113">
        <v>14.1</v>
      </c>
      <c r="J1095" s="113">
        <v>73.16</v>
      </c>
      <c r="K1095" s="113">
        <v>-46.8</v>
      </c>
      <c r="L1095" s="183"/>
      <c r="M1095" s="16">
        <v>1092</v>
      </c>
      <c r="N1095" s="16">
        <f t="shared" si="126"/>
        <v>2.2841188743510724E-2</v>
      </c>
      <c r="O1095" s="16">
        <v>4</v>
      </c>
      <c r="P1095" s="16">
        <f t="shared" si="122"/>
        <v>9.1833785004516724</v>
      </c>
      <c r="Q1095" s="16">
        <f t="shared" si="127"/>
        <v>43.780558500227102</v>
      </c>
      <c r="R1095" s="113">
        <f t="shared" si="123"/>
        <v>329.49099999999999</v>
      </c>
      <c r="S1095" s="16">
        <f>IF(S1094=15800,15800,ROUND((((Q1095*60)/'Gearing Calculator'!$C$14)*'Track Data'!P1095),-2))</f>
        <v>12200</v>
      </c>
      <c r="T1095" s="16">
        <f t="shared" si="125"/>
        <v>4.8209066787706405</v>
      </c>
      <c r="U1095" s="16">
        <f>IF(AC1095=100,Braking!$AG$2354,IF(AC1095=50,Braking!$AG$1179,IF(AC1095=75,Braking!$AG$1767,0)))</f>
        <v>0</v>
      </c>
      <c r="V1095" s="16">
        <f>0.5*'Gearing Calculator'!$C$15*'Gearing Calculator'!$C$20*'Gearing Calculator'!$W$20*('Track Data'!Q1095^2)</f>
        <v>202.8674761063169</v>
      </c>
      <c r="W1095" s="16">
        <f>('Gearing Calculator'!$U$9*'Track Data'!T1095)+'Track Data'!V1095</f>
        <v>1486.1928339950614</v>
      </c>
      <c r="X1095" s="16">
        <f>('Gearing Calculator'!$U$9*9.81)*('Gearing Calculator'!$U$16/'Gearing Calculator'!$C$7)-(('Track Data'!W1095)*('Gearing Calculator'!$U$17/'Gearing Calculator'!$C$7))</f>
        <v>591.0857078158931</v>
      </c>
      <c r="Y1095" s="16">
        <f>('Gearing Calculator'!$U$9*9.81)*(('Gearing Calculator'!$C$7-'Gearing Calculator'!$U$16)/'Gearing Calculator'!$C$7)+(('Track Data'!W1095)*('Gearing Calculator'!$U$17/'Gearing Calculator'!$C$7))</f>
        <v>2020.3362921841069</v>
      </c>
      <c r="Z1095" s="16">
        <f>((X1095*COS('Gearing Calculator'!$C$21))/'Gearing Calculator'!$C$22)/2</f>
        <v>18.274500640847798</v>
      </c>
      <c r="AA1095" s="16">
        <f>Y1095/'Gearing Calculator'!$C$24</f>
        <v>28.210670940130971</v>
      </c>
      <c r="AB1095" s="16">
        <f t="shared" si="121"/>
        <v>222.15110282139946</v>
      </c>
      <c r="AC1095" s="16">
        <v>0</v>
      </c>
      <c r="AD1095" s="16">
        <v>-45.249166535644598</v>
      </c>
      <c r="AE1095" s="16">
        <v>1092</v>
      </c>
      <c r="AF1095" s="16">
        <f>IF(AC1095=0,IF(O1095=6,INDEX(Acceleration!$V$4:$V$110,MATCH('Track Data'!S1095,Acceleration!$K$4:$K$110,0)),IF('Track Data'!O1095=5,INDEX(Acceleration!$U$4:$U$110,MATCH('Track Data'!S1095,Acceleration!$K$4:$K$110,0)),1)),U1095)</f>
        <v>1</v>
      </c>
      <c r="AG1095" s="16">
        <f>IF(AC1095=0,IF(O1095=4,INDEX(Acceleration!$T$4:$T$110,MATCH('Track Data'!S1095,Acceleration!$K$4:$K$110,0)),IF('Track Data'!O1095=3,INDEX(Acceleration!$S$4:$S$110,MATCH('Track Data'!S1095,Acceleration!$K$4:$K$110,0)),'Track Data'!AF1095)),'Track Data'!U1095)</f>
        <v>4.8209066787706405</v>
      </c>
      <c r="AH1095" s="16">
        <f>IF(AC1095=0,IF(O1095=2,INDEX(Acceleration!$R$4:$R$110,MATCH('Track Data'!S1095,Acceleration!$K$4:$K$110,0)),IF('Track Data'!O1095=1,INDEX(Acceleration!$Q$4:$Q$110,MATCH('Track Data'!S1095,Acceleration!$K$4:$K$110,0)),'Track Data'!AG1095)),'Track Data'!U1095)</f>
        <v>4.8209066787706405</v>
      </c>
    </row>
    <row r="1096" spans="2:34" x14ac:dyDescent="0.25">
      <c r="B1096" s="16">
        <v>226.482</v>
      </c>
      <c r="C1096" s="16">
        <v>8366</v>
      </c>
      <c r="D1096" s="16">
        <v>1093</v>
      </c>
      <c r="E1096" s="113">
        <v>144</v>
      </c>
      <c r="F1096" s="113">
        <v>144.5</v>
      </c>
      <c r="G1096" s="113">
        <v>132.30000000000001</v>
      </c>
      <c r="H1096" s="113">
        <f t="shared" si="124"/>
        <v>36.75</v>
      </c>
      <c r="I1096" s="113">
        <v>15</v>
      </c>
      <c r="J1096" s="113">
        <v>73.3</v>
      </c>
      <c r="K1096" s="113">
        <v>-45</v>
      </c>
      <c r="L1096" s="183"/>
      <c r="M1096" s="16">
        <v>1093</v>
      </c>
      <c r="N1096" s="16">
        <f t="shared" si="126"/>
        <v>2.2841188743510724E-2</v>
      </c>
      <c r="O1096" s="16">
        <v>4</v>
      </c>
      <c r="P1096" s="16">
        <f t="shared" si="122"/>
        <v>9.1833785004516724</v>
      </c>
      <c r="Q1096" s="16">
        <f t="shared" si="127"/>
        <v>43.780558500227102</v>
      </c>
      <c r="R1096" s="113">
        <f t="shared" si="123"/>
        <v>329.49099999999999</v>
      </c>
      <c r="S1096" s="16">
        <f>IF(S1095=15800,15800,ROUND((((Q1096*60)/'Gearing Calculator'!$C$14)*'Track Data'!P1096),-2))</f>
        <v>12200</v>
      </c>
      <c r="T1096" s="16">
        <f t="shared" si="125"/>
        <v>4.8209066787706405</v>
      </c>
      <c r="U1096" s="16">
        <f>IF(AC1096=100,Braking!$AG$2354,IF(AC1096=50,Braking!$AG$1179,IF(AC1096=75,Braking!$AG$1767,0)))</f>
        <v>0</v>
      </c>
      <c r="V1096" s="16">
        <f>0.5*'Gearing Calculator'!$C$15*'Gearing Calculator'!$C$20*'Gearing Calculator'!$W$20*('Track Data'!Q1096^2)</f>
        <v>202.8674761063169</v>
      </c>
      <c r="W1096" s="16">
        <f>('Gearing Calculator'!$U$9*'Track Data'!T1096)+'Track Data'!V1096</f>
        <v>1486.1928339950614</v>
      </c>
      <c r="X1096" s="16">
        <f>('Gearing Calculator'!$U$9*9.81)*('Gearing Calculator'!$U$16/'Gearing Calculator'!$C$7)-(('Track Data'!W1096)*('Gearing Calculator'!$U$17/'Gearing Calculator'!$C$7))</f>
        <v>591.0857078158931</v>
      </c>
      <c r="Y1096" s="16">
        <f>('Gearing Calculator'!$U$9*9.81)*(('Gearing Calculator'!$C$7-'Gearing Calculator'!$U$16)/'Gearing Calculator'!$C$7)+(('Track Data'!W1096)*('Gearing Calculator'!$U$17/'Gearing Calculator'!$C$7))</f>
        <v>2020.3362921841069</v>
      </c>
      <c r="Z1096" s="16">
        <f>((X1096*COS('Gearing Calculator'!$C$21))/'Gearing Calculator'!$C$22)/2</f>
        <v>18.274500640847798</v>
      </c>
      <c r="AA1096" s="16">
        <f>Y1096/'Gearing Calculator'!$C$24</f>
        <v>28.210670940130971</v>
      </c>
      <c r="AB1096" s="16">
        <f t="shared" si="121"/>
        <v>222.15110282139946</v>
      </c>
      <c r="AC1096" s="16">
        <v>0</v>
      </c>
      <c r="AD1096" s="16">
        <v>-45.249166535644598</v>
      </c>
      <c r="AE1096" s="16">
        <v>1093</v>
      </c>
      <c r="AF1096" s="16">
        <f>IF(AC1096=0,IF(O1096=6,INDEX(Acceleration!$V$4:$V$110,MATCH('Track Data'!S1096,Acceleration!$K$4:$K$110,0)),IF('Track Data'!O1096=5,INDEX(Acceleration!$U$4:$U$110,MATCH('Track Data'!S1096,Acceleration!$K$4:$K$110,0)),1)),U1096)</f>
        <v>1</v>
      </c>
      <c r="AG1096" s="16">
        <f>IF(AC1096=0,IF(O1096=4,INDEX(Acceleration!$T$4:$T$110,MATCH('Track Data'!S1096,Acceleration!$K$4:$K$110,0)),IF('Track Data'!O1096=3,INDEX(Acceleration!$S$4:$S$110,MATCH('Track Data'!S1096,Acceleration!$K$4:$K$110,0)),'Track Data'!AF1096)),'Track Data'!U1096)</f>
        <v>4.8209066787706405</v>
      </c>
      <c r="AH1096" s="16">
        <f>IF(AC1096=0,IF(O1096=2,INDEX(Acceleration!$R$4:$R$110,MATCH('Track Data'!S1096,Acceleration!$K$4:$K$110,0)),IF('Track Data'!O1096=1,INDEX(Acceleration!$Q$4:$Q$110,MATCH('Track Data'!S1096,Acceleration!$K$4:$K$110,0)),'Track Data'!AG1096)),'Track Data'!U1096)</f>
        <v>4.8209066787706405</v>
      </c>
    </row>
    <row r="1097" spans="2:34" x14ac:dyDescent="0.25">
      <c r="B1097" s="16">
        <v>226.50700000000001</v>
      </c>
      <c r="C1097" s="16">
        <v>8367</v>
      </c>
      <c r="D1097" s="16">
        <v>1094</v>
      </c>
      <c r="E1097" s="113">
        <v>144</v>
      </c>
      <c r="F1097" s="113">
        <v>143.80000000000001</v>
      </c>
      <c r="G1097" s="113">
        <v>132</v>
      </c>
      <c r="H1097" s="113">
        <f t="shared" si="124"/>
        <v>36.666666666666664</v>
      </c>
      <c r="I1097" s="113">
        <v>15.2</v>
      </c>
      <c r="J1097" s="113">
        <v>74.09</v>
      </c>
      <c r="K1097" s="113">
        <v>-46.8</v>
      </c>
      <c r="L1097" s="183"/>
      <c r="M1097" s="16">
        <v>1094</v>
      </c>
      <c r="N1097" s="16">
        <f t="shared" si="126"/>
        <v>2.2841188743510724E-2</v>
      </c>
      <c r="O1097" s="16">
        <v>4</v>
      </c>
      <c r="P1097" s="16">
        <f t="shared" si="122"/>
        <v>9.1833785004516724</v>
      </c>
      <c r="Q1097" s="16">
        <f t="shared" si="127"/>
        <v>43.780558500227102</v>
      </c>
      <c r="R1097" s="113">
        <f t="shared" si="123"/>
        <v>329.49099999999999</v>
      </c>
      <c r="S1097" s="16">
        <f>IF(S1096=15800,15800,ROUND((((Q1097*60)/'Gearing Calculator'!$C$14)*'Track Data'!P1097),-2))</f>
        <v>12200</v>
      </c>
      <c r="T1097" s="16">
        <f t="shared" si="125"/>
        <v>4.8209066787706405</v>
      </c>
      <c r="U1097" s="16">
        <f>IF(AC1097=100,Braking!$AG$2354,IF(AC1097=50,Braking!$AG$1179,IF(AC1097=75,Braking!$AG$1767,0)))</f>
        <v>0</v>
      </c>
      <c r="V1097" s="16">
        <f>0.5*'Gearing Calculator'!$C$15*'Gearing Calculator'!$C$20*'Gearing Calculator'!$W$20*('Track Data'!Q1097^2)</f>
        <v>202.8674761063169</v>
      </c>
      <c r="W1097" s="16">
        <f>('Gearing Calculator'!$U$9*'Track Data'!T1097)+'Track Data'!V1097</f>
        <v>1486.1928339950614</v>
      </c>
      <c r="X1097" s="16">
        <f>('Gearing Calculator'!$U$9*9.81)*('Gearing Calculator'!$U$16/'Gearing Calculator'!$C$7)-(('Track Data'!W1097)*('Gearing Calculator'!$U$17/'Gearing Calculator'!$C$7))</f>
        <v>591.0857078158931</v>
      </c>
      <c r="Y1097" s="16">
        <f>('Gearing Calculator'!$U$9*9.81)*(('Gearing Calculator'!$C$7-'Gearing Calculator'!$U$16)/'Gearing Calculator'!$C$7)+(('Track Data'!W1097)*('Gearing Calculator'!$U$17/'Gearing Calculator'!$C$7))</f>
        <v>2020.3362921841069</v>
      </c>
      <c r="Z1097" s="16">
        <f>((X1097*COS('Gearing Calculator'!$C$21))/'Gearing Calculator'!$C$22)/2</f>
        <v>18.274500640847798</v>
      </c>
      <c r="AA1097" s="16">
        <f>Y1097/'Gearing Calculator'!$C$24</f>
        <v>28.210670940130971</v>
      </c>
      <c r="AB1097" s="16">
        <f t="shared" si="121"/>
        <v>222.15110282139946</v>
      </c>
      <c r="AC1097" s="16">
        <v>0</v>
      </c>
      <c r="AD1097" s="16">
        <v>-45.249166535644598</v>
      </c>
      <c r="AE1097" s="16">
        <v>1094</v>
      </c>
      <c r="AF1097" s="16">
        <f>IF(AC1097=0,IF(O1097=6,INDEX(Acceleration!$V$4:$V$110,MATCH('Track Data'!S1097,Acceleration!$K$4:$K$110,0)),IF('Track Data'!O1097=5,INDEX(Acceleration!$U$4:$U$110,MATCH('Track Data'!S1097,Acceleration!$K$4:$K$110,0)),1)),U1097)</f>
        <v>1</v>
      </c>
      <c r="AG1097" s="16">
        <f>IF(AC1097=0,IF(O1097=4,INDEX(Acceleration!$T$4:$T$110,MATCH('Track Data'!S1097,Acceleration!$K$4:$K$110,0)),IF('Track Data'!O1097=3,INDEX(Acceleration!$S$4:$S$110,MATCH('Track Data'!S1097,Acceleration!$K$4:$K$110,0)),'Track Data'!AF1097)),'Track Data'!U1097)</f>
        <v>4.8209066787706405</v>
      </c>
      <c r="AH1097" s="16">
        <f>IF(AC1097=0,IF(O1097=2,INDEX(Acceleration!$R$4:$R$110,MATCH('Track Data'!S1097,Acceleration!$K$4:$K$110,0)),IF('Track Data'!O1097=1,INDEX(Acceleration!$Q$4:$Q$110,MATCH('Track Data'!S1097,Acceleration!$K$4:$K$110,0)),'Track Data'!AG1097)),'Track Data'!U1097)</f>
        <v>4.8209066787706405</v>
      </c>
    </row>
    <row r="1098" spans="2:34" x14ac:dyDescent="0.25">
      <c r="B1098" s="16">
        <v>226.53200000000001</v>
      </c>
      <c r="C1098" s="16">
        <v>8368</v>
      </c>
      <c r="D1098" s="16">
        <v>1095</v>
      </c>
      <c r="E1098" s="113">
        <v>144</v>
      </c>
      <c r="F1098" s="113">
        <v>143.4</v>
      </c>
      <c r="G1098" s="113">
        <v>131.6</v>
      </c>
      <c r="H1098" s="113">
        <f t="shared" si="124"/>
        <v>36.55555555555555</v>
      </c>
      <c r="I1098" s="113">
        <v>15.2</v>
      </c>
      <c r="J1098" s="113">
        <v>70</v>
      </c>
      <c r="K1098" s="113">
        <v>-49.5</v>
      </c>
      <c r="L1098" s="183"/>
      <c r="M1098" s="16">
        <v>1095</v>
      </c>
      <c r="N1098" s="16">
        <f t="shared" si="126"/>
        <v>2.2841188743510724E-2</v>
      </c>
      <c r="O1098" s="16">
        <v>4</v>
      </c>
      <c r="P1098" s="16">
        <f t="shared" si="122"/>
        <v>9.1833785004516724</v>
      </c>
      <c r="Q1098" s="16">
        <f t="shared" si="127"/>
        <v>43.780558500227102</v>
      </c>
      <c r="R1098" s="113">
        <f t="shared" si="123"/>
        <v>329.49099999999999</v>
      </c>
      <c r="S1098" s="16">
        <f>IF(S1097=15800,15800,ROUND((((Q1098*60)/'Gearing Calculator'!$C$14)*'Track Data'!P1098),-2))</f>
        <v>12200</v>
      </c>
      <c r="T1098" s="16">
        <f t="shared" si="125"/>
        <v>4.8209066787706405</v>
      </c>
      <c r="U1098" s="16">
        <f>IF(AC1098=100,Braking!$AG$2354,IF(AC1098=50,Braking!$AG$1179,IF(AC1098=75,Braking!$AG$1767,0)))</f>
        <v>0</v>
      </c>
      <c r="V1098" s="16">
        <f>0.5*'Gearing Calculator'!$C$15*'Gearing Calculator'!$C$20*'Gearing Calculator'!$W$20*('Track Data'!Q1098^2)</f>
        <v>202.8674761063169</v>
      </c>
      <c r="W1098" s="16">
        <f>('Gearing Calculator'!$U$9*'Track Data'!T1098)+'Track Data'!V1098</f>
        <v>1486.1928339950614</v>
      </c>
      <c r="X1098" s="16">
        <f>('Gearing Calculator'!$U$9*9.81)*('Gearing Calculator'!$U$16/'Gearing Calculator'!$C$7)-(('Track Data'!W1098)*('Gearing Calculator'!$U$17/'Gearing Calculator'!$C$7))</f>
        <v>591.0857078158931</v>
      </c>
      <c r="Y1098" s="16">
        <f>('Gearing Calculator'!$U$9*9.81)*(('Gearing Calculator'!$C$7-'Gearing Calculator'!$U$16)/'Gearing Calculator'!$C$7)+(('Track Data'!W1098)*('Gearing Calculator'!$U$17/'Gearing Calculator'!$C$7))</f>
        <v>2020.3362921841069</v>
      </c>
      <c r="Z1098" s="16">
        <f>((X1098*COS('Gearing Calculator'!$C$21))/'Gearing Calculator'!$C$22)/2</f>
        <v>18.274500640847798</v>
      </c>
      <c r="AA1098" s="16">
        <f>Y1098/'Gearing Calculator'!$C$24</f>
        <v>28.210670940130971</v>
      </c>
      <c r="AB1098" s="16">
        <f t="shared" si="121"/>
        <v>222.15110282139946</v>
      </c>
      <c r="AC1098" s="16">
        <v>0</v>
      </c>
      <c r="AD1098" s="16">
        <v>-45.249166535644598</v>
      </c>
      <c r="AE1098" s="16">
        <v>1095</v>
      </c>
      <c r="AF1098" s="16">
        <f>IF(AC1098=0,IF(O1098=6,INDEX(Acceleration!$V$4:$V$110,MATCH('Track Data'!S1098,Acceleration!$K$4:$K$110,0)),IF('Track Data'!O1098=5,INDEX(Acceleration!$U$4:$U$110,MATCH('Track Data'!S1098,Acceleration!$K$4:$K$110,0)),1)),U1098)</f>
        <v>1</v>
      </c>
      <c r="AG1098" s="16">
        <f>IF(AC1098=0,IF(O1098=4,INDEX(Acceleration!$T$4:$T$110,MATCH('Track Data'!S1098,Acceleration!$K$4:$K$110,0)),IF('Track Data'!O1098=3,INDEX(Acceleration!$S$4:$S$110,MATCH('Track Data'!S1098,Acceleration!$K$4:$K$110,0)),'Track Data'!AF1098)),'Track Data'!U1098)</f>
        <v>4.8209066787706405</v>
      </c>
      <c r="AH1098" s="16">
        <f>IF(AC1098=0,IF(O1098=2,INDEX(Acceleration!$R$4:$R$110,MATCH('Track Data'!S1098,Acceleration!$K$4:$K$110,0)),IF('Track Data'!O1098=1,INDEX(Acceleration!$Q$4:$Q$110,MATCH('Track Data'!S1098,Acceleration!$K$4:$K$110,0)),'Track Data'!AG1098)),'Track Data'!U1098)</f>
        <v>4.8209066787706405</v>
      </c>
    </row>
    <row r="1099" spans="2:34" x14ac:dyDescent="0.25">
      <c r="B1099" s="16">
        <v>226.55699999999999</v>
      </c>
      <c r="C1099" s="16">
        <v>8369</v>
      </c>
      <c r="D1099" s="16">
        <v>1096</v>
      </c>
      <c r="E1099" s="113">
        <v>143</v>
      </c>
      <c r="F1099" s="113">
        <v>143.5</v>
      </c>
      <c r="G1099" s="113">
        <v>131.30000000000001</v>
      </c>
      <c r="H1099" s="113">
        <f t="shared" si="124"/>
        <v>36.472222222222221</v>
      </c>
      <c r="I1099" s="113">
        <v>15</v>
      </c>
      <c r="J1099" s="113">
        <v>68.849999999999994</v>
      </c>
      <c r="K1099" s="113">
        <v>-51.3</v>
      </c>
      <c r="L1099" s="183"/>
      <c r="M1099" s="16">
        <v>1096</v>
      </c>
      <c r="N1099" s="16">
        <f t="shared" si="126"/>
        <v>2.2841188743510724E-2</v>
      </c>
      <c r="O1099" s="16">
        <v>4</v>
      </c>
      <c r="P1099" s="16">
        <f t="shared" si="122"/>
        <v>9.1833785004516724</v>
      </c>
      <c r="Q1099" s="16">
        <f t="shared" si="127"/>
        <v>43.780558500227102</v>
      </c>
      <c r="R1099" s="113">
        <f t="shared" si="123"/>
        <v>329.49099999999999</v>
      </c>
      <c r="S1099" s="16">
        <f>IF(S1098=15800,15800,ROUND((((Q1099*60)/'Gearing Calculator'!$C$14)*'Track Data'!P1099),-2))</f>
        <v>12200</v>
      </c>
      <c r="T1099" s="16">
        <f t="shared" si="125"/>
        <v>4.8209066787706405</v>
      </c>
      <c r="U1099" s="16">
        <f>IF(AC1099=100,Braking!$AG$2354,IF(AC1099=50,Braking!$AG$1179,IF(AC1099=75,Braking!$AG$1767,0)))</f>
        <v>0</v>
      </c>
      <c r="V1099" s="16">
        <f>0.5*'Gearing Calculator'!$C$15*'Gearing Calculator'!$C$20*'Gearing Calculator'!$W$20*('Track Data'!Q1099^2)</f>
        <v>202.8674761063169</v>
      </c>
      <c r="W1099" s="16">
        <f>('Gearing Calculator'!$U$9*'Track Data'!T1099)+'Track Data'!V1099</f>
        <v>1486.1928339950614</v>
      </c>
      <c r="X1099" s="16">
        <f>('Gearing Calculator'!$U$9*9.81)*('Gearing Calculator'!$U$16/'Gearing Calculator'!$C$7)-(('Track Data'!W1099)*('Gearing Calculator'!$U$17/'Gearing Calculator'!$C$7))</f>
        <v>591.0857078158931</v>
      </c>
      <c r="Y1099" s="16">
        <f>('Gearing Calculator'!$U$9*9.81)*(('Gearing Calculator'!$C$7-'Gearing Calculator'!$U$16)/'Gearing Calculator'!$C$7)+(('Track Data'!W1099)*('Gearing Calculator'!$U$17/'Gearing Calculator'!$C$7))</f>
        <v>2020.3362921841069</v>
      </c>
      <c r="Z1099" s="16">
        <f>((X1099*COS('Gearing Calculator'!$C$21))/'Gearing Calculator'!$C$22)/2</f>
        <v>18.274500640847798</v>
      </c>
      <c r="AA1099" s="16">
        <f>Y1099/'Gearing Calculator'!$C$24</f>
        <v>28.210670940130971</v>
      </c>
      <c r="AB1099" s="16">
        <f t="shared" si="121"/>
        <v>222.15110282139946</v>
      </c>
      <c r="AC1099" s="16">
        <v>0</v>
      </c>
      <c r="AD1099" s="16">
        <v>-45.249166535644598</v>
      </c>
      <c r="AE1099" s="16">
        <v>1096</v>
      </c>
      <c r="AF1099" s="16">
        <f>IF(AC1099=0,IF(O1099=6,INDEX(Acceleration!$V$4:$V$110,MATCH('Track Data'!S1099,Acceleration!$K$4:$K$110,0)),IF('Track Data'!O1099=5,INDEX(Acceleration!$U$4:$U$110,MATCH('Track Data'!S1099,Acceleration!$K$4:$K$110,0)),1)),U1099)</f>
        <v>1</v>
      </c>
      <c r="AG1099" s="16">
        <f>IF(AC1099=0,IF(O1099=4,INDEX(Acceleration!$T$4:$T$110,MATCH('Track Data'!S1099,Acceleration!$K$4:$K$110,0)),IF('Track Data'!O1099=3,INDEX(Acceleration!$S$4:$S$110,MATCH('Track Data'!S1099,Acceleration!$K$4:$K$110,0)),'Track Data'!AF1099)),'Track Data'!U1099)</f>
        <v>4.8209066787706405</v>
      </c>
      <c r="AH1099" s="16">
        <f>IF(AC1099=0,IF(O1099=2,INDEX(Acceleration!$R$4:$R$110,MATCH('Track Data'!S1099,Acceleration!$K$4:$K$110,0)),IF('Track Data'!O1099=1,INDEX(Acceleration!$Q$4:$Q$110,MATCH('Track Data'!S1099,Acceleration!$K$4:$K$110,0)),'Track Data'!AG1099)),'Track Data'!U1099)</f>
        <v>4.8209066787706405</v>
      </c>
    </row>
    <row r="1100" spans="2:34" x14ac:dyDescent="0.25">
      <c r="B1100" s="16">
        <v>226.58199999999999</v>
      </c>
      <c r="C1100" s="16">
        <v>8370</v>
      </c>
      <c r="D1100" s="16">
        <v>1097</v>
      </c>
      <c r="E1100" s="113">
        <v>143</v>
      </c>
      <c r="F1100" s="113">
        <v>143.30000000000001</v>
      </c>
      <c r="G1100" s="113">
        <v>130.80000000000001</v>
      </c>
      <c r="H1100" s="113">
        <f t="shared" si="124"/>
        <v>36.333333333333336</v>
      </c>
      <c r="I1100" s="113">
        <v>11</v>
      </c>
      <c r="J1100" s="113">
        <v>68.91</v>
      </c>
      <c r="K1100" s="113">
        <v>-51.9</v>
      </c>
      <c r="L1100" s="183"/>
      <c r="M1100" s="16">
        <v>1097</v>
      </c>
      <c r="N1100" s="16">
        <f t="shared" si="126"/>
        <v>2.2841188743510724E-2</v>
      </c>
      <c r="O1100" s="16">
        <v>4</v>
      </c>
      <c r="P1100" s="16">
        <f t="shared" si="122"/>
        <v>9.1833785004516724</v>
      </c>
      <c r="Q1100" s="16">
        <f t="shared" si="127"/>
        <v>43.780558500227102</v>
      </c>
      <c r="R1100" s="113">
        <f t="shared" si="123"/>
        <v>329.49099999999999</v>
      </c>
      <c r="S1100" s="16">
        <f>IF(S1099=15800,15800,ROUND((((Q1100*60)/'Gearing Calculator'!$C$14)*'Track Data'!P1100),-2))</f>
        <v>12200</v>
      </c>
      <c r="T1100" s="16">
        <f t="shared" si="125"/>
        <v>4.8209066787706405</v>
      </c>
      <c r="U1100" s="16">
        <f>IF(AC1100=100,Braking!$AG$2354,IF(AC1100=50,Braking!$AG$1179,IF(AC1100=75,Braking!$AG$1767,0)))</f>
        <v>0</v>
      </c>
      <c r="V1100" s="16">
        <f>0.5*'Gearing Calculator'!$C$15*'Gearing Calculator'!$C$20*'Gearing Calculator'!$W$20*('Track Data'!Q1100^2)</f>
        <v>202.8674761063169</v>
      </c>
      <c r="W1100" s="16">
        <f>('Gearing Calculator'!$U$9*'Track Data'!T1100)+'Track Data'!V1100</f>
        <v>1486.1928339950614</v>
      </c>
      <c r="X1100" s="16">
        <f>('Gearing Calculator'!$U$9*9.81)*('Gearing Calculator'!$U$16/'Gearing Calculator'!$C$7)-(('Track Data'!W1100)*('Gearing Calculator'!$U$17/'Gearing Calculator'!$C$7))</f>
        <v>591.0857078158931</v>
      </c>
      <c r="Y1100" s="16">
        <f>('Gearing Calculator'!$U$9*9.81)*(('Gearing Calculator'!$C$7-'Gearing Calculator'!$U$16)/'Gearing Calculator'!$C$7)+(('Track Data'!W1100)*('Gearing Calculator'!$U$17/'Gearing Calculator'!$C$7))</f>
        <v>2020.3362921841069</v>
      </c>
      <c r="Z1100" s="16">
        <f>((X1100*COS('Gearing Calculator'!$C$21))/'Gearing Calculator'!$C$22)/2</f>
        <v>18.274500640847798</v>
      </c>
      <c r="AA1100" s="16">
        <f>Y1100/'Gearing Calculator'!$C$24</f>
        <v>28.210670940130971</v>
      </c>
      <c r="AB1100" s="16">
        <f t="shared" si="121"/>
        <v>222.15110282139946</v>
      </c>
      <c r="AC1100" s="16">
        <v>0</v>
      </c>
      <c r="AD1100" s="16">
        <v>-45.249166535644598</v>
      </c>
      <c r="AE1100" s="16">
        <v>1097</v>
      </c>
      <c r="AF1100" s="16">
        <f>IF(AC1100=0,IF(O1100=6,INDEX(Acceleration!$V$4:$V$110,MATCH('Track Data'!S1100,Acceleration!$K$4:$K$110,0)),IF('Track Data'!O1100=5,INDEX(Acceleration!$U$4:$U$110,MATCH('Track Data'!S1100,Acceleration!$K$4:$K$110,0)),1)),U1100)</f>
        <v>1</v>
      </c>
      <c r="AG1100" s="16">
        <f>IF(AC1100=0,IF(O1100=4,INDEX(Acceleration!$T$4:$T$110,MATCH('Track Data'!S1100,Acceleration!$K$4:$K$110,0)),IF('Track Data'!O1100=3,INDEX(Acceleration!$S$4:$S$110,MATCH('Track Data'!S1100,Acceleration!$K$4:$K$110,0)),'Track Data'!AF1100)),'Track Data'!U1100)</f>
        <v>4.8209066787706405</v>
      </c>
      <c r="AH1100" s="16">
        <f>IF(AC1100=0,IF(O1100=2,INDEX(Acceleration!$R$4:$R$110,MATCH('Track Data'!S1100,Acceleration!$K$4:$K$110,0)),IF('Track Data'!O1100=1,INDEX(Acceleration!$Q$4:$Q$110,MATCH('Track Data'!S1100,Acceleration!$K$4:$K$110,0)),'Track Data'!AG1100)),'Track Data'!U1100)</f>
        <v>4.8209066787706405</v>
      </c>
    </row>
    <row r="1101" spans="2:34" x14ac:dyDescent="0.25">
      <c r="B1101" s="16">
        <v>226.607</v>
      </c>
      <c r="C1101" s="16">
        <v>8371</v>
      </c>
      <c r="D1101" s="16">
        <v>1098</v>
      </c>
      <c r="E1101" s="113">
        <v>143</v>
      </c>
      <c r="F1101" s="113">
        <v>143.1</v>
      </c>
      <c r="G1101" s="113">
        <v>130.5</v>
      </c>
      <c r="H1101" s="113">
        <f t="shared" si="124"/>
        <v>36.25</v>
      </c>
      <c r="I1101" s="113">
        <v>10.6</v>
      </c>
      <c r="J1101" s="113">
        <v>65.540000000000006</v>
      </c>
      <c r="K1101" s="113">
        <v>-51.9</v>
      </c>
      <c r="L1101" s="183"/>
      <c r="M1101" s="16">
        <v>1098</v>
      </c>
      <c r="N1101" s="16">
        <f t="shared" si="126"/>
        <v>2.2841188743510724E-2</v>
      </c>
      <c r="O1101" s="16">
        <v>4</v>
      </c>
      <c r="P1101" s="16">
        <f t="shared" si="122"/>
        <v>9.1833785004516724</v>
      </c>
      <c r="Q1101" s="16">
        <f t="shared" si="127"/>
        <v>43.780558500227102</v>
      </c>
      <c r="R1101" s="113">
        <f t="shared" si="123"/>
        <v>329.49099999999999</v>
      </c>
      <c r="S1101" s="16">
        <f>IF(S1100=15800,15800,ROUND((((Q1101*60)/'Gearing Calculator'!$C$14)*'Track Data'!P1101),-2))</f>
        <v>12200</v>
      </c>
      <c r="T1101" s="16">
        <f t="shared" si="125"/>
        <v>4.8209066787706405</v>
      </c>
      <c r="U1101" s="16">
        <f>IF(AC1101=100,Braking!$AG$2354,IF(AC1101=50,Braking!$AG$1179,IF(AC1101=75,Braking!$AG$1767,0)))</f>
        <v>0</v>
      </c>
      <c r="V1101" s="16">
        <f>0.5*'Gearing Calculator'!$C$15*'Gearing Calculator'!$C$20*'Gearing Calculator'!$W$20*('Track Data'!Q1101^2)</f>
        <v>202.8674761063169</v>
      </c>
      <c r="W1101" s="16">
        <f>('Gearing Calculator'!$U$9*'Track Data'!T1101)+'Track Data'!V1101</f>
        <v>1486.1928339950614</v>
      </c>
      <c r="X1101" s="16">
        <f>('Gearing Calculator'!$U$9*9.81)*('Gearing Calculator'!$U$16/'Gearing Calculator'!$C$7)-(('Track Data'!W1101)*('Gearing Calculator'!$U$17/'Gearing Calculator'!$C$7))</f>
        <v>591.0857078158931</v>
      </c>
      <c r="Y1101" s="16">
        <f>('Gearing Calculator'!$U$9*9.81)*(('Gearing Calculator'!$C$7-'Gearing Calculator'!$U$16)/'Gearing Calculator'!$C$7)+(('Track Data'!W1101)*('Gearing Calculator'!$U$17/'Gearing Calculator'!$C$7))</f>
        <v>2020.3362921841069</v>
      </c>
      <c r="Z1101" s="16">
        <f>((X1101*COS('Gearing Calculator'!$C$21))/'Gearing Calculator'!$C$22)/2</f>
        <v>18.274500640847798</v>
      </c>
      <c r="AA1101" s="16">
        <f>Y1101/'Gearing Calculator'!$C$24</f>
        <v>28.210670940130971</v>
      </c>
      <c r="AB1101" s="16">
        <f t="shared" si="121"/>
        <v>222.15110282139946</v>
      </c>
      <c r="AC1101" s="16">
        <v>0</v>
      </c>
      <c r="AD1101" s="16">
        <v>-45.249166535644598</v>
      </c>
      <c r="AE1101" s="16">
        <v>1098</v>
      </c>
      <c r="AF1101" s="16">
        <f>IF(AC1101=0,IF(O1101=6,INDEX(Acceleration!$V$4:$V$110,MATCH('Track Data'!S1101,Acceleration!$K$4:$K$110,0)),IF('Track Data'!O1101=5,INDEX(Acceleration!$U$4:$U$110,MATCH('Track Data'!S1101,Acceleration!$K$4:$K$110,0)),1)),U1101)</f>
        <v>1</v>
      </c>
      <c r="AG1101" s="16">
        <f>IF(AC1101=0,IF(O1101=4,INDEX(Acceleration!$T$4:$T$110,MATCH('Track Data'!S1101,Acceleration!$K$4:$K$110,0)),IF('Track Data'!O1101=3,INDEX(Acceleration!$S$4:$S$110,MATCH('Track Data'!S1101,Acceleration!$K$4:$K$110,0)),'Track Data'!AF1101)),'Track Data'!U1101)</f>
        <v>4.8209066787706405</v>
      </c>
      <c r="AH1101" s="16">
        <f>IF(AC1101=0,IF(O1101=2,INDEX(Acceleration!$R$4:$R$110,MATCH('Track Data'!S1101,Acceleration!$K$4:$K$110,0)),IF('Track Data'!O1101=1,INDEX(Acceleration!$Q$4:$Q$110,MATCH('Track Data'!S1101,Acceleration!$K$4:$K$110,0)),'Track Data'!AG1101)),'Track Data'!U1101)</f>
        <v>4.8209066787706405</v>
      </c>
    </row>
    <row r="1102" spans="2:34" x14ac:dyDescent="0.25">
      <c r="B1102" s="16">
        <v>226.63200000000001</v>
      </c>
      <c r="C1102" s="16">
        <v>8372</v>
      </c>
      <c r="D1102" s="16">
        <v>1099</v>
      </c>
      <c r="E1102" s="113">
        <v>142</v>
      </c>
      <c r="F1102" s="113">
        <v>143</v>
      </c>
      <c r="G1102" s="113">
        <v>130.1</v>
      </c>
      <c r="H1102" s="113">
        <f t="shared" si="124"/>
        <v>36.138888888888886</v>
      </c>
      <c r="I1102" s="113">
        <v>9.6999999999999993</v>
      </c>
      <c r="J1102" s="113">
        <v>65.86</v>
      </c>
      <c r="K1102" s="113">
        <v>-51.9</v>
      </c>
      <c r="L1102" s="183"/>
      <c r="M1102" s="16">
        <v>1099</v>
      </c>
      <c r="N1102" s="16">
        <f t="shared" si="126"/>
        <v>2.2841188743510724E-2</v>
      </c>
      <c r="O1102" s="16">
        <v>4</v>
      </c>
      <c r="P1102" s="16">
        <f t="shared" si="122"/>
        <v>9.1833785004516724</v>
      </c>
      <c r="Q1102" s="16">
        <f t="shared" si="127"/>
        <v>43.780558500227102</v>
      </c>
      <c r="R1102" s="113">
        <f t="shared" si="123"/>
        <v>329.49099999999999</v>
      </c>
      <c r="S1102" s="16">
        <f>IF(S1101=15800,15800,ROUND((((Q1102*60)/'Gearing Calculator'!$C$14)*'Track Data'!P1102),-2))</f>
        <v>12200</v>
      </c>
      <c r="T1102" s="16">
        <f t="shared" si="125"/>
        <v>4.8209066787706405</v>
      </c>
      <c r="U1102" s="16">
        <f>IF(AC1102=100,Braking!$AG$2354,IF(AC1102=50,Braking!$AG$1179,IF(AC1102=75,Braking!$AG$1767,0)))</f>
        <v>0</v>
      </c>
      <c r="V1102" s="16">
        <f>0.5*'Gearing Calculator'!$C$15*'Gearing Calculator'!$C$20*'Gearing Calculator'!$W$20*('Track Data'!Q1102^2)</f>
        <v>202.8674761063169</v>
      </c>
      <c r="W1102" s="16">
        <f>('Gearing Calculator'!$U$9*'Track Data'!T1102)+'Track Data'!V1102</f>
        <v>1486.1928339950614</v>
      </c>
      <c r="X1102" s="16">
        <f>('Gearing Calculator'!$U$9*9.81)*('Gearing Calculator'!$U$16/'Gearing Calculator'!$C$7)-(('Track Data'!W1102)*('Gearing Calculator'!$U$17/'Gearing Calculator'!$C$7))</f>
        <v>591.0857078158931</v>
      </c>
      <c r="Y1102" s="16">
        <f>('Gearing Calculator'!$U$9*9.81)*(('Gearing Calculator'!$C$7-'Gearing Calculator'!$U$16)/'Gearing Calculator'!$C$7)+(('Track Data'!W1102)*('Gearing Calculator'!$U$17/'Gearing Calculator'!$C$7))</f>
        <v>2020.3362921841069</v>
      </c>
      <c r="Z1102" s="16">
        <f>((X1102*COS('Gearing Calculator'!$C$21))/'Gearing Calculator'!$C$22)/2</f>
        <v>18.274500640847798</v>
      </c>
      <c r="AA1102" s="16">
        <f>Y1102/'Gearing Calculator'!$C$24</f>
        <v>28.210670940130971</v>
      </c>
      <c r="AB1102" s="16">
        <f t="shared" si="121"/>
        <v>222.15110282139946</v>
      </c>
      <c r="AC1102" s="16">
        <v>0</v>
      </c>
      <c r="AD1102" s="16">
        <v>-45.249166535644598</v>
      </c>
      <c r="AE1102" s="16">
        <v>1099</v>
      </c>
      <c r="AF1102" s="16">
        <f>IF(AC1102=0,IF(O1102=6,INDEX(Acceleration!$V$4:$V$110,MATCH('Track Data'!S1102,Acceleration!$K$4:$K$110,0)),IF('Track Data'!O1102=5,INDEX(Acceleration!$U$4:$U$110,MATCH('Track Data'!S1102,Acceleration!$K$4:$K$110,0)),1)),U1102)</f>
        <v>1</v>
      </c>
      <c r="AG1102" s="16">
        <f>IF(AC1102=0,IF(O1102=4,INDEX(Acceleration!$T$4:$T$110,MATCH('Track Data'!S1102,Acceleration!$K$4:$K$110,0)),IF('Track Data'!O1102=3,INDEX(Acceleration!$S$4:$S$110,MATCH('Track Data'!S1102,Acceleration!$K$4:$K$110,0)),'Track Data'!AF1102)),'Track Data'!U1102)</f>
        <v>4.8209066787706405</v>
      </c>
      <c r="AH1102" s="16">
        <f>IF(AC1102=0,IF(O1102=2,INDEX(Acceleration!$R$4:$R$110,MATCH('Track Data'!S1102,Acceleration!$K$4:$K$110,0)),IF('Track Data'!O1102=1,INDEX(Acceleration!$Q$4:$Q$110,MATCH('Track Data'!S1102,Acceleration!$K$4:$K$110,0)),'Track Data'!AG1102)),'Track Data'!U1102)</f>
        <v>4.8209066787706405</v>
      </c>
    </row>
    <row r="1103" spans="2:34" x14ac:dyDescent="0.25">
      <c r="B1103" s="16">
        <v>226.65700000000001</v>
      </c>
      <c r="C1103" s="16">
        <v>8373</v>
      </c>
      <c r="D1103" s="16">
        <v>1100</v>
      </c>
      <c r="E1103" s="113">
        <v>142</v>
      </c>
      <c r="F1103" s="113">
        <v>142.69999999999999</v>
      </c>
      <c r="G1103" s="113">
        <v>129.80000000000001</v>
      </c>
      <c r="H1103" s="113">
        <f t="shared" si="124"/>
        <v>36.055555555555557</v>
      </c>
      <c r="I1103" s="113">
        <v>9.1999999999999993</v>
      </c>
      <c r="J1103" s="113">
        <v>65.63</v>
      </c>
      <c r="K1103" s="113">
        <v>-52</v>
      </c>
      <c r="L1103" s="183"/>
      <c r="M1103" s="16">
        <v>1100</v>
      </c>
      <c r="N1103" s="16">
        <f t="shared" si="126"/>
        <v>2.2841188743510724E-2</v>
      </c>
      <c r="O1103" s="16">
        <v>4</v>
      </c>
      <c r="P1103" s="16">
        <f t="shared" si="122"/>
        <v>9.1833785004516724</v>
      </c>
      <c r="Q1103" s="16">
        <f t="shared" si="127"/>
        <v>43.780558500227102</v>
      </c>
      <c r="R1103" s="113">
        <f t="shared" si="123"/>
        <v>329.49099999999999</v>
      </c>
      <c r="S1103" s="16">
        <f>IF(S1102=15800,15800,ROUND((((Q1103*60)/'Gearing Calculator'!$C$14)*'Track Data'!P1103),-2))</f>
        <v>12200</v>
      </c>
      <c r="T1103" s="16">
        <f t="shared" si="125"/>
        <v>4.8209066787706405</v>
      </c>
      <c r="U1103" s="16">
        <f>IF(AC1103=100,Braking!$AG$2354,IF(AC1103=50,Braking!$AG$1179,IF(AC1103=75,Braking!$AG$1767,0)))</f>
        <v>0</v>
      </c>
      <c r="V1103" s="16">
        <f>0.5*'Gearing Calculator'!$C$15*'Gearing Calculator'!$C$20*'Gearing Calculator'!$W$20*('Track Data'!Q1103^2)</f>
        <v>202.8674761063169</v>
      </c>
      <c r="W1103" s="16">
        <f>('Gearing Calculator'!$U$9*'Track Data'!T1103)+'Track Data'!V1103</f>
        <v>1486.1928339950614</v>
      </c>
      <c r="X1103" s="16">
        <f>('Gearing Calculator'!$U$9*9.81)*('Gearing Calculator'!$U$16/'Gearing Calculator'!$C$7)-(('Track Data'!W1103)*('Gearing Calculator'!$U$17/'Gearing Calculator'!$C$7))</f>
        <v>591.0857078158931</v>
      </c>
      <c r="Y1103" s="16">
        <f>('Gearing Calculator'!$U$9*9.81)*(('Gearing Calculator'!$C$7-'Gearing Calculator'!$U$16)/'Gearing Calculator'!$C$7)+(('Track Data'!W1103)*('Gearing Calculator'!$U$17/'Gearing Calculator'!$C$7))</f>
        <v>2020.3362921841069</v>
      </c>
      <c r="Z1103" s="16">
        <f>((X1103*COS('Gearing Calculator'!$C$21))/'Gearing Calculator'!$C$22)/2</f>
        <v>18.274500640847798</v>
      </c>
      <c r="AA1103" s="16">
        <f>Y1103/'Gearing Calculator'!$C$24</f>
        <v>28.210670940130971</v>
      </c>
      <c r="AB1103" s="16">
        <f t="shared" si="121"/>
        <v>222.15110282139946</v>
      </c>
      <c r="AC1103" s="16">
        <v>0</v>
      </c>
      <c r="AD1103" s="16">
        <v>-45.249166535644598</v>
      </c>
      <c r="AE1103" s="16">
        <v>1100</v>
      </c>
      <c r="AF1103" s="16">
        <f>IF(AC1103=0,IF(O1103=6,INDEX(Acceleration!$V$4:$V$110,MATCH('Track Data'!S1103,Acceleration!$K$4:$K$110,0)),IF('Track Data'!O1103=5,INDEX(Acceleration!$U$4:$U$110,MATCH('Track Data'!S1103,Acceleration!$K$4:$K$110,0)),1)),U1103)</f>
        <v>1</v>
      </c>
      <c r="AG1103" s="16">
        <f>IF(AC1103=0,IF(O1103=4,INDEX(Acceleration!$T$4:$T$110,MATCH('Track Data'!S1103,Acceleration!$K$4:$K$110,0)),IF('Track Data'!O1103=3,INDEX(Acceleration!$S$4:$S$110,MATCH('Track Data'!S1103,Acceleration!$K$4:$K$110,0)),'Track Data'!AF1103)),'Track Data'!U1103)</f>
        <v>4.8209066787706405</v>
      </c>
      <c r="AH1103" s="16">
        <f>IF(AC1103=0,IF(O1103=2,INDEX(Acceleration!$R$4:$R$110,MATCH('Track Data'!S1103,Acceleration!$K$4:$K$110,0)),IF('Track Data'!O1103=1,INDEX(Acceleration!$Q$4:$Q$110,MATCH('Track Data'!S1103,Acceleration!$K$4:$K$110,0)),'Track Data'!AG1103)),'Track Data'!U1103)</f>
        <v>4.8209066787706405</v>
      </c>
    </row>
    <row r="1104" spans="2:34" x14ac:dyDescent="0.25">
      <c r="B1104" s="16">
        <v>226.68299999999999</v>
      </c>
      <c r="C1104" s="16">
        <v>8374</v>
      </c>
      <c r="D1104" s="16">
        <v>1101</v>
      </c>
      <c r="E1104" s="113">
        <v>141</v>
      </c>
      <c r="F1104" s="113">
        <v>142.1</v>
      </c>
      <c r="G1104" s="113">
        <v>129.4</v>
      </c>
      <c r="H1104" s="113">
        <f t="shared" si="124"/>
        <v>35.944444444444443</v>
      </c>
      <c r="I1104" s="113">
        <v>9.5</v>
      </c>
      <c r="J1104" s="113">
        <v>67.17</v>
      </c>
      <c r="K1104" s="113">
        <v>-52.2</v>
      </c>
      <c r="L1104" s="183"/>
      <c r="M1104" s="16">
        <v>1101</v>
      </c>
      <c r="N1104" s="16">
        <f t="shared" si="126"/>
        <v>2.2841188743510724E-2</v>
      </c>
      <c r="O1104" s="16">
        <v>4</v>
      </c>
      <c r="P1104" s="16">
        <f t="shared" si="122"/>
        <v>9.1833785004516724</v>
      </c>
      <c r="Q1104" s="16">
        <f t="shared" si="127"/>
        <v>43.780558500227102</v>
      </c>
      <c r="R1104" s="113">
        <f t="shared" si="123"/>
        <v>329.49099999999999</v>
      </c>
      <c r="S1104" s="16">
        <f>IF(S1103=15800,15800,ROUND((((Q1104*60)/'Gearing Calculator'!$C$14)*'Track Data'!P1104),-2))</f>
        <v>12200</v>
      </c>
      <c r="T1104" s="16">
        <f t="shared" si="125"/>
        <v>4.8209066787706405</v>
      </c>
      <c r="U1104" s="16">
        <f>IF(AC1104=100,Braking!$AG$2354,IF(AC1104=50,Braking!$AG$1179,IF(AC1104=75,Braking!$AG$1767,0)))</f>
        <v>0</v>
      </c>
      <c r="V1104" s="16">
        <f>0.5*'Gearing Calculator'!$C$15*'Gearing Calculator'!$C$20*'Gearing Calculator'!$W$20*('Track Data'!Q1104^2)</f>
        <v>202.8674761063169</v>
      </c>
      <c r="W1104" s="16">
        <f>('Gearing Calculator'!$U$9*'Track Data'!T1104)+'Track Data'!V1104</f>
        <v>1486.1928339950614</v>
      </c>
      <c r="X1104" s="16">
        <f>('Gearing Calculator'!$U$9*9.81)*('Gearing Calculator'!$U$16/'Gearing Calculator'!$C$7)-(('Track Data'!W1104)*('Gearing Calculator'!$U$17/'Gearing Calculator'!$C$7))</f>
        <v>591.0857078158931</v>
      </c>
      <c r="Y1104" s="16">
        <f>('Gearing Calculator'!$U$9*9.81)*(('Gearing Calculator'!$C$7-'Gearing Calculator'!$U$16)/'Gearing Calculator'!$C$7)+(('Track Data'!W1104)*('Gearing Calculator'!$U$17/'Gearing Calculator'!$C$7))</f>
        <v>2020.3362921841069</v>
      </c>
      <c r="Z1104" s="16">
        <f>((X1104*COS('Gearing Calculator'!$C$21))/'Gearing Calculator'!$C$22)/2</f>
        <v>18.274500640847798</v>
      </c>
      <c r="AA1104" s="16">
        <f>Y1104/'Gearing Calculator'!$C$24</f>
        <v>28.210670940130971</v>
      </c>
      <c r="AB1104" s="16">
        <f t="shared" si="121"/>
        <v>222.15110282139946</v>
      </c>
      <c r="AC1104" s="16">
        <v>0</v>
      </c>
      <c r="AD1104" s="16">
        <v>-45.249166535644598</v>
      </c>
      <c r="AE1104" s="16">
        <v>1101</v>
      </c>
      <c r="AF1104" s="16">
        <f>IF(AC1104=0,IF(O1104=6,INDEX(Acceleration!$V$4:$V$110,MATCH('Track Data'!S1104,Acceleration!$K$4:$K$110,0)),IF('Track Data'!O1104=5,INDEX(Acceleration!$U$4:$U$110,MATCH('Track Data'!S1104,Acceleration!$K$4:$K$110,0)),1)),U1104)</f>
        <v>1</v>
      </c>
      <c r="AG1104" s="16">
        <f>IF(AC1104=0,IF(O1104=4,INDEX(Acceleration!$T$4:$T$110,MATCH('Track Data'!S1104,Acceleration!$K$4:$K$110,0)),IF('Track Data'!O1104=3,INDEX(Acceleration!$S$4:$S$110,MATCH('Track Data'!S1104,Acceleration!$K$4:$K$110,0)),'Track Data'!AF1104)),'Track Data'!U1104)</f>
        <v>4.8209066787706405</v>
      </c>
      <c r="AH1104" s="16">
        <f>IF(AC1104=0,IF(O1104=2,INDEX(Acceleration!$R$4:$R$110,MATCH('Track Data'!S1104,Acceleration!$K$4:$K$110,0)),IF('Track Data'!O1104=1,INDEX(Acceleration!$Q$4:$Q$110,MATCH('Track Data'!S1104,Acceleration!$K$4:$K$110,0)),'Track Data'!AG1104)),'Track Data'!U1104)</f>
        <v>4.8209066787706405</v>
      </c>
    </row>
    <row r="1105" spans="2:34" x14ac:dyDescent="0.25">
      <c r="B1105" s="16">
        <v>226.708</v>
      </c>
      <c r="C1105" s="16">
        <v>8375</v>
      </c>
      <c r="D1105" s="16">
        <v>1102</v>
      </c>
      <c r="E1105" s="113">
        <v>141</v>
      </c>
      <c r="F1105" s="113">
        <v>141.6</v>
      </c>
      <c r="G1105" s="113">
        <v>129.1</v>
      </c>
      <c r="H1105" s="113">
        <f t="shared" si="124"/>
        <v>35.861111111111107</v>
      </c>
      <c r="I1105" s="113">
        <v>10.199999999999999</v>
      </c>
      <c r="J1105" s="113">
        <v>69.45</v>
      </c>
      <c r="K1105" s="113">
        <v>-52.4</v>
      </c>
      <c r="L1105" s="183"/>
      <c r="M1105" s="16">
        <v>1102</v>
      </c>
      <c r="N1105" s="16">
        <f t="shared" si="126"/>
        <v>2.2841188743510724E-2</v>
      </c>
      <c r="O1105" s="16">
        <v>4</v>
      </c>
      <c r="P1105" s="16">
        <f t="shared" si="122"/>
        <v>9.1833785004516724</v>
      </c>
      <c r="Q1105" s="16">
        <f t="shared" si="127"/>
        <v>43.780558500227102</v>
      </c>
      <c r="R1105" s="113">
        <f t="shared" si="123"/>
        <v>329.49099999999999</v>
      </c>
      <c r="S1105" s="16">
        <f>IF(S1104=15800,15800,ROUND((((Q1105*60)/'Gearing Calculator'!$C$14)*'Track Data'!P1105),-2))</f>
        <v>12200</v>
      </c>
      <c r="T1105" s="16">
        <f t="shared" si="125"/>
        <v>4.8209066787706405</v>
      </c>
      <c r="U1105" s="16">
        <f>IF(AC1105=100,Braking!$AG$2354,IF(AC1105=50,Braking!$AG$1179,IF(AC1105=75,Braking!$AG$1767,0)))</f>
        <v>0</v>
      </c>
      <c r="V1105" s="16">
        <f>0.5*'Gearing Calculator'!$C$15*'Gearing Calculator'!$C$20*'Gearing Calculator'!$W$20*('Track Data'!Q1105^2)</f>
        <v>202.8674761063169</v>
      </c>
      <c r="W1105" s="16">
        <f>('Gearing Calculator'!$U$9*'Track Data'!T1105)+'Track Data'!V1105</f>
        <v>1486.1928339950614</v>
      </c>
      <c r="X1105" s="16">
        <f>('Gearing Calculator'!$U$9*9.81)*('Gearing Calculator'!$U$16/'Gearing Calculator'!$C$7)-(('Track Data'!W1105)*('Gearing Calculator'!$U$17/'Gearing Calculator'!$C$7))</f>
        <v>591.0857078158931</v>
      </c>
      <c r="Y1105" s="16">
        <f>('Gearing Calculator'!$U$9*9.81)*(('Gearing Calculator'!$C$7-'Gearing Calculator'!$U$16)/'Gearing Calculator'!$C$7)+(('Track Data'!W1105)*('Gearing Calculator'!$U$17/'Gearing Calculator'!$C$7))</f>
        <v>2020.3362921841069</v>
      </c>
      <c r="Z1105" s="16">
        <f>((X1105*COS('Gearing Calculator'!$C$21))/'Gearing Calculator'!$C$22)/2</f>
        <v>18.274500640847798</v>
      </c>
      <c r="AA1105" s="16">
        <f>Y1105/'Gearing Calculator'!$C$24</f>
        <v>28.210670940130971</v>
      </c>
      <c r="AB1105" s="16">
        <f t="shared" si="121"/>
        <v>222.15110282139946</v>
      </c>
      <c r="AC1105" s="16">
        <v>0</v>
      </c>
      <c r="AD1105" s="16">
        <v>-45.249166535644598</v>
      </c>
      <c r="AE1105" s="16">
        <v>1102</v>
      </c>
      <c r="AF1105" s="16">
        <f>IF(AC1105=0,IF(O1105=6,INDEX(Acceleration!$V$4:$V$110,MATCH('Track Data'!S1105,Acceleration!$K$4:$K$110,0)),IF('Track Data'!O1105=5,INDEX(Acceleration!$U$4:$U$110,MATCH('Track Data'!S1105,Acceleration!$K$4:$K$110,0)),1)),U1105)</f>
        <v>1</v>
      </c>
      <c r="AG1105" s="16">
        <f>IF(AC1105=0,IF(O1105=4,INDEX(Acceleration!$T$4:$T$110,MATCH('Track Data'!S1105,Acceleration!$K$4:$K$110,0)),IF('Track Data'!O1105=3,INDEX(Acceleration!$S$4:$S$110,MATCH('Track Data'!S1105,Acceleration!$K$4:$K$110,0)),'Track Data'!AF1105)),'Track Data'!U1105)</f>
        <v>4.8209066787706405</v>
      </c>
      <c r="AH1105" s="16">
        <f>IF(AC1105=0,IF(O1105=2,INDEX(Acceleration!$R$4:$R$110,MATCH('Track Data'!S1105,Acceleration!$K$4:$K$110,0)),IF('Track Data'!O1105=1,INDEX(Acceleration!$Q$4:$Q$110,MATCH('Track Data'!S1105,Acceleration!$K$4:$K$110,0)),'Track Data'!AG1105)),'Track Data'!U1105)</f>
        <v>4.8209066787706405</v>
      </c>
    </row>
    <row r="1106" spans="2:34" x14ac:dyDescent="0.25">
      <c r="B1106" s="16">
        <v>226.733</v>
      </c>
      <c r="C1106" s="16">
        <v>8376</v>
      </c>
      <c r="D1106" s="16">
        <v>1103</v>
      </c>
      <c r="E1106" s="113">
        <v>141</v>
      </c>
      <c r="F1106" s="113">
        <v>141</v>
      </c>
      <c r="G1106" s="113">
        <v>128.69999999999999</v>
      </c>
      <c r="H1106" s="113">
        <f t="shared" si="124"/>
        <v>35.749999999999993</v>
      </c>
      <c r="I1106" s="113">
        <v>13.6</v>
      </c>
      <c r="J1106" s="113">
        <v>69.3</v>
      </c>
      <c r="K1106" s="113">
        <v>-52.1</v>
      </c>
      <c r="L1106" s="183"/>
      <c r="M1106" s="16">
        <v>1103</v>
      </c>
      <c r="N1106" s="16">
        <f t="shared" si="126"/>
        <v>2.2841188743510724E-2</v>
      </c>
      <c r="O1106" s="16">
        <v>4</v>
      </c>
      <c r="P1106" s="16">
        <f t="shared" si="122"/>
        <v>9.1833785004516724</v>
      </c>
      <c r="Q1106" s="16">
        <f t="shared" si="127"/>
        <v>43.780558500227102</v>
      </c>
      <c r="R1106" s="113">
        <f t="shared" si="123"/>
        <v>329.49099999999999</v>
      </c>
      <c r="S1106" s="16">
        <f>IF(S1105=15800,15800,ROUND((((Q1106*60)/'Gearing Calculator'!$C$14)*'Track Data'!P1106),-2))</f>
        <v>12200</v>
      </c>
      <c r="T1106" s="16">
        <f t="shared" si="125"/>
        <v>4.8209066787706405</v>
      </c>
      <c r="U1106" s="16">
        <f>IF(AC1106=100,Braking!$AG$2354,IF(AC1106=50,Braking!$AG$1179,IF(AC1106=75,Braking!$AG$1767,0)))</f>
        <v>0</v>
      </c>
      <c r="V1106" s="16">
        <f>0.5*'Gearing Calculator'!$C$15*'Gearing Calculator'!$C$20*'Gearing Calculator'!$W$20*('Track Data'!Q1106^2)</f>
        <v>202.8674761063169</v>
      </c>
      <c r="W1106" s="16">
        <f>('Gearing Calculator'!$U$9*'Track Data'!T1106)+'Track Data'!V1106</f>
        <v>1486.1928339950614</v>
      </c>
      <c r="X1106" s="16">
        <f>('Gearing Calculator'!$U$9*9.81)*('Gearing Calculator'!$U$16/'Gearing Calculator'!$C$7)-(('Track Data'!W1106)*('Gearing Calculator'!$U$17/'Gearing Calculator'!$C$7))</f>
        <v>591.0857078158931</v>
      </c>
      <c r="Y1106" s="16">
        <f>('Gearing Calculator'!$U$9*9.81)*(('Gearing Calculator'!$C$7-'Gearing Calculator'!$U$16)/'Gearing Calculator'!$C$7)+(('Track Data'!W1106)*('Gearing Calculator'!$U$17/'Gearing Calculator'!$C$7))</f>
        <v>2020.3362921841069</v>
      </c>
      <c r="Z1106" s="16">
        <f>((X1106*COS('Gearing Calculator'!$C$21))/'Gearing Calculator'!$C$22)/2</f>
        <v>18.274500640847798</v>
      </c>
      <c r="AA1106" s="16">
        <f>Y1106/'Gearing Calculator'!$C$24</f>
        <v>28.210670940130971</v>
      </c>
      <c r="AB1106" s="16">
        <f t="shared" si="121"/>
        <v>222.15110282139946</v>
      </c>
      <c r="AC1106" s="16">
        <v>0</v>
      </c>
      <c r="AD1106" s="16">
        <v>-45.249166535644598</v>
      </c>
      <c r="AE1106" s="16">
        <v>1103</v>
      </c>
      <c r="AF1106" s="16">
        <f>IF(AC1106=0,IF(O1106=6,INDEX(Acceleration!$V$4:$V$110,MATCH('Track Data'!S1106,Acceleration!$K$4:$K$110,0)),IF('Track Data'!O1106=5,INDEX(Acceleration!$U$4:$U$110,MATCH('Track Data'!S1106,Acceleration!$K$4:$K$110,0)),1)),U1106)</f>
        <v>1</v>
      </c>
      <c r="AG1106" s="16">
        <f>IF(AC1106=0,IF(O1106=4,INDEX(Acceleration!$T$4:$T$110,MATCH('Track Data'!S1106,Acceleration!$K$4:$K$110,0)),IF('Track Data'!O1106=3,INDEX(Acceleration!$S$4:$S$110,MATCH('Track Data'!S1106,Acceleration!$K$4:$K$110,0)),'Track Data'!AF1106)),'Track Data'!U1106)</f>
        <v>4.8209066787706405</v>
      </c>
      <c r="AH1106" s="16">
        <f>IF(AC1106=0,IF(O1106=2,INDEX(Acceleration!$R$4:$R$110,MATCH('Track Data'!S1106,Acceleration!$K$4:$K$110,0)),IF('Track Data'!O1106=1,INDEX(Acceleration!$Q$4:$Q$110,MATCH('Track Data'!S1106,Acceleration!$K$4:$K$110,0)),'Track Data'!AG1106)),'Track Data'!U1106)</f>
        <v>4.8209066787706405</v>
      </c>
    </row>
    <row r="1107" spans="2:34" x14ac:dyDescent="0.25">
      <c r="B1107" s="16">
        <v>226.75800000000001</v>
      </c>
      <c r="C1107" s="16">
        <v>8377</v>
      </c>
      <c r="D1107" s="16">
        <v>1104</v>
      </c>
      <c r="E1107" s="113">
        <v>141</v>
      </c>
      <c r="F1107" s="113">
        <v>140.9</v>
      </c>
      <c r="G1107" s="113">
        <v>128.4</v>
      </c>
      <c r="H1107" s="113">
        <f t="shared" si="124"/>
        <v>35.666666666666664</v>
      </c>
      <c r="I1107" s="113">
        <v>14.2</v>
      </c>
      <c r="J1107" s="113">
        <v>73.819999999999993</v>
      </c>
      <c r="K1107" s="113">
        <v>-51.5</v>
      </c>
      <c r="L1107" s="183"/>
      <c r="M1107" s="16">
        <v>1104</v>
      </c>
      <c r="N1107" s="16">
        <f t="shared" si="126"/>
        <v>2.2841188743510724E-2</v>
      </c>
      <c r="O1107" s="16">
        <v>4</v>
      </c>
      <c r="P1107" s="16">
        <f t="shared" si="122"/>
        <v>9.1833785004516724</v>
      </c>
      <c r="Q1107" s="16">
        <f t="shared" si="127"/>
        <v>43.780558500227102</v>
      </c>
      <c r="R1107" s="113">
        <f t="shared" si="123"/>
        <v>329.49099999999999</v>
      </c>
      <c r="S1107" s="16">
        <f>IF(S1106=15800,15800,ROUND((((Q1107*60)/'Gearing Calculator'!$C$14)*'Track Data'!P1107),-2))</f>
        <v>12200</v>
      </c>
      <c r="T1107" s="16">
        <f t="shared" si="125"/>
        <v>4.8209066787706405</v>
      </c>
      <c r="U1107" s="16">
        <f>IF(AC1107=100,Braking!$AG$2354,IF(AC1107=50,Braking!$AG$1179,IF(AC1107=75,Braking!$AG$1767,0)))</f>
        <v>0</v>
      </c>
      <c r="V1107" s="16">
        <f>0.5*'Gearing Calculator'!$C$15*'Gearing Calculator'!$C$20*'Gearing Calculator'!$W$20*('Track Data'!Q1107^2)</f>
        <v>202.8674761063169</v>
      </c>
      <c r="W1107" s="16">
        <f>('Gearing Calculator'!$U$9*'Track Data'!T1107)+'Track Data'!V1107</f>
        <v>1486.1928339950614</v>
      </c>
      <c r="X1107" s="16">
        <f>('Gearing Calculator'!$U$9*9.81)*('Gearing Calculator'!$U$16/'Gearing Calculator'!$C$7)-(('Track Data'!W1107)*('Gearing Calculator'!$U$17/'Gearing Calculator'!$C$7))</f>
        <v>591.0857078158931</v>
      </c>
      <c r="Y1107" s="16">
        <f>('Gearing Calculator'!$U$9*9.81)*(('Gearing Calculator'!$C$7-'Gearing Calculator'!$U$16)/'Gearing Calculator'!$C$7)+(('Track Data'!W1107)*('Gearing Calculator'!$U$17/'Gearing Calculator'!$C$7))</f>
        <v>2020.3362921841069</v>
      </c>
      <c r="Z1107" s="16">
        <f>((X1107*COS('Gearing Calculator'!$C$21))/'Gearing Calculator'!$C$22)/2</f>
        <v>18.274500640847798</v>
      </c>
      <c r="AA1107" s="16">
        <f>Y1107/'Gearing Calculator'!$C$24</f>
        <v>28.210670940130971</v>
      </c>
      <c r="AB1107" s="16">
        <f t="shared" si="121"/>
        <v>222.15110282139946</v>
      </c>
      <c r="AC1107" s="16">
        <v>0</v>
      </c>
      <c r="AD1107" s="16">
        <v>-45.249166535644598</v>
      </c>
      <c r="AE1107" s="16">
        <v>1104</v>
      </c>
      <c r="AF1107" s="16">
        <f>IF(AC1107=0,IF(O1107=6,INDEX(Acceleration!$V$4:$V$110,MATCH('Track Data'!S1107,Acceleration!$K$4:$K$110,0)),IF('Track Data'!O1107=5,INDEX(Acceleration!$U$4:$U$110,MATCH('Track Data'!S1107,Acceleration!$K$4:$K$110,0)),1)),U1107)</f>
        <v>1</v>
      </c>
      <c r="AG1107" s="16">
        <f>IF(AC1107=0,IF(O1107=4,INDEX(Acceleration!$T$4:$T$110,MATCH('Track Data'!S1107,Acceleration!$K$4:$K$110,0)),IF('Track Data'!O1107=3,INDEX(Acceleration!$S$4:$S$110,MATCH('Track Data'!S1107,Acceleration!$K$4:$K$110,0)),'Track Data'!AF1107)),'Track Data'!U1107)</f>
        <v>4.8209066787706405</v>
      </c>
      <c r="AH1107" s="16">
        <f>IF(AC1107=0,IF(O1107=2,INDEX(Acceleration!$R$4:$R$110,MATCH('Track Data'!S1107,Acceleration!$K$4:$K$110,0)),IF('Track Data'!O1107=1,INDEX(Acceleration!$Q$4:$Q$110,MATCH('Track Data'!S1107,Acceleration!$K$4:$K$110,0)),'Track Data'!AG1107)),'Track Data'!U1107)</f>
        <v>4.8209066787706405</v>
      </c>
    </row>
    <row r="1108" spans="2:34" x14ac:dyDescent="0.25">
      <c r="B1108" s="16">
        <v>226.78399999999999</v>
      </c>
      <c r="C1108" s="16">
        <v>8378</v>
      </c>
      <c r="D1108" s="16">
        <v>1105</v>
      </c>
      <c r="E1108" s="113">
        <v>141</v>
      </c>
      <c r="F1108" s="113">
        <v>140.5</v>
      </c>
      <c r="G1108" s="113">
        <v>128</v>
      </c>
      <c r="H1108" s="113">
        <f t="shared" si="124"/>
        <v>35.555555555555557</v>
      </c>
      <c r="I1108" s="113">
        <v>15</v>
      </c>
      <c r="J1108" s="113">
        <v>72.98</v>
      </c>
      <c r="K1108" s="113">
        <v>-50.6</v>
      </c>
      <c r="L1108" s="183"/>
      <c r="M1108" s="16">
        <v>1105</v>
      </c>
      <c r="N1108" s="16">
        <f t="shared" si="126"/>
        <v>2.2841188743510724E-2</v>
      </c>
      <c r="O1108" s="16">
        <v>4</v>
      </c>
      <c r="P1108" s="16">
        <f t="shared" si="122"/>
        <v>9.1833785004516724</v>
      </c>
      <c r="Q1108" s="16">
        <f t="shared" si="127"/>
        <v>43.780558500227102</v>
      </c>
      <c r="R1108" s="113">
        <f t="shared" si="123"/>
        <v>329.49099999999999</v>
      </c>
      <c r="S1108" s="16">
        <f>IF(S1107=15800,15800,ROUND((((Q1108*60)/'Gearing Calculator'!$C$14)*'Track Data'!P1108),-2))</f>
        <v>12200</v>
      </c>
      <c r="T1108" s="16">
        <f t="shared" si="125"/>
        <v>4.8209066787706405</v>
      </c>
      <c r="U1108" s="16">
        <f>IF(AC1108=100,Braking!$AG$2354,IF(AC1108=50,Braking!$AG$1179,IF(AC1108=75,Braking!$AG$1767,0)))</f>
        <v>0</v>
      </c>
      <c r="V1108" s="16">
        <f>0.5*'Gearing Calculator'!$C$15*'Gearing Calculator'!$C$20*'Gearing Calculator'!$W$20*('Track Data'!Q1108^2)</f>
        <v>202.8674761063169</v>
      </c>
      <c r="W1108" s="16">
        <f>('Gearing Calculator'!$U$9*'Track Data'!T1108)+'Track Data'!V1108</f>
        <v>1486.1928339950614</v>
      </c>
      <c r="X1108" s="16">
        <f>('Gearing Calculator'!$U$9*9.81)*('Gearing Calculator'!$U$16/'Gearing Calculator'!$C$7)-(('Track Data'!W1108)*('Gearing Calculator'!$U$17/'Gearing Calculator'!$C$7))</f>
        <v>591.0857078158931</v>
      </c>
      <c r="Y1108" s="16">
        <f>('Gearing Calculator'!$U$9*9.81)*(('Gearing Calculator'!$C$7-'Gearing Calculator'!$U$16)/'Gearing Calculator'!$C$7)+(('Track Data'!W1108)*('Gearing Calculator'!$U$17/'Gearing Calculator'!$C$7))</f>
        <v>2020.3362921841069</v>
      </c>
      <c r="Z1108" s="16">
        <f>((X1108*COS('Gearing Calculator'!$C$21))/'Gearing Calculator'!$C$22)/2</f>
        <v>18.274500640847798</v>
      </c>
      <c r="AA1108" s="16">
        <f>Y1108/'Gearing Calculator'!$C$24</f>
        <v>28.210670940130971</v>
      </c>
      <c r="AB1108" s="16">
        <f t="shared" si="121"/>
        <v>222.15110282139946</v>
      </c>
      <c r="AC1108" s="16">
        <v>0</v>
      </c>
      <c r="AD1108" s="16">
        <v>-45.249166535644598</v>
      </c>
      <c r="AE1108" s="16">
        <v>1105</v>
      </c>
      <c r="AF1108" s="16">
        <f>IF(AC1108=0,IF(O1108=6,INDEX(Acceleration!$V$4:$V$110,MATCH('Track Data'!S1108,Acceleration!$K$4:$K$110,0)),IF('Track Data'!O1108=5,INDEX(Acceleration!$U$4:$U$110,MATCH('Track Data'!S1108,Acceleration!$K$4:$K$110,0)),1)),U1108)</f>
        <v>1</v>
      </c>
      <c r="AG1108" s="16">
        <f>IF(AC1108=0,IF(O1108=4,INDEX(Acceleration!$T$4:$T$110,MATCH('Track Data'!S1108,Acceleration!$K$4:$K$110,0)),IF('Track Data'!O1108=3,INDEX(Acceleration!$S$4:$S$110,MATCH('Track Data'!S1108,Acceleration!$K$4:$K$110,0)),'Track Data'!AF1108)),'Track Data'!U1108)</f>
        <v>4.8209066787706405</v>
      </c>
      <c r="AH1108" s="16">
        <f>IF(AC1108=0,IF(O1108=2,INDEX(Acceleration!$R$4:$R$110,MATCH('Track Data'!S1108,Acceleration!$K$4:$K$110,0)),IF('Track Data'!O1108=1,INDEX(Acceleration!$Q$4:$Q$110,MATCH('Track Data'!S1108,Acceleration!$K$4:$K$110,0)),'Track Data'!AG1108)),'Track Data'!U1108)</f>
        <v>4.8209066787706405</v>
      </c>
    </row>
    <row r="1109" spans="2:34" x14ac:dyDescent="0.25">
      <c r="B1109" s="16">
        <v>226.809</v>
      </c>
      <c r="C1109" s="16">
        <v>8379</v>
      </c>
      <c r="D1109" s="16">
        <v>1106</v>
      </c>
      <c r="E1109" s="113">
        <v>141</v>
      </c>
      <c r="F1109" s="113">
        <v>140.30000000000001</v>
      </c>
      <c r="G1109" s="113">
        <v>127.7</v>
      </c>
      <c r="H1109" s="113">
        <f t="shared" si="124"/>
        <v>35.472222222222221</v>
      </c>
      <c r="I1109" s="113">
        <v>16</v>
      </c>
      <c r="J1109" s="113">
        <v>73.37</v>
      </c>
      <c r="K1109" s="113">
        <v>-50.2</v>
      </c>
      <c r="L1109" s="183"/>
      <c r="M1109" s="16">
        <v>1106</v>
      </c>
      <c r="N1109" s="16">
        <f t="shared" si="126"/>
        <v>2.2841188743510724E-2</v>
      </c>
      <c r="O1109" s="16">
        <v>4</v>
      </c>
      <c r="P1109" s="16">
        <f t="shared" si="122"/>
        <v>9.1833785004516724</v>
      </c>
      <c r="Q1109" s="16">
        <f t="shared" si="127"/>
        <v>43.780558500227102</v>
      </c>
      <c r="R1109" s="113">
        <f t="shared" si="123"/>
        <v>329.49099999999999</v>
      </c>
      <c r="S1109" s="16">
        <f>IF(S1108=15800,15800,ROUND((((Q1109*60)/'Gearing Calculator'!$C$14)*'Track Data'!P1109),-2))</f>
        <v>12200</v>
      </c>
      <c r="T1109" s="16">
        <f t="shared" si="125"/>
        <v>4.8209066787706405</v>
      </c>
      <c r="U1109" s="16">
        <f>IF(AC1109=100,Braking!$AG$2354,IF(AC1109=50,Braking!$AG$1179,IF(AC1109=75,Braking!$AG$1767,0)))</f>
        <v>0</v>
      </c>
      <c r="V1109" s="16">
        <f>0.5*'Gearing Calculator'!$C$15*'Gearing Calculator'!$C$20*'Gearing Calculator'!$W$20*('Track Data'!Q1109^2)</f>
        <v>202.8674761063169</v>
      </c>
      <c r="W1109" s="16">
        <f>('Gearing Calculator'!$U$9*'Track Data'!T1109)+'Track Data'!V1109</f>
        <v>1486.1928339950614</v>
      </c>
      <c r="X1109" s="16">
        <f>('Gearing Calculator'!$U$9*9.81)*('Gearing Calculator'!$U$16/'Gearing Calculator'!$C$7)-(('Track Data'!W1109)*('Gearing Calculator'!$U$17/'Gearing Calculator'!$C$7))</f>
        <v>591.0857078158931</v>
      </c>
      <c r="Y1109" s="16">
        <f>('Gearing Calculator'!$U$9*9.81)*(('Gearing Calculator'!$C$7-'Gearing Calculator'!$U$16)/'Gearing Calculator'!$C$7)+(('Track Data'!W1109)*('Gearing Calculator'!$U$17/'Gearing Calculator'!$C$7))</f>
        <v>2020.3362921841069</v>
      </c>
      <c r="Z1109" s="16">
        <f>((X1109*COS('Gearing Calculator'!$C$21))/'Gearing Calculator'!$C$22)/2</f>
        <v>18.274500640847798</v>
      </c>
      <c r="AA1109" s="16">
        <f>Y1109/'Gearing Calculator'!$C$24</f>
        <v>28.210670940130971</v>
      </c>
      <c r="AB1109" s="16">
        <f t="shared" si="121"/>
        <v>222.15110282139946</v>
      </c>
      <c r="AC1109" s="16">
        <v>0</v>
      </c>
      <c r="AD1109" s="16">
        <v>-45.249166535644598</v>
      </c>
      <c r="AE1109" s="16">
        <v>1106</v>
      </c>
      <c r="AF1109" s="16">
        <f>IF(AC1109=0,IF(O1109=6,INDEX(Acceleration!$V$4:$V$110,MATCH('Track Data'!S1109,Acceleration!$K$4:$K$110,0)),IF('Track Data'!O1109=5,INDEX(Acceleration!$U$4:$U$110,MATCH('Track Data'!S1109,Acceleration!$K$4:$K$110,0)),1)),U1109)</f>
        <v>1</v>
      </c>
      <c r="AG1109" s="16">
        <f>IF(AC1109=0,IF(O1109=4,INDEX(Acceleration!$T$4:$T$110,MATCH('Track Data'!S1109,Acceleration!$K$4:$K$110,0)),IF('Track Data'!O1109=3,INDEX(Acceleration!$S$4:$S$110,MATCH('Track Data'!S1109,Acceleration!$K$4:$K$110,0)),'Track Data'!AF1109)),'Track Data'!U1109)</f>
        <v>4.8209066787706405</v>
      </c>
      <c r="AH1109" s="16">
        <f>IF(AC1109=0,IF(O1109=2,INDEX(Acceleration!$R$4:$R$110,MATCH('Track Data'!S1109,Acceleration!$K$4:$K$110,0)),IF('Track Data'!O1109=1,INDEX(Acceleration!$Q$4:$Q$110,MATCH('Track Data'!S1109,Acceleration!$K$4:$K$110,0)),'Track Data'!AG1109)),'Track Data'!U1109)</f>
        <v>4.8209066787706405</v>
      </c>
    </row>
    <row r="1110" spans="2:34" x14ac:dyDescent="0.25">
      <c r="B1110" s="16">
        <v>226.83500000000001</v>
      </c>
      <c r="C1110" s="16">
        <v>8380</v>
      </c>
      <c r="D1110" s="16">
        <v>1107</v>
      </c>
      <c r="E1110" s="113">
        <v>140</v>
      </c>
      <c r="F1110" s="113">
        <v>140.1</v>
      </c>
      <c r="G1110" s="113">
        <v>127.3</v>
      </c>
      <c r="H1110" s="113">
        <f t="shared" si="124"/>
        <v>35.361111111111107</v>
      </c>
      <c r="I1110" s="113">
        <v>16</v>
      </c>
      <c r="J1110" s="113">
        <v>74.72</v>
      </c>
      <c r="K1110" s="113">
        <v>-51</v>
      </c>
      <c r="L1110" s="183"/>
      <c r="M1110" s="16">
        <v>1107</v>
      </c>
      <c r="N1110" s="16">
        <f t="shared" si="126"/>
        <v>2.2841188743510724E-2</v>
      </c>
      <c r="O1110" s="16">
        <v>4</v>
      </c>
      <c r="P1110" s="16">
        <f t="shared" si="122"/>
        <v>9.1833785004516724</v>
      </c>
      <c r="Q1110" s="16">
        <f t="shared" si="127"/>
        <v>43.780558500227102</v>
      </c>
      <c r="R1110" s="113">
        <f t="shared" si="123"/>
        <v>329.49099999999999</v>
      </c>
      <c r="S1110" s="16">
        <f>IF(S1109=15800,15800,ROUND((((Q1110*60)/'Gearing Calculator'!$C$14)*'Track Data'!P1110),-2))</f>
        <v>12200</v>
      </c>
      <c r="T1110" s="16">
        <f t="shared" si="125"/>
        <v>4.8209066787706405</v>
      </c>
      <c r="U1110" s="16">
        <f>IF(AC1110=100,Braking!$AG$2354,IF(AC1110=50,Braking!$AG$1179,IF(AC1110=75,Braking!$AG$1767,0)))</f>
        <v>0</v>
      </c>
      <c r="V1110" s="16">
        <f>0.5*'Gearing Calculator'!$C$15*'Gearing Calculator'!$C$20*'Gearing Calculator'!$W$20*('Track Data'!Q1110^2)</f>
        <v>202.8674761063169</v>
      </c>
      <c r="W1110" s="16">
        <f>('Gearing Calculator'!$U$9*'Track Data'!T1110)+'Track Data'!V1110</f>
        <v>1486.1928339950614</v>
      </c>
      <c r="X1110" s="16">
        <f>('Gearing Calculator'!$U$9*9.81)*('Gearing Calculator'!$U$16/'Gearing Calculator'!$C$7)-(('Track Data'!W1110)*('Gearing Calculator'!$U$17/'Gearing Calculator'!$C$7))</f>
        <v>591.0857078158931</v>
      </c>
      <c r="Y1110" s="16">
        <f>('Gearing Calculator'!$U$9*9.81)*(('Gearing Calculator'!$C$7-'Gearing Calculator'!$U$16)/'Gearing Calculator'!$C$7)+(('Track Data'!W1110)*('Gearing Calculator'!$U$17/'Gearing Calculator'!$C$7))</f>
        <v>2020.3362921841069</v>
      </c>
      <c r="Z1110" s="16">
        <f>((X1110*COS('Gearing Calculator'!$C$21))/'Gearing Calculator'!$C$22)/2</f>
        <v>18.274500640847798</v>
      </c>
      <c r="AA1110" s="16">
        <f>Y1110/'Gearing Calculator'!$C$24</f>
        <v>28.210670940130971</v>
      </c>
      <c r="AB1110" s="16">
        <f t="shared" si="121"/>
        <v>222.15110282139946</v>
      </c>
      <c r="AC1110" s="16">
        <v>0</v>
      </c>
      <c r="AD1110" s="16">
        <v>-45.249166535644598</v>
      </c>
      <c r="AE1110" s="16">
        <v>1107</v>
      </c>
      <c r="AF1110" s="16">
        <f>IF(AC1110=0,IF(O1110=6,INDEX(Acceleration!$V$4:$V$110,MATCH('Track Data'!S1110,Acceleration!$K$4:$K$110,0)),IF('Track Data'!O1110=5,INDEX(Acceleration!$U$4:$U$110,MATCH('Track Data'!S1110,Acceleration!$K$4:$K$110,0)),1)),U1110)</f>
        <v>1</v>
      </c>
      <c r="AG1110" s="16">
        <f>IF(AC1110=0,IF(O1110=4,INDEX(Acceleration!$T$4:$T$110,MATCH('Track Data'!S1110,Acceleration!$K$4:$K$110,0)),IF('Track Data'!O1110=3,INDEX(Acceleration!$S$4:$S$110,MATCH('Track Data'!S1110,Acceleration!$K$4:$K$110,0)),'Track Data'!AF1110)),'Track Data'!U1110)</f>
        <v>4.8209066787706405</v>
      </c>
      <c r="AH1110" s="16">
        <f>IF(AC1110=0,IF(O1110=2,INDEX(Acceleration!$R$4:$R$110,MATCH('Track Data'!S1110,Acceleration!$K$4:$K$110,0)),IF('Track Data'!O1110=1,INDEX(Acceleration!$Q$4:$Q$110,MATCH('Track Data'!S1110,Acceleration!$K$4:$K$110,0)),'Track Data'!AG1110)),'Track Data'!U1110)</f>
        <v>4.8209066787706405</v>
      </c>
    </row>
    <row r="1111" spans="2:34" x14ac:dyDescent="0.25">
      <c r="B1111" s="16">
        <v>226.86099999999999</v>
      </c>
      <c r="C1111" s="16">
        <v>8381</v>
      </c>
      <c r="D1111" s="16">
        <v>1108</v>
      </c>
      <c r="E1111" s="113">
        <v>140</v>
      </c>
      <c r="F1111" s="113">
        <v>139.6</v>
      </c>
      <c r="G1111" s="113">
        <v>126.9</v>
      </c>
      <c r="H1111" s="113">
        <f t="shared" si="124"/>
        <v>35.25</v>
      </c>
      <c r="I1111" s="113">
        <v>16</v>
      </c>
      <c r="J1111" s="113">
        <v>74.569999999999993</v>
      </c>
      <c r="K1111" s="113">
        <v>-51.8</v>
      </c>
      <c r="L1111" s="183"/>
      <c r="M1111" s="16">
        <v>1108</v>
      </c>
      <c r="N1111" s="16">
        <f t="shared" si="126"/>
        <v>2.2841188743510724E-2</v>
      </c>
      <c r="O1111" s="16">
        <v>4</v>
      </c>
      <c r="P1111" s="16">
        <f t="shared" si="122"/>
        <v>9.1833785004516724</v>
      </c>
      <c r="Q1111" s="16">
        <f t="shared" si="127"/>
        <v>43.780558500227102</v>
      </c>
      <c r="R1111" s="113">
        <f t="shared" si="123"/>
        <v>329.49099999999999</v>
      </c>
      <c r="S1111" s="16">
        <f>IF(S1110=15800,15800,ROUND((((Q1111*60)/'Gearing Calculator'!$C$14)*'Track Data'!P1111),-2))</f>
        <v>12200</v>
      </c>
      <c r="T1111" s="16">
        <f t="shared" si="125"/>
        <v>4.8209066787706405</v>
      </c>
      <c r="U1111" s="16">
        <f>IF(AC1111=100,Braking!$AG$2354,IF(AC1111=50,Braking!$AG$1179,IF(AC1111=75,Braking!$AG$1767,0)))</f>
        <v>0</v>
      </c>
      <c r="V1111" s="16">
        <f>0.5*'Gearing Calculator'!$C$15*'Gearing Calculator'!$C$20*'Gearing Calculator'!$W$20*('Track Data'!Q1111^2)</f>
        <v>202.8674761063169</v>
      </c>
      <c r="W1111" s="16">
        <f>('Gearing Calculator'!$U$9*'Track Data'!T1111)+'Track Data'!V1111</f>
        <v>1486.1928339950614</v>
      </c>
      <c r="X1111" s="16">
        <f>('Gearing Calculator'!$U$9*9.81)*('Gearing Calculator'!$U$16/'Gearing Calculator'!$C$7)-(('Track Data'!W1111)*('Gearing Calculator'!$U$17/'Gearing Calculator'!$C$7))</f>
        <v>591.0857078158931</v>
      </c>
      <c r="Y1111" s="16">
        <f>('Gearing Calculator'!$U$9*9.81)*(('Gearing Calculator'!$C$7-'Gearing Calculator'!$U$16)/'Gearing Calculator'!$C$7)+(('Track Data'!W1111)*('Gearing Calculator'!$U$17/'Gearing Calculator'!$C$7))</f>
        <v>2020.3362921841069</v>
      </c>
      <c r="Z1111" s="16">
        <f>((X1111*COS('Gearing Calculator'!$C$21))/'Gearing Calculator'!$C$22)/2</f>
        <v>18.274500640847798</v>
      </c>
      <c r="AA1111" s="16">
        <f>Y1111/'Gearing Calculator'!$C$24</f>
        <v>28.210670940130971</v>
      </c>
      <c r="AB1111" s="16">
        <f t="shared" si="121"/>
        <v>222.15110282139946</v>
      </c>
      <c r="AC1111" s="16">
        <v>0</v>
      </c>
      <c r="AD1111" s="16">
        <v>-45.249166535644598</v>
      </c>
      <c r="AE1111" s="16">
        <v>1108</v>
      </c>
      <c r="AF1111" s="16">
        <f>IF(AC1111=0,IF(O1111=6,INDEX(Acceleration!$V$4:$V$110,MATCH('Track Data'!S1111,Acceleration!$K$4:$K$110,0)),IF('Track Data'!O1111=5,INDEX(Acceleration!$U$4:$U$110,MATCH('Track Data'!S1111,Acceleration!$K$4:$K$110,0)),1)),U1111)</f>
        <v>1</v>
      </c>
      <c r="AG1111" s="16">
        <f>IF(AC1111=0,IF(O1111=4,INDEX(Acceleration!$T$4:$T$110,MATCH('Track Data'!S1111,Acceleration!$K$4:$K$110,0)),IF('Track Data'!O1111=3,INDEX(Acceleration!$S$4:$S$110,MATCH('Track Data'!S1111,Acceleration!$K$4:$K$110,0)),'Track Data'!AF1111)),'Track Data'!U1111)</f>
        <v>4.8209066787706405</v>
      </c>
      <c r="AH1111" s="16">
        <f>IF(AC1111=0,IF(O1111=2,INDEX(Acceleration!$R$4:$R$110,MATCH('Track Data'!S1111,Acceleration!$K$4:$K$110,0)),IF('Track Data'!O1111=1,INDEX(Acceleration!$Q$4:$Q$110,MATCH('Track Data'!S1111,Acceleration!$K$4:$K$110,0)),'Track Data'!AG1111)),'Track Data'!U1111)</f>
        <v>4.8209066787706405</v>
      </c>
    </row>
    <row r="1112" spans="2:34" x14ac:dyDescent="0.25">
      <c r="B1112" s="16">
        <v>226.886</v>
      </c>
      <c r="C1112" s="16">
        <v>8382</v>
      </c>
      <c r="D1112" s="16">
        <v>1109</v>
      </c>
      <c r="E1112" s="113">
        <v>140</v>
      </c>
      <c r="F1112" s="113">
        <v>139.19999999999999</v>
      </c>
      <c r="G1112" s="113">
        <v>126.7</v>
      </c>
      <c r="H1112" s="113">
        <f t="shared" si="124"/>
        <v>35.194444444444443</v>
      </c>
      <c r="I1112" s="113">
        <v>16</v>
      </c>
      <c r="J1112" s="113">
        <v>75.81</v>
      </c>
      <c r="K1112" s="113">
        <v>-52.2</v>
      </c>
      <c r="L1112" s="183"/>
      <c r="M1112" s="16">
        <v>1109</v>
      </c>
      <c r="N1112" s="16">
        <f t="shared" si="126"/>
        <v>2.2841188743510724E-2</v>
      </c>
      <c r="O1112" s="16">
        <v>4</v>
      </c>
      <c r="P1112" s="16">
        <f t="shared" si="122"/>
        <v>9.1833785004516724</v>
      </c>
      <c r="Q1112" s="16">
        <f t="shared" si="127"/>
        <v>43.780558500227102</v>
      </c>
      <c r="R1112" s="113">
        <f t="shared" si="123"/>
        <v>329.49099999999999</v>
      </c>
      <c r="S1112" s="16">
        <f>IF(S1111=15800,15800,ROUND((((Q1112*60)/'Gearing Calculator'!$C$14)*'Track Data'!P1112),-2))</f>
        <v>12200</v>
      </c>
      <c r="T1112" s="16">
        <f t="shared" si="125"/>
        <v>4.8209066787706405</v>
      </c>
      <c r="U1112" s="16">
        <f>IF(AC1112=100,Braking!$AG$2354,IF(AC1112=50,Braking!$AG$1179,IF(AC1112=75,Braking!$AG$1767,0)))</f>
        <v>0</v>
      </c>
      <c r="V1112" s="16">
        <f>0.5*'Gearing Calculator'!$C$15*'Gearing Calculator'!$C$20*'Gearing Calculator'!$W$20*('Track Data'!Q1112^2)</f>
        <v>202.8674761063169</v>
      </c>
      <c r="W1112" s="16">
        <f>('Gearing Calculator'!$U$9*'Track Data'!T1112)+'Track Data'!V1112</f>
        <v>1486.1928339950614</v>
      </c>
      <c r="X1112" s="16">
        <f>('Gearing Calculator'!$U$9*9.81)*('Gearing Calculator'!$U$16/'Gearing Calculator'!$C$7)-(('Track Data'!W1112)*('Gearing Calculator'!$U$17/'Gearing Calculator'!$C$7))</f>
        <v>591.0857078158931</v>
      </c>
      <c r="Y1112" s="16">
        <f>('Gearing Calculator'!$U$9*9.81)*(('Gearing Calculator'!$C$7-'Gearing Calculator'!$U$16)/'Gearing Calculator'!$C$7)+(('Track Data'!W1112)*('Gearing Calculator'!$U$17/'Gearing Calculator'!$C$7))</f>
        <v>2020.3362921841069</v>
      </c>
      <c r="Z1112" s="16">
        <f>((X1112*COS('Gearing Calculator'!$C$21))/'Gearing Calculator'!$C$22)/2</f>
        <v>18.274500640847798</v>
      </c>
      <c r="AA1112" s="16">
        <f>Y1112/'Gearing Calculator'!$C$24</f>
        <v>28.210670940130971</v>
      </c>
      <c r="AB1112" s="16">
        <f t="shared" si="121"/>
        <v>222.15110282139946</v>
      </c>
      <c r="AC1112" s="16">
        <v>0</v>
      </c>
      <c r="AD1112" s="16">
        <v>-45.249166535644598</v>
      </c>
      <c r="AE1112" s="16">
        <v>1109</v>
      </c>
      <c r="AF1112" s="16">
        <f>IF(AC1112=0,IF(O1112=6,INDEX(Acceleration!$V$4:$V$110,MATCH('Track Data'!S1112,Acceleration!$K$4:$K$110,0)),IF('Track Data'!O1112=5,INDEX(Acceleration!$U$4:$U$110,MATCH('Track Data'!S1112,Acceleration!$K$4:$K$110,0)),1)),U1112)</f>
        <v>1</v>
      </c>
      <c r="AG1112" s="16">
        <f>IF(AC1112=0,IF(O1112=4,INDEX(Acceleration!$T$4:$T$110,MATCH('Track Data'!S1112,Acceleration!$K$4:$K$110,0)),IF('Track Data'!O1112=3,INDEX(Acceleration!$S$4:$S$110,MATCH('Track Data'!S1112,Acceleration!$K$4:$K$110,0)),'Track Data'!AF1112)),'Track Data'!U1112)</f>
        <v>4.8209066787706405</v>
      </c>
      <c r="AH1112" s="16">
        <f>IF(AC1112=0,IF(O1112=2,INDEX(Acceleration!$R$4:$R$110,MATCH('Track Data'!S1112,Acceleration!$K$4:$K$110,0)),IF('Track Data'!O1112=1,INDEX(Acceleration!$Q$4:$Q$110,MATCH('Track Data'!S1112,Acceleration!$K$4:$K$110,0)),'Track Data'!AG1112)),'Track Data'!U1112)</f>
        <v>4.8209066787706405</v>
      </c>
    </row>
    <row r="1113" spans="2:34" x14ac:dyDescent="0.25">
      <c r="B1113" s="16">
        <v>226.91200000000001</v>
      </c>
      <c r="C1113" s="16">
        <v>8383</v>
      </c>
      <c r="D1113" s="16">
        <v>1110</v>
      </c>
      <c r="E1113" s="113">
        <v>139</v>
      </c>
      <c r="F1113" s="113">
        <v>139</v>
      </c>
      <c r="G1113" s="113">
        <v>126.3</v>
      </c>
      <c r="H1113" s="113">
        <f t="shared" si="124"/>
        <v>35.083333333333329</v>
      </c>
      <c r="I1113" s="113">
        <v>15.7</v>
      </c>
      <c r="J1113" s="113">
        <v>75.39</v>
      </c>
      <c r="K1113" s="113">
        <v>-52.3</v>
      </c>
      <c r="L1113" s="183"/>
      <c r="M1113" s="16">
        <v>1110</v>
      </c>
      <c r="N1113" s="16">
        <f t="shared" si="126"/>
        <v>2.2841188743510724E-2</v>
      </c>
      <c r="O1113" s="16">
        <v>4</v>
      </c>
      <c r="P1113" s="16">
        <f t="shared" si="122"/>
        <v>9.1833785004516724</v>
      </c>
      <c r="Q1113" s="16">
        <f t="shared" si="127"/>
        <v>43.780558500227102</v>
      </c>
      <c r="R1113" s="113">
        <f t="shared" si="123"/>
        <v>329.49099999999999</v>
      </c>
      <c r="S1113" s="16">
        <f>IF(S1112=15800,15800,ROUND((((Q1113*60)/'Gearing Calculator'!$C$14)*'Track Data'!P1113),-2))</f>
        <v>12200</v>
      </c>
      <c r="T1113" s="16">
        <f t="shared" si="125"/>
        <v>4.8209066787706405</v>
      </c>
      <c r="U1113" s="16">
        <f>IF(AC1113=100,Braking!$AG$2354,IF(AC1113=50,Braking!$AG$1179,IF(AC1113=75,Braking!$AG$1767,0)))</f>
        <v>0</v>
      </c>
      <c r="V1113" s="16">
        <f>0.5*'Gearing Calculator'!$C$15*'Gearing Calculator'!$C$20*'Gearing Calculator'!$W$20*('Track Data'!Q1113^2)</f>
        <v>202.8674761063169</v>
      </c>
      <c r="W1113" s="16">
        <f>('Gearing Calculator'!$U$9*'Track Data'!T1113)+'Track Data'!V1113</f>
        <v>1486.1928339950614</v>
      </c>
      <c r="X1113" s="16">
        <f>('Gearing Calculator'!$U$9*9.81)*('Gearing Calculator'!$U$16/'Gearing Calculator'!$C$7)-(('Track Data'!W1113)*('Gearing Calculator'!$U$17/'Gearing Calculator'!$C$7))</f>
        <v>591.0857078158931</v>
      </c>
      <c r="Y1113" s="16">
        <f>('Gearing Calculator'!$U$9*9.81)*(('Gearing Calculator'!$C$7-'Gearing Calculator'!$U$16)/'Gearing Calculator'!$C$7)+(('Track Data'!W1113)*('Gearing Calculator'!$U$17/'Gearing Calculator'!$C$7))</f>
        <v>2020.3362921841069</v>
      </c>
      <c r="Z1113" s="16">
        <f>((X1113*COS('Gearing Calculator'!$C$21))/'Gearing Calculator'!$C$22)/2</f>
        <v>18.274500640847798</v>
      </c>
      <c r="AA1113" s="16">
        <f>Y1113/'Gearing Calculator'!$C$24</f>
        <v>28.210670940130971</v>
      </c>
      <c r="AB1113" s="16">
        <f t="shared" si="121"/>
        <v>222.15110282139946</v>
      </c>
      <c r="AC1113" s="16">
        <v>0</v>
      </c>
      <c r="AD1113" s="16">
        <v>-45.249166535644598</v>
      </c>
      <c r="AE1113" s="16">
        <v>1110</v>
      </c>
      <c r="AF1113" s="16">
        <f>IF(AC1113=0,IF(O1113=6,INDEX(Acceleration!$V$4:$V$110,MATCH('Track Data'!S1113,Acceleration!$K$4:$K$110,0)),IF('Track Data'!O1113=5,INDEX(Acceleration!$U$4:$U$110,MATCH('Track Data'!S1113,Acceleration!$K$4:$K$110,0)),1)),U1113)</f>
        <v>1</v>
      </c>
      <c r="AG1113" s="16">
        <f>IF(AC1113=0,IF(O1113=4,INDEX(Acceleration!$T$4:$T$110,MATCH('Track Data'!S1113,Acceleration!$K$4:$K$110,0)),IF('Track Data'!O1113=3,INDEX(Acceleration!$S$4:$S$110,MATCH('Track Data'!S1113,Acceleration!$K$4:$K$110,0)),'Track Data'!AF1113)),'Track Data'!U1113)</f>
        <v>4.8209066787706405</v>
      </c>
      <c r="AH1113" s="16">
        <f>IF(AC1113=0,IF(O1113=2,INDEX(Acceleration!$R$4:$R$110,MATCH('Track Data'!S1113,Acceleration!$K$4:$K$110,0)),IF('Track Data'!O1113=1,INDEX(Acceleration!$Q$4:$Q$110,MATCH('Track Data'!S1113,Acceleration!$K$4:$K$110,0)),'Track Data'!AG1113)),'Track Data'!U1113)</f>
        <v>4.8209066787706405</v>
      </c>
    </row>
    <row r="1114" spans="2:34" x14ac:dyDescent="0.25">
      <c r="B1114" s="16">
        <v>226.93799999999999</v>
      </c>
      <c r="C1114" s="16">
        <v>8384</v>
      </c>
      <c r="D1114" s="16">
        <v>1111</v>
      </c>
      <c r="E1114" s="113">
        <v>139</v>
      </c>
      <c r="F1114" s="113">
        <v>138.69999999999999</v>
      </c>
      <c r="G1114" s="113">
        <v>126.1</v>
      </c>
      <c r="H1114" s="113">
        <f t="shared" si="124"/>
        <v>35.027777777777779</v>
      </c>
      <c r="I1114" s="113">
        <v>15.8</v>
      </c>
      <c r="J1114" s="113">
        <v>75.040000000000006</v>
      </c>
      <c r="K1114" s="113">
        <v>-52.4</v>
      </c>
      <c r="L1114" s="183"/>
      <c r="M1114" s="16">
        <v>1111</v>
      </c>
      <c r="N1114" s="16">
        <f t="shared" si="126"/>
        <v>2.2841188743510724E-2</v>
      </c>
      <c r="O1114" s="16">
        <v>4</v>
      </c>
      <c r="P1114" s="16">
        <f t="shared" si="122"/>
        <v>9.1833785004516724</v>
      </c>
      <c r="Q1114" s="16">
        <f t="shared" si="127"/>
        <v>43.780558500227102</v>
      </c>
      <c r="R1114" s="113">
        <f t="shared" si="123"/>
        <v>329.49099999999999</v>
      </c>
      <c r="S1114" s="16">
        <f>IF(S1113=15800,15800,ROUND((((Q1114*60)/'Gearing Calculator'!$C$14)*'Track Data'!P1114),-2))</f>
        <v>12200</v>
      </c>
      <c r="T1114" s="16">
        <f t="shared" si="125"/>
        <v>4.8209066787706405</v>
      </c>
      <c r="U1114" s="16">
        <f>IF(AC1114=100,Braking!$AG$2354,IF(AC1114=50,Braking!$AG$1179,IF(AC1114=75,Braking!$AG$1767,0)))</f>
        <v>0</v>
      </c>
      <c r="V1114" s="16">
        <f>0.5*'Gearing Calculator'!$C$15*'Gearing Calculator'!$C$20*'Gearing Calculator'!$W$20*('Track Data'!Q1114^2)</f>
        <v>202.8674761063169</v>
      </c>
      <c r="W1114" s="16">
        <f>('Gearing Calculator'!$U$9*'Track Data'!T1114)+'Track Data'!V1114</f>
        <v>1486.1928339950614</v>
      </c>
      <c r="X1114" s="16">
        <f>('Gearing Calculator'!$U$9*9.81)*('Gearing Calculator'!$U$16/'Gearing Calculator'!$C$7)-(('Track Data'!W1114)*('Gearing Calculator'!$U$17/'Gearing Calculator'!$C$7))</f>
        <v>591.0857078158931</v>
      </c>
      <c r="Y1114" s="16">
        <f>('Gearing Calculator'!$U$9*9.81)*(('Gearing Calculator'!$C$7-'Gearing Calculator'!$U$16)/'Gearing Calculator'!$C$7)+(('Track Data'!W1114)*('Gearing Calculator'!$U$17/'Gearing Calculator'!$C$7))</f>
        <v>2020.3362921841069</v>
      </c>
      <c r="Z1114" s="16">
        <f>((X1114*COS('Gearing Calculator'!$C$21))/'Gearing Calculator'!$C$22)/2</f>
        <v>18.274500640847798</v>
      </c>
      <c r="AA1114" s="16">
        <f>Y1114/'Gearing Calculator'!$C$24</f>
        <v>28.210670940130971</v>
      </c>
      <c r="AB1114" s="16">
        <f t="shared" si="121"/>
        <v>222.15110282139946</v>
      </c>
      <c r="AC1114" s="16">
        <v>0</v>
      </c>
      <c r="AD1114" s="16">
        <v>-45.249166535644598</v>
      </c>
      <c r="AE1114" s="16">
        <v>1111</v>
      </c>
      <c r="AF1114" s="16">
        <f>IF(AC1114=0,IF(O1114=6,INDEX(Acceleration!$V$4:$V$110,MATCH('Track Data'!S1114,Acceleration!$K$4:$K$110,0)),IF('Track Data'!O1114=5,INDEX(Acceleration!$U$4:$U$110,MATCH('Track Data'!S1114,Acceleration!$K$4:$K$110,0)),1)),U1114)</f>
        <v>1</v>
      </c>
      <c r="AG1114" s="16">
        <f>IF(AC1114=0,IF(O1114=4,INDEX(Acceleration!$T$4:$T$110,MATCH('Track Data'!S1114,Acceleration!$K$4:$K$110,0)),IF('Track Data'!O1114=3,INDEX(Acceleration!$S$4:$S$110,MATCH('Track Data'!S1114,Acceleration!$K$4:$K$110,0)),'Track Data'!AF1114)),'Track Data'!U1114)</f>
        <v>4.8209066787706405</v>
      </c>
      <c r="AH1114" s="16">
        <f>IF(AC1114=0,IF(O1114=2,INDEX(Acceleration!$R$4:$R$110,MATCH('Track Data'!S1114,Acceleration!$K$4:$K$110,0)),IF('Track Data'!O1114=1,INDEX(Acceleration!$Q$4:$Q$110,MATCH('Track Data'!S1114,Acceleration!$K$4:$K$110,0)),'Track Data'!AG1114)),'Track Data'!U1114)</f>
        <v>4.8209066787706405</v>
      </c>
    </row>
    <row r="1115" spans="2:34" x14ac:dyDescent="0.25">
      <c r="B1115" s="16">
        <v>226.964</v>
      </c>
      <c r="C1115" s="16">
        <v>8385</v>
      </c>
      <c r="D1115" s="16">
        <v>1112</v>
      </c>
      <c r="E1115" s="113">
        <v>139</v>
      </c>
      <c r="F1115" s="113">
        <v>138.19999999999999</v>
      </c>
      <c r="G1115" s="113">
        <v>125.8</v>
      </c>
      <c r="H1115" s="113">
        <f t="shared" si="124"/>
        <v>34.944444444444443</v>
      </c>
      <c r="I1115" s="113">
        <v>15.3</v>
      </c>
      <c r="J1115" s="113">
        <v>75.45</v>
      </c>
      <c r="K1115" s="113">
        <v>-52.5</v>
      </c>
      <c r="L1115" s="183"/>
      <c r="M1115" s="16">
        <v>1112</v>
      </c>
      <c r="N1115" s="16">
        <f t="shared" si="126"/>
        <v>2.2841188743510724E-2</v>
      </c>
      <c r="O1115" s="16">
        <v>4</v>
      </c>
      <c r="P1115" s="16">
        <f t="shared" si="122"/>
        <v>9.1833785004516724</v>
      </c>
      <c r="Q1115" s="16">
        <f t="shared" si="127"/>
        <v>43.780558500227102</v>
      </c>
      <c r="R1115" s="113">
        <f t="shared" si="123"/>
        <v>329.49099999999999</v>
      </c>
      <c r="S1115" s="16">
        <f>IF(S1114=15800,15800,ROUND((((Q1115*60)/'Gearing Calculator'!$C$14)*'Track Data'!P1115),-2))</f>
        <v>12200</v>
      </c>
      <c r="T1115" s="16">
        <f t="shared" si="125"/>
        <v>4.8209066787706405</v>
      </c>
      <c r="U1115" s="16">
        <f>IF(AC1115=100,Braking!$AG$2354,IF(AC1115=50,Braking!$AG$1179,IF(AC1115=75,Braking!$AG$1767,0)))</f>
        <v>0</v>
      </c>
      <c r="V1115" s="16">
        <f>0.5*'Gearing Calculator'!$C$15*'Gearing Calculator'!$C$20*'Gearing Calculator'!$W$20*('Track Data'!Q1115^2)</f>
        <v>202.8674761063169</v>
      </c>
      <c r="W1115" s="16">
        <f>('Gearing Calculator'!$U$9*'Track Data'!T1115)+'Track Data'!V1115</f>
        <v>1486.1928339950614</v>
      </c>
      <c r="X1115" s="16">
        <f>('Gearing Calculator'!$U$9*9.81)*('Gearing Calculator'!$U$16/'Gearing Calculator'!$C$7)-(('Track Data'!W1115)*('Gearing Calculator'!$U$17/'Gearing Calculator'!$C$7))</f>
        <v>591.0857078158931</v>
      </c>
      <c r="Y1115" s="16">
        <f>('Gearing Calculator'!$U$9*9.81)*(('Gearing Calculator'!$C$7-'Gearing Calculator'!$U$16)/'Gearing Calculator'!$C$7)+(('Track Data'!W1115)*('Gearing Calculator'!$U$17/'Gearing Calculator'!$C$7))</f>
        <v>2020.3362921841069</v>
      </c>
      <c r="Z1115" s="16">
        <f>((X1115*COS('Gearing Calculator'!$C$21))/'Gearing Calculator'!$C$22)/2</f>
        <v>18.274500640847798</v>
      </c>
      <c r="AA1115" s="16">
        <f>Y1115/'Gearing Calculator'!$C$24</f>
        <v>28.210670940130971</v>
      </c>
      <c r="AB1115" s="16">
        <f t="shared" si="121"/>
        <v>222.15110282139946</v>
      </c>
      <c r="AC1115" s="16">
        <v>0</v>
      </c>
      <c r="AD1115" s="16">
        <v>-45.249166535644598</v>
      </c>
      <c r="AE1115" s="16">
        <v>1112</v>
      </c>
      <c r="AF1115" s="16">
        <f>IF(AC1115=0,IF(O1115=6,INDEX(Acceleration!$V$4:$V$110,MATCH('Track Data'!S1115,Acceleration!$K$4:$K$110,0)),IF('Track Data'!O1115=5,INDEX(Acceleration!$U$4:$U$110,MATCH('Track Data'!S1115,Acceleration!$K$4:$K$110,0)),1)),U1115)</f>
        <v>1</v>
      </c>
      <c r="AG1115" s="16">
        <f>IF(AC1115=0,IF(O1115=4,INDEX(Acceleration!$T$4:$T$110,MATCH('Track Data'!S1115,Acceleration!$K$4:$K$110,0)),IF('Track Data'!O1115=3,INDEX(Acceleration!$S$4:$S$110,MATCH('Track Data'!S1115,Acceleration!$K$4:$K$110,0)),'Track Data'!AF1115)),'Track Data'!U1115)</f>
        <v>4.8209066787706405</v>
      </c>
      <c r="AH1115" s="16">
        <f>IF(AC1115=0,IF(O1115=2,INDEX(Acceleration!$R$4:$R$110,MATCH('Track Data'!S1115,Acceleration!$K$4:$K$110,0)),IF('Track Data'!O1115=1,INDEX(Acceleration!$Q$4:$Q$110,MATCH('Track Data'!S1115,Acceleration!$K$4:$K$110,0)),'Track Data'!AG1115)),'Track Data'!U1115)</f>
        <v>4.8209066787706405</v>
      </c>
    </row>
    <row r="1116" spans="2:34" x14ac:dyDescent="0.25">
      <c r="B1116" s="16">
        <v>226.989</v>
      </c>
      <c r="C1116" s="16">
        <v>8386</v>
      </c>
      <c r="D1116" s="16">
        <v>1113</v>
      </c>
      <c r="E1116" s="113">
        <v>138</v>
      </c>
      <c r="F1116" s="113">
        <v>138</v>
      </c>
      <c r="G1116" s="113">
        <v>125.5</v>
      </c>
      <c r="H1116" s="113">
        <f t="shared" si="124"/>
        <v>34.861111111111107</v>
      </c>
      <c r="I1116" s="113">
        <v>15.3</v>
      </c>
      <c r="J1116" s="113">
        <v>73.930000000000007</v>
      </c>
      <c r="K1116" s="113">
        <v>-52.5</v>
      </c>
      <c r="L1116" s="183"/>
      <c r="M1116" s="16">
        <v>1113</v>
      </c>
      <c r="N1116" s="16">
        <f t="shared" si="126"/>
        <v>2.2841188743510724E-2</v>
      </c>
      <c r="O1116" s="16">
        <v>4</v>
      </c>
      <c r="P1116" s="16">
        <f t="shared" si="122"/>
        <v>9.1833785004516724</v>
      </c>
      <c r="Q1116" s="16">
        <f t="shared" si="127"/>
        <v>43.780558500227102</v>
      </c>
      <c r="R1116" s="113">
        <f t="shared" si="123"/>
        <v>329.49099999999999</v>
      </c>
      <c r="S1116" s="16">
        <f>IF(S1115=15800,15800,ROUND((((Q1116*60)/'Gearing Calculator'!$C$14)*'Track Data'!P1116),-2))</f>
        <v>12200</v>
      </c>
      <c r="T1116" s="16">
        <f t="shared" si="125"/>
        <v>4.8209066787706405</v>
      </c>
      <c r="U1116" s="16">
        <f>IF(AC1116=100,Braking!$AG$2354,IF(AC1116=50,Braking!$AG$1179,IF(AC1116=75,Braking!$AG$1767,0)))</f>
        <v>0</v>
      </c>
      <c r="V1116" s="16">
        <f>0.5*'Gearing Calculator'!$C$15*'Gearing Calculator'!$C$20*'Gearing Calculator'!$W$20*('Track Data'!Q1116^2)</f>
        <v>202.8674761063169</v>
      </c>
      <c r="W1116" s="16">
        <f>('Gearing Calculator'!$U$9*'Track Data'!T1116)+'Track Data'!V1116</f>
        <v>1486.1928339950614</v>
      </c>
      <c r="X1116" s="16">
        <f>('Gearing Calculator'!$U$9*9.81)*('Gearing Calculator'!$U$16/'Gearing Calculator'!$C$7)-(('Track Data'!W1116)*('Gearing Calculator'!$U$17/'Gearing Calculator'!$C$7))</f>
        <v>591.0857078158931</v>
      </c>
      <c r="Y1116" s="16">
        <f>('Gearing Calculator'!$U$9*9.81)*(('Gearing Calculator'!$C$7-'Gearing Calculator'!$U$16)/'Gearing Calculator'!$C$7)+(('Track Data'!W1116)*('Gearing Calculator'!$U$17/'Gearing Calculator'!$C$7))</f>
        <v>2020.3362921841069</v>
      </c>
      <c r="Z1116" s="16">
        <f>((X1116*COS('Gearing Calculator'!$C$21))/'Gearing Calculator'!$C$22)/2</f>
        <v>18.274500640847798</v>
      </c>
      <c r="AA1116" s="16">
        <f>Y1116/'Gearing Calculator'!$C$24</f>
        <v>28.210670940130971</v>
      </c>
      <c r="AB1116" s="16">
        <f t="shared" si="121"/>
        <v>222.15110282139946</v>
      </c>
      <c r="AC1116" s="16">
        <v>0</v>
      </c>
      <c r="AD1116" s="16">
        <v>-45.249166535644598</v>
      </c>
      <c r="AE1116" s="16">
        <v>1113</v>
      </c>
      <c r="AF1116" s="16">
        <f>IF(AC1116=0,IF(O1116=6,INDEX(Acceleration!$V$4:$V$110,MATCH('Track Data'!S1116,Acceleration!$K$4:$K$110,0)),IF('Track Data'!O1116=5,INDEX(Acceleration!$U$4:$U$110,MATCH('Track Data'!S1116,Acceleration!$K$4:$K$110,0)),1)),U1116)</f>
        <v>1</v>
      </c>
      <c r="AG1116" s="16">
        <f>IF(AC1116=0,IF(O1116=4,INDEX(Acceleration!$T$4:$T$110,MATCH('Track Data'!S1116,Acceleration!$K$4:$K$110,0)),IF('Track Data'!O1116=3,INDEX(Acceleration!$S$4:$S$110,MATCH('Track Data'!S1116,Acceleration!$K$4:$K$110,0)),'Track Data'!AF1116)),'Track Data'!U1116)</f>
        <v>4.8209066787706405</v>
      </c>
      <c r="AH1116" s="16">
        <f>IF(AC1116=0,IF(O1116=2,INDEX(Acceleration!$R$4:$R$110,MATCH('Track Data'!S1116,Acceleration!$K$4:$K$110,0)),IF('Track Data'!O1116=1,INDEX(Acceleration!$Q$4:$Q$110,MATCH('Track Data'!S1116,Acceleration!$K$4:$K$110,0)),'Track Data'!AG1116)),'Track Data'!U1116)</f>
        <v>4.8209066787706405</v>
      </c>
    </row>
    <row r="1117" spans="2:34" x14ac:dyDescent="0.25">
      <c r="B1117" s="16">
        <v>227.01599999999999</v>
      </c>
      <c r="C1117" s="16">
        <v>8387</v>
      </c>
      <c r="D1117" s="16">
        <v>1114</v>
      </c>
      <c r="E1117" s="113">
        <v>138</v>
      </c>
      <c r="F1117" s="113">
        <v>137.6</v>
      </c>
      <c r="G1117" s="113">
        <v>125.1</v>
      </c>
      <c r="H1117" s="113">
        <f t="shared" si="124"/>
        <v>34.75</v>
      </c>
      <c r="I1117" s="113">
        <v>15.3</v>
      </c>
      <c r="J1117" s="113">
        <v>74.680000000000007</v>
      </c>
      <c r="K1117" s="113">
        <v>-52.5</v>
      </c>
      <c r="L1117" s="183"/>
      <c r="M1117" s="16">
        <v>1114</v>
      </c>
      <c r="N1117" s="16">
        <f t="shared" si="126"/>
        <v>2.2841188743510724E-2</v>
      </c>
      <c r="O1117" s="16">
        <v>4</v>
      </c>
      <c r="P1117" s="16">
        <f t="shared" si="122"/>
        <v>9.1833785004516724</v>
      </c>
      <c r="Q1117" s="16">
        <f t="shared" si="127"/>
        <v>43.780558500227102</v>
      </c>
      <c r="R1117" s="113">
        <f t="shared" si="123"/>
        <v>329.49099999999999</v>
      </c>
      <c r="S1117" s="16">
        <f>IF(S1116=15800,15800,ROUND((((Q1117*60)/'Gearing Calculator'!$C$14)*'Track Data'!P1117),-2))</f>
        <v>12200</v>
      </c>
      <c r="T1117" s="16">
        <f t="shared" si="125"/>
        <v>4.8209066787706405</v>
      </c>
      <c r="U1117" s="16">
        <f>IF(AC1117=100,Braking!$AG$2354,IF(AC1117=50,Braking!$AG$1179,IF(AC1117=75,Braking!$AG$1767,0)))</f>
        <v>0</v>
      </c>
      <c r="V1117" s="16">
        <f>0.5*'Gearing Calculator'!$C$15*'Gearing Calculator'!$C$20*'Gearing Calculator'!$W$20*('Track Data'!Q1117^2)</f>
        <v>202.8674761063169</v>
      </c>
      <c r="W1117" s="16">
        <f>('Gearing Calculator'!$U$9*'Track Data'!T1117)+'Track Data'!V1117</f>
        <v>1486.1928339950614</v>
      </c>
      <c r="X1117" s="16">
        <f>('Gearing Calculator'!$U$9*9.81)*('Gearing Calculator'!$U$16/'Gearing Calculator'!$C$7)-(('Track Data'!W1117)*('Gearing Calculator'!$U$17/'Gearing Calculator'!$C$7))</f>
        <v>591.0857078158931</v>
      </c>
      <c r="Y1117" s="16">
        <f>('Gearing Calculator'!$U$9*9.81)*(('Gearing Calculator'!$C$7-'Gearing Calculator'!$U$16)/'Gearing Calculator'!$C$7)+(('Track Data'!W1117)*('Gearing Calculator'!$U$17/'Gearing Calculator'!$C$7))</f>
        <v>2020.3362921841069</v>
      </c>
      <c r="Z1117" s="16">
        <f>((X1117*COS('Gearing Calculator'!$C$21))/'Gearing Calculator'!$C$22)/2</f>
        <v>18.274500640847798</v>
      </c>
      <c r="AA1117" s="16">
        <f>Y1117/'Gearing Calculator'!$C$24</f>
        <v>28.210670940130971</v>
      </c>
      <c r="AB1117" s="16">
        <f t="shared" si="121"/>
        <v>222.15110282139946</v>
      </c>
      <c r="AC1117" s="16">
        <v>0</v>
      </c>
      <c r="AD1117" s="16">
        <v>-45.249166535644598</v>
      </c>
      <c r="AE1117" s="16">
        <v>1114</v>
      </c>
      <c r="AF1117" s="16">
        <f>IF(AC1117=0,IF(O1117=6,INDEX(Acceleration!$V$4:$V$110,MATCH('Track Data'!S1117,Acceleration!$K$4:$K$110,0)),IF('Track Data'!O1117=5,INDEX(Acceleration!$U$4:$U$110,MATCH('Track Data'!S1117,Acceleration!$K$4:$K$110,0)),1)),U1117)</f>
        <v>1</v>
      </c>
      <c r="AG1117" s="16">
        <f>IF(AC1117=0,IF(O1117=4,INDEX(Acceleration!$T$4:$T$110,MATCH('Track Data'!S1117,Acceleration!$K$4:$K$110,0)),IF('Track Data'!O1117=3,INDEX(Acceleration!$S$4:$S$110,MATCH('Track Data'!S1117,Acceleration!$K$4:$K$110,0)),'Track Data'!AF1117)),'Track Data'!U1117)</f>
        <v>4.8209066787706405</v>
      </c>
      <c r="AH1117" s="16">
        <f>IF(AC1117=0,IF(O1117=2,INDEX(Acceleration!$R$4:$R$110,MATCH('Track Data'!S1117,Acceleration!$K$4:$K$110,0)),IF('Track Data'!O1117=1,INDEX(Acceleration!$Q$4:$Q$110,MATCH('Track Data'!S1117,Acceleration!$K$4:$K$110,0)),'Track Data'!AG1117)),'Track Data'!U1117)</f>
        <v>4.8209066787706405</v>
      </c>
    </row>
    <row r="1118" spans="2:34" x14ac:dyDescent="0.25">
      <c r="B1118" s="16">
        <v>227.042</v>
      </c>
      <c r="C1118" s="16">
        <v>8388</v>
      </c>
      <c r="D1118" s="16">
        <v>1115</v>
      </c>
      <c r="E1118" s="113">
        <v>137</v>
      </c>
      <c r="F1118" s="113">
        <v>137.19999999999999</v>
      </c>
      <c r="G1118" s="113">
        <v>124.8</v>
      </c>
      <c r="H1118" s="113">
        <f t="shared" si="124"/>
        <v>34.666666666666664</v>
      </c>
      <c r="I1118" s="113">
        <v>14.8</v>
      </c>
      <c r="J1118" s="113">
        <v>74.62</v>
      </c>
      <c r="K1118" s="113">
        <v>-52.3</v>
      </c>
      <c r="L1118" s="183"/>
      <c r="M1118" s="16">
        <v>1115</v>
      </c>
      <c r="N1118" s="16">
        <f t="shared" si="126"/>
        <v>2.2841188743510724E-2</v>
      </c>
      <c r="O1118" s="16">
        <v>4</v>
      </c>
      <c r="P1118" s="16">
        <f t="shared" si="122"/>
        <v>9.1833785004516724</v>
      </c>
      <c r="Q1118" s="16">
        <f t="shared" si="127"/>
        <v>43.780558500227102</v>
      </c>
      <c r="R1118" s="113">
        <f t="shared" si="123"/>
        <v>329.49099999999999</v>
      </c>
      <c r="S1118" s="16">
        <f>IF(S1117=15800,15800,ROUND((((Q1118*60)/'Gearing Calculator'!$C$14)*'Track Data'!P1118),-2))</f>
        <v>12200</v>
      </c>
      <c r="T1118" s="16">
        <f t="shared" si="125"/>
        <v>4.8209066787706405</v>
      </c>
      <c r="U1118" s="16">
        <f>IF(AC1118=100,Braking!$AG$2354,IF(AC1118=50,Braking!$AG$1179,IF(AC1118=75,Braking!$AG$1767,0)))</f>
        <v>0</v>
      </c>
      <c r="V1118" s="16">
        <f>0.5*'Gearing Calculator'!$C$15*'Gearing Calculator'!$C$20*'Gearing Calculator'!$W$20*('Track Data'!Q1118^2)</f>
        <v>202.8674761063169</v>
      </c>
      <c r="W1118" s="16">
        <f>('Gearing Calculator'!$U$9*'Track Data'!T1118)+'Track Data'!V1118</f>
        <v>1486.1928339950614</v>
      </c>
      <c r="X1118" s="16">
        <f>('Gearing Calculator'!$U$9*9.81)*('Gearing Calculator'!$U$16/'Gearing Calculator'!$C$7)-(('Track Data'!W1118)*('Gearing Calculator'!$U$17/'Gearing Calculator'!$C$7))</f>
        <v>591.0857078158931</v>
      </c>
      <c r="Y1118" s="16">
        <f>('Gearing Calculator'!$U$9*9.81)*(('Gearing Calculator'!$C$7-'Gearing Calculator'!$U$16)/'Gearing Calculator'!$C$7)+(('Track Data'!W1118)*('Gearing Calculator'!$U$17/'Gearing Calculator'!$C$7))</f>
        <v>2020.3362921841069</v>
      </c>
      <c r="Z1118" s="16">
        <f>((X1118*COS('Gearing Calculator'!$C$21))/'Gearing Calculator'!$C$22)/2</f>
        <v>18.274500640847798</v>
      </c>
      <c r="AA1118" s="16">
        <f>Y1118/'Gearing Calculator'!$C$24</f>
        <v>28.210670940130971</v>
      </c>
      <c r="AB1118" s="16">
        <f t="shared" si="121"/>
        <v>222.15110282139946</v>
      </c>
      <c r="AC1118" s="16">
        <v>0</v>
      </c>
      <c r="AD1118" s="16">
        <v>-45.249166535644598</v>
      </c>
      <c r="AE1118" s="16">
        <v>1115</v>
      </c>
      <c r="AF1118" s="16">
        <f>IF(AC1118=0,IF(O1118=6,INDEX(Acceleration!$V$4:$V$110,MATCH('Track Data'!S1118,Acceleration!$K$4:$K$110,0)),IF('Track Data'!O1118=5,INDEX(Acceleration!$U$4:$U$110,MATCH('Track Data'!S1118,Acceleration!$K$4:$K$110,0)),1)),U1118)</f>
        <v>1</v>
      </c>
      <c r="AG1118" s="16">
        <f>IF(AC1118=0,IF(O1118=4,INDEX(Acceleration!$T$4:$T$110,MATCH('Track Data'!S1118,Acceleration!$K$4:$K$110,0)),IF('Track Data'!O1118=3,INDEX(Acceleration!$S$4:$S$110,MATCH('Track Data'!S1118,Acceleration!$K$4:$K$110,0)),'Track Data'!AF1118)),'Track Data'!U1118)</f>
        <v>4.8209066787706405</v>
      </c>
      <c r="AH1118" s="16">
        <f>IF(AC1118=0,IF(O1118=2,INDEX(Acceleration!$R$4:$R$110,MATCH('Track Data'!S1118,Acceleration!$K$4:$K$110,0)),IF('Track Data'!O1118=1,INDEX(Acceleration!$Q$4:$Q$110,MATCH('Track Data'!S1118,Acceleration!$K$4:$K$110,0)),'Track Data'!AG1118)),'Track Data'!U1118)</f>
        <v>4.8209066787706405</v>
      </c>
    </row>
    <row r="1119" spans="2:34" x14ac:dyDescent="0.25">
      <c r="B1119" s="16">
        <v>227.06800000000001</v>
      </c>
      <c r="C1119" s="16">
        <v>8389</v>
      </c>
      <c r="D1119" s="16">
        <v>1116</v>
      </c>
      <c r="E1119" s="113">
        <v>137</v>
      </c>
      <c r="F1119" s="113">
        <v>136.80000000000001</v>
      </c>
      <c r="G1119" s="113">
        <v>124.5</v>
      </c>
      <c r="H1119" s="113">
        <f t="shared" si="124"/>
        <v>34.583333333333336</v>
      </c>
      <c r="I1119" s="113">
        <v>15</v>
      </c>
      <c r="J1119" s="113">
        <v>72.95</v>
      </c>
      <c r="K1119" s="113">
        <v>-51.7</v>
      </c>
      <c r="L1119" s="183"/>
      <c r="M1119" s="16">
        <v>1116</v>
      </c>
      <c r="N1119" s="16">
        <f t="shared" si="126"/>
        <v>2.2841188743510724E-2</v>
      </c>
      <c r="O1119" s="16">
        <v>4</v>
      </c>
      <c r="P1119" s="16">
        <f t="shared" si="122"/>
        <v>9.1833785004516724</v>
      </c>
      <c r="Q1119" s="16">
        <f t="shared" si="127"/>
        <v>43.780558500227102</v>
      </c>
      <c r="R1119" s="113">
        <f t="shared" si="123"/>
        <v>329.49099999999999</v>
      </c>
      <c r="S1119" s="16">
        <f>IF(S1118=15800,15800,ROUND((((Q1119*60)/'Gearing Calculator'!$C$14)*'Track Data'!P1119),-2))</f>
        <v>12200</v>
      </c>
      <c r="T1119" s="16">
        <f t="shared" si="125"/>
        <v>4.8209066787706405</v>
      </c>
      <c r="U1119" s="16">
        <f>IF(AC1119=100,Braking!$AG$2354,IF(AC1119=50,Braking!$AG$1179,IF(AC1119=75,Braking!$AG$1767,0)))</f>
        <v>0</v>
      </c>
      <c r="V1119" s="16">
        <f>0.5*'Gearing Calculator'!$C$15*'Gearing Calculator'!$C$20*'Gearing Calculator'!$W$20*('Track Data'!Q1119^2)</f>
        <v>202.8674761063169</v>
      </c>
      <c r="W1119" s="16">
        <f>('Gearing Calculator'!$U$9*'Track Data'!T1119)+'Track Data'!V1119</f>
        <v>1486.1928339950614</v>
      </c>
      <c r="X1119" s="16">
        <f>('Gearing Calculator'!$U$9*9.81)*('Gearing Calculator'!$U$16/'Gearing Calculator'!$C$7)-(('Track Data'!W1119)*('Gearing Calculator'!$U$17/'Gearing Calculator'!$C$7))</f>
        <v>591.0857078158931</v>
      </c>
      <c r="Y1119" s="16">
        <f>('Gearing Calculator'!$U$9*9.81)*(('Gearing Calculator'!$C$7-'Gearing Calculator'!$U$16)/'Gearing Calculator'!$C$7)+(('Track Data'!W1119)*('Gearing Calculator'!$U$17/'Gearing Calculator'!$C$7))</f>
        <v>2020.3362921841069</v>
      </c>
      <c r="Z1119" s="16">
        <f>((X1119*COS('Gearing Calculator'!$C$21))/'Gearing Calculator'!$C$22)/2</f>
        <v>18.274500640847798</v>
      </c>
      <c r="AA1119" s="16">
        <f>Y1119/'Gearing Calculator'!$C$24</f>
        <v>28.210670940130971</v>
      </c>
      <c r="AB1119" s="16">
        <f t="shared" si="121"/>
        <v>222.15110282139946</v>
      </c>
      <c r="AC1119" s="16">
        <v>0</v>
      </c>
      <c r="AD1119" s="16">
        <v>-45.249166535644598</v>
      </c>
      <c r="AE1119" s="16">
        <v>1116</v>
      </c>
      <c r="AF1119" s="16">
        <f>IF(AC1119=0,IF(O1119=6,INDEX(Acceleration!$V$4:$V$110,MATCH('Track Data'!S1119,Acceleration!$K$4:$K$110,0)),IF('Track Data'!O1119=5,INDEX(Acceleration!$U$4:$U$110,MATCH('Track Data'!S1119,Acceleration!$K$4:$K$110,0)),1)),U1119)</f>
        <v>1</v>
      </c>
      <c r="AG1119" s="16">
        <f>IF(AC1119=0,IF(O1119=4,INDEX(Acceleration!$T$4:$T$110,MATCH('Track Data'!S1119,Acceleration!$K$4:$K$110,0)),IF('Track Data'!O1119=3,INDEX(Acceleration!$S$4:$S$110,MATCH('Track Data'!S1119,Acceleration!$K$4:$K$110,0)),'Track Data'!AF1119)),'Track Data'!U1119)</f>
        <v>4.8209066787706405</v>
      </c>
      <c r="AH1119" s="16">
        <f>IF(AC1119=0,IF(O1119=2,INDEX(Acceleration!$R$4:$R$110,MATCH('Track Data'!S1119,Acceleration!$K$4:$K$110,0)),IF('Track Data'!O1119=1,INDEX(Acceleration!$Q$4:$Q$110,MATCH('Track Data'!S1119,Acceleration!$K$4:$K$110,0)),'Track Data'!AG1119)),'Track Data'!U1119)</f>
        <v>4.8209066787706405</v>
      </c>
    </row>
    <row r="1120" spans="2:34" x14ac:dyDescent="0.25">
      <c r="B1120" s="16">
        <v>227.09399999999999</v>
      </c>
      <c r="C1120" s="16">
        <v>8390</v>
      </c>
      <c r="D1120" s="16">
        <v>1117</v>
      </c>
      <c r="E1120" s="113">
        <v>137</v>
      </c>
      <c r="F1120" s="113">
        <v>136.30000000000001</v>
      </c>
      <c r="G1120" s="113">
        <v>124.2</v>
      </c>
      <c r="H1120" s="113">
        <f t="shared" si="124"/>
        <v>34.5</v>
      </c>
      <c r="I1120" s="113">
        <v>15.5</v>
      </c>
      <c r="J1120" s="113">
        <v>72.63</v>
      </c>
      <c r="K1120" s="113">
        <v>-50.7</v>
      </c>
      <c r="L1120" s="183"/>
      <c r="M1120" s="16">
        <v>1117</v>
      </c>
      <c r="N1120" s="16">
        <f t="shared" si="126"/>
        <v>2.2841188743510724E-2</v>
      </c>
      <c r="O1120" s="16">
        <v>4</v>
      </c>
      <c r="P1120" s="16">
        <f t="shared" si="122"/>
        <v>9.1833785004516724</v>
      </c>
      <c r="Q1120" s="16">
        <f t="shared" si="127"/>
        <v>43.780558500227102</v>
      </c>
      <c r="R1120" s="113">
        <f t="shared" si="123"/>
        <v>329.49099999999999</v>
      </c>
      <c r="S1120" s="16">
        <f>IF(S1119=15800,15800,ROUND((((Q1120*60)/'Gearing Calculator'!$C$14)*'Track Data'!P1120),-2))</f>
        <v>12200</v>
      </c>
      <c r="T1120" s="16">
        <f t="shared" si="125"/>
        <v>4.8209066787706405</v>
      </c>
      <c r="U1120" s="16">
        <f>IF(AC1120=100,Braking!$AG$2354,IF(AC1120=50,Braking!$AG$1179,IF(AC1120=75,Braking!$AG$1767,0)))</f>
        <v>0</v>
      </c>
      <c r="V1120" s="16">
        <f>0.5*'Gearing Calculator'!$C$15*'Gearing Calculator'!$C$20*'Gearing Calculator'!$W$20*('Track Data'!Q1120^2)</f>
        <v>202.8674761063169</v>
      </c>
      <c r="W1120" s="16">
        <f>('Gearing Calculator'!$U$9*'Track Data'!T1120)+'Track Data'!V1120</f>
        <v>1486.1928339950614</v>
      </c>
      <c r="X1120" s="16">
        <f>('Gearing Calculator'!$U$9*9.81)*('Gearing Calculator'!$U$16/'Gearing Calculator'!$C$7)-(('Track Data'!W1120)*('Gearing Calculator'!$U$17/'Gearing Calculator'!$C$7))</f>
        <v>591.0857078158931</v>
      </c>
      <c r="Y1120" s="16">
        <f>('Gearing Calculator'!$U$9*9.81)*(('Gearing Calculator'!$C$7-'Gearing Calculator'!$U$16)/'Gearing Calculator'!$C$7)+(('Track Data'!W1120)*('Gearing Calculator'!$U$17/'Gearing Calculator'!$C$7))</f>
        <v>2020.3362921841069</v>
      </c>
      <c r="Z1120" s="16">
        <f>((X1120*COS('Gearing Calculator'!$C$21))/'Gearing Calculator'!$C$22)/2</f>
        <v>18.274500640847798</v>
      </c>
      <c r="AA1120" s="16">
        <f>Y1120/'Gearing Calculator'!$C$24</f>
        <v>28.210670940130971</v>
      </c>
      <c r="AB1120" s="16">
        <f t="shared" si="121"/>
        <v>222.15110282139946</v>
      </c>
      <c r="AC1120" s="16">
        <v>0</v>
      </c>
      <c r="AD1120" s="16">
        <v>-45.249166535644598</v>
      </c>
      <c r="AE1120" s="16">
        <v>1117</v>
      </c>
      <c r="AF1120" s="16">
        <f>IF(AC1120=0,IF(O1120=6,INDEX(Acceleration!$V$4:$V$110,MATCH('Track Data'!S1120,Acceleration!$K$4:$K$110,0)),IF('Track Data'!O1120=5,INDEX(Acceleration!$U$4:$U$110,MATCH('Track Data'!S1120,Acceleration!$K$4:$K$110,0)),1)),U1120)</f>
        <v>1</v>
      </c>
      <c r="AG1120" s="16">
        <f>IF(AC1120=0,IF(O1120=4,INDEX(Acceleration!$T$4:$T$110,MATCH('Track Data'!S1120,Acceleration!$K$4:$K$110,0)),IF('Track Data'!O1120=3,INDEX(Acceleration!$S$4:$S$110,MATCH('Track Data'!S1120,Acceleration!$K$4:$K$110,0)),'Track Data'!AF1120)),'Track Data'!U1120)</f>
        <v>4.8209066787706405</v>
      </c>
      <c r="AH1120" s="16">
        <f>IF(AC1120=0,IF(O1120=2,INDEX(Acceleration!$R$4:$R$110,MATCH('Track Data'!S1120,Acceleration!$K$4:$K$110,0)),IF('Track Data'!O1120=1,INDEX(Acceleration!$Q$4:$Q$110,MATCH('Track Data'!S1120,Acceleration!$K$4:$K$110,0)),'Track Data'!AG1120)),'Track Data'!U1120)</f>
        <v>4.8209066787706405</v>
      </c>
    </row>
    <row r="1121" spans="2:34" x14ac:dyDescent="0.25">
      <c r="B1121" s="16">
        <v>227.12100000000001</v>
      </c>
      <c r="C1121" s="16">
        <v>8391</v>
      </c>
      <c r="D1121" s="16">
        <v>1118</v>
      </c>
      <c r="E1121" s="113">
        <v>136</v>
      </c>
      <c r="F1121" s="113">
        <v>135.9</v>
      </c>
      <c r="G1121" s="113">
        <v>123.8</v>
      </c>
      <c r="H1121" s="113">
        <f t="shared" si="124"/>
        <v>34.388888888888886</v>
      </c>
      <c r="I1121" s="113">
        <v>14.9</v>
      </c>
      <c r="J1121" s="113">
        <v>70.7</v>
      </c>
      <c r="K1121" s="113">
        <v>-48.6</v>
      </c>
      <c r="L1121" s="183"/>
      <c r="M1121" s="16">
        <v>1118</v>
      </c>
      <c r="N1121" s="16">
        <f t="shared" si="126"/>
        <v>2.2841188743510724E-2</v>
      </c>
      <c r="O1121" s="16">
        <v>4</v>
      </c>
      <c r="P1121" s="16">
        <f t="shared" si="122"/>
        <v>9.1833785004516724</v>
      </c>
      <c r="Q1121" s="16">
        <f t="shared" si="127"/>
        <v>43.780558500227102</v>
      </c>
      <c r="R1121" s="113">
        <f t="shared" si="123"/>
        <v>329.49099999999999</v>
      </c>
      <c r="S1121" s="16">
        <f>IF(S1120=15800,15800,ROUND((((Q1121*60)/'Gearing Calculator'!$C$14)*'Track Data'!P1121),-2))</f>
        <v>12200</v>
      </c>
      <c r="T1121" s="16">
        <f t="shared" si="125"/>
        <v>4.8209066787706405</v>
      </c>
      <c r="U1121" s="16">
        <f>IF(AC1121=100,Braking!$AG$2354,IF(AC1121=50,Braking!$AG$1179,IF(AC1121=75,Braking!$AG$1767,0)))</f>
        <v>0</v>
      </c>
      <c r="V1121" s="16">
        <f>0.5*'Gearing Calculator'!$C$15*'Gearing Calculator'!$C$20*'Gearing Calculator'!$W$20*('Track Data'!Q1121^2)</f>
        <v>202.8674761063169</v>
      </c>
      <c r="W1121" s="16">
        <f>('Gearing Calculator'!$U$9*'Track Data'!T1121)+'Track Data'!V1121</f>
        <v>1486.1928339950614</v>
      </c>
      <c r="X1121" s="16">
        <f>('Gearing Calculator'!$U$9*9.81)*('Gearing Calculator'!$U$16/'Gearing Calculator'!$C$7)-(('Track Data'!W1121)*('Gearing Calculator'!$U$17/'Gearing Calculator'!$C$7))</f>
        <v>591.0857078158931</v>
      </c>
      <c r="Y1121" s="16">
        <f>('Gearing Calculator'!$U$9*9.81)*(('Gearing Calculator'!$C$7-'Gearing Calculator'!$U$16)/'Gearing Calculator'!$C$7)+(('Track Data'!W1121)*('Gearing Calculator'!$U$17/'Gearing Calculator'!$C$7))</f>
        <v>2020.3362921841069</v>
      </c>
      <c r="Z1121" s="16">
        <f>((X1121*COS('Gearing Calculator'!$C$21))/'Gearing Calculator'!$C$22)/2</f>
        <v>18.274500640847798</v>
      </c>
      <c r="AA1121" s="16">
        <f>Y1121/'Gearing Calculator'!$C$24</f>
        <v>28.210670940130971</v>
      </c>
      <c r="AB1121" s="16">
        <f t="shared" si="121"/>
        <v>222.15110282139946</v>
      </c>
      <c r="AC1121" s="16">
        <v>0</v>
      </c>
      <c r="AD1121" s="16">
        <v>-45.249166535644598</v>
      </c>
      <c r="AE1121" s="16">
        <v>1118</v>
      </c>
      <c r="AF1121" s="16">
        <f>IF(AC1121=0,IF(O1121=6,INDEX(Acceleration!$V$4:$V$110,MATCH('Track Data'!S1121,Acceleration!$K$4:$K$110,0)),IF('Track Data'!O1121=5,INDEX(Acceleration!$U$4:$U$110,MATCH('Track Data'!S1121,Acceleration!$K$4:$K$110,0)),1)),U1121)</f>
        <v>1</v>
      </c>
      <c r="AG1121" s="16">
        <f>IF(AC1121=0,IF(O1121=4,INDEX(Acceleration!$T$4:$T$110,MATCH('Track Data'!S1121,Acceleration!$K$4:$K$110,0)),IF('Track Data'!O1121=3,INDEX(Acceleration!$S$4:$S$110,MATCH('Track Data'!S1121,Acceleration!$K$4:$K$110,0)),'Track Data'!AF1121)),'Track Data'!U1121)</f>
        <v>4.8209066787706405</v>
      </c>
      <c r="AH1121" s="16">
        <f>IF(AC1121=0,IF(O1121=2,INDEX(Acceleration!$R$4:$R$110,MATCH('Track Data'!S1121,Acceleration!$K$4:$K$110,0)),IF('Track Data'!O1121=1,INDEX(Acceleration!$Q$4:$Q$110,MATCH('Track Data'!S1121,Acceleration!$K$4:$K$110,0)),'Track Data'!AG1121)),'Track Data'!U1121)</f>
        <v>4.8209066787706405</v>
      </c>
    </row>
    <row r="1122" spans="2:34" x14ac:dyDescent="0.25">
      <c r="B1122" s="16">
        <v>227.14699999999999</v>
      </c>
      <c r="C1122" s="16">
        <v>8392</v>
      </c>
      <c r="D1122" s="16">
        <v>1119</v>
      </c>
      <c r="E1122" s="113">
        <v>136</v>
      </c>
      <c r="F1122" s="113">
        <v>135.69999999999999</v>
      </c>
      <c r="G1122" s="113">
        <v>123.6</v>
      </c>
      <c r="H1122" s="113">
        <f t="shared" si="124"/>
        <v>34.333333333333329</v>
      </c>
      <c r="I1122" s="113">
        <v>14</v>
      </c>
      <c r="J1122" s="113">
        <v>68.02</v>
      </c>
      <c r="K1122" s="113">
        <v>-42.1</v>
      </c>
      <c r="L1122" s="183"/>
      <c r="M1122" s="16">
        <v>1119</v>
      </c>
      <c r="N1122" s="16">
        <f t="shared" si="126"/>
        <v>2.2841188743510724E-2</v>
      </c>
      <c r="O1122" s="16">
        <v>4</v>
      </c>
      <c r="P1122" s="16">
        <f t="shared" si="122"/>
        <v>9.1833785004516724</v>
      </c>
      <c r="Q1122" s="16">
        <f t="shared" si="127"/>
        <v>43.780558500227102</v>
      </c>
      <c r="R1122" s="113">
        <f t="shared" si="123"/>
        <v>329.49099999999999</v>
      </c>
      <c r="S1122" s="16">
        <f>IF(S1121=15800,15800,ROUND((((Q1122*60)/'Gearing Calculator'!$C$14)*'Track Data'!P1122),-2))</f>
        <v>12200</v>
      </c>
      <c r="T1122" s="16">
        <f t="shared" si="125"/>
        <v>4.8209066787706405</v>
      </c>
      <c r="U1122" s="16">
        <f>IF(AC1122=100,Braking!$AG$2354,IF(AC1122=50,Braking!$AG$1179,IF(AC1122=75,Braking!$AG$1767,0)))</f>
        <v>0</v>
      </c>
      <c r="V1122" s="16">
        <f>0.5*'Gearing Calculator'!$C$15*'Gearing Calculator'!$C$20*'Gearing Calculator'!$W$20*('Track Data'!Q1122^2)</f>
        <v>202.8674761063169</v>
      </c>
      <c r="W1122" s="16">
        <f>('Gearing Calculator'!$U$9*'Track Data'!T1122)+'Track Data'!V1122</f>
        <v>1486.1928339950614</v>
      </c>
      <c r="X1122" s="16">
        <f>('Gearing Calculator'!$U$9*9.81)*('Gearing Calculator'!$U$16/'Gearing Calculator'!$C$7)-(('Track Data'!W1122)*('Gearing Calculator'!$U$17/'Gearing Calculator'!$C$7))</f>
        <v>591.0857078158931</v>
      </c>
      <c r="Y1122" s="16">
        <f>('Gearing Calculator'!$U$9*9.81)*(('Gearing Calculator'!$C$7-'Gearing Calculator'!$U$16)/'Gearing Calculator'!$C$7)+(('Track Data'!W1122)*('Gearing Calculator'!$U$17/'Gearing Calculator'!$C$7))</f>
        <v>2020.3362921841069</v>
      </c>
      <c r="Z1122" s="16">
        <f>((X1122*COS('Gearing Calculator'!$C$21))/'Gearing Calculator'!$C$22)/2</f>
        <v>18.274500640847798</v>
      </c>
      <c r="AA1122" s="16">
        <f>Y1122/'Gearing Calculator'!$C$24</f>
        <v>28.210670940130971</v>
      </c>
      <c r="AB1122" s="16">
        <f t="shared" si="121"/>
        <v>222.15110282139946</v>
      </c>
      <c r="AC1122" s="16">
        <v>0</v>
      </c>
      <c r="AD1122" s="16">
        <v>-45.249166535644598</v>
      </c>
      <c r="AE1122" s="16">
        <v>1119</v>
      </c>
      <c r="AF1122" s="16">
        <f>IF(AC1122=0,IF(O1122=6,INDEX(Acceleration!$V$4:$V$110,MATCH('Track Data'!S1122,Acceleration!$K$4:$K$110,0)),IF('Track Data'!O1122=5,INDEX(Acceleration!$U$4:$U$110,MATCH('Track Data'!S1122,Acceleration!$K$4:$K$110,0)),1)),U1122)</f>
        <v>1</v>
      </c>
      <c r="AG1122" s="16">
        <f>IF(AC1122=0,IF(O1122=4,INDEX(Acceleration!$T$4:$T$110,MATCH('Track Data'!S1122,Acceleration!$K$4:$K$110,0)),IF('Track Data'!O1122=3,INDEX(Acceleration!$S$4:$S$110,MATCH('Track Data'!S1122,Acceleration!$K$4:$K$110,0)),'Track Data'!AF1122)),'Track Data'!U1122)</f>
        <v>4.8209066787706405</v>
      </c>
      <c r="AH1122" s="16">
        <f>IF(AC1122=0,IF(O1122=2,INDEX(Acceleration!$R$4:$R$110,MATCH('Track Data'!S1122,Acceleration!$K$4:$K$110,0)),IF('Track Data'!O1122=1,INDEX(Acceleration!$Q$4:$Q$110,MATCH('Track Data'!S1122,Acceleration!$K$4:$K$110,0)),'Track Data'!AG1122)),'Track Data'!U1122)</f>
        <v>4.8209066787706405</v>
      </c>
    </row>
    <row r="1123" spans="2:34" x14ac:dyDescent="0.25">
      <c r="B1123" s="16">
        <v>227.173</v>
      </c>
      <c r="C1123" s="16">
        <v>8393</v>
      </c>
      <c r="D1123" s="16">
        <v>1120</v>
      </c>
      <c r="E1123" s="113">
        <v>136</v>
      </c>
      <c r="F1123" s="113">
        <v>135.30000000000001</v>
      </c>
      <c r="G1123" s="113">
        <v>123.2</v>
      </c>
      <c r="H1123" s="113">
        <f t="shared" si="124"/>
        <v>34.222222222222221</v>
      </c>
      <c r="I1123" s="113">
        <v>13.3</v>
      </c>
      <c r="J1123" s="113">
        <v>67.95</v>
      </c>
      <c r="K1123" s="113">
        <v>-32.4</v>
      </c>
      <c r="L1123" s="183"/>
      <c r="M1123" s="16">
        <v>1120</v>
      </c>
      <c r="N1123" s="16">
        <f t="shared" si="126"/>
        <v>2.2841188743510724E-2</v>
      </c>
      <c r="O1123" s="16">
        <v>4</v>
      </c>
      <c r="P1123" s="16">
        <f t="shared" si="122"/>
        <v>9.1833785004516724</v>
      </c>
      <c r="Q1123" s="16">
        <f t="shared" si="127"/>
        <v>43.780558500227102</v>
      </c>
      <c r="R1123" s="113">
        <f t="shared" si="123"/>
        <v>329.49099999999999</v>
      </c>
      <c r="S1123" s="16">
        <f>IF(S1122=15800,15800,ROUND((((Q1123*60)/'Gearing Calculator'!$C$14)*'Track Data'!P1123),-2))</f>
        <v>12200</v>
      </c>
      <c r="T1123" s="16">
        <f t="shared" si="125"/>
        <v>4.8209066787706405</v>
      </c>
      <c r="U1123" s="16">
        <f>IF(AC1123=100,Braking!$AG$2354,IF(AC1123=50,Braking!$AG$1179,IF(AC1123=75,Braking!$AG$1767,0)))</f>
        <v>0</v>
      </c>
      <c r="V1123" s="16">
        <f>0.5*'Gearing Calculator'!$C$15*'Gearing Calculator'!$C$20*'Gearing Calculator'!$W$20*('Track Data'!Q1123^2)</f>
        <v>202.8674761063169</v>
      </c>
      <c r="W1123" s="16">
        <f>('Gearing Calculator'!$U$9*'Track Data'!T1123)+'Track Data'!V1123</f>
        <v>1486.1928339950614</v>
      </c>
      <c r="X1123" s="16">
        <f>('Gearing Calculator'!$U$9*9.81)*('Gearing Calculator'!$U$16/'Gearing Calculator'!$C$7)-(('Track Data'!W1123)*('Gearing Calculator'!$U$17/'Gearing Calculator'!$C$7))</f>
        <v>591.0857078158931</v>
      </c>
      <c r="Y1123" s="16">
        <f>('Gearing Calculator'!$U$9*9.81)*(('Gearing Calculator'!$C$7-'Gearing Calculator'!$U$16)/'Gearing Calculator'!$C$7)+(('Track Data'!W1123)*('Gearing Calculator'!$U$17/'Gearing Calculator'!$C$7))</f>
        <v>2020.3362921841069</v>
      </c>
      <c r="Z1123" s="16">
        <f>((X1123*COS('Gearing Calculator'!$C$21))/'Gearing Calculator'!$C$22)/2</f>
        <v>18.274500640847798</v>
      </c>
      <c r="AA1123" s="16">
        <f>Y1123/'Gearing Calculator'!$C$24</f>
        <v>28.210670940130971</v>
      </c>
      <c r="AB1123" s="16">
        <f t="shared" si="121"/>
        <v>222.15110282139946</v>
      </c>
      <c r="AC1123" s="16">
        <v>0</v>
      </c>
      <c r="AD1123" s="16">
        <v>-45.249166535644598</v>
      </c>
      <c r="AE1123" s="16">
        <v>1120</v>
      </c>
      <c r="AF1123" s="16">
        <f>IF(AC1123=0,IF(O1123=6,INDEX(Acceleration!$V$4:$V$110,MATCH('Track Data'!S1123,Acceleration!$K$4:$K$110,0)),IF('Track Data'!O1123=5,INDEX(Acceleration!$U$4:$U$110,MATCH('Track Data'!S1123,Acceleration!$K$4:$K$110,0)),1)),U1123)</f>
        <v>1</v>
      </c>
      <c r="AG1123" s="16">
        <f>IF(AC1123=0,IF(O1123=4,INDEX(Acceleration!$T$4:$T$110,MATCH('Track Data'!S1123,Acceleration!$K$4:$K$110,0)),IF('Track Data'!O1123=3,INDEX(Acceleration!$S$4:$S$110,MATCH('Track Data'!S1123,Acceleration!$K$4:$K$110,0)),'Track Data'!AF1123)),'Track Data'!U1123)</f>
        <v>4.8209066787706405</v>
      </c>
      <c r="AH1123" s="16">
        <f>IF(AC1123=0,IF(O1123=2,INDEX(Acceleration!$R$4:$R$110,MATCH('Track Data'!S1123,Acceleration!$K$4:$K$110,0)),IF('Track Data'!O1123=1,INDEX(Acceleration!$Q$4:$Q$110,MATCH('Track Data'!S1123,Acceleration!$K$4:$K$110,0)),'Track Data'!AG1123)),'Track Data'!U1123)</f>
        <v>4.8209066787706405</v>
      </c>
    </row>
    <row r="1124" spans="2:34" x14ac:dyDescent="0.25">
      <c r="B1124" s="16">
        <v>227.2</v>
      </c>
      <c r="C1124" s="16">
        <v>8394</v>
      </c>
      <c r="D1124" s="16">
        <v>1121</v>
      </c>
      <c r="E1124" s="113">
        <v>135</v>
      </c>
      <c r="F1124" s="113">
        <v>134.69999999999999</v>
      </c>
      <c r="G1124" s="113">
        <v>122.9</v>
      </c>
      <c r="H1124" s="113">
        <f t="shared" si="124"/>
        <v>34.138888888888893</v>
      </c>
      <c r="I1124" s="113">
        <v>12.9</v>
      </c>
      <c r="J1124" s="113">
        <v>66.91</v>
      </c>
      <c r="K1124" s="113">
        <v>-25.5</v>
      </c>
      <c r="L1124" s="183"/>
      <c r="M1124" s="16">
        <v>1121</v>
      </c>
      <c r="N1124" s="16">
        <f t="shared" si="126"/>
        <v>2.2841188743510724E-2</v>
      </c>
      <c r="O1124" s="16">
        <v>4</v>
      </c>
      <c r="P1124" s="16">
        <f t="shared" si="122"/>
        <v>9.1833785004516724</v>
      </c>
      <c r="Q1124" s="16">
        <f t="shared" si="127"/>
        <v>43.780558500227102</v>
      </c>
      <c r="R1124" s="113">
        <f t="shared" si="123"/>
        <v>329.49099999999999</v>
      </c>
      <c r="S1124" s="16">
        <f>IF(S1123=15800,15800,ROUND((((Q1124*60)/'Gearing Calculator'!$C$14)*'Track Data'!P1124),-2))</f>
        <v>12200</v>
      </c>
      <c r="T1124" s="16">
        <f t="shared" si="125"/>
        <v>4.8209066787706405</v>
      </c>
      <c r="U1124" s="16">
        <f>IF(AC1124=100,Braking!$AG$2354,IF(AC1124=50,Braking!$AG$1179,IF(AC1124=75,Braking!$AG$1767,0)))</f>
        <v>0</v>
      </c>
      <c r="V1124" s="16">
        <f>0.5*'Gearing Calculator'!$C$15*'Gearing Calculator'!$C$20*'Gearing Calculator'!$W$20*('Track Data'!Q1124^2)</f>
        <v>202.8674761063169</v>
      </c>
      <c r="W1124" s="16">
        <f>('Gearing Calculator'!$U$9*'Track Data'!T1124)+'Track Data'!V1124</f>
        <v>1486.1928339950614</v>
      </c>
      <c r="X1124" s="16">
        <f>('Gearing Calculator'!$U$9*9.81)*('Gearing Calculator'!$U$16/'Gearing Calculator'!$C$7)-(('Track Data'!W1124)*('Gearing Calculator'!$U$17/'Gearing Calculator'!$C$7))</f>
        <v>591.0857078158931</v>
      </c>
      <c r="Y1124" s="16">
        <f>('Gearing Calculator'!$U$9*9.81)*(('Gearing Calculator'!$C$7-'Gearing Calculator'!$U$16)/'Gearing Calculator'!$C$7)+(('Track Data'!W1124)*('Gearing Calculator'!$U$17/'Gearing Calculator'!$C$7))</f>
        <v>2020.3362921841069</v>
      </c>
      <c r="Z1124" s="16">
        <f>((X1124*COS('Gearing Calculator'!$C$21))/'Gearing Calculator'!$C$22)/2</f>
        <v>18.274500640847798</v>
      </c>
      <c r="AA1124" s="16">
        <f>Y1124/'Gearing Calculator'!$C$24</f>
        <v>28.210670940130971</v>
      </c>
      <c r="AB1124" s="16">
        <f t="shared" si="121"/>
        <v>222.15110282139946</v>
      </c>
      <c r="AC1124" s="16">
        <v>0</v>
      </c>
      <c r="AD1124" s="16">
        <v>-45.249166535644598</v>
      </c>
      <c r="AE1124" s="16">
        <v>1121</v>
      </c>
      <c r="AF1124" s="16">
        <f>IF(AC1124=0,IF(O1124=6,INDEX(Acceleration!$V$4:$V$110,MATCH('Track Data'!S1124,Acceleration!$K$4:$K$110,0)),IF('Track Data'!O1124=5,INDEX(Acceleration!$U$4:$U$110,MATCH('Track Data'!S1124,Acceleration!$K$4:$K$110,0)),1)),U1124)</f>
        <v>1</v>
      </c>
      <c r="AG1124" s="16">
        <f>IF(AC1124=0,IF(O1124=4,INDEX(Acceleration!$T$4:$T$110,MATCH('Track Data'!S1124,Acceleration!$K$4:$K$110,0)),IF('Track Data'!O1124=3,INDEX(Acceleration!$S$4:$S$110,MATCH('Track Data'!S1124,Acceleration!$K$4:$K$110,0)),'Track Data'!AF1124)),'Track Data'!U1124)</f>
        <v>4.8209066787706405</v>
      </c>
      <c r="AH1124" s="16">
        <f>IF(AC1124=0,IF(O1124=2,INDEX(Acceleration!$R$4:$R$110,MATCH('Track Data'!S1124,Acceleration!$K$4:$K$110,0)),IF('Track Data'!O1124=1,INDEX(Acceleration!$Q$4:$Q$110,MATCH('Track Data'!S1124,Acceleration!$K$4:$K$110,0)),'Track Data'!AG1124)),'Track Data'!U1124)</f>
        <v>4.8209066787706405</v>
      </c>
    </row>
    <row r="1125" spans="2:34" x14ac:dyDescent="0.25">
      <c r="B1125" s="16">
        <v>227.226</v>
      </c>
      <c r="C1125" s="16">
        <v>8395</v>
      </c>
      <c r="D1125" s="16">
        <v>1122</v>
      </c>
      <c r="E1125" s="113">
        <v>135</v>
      </c>
      <c r="F1125" s="113">
        <v>134.5</v>
      </c>
      <c r="G1125" s="113">
        <v>122.7</v>
      </c>
      <c r="H1125" s="113">
        <f t="shared" si="124"/>
        <v>34.083333333333336</v>
      </c>
      <c r="I1125" s="113">
        <v>12.9</v>
      </c>
      <c r="J1125" s="113">
        <v>66.63</v>
      </c>
      <c r="K1125" s="113">
        <v>-34.5</v>
      </c>
      <c r="L1125" s="183"/>
      <c r="M1125" s="16">
        <v>1122</v>
      </c>
      <c r="N1125" s="16">
        <f t="shared" si="126"/>
        <v>2.2841188743510724E-2</v>
      </c>
      <c r="O1125" s="16">
        <v>4</v>
      </c>
      <c r="P1125" s="16">
        <f t="shared" si="122"/>
        <v>9.1833785004516724</v>
      </c>
      <c r="Q1125" s="16">
        <f t="shared" si="127"/>
        <v>43.780558500227102</v>
      </c>
      <c r="R1125" s="113">
        <f t="shared" si="123"/>
        <v>329.49099999999999</v>
      </c>
      <c r="S1125" s="16">
        <f>IF(S1124=15800,15800,ROUND((((Q1125*60)/'Gearing Calculator'!$C$14)*'Track Data'!P1125),-2))</f>
        <v>12200</v>
      </c>
      <c r="T1125" s="16">
        <f t="shared" si="125"/>
        <v>4.8209066787706405</v>
      </c>
      <c r="U1125" s="16">
        <f>IF(AC1125=100,Braking!$AG$2354,IF(AC1125=50,Braking!$AG$1179,IF(AC1125=75,Braking!$AG$1767,0)))</f>
        <v>0</v>
      </c>
      <c r="V1125" s="16">
        <f>0.5*'Gearing Calculator'!$C$15*'Gearing Calculator'!$C$20*'Gearing Calculator'!$W$20*('Track Data'!Q1125^2)</f>
        <v>202.8674761063169</v>
      </c>
      <c r="W1125" s="16">
        <f>('Gearing Calculator'!$U$9*'Track Data'!T1125)+'Track Data'!V1125</f>
        <v>1486.1928339950614</v>
      </c>
      <c r="X1125" s="16">
        <f>('Gearing Calculator'!$U$9*9.81)*('Gearing Calculator'!$U$16/'Gearing Calculator'!$C$7)-(('Track Data'!W1125)*('Gearing Calculator'!$U$17/'Gearing Calculator'!$C$7))</f>
        <v>591.0857078158931</v>
      </c>
      <c r="Y1125" s="16">
        <f>('Gearing Calculator'!$U$9*9.81)*(('Gearing Calculator'!$C$7-'Gearing Calculator'!$U$16)/'Gearing Calculator'!$C$7)+(('Track Data'!W1125)*('Gearing Calculator'!$U$17/'Gearing Calculator'!$C$7))</f>
        <v>2020.3362921841069</v>
      </c>
      <c r="Z1125" s="16">
        <f>((X1125*COS('Gearing Calculator'!$C$21))/'Gearing Calculator'!$C$22)/2</f>
        <v>18.274500640847798</v>
      </c>
      <c r="AA1125" s="16">
        <f>Y1125/'Gearing Calculator'!$C$24</f>
        <v>28.210670940130971</v>
      </c>
      <c r="AB1125" s="16">
        <f t="shared" si="121"/>
        <v>222.15110282139946</v>
      </c>
      <c r="AC1125" s="16">
        <v>0</v>
      </c>
      <c r="AD1125" s="16">
        <v>-45.249166535644598</v>
      </c>
      <c r="AE1125" s="16">
        <v>1122</v>
      </c>
      <c r="AF1125" s="16">
        <f>IF(AC1125=0,IF(O1125=6,INDEX(Acceleration!$V$4:$V$110,MATCH('Track Data'!S1125,Acceleration!$K$4:$K$110,0)),IF('Track Data'!O1125=5,INDEX(Acceleration!$U$4:$U$110,MATCH('Track Data'!S1125,Acceleration!$K$4:$K$110,0)),1)),U1125)</f>
        <v>1</v>
      </c>
      <c r="AG1125" s="16">
        <f>IF(AC1125=0,IF(O1125=4,INDEX(Acceleration!$T$4:$T$110,MATCH('Track Data'!S1125,Acceleration!$K$4:$K$110,0)),IF('Track Data'!O1125=3,INDEX(Acceleration!$S$4:$S$110,MATCH('Track Data'!S1125,Acceleration!$K$4:$K$110,0)),'Track Data'!AF1125)),'Track Data'!U1125)</f>
        <v>4.8209066787706405</v>
      </c>
      <c r="AH1125" s="16">
        <f>IF(AC1125=0,IF(O1125=2,INDEX(Acceleration!$R$4:$R$110,MATCH('Track Data'!S1125,Acceleration!$K$4:$K$110,0)),IF('Track Data'!O1125=1,INDEX(Acceleration!$Q$4:$Q$110,MATCH('Track Data'!S1125,Acceleration!$K$4:$K$110,0)),'Track Data'!AG1125)),'Track Data'!U1125)</f>
        <v>4.8209066787706405</v>
      </c>
    </row>
    <row r="1126" spans="2:34" x14ac:dyDescent="0.25">
      <c r="B1126" s="16">
        <v>227.25299999999999</v>
      </c>
      <c r="C1126" s="16">
        <v>8396</v>
      </c>
      <c r="D1126" s="16">
        <v>1123</v>
      </c>
      <c r="E1126" s="113">
        <v>135</v>
      </c>
      <c r="F1126" s="113">
        <v>134.19999999999999</v>
      </c>
      <c r="G1126" s="113">
        <v>122.3</v>
      </c>
      <c r="H1126" s="113">
        <f t="shared" si="124"/>
        <v>33.972222222222221</v>
      </c>
      <c r="I1126" s="113">
        <v>12.9</v>
      </c>
      <c r="J1126" s="113">
        <v>67.010000000000005</v>
      </c>
      <c r="K1126" s="113">
        <v>-47.8</v>
      </c>
      <c r="L1126" s="183"/>
      <c r="M1126" s="16">
        <v>1123</v>
      </c>
      <c r="N1126" s="16">
        <f t="shared" si="126"/>
        <v>2.2841188743510724E-2</v>
      </c>
      <c r="O1126" s="16">
        <v>4</v>
      </c>
      <c r="P1126" s="16">
        <f t="shared" si="122"/>
        <v>9.1833785004516724</v>
      </c>
      <c r="Q1126" s="16">
        <f t="shared" si="127"/>
        <v>43.780558500227102</v>
      </c>
      <c r="R1126" s="113">
        <f t="shared" si="123"/>
        <v>329.49099999999999</v>
      </c>
      <c r="S1126" s="16">
        <f>IF(S1125=15800,15800,ROUND((((Q1126*60)/'Gearing Calculator'!$C$14)*'Track Data'!P1126),-2))</f>
        <v>12200</v>
      </c>
      <c r="T1126" s="16">
        <f t="shared" si="125"/>
        <v>4.8209066787706405</v>
      </c>
      <c r="U1126" s="16">
        <f>IF(AC1126=100,Braking!$AG$2354,IF(AC1126=50,Braking!$AG$1179,IF(AC1126=75,Braking!$AG$1767,0)))</f>
        <v>0</v>
      </c>
      <c r="V1126" s="16">
        <f>0.5*'Gearing Calculator'!$C$15*'Gearing Calculator'!$C$20*'Gearing Calculator'!$W$20*('Track Data'!Q1126^2)</f>
        <v>202.8674761063169</v>
      </c>
      <c r="W1126" s="16">
        <f>('Gearing Calculator'!$U$9*'Track Data'!T1126)+'Track Data'!V1126</f>
        <v>1486.1928339950614</v>
      </c>
      <c r="X1126" s="16">
        <f>('Gearing Calculator'!$U$9*9.81)*('Gearing Calculator'!$U$16/'Gearing Calculator'!$C$7)-(('Track Data'!W1126)*('Gearing Calculator'!$U$17/'Gearing Calculator'!$C$7))</f>
        <v>591.0857078158931</v>
      </c>
      <c r="Y1126" s="16">
        <f>('Gearing Calculator'!$U$9*9.81)*(('Gearing Calculator'!$C$7-'Gearing Calculator'!$U$16)/'Gearing Calculator'!$C$7)+(('Track Data'!W1126)*('Gearing Calculator'!$U$17/'Gearing Calculator'!$C$7))</f>
        <v>2020.3362921841069</v>
      </c>
      <c r="Z1126" s="16">
        <f>((X1126*COS('Gearing Calculator'!$C$21))/'Gearing Calculator'!$C$22)/2</f>
        <v>18.274500640847798</v>
      </c>
      <c r="AA1126" s="16">
        <f>Y1126/'Gearing Calculator'!$C$24</f>
        <v>28.210670940130971</v>
      </c>
      <c r="AB1126" s="16">
        <f t="shared" si="121"/>
        <v>222.15110282139946</v>
      </c>
      <c r="AC1126" s="16">
        <v>0</v>
      </c>
      <c r="AD1126" s="16">
        <v>-45.249166535644598</v>
      </c>
      <c r="AE1126" s="16">
        <v>1123</v>
      </c>
      <c r="AF1126" s="16">
        <f>IF(AC1126=0,IF(O1126=6,INDEX(Acceleration!$V$4:$V$110,MATCH('Track Data'!S1126,Acceleration!$K$4:$K$110,0)),IF('Track Data'!O1126=5,INDEX(Acceleration!$U$4:$U$110,MATCH('Track Data'!S1126,Acceleration!$K$4:$K$110,0)),1)),U1126)</f>
        <v>1</v>
      </c>
      <c r="AG1126" s="16">
        <f>IF(AC1126=0,IF(O1126=4,INDEX(Acceleration!$T$4:$T$110,MATCH('Track Data'!S1126,Acceleration!$K$4:$K$110,0)),IF('Track Data'!O1126=3,INDEX(Acceleration!$S$4:$S$110,MATCH('Track Data'!S1126,Acceleration!$K$4:$K$110,0)),'Track Data'!AF1126)),'Track Data'!U1126)</f>
        <v>4.8209066787706405</v>
      </c>
      <c r="AH1126" s="16">
        <f>IF(AC1126=0,IF(O1126=2,INDEX(Acceleration!$R$4:$R$110,MATCH('Track Data'!S1126,Acceleration!$K$4:$K$110,0)),IF('Track Data'!O1126=1,INDEX(Acceleration!$Q$4:$Q$110,MATCH('Track Data'!S1126,Acceleration!$K$4:$K$110,0)),'Track Data'!AG1126)),'Track Data'!U1126)</f>
        <v>4.8209066787706405</v>
      </c>
    </row>
    <row r="1127" spans="2:34" x14ac:dyDescent="0.25">
      <c r="B1127" s="16">
        <v>227.28</v>
      </c>
      <c r="C1127" s="16">
        <v>8397</v>
      </c>
      <c r="D1127" s="16">
        <v>1124</v>
      </c>
      <c r="E1127" s="113">
        <v>134</v>
      </c>
      <c r="F1127" s="113">
        <v>133.80000000000001</v>
      </c>
      <c r="G1127" s="113">
        <v>121.9</v>
      </c>
      <c r="H1127" s="113">
        <f t="shared" si="124"/>
        <v>33.861111111111114</v>
      </c>
      <c r="I1127" s="113">
        <v>12.6</v>
      </c>
      <c r="J1127" s="113">
        <v>66.150000000000006</v>
      </c>
      <c r="K1127" s="113">
        <v>-59.5</v>
      </c>
      <c r="L1127" s="183"/>
      <c r="M1127" s="16">
        <v>1124</v>
      </c>
      <c r="N1127" s="16">
        <f t="shared" si="126"/>
        <v>2.2841188743510724E-2</v>
      </c>
      <c r="O1127" s="16">
        <v>4</v>
      </c>
      <c r="P1127" s="16">
        <f t="shared" si="122"/>
        <v>9.1833785004516724</v>
      </c>
      <c r="Q1127" s="16">
        <f t="shared" si="127"/>
        <v>43.780558500227102</v>
      </c>
      <c r="R1127" s="113">
        <f t="shared" si="123"/>
        <v>329.49099999999999</v>
      </c>
      <c r="S1127" s="16">
        <f>IF(S1126=15800,15800,ROUND((((Q1127*60)/'Gearing Calculator'!$C$14)*'Track Data'!P1127),-2))</f>
        <v>12200</v>
      </c>
      <c r="T1127" s="16">
        <f t="shared" si="125"/>
        <v>4.8209066787706405</v>
      </c>
      <c r="U1127" s="16">
        <f>IF(AC1127=100,Braking!$AG$2354,IF(AC1127=50,Braking!$AG$1179,IF(AC1127=75,Braking!$AG$1767,0)))</f>
        <v>0</v>
      </c>
      <c r="V1127" s="16">
        <f>0.5*'Gearing Calculator'!$C$15*'Gearing Calculator'!$C$20*'Gearing Calculator'!$W$20*('Track Data'!Q1127^2)</f>
        <v>202.8674761063169</v>
      </c>
      <c r="W1127" s="16">
        <f>('Gearing Calculator'!$U$9*'Track Data'!T1127)+'Track Data'!V1127</f>
        <v>1486.1928339950614</v>
      </c>
      <c r="X1127" s="16">
        <f>('Gearing Calculator'!$U$9*9.81)*('Gearing Calculator'!$U$16/'Gearing Calculator'!$C$7)-(('Track Data'!W1127)*('Gearing Calculator'!$U$17/'Gearing Calculator'!$C$7))</f>
        <v>591.0857078158931</v>
      </c>
      <c r="Y1127" s="16">
        <f>('Gearing Calculator'!$U$9*9.81)*(('Gearing Calculator'!$C$7-'Gearing Calculator'!$U$16)/'Gearing Calculator'!$C$7)+(('Track Data'!W1127)*('Gearing Calculator'!$U$17/'Gearing Calculator'!$C$7))</f>
        <v>2020.3362921841069</v>
      </c>
      <c r="Z1127" s="16">
        <f>((X1127*COS('Gearing Calculator'!$C$21))/'Gearing Calculator'!$C$22)/2</f>
        <v>18.274500640847798</v>
      </c>
      <c r="AA1127" s="16">
        <f>Y1127/'Gearing Calculator'!$C$24</f>
        <v>28.210670940130971</v>
      </c>
      <c r="AB1127" s="16">
        <f t="shared" si="121"/>
        <v>222.15110282139946</v>
      </c>
      <c r="AC1127" s="16">
        <v>0</v>
      </c>
      <c r="AD1127" s="16">
        <v>-45.249166535644598</v>
      </c>
      <c r="AE1127" s="16">
        <v>1124</v>
      </c>
      <c r="AF1127" s="16">
        <f>IF(AC1127=0,IF(O1127=6,INDEX(Acceleration!$V$4:$V$110,MATCH('Track Data'!S1127,Acceleration!$K$4:$K$110,0)),IF('Track Data'!O1127=5,INDEX(Acceleration!$U$4:$U$110,MATCH('Track Data'!S1127,Acceleration!$K$4:$K$110,0)),1)),U1127)</f>
        <v>1</v>
      </c>
      <c r="AG1127" s="16">
        <f>IF(AC1127=0,IF(O1127=4,INDEX(Acceleration!$T$4:$T$110,MATCH('Track Data'!S1127,Acceleration!$K$4:$K$110,0)),IF('Track Data'!O1127=3,INDEX(Acceleration!$S$4:$S$110,MATCH('Track Data'!S1127,Acceleration!$K$4:$K$110,0)),'Track Data'!AF1127)),'Track Data'!U1127)</f>
        <v>4.8209066787706405</v>
      </c>
      <c r="AH1127" s="16">
        <f>IF(AC1127=0,IF(O1127=2,INDEX(Acceleration!$R$4:$R$110,MATCH('Track Data'!S1127,Acceleration!$K$4:$K$110,0)),IF('Track Data'!O1127=1,INDEX(Acceleration!$Q$4:$Q$110,MATCH('Track Data'!S1127,Acceleration!$K$4:$K$110,0)),'Track Data'!AG1127)),'Track Data'!U1127)</f>
        <v>4.8209066787706405</v>
      </c>
    </row>
    <row r="1128" spans="2:34" x14ac:dyDescent="0.25">
      <c r="B1128" s="16">
        <v>227.30699999999999</v>
      </c>
      <c r="C1128" s="16">
        <v>8398</v>
      </c>
      <c r="D1128" s="16">
        <v>1125</v>
      </c>
      <c r="E1128" s="113">
        <v>134</v>
      </c>
      <c r="F1128" s="113">
        <v>133.6</v>
      </c>
      <c r="G1128" s="113">
        <v>121.6</v>
      </c>
      <c r="H1128" s="113">
        <f t="shared" si="124"/>
        <v>33.777777777777779</v>
      </c>
      <c r="I1128" s="113">
        <v>12.6</v>
      </c>
      <c r="J1128" s="113">
        <v>66.239999999999995</v>
      </c>
      <c r="K1128" s="113">
        <v>-59.2</v>
      </c>
      <c r="L1128" s="183"/>
      <c r="M1128" s="16">
        <v>1125</v>
      </c>
      <c r="N1128" s="16">
        <f t="shared" si="126"/>
        <v>2.2841188743510724E-2</v>
      </c>
      <c r="O1128" s="16">
        <v>4</v>
      </c>
      <c r="P1128" s="16">
        <f t="shared" si="122"/>
        <v>9.1833785004516724</v>
      </c>
      <c r="Q1128" s="16">
        <f t="shared" si="127"/>
        <v>43.780558500227102</v>
      </c>
      <c r="R1128" s="113">
        <f t="shared" si="123"/>
        <v>329.49099999999999</v>
      </c>
      <c r="S1128" s="16">
        <f>IF(S1127=15800,15800,ROUND((((Q1128*60)/'Gearing Calculator'!$C$14)*'Track Data'!P1128),-2))</f>
        <v>12200</v>
      </c>
      <c r="T1128" s="16">
        <f t="shared" si="125"/>
        <v>4.8209066787706405</v>
      </c>
      <c r="U1128" s="16">
        <f>IF(AC1128=100,Braking!$AG$2354,IF(AC1128=50,Braking!$AG$1179,IF(AC1128=75,Braking!$AG$1767,0)))</f>
        <v>0</v>
      </c>
      <c r="V1128" s="16">
        <f>0.5*'Gearing Calculator'!$C$15*'Gearing Calculator'!$C$20*'Gearing Calculator'!$W$20*('Track Data'!Q1128^2)</f>
        <v>202.8674761063169</v>
      </c>
      <c r="W1128" s="16">
        <f>('Gearing Calculator'!$U$9*'Track Data'!T1128)+'Track Data'!V1128</f>
        <v>1486.1928339950614</v>
      </c>
      <c r="X1128" s="16">
        <f>('Gearing Calculator'!$U$9*9.81)*('Gearing Calculator'!$U$16/'Gearing Calculator'!$C$7)-(('Track Data'!W1128)*('Gearing Calculator'!$U$17/'Gearing Calculator'!$C$7))</f>
        <v>591.0857078158931</v>
      </c>
      <c r="Y1128" s="16">
        <f>('Gearing Calculator'!$U$9*9.81)*(('Gearing Calculator'!$C$7-'Gearing Calculator'!$U$16)/'Gearing Calculator'!$C$7)+(('Track Data'!W1128)*('Gearing Calculator'!$U$17/'Gearing Calculator'!$C$7))</f>
        <v>2020.3362921841069</v>
      </c>
      <c r="Z1128" s="16">
        <f>((X1128*COS('Gearing Calculator'!$C$21))/'Gearing Calculator'!$C$22)/2</f>
        <v>18.274500640847798</v>
      </c>
      <c r="AA1128" s="16">
        <f>Y1128/'Gearing Calculator'!$C$24</f>
        <v>28.210670940130971</v>
      </c>
      <c r="AB1128" s="16">
        <f t="shared" si="121"/>
        <v>222.15110282139946</v>
      </c>
      <c r="AC1128" s="16">
        <v>0</v>
      </c>
      <c r="AD1128" s="16">
        <v>-45.249166535644598</v>
      </c>
      <c r="AE1128" s="16">
        <v>1125</v>
      </c>
      <c r="AF1128" s="16">
        <f>IF(AC1128=0,IF(O1128=6,INDEX(Acceleration!$V$4:$V$110,MATCH('Track Data'!S1128,Acceleration!$K$4:$K$110,0)),IF('Track Data'!O1128=5,INDEX(Acceleration!$U$4:$U$110,MATCH('Track Data'!S1128,Acceleration!$K$4:$K$110,0)),1)),U1128)</f>
        <v>1</v>
      </c>
      <c r="AG1128" s="16">
        <f>IF(AC1128=0,IF(O1128=4,INDEX(Acceleration!$T$4:$T$110,MATCH('Track Data'!S1128,Acceleration!$K$4:$K$110,0)),IF('Track Data'!O1128=3,INDEX(Acceleration!$S$4:$S$110,MATCH('Track Data'!S1128,Acceleration!$K$4:$K$110,0)),'Track Data'!AF1128)),'Track Data'!U1128)</f>
        <v>4.8209066787706405</v>
      </c>
      <c r="AH1128" s="16">
        <f>IF(AC1128=0,IF(O1128=2,INDEX(Acceleration!$R$4:$R$110,MATCH('Track Data'!S1128,Acceleration!$K$4:$K$110,0)),IF('Track Data'!O1128=1,INDEX(Acceleration!$Q$4:$Q$110,MATCH('Track Data'!S1128,Acceleration!$K$4:$K$110,0)),'Track Data'!AG1128)),'Track Data'!U1128)</f>
        <v>4.8209066787706405</v>
      </c>
    </row>
    <row r="1129" spans="2:34" x14ac:dyDescent="0.25">
      <c r="B1129" s="16">
        <v>227.333</v>
      </c>
      <c r="C1129" s="16">
        <v>8399</v>
      </c>
      <c r="D1129" s="16">
        <v>1126</v>
      </c>
      <c r="E1129" s="113">
        <v>134</v>
      </c>
      <c r="F1129" s="113">
        <v>133.30000000000001</v>
      </c>
      <c r="G1129" s="113">
        <v>121.3</v>
      </c>
      <c r="H1129" s="113">
        <f t="shared" si="124"/>
        <v>33.694444444444443</v>
      </c>
      <c r="I1129" s="113">
        <v>12.7</v>
      </c>
      <c r="J1129" s="113">
        <v>68.239999999999995</v>
      </c>
      <c r="K1129" s="113">
        <v>-58.9</v>
      </c>
      <c r="L1129" s="183"/>
      <c r="M1129" s="16">
        <v>1126</v>
      </c>
      <c r="N1129" s="16">
        <f t="shared" si="126"/>
        <v>2.2841188743510724E-2</v>
      </c>
      <c r="O1129" s="16">
        <v>4</v>
      </c>
      <c r="P1129" s="16">
        <f t="shared" si="122"/>
        <v>9.1833785004516724</v>
      </c>
      <c r="Q1129" s="16">
        <f t="shared" si="127"/>
        <v>43.780558500227102</v>
      </c>
      <c r="R1129" s="113">
        <f t="shared" si="123"/>
        <v>329.49099999999999</v>
      </c>
      <c r="S1129" s="16">
        <f>IF(S1128=15800,15800,ROUND((((Q1129*60)/'Gearing Calculator'!$C$14)*'Track Data'!P1129),-2))</f>
        <v>12200</v>
      </c>
      <c r="T1129" s="16">
        <f t="shared" si="125"/>
        <v>4.8209066787706405</v>
      </c>
      <c r="U1129" s="16">
        <f>IF(AC1129=100,Braking!$AG$2354,IF(AC1129=50,Braking!$AG$1179,IF(AC1129=75,Braking!$AG$1767,0)))</f>
        <v>0</v>
      </c>
      <c r="V1129" s="16">
        <f>0.5*'Gearing Calculator'!$C$15*'Gearing Calculator'!$C$20*'Gearing Calculator'!$W$20*('Track Data'!Q1129^2)</f>
        <v>202.8674761063169</v>
      </c>
      <c r="W1129" s="16">
        <f>('Gearing Calculator'!$U$9*'Track Data'!T1129)+'Track Data'!V1129</f>
        <v>1486.1928339950614</v>
      </c>
      <c r="X1129" s="16">
        <f>('Gearing Calculator'!$U$9*9.81)*('Gearing Calculator'!$U$16/'Gearing Calculator'!$C$7)-(('Track Data'!W1129)*('Gearing Calculator'!$U$17/'Gearing Calculator'!$C$7))</f>
        <v>591.0857078158931</v>
      </c>
      <c r="Y1129" s="16">
        <f>('Gearing Calculator'!$U$9*9.81)*(('Gearing Calculator'!$C$7-'Gearing Calculator'!$U$16)/'Gearing Calculator'!$C$7)+(('Track Data'!W1129)*('Gearing Calculator'!$U$17/'Gearing Calculator'!$C$7))</f>
        <v>2020.3362921841069</v>
      </c>
      <c r="Z1129" s="16">
        <f>((X1129*COS('Gearing Calculator'!$C$21))/'Gearing Calculator'!$C$22)/2</f>
        <v>18.274500640847798</v>
      </c>
      <c r="AA1129" s="16">
        <f>Y1129/'Gearing Calculator'!$C$24</f>
        <v>28.210670940130971</v>
      </c>
      <c r="AB1129" s="16">
        <f t="shared" si="121"/>
        <v>222.15110282139946</v>
      </c>
      <c r="AC1129" s="16">
        <v>0</v>
      </c>
      <c r="AD1129" s="16">
        <v>-45.249166535644598</v>
      </c>
      <c r="AE1129" s="16">
        <v>1126</v>
      </c>
      <c r="AF1129" s="16">
        <f>IF(AC1129=0,IF(O1129=6,INDEX(Acceleration!$V$4:$V$110,MATCH('Track Data'!S1129,Acceleration!$K$4:$K$110,0)),IF('Track Data'!O1129=5,INDEX(Acceleration!$U$4:$U$110,MATCH('Track Data'!S1129,Acceleration!$K$4:$K$110,0)),1)),U1129)</f>
        <v>1</v>
      </c>
      <c r="AG1129" s="16">
        <f>IF(AC1129=0,IF(O1129=4,INDEX(Acceleration!$T$4:$T$110,MATCH('Track Data'!S1129,Acceleration!$K$4:$K$110,0)),IF('Track Data'!O1129=3,INDEX(Acceleration!$S$4:$S$110,MATCH('Track Data'!S1129,Acceleration!$K$4:$K$110,0)),'Track Data'!AF1129)),'Track Data'!U1129)</f>
        <v>4.8209066787706405</v>
      </c>
      <c r="AH1129" s="16">
        <f>IF(AC1129=0,IF(O1129=2,INDEX(Acceleration!$R$4:$R$110,MATCH('Track Data'!S1129,Acceleration!$K$4:$K$110,0)),IF('Track Data'!O1129=1,INDEX(Acceleration!$Q$4:$Q$110,MATCH('Track Data'!S1129,Acceleration!$K$4:$K$110,0)),'Track Data'!AG1129)),'Track Data'!U1129)</f>
        <v>4.8209066787706405</v>
      </c>
    </row>
    <row r="1130" spans="2:34" x14ac:dyDescent="0.25">
      <c r="B1130" s="16">
        <v>227.36099999999999</v>
      </c>
      <c r="C1130" s="16">
        <v>8400</v>
      </c>
      <c r="D1130" s="16">
        <v>1127</v>
      </c>
      <c r="E1130" s="113">
        <v>133</v>
      </c>
      <c r="F1130" s="113">
        <v>133.1</v>
      </c>
      <c r="G1130" s="113">
        <v>120.9</v>
      </c>
      <c r="H1130" s="113">
        <f t="shared" si="124"/>
        <v>33.583333333333336</v>
      </c>
      <c r="I1130" s="113">
        <v>13.7</v>
      </c>
      <c r="J1130" s="113">
        <v>69.260000000000005</v>
      </c>
      <c r="K1130" s="113">
        <v>-58.6</v>
      </c>
      <c r="L1130" s="183"/>
      <c r="M1130" s="16">
        <v>1127</v>
      </c>
      <c r="N1130" s="16">
        <f t="shared" si="126"/>
        <v>2.2841188743510724E-2</v>
      </c>
      <c r="O1130" s="16">
        <v>4</v>
      </c>
      <c r="P1130" s="16">
        <f t="shared" si="122"/>
        <v>9.1833785004516724</v>
      </c>
      <c r="Q1130" s="16">
        <f t="shared" si="127"/>
        <v>43.780558500227102</v>
      </c>
      <c r="R1130" s="113">
        <f t="shared" si="123"/>
        <v>329.49099999999999</v>
      </c>
      <c r="S1130" s="16">
        <f>IF(S1129=15800,15800,ROUND((((Q1130*60)/'Gearing Calculator'!$C$14)*'Track Data'!P1130),-2))</f>
        <v>12200</v>
      </c>
      <c r="T1130" s="16">
        <f t="shared" si="125"/>
        <v>4.8209066787706405</v>
      </c>
      <c r="U1130" s="16">
        <f>IF(AC1130=100,Braking!$AG$2354,IF(AC1130=50,Braking!$AG$1179,IF(AC1130=75,Braking!$AG$1767,0)))</f>
        <v>0</v>
      </c>
      <c r="V1130" s="16">
        <f>0.5*'Gearing Calculator'!$C$15*'Gearing Calculator'!$C$20*'Gearing Calculator'!$W$20*('Track Data'!Q1130^2)</f>
        <v>202.8674761063169</v>
      </c>
      <c r="W1130" s="16">
        <f>('Gearing Calculator'!$U$9*'Track Data'!T1130)+'Track Data'!V1130</f>
        <v>1486.1928339950614</v>
      </c>
      <c r="X1130" s="16">
        <f>('Gearing Calculator'!$U$9*9.81)*('Gearing Calculator'!$U$16/'Gearing Calculator'!$C$7)-(('Track Data'!W1130)*('Gearing Calculator'!$U$17/'Gearing Calculator'!$C$7))</f>
        <v>591.0857078158931</v>
      </c>
      <c r="Y1130" s="16">
        <f>('Gearing Calculator'!$U$9*9.81)*(('Gearing Calculator'!$C$7-'Gearing Calculator'!$U$16)/'Gearing Calculator'!$C$7)+(('Track Data'!W1130)*('Gearing Calculator'!$U$17/'Gearing Calculator'!$C$7))</f>
        <v>2020.3362921841069</v>
      </c>
      <c r="Z1130" s="16">
        <f>((X1130*COS('Gearing Calculator'!$C$21))/'Gearing Calculator'!$C$22)/2</f>
        <v>18.274500640847798</v>
      </c>
      <c r="AA1130" s="16">
        <f>Y1130/'Gearing Calculator'!$C$24</f>
        <v>28.210670940130971</v>
      </c>
      <c r="AB1130" s="16">
        <f t="shared" si="121"/>
        <v>222.15110282139946</v>
      </c>
      <c r="AC1130" s="16">
        <v>0</v>
      </c>
      <c r="AD1130" s="16">
        <v>-45.249166535644598</v>
      </c>
      <c r="AE1130" s="16">
        <v>1127</v>
      </c>
      <c r="AF1130" s="16">
        <f>IF(AC1130=0,IF(O1130=6,INDEX(Acceleration!$V$4:$V$110,MATCH('Track Data'!S1130,Acceleration!$K$4:$K$110,0)),IF('Track Data'!O1130=5,INDEX(Acceleration!$U$4:$U$110,MATCH('Track Data'!S1130,Acceleration!$K$4:$K$110,0)),1)),U1130)</f>
        <v>1</v>
      </c>
      <c r="AG1130" s="16">
        <f>IF(AC1130=0,IF(O1130=4,INDEX(Acceleration!$T$4:$T$110,MATCH('Track Data'!S1130,Acceleration!$K$4:$K$110,0)),IF('Track Data'!O1130=3,INDEX(Acceleration!$S$4:$S$110,MATCH('Track Data'!S1130,Acceleration!$K$4:$K$110,0)),'Track Data'!AF1130)),'Track Data'!U1130)</f>
        <v>4.8209066787706405</v>
      </c>
      <c r="AH1130" s="16">
        <f>IF(AC1130=0,IF(O1130=2,INDEX(Acceleration!$R$4:$R$110,MATCH('Track Data'!S1130,Acceleration!$K$4:$K$110,0)),IF('Track Data'!O1130=1,INDEX(Acceleration!$Q$4:$Q$110,MATCH('Track Data'!S1130,Acceleration!$K$4:$K$110,0)),'Track Data'!AG1130)),'Track Data'!U1130)</f>
        <v>4.8209066787706405</v>
      </c>
    </row>
    <row r="1131" spans="2:34" x14ac:dyDescent="0.25">
      <c r="B1131" s="16">
        <v>227.387</v>
      </c>
      <c r="C1131" s="16">
        <v>8401</v>
      </c>
      <c r="D1131" s="16">
        <v>1128</v>
      </c>
      <c r="E1131" s="113">
        <v>133</v>
      </c>
      <c r="F1131" s="113">
        <v>132.69999999999999</v>
      </c>
      <c r="G1131" s="113">
        <v>120.6</v>
      </c>
      <c r="H1131" s="113">
        <f t="shared" si="124"/>
        <v>33.5</v>
      </c>
      <c r="I1131" s="113">
        <v>14.8</v>
      </c>
      <c r="J1131" s="113">
        <v>70.41</v>
      </c>
      <c r="K1131" s="113">
        <v>-58.6</v>
      </c>
      <c r="L1131" s="183"/>
      <c r="M1131" s="16">
        <v>1128</v>
      </c>
      <c r="N1131" s="16">
        <f t="shared" si="126"/>
        <v>2.2841188743510724E-2</v>
      </c>
      <c r="O1131" s="16">
        <v>4</v>
      </c>
      <c r="P1131" s="16">
        <f t="shared" si="122"/>
        <v>9.1833785004516724</v>
      </c>
      <c r="Q1131" s="16">
        <f t="shared" si="127"/>
        <v>43.780558500227102</v>
      </c>
      <c r="R1131" s="113">
        <f t="shared" si="123"/>
        <v>329.49099999999999</v>
      </c>
      <c r="S1131" s="16">
        <f>IF(S1130=15800,15800,ROUND((((Q1131*60)/'Gearing Calculator'!$C$14)*'Track Data'!P1131),-2))</f>
        <v>12200</v>
      </c>
      <c r="T1131" s="16">
        <f t="shared" si="125"/>
        <v>4.8209066787706405</v>
      </c>
      <c r="U1131" s="16">
        <f>IF(AC1131=100,Braking!$AG$2354,IF(AC1131=50,Braking!$AG$1179,IF(AC1131=75,Braking!$AG$1767,0)))</f>
        <v>0</v>
      </c>
      <c r="V1131" s="16">
        <f>0.5*'Gearing Calculator'!$C$15*'Gearing Calculator'!$C$20*'Gearing Calculator'!$W$20*('Track Data'!Q1131^2)</f>
        <v>202.8674761063169</v>
      </c>
      <c r="W1131" s="16">
        <f>('Gearing Calculator'!$U$9*'Track Data'!T1131)+'Track Data'!V1131</f>
        <v>1486.1928339950614</v>
      </c>
      <c r="X1131" s="16">
        <f>('Gearing Calculator'!$U$9*9.81)*('Gearing Calculator'!$U$16/'Gearing Calculator'!$C$7)-(('Track Data'!W1131)*('Gearing Calculator'!$U$17/'Gearing Calculator'!$C$7))</f>
        <v>591.0857078158931</v>
      </c>
      <c r="Y1131" s="16">
        <f>('Gearing Calculator'!$U$9*9.81)*(('Gearing Calculator'!$C$7-'Gearing Calculator'!$U$16)/'Gearing Calculator'!$C$7)+(('Track Data'!W1131)*('Gearing Calculator'!$U$17/'Gearing Calculator'!$C$7))</f>
        <v>2020.3362921841069</v>
      </c>
      <c r="Z1131" s="16">
        <f>((X1131*COS('Gearing Calculator'!$C$21))/'Gearing Calculator'!$C$22)/2</f>
        <v>18.274500640847798</v>
      </c>
      <c r="AA1131" s="16">
        <f>Y1131/'Gearing Calculator'!$C$24</f>
        <v>28.210670940130971</v>
      </c>
      <c r="AB1131" s="16">
        <f t="shared" si="121"/>
        <v>222.15110282139946</v>
      </c>
      <c r="AC1131" s="16">
        <v>0</v>
      </c>
      <c r="AD1131" s="16">
        <v>-45.249166535644598</v>
      </c>
      <c r="AE1131" s="16">
        <v>1128</v>
      </c>
      <c r="AF1131" s="16">
        <f>IF(AC1131=0,IF(O1131=6,INDEX(Acceleration!$V$4:$V$110,MATCH('Track Data'!S1131,Acceleration!$K$4:$K$110,0)),IF('Track Data'!O1131=5,INDEX(Acceleration!$U$4:$U$110,MATCH('Track Data'!S1131,Acceleration!$K$4:$K$110,0)),1)),U1131)</f>
        <v>1</v>
      </c>
      <c r="AG1131" s="16">
        <f>IF(AC1131=0,IF(O1131=4,INDEX(Acceleration!$T$4:$T$110,MATCH('Track Data'!S1131,Acceleration!$K$4:$K$110,0)),IF('Track Data'!O1131=3,INDEX(Acceleration!$S$4:$S$110,MATCH('Track Data'!S1131,Acceleration!$K$4:$K$110,0)),'Track Data'!AF1131)),'Track Data'!U1131)</f>
        <v>4.8209066787706405</v>
      </c>
      <c r="AH1131" s="16">
        <f>IF(AC1131=0,IF(O1131=2,INDEX(Acceleration!$R$4:$R$110,MATCH('Track Data'!S1131,Acceleration!$K$4:$K$110,0)),IF('Track Data'!O1131=1,INDEX(Acceleration!$Q$4:$Q$110,MATCH('Track Data'!S1131,Acceleration!$K$4:$K$110,0)),'Track Data'!AG1131)),'Track Data'!U1131)</f>
        <v>4.8209066787706405</v>
      </c>
    </row>
    <row r="1132" spans="2:34" x14ac:dyDescent="0.25">
      <c r="B1132" s="16">
        <v>227.41399999999999</v>
      </c>
      <c r="C1132" s="16">
        <v>8402</v>
      </c>
      <c r="D1132" s="16">
        <v>1129</v>
      </c>
      <c r="E1132" s="113">
        <v>133</v>
      </c>
      <c r="F1132" s="113">
        <v>132</v>
      </c>
      <c r="G1132" s="113">
        <v>120.3</v>
      </c>
      <c r="H1132" s="113">
        <f t="shared" si="124"/>
        <v>33.416666666666664</v>
      </c>
      <c r="I1132" s="113">
        <v>16.399999999999999</v>
      </c>
      <c r="J1132" s="113">
        <v>75.62</v>
      </c>
      <c r="K1132" s="113">
        <v>-58.6</v>
      </c>
      <c r="L1132" s="183"/>
      <c r="M1132" s="16">
        <v>1129</v>
      </c>
      <c r="N1132" s="16">
        <f t="shared" si="126"/>
        <v>2.2841188743510724E-2</v>
      </c>
      <c r="O1132" s="16">
        <v>4</v>
      </c>
      <c r="P1132" s="16">
        <f t="shared" si="122"/>
        <v>9.1833785004516724</v>
      </c>
      <c r="Q1132" s="16">
        <f t="shared" si="127"/>
        <v>43.780558500227102</v>
      </c>
      <c r="R1132" s="113">
        <f t="shared" si="123"/>
        <v>329.49099999999999</v>
      </c>
      <c r="S1132" s="16">
        <f>IF(S1131=15800,15800,ROUND((((Q1132*60)/'Gearing Calculator'!$C$14)*'Track Data'!P1132),-2))</f>
        <v>12200</v>
      </c>
      <c r="T1132" s="16">
        <f t="shared" si="125"/>
        <v>4.8209066787706405</v>
      </c>
      <c r="U1132" s="16">
        <f>IF(AC1132=100,Braking!$AG$2354,IF(AC1132=50,Braking!$AG$1179,IF(AC1132=75,Braking!$AG$1767,0)))</f>
        <v>0</v>
      </c>
      <c r="V1132" s="16">
        <f>0.5*'Gearing Calculator'!$C$15*'Gearing Calculator'!$C$20*'Gearing Calculator'!$W$20*('Track Data'!Q1132^2)</f>
        <v>202.8674761063169</v>
      </c>
      <c r="W1132" s="16">
        <f>('Gearing Calculator'!$U$9*'Track Data'!T1132)+'Track Data'!V1132</f>
        <v>1486.1928339950614</v>
      </c>
      <c r="X1132" s="16">
        <f>('Gearing Calculator'!$U$9*9.81)*('Gearing Calculator'!$U$16/'Gearing Calculator'!$C$7)-(('Track Data'!W1132)*('Gearing Calculator'!$U$17/'Gearing Calculator'!$C$7))</f>
        <v>591.0857078158931</v>
      </c>
      <c r="Y1132" s="16">
        <f>('Gearing Calculator'!$U$9*9.81)*(('Gearing Calculator'!$C$7-'Gearing Calculator'!$U$16)/'Gearing Calculator'!$C$7)+(('Track Data'!W1132)*('Gearing Calculator'!$U$17/'Gearing Calculator'!$C$7))</f>
        <v>2020.3362921841069</v>
      </c>
      <c r="Z1132" s="16">
        <f>((X1132*COS('Gearing Calculator'!$C$21))/'Gearing Calculator'!$C$22)/2</f>
        <v>18.274500640847798</v>
      </c>
      <c r="AA1132" s="16">
        <f>Y1132/'Gearing Calculator'!$C$24</f>
        <v>28.210670940130971</v>
      </c>
      <c r="AB1132" s="16">
        <f t="shared" si="121"/>
        <v>222.15110282139946</v>
      </c>
      <c r="AC1132" s="16">
        <v>0</v>
      </c>
      <c r="AD1132" s="16">
        <v>-45.249166535644598</v>
      </c>
      <c r="AE1132" s="16">
        <v>1129</v>
      </c>
      <c r="AF1132" s="16">
        <f>IF(AC1132=0,IF(O1132=6,INDEX(Acceleration!$V$4:$V$110,MATCH('Track Data'!S1132,Acceleration!$K$4:$K$110,0)),IF('Track Data'!O1132=5,INDEX(Acceleration!$U$4:$U$110,MATCH('Track Data'!S1132,Acceleration!$K$4:$K$110,0)),1)),U1132)</f>
        <v>1</v>
      </c>
      <c r="AG1132" s="16">
        <f>IF(AC1132=0,IF(O1132=4,INDEX(Acceleration!$T$4:$T$110,MATCH('Track Data'!S1132,Acceleration!$K$4:$K$110,0)),IF('Track Data'!O1132=3,INDEX(Acceleration!$S$4:$S$110,MATCH('Track Data'!S1132,Acceleration!$K$4:$K$110,0)),'Track Data'!AF1132)),'Track Data'!U1132)</f>
        <v>4.8209066787706405</v>
      </c>
      <c r="AH1132" s="16">
        <f>IF(AC1132=0,IF(O1132=2,INDEX(Acceleration!$R$4:$R$110,MATCH('Track Data'!S1132,Acceleration!$K$4:$K$110,0)),IF('Track Data'!O1132=1,INDEX(Acceleration!$Q$4:$Q$110,MATCH('Track Data'!S1132,Acceleration!$K$4:$K$110,0)),'Track Data'!AG1132)),'Track Data'!U1132)</f>
        <v>4.8209066787706405</v>
      </c>
    </row>
    <row r="1133" spans="2:34" x14ac:dyDescent="0.25">
      <c r="B1133" s="16">
        <v>227.441</v>
      </c>
      <c r="C1133" s="16">
        <v>8403</v>
      </c>
      <c r="D1133" s="16">
        <v>1130</v>
      </c>
      <c r="E1133" s="113">
        <v>132</v>
      </c>
      <c r="F1133" s="113">
        <v>131.30000000000001</v>
      </c>
      <c r="G1133" s="113">
        <v>119.9</v>
      </c>
      <c r="H1133" s="113">
        <f t="shared" si="124"/>
        <v>33.305555555555557</v>
      </c>
      <c r="I1133" s="113">
        <v>17.7</v>
      </c>
      <c r="J1133" s="113">
        <v>75.069999999999993</v>
      </c>
      <c r="K1133" s="113">
        <v>-58.4</v>
      </c>
      <c r="L1133" s="183"/>
      <c r="M1133" s="16">
        <v>1130</v>
      </c>
      <c r="N1133" s="16">
        <f t="shared" si="126"/>
        <v>2.2841188743510724E-2</v>
      </c>
      <c r="O1133" s="16">
        <v>4</v>
      </c>
      <c r="P1133" s="16">
        <f t="shared" si="122"/>
        <v>9.1833785004516724</v>
      </c>
      <c r="Q1133" s="16">
        <f t="shared" si="127"/>
        <v>43.780558500227102</v>
      </c>
      <c r="R1133" s="113">
        <f t="shared" si="123"/>
        <v>329.49099999999999</v>
      </c>
      <c r="S1133" s="16">
        <f>IF(S1132=15800,15800,ROUND((((Q1133*60)/'Gearing Calculator'!$C$14)*'Track Data'!P1133),-2))</f>
        <v>12200</v>
      </c>
      <c r="T1133" s="16">
        <f t="shared" si="125"/>
        <v>4.8209066787706405</v>
      </c>
      <c r="U1133" s="16">
        <f>IF(AC1133=100,Braking!$AG$2354,IF(AC1133=50,Braking!$AG$1179,IF(AC1133=75,Braking!$AG$1767,0)))</f>
        <v>0</v>
      </c>
      <c r="V1133" s="16">
        <f>0.5*'Gearing Calculator'!$C$15*'Gearing Calculator'!$C$20*'Gearing Calculator'!$W$20*('Track Data'!Q1133^2)</f>
        <v>202.8674761063169</v>
      </c>
      <c r="W1133" s="16">
        <f>('Gearing Calculator'!$U$9*'Track Data'!T1133)+'Track Data'!V1133</f>
        <v>1486.1928339950614</v>
      </c>
      <c r="X1133" s="16">
        <f>('Gearing Calculator'!$U$9*9.81)*('Gearing Calculator'!$U$16/'Gearing Calculator'!$C$7)-(('Track Data'!W1133)*('Gearing Calculator'!$U$17/'Gearing Calculator'!$C$7))</f>
        <v>591.0857078158931</v>
      </c>
      <c r="Y1133" s="16">
        <f>('Gearing Calculator'!$U$9*9.81)*(('Gearing Calculator'!$C$7-'Gearing Calculator'!$U$16)/'Gearing Calculator'!$C$7)+(('Track Data'!W1133)*('Gearing Calculator'!$U$17/'Gearing Calculator'!$C$7))</f>
        <v>2020.3362921841069</v>
      </c>
      <c r="Z1133" s="16">
        <f>((X1133*COS('Gearing Calculator'!$C$21))/'Gearing Calculator'!$C$22)/2</f>
        <v>18.274500640847798</v>
      </c>
      <c r="AA1133" s="16">
        <f>Y1133/'Gearing Calculator'!$C$24</f>
        <v>28.210670940130971</v>
      </c>
      <c r="AB1133" s="16">
        <f t="shared" si="121"/>
        <v>222.15110282139946</v>
      </c>
      <c r="AC1133" s="16">
        <v>0</v>
      </c>
      <c r="AD1133" s="16">
        <v>-45.249166535644598</v>
      </c>
      <c r="AE1133" s="16">
        <v>1130</v>
      </c>
      <c r="AF1133" s="16">
        <f>IF(AC1133=0,IF(O1133=6,INDEX(Acceleration!$V$4:$V$110,MATCH('Track Data'!S1133,Acceleration!$K$4:$K$110,0)),IF('Track Data'!O1133=5,INDEX(Acceleration!$U$4:$U$110,MATCH('Track Data'!S1133,Acceleration!$K$4:$K$110,0)),1)),U1133)</f>
        <v>1</v>
      </c>
      <c r="AG1133" s="16">
        <f>IF(AC1133=0,IF(O1133=4,INDEX(Acceleration!$T$4:$T$110,MATCH('Track Data'!S1133,Acceleration!$K$4:$K$110,0)),IF('Track Data'!O1133=3,INDEX(Acceleration!$S$4:$S$110,MATCH('Track Data'!S1133,Acceleration!$K$4:$K$110,0)),'Track Data'!AF1133)),'Track Data'!U1133)</f>
        <v>4.8209066787706405</v>
      </c>
      <c r="AH1133" s="16">
        <f>IF(AC1133=0,IF(O1133=2,INDEX(Acceleration!$R$4:$R$110,MATCH('Track Data'!S1133,Acceleration!$K$4:$K$110,0)),IF('Track Data'!O1133=1,INDEX(Acceleration!$Q$4:$Q$110,MATCH('Track Data'!S1133,Acceleration!$K$4:$K$110,0)),'Track Data'!AG1133)),'Track Data'!U1133)</f>
        <v>4.8209066787706405</v>
      </c>
    </row>
    <row r="1134" spans="2:34" x14ac:dyDescent="0.25">
      <c r="B1134" s="16">
        <v>227.46899999999999</v>
      </c>
      <c r="C1134" s="16">
        <v>8404</v>
      </c>
      <c r="D1134" s="16">
        <v>1131</v>
      </c>
      <c r="E1134" s="113">
        <v>131</v>
      </c>
      <c r="F1134" s="113">
        <v>131.1</v>
      </c>
      <c r="G1134" s="113">
        <v>119.6</v>
      </c>
      <c r="H1134" s="113">
        <f t="shared" si="124"/>
        <v>33.222222222222221</v>
      </c>
      <c r="I1134" s="113">
        <v>18.600000000000001</v>
      </c>
      <c r="J1134" s="113">
        <v>75.180000000000007</v>
      </c>
      <c r="K1134" s="113">
        <v>-57.4</v>
      </c>
      <c r="L1134" s="183"/>
      <c r="M1134" s="16">
        <v>1131</v>
      </c>
      <c r="N1134" s="16">
        <f t="shared" si="126"/>
        <v>2.2841188743510724E-2</v>
      </c>
      <c r="O1134" s="16">
        <v>4</v>
      </c>
      <c r="P1134" s="16">
        <f t="shared" si="122"/>
        <v>9.1833785004516724</v>
      </c>
      <c r="Q1134" s="16">
        <f t="shared" si="127"/>
        <v>43.780558500227102</v>
      </c>
      <c r="R1134" s="113">
        <f t="shared" si="123"/>
        <v>329.49099999999999</v>
      </c>
      <c r="S1134" s="16">
        <f>IF(S1133=15800,15800,ROUND((((Q1134*60)/'Gearing Calculator'!$C$14)*'Track Data'!P1134),-2))</f>
        <v>12200</v>
      </c>
      <c r="T1134" s="16">
        <f t="shared" si="125"/>
        <v>4.8209066787706405</v>
      </c>
      <c r="U1134" s="16">
        <f>IF(AC1134=100,Braking!$AG$2354,IF(AC1134=50,Braking!$AG$1179,IF(AC1134=75,Braking!$AG$1767,0)))</f>
        <v>0</v>
      </c>
      <c r="V1134" s="16">
        <f>0.5*'Gearing Calculator'!$C$15*'Gearing Calculator'!$C$20*'Gearing Calculator'!$W$20*('Track Data'!Q1134^2)</f>
        <v>202.8674761063169</v>
      </c>
      <c r="W1134" s="16">
        <f>('Gearing Calculator'!$U$9*'Track Data'!T1134)+'Track Data'!V1134</f>
        <v>1486.1928339950614</v>
      </c>
      <c r="X1134" s="16">
        <f>('Gearing Calculator'!$U$9*9.81)*('Gearing Calculator'!$U$16/'Gearing Calculator'!$C$7)-(('Track Data'!W1134)*('Gearing Calculator'!$U$17/'Gearing Calculator'!$C$7))</f>
        <v>591.0857078158931</v>
      </c>
      <c r="Y1134" s="16">
        <f>('Gearing Calculator'!$U$9*9.81)*(('Gearing Calculator'!$C$7-'Gearing Calculator'!$U$16)/'Gearing Calculator'!$C$7)+(('Track Data'!W1134)*('Gearing Calculator'!$U$17/'Gearing Calculator'!$C$7))</f>
        <v>2020.3362921841069</v>
      </c>
      <c r="Z1134" s="16">
        <f>((X1134*COS('Gearing Calculator'!$C$21))/'Gearing Calculator'!$C$22)/2</f>
        <v>18.274500640847798</v>
      </c>
      <c r="AA1134" s="16">
        <f>Y1134/'Gearing Calculator'!$C$24</f>
        <v>28.210670940130971</v>
      </c>
      <c r="AB1134" s="16">
        <f t="shared" si="121"/>
        <v>222.15110282139946</v>
      </c>
      <c r="AC1134" s="16">
        <v>0</v>
      </c>
      <c r="AD1134" s="16">
        <v>-45.249166535644598</v>
      </c>
      <c r="AE1134" s="16">
        <v>1131</v>
      </c>
      <c r="AF1134" s="16">
        <f>IF(AC1134=0,IF(O1134=6,INDEX(Acceleration!$V$4:$V$110,MATCH('Track Data'!S1134,Acceleration!$K$4:$K$110,0)),IF('Track Data'!O1134=5,INDEX(Acceleration!$U$4:$U$110,MATCH('Track Data'!S1134,Acceleration!$K$4:$K$110,0)),1)),U1134)</f>
        <v>1</v>
      </c>
      <c r="AG1134" s="16">
        <f>IF(AC1134=0,IF(O1134=4,INDEX(Acceleration!$T$4:$T$110,MATCH('Track Data'!S1134,Acceleration!$K$4:$K$110,0)),IF('Track Data'!O1134=3,INDEX(Acceleration!$S$4:$S$110,MATCH('Track Data'!S1134,Acceleration!$K$4:$K$110,0)),'Track Data'!AF1134)),'Track Data'!U1134)</f>
        <v>4.8209066787706405</v>
      </c>
      <c r="AH1134" s="16">
        <f>IF(AC1134=0,IF(O1134=2,INDEX(Acceleration!$R$4:$R$110,MATCH('Track Data'!S1134,Acceleration!$K$4:$K$110,0)),IF('Track Data'!O1134=1,INDEX(Acceleration!$Q$4:$Q$110,MATCH('Track Data'!S1134,Acceleration!$K$4:$K$110,0)),'Track Data'!AG1134)),'Track Data'!U1134)</f>
        <v>4.8209066787706405</v>
      </c>
    </row>
    <row r="1135" spans="2:34" x14ac:dyDescent="0.25">
      <c r="B1135" s="16">
        <v>227.49600000000001</v>
      </c>
      <c r="C1135" s="16">
        <v>8405</v>
      </c>
      <c r="D1135" s="16">
        <v>1132</v>
      </c>
      <c r="E1135" s="113">
        <v>131</v>
      </c>
      <c r="F1135" s="113">
        <v>130.80000000000001</v>
      </c>
      <c r="G1135" s="113">
        <v>119.3</v>
      </c>
      <c r="H1135" s="113">
        <f t="shared" si="124"/>
        <v>33.138888888888886</v>
      </c>
      <c r="I1135" s="113">
        <v>18.3</v>
      </c>
      <c r="J1135" s="113">
        <v>74.66</v>
      </c>
      <c r="K1135" s="113">
        <v>-55.9</v>
      </c>
      <c r="L1135" s="183"/>
      <c r="M1135" s="16">
        <v>1132</v>
      </c>
      <c r="N1135" s="16">
        <f t="shared" si="126"/>
        <v>2.2841188743510724E-2</v>
      </c>
      <c r="O1135" s="16">
        <v>4</v>
      </c>
      <c r="P1135" s="16">
        <f t="shared" si="122"/>
        <v>9.1833785004516724</v>
      </c>
      <c r="Q1135" s="16">
        <f t="shared" si="127"/>
        <v>43.780558500227102</v>
      </c>
      <c r="R1135" s="113">
        <f t="shared" si="123"/>
        <v>329.49099999999999</v>
      </c>
      <c r="S1135" s="16">
        <f>IF(S1134=15800,15800,ROUND((((Q1135*60)/'Gearing Calculator'!$C$14)*'Track Data'!P1135),-2))</f>
        <v>12200</v>
      </c>
      <c r="T1135" s="16">
        <f t="shared" si="125"/>
        <v>4.8209066787706405</v>
      </c>
      <c r="U1135" s="16">
        <f>IF(AC1135=100,Braking!$AG$2354,IF(AC1135=50,Braking!$AG$1179,IF(AC1135=75,Braking!$AG$1767,0)))</f>
        <v>0</v>
      </c>
      <c r="V1135" s="16">
        <f>0.5*'Gearing Calculator'!$C$15*'Gearing Calculator'!$C$20*'Gearing Calculator'!$W$20*('Track Data'!Q1135^2)</f>
        <v>202.8674761063169</v>
      </c>
      <c r="W1135" s="16">
        <f>('Gearing Calculator'!$U$9*'Track Data'!T1135)+'Track Data'!V1135</f>
        <v>1486.1928339950614</v>
      </c>
      <c r="X1135" s="16">
        <f>('Gearing Calculator'!$U$9*9.81)*('Gearing Calculator'!$U$16/'Gearing Calculator'!$C$7)-(('Track Data'!W1135)*('Gearing Calculator'!$U$17/'Gearing Calculator'!$C$7))</f>
        <v>591.0857078158931</v>
      </c>
      <c r="Y1135" s="16">
        <f>('Gearing Calculator'!$U$9*9.81)*(('Gearing Calculator'!$C$7-'Gearing Calculator'!$U$16)/'Gearing Calculator'!$C$7)+(('Track Data'!W1135)*('Gearing Calculator'!$U$17/'Gearing Calculator'!$C$7))</f>
        <v>2020.3362921841069</v>
      </c>
      <c r="Z1135" s="16">
        <f>((X1135*COS('Gearing Calculator'!$C$21))/'Gearing Calculator'!$C$22)/2</f>
        <v>18.274500640847798</v>
      </c>
      <c r="AA1135" s="16">
        <f>Y1135/'Gearing Calculator'!$C$24</f>
        <v>28.210670940130971</v>
      </c>
      <c r="AB1135" s="16">
        <f t="shared" si="121"/>
        <v>222.15110282139946</v>
      </c>
      <c r="AC1135" s="16">
        <v>0</v>
      </c>
      <c r="AD1135" s="16">
        <v>-45.249166535644598</v>
      </c>
      <c r="AE1135" s="16">
        <v>1132</v>
      </c>
      <c r="AF1135" s="16">
        <f>IF(AC1135=0,IF(O1135=6,INDEX(Acceleration!$V$4:$V$110,MATCH('Track Data'!S1135,Acceleration!$K$4:$K$110,0)),IF('Track Data'!O1135=5,INDEX(Acceleration!$U$4:$U$110,MATCH('Track Data'!S1135,Acceleration!$K$4:$K$110,0)),1)),U1135)</f>
        <v>1</v>
      </c>
      <c r="AG1135" s="16">
        <f>IF(AC1135=0,IF(O1135=4,INDEX(Acceleration!$T$4:$T$110,MATCH('Track Data'!S1135,Acceleration!$K$4:$K$110,0)),IF('Track Data'!O1135=3,INDEX(Acceleration!$S$4:$S$110,MATCH('Track Data'!S1135,Acceleration!$K$4:$K$110,0)),'Track Data'!AF1135)),'Track Data'!U1135)</f>
        <v>4.8209066787706405</v>
      </c>
      <c r="AH1135" s="16">
        <f>IF(AC1135=0,IF(O1135=2,INDEX(Acceleration!$R$4:$R$110,MATCH('Track Data'!S1135,Acceleration!$K$4:$K$110,0)),IF('Track Data'!O1135=1,INDEX(Acceleration!$Q$4:$Q$110,MATCH('Track Data'!S1135,Acceleration!$K$4:$K$110,0)),'Track Data'!AG1135)),'Track Data'!U1135)</f>
        <v>4.8209066787706405</v>
      </c>
    </row>
    <row r="1136" spans="2:34" x14ac:dyDescent="0.25">
      <c r="B1136" s="16">
        <v>227.524</v>
      </c>
      <c r="C1136" s="16">
        <v>8406</v>
      </c>
      <c r="D1136" s="16">
        <v>1133</v>
      </c>
      <c r="E1136" s="113">
        <v>131</v>
      </c>
      <c r="F1136" s="113">
        <v>130.6</v>
      </c>
      <c r="G1136" s="113">
        <v>118.9</v>
      </c>
      <c r="H1136" s="113">
        <f t="shared" si="124"/>
        <v>33.027777777777779</v>
      </c>
      <c r="I1136" s="113">
        <v>17</v>
      </c>
      <c r="J1136" s="113">
        <v>73.55</v>
      </c>
      <c r="K1136" s="113">
        <v>-54.7</v>
      </c>
      <c r="L1136" s="183"/>
      <c r="M1136" s="16">
        <v>1133</v>
      </c>
      <c r="N1136" s="16">
        <f t="shared" si="126"/>
        <v>2.2841188743510724E-2</v>
      </c>
      <c r="O1136" s="16">
        <v>4</v>
      </c>
      <c r="P1136" s="16">
        <f t="shared" si="122"/>
        <v>9.1833785004516724</v>
      </c>
      <c r="Q1136" s="16">
        <f t="shared" si="127"/>
        <v>43.780558500227102</v>
      </c>
      <c r="R1136" s="113">
        <f t="shared" si="123"/>
        <v>329.49099999999999</v>
      </c>
      <c r="S1136" s="16">
        <f>IF(S1135=15800,15800,ROUND((((Q1136*60)/'Gearing Calculator'!$C$14)*'Track Data'!P1136),-2))</f>
        <v>12200</v>
      </c>
      <c r="T1136" s="16">
        <f t="shared" si="125"/>
        <v>4.8209066787706405</v>
      </c>
      <c r="U1136" s="16">
        <f>IF(AC1136=100,Braking!$AG$2354,IF(AC1136=50,Braking!$AG$1179,IF(AC1136=75,Braking!$AG$1767,0)))</f>
        <v>0</v>
      </c>
      <c r="V1136" s="16">
        <f>0.5*'Gearing Calculator'!$C$15*'Gearing Calculator'!$C$20*'Gearing Calculator'!$W$20*('Track Data'!Q1136^2)</f>
        <v>202.8674761063169</v>
      </c>
      <c r="W1136" s="16">
        <f>('Gearing Calculator'!$U$9*'Track Data'!T1136)+'Track Data'!V1136</f>
        <v>1486.1928339950614</v>
      </c>
      <c r="X1136" s="16">
        <f>('Gearing Calculator'!$U$9*9.81)*('Gearing Calculator'!$U$16/'Gearing Calculator'!$C$7)-(('Track Data'!W1136)*('Gearing Calculator'!$U$17/'Gearing Calculator'!$C$7))</f>
        <v>591.0857078158931</v>
      </c>
      <c r="Y1136" s="16">
        <f>('Gearing Calculator'!$U$9*9.81)*(('Gearing Calculator'!$C$7-'Gearing Calculator'!$U$16)/'Gearing Calculator'!$C$7)+(('Track Data'!W1136)*('Gearing Calculator'!$U$17/'Gearing Calculator'!$C$7))</f>
        <v>2020.3362921841069</v>
      </c>
      <c r="Z1136" s="16">
        <f>((X1136*COS('Gearing Calculator'!$C$21))/'Gearing Calculator'!$C$22)/2</f>
        <v>18.274500640847798</v>
      </c>
      <c r="AA1136" s="16">
        <f>Y1136/'Gearing Calculator'!$C$24</f>
        <v>28.210670940130971</v>
      </c>
      <c r="AB1136" s="16">
        <f t="shared" si="121"/>
        <v>222.15110282139946</v>
      </c>
      <c r="AC1136" s="16">
        <v>0</v>
      </c>
      <c r="AD1136" s="16">
        <v>-45.249166535644598</v>
      </c>
      <c r="AE1136" s="16">
        <v>1133</v>
      </c>
      <c r="AF1136" s="16">
        <f>IF(AC1136=0,IF(O1136=6,INDEX(Acceleration!$V$4:$V$110,MATCH('Track Data'!S1136,Acceleration!$K$4:$K$110,0)),IF('Track Data'!O1136=5,INDEX(Acceleration!$U$4:$U$110,MATCH('Track Data'!S1136,Acceleration!$K$4:$K$110,0)),1)),U1136)</f>
        <v>1</v>
      </c>
      <c r="AG1136" s="16">
        <f>IF(AC1136=0,IF(O1136=4,INDEX(Acceleration!$T$4:$T$110,MATCH('Track Data'!S1136,Acceleration!$K$4:$K$110,0)),IF('Track Data'!O1136=3,INDEX(Acceleration!$S$4:$S$110,MATCH('Track Data'!S1136,Acceleration!$K$4:$K$110,0)),'Track Data'!AF1136)),'Track Data'!U1136)</f>
        <v>4.8209066787706405</v>
      </c>
      <c r="AH1136" s="16">
        <f>IF(AC1136=0,IF(O1136=2,INDEX(Acceleration!$R$4:$R$110,MATCH('Track Data'!S1136,Acceleration!$K$4:$K$110,0)),IF('Track Data'!O1136=1,INDEX(Acceleration!$Q$4:$Q$110,MATCH('Track Data'!S1136,Acceleration!$K$4:$K$110,0)),'Track Data'!AG1136)),'Track Data'!U1136)</f>
        <v>4.8209066787706405</v>
      </c>
    </row>
    <row r="1137" spans="2:34" x14ac:dyDescent="0.25">
      <c r="B1137" s="16">
        <v>227.55099999999999</v>
      </c>
      <c r="C1137" s="16">
        <v>8407</v>
      </c>
      <c r="D1137" s="16">
        <v>1134</v>
      </c>
      <c r="E1137" s="113">
        <v>131</v>
      </c>
      <c r="F1137" s="113">
        <v>130.19999999999999</v>
      </c>
      <c r="G1137" s="113">
        <v>118.5</v>
      </c>
      <c r="H1137" s="113">
        <f t="shared" si="124"/>
        <v>32.916666666666664</v>
      </c>
      <c r="I1137" s="113">
        <v>15.7</v>
      </c>
      <c r="J1137" s="113">
        <v>73.319999999999993</v>
      </c>
      <c r="K1137" s="113">
        <v>-55</v>
      </c>
      <c r="L1137" s="183"/>
      <c r="M1137" s="16">
        <v>1134</v>
      </c>
      <c r="N1137" s="16">
        <f t="shared" si="126"/>
        <v>2.2841188743510724E-2</v>
      </c>
      <c r="O1137" s="16">
        <v>4</v>
      </c>
      <c r="P1137" s="16">
        <f t="shared" si="122"/>
        <v>9.1833785004516724</v>
      </c>
      <c r="Q1137" s="16">
        <f t="shared" si="127"/>
        <v>43.780558500227102</v>
      </c>
      <c r="R1137" s="113">
        <f t="shared" si="123"/>
        <v>329.49099999999999</v>
      </c>
      <c r="S1137" s="16">
        <f>IF(S1136=15800,15800,ROUND((((Q1137*60)/'Gearing Calculator'!$C$14)*'Track Data'!P1137),-2))</f>
        <v>12200</v>
      </c>
      <c r="T1137" s="16">
        <f t="shared" si="125"/>
        <v>4.8209066787706405</v>
      </c>
      <c r="U1137" s="16">
        <f>IF(AC1137=100,Braking!$AG$2354,IF(AC1137=50,Braking!$AG$1179,IF(AC1137=75,Braking!$AG$1767,0)))</f>
        <v>0</v>
      </c>
      <c r="V1137" s="16">
        <f>0.5*'Gearing Calculator'!$C$15*'Gearing Calculator'!$C$20*'Gearing Calculator'!$W$20*('Track Data'!Q1137^2)</f>
        <v>202.8674761063169</v>
      </c>
      <c r="W1137" s="16">
        <f>('Gearing Calculator'!$U$9*'Track Data'!T1137)+'Track Data'!V1137</f>
        <v>1486.1928339950614</v>
      </c>
      <c r="X1137" s="16">
        <f>('Gearing Calculator'!$U$9*9.81)*('Gearing Calculator'!$U$16/'Gearing Calculator'!$C$7)-(('Track Data'!W1137)*('Gearing Calculator'!$U$17/'Gearing Calculator'!$C$7))</f>
        <v>591.0857078158931</v>
      </c>
      <c r="Y1137" s="16">
        <f>('Gearing Calculator'!$U$9*9.81)*(('Gearing Calculator'!$C$7-'Gearing Calculator'!$U$16)/'Gearing Calculator'!$C$7)+(('Track Data'!W1137)*('Gearing Calculator'!$U$17/'Gearing Calculator'!$C$7))</f>
        <v>2020.3362921841069</v>
      </c>
      <c r="Z1137" s="16">
        <f>((X1137*COS('Gearing Calculator'!$C$21))/'Gearing Calculator'!$C$22)/2</f>
        <v>18.274500640847798</v>
      </c>
      <c r="AA1137" s="16">
        <f>Y1137/'Gearing Calculator'!$C$24</f>
        <v>28.210670940130971</v>
      </c>
      <c r="AB1137" s="16">
        <f t="shared" si="121"/>
        <v>222.15110282139946</v>
      </c>
      <c r="AC1137" s="16">
        <v>0</v>
      </c>
      <c r="AD1137" s="16">
        <v>-45.249166535644598</v>
      </c>
      <c r="AE1137" s="16">
        <v>1134</v>
      </c>
      <c r="AF1137" s="16">
        <f>IF(AC1137=0,IF(O1137=6,INDEX(Acceleration!$V$4:$V$110,MATCH('Track Data'!S1137,Acceleration!$K$4:$K$110,0)),IF('Track Data'!O1137=5,INDEX(Acceleration!$U$4:$U$110,MATCH('Track Data'!S1137,Acceleration!$K$4:$K$110,0)),1)),U1137)</f>
        <v>1</v>
      </c>
      <c r="AG1137" s="16">
        <f>IF(AC1137=0,IF(O1137=4,INDEX(Acceleration!$T$4:$T$110,MATCH('Track Data'!S1137,Acceleration!$K$4:$K$110,0)),IF('Track Data'!O1137=3,INDEX(Acceleration!$S$4:$S$110,MATCH('Track Data'!S1137,Acceleration!$K$4:$K$110,0)),'Track Data'!AF1137)),'Track Data'!U1137)</f>
        <v>4.8209066787706405</v>
      </c>
      <c r="AH1137" s="16">
        <f>IF(AC1137=0,IF(O1137=2,INDEX(Acceleration!$R$4:$R$110,MATCH('Track Data'!S1137,Acceleration!$K$4:$K$110,0)),IF('Track Data'!O1137=1,INDEX(Acceleration!$Q$4:$Q$110,MATCH('Track Data'!S1137,Acceleration!$K$4:$K$110,0)),'Track Data'!AG1137)),'Track Data'!U1137)</f>
        <v>4.8209066787706405</v>
      </c>
    </row>
    <row r="1138" spans="2:34" x14ac:dyDescent="0.25">
      <c r="B1138" s="16">
        <v>227.57900000000001</v>
      </c>
      <c r="C1138" s="16">
        <v>8408</v>
      </c>
      <c r="D1138" s="16">
        <v>1135</v>
      </c>
      <c r="E1138" s="113">
        <v>131</v>
      </c>
      <c r="F1138" s="113">
        <v>130</v>
      </c>
      <c r="G1138" s="113">
        <v>118.2</v>
      </c>
      <c r="H1138" s="113">
        <f t="shared" si="124"/>
        <v>32.833333333333336</v>
      </c>
      <c r="I1138" s="113">
        <v>15.5</v>
      </c>
      <c r="J1138" s="113">
        <v>73.34</v>
      </c>
      <c r="K1138" s="113">
        <v>-55.2</v>
      </c>
      <c r="L1138" s="183"/>
      <c r="M1138" s="16">
        <v>1135</v>
      </c>
      <c r="N1138" s="16">
        <f t="shared" si="126"/>
        <v>2.2841188743510724E-2</v>
      </c>
      <c r="O1138" s="16">
        <v>4</v>
      </c>
      <c r="P1138" s="16">
        <f t="shared" si="122"/>
        <v>9.1833785004516724</v>
      </c>
      <c r="Q1138" s="16">
        <f t="shared" si="127"/>
        <v>43.780558500227102</v>
      </c>
      <c r="R1138" s="113">
        <f t="shared" si="123"/>
        <v>329.49099999999999</v>
      </c>
      <c r="S1138" s="16">
        <f>IF(S1137=15800,15800,ROUND((((Q1138*60)/'Gearing Calculator'!$C$14)*'Track Data'!P1138),-2))</f>
        <v>12200</v>
      </c>
      <c r="T1138" s="16">
        <f t="shared" si="125"/>
        <v>4.8209066787706405</v>
      </c>
      <c r="U1138" s="16">
        <f>IF(AC1138=100,Braking!$AG$2354,IF(AC1138=50,Braking!$AG$1179,IF(AC1138=75,Braking!$AG$1767,0)))</f>
        <v>0</v>
      </c>
      <c r="V1138" s="16">
        <f>0.5*'Gearing Calculator'!$C$15*'Gearing Calculator'!$C$20*'Gearing Calculator'!$W$20*('Track Data'!Q1138^2)</f>
        <v>202.8674761063169</v>
      </c>
      <c r="W1138" s="16">
        <f>('Gearing Calculator'!$U$9*'Track Data'!T1138)+'Track Data'!V1138</f>
        <v>1486.1928339950614</v>
      </c>
      <c r="X1138" s="16">
        <f>('Gearing Calculator'!$U$9*9.81)*('Gearing Calculator'!$U$16/'Gearing Calculator'!$C$7)-(('Track Data'!W1138)*('Gearing Calculator'!$U$17/'Gearing Calculator'!$C$7))</f>
        <v>591.0857078158931</v>
      </c>
      <c r="Y1138" s="16">
        <f>('Gearing Calculator'!$U$9*9.81)*(('Gearing Calculator'!$C$7-'Gearing Calculator'!$U$16)/'Gearing Calculator'!$C$7)+(('Track Data'!W1138)*('Gearing Calculator'!$U$17/'Gearing Calculator'!$C$7))</f>
        <v>2020.3362921841069</v>
      </c>
      <c r="Z1138" s="16">
        <f>((X1138*COS('Gearing Calculator'!$C$21))/'Gearing Calculator'!$C$22)/2</f>
        <v>18.274500640847798</v>
      </c>
      <c r="AA1138" s="16">
        <f>Y1138/'Gearing Calculator'!$C$24</f>
        <v>28.210670940130971</v>
      </c>
      <c r="AB1138" s="16">
        <f t="shared" si="121"/>
        <v>222.15110282139946</v>
      </c>
      <c r="AC1138" s="16">
        <v>0</v>
      </c>
      <c r="AD1138" s="16">
        <v>-45.249166535644598</v>
      </c>
      <c r="AE1138" s="16">
        <v>1135</v>
      </c>
      <c r="AF1138" s="16">
        <f>IF(AC1138=0,IF(O1138=6,INDEX(Acceleration!$V$4:$V$110,MATCH('Track Data'!S1138,Acceleration!$K$4:$K$110,0)),IF('Track Data'!O1138=5,INDEX(Acceleration!$U$4:$U$110,MATCH('Track Data'!S1138,Acceleration!$K$4:$K$110,0)),1)),U1138)</f>
        <v>1</v>
      </c>
      <c r="AG1138" s="16">
        <f>IF(AC1138=0,IF(O1138=4,INDEX(Acceleration!$T$4:$T$110,MATCH('Track Data'!S1138,Acceleration!$K$4:$K$110,0)),IF('Track Data'!O1138=3,INDEX(Acceleration!$S$4:$S$110,MATCH('Track Data'!S1138,Acceleration!$K$4:$K$110,0)),'Track Data'!AF1138)),'Track Data'!U1138)</f>
        <v>4.8209066787706405</v>
      </c>
      <c r="AH1138" s="16">
        <f>IF(AC1138=0,IF(O1138=2,INDEX(Acceleration!$R$4:$R$110,MATCH('Track Data'!S1138,Acceleration!$K$4:$K$110,0)),IF('Track Data'!O1138=1,INDEX(Acceleration!$Q$4:$Q$110,MATCH('Track Data'!S1138,Acceleration!$K$4:$K$110,0)),'Track Data'!AG1138)),'Track Data'!U1138)</f>
        <v>4.8209066787706405</v>
      </c>
    </row>
    <row r="1139" spans="2:34" x14ac:dyDescent="0.25">
      <c r="B1139" s="16">
        <v>227.60599999999999</v>
      </c>
      <c r="C1139" s="16">
        <v>8409</v>
      </c>
      <c r="D1139" s="16">
        <v>1136</v>
      </c>
      <c r="E1139" s="113">
        <v>130</v>
      </c>
      <c r="F1139" s="113">
        <v>129.6</v>
      </c>
      <c r="G1139" s="113">
        <v>117.8</v>
      </c>
      <c r="H1139" s="113">
        <f t="shared" si="124"/>
        <v>32.722222222222221</v>
      </c>
      <c r="I1139" s="113">
        <v>15.5</v>
      </c>
      <c r="J1139" s="113">
        <v>73.47</v>
      </c>
      <c r="K1139" s="113">
        <v>-55.5</v>
      </c>
      <c r="L1139" s="183"/>
      <c r="M1139" s="16">
        <v>1136</v>
      </c>
      <c r="N1139" s="16">
        <f t="shared" si="126"/>
        <v>2.2841188743510724E-2</v>
      </c>
      <c r="O1139" s="16">
        <v>4</v>
      </c>
      <c r="P1139" s="16">
        <f t="shared" si="122"/>
        <v>9.1833785004516724</v>
      </c>
      <c r="Q1139" s="16">
        <f t="shared" si="127"/>
        <v>43.780558500227102</v>
      </c>
      <c r="R1139" s="113">
        <f t="shared" si="123"/>
        <v>329.49099999999999</v>
      </c>
      <c r="S1139" s="16">
        <f>IF(S1138=15800,15800,ROUND((((Q1139*60)/'Gearing Calculator'!$C$14)*'Track Data'!P1139),-2))</f>
        <v>12200</v>
      </c>
      <c r="T1139" s="16">
        <f t="shared" si="125"/>
        <v>4.8209066787706405</v>
      </c>
      <c r="U1139" s="16">
        <f>IF(AC1139=100,Braking!$AG$2354,IF(AC1139=50,Braking!$AG$1179,IF(AC1139=75,Braking!$AG$1767,0)))</f>
        <v>0</v>
      </c>
      <c r="V1139" s="16">
        <f>0.5*'Gearing Calculator'!$C$15*'Gearing Calculator'!$C$20*'Gearing Calculator'!$W$20*('Track Data'!Q1139^2)</f>
        <v>202.8674761063169</v>
      </c>
      <c r="W1139" s="16">
        <f>('Gearing Calculator'!$U$9*'Track Data'!T1139)+'Track Data'!V1139</f>
        <v>1486.1928339950614</v>
      </c>
      <c r="X1139" s="16">
        <f>('Gearing Calculator'!$U$9*9.81)*('Gearing Calculator'!$U$16/'Gearing Calculator'!$C$7)-(('Track Data'!W1139)*('Gearing Calculator'!$U$17/'Gearing Calculator'!$C$7))</f>
        <v>591.0857078158931</v>
      </c>
      <c r="Y1139" s="16">
        <f>('Gearing Calculator'!$U$9*9.81)*(('Gearing Calculator'!$C$7-'Gearing Calculator'!$U$16)/'Gearing Calculator'!$C$7)+(('Track Data'!W1139)*('Gearing Calculator'!$U$17/'Gearing Calculator'!$C$7))</f>
        <v>2020.3362921841069</v>
      </c>
      <c r="Z1139" s="16">
        <f>((X1139*COS('Gearing Calculator'!$C$21))/'Gearing Calculator'!$C$22)/2</f>
        <v>18.274500640847798</v>
      </c>
      <c r="AA1139" s="16">
        <f>Y1139/'Gearing Calculator'!$C$24</f>
        <v>28.210670940130971</v>
      </c>
      <c r="AB1139" s="16">
        <f t="shared" si="121"/>
        <v>222.15110282139946</v>
      </c>
      <c r="AC1139" s="16">
        <v>0</v>
      </c>
      <c r="AD1139" s="16">
        <v>-45.249166535644598</v>
      </c>
      <c r="AE1139" s="16">
        <v>1136</v>
      </c>
      <c r="AF1139" s="16">
        <f>IF(AC1139=0,IF(O1139=6,INDEX(Acceleration!$V$4:$V$110,MATCH('Track Data'!S1139,Acceleration!$K$4:$K$110,0)),IF('Track Data'!O1139=5,INDEX(Acceleration!$U$4:$U$110,MATCH('Track Data'!S1139,Acceleration!$K$4:$K$110,0)),1)),U1139)</f>
        <v>1</v>
      </c>
      <c r="AG1139" s="16">
        <f>IF(AC1139=0,IF(O1139=4,INDEX(Acceleration!$T$4:$T$110,MATCH('Track Data'!S1139,Acceleration!$K$4:$K$110,0)),IF('Track Data'!O1139=3,INDEX(Acceleration!$S$4:$S$110,MATCH('Track Data'!S1139,Acceleration!$K$4:$K$110,0)),'Track Data'!AF1139)),'Track Data'!U1139)</f>
        <v>4.8209066787706405</v>
      </c>
      <c r="AH1139" s="16">
        <f>IF(AC1139=0,IF(O1139=2,INDEX(Acceleration!$R$4:$R$110,MATCH('Track Data'!S1139,Acceleration!$K$4:$K$110,0)),IF('Track Data'!O1139=1,INDEX(Acceleration!$Q$4:$Q$110,MATCH('Track Data'!S1139,Acceleration!$K$4:$K$110,0)),'Track Data'!AG1139)),'Track Data'!U1139)</f>
        <v>4.8209066787706405</v>
      </c>
    </row>
    <row r="1140" spans="2:34" x14ac:dyDescent="0.25">
      <c r="B1140" s="16">
        <v>227.63399999999999</v>
      </c>
      <c r="C1140" s="16">
        <v>8410</v>
      </c>
      <c r="D1140" s="16">
        <v>1137</v>
      </c>
      <c r="E1140" s="113">
        <v>129</v>
      </c>
      <c r="F1140" s="113">
        <v>129.1</v>
      </c>
      <c r="G1140" s="113">
        <v>117.4</v>
      </c>
      <c r="H1140" s="113">
        <f t="shared" si="124"/>
        <v>32.611111111111114</v>
      </c>
      <c r="I1140" s="113">
        <v>15.3</v>
      </c>
      <c r="J1140" s="113">
        <v>71.959999999999994</v>
      </c>
      <c r="K1140" s="113">
        <v>-55.3</v>
      </c>
      <c r="L1140" s="183"/>
      <c r="M1140" s="16">
        <v>1137</v>
      </c>
      <c r="N1140" s="16">
        <f t="shared" si="126"/>
        <v>2.2841188743510724E-2</v>
      </c>
      <c r="O1140" s="16">
        <v>4</v>
      </c>
      <c r="P1140" s="16">
        <f t="shared" si="122"/>
        <v>9.1833785004516724</v>
      </c>
      <c r="Q1140" s="16">
        <f t="shared" si="127"/>
        <v>43.780558500227102</v>
      </c>
      <c r="R1140" s="113">
        <f t="shared" si="123"/>
        <v>329.49099999999999</v>
      </c>
      <c r="S1140" s="16">
        <f>IF(S1139=15800,15800,ROUND((((Q1140*60)/'Gearing Calculator'!$C$14)*'Track Data'!P1140),-2))</f>
        <v>12200</v>
      </c>
      <c r="T1140" s="16">
        <f t="shared" si="125"/>
        <v>4.8209066787706405</v>
      </c>
      <c r="U1140" s="16">
        <f>IF(AC1140=100,Braking!$AG$2354,IF(AC1140=50,Braking!$AG$1179,IF(AC1140=75,Braking!$AG$1767,0)))</f>
        <v>0</v>
      </c>
      <c r="V1140" s="16">
        <f>0.5*'Gearing Calculator'!$C$15*'Gearing Calculator'!$C$20*'Gearing Calculator'!$W$20*('Track Data'!Q1140^2)</f>
        <v>202.8674761063169</v>
      </c>
      <c r="W1140" s="16">
        <f>('Gearing Calculator'!$U$9*'Track Data'!T1140)+'Track Data'!V1140</f>
        <v>1486.1928339950614</v>
      </c>
      <c r="X1140" s="16">
        <f>('Gearing Calculator'!$U$9*9.81)*('Gearing Calculator'!$U$16/'Gearing Calculator'!$C$7)-(('Track Data'!W1140)*('Gearing Calculator'!$U$17/'Gearing Calculator'!$C$7))</f>
        <v>591.0857078158931</v>
      </c>
      <c r="Y1140" s="16">
        <f>('Gearing Calculator'!$U$9*9.81)*(('Gearing Calculator'!$C$7-'Gearing Calculator'!$U$16)/'Gearing Calculator'!$C$7)+(('Track Data'!W1140)*('Gearing Calculator'!$U$17/'Gearing Calculator'!$C$7))</f>
        <v>2020.3362921841069</v>
      </c>
      <c r="Z1140" s="16">
        <f>((X1140*COS('Gearing Calculator'!$C$21))/'Gearing Calculator'!$C$22)/2</f>
        <v>18.274500640847798</v>
      </c>
      <c r="AA1140" s="16">
        <f>Y1140/'Gearing Calculator'!$C$24</f>
        <v>28.210670940130971</v>
      </c>
      <c r="AB1140" s="16">
        <f t="shared" si="121"/>
        <v>222.15110282139946</v>
      </c>
      <c r="AC1140" s="16">
        <v>0</v>
      </c>
      <c r="AD1140" s="16">
        <v>-45.249166535644598</v>
      </c>
      <c r="AE1140" s="16">
        <v>1137</v>
      </c>
      <c r="AF1140" s="16">
        <f>IF(AC1140=0,IF(O1140=6,INDEX(Acceleration!$V$4:$V$110,MATCH('Track Data'!S1140,Acceleration!$K$4:$K$110,0)),IF('Track Data'!O1140=5,INDEX(Acceleration!$U$4:$U$110,MATCH('Track Data'!S1140,Acceleration!$K$4:$K$110,0)),1)),U1140)</f>
        <v>1</v>
      </c>
      <c r="AG1140" s="16">
        <f>IF(AC1140=0,IF(O1140=4,INDEX(Acceleration!$T$4:$T$110,MATCH('Track Data'!S1140,Acceleration!$K$4:$K$110,0)),IF('Track Data'!O1140=3,INDEX(Acceleration!$S$4:$S$110,MATCH('Track Data'!S1140,Acceleration!$K$4:$K$110,0)),'Track Data'!AF1140)),'Track Data'!U1140)</f>
        <v>4.8209066787706405</v>
      </c>
      <c r="AH1140" s="16">
        <f>IF(AC1140=0,IF(O1140=2,INDEX(Acceleration!$R$4:$R$110,MATCH('Track Data'!S1140,Acceleration!$K$4:$K$110,0)),IF('Track Data'!O1140=1,INDEX(Acceleration!$Q$4:$Q$110,MATCH('Track Data'!S1140,Acceleration!$K$4:$K$110,0)),'Track Data'!AG1140)),'Track Data'!U1140)</f>
        <v>4.8209066787706405</v>
      </c>
    </row>
    <row r="1141" spans="2:34" x14ac:dyDescent="0.25">
      <c r="B1141" s="16">
        <v>227.66200000000001</v>
      </c>
      <c r="C1141" s="16">
        <v>8411</v>
      </c>
      <c r="D1141" s="16">
        <v>1138</v>
      </c>
      <c r="E1141" s="113">
        <v>129</v>
      </c>
      <c r="F1141" s="113">
        <v>128.80000000000001</v>
      </c>
      <c r="G1141" s="113">
        <v>117</v>
      </c>
      <c r="H1141" s="113">
        <f t="shared" si="124"/>
        <v>32.5</v>
      </c>
      <c r="I1141" s="113">
        <v>14.6</v>
      </c>
      <c r="J1141" s="113">
        <v>71.900000000000006</v>
      </c>
      <c r="K1141" s="113">
        <v>-55.1</v>
      </c>
      <c r="L1141" s="183"/>
      <c r="M1141" s="16">
        <v>1138</v>
      </c>
      <c r="N1141" s="16">
        <f t="shared" si="126"/>
        <v>2.2841188743510724E-2</v>
      </c>
      <c r="O1141" s="16">
        <v>4</v>
      </c>
      <c r="P1141" s="16">
        <f t="shared" si="122"/>
        <v>9.1833785004516724</v>
      </c>
      <c r="Q1141" s="16">
        <f t="shared" si="127"/>
        <v>43.780558500227102</v>
      </c>
      <c r="R1141" s="113">
        <f t="shared" si="123"/>
        <v>329.49099999999999</v>
      </c>
      <c r="S1141" s="16">
        <f>IF(S1140=15800,15800,ROUND((((Q1141*60)/'Gearing Calculator'!$C$14)*'Track Data'!P1141),-2))</f>
        <v>12200</v>
      </c>
      <c r="T1141" s="16">
        <f t="shared" si="125"/>
        <v>4.8209066787706405</v>
      </c>
      <c r="U1141" s="16">
        <f>IF(AC1141=100,Braking!$AG$2354,IF(AC1141=50,Braking!$AG$1179,IF(AC1141=75,Braking!$AG$1767,0)))</f>
        <v>0</v>
      </c>
      <c r="V1141" s="16">
        <f>0.5*'Gearing Calculator'!$C$15*'Gearing Calculator'!$C$20*'Gearing Calculator'!$W$20*('Track Data'!Q1141^2)</f>
        <v>202.8674761063169</v>
      </c>
      <c r="W1141" s="16">
        <f>('Gearing Calculator'!$U$9*'Track Data'!T1141)+'Track Data'!V1141</f>
        <v>1486.1928339950614</v>
      </c>
      <c r="X1141" s="16">
        <f>('Gearing Calculator'!$U$9*9.81)*('Gearing Calculator'!$U$16/'Gearing Calculator'!$C$7)-(('Track Data'!W1141)*('Gearing Calculator'!$U$17/'Gearing Calculator'!$C$7))</f>
        <v>591.0857078158931</v>
      </c>
      <c r="Y1141" s="16">
        <f>('Gearing Calculator'!$U$9*9.81)*(('Gearing Calculator'!$C$7-'Gearing Calculator'!$U$16)/'Gearing Calculator'!$C$7)+(('Track Data'!W1141)*('Gearing Calculator'!$U$17/'Gearing Calculator'!$C$7))</f>
        <v>2020.3362921841069</v>
      </c>
      <c r="Z1141" s="16">
        <f>((X1141*COS('Gearing Calculator'!$C$21))/'Gearing Calculator'!$C$22)/2</f>
        <v>18.274500640847798</v>
      </c>
      <c r="AA1141" s="16">
        <f>Y1141/'Gearing Calculator'!$C$24</f>
        <v>28.210670940130971</v>
      </c>
      <c r="AB1141" s="16">
        <f t="shared" si="121"/>
        <v>222.15110282139946</v>
      </c>
      <c r="AC1141" s="16">
        <v>0</v>
      </c>
      <c r="AD1141" s="16">
        <v>-45.249166535644598</v>
      </c>
      <c r="AE1141" s="16">
        <v>1138</v>
      </c>
      <c r="AF1141" s="16">
        <f>IF(AC1141=0,IF(O1141=6,INDEX(Acceleration!$V$4:$V$110,MATCH('Track Data'!S1141,Acceleration!$K$4:$K$110,0)),IF('Track Data'!O1141=5,INDEX(Acceleration!$U$4:$U$110,MATCH('Track Data'!S1141,Acceleration!$K$4:$K$110,0)),1)),U1141)</f>
        <v>1</v>
      </c>
      <c r="AG1141" s="16">
        <f>IF(AC1141=0,IF(O1141=4,INDEX(Acceleration!$T$4:$T$110,MATCH('Track Data'!S1141,Acceleration!$K$4:$K$110,0)),IF('Track Data'!O1141=3,INDEX(Acceleration!$S$4:$S$110,MATCH('Track Data'!S1141,Acceleration!$K$4:$K$110,0)),'Track Data'!AF1141)),'Track Data'!U1141)</f>
        <v>4.8209066787706405</v>
      </c>
      <c r="AH1141" s="16">
        <f>IF(AC1141=0,IF(O1141=2,INDEX(Acceleration!$R$4:$R$110,MATCH('Track Data'!S1141,Acceleration!$K$4:$K$110,0)),IF('Track Data'!O1141=1,INDEX(Acceleration!$Q$4:$Q$110,MATCH('Track Data'!S1141,Acceleration!$K$4:$K$110,0)),'Track Data'!AG1141)),'Track Data'!U1141)</f>
        <v>4.8209066787706405</v>
      </c>
    </row>
    <row r="1142" spans="2:34" x14ac:dyDescent="0.25">
      <c r="B1142" s="16">
        <v>227.68899999999999</v>
      </c>
      <c r="C1142" s="16">
        <v>8412</v>
      </c>
      <c r="D1142" s="16">
        <v>1139</v>
      </c>
      <c r="E1142" s="113">
        <v>129</v>
      </c>
      <c r="F1142" s="113">
        <v>128.5</v>
      </c>
      <c r="G1142" s="113">
        <v>116.8</v>
      </c>
      <c r="H1142" s="113">
        <f t="shared" si="124"/>
        <v>32.444444444444443</v>
      </c>
      <c r="I1142" s="113">
        <v>14.4</v>
      </c>
      <c r="J1142" s="113">
        <v>71.34</v>
      </c>
      <c r="K1142" s="113">
        <v>-55.1</v>
      </c>
      <c r="L1142" s="183"/>
      <c r="M1142" s="16">
        <v>1139</v>
      </c>
      <c r="N1142" s="16">
        <f t="shared" si="126"/>
        <v>2.2841188743510724E-2</v>
      </c>
      <c r="O1142" s="16">
        <v>4</v>
      </c>
      <c r="P1142" s="16">
        <f t="shared" si="122"/>
        <v>9.1833785004516724</v>
      </c>
      <c r="Q1142" s="16">
        <f t="shared" si="127"/>
        <v>43.780558500227102</v>
      </c>
      <c r="R1142" s="113">
        <f t="shared" si="123"/>
        <v>329.49099999999999</v>
      </c>
      <c r="S1142" s="16">
        <f>IF(S1141=15800,15800,ROUND((((Q1142*60)/'Gearing Calculator'!$C$14)*'Track Data'!P1142),-2))</f>
        <v>12200</v>
      </c>
      <c r="T1142" s="16">
        <f t="shared" si="125"/>
        <v>4.8209066787706405</v>
      </c>
      <c r="U1142" s="16">
        <f>IF(AC1142=100,Braking!$AG$2354,IF(AC1142=50,Braking!$AG$1179,IF(AC1142=75,Braking!$AG$1767,0)))</f>
        <v>0</v>
      </c>
      <c r="V1142" s="16">
        <f>0.5*'Gearing Calculator'!$C$15*'Gearing Calculator'!$C$20*'Gearing Calculator'!$W$20*('Track Data'!Q1142^2)</f>
        <v>202.8674761063169</v>
      </c>
      <c r="W1142" s="16">
        <f>('Gearing Calculator'!$U$9*'Track Data'!T1142)+'Track Data'!V1142</f>
        <v>1486.1928339950614</v>
      </c>
      <c r="X1142" s="16">
        <f>('Gearing Calculator'!$U$9*9.81)*('Gearing Calculator'!$U$16/'Gearing Calculator'!$C$7)-(('Track Data'!W1142)*('Gearing Calculator'!$U$17/'Gearing Calculator'!$C$7))</f>
        <v>591.0857078158931</v>
      </c>
      <c r="Y1142" s="16">
        <f>('Gearing Calculator'!$U$9*9.81)*(('Gearing Calculator'!$C$7-'Gearing Calculator'!$U$16)/'Gearing Calculator'!$C$7)+(('Track Data'!W1142)*('Gearing Calculator'!$U$17/'Gearing Calculator'!$C$7))</f>
        <v>2020.3362921841069</v>
      </c>
      <c r="Z1142" s="16">
        <f>((X1142*COS('Gearing Calculator'!$C$21))/'Gearing Calculator'!$C$22)/2</f>
        <v>18.274500640847798</v>
      </c>
      <c r="AA1142" s="16">
        <f>Y1142/'Gearing Calculator'!$C$24</f>
        <v>28.210670940130971</v>
      </c>
      <c r="AB1142" s="16">
        <f t="shared" ref="AB1142:AB1205" si="128">(T1142*O1142)+V1142</f>
        <v>222.15110282139946</v>
      </c>
      <c r="AC1142" s="16">
        <v>0</v>
      </c>
      <c r="AD1142" s="16">
        <v>-45.249166535644598</v>
      </c>
      <c r="AE1142" s="16">
        <v>1139</v>
      </c>
      <c r="AF1142" s="16">
        <f>IF(AC1142=0,IF(O1142=6,INDEX(Acceleration!$V$4:$V$110,MATCH('Track Data'!S1142,Acceleration!$K$4:$K$110,0)),IF('Track Data'!O1142=5,INDEX(Acceleration!$U$4:$U$110,MATCH('Track Data'!S1142,Acceleration!$K$4:$K$110,0)),1)),U1142)</f>
        <v>1</v>
      </c>
      <c r="AG1142" s="16">
        <f>IF(AC1142=0,IF(O1142=4,INDEX(Acceleration!$T$4:$T$110,MATCH('Track Data'!S1142,Acceleration!$K$4:$K$110,0)),IF('Track Data'!O1142=3,INDEX(Acceleration!$S$4:$S$110,MATCH('Track Data'!S1142,Acceleration!$K$4:$K$110,0)),'Track Data'!AF1142)),'Track Data'!U1142)</f>
        <v>4.8209066787706405</v>
      </c>
      <c r="AH1142" s="16">
        <f>IF(AC1142=0,IF(O1142=2,INDEX(Acceleration!$R$4:$R$110,MATCH('Track Data'!S1142,Acceleration!$K$4:$K$110,0)),IF('Track Data'!O1142=1,INDEX(Acceleration!$Q$4:$Q$110,MATCH('Track Data'!S1142,Acceleration!$K$4:$K$110,0)),'Track Data'!AG1142)),'Track Data'!U1142)</f>
        <v>4.8209066787706405</v>
      </c>
    </row>
    <row r="1143" spans="2:34" x14ac:dyDescent="0.25">
      <c r="B1143" s="16">
        <v>227.71799999999999</v>
      </c>
      <c r="C1143" s="16">
        <v>8413</v>
      </c>
      <c r="D1143" s="16">
        <v>1140</v>
      </c>
      <c r="E1143" s="113">
        <v>129</v>
      </c>
      <c r="F1143" s="113">
        <v>127.8</v>
      </c>
      <c r="G1143" s="113">
        <v>116.3</v>
      </c>
      <c r="H1143" s="113">
        <f t="shared" si="124"/>
        <v>32.305555555555557</v>
      </c>
      <c r="I1143" s="113">
        <v>15</v>
      </c>
      <c r="J1143" s="113">
        <v>70.849999999999994</v>
      </c>
      <c r="K1143" s="113">
        <v>-55.4</v>
      </c>
      <c r="L1143" s="183"/>
      <c r="M1143" s="16">
        <v>1140</v>
      </c>
      <c r="N1143" s="16">
        <f t="shared" si="126"/>
        <v>2.2841188743510724E-2</v>
      </c>
      <c r="O1143" s="16">
        <v>4</v>
      </c>
      <c r="P1143" s="16">
        <f t="shared" si="122"/>
        <v>9.1833785004516724</v>
      </c>
      <c r="Q1143" s="16">
        <f t="shared" si="127"/>
        <v>43.780558500227102</v>
      </c>
      <c r="R1143" s="113">
        <f t="shared" si="123"/>
        <v>329.49099999999999</v>
      </c>
      <c r="S1143" s="16">
        <f>IF(S1142=15800,15800,ROUND((((Q1143*60)/'Gearing Calculator'!$C$14)*'Track Data'!P1143),-2))</f>
        <v>12200</v>
      </c>
      <c r="T1143" s="16">
        <f t="shared" si="125"/>
        <v>4.8209066787706405</v>
      </c>
      <c r="U1143" s="16">
        <f>IF(AC1143=100,Braking!$AG$2354,IF(AC1143=50,Braking!$AG$1179,IF(AC1143=75,Braking!$AG$1767,0)))</f>
        <v>0</v>
      </c>
      <c r="V1143" s="16">
        <f>0.5*'Gearing Calculator'!$C$15*'Gearing Calculator'!$C$20*'Gearing Calculator'!$W$20*('Track Data'!Q1143^2)</f>
        <v>202.8674761063169</v>
      </c>
      <c r="W1143" s="16">
        <f>('Gearing Calculator'!$U$9*'Track Data'!T1143)+'Track Data'!V1143</f>
        <v>1486.1928339950614</v>
      </c>
      <c r="X1143" s="16">
        <f>('Gearing Calculator'!$U$9*9.81)*('Gearing Calculator'!$U$16/'Gearing Calculator'!$C$7)-(('Track Data'!W1143)*('Gearing Calculator'!$U$17/'Gearing Calculator'!$C$7))</f>
        <v>591.0857078158931</v>
      </c>
      <c r="Y1143" s="16">
        <f>('Gearing Calculator'!$U$9*9.81)*(('Gearing Calculator'!$C$7-'Gearing Calculator'!$U$16)/'Gearing Calculator'!$C$7)+(('Track Data'!W1143)*('Gearing Calculator'!$U$17/'Gearing Calculator'!$C$7))</f>
        <v>2020.3362921841069</v>
      </c>
      <c r="Z1143" s="16">
        <f>((X1143*COS('Gearing Calculator'!$C$21))/'Gearing Calculator'!$C$22)/2</f>
        <v>18.274500640847798</v>
      </c>
      <c r="AA1143" s="16">
        <f>Y1143/'Gearing Calculator'!$C$24</f>
        <v>28.210670940130971</v>
      </c>
      <c r="AB1143" s="16">
        <f t="shared" si="128"/>
        <v>222.15110282139946</v>
      </c>
      <c r="AC1143" s="16">
        <v>0</v>
      </c>
      <c r="AD1143" s="16">
        <v>-45.249166535644598</v>
      </c>
      <c r="AE1143" s="16">
        <v>1140</v>
      </c>
      <c r="AF1143" s="16">
        <f>IF(AC1143=0,IF(O1143=6,INDEX(Acceleration!$V$4:$V$110,MATCH('Track Data'!S1143,Acceleration!$K$4:$K$110,0)),IF('Track Data'!O1143=5,INDEX(Acceleration!$U$4:$U$110,MATCH('Track Data'!S1143,Acceleration!$K$4:$K$110,0)),1)),U1143)</f>
        <v>1</v>
      </c>
      <c r="AG1143" s="16">
        <f>IF(AC1143=0,IF(O1143=4,INDEX(Acceleration!$T$4:$T$110,MATCH('Track Data'!S1143,Acceleration!$K$4:$K$110,0)),IF('Track Data'!O1143=3,INDEX(Acceleration!$S$4:$S$110,MATCH('Track Data'!S1143,Acceleration!$K$4:$K$110,0)),'Track Data'!AF1143)),'Track Data'!U1143)</f>
        <v>4.8209066787706405</v>
      </c>
      <c r="AH1143" s="16">
        <f>IF(AC1143=0,IF(O1143=2,INDEX(Acceleration!$R$4:$R$110,MATCH('Track Data'!S1143,Acceleration!$K$4:$K$110,0)),IF('Track Data'!O1143=1,INDEX(Acceleration!$Q$4:$Q$110,MATCH('Track Data'!S1143,Acceleration!$K$4:$K$110,0)),'Track Data'!AG1143)),'Track Data'!U1143)</f>
        <v>4.8209066787706405</v>
      </c>
    </row>
    <row r="1144" spans="2:34" x14ac:dyDescent="0.25">
      <c r="B1144" s="16">
        <v>227.74600000000001</v>
      </c>
      <c r="C1144" s="16">
        <v>8414</v>
      </c>
      <c r="D1144" s="16">
        <v>1141</v>
      </c>
      <c r="E1144" s="113">
        <v>128</v>
      </c>
      <c r="F1144" s="113">
        <v>127.4</v>
      </c>
      <c r="G1144" s="113">
        <v>115.9</v>
      </c>
      <c r="H1144" s="113">
        <f t="shared" si="124"/>
        <v>32.194444444444443</v>
      </c>
      <c r="I1144" s="113">
        <v>15.9</v>
      </c>
      <c r="J1144" s="113">
        <v>72.209999999999994</v>
      </c>
      <c r="K1144" s="113">
        <v>-55.7</v>
      </c>
      <c r="L1144" s="183"/>
      <c r="M1144" s="16">
        <v>1141</v>
      </c>
      <c r="N1144" s="16">
        <f t="shared" si="126"/>
        <v>2.2841188743510724E-2</v>
      </c>
      <c r="O1144" s="16">
        <v>4</v>
      </c>
      <c r="P1144" s="16">
        <f t="shared" si="122"/>
        <v>9.1833785004516724</v>
      </c>
      <c r="Q1144" s="16">
        <f t="shared" si="127"/>
        <v>43.780558500227102</v>
      </c>
      <c r="R1144" s="113">
        <f t="shared" si="123"/>
        <v>329.49099999999999</v>
      </c>
      <c r="S1144" s="16">
        <f>IF(S1143=15800,15800,ROUND((((Q1144*60)/'Gearing Calculator'!$C$14)*'Track Data'!P1144),-2))</f>
        <v>12200</v>
      </c>
      <c r="T1144" s="16">
        <f t="shared" si="125"/>
        <v>4.8209066787706405</v>
      </c>
      <c r="U1144" s="16">
        <f>IF(AC1144=100,Braking!$AG$2354,IF(AC1144=50,Braking!$AG$1179,IF(AC1144=75,Braking!$AG$1767,0)))</f>
        <v>0</v>
      </c>
      <c r="V1144" s="16">
        <f>0.5*'Gearing Calculator'!$C$15*'Gearing Calculator'!$C$20*'Gearing Calculator'!$W$20*('Track Data'!Q1144^2)</f>
        <v>202.8674761063169</v>
      </c>
      <c r="W1144" s="16">
        <f>('Gearing Calculator'!$U$9*'Track Data'!T1144)+'Track Data'!V1144</f>
        <v>1486.1928339950614</v>
      </c>
      <c r="X1144" s="16">
        <f>('Gearing Calculator'!$U$9*9.81)*('Gearing Calculator'!$U$16/'Gearing Calculator'!$C$7)-(('Track Data'!W1144)*('Gearing Calculator'!$U$17/'Gearing Calculator'!$C$7))</f>
        <v>591.0857078158931</v>
      </c>
      <c r="Y1144" s="16">
        <f>('Gearing Calculator'!$U$9*9.81)*(('Gearing Calculator'!$C$7-'Gearing Calculator'!$U$16)/'Gearing Calculator'!$C$7)+(('Track Data'!W1144)*('Gearing Calculator'!$U$17/'Gearing Calculator'!$C$7))</f>
        <v>2020.3362921841069</v>
      </c>
      <c r="Z1144" s="16">
        <f>((X1144*COS('Gearing Calculator'!$C$21))/'Gearing Calculator'!$C$22)/2</f>
        <v>18.274500640847798</v>
      </c>
      <c r="AA1144" s="16">
        <f>Y1144/'Gearing Calculator'!$C$24</f>
        <v>28.210670940130971</v>
      </c>
      <c r="AB1144" s="16">
        <f t="shared" si="128"/>
        <v>222.15110282139946</v>
      </c>
      <c r="AC1144" s="16">
        <v>0</v>
      </c>
      <c r="AD1144" s="16">
        <v>-45.249166535644598</v>
      </c>
      <c r="AE1144" s="16">
        <v>1141</v>
      </c>
      <c r="AF1144" s="16">
        <f>IF(AC1144=0,IF(O1144=6,INDEX(Acceleration!$V$4:$V$110,MATCH('Track Data'!S1144,Acceleration!$K$4:$K$110,0)),IF('Track Data'!O1144=5,INDEX(Acceleration!$U$4:$U$110,MATCH('Track Data'!S1144,Acceleration!$K$4:$K$110,0)),1)),U1144)</f>
        <v>1</v>
      </c>
      <c r="AG1144" s="16">
        <f>IF(AC1144=0,IF(O1144=4,INDEX(Acceleration!$T$4:$T$110,MATCH('Track Data'!S1144,Acceleration!$K$4:$K$110,0)),IF('Track Data'!O1144=3,INDEX(Acceleration!$S$4:$S$110,MATCH('Track Data'!S1144,Acceleration!$K$4:$K$110,0)),'Track Data'!AF1144)),'Track Data'!U1144)</f>
        <v>4.8209066787706405</v>
      </c>
      <c r="AH1144" s="16">
        <f>IF(AC1144=0,IF(O1144=2,INDEX(Acceleration!$R$4:$R$110,MATCH('Track Data'!S1144,Acceleration!$K$4:$K$110,0)),IF('Track Data'!O1144=1,INDEX(Acceleration!$Q$4:$Q$110,MATCH('Track Data'!S1144,Acceleration!$K$4:$K$110,0)),'Track Data'!AG1144)),'Track Data'!U1144)</f>
        <v>4.8209066787706405</v>
      </c>
    </row>
    <row r="1145" spans="2:34" x14ac:dyDescent="0.25">
      <c r="B1145" s="16">
        <v>227.774</v>
      </c>
      <c r="C1145" s="16">
        <v>8415</v>
      </c>
      <c r="D1145" s="16">
        <v>1142</v>
      </c>
      <c r="E1145" s="113">
        <v>128</v>
      </c>
      <c r="F1145" s="113">
        <v>127.1</v>
      </c>
      <c r="G1145" s="113">
        <v>115.6</v>
      </c>
      <c r="H1145" s="113">
        <f t="shared" si="124"/>
        <v>32.111111111111107</v>
      </c>
      <c r="I1145" s="113">
        <v>16.600000000000001</v>
      </c>
      <c r="J1145" s="113">
        <v>71.56</v>
      </c>
      <c r="K1145" s="113">
        <v>-55.9</v>
      </c>
      <c r="L1145" s="183"/>
      <c r="M1145" s="16">
        <v>1142</v>
      </c>
      <c r="N1145" s="16">
        <f t="shared" si="126"/>
        <v>2.2841188743510724E-2</v>
      </c>
      <c r="O1145" s="16">
        <v>4</v>
      </c>
      <c r="P1145" s="16">
        <f t="shared" si="122"/>
        <v>9.1833785004516724</v>
      </c>
      <c r="Q1145" s="16">
        <f t="shared" si="127"/>
        <v>43.780558500227102</v>
      </c>
      <c r="R1145" s="113">
        <f t="shared" si="123"/>
        <v>329.49099999999999</v>
      </c>
      <c r="S1145" s="16">
        <f>IF(S1144=15800,15800,ROUND((((Q1145*60)/'Gearing Calculator'!$C$14)*'Track Data'!P1145),-2))</f>
        <v>12200</v>
      </c>
      <c r="T1145" s="16">
        <f t="shared" si="125"/>
        <v>4.8209066787706405</v>
      </c>
      <c r="U1145" s="16">
        <f>IF(AC1145=100,Braking!$AG$2354,IF(AC1145=50,Braking!$AG$1179,IF(AC1145=75,Braking!$AG$1767,0)))</f>
        <v>0</v>
      </c>
      <c r="V1145" s="16">
        <f>0.5*'Gearing Calculator'!$C$15*'Gearing Calculator'!$C$20*'Gearing Calculator'!$W$20*('Track Data'!Q1145^2)</f>
        <v>202.8674761063169</v>
      </c>
      <c r="W1145" s="16">
        <f>('Gearing Calculator'!$U$9*'Track Data'!T1145)+'Track Data'!V1145</f>
        <v>1486.1928339950614</v>
      </c>
      <c r="X1145" s="16">
        <f>('Gearing Calculator'!$U$9*9.81)*('Gearing Calculator'!$U$16/'Gearing Calculator'!$C$7)-(('Track Data'!W1145)*('Gearing Calculator'!$U$17/'Gearing Calculator'!$C$7))</f>
        <v>591.0857078158931</v>
      </c>
      <c r="Y1145" s="16">
        <f>('Gearing Calculator'!$U$9*9.81)*(('Gearing Calculator'!$C$7-'Gearing Calculator'!$U$16)/'Gearing Calculator'!$C$7)+(('Track Data'!W1145)*('Gearing Calculator'!$U$17/'Gearing Calculator'!$C$7))</f>
        <v>2020.3362921841069</v>
      </c>
      <c r="Z1145" s="16">
        <f>((X1145*COS('Gearing Calculator'!$C$21))/'Gearing Calculator'!$C$22)/2</f>
        <v>18.274500640847798</v>
      </c>
      <c r="AA1145" s="16">
        <f>Y1145/'Gearing Calculator'!$C$24</f>
        <v>28.210670940130971</v>
      </c>
      <c r="AB1145" s="16">
        <f t="shared" si="128"/>
        <v>222.15110282139946</v>
      </c>
      <c r="AC1145" s="16">
        <v>0</v>
      </c>
      <c r="AD1145" s="16">
        <v>-45.249166535644598</v>
      </c>
      <c r="AE1145" s="16">
        <v>1142</v>
      </c>
      <c r="AF1145" s="16">
        <f>IF(AC1145=0,IF(O1145=6,INDEX(Acceleration!$V$4:$V$110,MATCH('Track Data'!S1145,Acceleration!$K$4:$K$110,0)),IF('Track Data'!O1145=5,INDEX(Acceleration!$U$4:$U$110,MATCH('Track Data'!S1145,Acceleration!$K$4:$K$110,0)),1)),U1145)</f>
        <v>1</v>
      </c>
      <c r="AG1145" s="16">
        <f>IF(AC1145=0,IF(O1145=4,INDEX(Acceleration!$T$4:$T$110,MATCH('Track Data'!S1145,Acceleration!$K$4:$K$110,0)),IF('Track Data'!O1145=3,INDEX(Acceleration!$S$4:$S$110,MATCH('Track Data'!S1145,Acceleration!$K$4:$K$110,0)),'Track Data'!AF1145)),'Track Data'!U1145)</f>
        <v>4.8209066787706405</v>
      </c>
      <c r="AH1145" s="16">
        <f>IF(AC1145=0,IF(O1145=2,INDEX(Acceleration!$R$4:$R$110,MATCH('Track Data'!S1145,Acceleration!$K$4:$K$110,0)),IF('Track Data'!O1145=1,INDEX(Acceleration!$Q$4:$Q$110,MATCH('Track Data'!S1145,Acceleration!$K$4:$K$110,0)),'Track Data'!AG1145)),'Track Data'!U1145)</f>
        <v>4.8209066787706405</v>
      </c>
    </row>
    <row r="1146" spans="2:34" x14ac:dyDescent="0.25">
      <c r="B1146" s="16">
        <v>227.80199999999999</v>
      </c>
      <c r="C1146" s="16">
        <v>8416</v>
      </c>
      <c r="D1146" s="16">
        <v>1143</v>
      </c>
      <c r="E1146" s="113">
        <v>129</v>
      </c>
      <c r="F1146" s="113">
        <v>126.8</v>
      </c>
      <c r="G1146" s="113">
        <v>115.2</v>
      </c>
      <c r="H1146" s="113">
        <f t="shared" si="124"/>
        <v>32</v>
      </c>
      <c r="I1146" s="113">
        <v>16.5</v>
      </c>
      <c r="J1146" s="113">
        <v>71.34</v>
      </c>
      <c r="K1146" s="113">
        <v>-55.9</v>
      </c>
      <c r="L1146" s="183"/>
      <c r="M1146" s="16">
        <v>1143</v>
      </c>
      <c r="N1146" s="16">
        <f t="shared" si="126"/>
        <v>2.2841188743510724E-2</v>
      </c>
      <c r="O1146" s="16">
        <v>4</v>
      </c>
      <c r="P1146" s="16">
        <f t="shared" si="122"/>
        <v>9.1833785004516724</v>
      </c>
      <c r="Q1146" s="16">
        <f t="shared" si="127"/>
        <v>43.780558500227102</v>
      </c>
      <c r="R1146" s="113">
        <f t="shared" si="123"/>
        <v>329.49099999999999</v>
      </c>
      <c r="S1146" s="16">
        <f>IF(S1145=15800,15800,ROUND((((Q1146*60)/'Gearing Calculator'!$C$14)*'Track Data'!P1146),-2))</f>
        <v>12200</v>
      </c>
      <c r="T1146" s="16">
        <f t="shared" si="125"/>
        <v>4.8209066787706405</v>
      </c>
      <c r="U1146" s="16">
        <f>IF(AC1146=100,Braking!$AG$2354,IF(AC1146=50,Braking!$AG$1179,IF(AC1146=75,Braking!$AG$1767,0)))</f>
        <v>0</v>
      </c>
      <c r="V1146" s="16">
        <f>0.5*'Gearing Calculator'!$C$15*'Gearing Calculator'!$C$20*'Gearing Calculator'!$W$20*('Track Data'!Q1146^2)</f>
        <v>202.8674761063169</v>
      </c>
      <c r="W1146" s="16">
        <f>('Gearing Calculator'!$U$9*'Track Data'!T1146)+'Track Data'!V1146</f>
        <v>1486.1928339950614</v>
      </c>
      <c r="X1146" s="16">
        <f>('Gearing Calculator'!$U$9*9.81)*('Gearing Calculator'!$U$16/'Gearing Calculator'!$C$7)-(('Track Data'!W1146)*('Gearing Calculator'!$U$17/'Gearing Calculator'!$C$7))</f>
        <v>591.0857078158931</v>
      </c>
      <c r="Y1146" s="16">
        <f>('Gearing Calculator'!$U$9*9.81)*(('Gearing Calculator'!$C$7-'Gearing Calculator'!$U$16)/'Gearing Calculator'!$C$7)+(('Track Data'!W1146)*('Gearing Calculator'!$U$17/'Gearing Calculator'!$C$7))</f>
        <v>2020.3362921841069</v>
      </c>
      <c r="Z1146" s="16">
        <f>((X1146*COS('Gearing Calculator'!$C$21))/'Gearing Calculator'!$C$22)/2</f>
        <v>18.274500640847798</v>
      </c>
      <c r="AA1146" s="16">
        <f>Y1146/'Gearing Calculator'!$C$24</f>
        <v>28.210670940130971</v>
      </c>
      <c r="AB1146" s="16">
        <f t="shared" si="128"/>
        <v>222.15110282139946</v>
      </c>
      <c r="AC1146" s="16">
        <v>0</v>
      </c>
      <c r="AD1146" s="16">
        <v>-45.249166535644598</v>
      </c>
      <c r="AE1146" s="16">
        <v>1143</v>
      </c>
      <c r="AF1146" s="16">
        <f>IF(AC1146=0,IF(O1146=6,INDEX(Acceleration!$V$4:$V$110,MATCH('Track Data'!S1146,Acceleration!$K$4:$K$110,0)),IF('Track Data'!O1146=5,INDEX(Acceleration!$U$4:$U$110,MATCH('Track Data'!S1146,Acceleration!$K$4:$K$110,0)),1)),U1146)</f>
        <v>1</v>
      </c>
      <c r="AG1146" s="16">
        <f>IF(AC1146=0,IF(O1146=4,INDEX(Acceleration!$T$4:$T$110,MATCH('Track Data'!S1146,Acceleration!$K$4:$K$110,0)),IF('Track Data'!O1146=3,INDEX(Acceleration!$S$4:$S$110,MATCH('Track Data'!S1146,Acceleration!$K$4:$K$110,0)),'Track Data'!AF1146)),'Track Data'!U1146)</f>
        <v>4.8209066787706405</v>
      </c>
      <c r="AH1146" s="16">
        <f>IF(AC1146=0,IF(O1146=2,INDEX(Acceleration!$R$4:$R$110,MATCH('Track Data'!S1146,Acceleration!$K$4:$K$110,0)),IF('Track Data'!O1146=1,INDEX(Acceleration!$Q$4:$Q$110,MATCH('Track Data'!S1146,Acceleration!$K$4:$K$110,0)),'Track Data'!AG1146)),'Track Data'!U1146)</f>
        <v>4.8209066787706405</v>
      </c>
    </row>
    <row r="1147" spans="2:34" x14ac:dyDescent="0.25">
      <c r="B1147" s="16">
        <v>227.83</v>
      </c>
      <c r="C1147" s="16">
        <v>8417</v>
      </c>
      <c r="D1147" s="16">
        <v>1144</v>
      </c>
      <c r="E1147" s="113">
        <v>128</v>
      </c>
      <c r="F1147" s="113">
        <v>126.6</v>
      </c>
      <c r="G1147" s="113">
        <v>114.8</v>
      </c>
      <c r="H1147" s="113">
        <f t="shared" si="124"/>
        <v>31.888888888888886</v>
      </c>
      <c r="I1147" s="113">
        <v>16.2</v>
      </c>
      <c r="J1147" s="113">
        <v>71.81</v>
      </c>
      <c r="K1147" s="113">
        <v>-55.9</v>
      </c>
      <c r="L1147" s="183"/>
      <c r="M1147" s="16">
        <v>1144</v>
      </c>
      <c r="N1147" s="16">
        <f t="shared" si="126"/>
        <v>2.2841188743510724E-2</v>
      </c>
      <c r="O1147" s="16">
        <v>4</v>
      </c>
      <c r="P1147" s="16">
        <f t="shared" si="122"/>
        <v>9.1833785004516724</v>
      </c>
      <c r="Q1147" s="16">
        <f t="shared" si="127"/>
        <v>43.780558500227102</v>
      </c>
      <c r="R1147" s="113">
        <f t="shared" si="123"/>
        <v>329.49099999999999</v>
      </c>
      <c r="S1147" s="16">
        <f>IF(S1146=15800,15800,ROUND((((Q1147*60)/'Gearing Calculator'!$C$14)*'Track Data'!P1147),-2))</f>
        <v>12200</v>
      </c>
      <c r="T1147" s="16">
        <f t="shared" si="125"/>
        <v>4.8209066787706405</v>
      </c>
      <c r="U1147" s="16">
        <f>IF(AC1147=100,Braking!$AG$2354,IF(AC1147=50,Braking!$AG$1179,IF(AC1147=75,Braking!$AG$1767,0)))</f>
        <v>0</v>
      </c>
      <c r="V1147" s="16">
        <f>0.5*'Gearing Calculator'!$C$15*'Gearing Calculator'!$C$20*'Gearing Calculator'!$W$20*('Track Data'!Q1147^2)</f>
        <v>202.8674761063169</v>
      </c>
      <c r="W1147" s="16">
        <f>('Gearing Calculator'!$U$9*'Track Data'!T1147)+'Track Data'!V1147</f>
        <v>1486.1928339950614</v>
      </c>
      <c r="X1147" s="16">
        <f>('Gearing Calculator'!$U$9*9.81)*('Gearing Calculator'!$U$16/'Gearing Calculator'!$C$7)-(('Track Data'!W1147)*('Gearing Calculator'!$U$17/'Gearing Calculator'!$C$7))</f>
        <v>591.0857078158931</v>
      </c>
      <c r="Y1147" s="16">
        <f>('Gearing Calculator'!$U$9*9.81)*(('Gearing Calculator'!$C$7-'Gearing Calculator'!$U$16)/'Gearing Calculator'!$C$7)+(('Track Data'!W1147)*('Gearing Calculator'!$U$17/'Gearing Calculator'!$C$7))</f>
        <v>2020.3362921841069</v>
      </c>
      <c r="Z1147" s="16">
        <f>((X1147*COS('Gearing Calculator'!$C$21))/'Gearing Calculator'!$C$22)/2</f>
        <v>18.274500640847798</v>
      </c>
      <c r="AA1147" s="16">
        <f>Y1147/'Gearing Calculator'!$C$24</f>
        <v>28.210670940130971</v>
      </c>
      <c r="AB1147" s="16">
        <f t="shared" si="128"/>
        <v>222.15110282139946</v>
      </c>
      <c r="AC1147" s="16">
        <v>0</v>
      </c>
      <c r="AD1147" s="16">
        <v>-45.249166535644598</v>
      </c>
      <c r="AE1147" s="16">
        <v>1144</v>
      </c>
      <c r="AF1147" s="16">
        <f>IF(AC1147=0,IF(O1147=6,INDEX(Acceleration!$V$4:$V$110,MATCH('Track Data'!S1147,Acceleration!$K$4:$K$110,0)),IF('Track Data'!O1147=5,INDEX(Acceleration!$U$4:$U$110,MATCH('Track Data'!S1147,Acceleration!$K$4:$K$110,0)),1)),U1147)</f>
        <v>1</v>
      </c>
      <c r="AG1147" s="16">
        <f>IF(AC1147=0,IF(O1147=4,INDEX(Acceleration!$T$4:$T$110,MATCH('Track Data'!S1147,Acceleration!$K$4:$K$110,0)),IF('Track Data'!O1147=3,INDEX(Acceleration!$S$4:$S$110,MATCH('Track Data'!S1147,Acceleration!$K$4:$K$110,0)),'Track Data'!AF1147)),'Track Data'!U1147)</f>
        <v>4.8209066787706405</v>
      </c>
      <c r="AH1147" s="16">
        <f>IF(AC1147=0,IF(O1147=2,INDEX(Acceleration!$R$4:$R$110,MATCH('Track Data'!S1147,Acceleration!$K$4:$K$110,0)),IF('Track Data'!O1147=1,INDEX(Acceleration!$Q$4:$Q$110,MATCH('Track Data'!S1147,Acceleration!$K$4:$K$110,0)),'Track Data'!AG1147)),'Track Data'!U1147)</f>
        <v>4.8209066787706405</v>
      </c>
    </row>
    <row r="1148" spans="2:34" x14ac:dyDescent="0.25">
      <c r="B1148" s="16">
        <v>227.85900000000001</v>
      </c>
      <c r="C1148" s="16">
        <v>8418</v>
      </c>
      <c r="D1148" s="16">
        <v>1145</v>
      </c>
      <c r="E1148" s="113">
        <v>128</v>
      </c>
      <c r="F1148" s="113">
        <v>126.4</v>
      </c>
      <c r="G1148" s="113">
        <v>114.6</v>
      </c>
      <c r="H1148" s="113">
        <f t="shared" si="124"/>
        <v>31.833333333333332</v>
      </c>
      <c r="I1148" s="113">
        <v>15.9</v>
      </c>
      <c r="J1148" s="113">
        <v>69.23</v>
      </c>
      <c r="K1148" s="113">
        <v>-55.6</v>
      </c>
      <c r="L1148" s="183"/>
      <c r="M1148" s="16">
        <v>1145</v>
      </c>
      <c r="N1148" s="16">
        <f t="shared" si="126"/>
        <v>2.2841188743510724E-2</v>
      </c>
      <c r="O1148" s="16">
        <v>4</v>
      </c>
      <c r="P1148" s="16">
        <f t="shared" si="122"/>
        <v>9.1833785004516724</v>
      </c>
      <c r="Q1148" s="16">
        <f t="shared" si="127"/>
        <v>43.780558500227102</v>
      </c>
      <c r="R1148" s="113">
        <f t="shared" si="123"/>
        <v>329.49099999999999</v>
      </c>
      <c r="S1148" s="16">
        <f>IF(S1147=15800,15800,ROUND((((Q1148*60)/'Gearing Calculator'!$C$14)*'Track Data'!P1148),-2))</f>
        <v>12200</v>
      </c>
      <c r="T1148" s="16">
        <f t="shared" si="125"/>
        <v>4.8209066787706405</v>
      </c>
      <c r="U1148" s="16">
        <f>IF(AC1148=100,Braking!$AG$2354,IF(AC1148=50,Braking!$AG$1179,IF(AC1148=75,Braking!$AG$1767,0)))</f>
        <v>0</v>
      </c>
      <c r="V1148" s="16">
        <f>0.5*'Gearing Calculator'!$C$15*'Gearing Calculator'!$C$20*'Gearing Calculator'!$W$20*('Track Data'!Q1148^2)</f>
        <v>202.8674761063169</v>
      </c>
      <c r="W1148" s="16">
        <f>('Gearing Calculator'!$U$9*'Track Data'!T1148)+'Track Data'!V1148</f>
        <v>1486.1928339950614</v>
      </c>
      <c r="X1148" s="16">
        <f>('Gearing Calculator'!$U$9*9.81)*('Gearing Calculator'!$U$16/'Gearing Calculator'!$C$7)-(('Track Data'!W1148)*('Gearing Calculator'!$U$17/'Gearing Calculator'!$C$7))</f>
        <v>591.0857078158931</v>
      </c>
      <c r="Y1148" s="16">
        <f>('Gearing Calculator'!$U$9*9.81)*(('Gearing Calculator'!$C$7-'Gearing Calculator'!$U$16)/'Gearing Calculator'!$C$7)+(('Track Data'!W1148)*('Gearing Calculator'!$U$17/'Gearing Calculator'!$C$7))</f>
        <v>2020.3362921841069</v>
      </c>
      <c r="Z1148" s="16">
        <f>((X1148*COS('Gearing Calculator'!$C$21))/'Gearing Calculator'!$C$22)/2</f>
        <v>18.274500640847798</v>
      </c>
      <c r="AA1148" s="16">
        <f>Y1148/'Gearing Calculator'!$C$24</f>
        <v>28.210670940130971</v>
      </c>
      <c r="AB1148" s="16">
        <f t="shared" si="128"/>
        <v>222.15110282139946</v>
      </c>
      <c r="AC1148" s="16">
        <v>0</v>
      </c>
      <c r="AD1148" s="16">
        <v>-45.249166535644598</v>
      </c>
      <c r="AE1148" s="16">
        <v>1145</v>
      </c>
      <c r="AF1148" s="16">
        <f>IF(AC1148=0,IF(O1148=6,INDEX(Acceleration!$V$4:$V$110,MATCH('Track Data'!S1148,Acceleration!$K$4:$K$110,0)),IF('Track Data'!O1148=5,INDEX(Acceleration!$U$4:$U$110,MATCH('Track Data'!S1148,Acceleration!$K$4:$K$110,0)),1)),U1148)</f>
        <v>1</v>
      </c>
      <c r="AG1148" s="16">
        <f>IF(AC1148=0,IF(O1148=4,INDEX(Acceleration!$T$4:$T$110,MATCH('Track Data'!S1148,Acceleration!$K$4:$K$110,0)),IF('Track Data'!O1148=3,INDEX(Acceleration!$S$4:$S$110,MATCH('Track Data'!S1148,Acceleration!$K$4:$K$110,0)),'Track Data'!AF1148)),'Track Data'!U1148)</f>
        <v>4.8209066787706405</v>
      </c>
      <c r="AH1148" s="16">
        <f>IF(AC1148=0,IF(O1148=2,INDEX(Acceleration!$R$4:$R$110,MATCH('Track Data'!S1148,Acceleration!$K$4:$K$110,0)),IF('Track Data'!O1148=1,INDEX(Acceleration!$Q$4:$Q$110,MATCH('Track Data'!S1148,Acceleration!$K$4:$K$110,0)),'Track Data'!AG1148)),'Track Data'!U1148)</f>
        <v>4.8209066787706405</v>
      </c>
    </row>
    <row r="1149" spans="2:34" x14ac:dyDescent="0.25">
      <c r="B1149" s="16">
        <v>227.887</v>
      </c>
      <c r="C1149" s="16">
        <v>8419</v>
      </c>
      <c r="D1149" s="16">
        <v>1146</v>
      </c>
      <c r="E1149" s="113">
        <v>128</v>
      </c>
      <c r="F1149" s="113">
        <v>126.1</v>
      </c>
      <c r="G1149" s="113">
        <v>114.3</v>
      </c>
      <c r="H1149" s="113">
        <f t="shared" si="124"/>
        <v>31.75</v>
      </c>
      <c r="I1149" s="113">
        <v>15.3</v>
      </c>
      <c r="J1149" s="113">
        <v>69.19</v>
      </c>
      <c r="K1149" s="113">
        <v>-54.8</v>
      </c>
      <c r="L1149" s="183"/>
      <c r="M1149" s="16">
        <v>1146</v>
      </c>
      <c r="N1149" s="16">
        <f t="shared" si="126"/>
        <v>2.2841188743510724E-2</v>
      </c>
      <c r="O1149" s="16">
        <v>4</v>
      </c>
      <c r="P1149" s="16">
        <f t="shared" si="122"/>
        <v>9.1833785004516724</v>
      </c>
      <c r="Q1149" s="16">
        <f t="shared" si="127"/>
        <v>43.780558500227102</v>
      </c>
      <c r="R1149" s="113">
        <f t="shared" si="123"/>
        <v>329.49099999999999</v>
      </c>
      <c r="S1149" s="16">
        <f>IF(S1148=15800,15800,ROUND((((Q1149*60)/'Gearing Calculator'!$C$14)*'Track Data'!P1149),-2))</f>
        <v>12200</v>
      </c>
      <c r="T1149" s="16">
        <f t="shared" si="125"/>
        <v>4.8209066787706405</v>
      </c>
      <c r="U1149" s="16">
        <f>IF(AC1149=100,Braking!$AG$2354,IF(AC1149=50,Braking!$AG$1179,IF(AC1149=75,Braking!$AG$1767,0)))</f>
        <v>0</v>
      </c>
      <c r="V1149" s="16">
        <f>0.5*'Gearing Calculator'!$C$15*'Gearing Calculator'!$C$20*'Gearing Calculator'!$W$20*('Track Data'!Q1149^2)</f>
        <v>202.8674761063169</v>
      </c>
      <c r="W1149" s="16">
        <f>('Gearing Calculator'!$U$9*'Track Data'!T1149)+'Track Data'!V1149</f>
        <v>1486.1928339950614</v>
      </c>
      <c r="X1149" s="16">
        <f>('Gearing Calculator'!$U$9*9.81)*('Gearing Calculator'!$U$16/'Gearing Calculator'!$C$7)-(('Track Data'!W1149)*('Gearing Calculator'!$U$17/'Gearing Calculator'!$C$7))</f>
        <v>591.0857078158931</v>
      </c>
      <c r="Y1149" s="16">
        <f>('Gearing Calculator'!$U$9*9.81)*(('Gearing Calculator'!$C$7-'Gearing Calculator'!$U$16)/'Gearing Calculator'!$C$7)+(('Track Data'!W1149)*('Gearing Calculator'!$U$17/'Gearing Calculator'!$C$7))</f>
        <v>2020.3362921841069</v>
      </c>
      <c r="Z1149" s="16">
        <f>((X1149*COS('Gearing Calculator'!$C$21))/'Gearing Calculator'!$C$22)/2</f>
        <v>18.274500640847798</v>
      </c>
      <c r="AA1149" s="16">
        <f>Y1149/'Gearing Calculator'!$C$24</f>
        <v>28.210670940130971</v>
      </c>
      <c r="AB1149" s="16">
        <f t="shared" si="128"/>
        <v>222.15110282139946</v>
      </c>
      <c r="AC1149" s="16">
        <v>0</v>
      </c>
      <c r="AD1149" s="16">
        <v>-45.249166535644598</v>
      </c>
      <c r="AE1149" s="16">
        <v>1146</v>
      </c>
      <c r="AF1149" s="16">
        <f>IF(AC1149=0,IF(O1149=6,INDEX(Acceleration!$V$4:$V$110,MATCH('Track Data'!S1149,Acceleration!$K$4:$K$110,0)),IF('Track Data'!O1149=5,INDEX(Acceleration!$U$4:$U$110,MATCH('Track Data'!S1149,Acceleration!$K$4:$K$110,0)),1)),U1149)</f>
        <v>1</v>
      </c>
      <c r="AG1149" s="16">
        <f>IF(AC1149=0,IF(O1149=4,INDEX(Acceleration!$T$4:$T$110,MATCH('Track Data'!S1149,Acceleration!$K$4:$K$110,0)),IF('Track Data'!O1149=3,INDEX(Acceleration!$S$4:$S$110,MATCH('Track Data'!S1149,Acceleration!$K$4:$K$110,0)),'Track Data'!AF1149)),'Track Data'!U1149)</f>
        <v>4.8209066787706405</v>
      </c>
      <c r="AH1149" s="16">
        <f>IF(AC1149=0,IF(O1149=2,INDEX(Acceleration!$R$4:$R$110,MATCH('Track Data'!S1149,Acceleration!$K$4:$K$110,0)),IF('Track Data'!O1149=1,INDEX(Acceleration!$Q$4:$Q$110,MATCH('Track Data'!S1149,Acceleration!$K$4:$K$110,0)),'Track Data'!AG1149)),'Track Data'!U1149)</f>
        <v>4.8209066787706405</v>
      </c>
    </row>
    <row r="1150" spans="2:34" x14ac:dyDescent="0.25">
      <c r="B1150" s="16">
        <v>227.916</v>
      </c>
      <c r="C1150" s="16">
        <v>8420</v>
      </c>
      <c r="D1150" s="16">
        <v>1147</v>
      </c>
      <c r="E1150" s="113">
        <v>129</v>
      </c>
      <c r="F1150" s="113">
        <v>125.7</v>
      </c>
      <c r="G1150" s="113">
        <v>114</v>
      </c>
      <c r="H1150" s="113">
        <f t="shared" si="124"/>
        <v>31.666666666666664</v>
      </c>
      <c r="I1150" s="113">
        <v>15.1</v>
      </c>
      <c r="J1150" s="113">
        <v>70.7</v>
      </c>
      <c r="K1150" s="113">
        <v>-54.1</v>
      </c>
      <c r="L1150" s="183"/>
      <c r="M1150" s="16">
        <v>1147</v>
      </c>
      <c r="N1150" s="16">
        <f t="shared" si="126"/>
        <v>2.2841188743510724E-2</v>
      </c>
      <c r="O1150" s="16">
        <v>4</v>
      </c>
      <c r="P1150" s="16">
        <f t="shared" si="122"/>
        <v>9.1833785004516724</v>
      </c>
      <c r="Q1150" s="16">
        <f t="shared" si="127"/>
        <v>43.780558500227102</v>
      </c>
      <c r="R1150" s="113">
        <f t="shared" si="123"/>
        <v>329.49099999999999</v>
      </c>
      <c r="S1150" s="16">
        <f>IF(S1149=15800,15800,ROUND((((Q1150*60)/'Gearing Calculator'!$C$14)*'Track Data'!P1150),-2))</f>
        <v>12200</v>
      </c>
      <c r="T1150" s="16">
        <f t="shared" si="125"/>
        <v>4.8209066787706405</v>
      </c>
      <c r="U1150" s="16">
        <f>IF(AC1150=100,Braking!$AG$2354,IF(AC1150=50,Braking!$AG$1179,IF(AC1150=75,Braking!$AG$1767,0)))</f>
        <v>0</v>
      </c>
      <c r="V1150" s="16">
        <f>0.5*'Gearing Calculator'!$C$15*'Gearing Calculator'!$C$20*'Gearing Calculator'!$W$20*('Track Data'!Q1150^2)</f>
        <v>202.8674761063169</v>
      </c>
      <c r="W1150" s="16">
        <f>('Gearing Calculator'!$U$9*'Track Data'!T1150)+'Track Data'!V1150</f>
        <v>1486.1928339950614</v>
      </c>
      <c r="X1150" s="16">
        <f>('Gearing Calculator'!$U$9*9.81)*('Gearing Calculator'!$U$16/'Gearing Calculator'!$C$7)-(('Track Data'!W1150)*('Gearing Calculator'!$U$17/'Gearing Calculator'!$C$7))</f>
        <v>591.0857078158931</v>
      </c>
      <c r="Y1150" s="16">
        <f>('Gearing Calculator'!$U$9*9.81)*(('Gearing Calculator'!$C$7-'Gearing Calculator'!$U$16)/'Gearing Calculator'!$C$7)+(('Track Data'!W1150)*('Gearing Calculator'!$U$17/'Gearing Calculator'!$C$7))</f>
        <v>2020.3362921841069</v>
      </c>
      <c r="Z1150" s="16">
        <f>((X1150*COS('Gearing Calculator'!$C$21))/'Gearing Calculator'!$C$22)/2</f>
        <v>18.274500640847798</v>
      </c>
      <c r="AA1150" s="16">
        <f>Y1150/'Gearing Calculator'!$C$24</f>
        <v>28.210670940130971</v>
      </c>
      <c r="AB1150" s="16">
        <f t="shared" si="128"/>
        <v>222.15110282139946</v>
      </c>
      <c r="AC1150" s="16">
        <v>0</v>
      </c>
      <c r="AD1150" s="16">
        <v>-45.249166535644598</v>
      </c>
      <c r="AE1150" s="16">
        <v>1147</v>
      </c>
      <c r="AF1150" s="16">
        <f>IF(AC1150=0,IF(O1150=6,INDEX(Acceleration!$V$4:$V$110,MATCH('Track Data'!S1150,Acceleration!$K$4:$K$110,0)),IF('Track Data'!O1150=5,INDEX(Acceleration!$U$4:$U$110,MATCH('Track Data'!S1150,Acceleration!$K$4:$K$110,0)),1)),U1150)</f>
        <v>1</v>
      </c>
      <c r="AG1150" s="16">
        <f>IF(AC1150=0,IF(O1150=4,INDEX(Acceleration!$T$4:$T$110,MATCH('Track Data'!S1150,Acceleration!$K$4:$K$110,0)),IF('Track Data'!O1150=3,INDEX(Acceleration!$S$4:$S$110,MATCH('Track Data'!S1150,Acceleration!$K$4:$K$110,0)),'Track Data'!AF1150)),'Track Data'!U1150)</f>
        <v>4.8209066787706405</v>
      </c>
      <c r="AH1150" s="16">
        <f>IF(AC1150=0,IF(O1150=2,INDEX(Acceleration!$R$4:$R$110,MATCH('Track Data'!S1150,Acceleration!$K$4:$K$110,0)),IF('Track Data'!O1150=1,INDEX(Acceleration!$Q$4:$Q$110,MATCH('Track Data'!S1150,Acceleration!$K$4:$K$110,0)),'Track Data'!AG1150)),'Track Data'!U1150)</f>
        <v>4.8209066787706405</v>
      </c>
    </row>
    <row r="1151" spans="2:34" x14ac:dyDescent="0.25">
      <c r="B1151" s="16">
        <v>227.94399999999999</v>
      </c>
      <c r="C1151" s="16">
        <v>8421</v>
      </c>
      <c r="D1151" s="16">
        <v>1148</v>
      </c>
      <c r="E1151" s="113">
        <v>128</v>
      </c>
      <c r="F1151" s="113">
        <v>125.4</v>
      </c>
      <c r="G1151" s="113">
        <v>113.8</v>
      </c>
      <c r="H1151" s="113">
        <f t="shared" si="124"/>
        <v>31.611111111111111</v>
      </c>
      <c r="I1151" s="113">
        <v>15.9</v>
      </c>
      <c r="J1151" s="113">
        <v>67.92</v>
      </c>
      <c r="K1151" s="113">
        <v>-54</v>
      </c>
      <c r="L1151" s="183"/>
      <c r="M1151" s="16">
        <v>1148</v>
      </c>
      <c r="N1151" s="16">
        <f t="shared" si="126"/>
        <v>2.2841188743510724E-2</v>
      </c>
      <c r="O1151" s="16">
        <v>4</v>
      </c>
      <c r="P1151" s="16">
        <f t="shared" si="122"/>
        <v>9.1833785004516724</v>
      </c>
      <c r="Q1151" s="16">
        <f t="shared" si="127"/>
        <v>43.780558500227102</v>
      </c>
      <c r="R1151" s="113">
        <f t="shared" si="123"/>
        <v>329.49099999999999</v>
      </c>
      <c r="S1151" s="16">
        <f>IF(S1150=15800,15800,ROUND((((Q1151*60)/'Gearing Calculator'!$C$14)*'Track Data'!P1151),-2))</f>
        <v>12200</v>
      </c>
      <c r="T1151" s="16">
        <f t="shared" si="125"/>
        <v>4.8209066787706405</v>
      </c>
      <c r="U1151" s="16">
        <f>IF(AC1151=100,Braking!$AG$2354,IF(AC1151=50,Braking!$AG$1179,IF(AC1151=75,Braking!$AG$1767,0)))</f>
        <v>0</v>
      </c>
      <c r="V1151" s="16">
        <f>0.5*'Gearing Calculator'!$C$15*'Gearing Calculator'!$C$20*'Gearing Calculator'!$W$20*('Track Data'!Q1151^2)</f>
        <v>202.8674761063169</v>
      </c>
      <c r="W1151" s="16">
        <f>('Gearing Calculator'!$U$9*'Track Data'!T1151)+'Track Data'!V1151</f>
        <v>1486.1928339950614</v>
      </c>
      <c r="X1151" s="16">
        <f>('Gearing Calculator'!$U$9*9.81)*('Gearing Calculator'!$U$16/'Gearing Calculator'!$C$7)-(('Track Data'!W1151)*('Gearing Calculator'!$U$17/'Gearing Calculator'!$C$7))</f>
        <v>591.0857078158931</v>
      </c>
      <c r="Y1151" s="16">
        <f>('Gearing Calculator'!$U$9*9.81)*(('Gearing Calculator'!$C$7-'Gearing Calculator'!$U$16)/'Gearing Calculator'!$C$7)+(('Track Data'!W1151)*('Gearing Calculator'!$U$17/'Gearing Calculator'!$C$7))</f>
        <v>2020.3362921841069</v>
      </c>
      <c r="Z1151" s="16">
        <f>((X1151*COS('Gearing Calculator'!$C$21))/'Gearing Calculator'!$C$22)/2</f>
        <v>18.274500640847798</v>
      </c>
      <c r="AA1151" s="16">
        <f>Y1151/'Gearing Calculator'!$C$24</f>
        <v>28.210670940130971</v>
      </c>
      <c r="AB1151" s="16">
        <f t="shared" si="128"/>
        <v>222.15110282139946</v>
      </c>
      <c r="AC1151" s="16">
        <v>0</v>
      </c>
      <c r="AD1151" s="16">
        <v>-45.249166535644598</v>
      </c>
      <c r="AE1151" s="16">
        <v>1148</v>
      </c>
      <c r="AF1151" s="16">
        <f>IF(AC1151=0,IF(O1151=6,INDEX(Acceleration!$V$4:$V$110,MATCH('Track Data'!S1151,Acceleration!$K$4:$K$110,0)),IF('Track Data'!O1151=5,INDEX(Acceleration!$U$4:$U$110,MATCH('Track Data'!S1151,Acceleration!$K$4:$K$110,0)),1)),U1151)</f>
        <v>1</v>
      </c>
      <c r="AG1151" s="16">
        <f>IF(AC1151=0,IF(O1151=4,INDEX(Acceleration!$T$4:$T$110,MATCH('Track Data'!S1151,Acceleration!$K$4:$K$110,0)),IF('Track Data'!O1151=3,INDEX(Acceleration!$S$4:$S$110,MATCH('Track Data'!S1151,Acceleration!$K$4:$K$110,0)),'Track Data'!AF1151)),'Track Data'!U1151)</f>
        <v>4.8209066787706405</v>
      </c>
      <c r="AH1151" s="16">
        <f>IF(AC1151=0,IF(O1151=2,INDEX(Acceleration!$R$4:$R$110,MATCH('Track Data'!S1151,Acceleration!$K$4:$K$110,0)),IF('Track Data'!O1151=1,INDEX(Acceleration!$Q$4:$Q$110,MATCH('Track Data'!S1151,Acceleration!$K$4:$K$110,0)),'Track Data'!AG1151)),'Track Data'!U1151)</f>
        <v>4.8209066787706405</v>
      </c>
    </row>
    <row r="1152" spans="2:34" x14ac:dyDescent="0.25">
      <c r="B1152" s="16">
        <v>227.97200000000001</v>
      </c>
      <c r="C1152" s="16">
        <v>8422</v>
      </c>
      <c r="D1152" s="16">
        <v>1149</v>
      </c>
      <c r="E1152" s="113">
        <v>128</v>
      </c>
      <c r="F1152" s="113">
        <v>125.4</v>
      </c>
      <c r="G1152" s="113">
        <v>113.5</v>
      </c>
      <c r="H1152" s="113">
        <f t="shared" si="124"/>
        <v>31.527777777777779</v>
      </c>
      <c r="I1152" s="113">
        <v>16.399999999999999</v>
      </c>
      <c r="J1152" s="113">
        <v>66.88</v>
      </c>
      <c r="K1152" s="113">
        <v>-54.1</v>
      </c>
      <c r="L1152" s="183"/>
      <c r="M1152" s="16">
        <v>1149</v>
      </c>
      <c r="N1152" s="16">
        <f t="shared" si="126"/>
        <v>2.2841188743510724E-2</v>
      </c>
      <c r="O1152" s="16">
        <v>4</v>
      </c>
      <c r="P1152" s="16">
        <f t="shared" si="122"/>
        <v>9.1833785004516724</v>
      </c>
      <c r="Q1152" s="16">
        <f t="shared" si="127"/>
        <v>43.780558500227102</v>
      </c>
      <c r="R1152" s="113">
        <f t="shared" si="123"/>
        <v>329.49099999999999</v>
      </c>
      <c r="S1152" s="16">
        <f>IF(S1151=15800,15800,ROUND((((Q1152*60)/'Gearing Calculator'!$C$14)*'Track Data'!P1152),-2))</f>
        <v>12200</v>
      </c>
      <c r="T1152" s="16">
        <f t="shared" si="125"/>
        <v>4.8209066787706405</v>
      </c>
      <c r="U1152" s="16">
        <f>IF(AC1152=100,Braking!$AG$2354,IF(AC1152=50,Braking!$AG$1179,IF(AC1152=75,Braking!$AG$1767,0)))</f>
        <v>0</v>
      </c>
      <c r="V1152" s="16">
        <f>0.5*'Gearing Calculator'!$C$15*'Gearing Calculator'!$C$20*'Gearing Calculator'!$W$20*('Track Data'!Q1152^2)</f>
        <v>202.8674761063169</v>
      </c>
      <c r="W1152" s="16">
        <f>('Gearing Calculator'!$U$9*'Track Data'!T1152)+'Track Data'!V1152</f>
        <v>1486.1928339950614</v>
      </c>
      <c r="X1152" s="16">
        <f>('Gearing Calculator'!$U$9*9.81)*('Gearing Calculator'!$U$16/'Gearing Calculator'!$C$7)-(('Track Data'!W1152)*('Gearing Calculator'!$U$17/'Gearing Calculator'!$C$7))</f>
        <v>591.0857078158931</v>
      </c>
      <c r="Y1152" s="16">
        <f>('Gearing Calculator'!$U$9*9.81)*(('Gearing Calculator'!$C$7-'Gearing Calculator'!$U$16)/'Gearing Calculator'!$C$7)+(('Track Data'!W1152)*('Gearing Calculator'!$U$17/'Gearing Calculator'!$C$7))</f>
        <v>2020.3362921841069</v>
      </c>
      <c r="Z1152" s="16">
        <f>((X1152*COS('Gearing Calculator'!$C$21))/'Gearing Calculator'!$C$22)/2</f>
        <v>18.274500640847798</v>
      </c>
      <c r="AA1152" s="16">
        <f>Y1152/'Gearing Calculator'!$C$24</f>
        <v>28.210670940130971</v>
      </c>
      <c r="AB1152" s="16">
        <f t="shared" si="128"/>
        <v>222.15110282139946</v>
      </c>
      <c r="AC1152" s="16">
        <v>0</v>
      </c>
      <c r="AD1152" s="16">
        <v>-45.249166535644598</v>
      </c>
      <c r="AE1152" s="16">
        <v>1149</v>
      </c>
      <c r="AF1152" s="16">
        <f>IF(AC1152=0,IF(O1152=6,INDEX(Acceleration!$V$4:$V$110,MATCH('Track Data'!S1152,Acceleration!$K$4:$K$110,0)),IF('Track Data'!O1152=5,INDEX(Acceleration!$U$4:$U$110,MATCH('Track Data'!S1152,Acceleration!$K$4:$K$110,0)),1)),U1152)</f>
        <v>1</v>
      </c>
      <c r="AG1152" s="16">
        <f>IF(AC1152=0,IF(O1152=4,INDEX(Acceleration!$T$4:$T$110,MATCH('Track Data'!S1152,Acceleration!$K$4:$K$110,0)),IF('Track Data'!O1152=3,INDEX(Acceleration!$S$4:$S$110,MATCH('Track Data'!S1152,Acceleration!$K$4:$K$110,0)),'Track Data'!AF1152)),'Track Data'!U1152)</f>
        <v>4.8209066787706405</v>
      </c>
      <c r="AH1152" s="16">
        <f>IF(AC1152=0,IF(O1152=2,INDEX(Acceleration!$R$4:$R$110,MATCH('Track Data'!S1152,Acceleration!$K$4:$K$110,0)),IF('Track Data'!O1152=1,INDEX(Acceleration!$Q$4:$Q$110,MATCH('Track Data'!S1152,Acceleration!$K$4:$K$110,0)),'Track Data'!AG1152)),'Track Data'!U1152)</f>
        <v>4.8209066787706405</v>
      </c>
    </row>
    <row r="1153" spans="2:34" x14ac:dyDescent="0.25">
      <c r="B1153" s="16">
        <v>228.001</v>
      </c>
      <c r="C1153" s="16">
        <v>8423</v>
      </c>
      <c r="D1153" s="16">
        <v>1150</v>
      </c>
      <c r="E1153" s="113">
        <v>129</v>
      </c>
      <c r="F1153" s="113">
        <v>125.4</v>
      </c>
      <c r="G1153" s="113">
        <v>113.3</v>
      </c>
      <c r="H1153" s="113">
        <f t="shared" si="124"/>
        <v>31.472222222222221</v>
      </c>
      <c r="I1153" s="113">
        <v>15.3</v>
      </c>
      <c r="J1153" s="113">
        <v>67.27</v>
      </c>
      <c r="K1153" s="113">
        <v>-54.1</v>
      </c>
      <c r="L1153" s="183"/>
      <c r="M1153" s="16">
        <v>1150</v>
      </c>
      <c r="N1153" s="16">
        <f t="shared" si="126"/>
        <v>2.2841188743510724E-2</v>
      </c>
      <c r="O1153" s="16">
        <v>4</v>
      </c>
      <c r="P1153" s="16">
        <f t="shared" si="122"/>
        <v>9.1833785004516724</v>
      </c>
      <c r="Q1153" s="16">
        <f t="shared" si="127"/>
        <v>43.780558500227102</v>
      </c>
      <c r="R1153" s="113">
        <f t="shared" si="123"/>
        <v>329.49099999999999</v>
      </c>
      <c r="S1153" s="16">
        <f>IF(S1152=15800,15800,ROUND((((Q1153*60)/'Gearing Calculator'!$C$14)*'Track Data'!P1153),-2))</f>
        <v>12200</v>
      </c>
      <c r="T1153" s="16">
        <f t="shared" si="125"/>
        <v>4.8209066787706405</v>
      </c>
      <c r="U1153" s="16">
        <f>IF(AC1153=100,Braking!$AG$2354,IF(AC1153=50,Braking!$AG$1179,IF(AC1153=75,Braking!$AG$1767,0)))</f>
        <v>0</v>
      </c>
      <c r="V1153" s="16">
        <f>0.5*'Gearing Calculator'!$C$15*'Gearing Calculator'!$C$20*'Gearing Calculator'!$W$20*('Track Data'!Q1153^2)</f>
        <v>202.8674761063169</v>
      </c>
      <c r="W1153" s="16">
        <f>('Gearing Calculator'!$U$9*'Track Data'!T1153)+'Track Data'!V1153</f>
        <v>1486.1928339950614</v>
      </c>
      <c r="X1153" s="16">
        <f>('Gearing Calculator'!$U$9*9.81)*('Gearing Calculator'!$U$16/'Gearing Calculator'!$C$7)-(('Track Data'!W1153)*('Gearing Calculator'!$U$17/'Gearing Calculator'!$C$7))</f>
        <v>591.0857078158931</v>
      </c>
      <c r="Y1153" s="16">
        <f>('Gearing Calculator'!$U$9*9.81)*(('Gearing Calculator'!$C$7-'Gearing Calculator'!$U$16)/'Gearing Calculator'!$C$7)+(('Track Data'!W1153)*('Gearing Calculator'!$U$17/'Gearing Calculator'!$C$7))</f>
        <v>2020.3362921841069</v>
      </c>
      <c r="Z1153" s="16">
        <f>((X1153*COS('Gearing Calculator'!$C$21))/'Gearing Calculator'!$C$22)/2</f>
        <v>18.274500640847798</v>
      </c>
      <c r="AA1153" s="16">
        <f>Y1153/'Gearing Calculator'!$C$24</f>
        <v>28.210670940130971</v>
      </c>
      <c r="AB1153" s="16">
        <f t="shared" si="128"/>
        <v>222.15110282139946</v>
      </c>
      <c r="AC1153" s="16">
        <v>0</v>
      </c>
      <c r="AD1153" s="16">
        <v>-45.249166535644598</v>
      </c>
      <c r="AE1153" s="16">
        <v>1150</v>
      </c>
      <c r="AF1153" s="16">
        <f>IF(AC1153=0,IF(O1153=6,INDEX(Acceleration!$V$4:$V$110,MATCH('Track Data'!S1153,Acceleration!$K$4:$K$110,0)),IF('Track Data'!O1153=5,INDEX(Acceleration!$U$4:$U$110,MATCH('Track Data'!S1153,Acceleration!$K$4:$K$110,0)),1)),U1153)</f>
        <v>1</v>
      </c>
      <c r="AG1153" s="16">
        <f>IF(AC1153=0,IF(O1153=4,INDEX(Acceleration!$T$4:$T$110,MATCH('Track Data'!S1153,Acceleration!$K$4:$K$110,0)),IF('Track Data'!O1153=3,INDEX(Acceleration!$S$4:$S$110,MATCH('Track Data'!S1153,Acceleration!$K$4:$K$110,0)),'Track Data'!AF1153)),'Track Data'!U1153)</f>
        <v>4.8209066787706405</v>
      </c>
      <c r="AH1153" s="16">
        <f>IF(AC1153=0,IF(O1153=2,INDEX(Acceleration!$R$4:$R$110,MATCH('Track Data'!S1153,Acceleration!$K$4:$K$110,0)),IF('Track Data'!O1153=1,INDEX(Acceleration!$Q$4:$Q$110,MATCH('Track Data'!S1153,Acceleration!$K$4:$K$110,0)),'Track Data'!AG1153)),'Track Data'!U1153)</f>
        <v>4.8209066787706405</v>
      </c>
    </row>
    <row r="1154" spans="2:34" x14ac:dyDescent="0.25">
      <c r="B1154" s="16">
        <v>228.03</v>
      </c>
      <c r="C1154" s="16">
        <v>8424</v>
      </c>
      <c r="D1154" s="16">
        <v>1151</v>
      </c>
      <c r="E1154" s="113">
        <v>129</v>
      </c>
      <c r="F1154" s="113">
        <v>125.3</v>
      </c>
      <c r="G1154" s="113">
        <v>113</v>
      </c>
      <c r="H1154" s="113">
        <f t="shared" si="124"/>
        <v>31.388888888888889</v>
      </c>
      <c r="I1154" s="113">
        <v>14.8</v>
      </c>
      <c r="J1154" s="113">
        <v>64.650000000000006</v>
      </c>
      <c r="K1154" s="113">
        <v>-52.9</v>
      </c>
      <c r="L1154" s="183"/>
      <c r="M1154" s="16">
        <v>1151</v>
      </c>
      <c r="N1154" s="16">
        <f t="shared" si="126"/>
        <v>2.2841188743510724E-2</v>
      </c>
      <c r="O1154" s="16">
        <v>4</v>
      </c>
      <c r="P1154" s="16">
        <f t="shared" si="122"/>
        <v>9.1833785004516724</v>
      </c>
      <c r="Q1154" s="16">
        <f t="shared" si="127"/>
        <v>43.780558500227102</v>
      </c>
      <c r="R1154" s="113">
        <f t="shared" si="123"/>
        <v>329.49099999999999</v>
      </c>
      <c r="S1154" s="16">
        <f>IF(S1153=15800,15800,ROUND((((Q1154*60)/'Gearing Calculator'!$C$14)*'Track Data'!P1154),-2))</f>
        <v>12200</v>
      </c>
      <c r="T1154" s="16">
        <f t="shared" si="125"/>
        <v>4.8209066787706405</v>
      </c>
      <c r="U1154" s="16">
        <f>IF(AC1154=100,Braking!$AG$2354,IF(AC1154=50,Braking!$AG$1179,IF(AC1154=75,Braking!$AG$1767,0)))</f>
        <v>0</v>
      </c>
      <c r="V1154" s="16">
        <f>0.5*'Gearing Calculator'!$C$15*'Gearing Calculator'!$C$20*'Gearing Calculator'!$W$20*('Track Data'!Q1154^2)</f>
        <v>202.8674761063169</v>
      </c>
      <c r="W1154" s="16">
        <f>('Gearing Calculator'!$U$9*'Track Data'!T1154)+'Track Data'!V1154</f>
        <v>1486.1928339950614</v>
      </c>
      <c r="X1154" s="16">
        <f>('Gearing Calculator'!$U$9*9.81)*('Gearing Calculator'!$U$16/'Gearing Calculator'!$C$7)-(('Track Data'!W1154)*('Gearing Calculator'!$U$17/'Gearing Calculator'!$C$7))</f>
        <v>591.0857078158931</v>
      </c>
      <c r="Y1154" s="16">
        <f>('Gearing Calculator'!$U$9*9.81)*(('Gearing Calculator'!$C$7-'Gearing Calculator'!$U$16)/'Gearing Calculator'!$C$7)+(('Track Data'!W1154)*('Gearing Calculator'!$U$17/'Gearing Calculator'!$C$7))</f>
        <v>2020.3362921841069</v>
      </c>
      <c r="Z1154" s="16">
        <f>((X1154*COS('Gearing Calculator'!$C$21))/'Gearing Calculator'!$C$22)/2</f>
        <v>18.274500640847798</v>
      </c>
      <c r="AA1154" s="16">
        <f>Y1154/'Gearing Calculator'!$C$24</f>
        <v>28.210670940130971</v>
      </c>
      <c r="AB1154" s="16">
        <f t="shared" si="128"/>
        <v>222.15110282139946</v>
      </c>
      <c r="AC1154" s="16">
        <v>0</v>
      </c>
      <c r="AD1154" s="16">
        <v>-45.249166535644598</v>
      </c>
      <c r="AE1154" s="16">
        <v>1151</v>
      </c>
      <c r="AF1154" s="16">
        <f>IF(AC1154=0,IF(O1154=6,INDEX(Acceleration!$V$4:$V$110,MATCH('Track Data'!S1154,Acceleration!$K$4:$K$110,0)),IF('Track Data'!O1154=5,INDEX(Acceleration!$U$4:$U$110,MATCH('Track Data'!S1154,Acceleration!$K$4:$K$110,0)),1)),U1154)</f>
        <v>1</v>
      </c>
      <c r="AG1154" s="16">
        <f>IF(AC1154=0,IF(O1154=4,INDEX(Acceleration!$T$4:$T$110,MATCH('Track Data'!S1154,Acceleration!$K$4:$K$110,0)),IF('Track Data'!O1154=3,INDEX(Acceleration!$S$4:$S$110,MATCH('Track Data'!S1154,Acceleration!$K$4:$K$110,0)),'Track Data'!AF1154)),'Track Data'!U1154)</f>
        <v>4.8209066787706405</v>
      </c>
      <c r="AH1154" s="16">
        <f>IF(AC1154=0,IF(O1154=2,INDEX(Acceleration!$R$4:$R$110,MATCH('Track Data'!S1154,Acceleration!$K$4:$K$110,0)),IF('Track Data'!O1154=1,INDEX(Acceleration!$Q$4:$Q$110,MATCH('Track Data'!S1154,Acceleration!$K$4:$K$110,0)),'Track Data'!AG1154)),'Track Data'!U1154)</f>
        <v>4.8209066787706405</v>
      </c>
    </row>
    <row r="1155" spans="2:34" x14ac:dyDescent="0.25">
      <c r="B1155" s="16">
        <v>228.05799999999999</v>
      </c>
      <c r="C1155" s="16">
        <v>8425</v>
      </c>
      <c r="D1155" s="16">
        <v>1152</v>
      </c>
      <c r="E1155" s="113">
        <v>129</v>
      </c>
      <c r="F1155" s="113">
        <v>125.1</v>
      </c>
      <c r="G1155" s="113">
        <v>113</v>
      </c>
      <c r="H1155" s="113">
        <f t="shared" si="124"/>
        <v>31.388888888888889</v>
      </c>
      <c r="I1155" s="113">
        <v>15.8</v>
      </c>
      <c r="J1155" s="113">
        <v>66.540000000000006</v>
      </c>
      <c r="K1155" s="113">
        <v>-52.3</v>
      </c>
      <c r="L1155" s="183"/>
      <c r="M1155" s="16">
        <v>1152</v>
      </c>
      <c r="N1155" s="16">
        <f t="shared" si="126"/>
        <v>2.2841188743510724E-2</v>
      </c>
      <c r="O1155" s="16">
        <v>4</v>
      </c>
      <c r="P1155" s="16">
        <f t="shared" si="122"/>
        <v>9.1833785004516724</v>
      </c>
      <c r="Q1155" s="16">
        <f t="shared" si="127"/>
        <v>43.780558500227102</v>
      </c>
      <c r="R1155" s="113">
        <f t="shared" si="123"/>
        <v>329.49099999999999</v>
      </c>
      <c r="S1155" s="16">
        <f>IF(S1154=15800,15800,ROUND((((Q1155*60)/'Gearing Calculator'!$C$14)*'Track Data'!P1155),-2))</f>
        <v>12200</v>
      </c>
      <c r="T1155" s="16">
        <f t="shared" si="125"/>
        <v>4.8209066787706405</v>
      </c>
      <c r="U1155" s="16">
        <f>IF(AC1155=100,Braking!$AG$2354,IF(AC1155=50,Braking!$AG$1179,IF(AC1155=75,Braking!$AG$1767,0)))</f>
        <v>0</v>
      </c>
      <c r="V1155" s="16">
        <f>0.5*'Gearing Calculator'!$C$15*'Gearing Calculator'!$C$20*'Gearing Calculator'!$W$20*('Track Data'!Q1155^2)</f>
        <v>202.8674761063169</v>
      </c>
      <c r="W1155" s="16">
        <f>('Gearing Calculator'!$U$9*'Track Data'!T1155)+'Track Data'!V1155</f>
        <v>1486.1928339950614</v>
      </c>
      <c r="X1155" s="16">
        <f>('Gearing Calculator'!$U$9*9.81)*('Gearing Calculator'!$U$16/'Gearing Calculator'!$C$7)-(('Track Data'!W1155)*('Gearing Calculator'!$U$17/'Gearing Calculator'!$C$7))</f>
        <v>591.0857078158931</v>
      </c>
      <c r="Y1155" s="16">
        <f>('Gearing Calculator'!$U$9*9.81)*(('Gearing Calculator'!$C$7-'Gearing Calculator'!$U$16)/'Gearing Calculator'!$C$7)+(('Track Data'!W1155)*('Gearing Calculator'!$U$17/'Gearing Calculator'!$C$7))</f>
        <v>2020.3362921841069</v>
      </c>
      <c r="Z1155" s="16">
        <f>((X1155*COS('Gearing Calculator'!$C$21))/'Gearing Calculator'!$C$22)/2</f>
        <v>18.274500640847798</v>
      </c>
      <c r="AA1155" s="16">
        <f>Y1155/'Gearing Calculator'!$C$24</f>
        <v>28.210670940130971</v>
      </c>
      <c r="AB1155" s="16">
        <f t="shared" si="128"/>
        <v>222.15110282139946</v>
      </c>
      <c r="AC1155" s="16">
        <v>0</v>
      </c>
      <c r="AD1155" s="16">
        <v>-45.249166535644598</v>
      </c>
      <c r="AE1155" s="16">
        <v>1152</v>
      </c>
      <c r="AF1155" s="16">
        <f>IF(AC1155=0,IF(O1155=6,INDEX(Acceleration!$V$4:$V$110,MATCH('Track Data'!S1155,Acceleration!$K$4:$K$110,0)),IF('Track Data'!O1155=5,INDEX(Acceleration!$U$4:$U$110,MATCH('Track Data'!S1155,Acceleration!$K$4:$K$110,0)),1)),U1155)</f>
        <v>1</v>
      </c>
      <c r="AG1155" s="16">
        <f>IF(AC1155=0,IF(O1155=4,INDEX(Acceleration!$T$4:$T$110,MATCH('Track Data'!S1155,Acceleration!$K$4:$K$110,0)),IF('Track Data'!O1155=3,INDEX(Acceleration!$S$4:$S$110,MATCH('Track Data'!S1155,Acceleration!$K$4:$K$110,0)),'Track Data'!AF1155)),'Track Data'!U1155)</f>
        <v>4.8209066787706405</v>
      </c>
      <c r="AH1155" s="16">
        <f>IF(AC1155=0,IF(O1155=2,INDEX(Acceleration!$R$4:$R$110,MATCH('Track Data'!S1155,Acceleration!$K$4:$K$110,0)),IF('Track Data'!O1155=1,INDEX(Acceleration!$Q$4:$Q$110,MATCH('Track Data'!S1155,Acceleration!$K$4:$K$110,0)),'Track Data'!AG1155)),'Track Data'!U1155)</f>
        <v>4.8209066787706405</v>
      </c>
    </row>
    <row r="1156" spans="2:34" x14ac:dyDescent="0.25">
      <c r="B1156" s="16">
        <v>228.08699999999999</v>
      </c>
      <c r="C1156" s="16">
        <v>8426</v>
      </c>
      <c r="D1156" s="16">
        <v>1153</v>
      </c>
      <c r="E1156" s="113">
        <v>129</v>
      </c>
      <c r="F1156" s="113">
        <v>124.8</v>
      </c>
      <c r="G1156" s="113">
        <v>112.8</v>
      </c>
      <c r="H1156" s="113">
        <f t="shared" si="124"/>
        <v>31.333333333333332</v>
      </c>
      <c r="I1156" s="113">
        <v>18.100000000000001</v>
      </c>
      <c r="J1156" s="113">
        <v>67.819999999999993</v>
      </c>
      <c r="K1156" s="113">
        <v>-50.1</v>
      </c>
      <c r="L1156" s="183"/>
      <c r="M1156" s="16">
        <v>1153</v>
      </c>
      <c r="N1156" s="16">
        <f t="shared" si="126"/>
        <v>2.2841188743510724E-2</v>
      </c>
      <c r="O1156" s="16">
        <v>4</v>
      </c>
      <c r="P1156" s="16">
        <f t="shared" ref="P1156:P1219" si="129">VLOOKUP(O1156,$AJ$5:$AK$10,2,FALSE)</f>
        <v>9.1833785004516724</v>
      </c>
      <c r="Q1156" s="16">
        <f t="shared" si="127"/>
        <v>43.780558500227102</v>
      </c>
      <c r="R1156" s="113">
        <f t="shared" ref="R1156:R1219" si="130">VLOOKUP(O1156,$AJ$5:$AL$10,3,FALSE)</f>
        <v>329.49099999999999</v>
      </c>
      <c r="S1156" s="16">
        <f>IF(S1155=15800,15800,ROUND((((Q1156*60)/'Gearing Calculator'!$C$14)*'Track Data'!P1156),-2))</f>
        <v>12200</v>
      </c>
      <c r="T1156" s="16">
        <f t="shared" si="125"/>
        <v>4.8209066787706405</v>
      </c>
      <c r="U1156" s="16">
        <f>IF(AC1156=100,Braking!$AG$2354,IF(AC1156=50,Braking!$AG$1179,IF(AC1156=75,Braking!$AG$1767,0)))</f>
        <v>0</v>
      </c>
      <c r="V1156" s="16">
        <f>0.5*'Gearing Calculator'!$C$15*'Gearing Calculator'!$C$20*'Gearing Calculator'!$W$20*('Track Data'!Q1156^2)</f>
        <v>202.8674761063169</v>
      </c>
      <c r="W1156" s="16">
        <f>('Gearing Calculator'!$U$9*'Track Data'!T1156)+'Track Data'!V1156</f>
        <v>1486.1928339950614</v>
      </c>
      <c r="X1156" s="16">
        <f>('Gearing Calculator'!$U$9*9.81)*('Gearing Calculator'!$U$16/'Gearing Calculator'!$C$7)-(('Track Data'!W1156)*('Gearing Calculator'!$U$17/'Gearing Calculator'!$C$7))</f>
        <v>591.0857078158931</v>
      </c>
      <c r="Y1156" s="16">
        <f>('Gearing Calculator'!$U$9*9.81)*(('Gearing Calculator'!$C$7-'Gearing Calculator'!$U$16)/'Gearing Calculator'!$C$7)+(('Track Data'!W1156)*('Gearing Calculator'!$U$17/'Gearing Calculator'!$C$7))</f>
        <v>2020.3362921841069</v>
      </c>
      <c r="Z1156" s="16">
        <f>((X1156*COS('Gearing Calculator'!$C$21))/'Gearing Calculator'!$C$22)/2</f>
        <v>18.274500640847798</v>
      </c>
      <c r="AA1156" s="16">
        <f>Y1156/'Gearing Calculator'!$C$24</f>
        <v>28.210670940130971</v>
      </c>
      <c r="AB1156" s="16">
        <f t="shared" si="128"/>
        <v>222.15110282139946</v>
      </c>
      <c r="AC1156" s="16">
        <v>0</v>
      </c>
      <c r="AD1156" s="16">
        <v>-45.249166535644598</v>
      </c>
      <c r="AE1156" s="16">
        <v>1153</v>
      </c>
      <c r="AF1156" s="16">
        <f>IF(AC1156=0,IF(O1156=6,INDEX(Acceleration!$V$4:$V$110,MATCH('Track Data'!S1156,Acceleration!$K$4:$K$110,0)),IF('Track Data'!O1156=5,INDEX(Acceleration!$U$4:$U$110,MATCH('Track Data'!S1156,Acceleration!$K$4:$K$110,0)),1)),U1156)</f>
        <v>1</v>
      </c>
      <c r="AG1156" s="16">
        <f>IF(AC1156=0,IF(O1156=4,INDEX(Acceleration!$T$4:$T$110,MATCH('Track Data'!S1156,Acceleration!$K$4:$K$110,0)),IF('Track Data'!O1156=3,INDEX(Acceleration!$S$4:$S$110,MATCH('Track Data'!S1156,Acceleration!$K$4:$K$110,0)),'Track Data'!AF1156)),'Track Data'!U1156)</f>
        <v>4.8209066787706405</v>
      </c>
      <c r="AH1156" s="16">
        <f>IF(AC1156=0,IF(O1156=2,INDEX(Acceleration!$R$4:$R$110,MATCH('Track Data'!S1156,Acceleration!$K$4:$K$110,0)),IF('Track Data'!O1156=1,INDEX(Acceleration!$Q$4:$Q$110,MATCH('Track Data'!S1156,Acceleration!$K$4:$K$110,0)),'Track Data'!AG1156)),'Track Data'!U1156)</f>
        <v>4.8209066787706405</v>
      </c>
    </row>
    <row r="1157" spans="2:34" x14ac:dyDescent="0.25">
      <c r="B1157" s="16">
        <v>228.11600000000001</v>
      </c>
      <c r="C1157" s="16">
        <v>8427</v>
      </c>
      <c r="D1157" s="16">
        <v>1154</v>
      </c>
      <c r="E1157" s="113">
        <v>128</v>
      </c>
      <c r="F1157" s="113">
        <v>124.5</v>
      </c>
      <c r="G1157" s="113">
        <v>112.7</v>
      </c>
      <c r="H1157" s="113">
        <f t="shared" ref="H1157:H1220" si="131">G1157/3.6</f>
        <v>31.305555555555557</v>
      </c>
      <c r="I1157" s="113">
        <v>19.399999999999999</v>
      </c>
      <c r="J1157" s="113">
        <v>66.72</v>
      </c>
      <c r="K1157" s="113">
        <v>-40.700000000000003</v>
      </c>
      <c r="L1157" s="183"/>
      <c r="M1157" s="16">
        <v>1154</v>
      </c>
      <c r="N1157" s="16">
        <f t="shared" si="126"/>
        <v>2.2841188743510724E-2</v>
      </c>
      <c r="O1157" s="16">
        <v>4</v>
      </c>
      <c r="P1157" s="16">
        <f t="shared" si="129"/>
        <v>9.1833785004516724</v>
      </c>
      <c r="Q1157" s="16">
        <f t="shared" si="127"/>
        <v>43.780558500227102</v>
      </c>
      <c r="R1157" s="113">
        <f t="shared" si="130"/>
        <v>329.49099999999999</v>
      </c>
      <c r="S1157" s="16">
        <f>IF(S1156=15800,15800,ROUND((((Q1157*60)/'Gearing Calculator'!$C$14)*'Track Data'!P1157),-2))</f>
        <v>12200</v>
      </c>
      <c r="T1157" s="16">
        <f t="shared" ref="T1157:T1220" si="132">AH1157</f>
        <v>4.8209066787706405</v>
      </c>
      <c r="U1157" s="16">
        <f>IF(AC1157=100,Braking!$AG$2354,IF(AC1157=50,Braking!$AG$1179,IF(AC1157=75,Braking!$AG$1767,0)))</f>
        <v>0</v>
      </c>
      <c r="V1157" s="16">
        <f>0.5*'Gearing Calculator'!$C$15*'Gearing Calculator'!$C$20*'Gearing Calculator'!$W$20*('Track Data'!Q1157^2)</f>
        <v>202.8674761063169</v>
      </c>
      <c r="W1157" s="16">
        <f>('Gearing Calculator'!$U$9*'Track Data'!T1157)+'Track Data'!V1157</f>
        <v>1486.1928339950614</v>
      </c>
      <c r="X1157" s="16">
        <f>('Gearing Calculator'!$U$9*9.81)*('Gearing Calculator'!$U$16/'Gearing Calculator'!$C$7)-(('Track Data'!W1157)*('Gearing Calculator'!$U$17/'Gearing Calculator'!$C$7))</f>
        <v>591.0857078158931</v>
      </c>
      <c r="Y1157" s="16">
        <f>('Gearing Calculator'!$U$9*9.81)*(('Gearing Calculator'!$C$7-'Gearing Calculator'!$U$16)/'Gearing Calculator'!$C$7)+(('Track Data'!W1157)*('Gearing Calculator'!$U$17/'Gearing Calculator'!$C$7))</f>
        <v>2020.3362921841069</v>
      </c>
      <c r="Z1157" s="16">
        <f>((X1157*COS('Gearing Calculator'!$C$21))/'Gearing Calculator'!$C$22)/2</f>
        <v>18.274500640847798</v>
      </c>
      <c r="AA1157" s="16">
        <f>Y1157/'Gearing Calculator'!$C$24</f>
        <v>28.210670940130971</v>
      </c>
      <c r="AB1157" s="16">
        <f t="shared" si="128"/>
        <v>222.15110282139946</v>
      </c>
      <c r="AC1157" s="16">
        <v>0</v>
      </c>
      <c r="AD1157" s="16">
        <v>-45.249166535644598</v>
      </c>
      <c r="AE1157" s="16">
        <v>1154</v>
      </c>
      <c r="AF1157" s="16">
        <f>IF(AC1157=0,IF(O1157=6,INDEX(Acceleration!$V$4:$V$110,MATCH('Track Data'!S1157,Acceleration!$K$4:$K$110,0)),IF('Track Data'!O1157=5,INDEX(Acceleration!$U$4:$U$110,MATCH('Track Data'!S1157,Acceleration!$K$4:$K$110,0)),1)),U1157)</f>
        <v>1</v>
      </c>
      <c r="AG1157" s="16">
        <f>IF(AC1157=0,IF(O1157=4,INDEX(Acceleration!$T$4:$T$110,MATCH('Track Data'!S1157,Acceleration!$K$4:$K$110,0)),IF('Track Data'!O1157=3,INDEX(Acceleration!$S$4:$S$110,MATCH('Track Data'!S1157,Acceleration!$K$4:$K$110,0)),'Track Data'!AF1157)),'Track Data'!U1157)</f>
        <v>4.8209066787706405</v>
      </c>
      <c r="AH1157" s="16">
        <f>IF(AC1157=0,IF(O1157=2,INDEX(Acceleration!$R$4:$R$110,MATCH('Track Data'!S1157,Acceleration!$K$4:$K$110,0)),IF('Track Data'!O1157=1,INDEX(Acceleration!$Q$4:$Q$110,MATCH('Track Data'!S1157,Acceleration!$K$4:$K$110,0)),'Track Data'!AG1157)),'Track Data'!U1157)</f>
        <v>4.8209066787706405</v>
      </c>
    </row>
    <row r="1158" spans="2:34" x14ac:dyDescent="0.25">
      <c r="B1158" s="16">
        <v>228.14500000000001</v>
      </c>
      <c r="C1158" s="16">
        <v>8428</v>
      </c>
      <c r="D1158" s="16">
        <v>1155</v>
      </c>
      <c r="E1158" s="113">
        <v>128</v>
      </c>
      <c r="F1158" s="113">
        <v>124.3</v>
      </c>
      <c r="G1158" s="113">
        <v>112.6</v>
      </c>
      <c r="H1158" s="113">
        <f t="shared" si="131"/>
        <v>31.277777777777775</v>
      </c>
      <c r="I1158" s="113">
        <v>19.5</v>
      </c>
      <c r="J1158" s="113">
        <v>65.650000000000006</v>
      </c>
      <c r="K1158" s="113">
        <v>-31.2</v>
      </c>
      <c r="L1158" s="183"/>
      <c r="M1158" s="16">
        <v>1155</v>
      </c>
      <c r="N1158" s="16">
        <f t="shared" ref="N1158:N1221" si="133">1/Q1158</f>
        <v>2.2841188743510724E-2</v>
      </c>
      <c r="O1158" s="16">
        <v>4</v>
      </c>
      <c r="P1158" s="16">
        <f t="shared" si="129"/>
        <v>9.1833785004516724</v>
      </c>
      <c r="Q1158" s="16">
        <f t="shared" ref="Q1158:Q1221" si="134">IF(AD1157=0,SQRT(Q1157^2+(2*T1157)),Q1157)</f>
        <v>43.780558500227102</v>
      </c>
      <c r="R1158" s="113">
        <f t="shared" si="130"/>
        <v>329.49099999999999</v>
      </c>
      <c r="S1158" s="16">
        <f>IF(S1157=15800,15800,ROUND((((Q1158*60)/'Gearing Calculator'!$C$14)*'Track Data'!P1158),-2))</f>
        <v>12200</v>
      </c>
      <c r="T1158" s="16">
        <f t="shared" si="132"/>
        <v>4.8209066787706405</v>
      </c>
      <c r="U1158" s="16">
        <f>IF(AC1158=100,Braking!$AG$2354,IF(AC1158=50,Braking!$AG$1179,IF(AC1158=75,Braking!$AG$1767,0)))</f>
        <v>0</v>
      </c>
      <c r="V1158" s="16">
        <f>0.5*'Gearing Calculator'!$C$15*'Gearing Calculator'!$C$20*'Gearing Calculator'!$W$20*('Track Data'!Q1158^2)</f>
        <v>202.8674761063169</v>
      </c>
      <c r="W1158" s="16">
        <f>('Gearing Calculator'!$U$9*'Track Data'!T1158)+'Track Data'!V1158</f>
        <v>1486.1928339950614</v>
      </c>
      <c r="X1158" s="16">
        <f>('Gearing Calculator'!$U$9*9.81)*('Gearing Calculator'!$U$16/'Gearing Calculator'!$C$7)-(('Track Data'!W1158)*('Gearing Calculator'!$U$17/'Gearing Calculator'!$C$7))</f>
        <v>591.0857078158931</v>
      </c>
      <c r="Y1158" s="16">
        <f>('Gearing Calculator'!$U$9*9.81)*(('Gearing Calculator'!$C$7-'Gearing Calculator'!$U$16)/'Gearing Calculator'!$C$7)+(('Track Data'!W1158)*('Gearing Calculator'!$U$17/'Gearing Calculator'!$C$7))</f>
        <v>2020.3362921841069</v>
      </c>
      <c r="Z1158" s="16">
        <f>((X1158*COS('Gearing Calculator'!$C$21))/'Gearing Calculator'!$C$22)/2</f>
        <v>18.274500640847798</v>
      </c>
      <c r="AA1158" s="16">
        <f>Y1158/'Gearing Calculator'!$C$24</f>
        <v>28.210670940130971</v>
      </c>
      <c r="AB1158" s="16">
        <f t="shared" si="128"/>
        <v>222.15110282139946</v>
      </c>
      <c r="AC1158" s="16">
        <v>0</v>
      </c>
      <c r="AD1158" s="16">
        <v>-45.249166535644598</v>
      </c>
      <c r="AE1158" s="16">
        <v>1155</v>
      </c>
      <c r="AF1158" s="16">
        <f>IF(AC1158=0,IF(O1158=6,INDEX(Acceleration!$V$4:$V$110,MATCH('Track Data'!S1158,Acceleration!$K$4:$K$110,0)),IF('Track Data'!O1158=5,INDEX(Acceleration!$U$4:$U$110,MATCH('Track Data'!S1158,Acceleration!$K$4:$K$110,0)),1)),U1158)</f>
        <v>1</v>
      </c>
      <c r="AG1158" s="16">
        <f>IF(AC1158=0,IF(O1158=4,INDEX(Acceleration!$T$4:$T$110,MATCH('Track Data'!S1158,Acceleration!$K$4:$K$110,0)),IF('Track Data'!O1158=3,INDEX(Acceleration!$S$4:$S$110,MATCH('Track Data'!S1158,Acceleration!$K$4:$K$110,0)),'Track Data'!AF1158)),'Track Data'!U1158)</f>
        <v>4.8209066787706405</v>
      </c>
      <c r="AH1158" s="16">
        <f>IF(AC1158=0,IF(O1158=2,INDEX(Acceleration!$R$4:$R$110,MATCH('Track Data'!S1158,Acceleration!$K$4:$K$110,0)),IF('Track Data'!O1158=1,INDEX(Acceleration!$Q$4:$Q$110,MATCH('Track Data'!S1158,Acceleration!$K$4:$K$110,0)),'Track Data'!AG1158)),'Track Data'!U1158)</f>
        <v>4.8209066787706405</v>
      </c>
    </row>
    <row r="1159" spans="2:34" x14ac:dyDescent="0.25">
      <c r="B1159" s="16">
        <v>228.17400000000001</v>
      </c>
      <c r="C1159" s="16">
        <v>8429</v>
      </c>
      <c r="D1159" s="16">
        <v>1156</v>
      </c>
      <c r="E1159" s="113">
        <v>128</v>
      </c>
      <c r="F1159" s="113">
        <v>124.1</v>
      </c>
      <c r="G1159" s="113">
        <v>112.5</v>
      </c>
      <c r="H1159" s="113">
        <f t="shared" si="131"/>
        <v>31.25</v>
      </c>
      <c r="I1159" s="113">
        <v>18.399999999999999</v>
      </c>
      <c r="J1159" s="113">
        <v>63.34</v>
      </c>
      <c r="K1159" s="113">
        <v>-26.1</v>
      </c>
      <c r="L1159" s="183"/>
      <c r="M1159" s="16">
        <v>1156</v>
      </c>
      <c r="N1159" s="16">
        <f t="shared" si="133"/>
        <v>2.2841188743510724E-2</v>
      </c>
      <c r="O1159" s="16">
        <v>4</v>
      </c>
      <c r="P1159" s="16">
        <f t="shared" si="129"/>
        <v>9.1833785004516724</v>
      </c>
      <c r="Q1159" s="16">
        <f t="shared" si="134"/>
        <v>43.780558500227102</v>
      </c>
      <c r="R1159" s="113">
        <f t="shared" si="130"/>
        <v>329.49099999999999</v>
      </c>
      <c r="S1159" s="16">
        <f>IF(S1158=15800,15800,ROUND((((Q1159*60)/'Gearing Calculator'!$C$14)*'Track Data'!P1159),-2))</f>
        <v>12200</v>
      </c>
      <c r="T1159" s="16">
        <f t="shared" si="132"/>
        <v>4.8209066787706405</v>
      </c>
      <c r="U1159" s="16">
        <f>IF(AC1159=100,Braking!$AG$2354,IF(AC1159=50,Braking!$AG$1179,IF(AC1159=75,Braking!$AG$1767,0)))</f>
        <v>0</v>
      </c>
      <c r="V1159" s="16">
        <f>0.5*'Gearing Calculator'!$C$15*'Gearing Calculator'!$C$20*'Gearing Calculator'!$W$20*('Track Data'!Q1159^2)</f>
        <v>202.8674761063169</v>
      </c>
      <c r="W1159" s="16">
        <f>('Gearing Calculator'!$U$9*'Track Data'!T1159)+'Track Data'!V1159</f>
        <v>1486.1928339950614</v>
      </c>
      <c r="X1159" s="16">
        <f>('Gearing Calculator'!$U$9*9.81)*('Gearing Calculator'!$U$16/'Gearing Calculator'!$C$7)-(('Track Data'!W1159)*('Gearing Calculator'!$U$17/'Gearing Calculator'!$C$7))</f>
        <v>591.0857078158931</v>
      </c>
      <c r="Y1159" s="16">
        <f>('Gearing Calculator'!$U$9*9.81)*(('Gearing Calculator'!$C$7-'Gearing Calculator'!$U$16)/'Gearing Calculator'!$C$7)+(('Track Data'!W1159)*('Gearing Calculator'!$U$17/'Gearing Calculator'!$C$7))</f>
        <v>2020.3362921841069</v>
      </c>
      <c r="Z1159" s="16">
        <f>((X1159*COS('Gearing Calculator'!$C$21))/'Gearing Calculator'!$C$22)/2</f>
        <v>18.274500640847798</v>
      </c>
      <c r="AA1159" s="16">
        <f>Y1159/'Gearing Calculator'!$C$24</f>
        <v>28.210670940130971</v>
      </c>
      <c r="AB1159" s="16">
        <f t="shared" si="128"/>
        <v>222.15110282139946</v>
      </c>
      <c r="AC1159" s="16">
        <v>0</v>
      </c>
      <c r="AD1159" s="16">
        <v>-45.249166535644598</v>
      </c>
      <c r="AE1159" s="16">
        <v>1156</v>
      </c>
      <c r="AF1159" s="16">
        <f>IF(AC1159=0,IF(O1159=6,INDEX(Acceleration!$V$4:$V$110,MATCH('Track Data'!S1159,Acceleration!$K$4:$K$110,0)),IF('Track Data'!O1159=5,INDEX(Acceleration!$U$4:$U$110,MATCH('Track Data'!S1159,Acceleration!$K$4:$K$110,0)),1)),U1159)</f>
        <v>1</v>
      </c>
      <c r="AG1159" s="16">
        <f>IF(AC1159=0,IF(O1159=4,INDEX(Acceleration!$T$4:$T$110,MATCH('Track Data'!S1159,Acceleration!$K$4:$K$110,0)),IF('Track Data'!O1159=3,INDEX(Acceleration!$S$4:$S$110,MATCH('Track Data'!S1159,Acceleration!$K$4:$K$110,0)),'Track Data'!AF1159)),'Track Data'!U1159)</f>
        <v>4.8209066787706405</v>
      </c>
      <c r="AH1159" s="16">
        <f>IF(AC1159=0,IF(O1159=2,INDEX(Acceleration!$R$4:$R$110,MATCH('Track Data'!S1159,Acceleration!$K$4:$K$110,0)),IF('Track Data'!O1159=1,INDEX(Acceleration!$Q$4:$Q$110,MATCH('Track Data'!S1159,Acceleration!$K$4:$K$110,0)),'Track Data'!AG1159)),'Track Data'!U1159)</f>
        <v>4.8209066787706405</v>
      </c>
    </row>
    <row r="1160" spans="2:34" x14ac:dyDescent="0.25">
      <c r="B1160" s="16">
        <v>228.202</v>
      </c>
      <c r="C1160" s="16">
        <v>8430</v>
      </c>
      <c r="D1160" s="16">
        <v>1157</v>
      </c>
      <c r="E1160" s="113">
        <v>129</v>
      </c>
      <c r="F1160" s="113">
        <v>124</v>
      </c>
      <c r="G1160" s="113">
        <v>112.5</v>
      </c>
      <c r="H1160" s="113">
        <f t="shared" si="131"/>
        <v>31.25</v>
      </c>
      <c r="I1160" s="113">
        <v>16.7</v>
      </c>
      <c r="J1160" s="113">
        <v>62.11</v>
      </c>
      <c r="K1160" s="113">
        <v>-26.1</v>
      </c>
      <c r="L1160" s="183"/>
      <c r="M1160" s="16">
        <v>1157</v>
      </c>
      <c r="N1160" s="16">
        <f t="shared" si="133"/>
        <v>2.2841188743510724E-2</v>
      </c>
      <c r="O1160" s="16">
        <v>4</v>
      </c>
      <c r="P1160" s="16">
        <f t="shared" si="129"/>
        <v>9.1833785004516724</v>
      </c>
      <c r="Q1160" s="16">
        <f t="shared" si="134"/>
        <v>43.780558500227102</v>
      </c>
      <c r="R1160" s="113">
        <f t="shared" si="130"/>
        <v>329.49099999999999</v>
      </c>
      <c r="S1160" s="16">
        <f>IF(S1159=15800,15800,ROUND((((Q1160*60)/'Gearing Calculator'!$C$14)*'Track Data'!P1160),-2))</f>
        <v>12200</v>
      </c>
      <c r="T1160" s="16">
        <f t="shared" si="132"/>
        <v>4.8209066787706405</v>
      </c>
      <c r="U1160" s="16">
        <f>IF(AC1160=100,Braking!$AG$2354,IF(AC1160=50,Braking!$AG$1179,IF(AC1160=75,Braking!$AG$1767,0)))</f>
        <v>0</v>
      </c>
      <c r="V1160" s="16">
        <f>0.5*'Gearing Calculator'!$C$15*'Gearing Calculator'!$C$20*'Gearing Calculator'!$W$20*('Track Data'!Q1160^2)</f>
        <v>202.8674761063169</v>
      </c>
      <c r="W1160" s="16">
        <f>('Gearing Calculator'!$U$9*'Track Data'!T1160)+'Track Data'!V1160</f>
        <v>1486.1928339950614</v>
      </c>
      <c r="X1160" s="16">
        <f>('Gearing Calculator'!$U$9*9.81)*('Gearing Calculator'!$U$16/'Gearing Calculator'!$C$7)-(('Track Data'!W1160)*('Gearing Calculator'!$U$17/'Gearing Calculator'!$C$7))</f>
        <v>591.0857078158931</v>
      </c>
      <c r="Y1160" s="16">
        <f>('Gearing Calculator'!$U$9*9.81)*(('Gearing Calculator'!$C$7-'Gearing Calculator'!$U$16)/'Gearing Calculator'!$C$7)+(('Track Data'!W1160)*('Gearing Calculator'!$U$17/'Gearing Calculator'!$C$7))</f>
        <v>2020.3362921841069</v>
      </c>
      <c r="Z1160" s="16">
        <f>((X1160*COS('Gearing Calculator'!$C$21))/'Gearing Calculator'!$C$22)/2</f>
        <v>18.274500640847798</v>
      </c>
      <c r="AA1160" s="16">
        <f>Y1160/'Gearing Calculator'!$C$24</f>
        <v>28.210670940130971</v>
      </c>
      <c r="AB1160" s="16">
        <f t="shared" si="128"/>
        <v>222.15110282139946</v>
      </c>
      <c r="AC1160" s="16">
        <v>0</v>
      </c>
      <c r="AD1160" s="16">
        <v>-45.249166535644598</v>
      </c>
      <c r="AE1160" s="16">
        <v>1157</v>
      </c>
      <c r="AF1160" s="16">
        <f>IF(AC1160=0,IF(O1160=6,INDEX(Acceleration!$V$4:$V$110,MATCH('Track Data'!S1160,Acceleration!$K$4:$K$110,0)),IF('Track Data'!O1160=5,INDEX(Acceleration!$U$4:$U$110,MATCH('Track Data'!S1160,Acceleration!$K$4:$K$110,0)),1)),U1160)</f>
        <v>1</v>
      </c>
      <c r="AG1160" s="16">
        <f>IF(AC1160=0,IF(O1160=4,INDEX(Acceleration!$T$4:$T$110,MATCH('Track Data'!S1160,Acceleration!$K$4:$K$110,0)),IF('Track Data'!O1160=3,INDEX(Acceleration!$S$4:$S$110,MATCH('Track Data'!S1160,Acceleration!$K$4:$K$110,0)),'Track Data'!AF1160)),'Track Data'!U1160)</f>
        <v>4.8209066787706405</v>
      </c>
      <c r="AH1160" s="16">
        <f>IF(AC1160=0,IF(O1160=2,INDEX(Acceleration!$R$4:$R$110,MATCH('Track Data'!S1160,Acceleration!$K$4:$K$110,0)),IF('Track Data'!O1160=1,INDEX(Acceleration!$Q$4:$Q$110,MATCH('Track Data'!S1160,Acceleration!$K$4:$K$110,0)),'Track Data'!AG1160)),'Track Data'!U1160)</f>
        <v>4.8209066787706405</v>
      </c>
    </row>
    <row r="1161" spans="2:34" x14ac:dyDescent="0.25">
      <c r="B1161" s="16">
        <v>228.23099999999999</v>
      </c>
      <c r="C1161" s="16">
        <v>8431</v>
      </c>
      <c r="D1161" s="16">
        <v>1158</v>
      </c>
      <c r="E1161" s="113">
        <v>130</v>
      </c>
      <c r="F1161" s="113">
        <v>124.3</v>
      </c>
      <c r="G1161" s="113">
        <v>112.5</v>
      </c>
      <c r="H1161" s="113">
        <f t="shared" si="131"/>
        <v>31.25</v>
      </c>
      <c r="I1161" s="113">
        <v>15.3</v>
      </c>
      <c r="J1161" s="113">
        <v>59.31</v>
      </c>
      <c r="K1161" s="113">
        <v>-26.1</v>
      </c>
      <c r="L1161" s="183"/>
      <c r="M1161" s="16">
        <v>1158</v>
      </c>
      <c r="N1161" s="16">
        <f t="shared" si="133"/>
        <v>2.2841188743510724E-2</v>
      </c>
      <c r="O1161" s="16">
        <v>4</v>
      </c>
      <c r="P1161" s="16">
        <f t="shared" si="129"/>
        <v>9.1833785004516724</v>
      </c>
      <c r="Q1161" s="16">
        <f t="shared" si="134"/>
        <v>43.780558500227102</v>
      </c>
      <c r="R1161" s="113">
        <f t="shared" si="130"/>
        <v>329.49099999999999</v>
      </c>
      <c r="S1161" s="16">
        <f>IF(S1160=15800,15800,ROUND((((Q1161*60)/'Gearing Calculator'!$C$14)*'Track Data'!P1161),-2))</f>
        <v>12200</v>
      </c>
      <c r="T1161" s="16">
        <f t="shared" si="132"/>
        <v>4.8209066787706405</v>
      </c>
      <c r="U1161" s="16">
        <f>IF(AC1161=100,Braking!$AG$2354,IF(AC1161=50,Braking!$AG$1179,IF(AC1161=75,Braking!$AG$1767,0)))</f>
        <v>0</v>
      </c>
      <c r="V1161" s="16">
        <f>0.5*'Gearing Calculator'!$C$15*'Gearing Calculator'!$C$20*'Gearing Calculator'!$W$20*('Track Data'!Q1161^2)</f>
        <v>202.8674761063169</v>
      </c>
      <c r="W1161" s="16">
        <f>('Gearing Calculator'!$U$9*'Track Data'!T1161)+'Track Data'!V1161</f>
        <v>1486.1928339950614</v>
      </c>
      <c r="X1161" s="16">
        <f>('Gearing Calculator'!$U$9*9.81)*('Gearing Calculator'!$U$16/'Gearing Calculator'!$C$7)-(('Track Data'!W1161)*('Gearing Calculator'!$U$17/'Gearing Calculator'!$C$7))</f>
        <v>591.0857078158931</v>
      </c>
      <c r="Y1161" s="16">
        <f>('Gearing Calculator'!$U$9*9.81)*(('Gearing Calculator'!$C$7-'Gearing Calculator'!$U$16)/'Gearing Calculator'!$C$7)+(('Track Data'!W1161)*('Gearing Calculator'!$U$17/'Gearing Calculator'!$C$7))</f>
        <v>2020.3362921841069</v>
      </c>
      <c r="Z1161" s="16">
        <f>((X1161*COS('Gearing Calculator'!$C$21))/'Gearing Calculator'!$C$22)/2</f>
        <v>18.274500640847798</v>
      </c>
      <c r="AA1161" s="16">
        <f>Y1161/'Gearing Calculator'!$C$24</f>
        <v>28.210670940130971</v>
      </c>
      <c r="AB1161" s="16">
        <f t="shared" si="128"/>
        <v>222.15110282139946</v>
      </c>
      <c r="AC1161" s="16">
        <v>0</v>
      </c>
      <c r="AD1161" s="16">
        <v>-45.249166535644598</v>
      </c>
      <c r="AE1161" s="16">
        <v>1158</v>
      </c>
      <c r="AF1161" s="16">
        <f>IF(AC1161=0,IF(O1161=6,INDEX(Acceleration!$V$4:$V$110,MATCH('Track Data'!S1161,Acceleration!$K$4:$K$110,0)),IF('Track Data'!O1161=5,INDEX(Acceleration!$U$4:$U$110,MATCH('Track Data'!S1161,Acceleration!$K$4:$K$110,0)),1)),U1161)</f>
        <v>1</v>
      </c>
      <c r="AG1161" s="16">
        <f>IF(AC1161=0,IF(O1161=4,INDEX(Acceleration!$T$4:$T$110,MATCH('Track Data'!S1161,Acceleration!$K$4:$K$110,0)),IF('Track Data'!O1161=3,INDEX(Acceleration!$S$4:$S$110,MATCH('Track Data'!S1161,Acceleration!$K$4:$K$110,0)),'Track Data'!AF1161)),'Track Data'!U1161)</f>
        <v>4.8209066787706405</v>
      </c>
      <c r="AH1161" s="16">
        <f>IF(AC1161=0,IF(O1161=2,INDEX(Acceleration!$R$4:$R$110,MATCH('Track Data'!S1161,Acceleration!$K$4:$K$110,0)),IF('Track Data'!O1161=1,INDEX(Acceleration!$Q$4:$Q$110,MATCH('Track Data'!S1161,Acceleration!$K$4:$K$110,0)),'Track Data'!AG1161)),'Track Data'!U1161)</f>
        <v>4.8209066787706405</v>
      </c>
    </row>
    <row r="1162" spans="2:34" x14ac:dyDescent="0.25">
      <c r="B1162" s="16">
        <v>228.261</v>
      </c>
      <c r="C1162" s="16">
        <v>8432</v>
      </c>
      <c r="D1162" s="16">
        <v>1159</v>
      </c>
      <c r="E1162" s="113">
        <v>131</v>
      </c>
      <c r="F1162" s="113">
        <v>124.6</v>
      </c>
      <c r="G1162" s="113">
        <v>112.5</v>
      </c>
      <c r="H1162" s="113">
        <f t="shared" si="131"/>
        <v>31.25</v>
      </c>
      <c r="I1162" s="113">
        <v>14.6</v>
      </c>
      <c r="J1162" s="113">
        <v>58.6</v>
      </c>
      <c r="K1162" s="113">
        <v>-36.299999999999997</v>
      </c>
      <c r="L1162" s="183"/>
      <c r="M1162" s="16">
        <v>1159</v>
      </c>
      <c r="N1162" s="16">
        <f t="shared" si="133"/>
        <v>2.2841188743510724E-2</v>
      </c>
      <c r="O1162" s="16">
        <v>4</v>
      </c>
      <c r="P1162" s="16">
        <f t="shared" si="129"/>
        <v>9.1833785004516724</v>
      </c>
      <c r="Q1162" s="16">
        <f t="shared" si="134"/>
        <v>43.780558500227102</v>
      </c>
      <c r="R1162" s="113">
        <f t="shared" si="130"/>
        <v>329.49099999999999</v>
      </c>
      <c r="S1162" s="16">
        <f>IF(S1161=15800,15800,ROUND((((Q1162*60)/'Gearing Calculator'!$C$14)*'Track Data'!P1162),-2))</f>
        <v>12200</v>
      </c>
      <c r="T1162" s="16">
        <f t="shared" si="132"/>
        <v>4.8209066787706405</v>
      </c>
      <c r="U1162" s="16">
        <f>IF(AC1162=100,Braking!$AG$2354,IF(AC1162=50,Braking!$AG$1179,IF(AC1162=75,Braking!$AG$1767,0)))</f>
        <v>0</v>
      </c>
      <c r="V1162" s="16">
        <f>0.5*'Gearing Calculator'!$C$15*'Gearing Calculator'!$C$20*'Gearing Calculator'!$W$20*('Track Data'!Q1162^2)</f>
        <v>202.8674761063169</v>
      </c>
      <c r="W1162" s="16">
        <f>('Gearing Calculator'!$U$9*'Track Data'!T1162)+'Track Data'!V1162</f>
        <v>1486.1928339950614</v>
      </c>
      <c r="X1162" s="16">
        <f>('Gearing Calculator'!$U$9*9.81)*('Gearing Calculator'!$U$16/'Gearing Calculator'!$C$7)-(('Track Data'!W1162)*('Gearing Calculator'!$U$17/'Gearing Calculator'!$C$7))</f>
        <v>591.0857078158931</v>
      </c>
      <c r="Y1162" s="16">
        <f>('Gearing Calculator'!$U$9*9.81)*(('Gearing Calculator'!$C$7-'Gearing Calculator'!$U$16)/'Gearing Calculator'!$C$7)+(('Track Data'!W1162)*('Gearing Calculator'!$U$17/'Gearing Calculator'!$C$7))</f>
        <v>2020.3362921841069</v>
      </c>
      <c r="Z1162" s="16">
        <f>((X1162*COS('Gearing Calculator'!$C$21))/'Gearing Calculator'!$C$22)/2</f>
        <v>18.274500640847798</v>
      </c>
      <c r="AA1162" s="16">
        <f>Y1162/'Gearing Calculator'!$C$24</f>
        <v>28.210670940130971</v>
      </c>
      <c r="AB1162" s="16">
        <f t="shared" si="128"/>
        <v>222.15110282139946</v>
      </c>
      <c r="AC1162" s="16">
        <v>0</v>
      </c>
      <c r="AD1162" s="16">
        <v>-45.249166535644598</v>
      </c>
      <c r="AE1162" s="16">
        <v>1159</v>
      </c>
      <c r="AF1162" s="16">
        <f>IF(AC1162=0,IF(O1162=6,INDEX(Acceleration!$V$4:$V$110,MATCH('Track Data'!S1162,Acceleration!$K$4:$K$110,0)),IF('Track Data'!O1162=5,INDEX(Acceleration!$U$4:$U$110,MATCH('Track Data'!S1162,Acceleration!$K$4:$K$110,0)),1)),U1162)</f>
        <v>1</v>
      </c>
      <c r="AG1162" s="16">
        <f>IF(AC1162=0,IF(O1162=4,INDEX(Acceleration!$T$4:$T$110,MATCH('Track Data'!S1162,Acceleration!$K$4:$K$110,0)),IF('Track Data'!O1162=3,INDEX(Acceleration!$S$4:$S$110,MATCH('Track Data'!S1162,Acceleration!$K$4:$K$110,0)),'Track Data'!AF1162)),'Track Data'!U1162)</f>
        <v>4.8209066787706405</v>
      </c>
      <c r="AH1162" s="16">
        <f>IF(AC1162=0,IF(O1162=2,INDEX(Acceleration!$R$4:$R$110,MATCH('Track Data'!S1162,Acceleration!$K$4:$K$110,0)),IF('Track Data'!O1162=1,INDEX(Acceleration!$Q$4:$Q$110,MATCH('Track Data'!S1162,Acceleration!$K$4:$K$110,0)),'Track Data'!AG1162)),'Track Data'!U1162)</f>
        <v>4.8209066787706405</v>
      </c>
    </row>
    <row r="1163" spans="2:34" x14ac:dyDescent="0.25">
      <c r="B1163" s="16">
        <v>228.28899999999999</v>
      </c>
      <c r="C1163" s="16">
        <v>8433</v>
      </c>
      <c r="D1163" s="16">
        <v>1160</v>
      </c>
      <c r="E1163" s="113">
        <v>131</v>
      </c>
      <c r="F1163" s="113">
        <v>124.8</v>
      </c>
      <c r="G1163" s="113">
        <v>112.5</v>
      </c>
      <c r="H1163" s="113">
        <f t="shared" si="131"/>
        <v>31.25</v>
      </c>
      <c r="I1163" s="113">
        <v>14.4</v>
      </c>
      <c r="J1163" s="113">
        <v>59.45</v>
      </c>
      <c r="K1163" s="113">
        <v>-44.8</v>
      </c>
      <c r="L1163" s="183"/>
      <c r="M1163" s="16">
        <v>1160</v>
      </c>
      <c r="N1163" s="16">
        <f t="shared" si="133"/>
        <v>2.2841188743510724E-2</v>
      </c>
      <c r="O1163" s="16">
        <v>4</v>
      </c>
      <c r="P1163" s="16">
        <f t="shared" si="129"/>
        <v>9.1833785004516724</v>
      </c>
      <c r="Q1163" s="16">
        <f t="shared" si="134"/>
        <v>43.780558500227102</v>
      </c>
      <c r="R1163" s="113">
        <f t="shared" si="130"/>
        <v>329.49099999999999</v>
      </c>
      <c r="S1163" s="16">
        <f>IF(S1162=15800,15800,ROUND((((Q1163*60)/'Gearing Calculator'!$C$14)*'Track Data'!P1163),-2))</f>
        <v>12200</v>
      </c>
      <c r="T1163" s="16">
        <f t="shared" si="132"/>
        <v>4.8209066787706405</v>
      </c>
      <c r="U1163" s="16">
        <f>IF(AC1163=100,Braking!$AG$2354,IF(AC1163=50,Braking!$AG$1179,IF(AC1163=75,Braking!$AG$1767,0)))</f>
        <v>0</v>
      </c>
      <c r="V1163" s="16">
        <f>0.5*'Gearing Calculator'!$C$15*'Gearing Calculator'!$C$20*'Gearing Calculator'!$W$20*('Track Data'!Q1163^2)</f>
        <v>202.8674761063169</v>
      </c>
      <c r="W1163" s="16">
        <f>('Gearing Calculator'!$U$9*'Track Data'!T1163)+'Track Data'!V1163</f>
        <v>1486.1928339950614</v>
      </c>
      <c r="X1163" s="16">
        <f>('Gearing Calculator'!$U$9*9.81)*('Gearing Calculator'!$U$16/'Gearing Calculator'!$C$7)-(('Track Data'!W1163)*('Gearing Calculator'!$U$17/'Gearing Calculator'!$C$7))</f>
        <v>591.0857078158931</v>
      </c>
      <c r="Y1163" s="16">
        <f>('Gearing Calculator'!$U$9*9.81)*(('Gearing Calculator'!$C$7-'Gearing Calculator'!$U$16)/'Gearing Calculator'!$C$7)+(('Track Data'!W1163)*('Gearing Calculator'!$U$17/'Gearing Calculator'!$C$7))</f>
        <v>2020.3362921841069</v>
      </c>
      <c r="Z1163" s="16">
        <f>((X1163*COS('Gearing Calculator'!$C$21))/'Gearing Calculator'!$C$22)/2</f>
        <v>18.274500640847798</v>
      </c>
      <c r="AA1163" s="16">
        <f>Y1163/'Gearing Calculator'!$C$24</f>
        <v>28.210670940130971</v>
      </c>
      <c r="AB1163" s="16">
        <f t="shared" si="128"/>
        <v>222.15110282139946</v>
      </c>
      <c r="AC1163" s="16">
        <v>0</v>
      </c>
      <c r="AD1163" s="16">
        <v>-45.249166535644598</v>
      </c>
      <c r="AE1163" s="16">
        <v>1160</v>
      </c>
      <c r="AF1163" s="16">
        <f>IF(AC1163=0,IF(O1163=6,INDEX(Acceleration!$V$4:$V$110,MATCH('Track Data'!S1163,Acceleration!$K$4:$K$110,0)),IF('Track Data'!O1163=5,INDEX(Acceleration!$U$4:$U$110,MATCH('Track Data'!S1163,Acceleration!$K$4:$K$110,0)),1)),U1163)</f>
        <v>1</v>
      </c>
      <c r="AG1163" s="16">
        <f>IF(AC1163=0,IF(O1163=4,INDEX(Acceleration!$T$4:$T$110,MATCH('Track Data'!S1163,Acceleration!$K$4:$K$110,0)),IF('Track Data'!O1163=3,INDEX(Acceleration!$S$4:$S$110,MATCH('Track Data'!S1163,Acceleration!$K$4:$K$110,0)),'Track Data'!AF1163)),'Track Data'!U1163)</f>
        <v>4.8209066787706405</v>
      </c>
      <c r="AH1163" s="16">
        <f>IF(AC1163=0,IF(O1163=2,INDEX(Acceleration!$R$4:$R$110,MATCH('Track Data'!S1163,Acceleration!$K$4:$K$110,0)),IF('Track Data'!O1163=1,INDEX(Acceleration!$Q$4:$Q$110,MATCH('Track Data'!S1163,Acceleration!$K$4:$K$110,0)),'Track Data'!AG1163)),'Track Data'!U1163)</f>
        <v>4.8209066787706405</v>
      </c>
    </row>
    <row r="1164" spans="2:34" x14ac:dyDescent="0.25">
      <c r="B1164" s="16">
        <v>228.31800000000001</v>
      </c>
      <c r="C1164" s="16">
        <v>8434</v>
      </c>
      <c r="D1164" s="16">
        <v>1161</v>
      </c>
      <c r="E1164" s="113">
        <v>130</v>
      </c>
      <c r="F1164" s="113">
        <v>124.8</v>
      </c>
      <c r="G1164" s="113">
        <v>112.5</v>
      </c>
      <c r="H1164" s="113">
        <f t="shared" si="131"/>
        <v>31.25</v>
      </c>
      <c r="I1164" s="113">
        <v>14.5</v>
      </c>
      <c r="J1164" s="113">
        <v>57.23</v>
      </c>
      <c r="K1164" s="113">
        <v>-57.6</v>
      </c>
      <c r="L1164" s="183"/>
      <c r="M1164" s="16">
        <v>1161</v>
      </c>
      <c r="N1164" s="16">
        <f t="shared" si="133"/>
        <v>2.2841188743510724E-2</v>
      </c>
      <c r="O1164" s="16">
        <v>4</v>
      </c>
      <c r="P1164" s="16">
        <f t="shared" si="129"/>
        <v>9.1833785004516724</v>
      </c>
      <c r="Q1164" s="16">
        <f t="shared" si="134"/>
        <v>43.780558500227102</v>
      </c>
      <c r="R1164" s="113">
        <f t="shared" si="130"/>
        <v>329.49099999999999</v>
      </c>
      <c r="S1164" s="16">
        <f>IF(S1163=15800,15800,ROUND((((Q1164*60)/'Gearing Calculator'!$C$14)*'Track Data'!P1164),-2))</f>
        <v>12200</v>
      </c>
      <c r="T1164" s="16">
        <f t="shared" si="132"/>
        <v>4.8209066787706405</v>
      </c>
      <c r="U1164" s="16">
        <f>IF(AC1164=100,Braking!$AG$2354,IF(AC1164=50,Braking!$AG$1179,IF(AC1164=75,Braking!$AG$1767,0)))</f>
        <v>0</v>
      </c>
      <c r="V1164" s="16">
        <f>0.5*'Gearing Calculator'!$C$15*'Gearing Calculator'!$C$20*'Gearing Calculator'!$W$20*('Track Data'!Q1164^2)</f>
        <v>202.8674761063169</v>
      </c>
      <c r="W1164" s="16">
        <f>('Gearing Calculator'!$U$9*'Track Data'!T1164)+'Track Data'!V1164</f>
        <v>1486.1928339950614</v>
      </c>
      <c r="X1164" s="16">
        <f>('Gearing Calculator'!$U$9*9.81)*('Gearing Calculator'!$U$16/'Gearing Calculator'!$C$7)-(('Track Data'!W1164)*('Gearing Calculator'!$U$17/'Gearing Calculator'!$C$7))</f>
        <v>591.0857078158931</v>
      </c>
      <c r="Y1164" s="16">
        <f>('Gearing Calculator'!$U$9*9.81)*(('Gearing Calculator'!$C$7-'Gearing Calculator'!$U$16)/'Gearing Calculator'!$C$7)+(('Track Data'!W1164)*('Gearing Calculator'!$U$17/'Gearing Calculator'!$C$7))</f>
        <v>2020.3362921841069</v>
      </c>
      <c r="Z1164" s="16">
        <f>((X1164*COS('Gearing Calculator'!$C$21))/'Gearing Calculator'!$C$22)/2</f>
        <v>18.274500640847798</v>
      </c>
      <c r="AA1164" s="16">
        <f>Y1164/'Gearing Calculator'!$C$24</f>
        <v>28.210670940130971</v>
      </c>
      <c r="AB1164" s="16">
        <f t="shared" si="128"/>
        <v>222.15110282139946</v>
      </c>
      <c r="AC1164" s="16">
        <v>0</v>
      </c>
      <c r="AD1164" s="16">
        <v>-45.249166535644598</v>
      </c>
      <c r="AE1164" s="16">
        <v>1161</v>
      </c>
      <c r="AF1164" s="16">
        <f>IF(AC1164=0,IF(O1164=6,INDEX(Acceleration!$V$4:$V$110,MATCH('Track Data'!S1164,Acceleration!$K$4:$K$110,0)),IF('Track Data'!O1164=5,INDEX(Acceleration!$U$4:$U$110,MATCH('Track Data'!S1164,Acceleration!$K$4:$K$110,0)),1)),U1164)</f>
        <v>1</v>
      </c>
      <c r="AG1164" s="16">
        <f>IF(AC1164=0,IF(O1164=4,INDEX(Acceleration!$T$4:$T$110,MATCH('Track Data'!S1164,Acceleration!$K$4:$K$110,0)),IF('Track Data'!O1164=3,INDEX(Acceleration!$S$4:$S$110,MATCH('Track Data'!S1164,Acceleration!$K$4:$K$110,0)),'Track Data'!AF1164)),'Track Data'!U1164)</f>
        <v>4.8209066787706405</v>
      </c>
      <c r="AH1164" s="16">
        <f>IF(AC1164=0,IF(O1164=2,INDEX(Acceleration!$R$4:$R$110,MATCH('Track Data'!S1164,Acceleration!$K$4:$K$110,0)),IF('Track Data'!O1164=1,INDEX(Acceleration!$Q$4:$Q$110,MATCH('Track Data'!S1164,Acceleration!$K$4:$K$110,0)),'Track Data'!AG1164)),'Track Data'!U1164)</f>
        <v>4.8209066787706405</v>
      </c>
    </row>
    <row r="1165" spans="2:34" x14ac:dyDescent="0.25">
      <c r="B1165" s="16">
        <v>228.34700000000001</v>
      </c>
      <c r="C1165" s="16">
        <v>8435</v>
      </c>
      <c r="D1165" s="16">
        <v>1162</v>
      </c>
      <c r="E1165" s="113">
        <v>130</v>
      </c>
      <c r="F1165" s="113">
        <v>124.8</v>
      </c>
      <c r="G1165" s="113">
        <v>112.5</v>
      </c>
      <c r="H1165" s="113">
        <f t="shared" si="131"/>
        <v>31.25</v>
      </c>
      <c r="I1165" s="113">
        <v>16.899999999999999</v>
      </c>
      <c r="J1165" s="113">
        <v>57.2</v>
      </c>
      <c r="K1165" s="113">
        <v>-60</v>
      </c>
      <c r="L1165" s="183"/>
      <c r="M1165" s="16">
        <v>1162</v>
      </c>
      <c r="N1165" s="16">
        <f t="shared" si="133"/>
        <v>2.2841188743510724E-2</v>
      </c>
      <c r="O1165" s="16">
        <v>4</v>
      </c>
      <c r="P1165" s="16">
        <f t="shared" si="129"/>
        <v>9.1833785004516724</v>
      </c>
      <c r="Q1165" s="16">
        <f t="shared" si="134"/>
        <v>43.780558500227102</v>
      </c>
      <c r="R1165" s="113">
        <f t="shared" si="130"/>
        <v>329.49099999999999</v>
      </c>
      <c r="S1165" s="16">
        <f>IF(S1164=15800,15800,ROUND((((Q1165*60)/'Gearing Calculator'!$C$14)*'Track Data'!P1165),-2))</f>
        <v>12200</v>
      </c>
      <c r="T1165" s="16">
        <f t="shared" si="132"/>
        <v>4.8209066787706405</v>
      </c>
      <c r="U1165" s="16">
        <f>IF(AC1165=100,Braking!$AG$2354,IF(AC1165=50,Braking!$AG$1179,IF(AC1165=75,Braking!$AG$1767,0)))</f>
        <v>0</v>
      </c>
      <c r="V1165" s="16">
        <f>0.5*'Gearing Calculator'!$C$15*'Gearing Calculator'!$C$20*'Gearing Calculator'!$W$20*('Track Data'!Q1165^2)</f>
        <v>202.8674761063169</v>
      </c>
      <c r="W1165" s="16">
        <f>('Gearing Calculator'!$U$9*'Track Data'!T1165)+'Track Data'!V1165</f>
        <v>1486.1928339950614</v>
      </c>
      <c r="X1165" s="16">
        <f>('Gearing Calculator'!$U$9*9.81)*('Gearing Calculator'!$U$16/'Gearing Calculator'!$C$7)-(('Track Data'!W1165)*('Gearing Calculator'!$U$17/'Gearing Calculator'!$C$7))</f>
        <v>591.0857078158931</v>
      </c>
      <c r="Y1165" s="16">
        <f>('Gearing Calculator'!$U$9*9.81)*(('Gearing Calculator'!$C$7-'Gearing Calculator'!$U$16)/'Gearing Calculator'!$C$7)+(('Track Data'!W1165)*('Gearing Calculator'!$U$17/'Gearing Calculator'!$C$7))</f>
        <v>2020.3362921841069</v>
      </c>
      <c r="Z1165" s="16">
        <f>((X1165*COS('Gearing Calculator'!$C$21))/'Gearing Calculator'!$C$22)/2</f>
        <v>18.274500640847798</v>
      </c>
      <c r="AA1165" s="16">
        <f>Y1165/'Gearing Calculator'!$C$24</f>
        <v>28.210670940130971</v>
      </c>
      <c r="AB1165" s="16">
        <f t="shared" si="128"/>
        <v>222.15110282139946</v>
      </c>
      <c r="AC1165" s="16">
        <v>0</v>
      </c>
      <c r="AD1165" s="16">
        <v>-45.249166535644598</v>
      </c>
      <c r="AE1165" s="16">
        <v>1162</v>
      </c>
      <c r="AF1165" s="16">
        <f>IF(AC1165=0,IF(O1165=6,INDEX(Acceleration!$V$4:$V$110,MATCH('Track Data'!S1165,Acceleration!$K$4:$K$110,0)),IF('Track Data'!O1165=5,INDEX(Acceleration!$U$4:$U$110,MATCH('Track Data'!S1165,Acceleration!$K$4:$K$110,0)),1)),U1165)</f>
        <v>1</v>
      </c>
      <c r="AG1165" s="16">
        <f>IF(AC1165=0,IF(O1165=4,INDEX(Acceleration!$T$4:$T$110,MATCH('Track Data'!S1165,Acceleration!$K$4:$K$110,0)),IF('Track Data'!O1165=3,INDEX(Acceleration!$S$4:$S$110,MATCH('Track Data'!S1165,Acceleration!$K$4:$K$110,0)),'Track Data'!AF1165)),'Track Data'!U1165)</f>
        <v>4.8209066787706405</v>
      </c>
      <c r="AH1165" s="16">
        <f>IF(AC1165=0,IF(O1165=2,INDEX(Acceleration!$R$4:$R$110,MATCH('Track Data'!S1165,Acceleration!$K$4:$K$110,0)),IF('Track Data'!O1165=1,INDEX(Acceleration!$Q$4:$Q$110,MATCH('Track Data'!S1165,Acceleration!$K$4:$K$110,0)),'Track Data'!AG1165)),'Track Data'!U1165)</f>
        <v>4.8209066787706405</v>
      </c>
    </row>
    <row r="1166" spans="2:34" x14ac:dyDescent="0.25">
      <c r="B1166" s="16">
        <v>228.376</v>
      </c>
      <c r="C1166" s="16">
        <v>8436</v>
      </c>
      <c r="D1166" s="16">
        <v>1163</v>
      </c>
      <c r="E1166" s="113">
        <v>130</v>
      </c>
      <c r="F1166" s="113">
        <v>124.7</v>
      </c>
      <c r="G1166" s="113">
        <v>112.7</v>
      </c>
      <c r="H1166" s="113">
        <f t="shared" si="131"/>
        <v>31.305555555555557</v>
      </c>
      <c r="I1166" s="113">
        <v>18.399999999999999</v>
      </c>
      <c r="J1166" s="113">
        <v>58.5</v>
      </c>
      <c r="K1166" s="113">
        <v>-59.5</v>
      </c>
      <c r="L1166" s="183"/>
      <c r="M1166" s="16">
        <v>1163</v>
      </c>
      <c r="N1166" s="16">
        <f t="shared" si="133"/>
        <v>2.2841188743510724E-2</v>
      </c>
      <c r="O1166" s="16">
        <v>4</v>
      </c>
      <c r="P1166" s="16">
        <f t="shared" si="129"/>
        <v>9.1833785004516724</v>
      </c>
      <c r="Q1166" s="16">
        <f t="shared" si="134"/>
        <v>43.780558500227102</v>
      </c>
      <c r="R1166" s="113">
        <f t="shared" si="130"/>
        <v>329.49099999999999</v>
      </c>
      <c r="S1166" s="16">
        <f>IF(S1165=15800,15800,ROUND((((Q1166*60)/'Gearing Calculator'!$C$14)*'Track Data'!P1166),-2))</f>
        <v>12200</v>
      </c>
      <c r="T1166" s="16">
        <f t="shared" si="132"/>
        <v>4.8209066787706405</v>
      </c>
      <c r="U1166" s="16">
        <f>IF(AC1166=100,Braking!$AG$2354,IF(AC1166=50,Braking!$AG$1179,IF(AC1166=75,Braking!$AG$1767,0)))</f>
        <v>0</v>
      </c>
      <c r="V1166" s="16">
        <f>0.5*'Gearing Calculator'!$C$15*'Gearing Calculator'!$C$20*'Gearing Calculator'!$W$20*('Track Data'!Q1166^2)</f>
        <v>202.8674761063169</v>
      </c>
      <c r="W1166" s="16">
        <f>('Gearing Calculator'!$U$9*'Track Data'!T1166)+'Track Data'!V1166</f>
        <v>1486.1928339950614</v>
      </c>
      <c r="X1166" s="16">
        <f>('Gearing Calculator'!$U$9*9.81)*('Gearing Calculator'!$U$16/'Gearing Calculator'!$C$7)-(('Track Data'!W1166)*('Gearing Calculator'!$U$17/'Gearing Calculator'!$C$7))</f>
        <v>591.0857078158931</v>
      </c>
      <c r="Y1166" s="16">
        <f>('Gearing Calculator'!$U$9*9.81)*(('Gearing Calculator'!$C$7-'Gearing Calculator'!$U$16)/'Gearing Calculator'!$C$7)+(('Track Data'!W1166)*('Gearing Calculator'!$U$17/'Gearing Calculator'!$C$7))</f>
        <v>2020.3362921841069</v>
      </c>
      <c r="Z1166" s="16">
        <f>((X1166*COS('Gearing Calculator'!$C$21))/'Gearing Calculator'!$C$22)/2</f>
        <v>18.274500640847798</v>
      </c>
      <c r="AA1166" s="16">
        <f>Y1166/'Gearing Calculator'!$C$24</f>
        <v>28.210670940130971</v>
      </c>
      <c r="AB1166" s="16">
        <f t="shared" si="128"/>
        <v>222.15110282139946</v>
      </c>
      <c r="AC1166" s="16">
        <v>0</v>
      </c>
      <c r="AD1166" s="16">
        <v>-45.249166535644598</v>
      </c>
      <c r="AE1166" s="16">
        <v>1163</v>
      </c>
      <c r="AF1166" s="16">
        <f>IF(AC1166=0,IF(O1166=6,INDEX(Acceleration!$V$4:$V$110,MATCH('Track Data'!S1166,Acceleration!$K$4:$K$110,0)),IF('Track Data'!O1166=5,INDEX(Acceleration!$U$4:$U$110,MATCH('Track Data'!S1166,Acceleration!$K$4:$K$110,0)),1)),U1166)</f>
        <v>1</v>
      </c>
      <c r="AG1166" s="16">
        <f>IF(AC1166=0,IF(O1166=4,INDEX(Acceleration!$T$4:$T$110,MATCH('Track Data'!S1166,Acceleration!$K$4:$K$110,0)),IF('Track Data'!O1166=3,INDEX(Acceleration!$S$4:$S$110,MATCH('Track Data'!S1166,Acceleration!$K$4:$K$110,0)),'Track Data'!AF1166)),'Track Data'!U1166)</f>
        <v>4.8209066787706405</v>
      </c>
      <c r="AH1166" s="16">
        <f>IF(AC1166=0,IF(O1166=2,INDEX(Acceleration!$R$4:$R$110,MATCH('Track Data'!S1166,Acceleration!$K$4:$K$110,0)),IF('Track Data'!O1166=1,INDEX(Acceleration!$Q$4:$Q$110,MATCH('Track Data'!S1166,Acceleration!$K$4:$K$110,0)),'Track Data'!AG1166)),'Track Data'!U1166)</f>
        <v>4.8209066787706405</v>
      </c>
    </row>
    <row r="1167" spans="2:34" x14ac:dyDescent="0.25">
      <c r="B1167" s="16">
        <v>228.404</v>
      </c>
      <c r="C1167" s="16">
        <v>8437</v>
      </c>
      <c r="D1167" s="16">
        <v>1164</v>
      </c>
      <c r="E1167" s="113">
        <v>130</v>
      </c>
      <c r="F1167" s="113">
        <v>124.3</v>
      </c>
      <c r="G1167" s="113">
        <v>112.8</v>
      </c>
      <c r="H1167" s="113">
        <f t="shared" si="131"/>
        <v>31.333333333333332</v>
      </c>
      <c r="I1167" s="113">
        <v>19.5</v>
      </c>
      <c r="J1167" s="113">
        <v>57.19</v>
      </c>
      <c r="K1167" s="113">
        <v>-59.1</v>
      </c>
      <c r="L1167" s="183"/>
      <c r="M1167" s="16">
        <v>1164</v>
      </c>
      <c r="N1167" s="16">
        <f t="shared" si="133"/>
        <v>2.2841188743510724E-2</v>
      </c>
      <c r="O1167" s="16">
        <v>4</v>
      </c>
      <c r="P1167" s="16">
        <f t="shared" si="129"/>
        <v>9.1833785004516724</v>
      </c>
      <c r="Q1167" s="16">
        <f t="shared" si="134"/>
        <v>43.780558500227102</v>
      </c>
      <c r="R1167" s="113">
        <f t="shared" si="130"/>
        <v>329.49099999999999</v>
      </c>
      <c r="S1167" s="16">
        <f>IF(S1166=15800,15800,ROUND((((Q1167*60)/'Gearing Calculator'!$C$14)*'Track Data'!P1167),-2))</f>
        <v>12200</v>
      </c>
      <c r="T1167" s="16">
        <f t="shared" si="132"/>
        <v>4.8209066787706405</v>
      </c>
      <c r="U1167" s="16">
        <f>IF(AC1167=100,Braking!$AG$2354,IF(AC1167=50,Braking!$AG$1179,IF(AC1167=75,Braking!$AG$1767,0)))</f>
        <v>0</v>
      </c>
      <c r="V1167" s="16">
        <f>0.5*'Gearing Calculator'!$C$15*'Gearing Calculator'!$C$20*'Gearing Calculator'!$W$20*('Track Data'!Q1167^2)</f>
        <v>202.8674761063169</v>
      </c>
      <c r="W1167" s="16">
        <f>('Gearing Calculator'!$U$9*'Track Data'!T1167)+'Track Data'!V1167</f>
        <v>1486.1928339950614</v>
      </c>
      <c r="X1167" s="16">
        <f>('Gearing Calculator'!$U$9*9.81)*('Gearing Calculator'!$U$16/'Gearing Calculator'!$C$7)-(('Track Data'!W1167)*('Gearing Calculator'!$U$17/'Gearing Calculator'!$C$7))</f>
        <v>591.0857078158931</v>
      </c>
      <c r="Y1167" s="16">
        <f>('Gearing Calculator'!$U$9*9.81)*(('Gearing Calculator'!$C$7-'Gearing Calculator'!$U$16)/'Gearing Calculator'!$C$7)+(('Track Data'!W1167)*('Gearing Calculator'!$U$17/'Gearing Calculator'!$C$7))</f>
        <v>2020.3362921841069</v>
      </c>
      <c r="Z1167" s="16">
        <f>((X1167*COS('Gearing Calculator'!$C$21))/'Gearing Calculator'!$C$22)/2</f>
        <v>18.274500640847798</v>
      </c>
      <c r="AA1167" s="16">
        <f>Y1167/'Gearing Calculator'!$C$24</f>
        <v>28.210670940130971</v>
      </c>
      <c r="AB1167" s="16">
        <f t="shared" si="128"/>
        <v>222.15110282139946</v>
      </c>
      <c r="AC1167" s="16">
        <v>0</v>
      </c>
      <c r="AD1167" s="16">
        <v>-45.249166535644598</v>
      </c>
      <c r="AE1167" s="16">
        <v>1164</v>
      </c>
      <c r="AF1167" s="16">
        <f>IF(AC1167=0,IF(O1167=6,INDEX(Acceleration!$V$4:$V$110,MATCH('Track Data'!S1167,Acceleration!$K$4:$K$110,0)),IF('Track Data'!O1167=5,INDEX(Acceleration!$U$4:$U$110,MATCH('Track Data'!S1167,Acceleration!$K$4:$K$110,0)),1)),U1167)</f>
        <v>1</v>
      </c>
      <c r="AG1167" s="16">
        <f>IF(AC1167=0,IF(O1167=4,INDEX(Acceleration!$T$4:$T$110,MATCH('Track Data'!S1167,Acceleration!$K$4:$K$110,0)),IF('Track Data'!O1167=3,INDEX(Acceleration!$S$4:$S$110,MATCH('Track Data'!S1167,Acceleration!$K$4:$K$110,0)),'Track Data'!AF1167)),'Track Data'!U1167)</f>
        <v>4.8209066787706405</v>
      </c>
      <c r="AH1167" s="16">
        <f>IF(AC1167=0,IF(O1167=2,INDEX(Acceleration!$R$4:$R$110,MATCH('Track Data'!S1167,Acceleration!$K$4:$K$110,0)),IF('Track Data'!O1167=1,INDEX(Acceleration!$Q$4:$Q$110,MATCH('Track Data'!S1167,Acceleration!$K$4:$K$110,0)),'Track Data'!AG1167)),'Track Data'!U1167)</f>
        <v>4.8209066787706405</v>
      </c>
    </row>
    <row r="1168" spans="2:34" x14ac:dyDescent="0.25">
      <c r="B1168" s="16">
        <v>228.43299999999999</v>
      </c>
      <c r="C1168" s="16">
        <v>8438</v>
      </c>
      <c r="D1168" s="16">
        <v>1165</v>
      </c>
      <c r="E1168" s="113">
        <v>130</v>
      </c>
      <c r="F1168" s="113">
        <v>124.1</v>
      </c>
      <c r="G1168" s="113">
        <v>112.9</v>
      </c>
      <c r="H1168" s="113">
        <f t="shared" si="131"/>
        <v>31.361111111111111</v>
      </c>
      <c r="I1168" s="113">
        <v>19.600000000000001</v>
      </c>
      <c r="J1168" s="113">
        <v>55.09</v>
      </c>
      <c r="K1168" s="113">
        <v>-58.2</v>
      </c>
      <c r="L1168" s="183"/>
      <c r="M1168" s="16">
        <v>1165</v>
      </c>
      <c r="N1168" s="16">
        <f t="shared" si="133"/>
        <v>2.2841188743510724E-2</v>
      </c>
      <c r="O1168" s="16">
        <v>4</v>
      </c>
      <c r="P1168" s="16">
        <f t="shared" si="129"/>
        <v>9.1833785004516724</v>
      </c>
      <c r="Q1168" s="16">
        <f t="shared" si="134"/>
        <v>43.780558500227102</v>
      </c>
      <c r="R1168" s="113">
        <f t="shared" si="130"/>
        <v>329.49099999999999</v>
      </c>
      <c r="S1168" s="16">
        <f>IF(S1167=15800,15800,ROUND((((Q1168*60)/'Gearing Calculator'!$C$14)*'Track Data'!P1168),-2))</f>
        <v>12200</v>
      </c>
      <c r="T1168" s="16">
        <f t="shared" si="132"/>
        <v>4.8209066787706405</v>
      </c>
      <c r="U1168" s="16">
        <f>IF(AC1168=100,Braking!$AG$2354,IF(AC1168=50,Braking!$AG$1179,IF(AC1168=75,Braking!$AG$1767,0)))</f>
        <v>0</v>
      </c>
      <c r="V1168" s="16">
        <f>0.5*'Gearing Calculator'!$C$15*'Gearing Calculator'!$C$20*'Gearing Calculator'!$W$20*('Track Data'!Q1168^2)</f>
        <v>202.8674761063169</v>
      </c>
      <c r="W1168" s="16">
        <f>('Gearing Calculator'!$U$9*'Track Data'!T1168)+'Track Data'!V1168</f>
        <v>1486.1928339950614</v>
      </c>
      <c r="X1168" s="16">
        <f>('Gearing Calculator'!$U$9*9.81)*('Gearing Calculator'!$U$16/'Gearing Calculator'!$C$7)-(('Track Data'!W1168)*('Gearing Calculator'!$U$17/'Gearing Calculator'!$C$7))</f>
        <v>591.0857078158931</v>
      </c>
      <c r="Y1168" s="16">
        <f>('Gearing Calculator'!$U$9*9.81)*(('Gearing Calculator'!$C$7-'Gearing Calculator'!$U$16)/'Gearing Calculator'!$C$7)+(('Track Data'!W1168)*('Gearing Calculator'!$U$17/'Gearing Calculator'!$C$7))</f>
        <v>2020.3362921841069</v>
      </c>
      <c r="Z1168" s="16">
        <f>((X1168*COS('Gearing Calculator'!$C$21))/'Gearing Calculator'!$C$22)/2</f>
        <v>18.274500640847798</v>
      </c>
      <c r="AA1168" s="16">
        <f>Y1168/'Gearing Calculator'!$C$24</f>
        <v>28.210670940130971</v>
      </c>
      <c r="AB1168" s="16">
        <f t="shared" si="128"/>
        <v>222.15110282139946</v>
      </c>
      <c r="AC1168" s="16">
        <v>0</v>
      </c>
      <c r="AD1168" s="16">
        <v>-45.249166535644598</v>
      </c>
      <c r="AE1168" s="16">
        <v>1165</v>
      </c>
      <c r="AF1168" s="16">
        <f>IF(AC1168=0,IF(O1168=6,INDEX(Acceleration!$V$4:$V$110,MATCH('Track Data'!S1168,Acceleration!$K$4:$K$110,0)),IF('Track Data'!O1168=5,INDEX(Acceleration!$U$4:$U$110,MATCH('Track Data'!S1168,Acceleration!$K$4:$K$110,0)),1)),U1168)</f>
        <v>1</v>
      </c>
      <c r="AG1168" s="16">
        <f>IF(AC1168=0,IF(O1168=4,INDEX(Acceleration!$T$4:$T$110,MATCH('Track Data'!S1168,Acceleration!$K$4:$K$110,0)),IF('Track Data'!O1168=3,INDEX(Acceleration!$S$4:$S$110,MATCH('Track Data'!S1168,Acceleration!$K$4:$K$110,0)),'Track Data'!AF1168)),'Track Data'!U1168)</f>
        <v>4.8209066787706405</v>
      </c>
      <c r="AH1168" s="16">
        <f>IF(AC1168=0,IF(O1168=2,INDEX(Acceleration!$R$4:$R$110,MATCH('Track Data'!S1168,Acceleration!$K$4:$K$110,0)),IF('Track Data'!O1168=1,INDEX(Acceleration!$Q$4:$Q$110,MATCH('Track Data'!S1168,Acceleration!$K$4:$K$110,0)),'Track Data'!AG1168)),'Track Data'!U1168)</f>
        <v>4.8209066787706405</v>
      </c>
    </row>
    <row r="1169" spans="2:34" x14ac:dyDescent="0.25">
      <c r="B1169" s="16">
        <v>228.46199999999999</v>
      </c>
      <c r="C1169" s="16">
        <v>8439</v>
      </c>
      <c r="D1169" s="16">
        <v>1166</v>
      </c>
      <c r="E1169" s="113">
        <v>130</v>
      </c>
      <c r="F1169" s="113">
        <v>123.9</v>
      </c>
      <c r="G1169" s="113">
        <v>113.1</v>
      </c>
      <c r="H1169" s="113">
        <f t="shared" si="131"/>
        <v>31.416666666666664</v>
      </c>
      <c r="I1169" s="113">
        <v>18.5</v>
      </c>
      <c r="J1169" s="113">
        <v>52.66</v>
      </c>
      <c r="K1169" s="113">
        <v>-57.4</v>
      </c>
      <c r="L1169" s="183"/>
      <c r="M1169" s="16">
        <v>1166</v>
      </c>
      <c r="N1169" s="16">
        <f t="shared" si="133"/>
        <v>2.2841188743510724E-2</v>
      </c>
      <c r="O1169" s="16">
        <v>4</v>
      </c>
      <c r="P1169" s="16">
        <f t="shared" si="129"/>
        <v>9.1833785004516724</v>
      </c>
      <c r="Q1169" s="16">
        <f t="shared" si="134"/>
        <v>43.780558500227102</v>
      </c>
      <c r="R1169" s="113">
        <f t="shared" si="130"/>
        <v>329.49099999999999</v>
      </c>
      <c r="S1169" s="16">
        <f>IF(S1168=15800,15800,ROUND((((Q1169*60)/'Gearing Calculator'!$C$14)*'Track Data'!P1169),-2))</f>
        <v>12200</v>
      </c>
      <c r="T1169" s="16">
        <f t="shared" si="132"/>
        <v>4.8209066787706405</v>
      </c>
      <c r="U1169" s="16">
        <f>IF(AC1169=100,Braking!$AG$2354,IF(AC1169=50,Braking!$AG$1179,IF(AC1169=75,Braking!$AG$1767,0)))</f>
        <v>0</v>
      </c>
      <c r="V1169" s="16">
        <f>0.5*'Gearing Calculator'!$C$15*'Gearing Calculator'!$C$20*'Gearing Calculator'!$W$20*('Track Data'!Q1169^2)</f>
        <v>202.8674761063169</v>
      </c>
      <c r="W1169" s="16">
        <f>('Gearing Calculator'!$U$9*'Track Data'!T1169)+'Track Data'!V1169</f>
        <v>1486.1928339950614</v>
      </c>
      <c r="X1169" s="16">
        <f>('Gearing Calculator'!$U$9*9.81)*('Gearing Calculator'!$U$16/'Gearing Calculator'!$C$7)-(('Track Data'!W1169)*('Gearing Calculator'!$U$17/'Gearing Calculator'!$C$7))</f>
        <v>591.0857078158931</v>
      </c>
      <c r="Y1169" s="16">
        <f>('Gearing Calculator'!$U$9*9.81)*(('Gearing Calculator'!$C$7-'Gearing Calculator'!$U$16)/'Gearing Calculator'!$C$7)+(('Track Data'!W1169)*('Gearing Calculator'!$U$17/'Gearing Calculator'!$C$7))</f>
        <v>2020.3362921841069</v>
      </c>
      <c r="Z1169" s="16">
        <f>((X1169*COS('Gearing Calculator'!$C$21))/'Gearing Calculator'!$C$22)/2</f>
        <v>18.274500640847798</v>
      </c>
      <c r="AA1169" s="16">
        <f>Y1169/'Gearing Calculator'!$C$24</f>
        <v>28.210670940130971</v>
      </c>
      <c r="AB1169" s="16">
        <f t="shared" si="128"/>
        <v>222.15110282139946</v>
      </c>
      <c r="AC1169" s="16">
        <v>0</v>
      </c>
      <c r="AD1169" s="16">
        <v>-45.249166535644598</v>
      </c>
      <c r="AE1169" s="16">
        <v>1166</v>
      </c>
      <c r="AF1169" s="16">
        <f>IF(AC1169=0,IF(O1169=6,INDEX(Acceleration!$V$4:$V$110,MATCH('Track Data'!S1169,Acceleration!$K$4:$K$110,0)),IF('Track Data'!O1169=5,INDEX(Acceleration!$U$4:$U$110,MATCH('Track Data'!S1169,Acceleration!$K$4:$K$110,0)),1)),U1169)</f>
        <v>1</v>
      </c>
      <c r="AG1169" s="16">
        <f>IF(AC1169=0,IF(O1169=4,INDEX(Acceleration!$T$4:$T$110,MATCH('Track Data'!S1169,Acceleration!$K$4:$K$110,0)),IF('Track Data'!O1169=3,INDEX(Acceleration!$S$4:$S$110,MATCH('Track Data'!S1169,Acceleration!$K$4:$K$110,0)),'Track Data'!AF1169)),'Track Data'!U1169)</f>
        <v>4.8209066787706405</v>
      </c>
      <c r="AH1169" s="16">
        <f>IF(AC1169=0,IF(O1169=2,INDEX(Acceleration!$R$4:$R$110,MATCH('Track Data'!S1169,Acceleration!$K$4:$K$110,0)),IF('Track Data'!O1169=1,INDEX(Acceleration!$Q$4:$Q$110,MATCH('Track Data'!S1169,Acceleration!$K$4:$K$110,0)),'Track Data'!AG1169)),'Track Data'!U1169)</f>
        <v>4.8209066787706405</v>
      </c>
    </row>
    <row r="1170" spans="2:34" x14ac:dyDescent="0.25">
      <c r="B1170" s="16">
        <v>228.49100000000001</v>
      </c>
      <c r="C1170" s="16">
        <v>8440</v>
      </c>
      <c r="D1170" s="16">
        <v>1167</v>
      </c>
      <c r="E1170" s="113">
        <v>131</v>
      </c>
      <c r="F1170" s="113">
        <v>123.9</v>
      </c>
      <c r="G1170" s="113">
        <v>113.3</v>
      </c>
      <c r="H1170" s="113">
        <f t="shared" si="131"/>
        <v>31.472222222222221</v>
      </c>
      <c r="I1170" s="113">
        <v>16.100000000000001</v>
      </c>
      <c r="J1170" s="113">
        <v>48.62</v>
      </c>
      <c r="K1170" s="113">
        <v>-56.9</v>
      </c>
      <c r="L1170" s="183"/>
      <c r="M1170" s="16">
        <v>1167</v>
      </c>
      <c r="N1170" s="16">
        <f t="shared" si="133"/>
        <v>2.2841188743510724E-2</v>
      </c>
      <c r="O1170" s="16">
        <v>4</v>
      </c>
      <c r="P1170" s="16">
        <f t="shared" si="129"/>
        <v>9.1833785004516724</v>
      </c>
      <c r="Q1170" s="16">
        <f t="shared" si="134"/>
        <v>43.780558500227102</v>
      </c>
      <c r="R1170" s="113">
        <f t="shared" si="130"/>
        <v>329.49099999999999</v>
      </c>
      <c r="S1170" s="16">
        <f>IF(S1169=15800,15800,ROUND((((Q1170*60)/'Gearing Calculator'!$C$14)*'Track Data'!P1170),-2))</f>
        <v>12200</v>
      </c>
      <c r="T1170" s="16">
        <f t="shared" si="132"/>
        <v>4.8209066787706405</v>
      </c>
      <c r="U1170" s="16">
        <f>IF(AC1170=100,Braking!$AG$2354,IF(AC1170=50,Braking!$AG$1179,IF(AC1170=75,Braking!$AG$1767,0)))</f>
        <v>0</v>
      </c>
      <c r="V1170" s="16">
        <f>0.5*'Gearing Calculator'!$C$15*'Gearing Calculator'!$C$20*'Gearing Calculator'!$W$20*('Track Data'!Q1170^2)</f>
        <v>202.8674761063169</v>
      </c>
      <c r="W1170" s="16">
        <f>('Gearing Calculator'!$U$9*'Track Data'!T1170)+'Track Data'!V1170</f>
        <v>1486.1928339950614</v>
      </c>
      <c r="X1170" s="16">
        <f>('Gearing Calculator'!$U$9*9.81)*('Gearing Calculator'!$U$16/'Gearing Calculator'!$C$7)-(('Track Data'!W1170)*('Gearing Calculator'!$U$17/'Gearing Calculator'!$C$7))</f>
        <v>591.0857078158931</v>
      </c>
      <c r="Y1170" s="16">
        <f>('Gearing Calculator'!$U$9*9.81)*(('Gearing Calculator'!$C$7-'Gearing Calculator'!$U$16)/'Gearing Calculator'!$C$7)+(('Track Data'!W1170)*('Gearing Calculator'!$U$17/'Gearing Calculator'!$C$7))</f>
        <v>2020.3362921841069</v>
      </c>
      <c r="Z1170" s="16">
        <f>((X1170*COS('Gearing Calculator'!$C$21))/'Gearing Calculator'!$C$22)/2</f>
        <v>18.274500640847798</v>
      </c>
      <c r="AA1170" s="16">
        <f>Y1170/'Gearing Calculator'!$C$24</f>
        <v>28.210670940130971</v>
      </c>
      <c r="AB1170" s="16">
        <f t="shared" si="128"/>
        <v>222.15110282139946</v>
      </c>
      <c r="AC1170" s="16">
        <v>0</v>
      </c>
      <c r="AD1170" s="16">
        <v>-45.249166535644598</v>
      </c>
      <c r="AE1170" s="16">
        <v>1167</v>
      </c>
      <c r="AF1170" s="16">
        <f>IF(AC1170=0,IF(O1170=6,INDEX(Acceleration!$V$4:$V$110,MATCH('Track Data'!S1170,Acceleration!$K$4:$K$110,0)),IF('Track Data'!O1170=5,INDEX(Acceleration!$U$4:$U$110,MATCH('Track Data'!S1170,Acceleration!$K$4:$K$110,0)),1)),U1170)</f>
        <v>1</v>
      </c>
      <c r="AG1170" s="16">
        <f>IF(AC1170=0,IF(O1170=4,INDEX(Acceleration!$T$4:$T$110,MATCH('Track Data'!S1170,Acceleration!$K$4:$K$110,0)),IF('Track Data'!O1170=3,INDEX(Acceleration!$S$4:$S$110,MATCH('Track Data'!S1170,Acceleration!$K$4:$K$110,0)),'Track Data'!AF1170)),'Track Data'!U1170)</f>
        <v>4.8209066787706405</v>
      </c>
      <c r="AH1170" s="16">
        <f>IF(AC1170=0,IF(O1170=2,INDEX(Acceleration!$R$4:$R$110,MATCH('Track Data'!S1170,Acceleration!$K$4:$K$110,0)),IF('Track Data'!O1170=1,INDEX(Acceleration!$Q$4:$Q$110,MATCH('Track Data'!S1170,Acceleration!$K$4:$K$110,0)),'Track Data'!AG1170)),'Track Data'!U1170)</f>
        <v>4.8209066787706405</v>
      </c>
    </row>
    <row r="1171" spans="2:34" x14ac:dyDescent="0.25">
      <c r="B1171" s="16">
        <v>228.52</v>
      </c>
      <c r="C1171" s="16">
        <v>8441</v>
      </c>
      <c r="D1171" s="16">
        <v>1168</v>
      </c>
      <c r="E1171" s="113">
        <v>132</v>
      </c>
      <c r="F1171" s="113">
        <v>124</v>
      </c>
      <c r="G1171" s="113">
        <v>113.5</v>
      </c>
      <c r="H1171" s="113">
        <f t="shared" si="131"/>
        <v>31.527777777777779</v>
      </c>
      <c r="I1171" s="113">
        <v>12.7</v>
      </c>
      <c r="J1171" s="113">
        <v>45.33</v>
      </c>
      <c r="K1171" s="113">
        <v>-57.1</v>
      </c>
      <c r="L1171" s="183"/>
      <c r="M1171" s="16">
        <v>1168</v>
      </c>
      <c r="N1171" s="16">
        <f t="shared" si="133"/>
        <v>2.2841188743510724E-2</v>
      </c>
      <c r="O1171" s="16">
        <v>4</v>
      </c>
      <c r="P1171" s="16">
        <f t="shared" si="129"/>
        <v>9.1833785004516724</v>
      </c>
      <c r="Q1171" s="16">
        <f t="shared" si="134"/>
        <v>43.780558500227102</v>
      </c>
      <c r="R1171" s="113">
        <f t="shared" si="130"/>
        <v>329.49099999999999</v>
      </c>
      <c r="S1171" s="16">
        <f>IF(S1170=15800,15800,ROUND((((Q1171*60)/'Gearing Calculator'!$C$14)*'Track Data'!P1171),-2))</f>
        <v>12200</v>
      </c>
      <c r="T1171" s="16">
        <f t="shared" si="132"/>
        <v>4.8209066787706405</v>
      </c>
      <c r="U1171" s="16">
        <f>IF(AC1171=100,Braking!$AG$2354,IF(AC1171=50,Braking!$AG$1179,IF(AC1171=75,Braking!$AG$1767,0)))</f>
        <v>0</v>
      </c>
      <c r="V1171" s="16">
        <f>0.5*'Gearing Calculator'!$C$15*'Gearing Calculator'!$C$20*'Gearing Calculator'!$W$20*('Track Data'!Q1171^2)</f>
        <v>202.8674761063169</v>
      </c>
      <c r="W1171" s="16">
        <f>('Gearing Calculator'!$U$9*'Track Data'!T1171)+'Track Data'!V1171</f>
        <v>1486.1928339950614</v>
      </c>
      <c r="X1171" s="16">
        <f>('Gearing Calculator'!$U$9*9.81)*('Gearing Calculator'!$U$16/'Gearing Calculator'!$C$7)-(('Track Data'!W1171)*('Gearing Calculator'!$U$17/'Gearing Calculator'!$C$7))</f>
        <v>591.0857078158931</v>
      </c>
      <c r="Y1171" s="16">
        <f>('Gearing Calculator'!$U$9*9.81)*(('Gearing Calculator'!$C$7-'Gearing Calculator'!$U$16)/'Gearing Calculator'!$C$7)+(('Track Data'!W1171)*('Gearing Calculator'!$U$17/'Gearing Calculator'!$C$7))</f>
        <v>2020.3362921841069</v>
      </c>
      <c r="Z1171" s="16">
        <f>((X1171*COS('Gearing Calculator'!$C$21))/'Gearing Calculator'!$C$22)/2</f>
        <v>18.274500640847798</v>
      </c>
      <c r="AA1171" s="16">
        <f>Y1171/'Gearing Calculator'!$C$24</f>
        <v>28.210670940130971</v>
      </c>
      <c r="AB1171" s="16">
        <f t="shared" si="128"/>
        <v>222.15110282139946</v>
      </c>
      <c r="AC1171" s="16">
        <v>0</v>
      </c>
      <c r="AD1171" s="16">
        <v>-45.249166535644598</v>
      </c>
      <c r="AE1171" s="16">
        <v>1168</v>
      </c>
      <c r="AF1171" s="16">
        <f>IF(AC1171=0,IF(O1171=6,INDEX(Acceleration!$V$4:$V$110,MATCH('Track Data'!S1171,Acceleration!$K$4:$K$110,0)),IF('Track Data'!O1171=5,INDEX(Acceleration!$U$4:$U$110,MATCH('Track Data'!S1171,Acceleration!$K$4:$K$110,0)),1)),U1171)</f>
        <v>1</v>
      </c>
      <c r="AG1171" s="16">
        <f>IF(AC1171=0,IF(O1171=4,INDEX(Acceleration!$T$4:$T$110,MATCH('Track Data'!S1171,Acceleration!$K$4:$K$110,0)),IF('Track Data'!O1171=3,INDEX(Acceleration!$S$4:$S$110,MATCH('Track Data'!S1171,Acceleration!$K$4:$K$110,0)),'Track Data'!AF1171)),'Track Data'!U1171)</f>
        <v>4.8209066787706405</v>
      </c>
      <c r="AH1171" s="16">
        <f>IF(AC1171=0,IF(O1171=2,INDEX(Acceleration!$R$4:$R$110,MATCH('Track Data'!S1171,Acceleration!$K$4:$K$110,0)),IF('Track Data'!O1171=1,INDEX(Acceleration!$Q$4:$Q$110,MATCH('Track Data'!S1171,Acceleration!$K$4:$K$110,0)),'Track Data'!AG1171)),'Track Data'!U1171)</f>
        <v>4.8209066787706405</v>
      </c>
    </row>
    <row r="1172" spans="2:34" x14ac:dyDescent="0.25">
      <c r="B1172" s="16">
        <v>228.54900000000001</v>
      </c>
      <c r="C1172" s="16">
        <v>8442</v>
      </c>
      <c r="D1172" s="16">
        <v>1169</v>
      </c>
      <c r="E1172" s="113">
        <v>133</v>
      </c>
      <c r="F1172" s="113">
        <v>124.2</v>
      </c>
      <c r="G1172" s="113">
        <v>113.7</v>
      </c>
      <c r="H1172" s="113">
        <f t="shared" si="131"/>
        <v>31.583333333333332</v>
      </c>
      <c r="I1172" s="113">
        <v>10.6</v>
      </c>
      <c r="J1172" s="113">
        <v>43.37</v>
      </c>
      <c r="K1172" s="113">
        <v>-57.1</v>
      </c>
      <c r="L1172" s="183"/>
      <c r="M1172" s="16">
        <v>1169</v>
      </c>
      <c r="N1172" s="16">
        <f t="shared" si="133"/>
        <v>2.2841188743510724E-2</v>
      </c>
      <c r="O1172" s="16">
        <v>4</v>
      </c>
      <c r="P1172" s="16">
        <f t="shared" si="129"/>
        <v>9.1833785004516724</v>
      </c>
      <c r="Q1172" s="16">
        <f t="shared" si="134"/>
        <v>43.780558500227102</v>
      </c>
      <c r="R1172" s="113">
        <f t="shared" si="130"/>
        <v>329.49099999999999</v>
      </c>
      <c r="S1172" s="16">
        <f>IF(S1171=15800,15800,ROUND((((Q1172*60)/'Gearing Calculator'!$C$14)*'Track Data'!P1172),-2))</f>
        <v>12200</v>
      </c>
      <c r="T1172" s="16">
        <f t="shared" si="132"/>
        <v>4.8209066787706405</v>
      </c>
      <c r="U1172" s="16">
        <f>IF(AC1172=100,Braking!$AG$2354,IF(AC1172=50,Braking!$AG$1179,IF(AC1172=75,Braking!$AG$1767,0)))</f>
        <v>0</v>
      </c>
      <c r="V1172" s="16">
        <f>0.5*'Gearing Calculator'!$C$15*'Gearing Calculator'!$C$20*'Gearing Calculator'!$W$20*('Track Data'!Q1172^2)</f>
        <v>202.8674761063169</v>
      </c>
      <c r="W1172" s="16">
        <f>('Gearing Calculator'!$U$9*'Track Data'!T1172)+'Track Data'!V1172</f>
        <v>1486.1928339950614</v>
      </c>
      <c r="X1172" s="16">
        <f>('Gearing Calculator'!$U$9*9.81)*('Gearing Calculator'!$U$16/'Gearing Calculator'!$C$7)-(('Track Data'!W1172)*('Gearing Calculator'!$U$17/'Gearing Calculator'!$C$7))</f>
        <v>591.0857078158931</v>
      </c>
      <c r="Y1172" s="16">
        <f>('Gearing Calculator'!$U$9*9.81)*(('Gearing Calculator'!$C$7-'Gearing Calculator'!$U$16)/'Gearing Calculator'!$C$7)+(('Track Data'!W1172)*('Gearing Calculator'!$U$17/'Gearing Calculator'!$C$7))</f>
        <v>2020.3362921841069</v>
      </c>
      <c r="Z1172" s="16">
        <f>((X1172*COS('Gearing Calculator'!$C$21))/'Gearing Calculator'!$C$22)/2</f>
        <v>18.274500640847798</v>
      </c>
      <c r="AA1172" s="16">
        <f>Y1172/'Gearing Calculator'!$C$24</f>
        <v>28.210670940130971</v>
      </c>
      <c r="AB1172" s="16">
        <f t="shared" si="128"/>
        <v>222.15110282139946</v>
      </c>
      <c r="AC1172" s="16">
        <v>0</v>
      </c>
      <c r="AD1172" s="16">
        <v>-45.249166535644598</v>
      </c>
      <c r="AE1172" s="16">
        <v>1169</v>
      </c>
      <c r="AF1172" s="16">
        <f>IF(AC1172=0,IF(O1172=6,INDEX(Acceleration!$V$4:$V$110,MATCH('Track Data'!S1172,Acceleration!$K$4:$K$110,0)),IF('Track Data'!O1172=5,INDEX(Acceleration!$U$4:$U$110,MATCH('Track Data'!S1172,Acceleration!$K$4:$K$110,0)),1)),U1172)</f>
        <v>1</v>
      </c>
      <c r="AG1172" s="16">
        <f>IF(AC1172=0,IF(O1172=4,INDEX(Acceleration!$T$4:$T$110,MATCH('Track Data'!S1172,Acceleration!$K$4:$K$110,0)),IF('Track Data'!O1172=3,INDEX(Acceleration!$S$4:$S$110,MATCH('Track Data'!S1172,Acceleration!$K$4:$K$110,0)),'Track Data'!AF1172)),'Track Data'!U1172)</f>
        <v>4.8209066787706405</v>
      </c>
      <c r="AH1172" s="16">
        <f>IF(AC1172=0,IF(O1172=2,INDEX(Acceleration!$R$4:$R$110,MATCH('Track Data'!S1172,Acceleration!$K$4:$K$110,0)),IF('Track Data'!O1172=1,INDEX(Acceleration!$Q$4:$Q$110,MATCH('Track Data'!S1172,Acceleration!$K$4:$K$110,0)),'Track Data'!AG1172)),'Track Data'!U1172)</f>
        <v>4.8209066787706405</v>
      </c>
    </row>
    <row r="1173" spans="2:34" x14ac:dyDescent="0.25">
      <c r="B1173" s="16">
        <v>228.577</v>
      </c>
      <c r="C1173" s="16">
        <v>8443</v>
      </c>
      <c r="D1173" s="16">
        <v>1170</v>
      </c>
      <c r="E1173" s="113">
        <v>133</v>
      </c>
      <c r="F1173" s="113">
        <v>124.6</v>
      </c>
      <c r="G1173" s="113">
        <v>113.9</v>
      </c>
      <c r="H1173" s="113">
        <f t="shared" si="131"/>
        <v>31.638888888888889</v>
      </c>
      <c r="I1173" s="113">
        <v>9</v>
      </c>
      <c r="J1173" s="113">
        <v>38.85</v>
      </c>
      <c r="K1173" s="113">
        <v>-57.2</v>
      </c>
      <c r="L1173" s="183"/>
      <c r="M1173" s="16">
        <v>1170</v>
      </c>
      <c r="N1173" s="16">
        <f t="shared" si="133"/>
        <v>2.2841188743510724E-2</v>
      </c>
      <c r="O1173" s="16">
        <v>4</v>
      </c>
      <c r="P1173" s="16">
        <f t="shared" si="129"/>
        <v>9.1833785004516724</v>
      </c>
      <c r="Q1173" s="16">
        <f t="shared" si="134"/>
        <v>43.780558500227102</v>
      </c>
      <c r="R1173" s="113">
        <f t="shared" si="130"/>
        <v>329.49099999999999</v>
      </c>
      <c r="S1173" s="16">
        <f>IF(S1172=15800,15800,ROUND((((Q1173*60)/'Gearing Calculator'!$C$14)*'Track Data'!P1173),-2))</f>
        <v>12200</v>
      </c>
      <c r="T1173" s="16">
        <f t="shared" si="132"/>
        <v>4.8209066787706405</v>
      </c>
      <c r="U1173" s="16">
        <f>IF(AC1173=100,Braking!$AG$2354,IF(AC1173=50,Braking!$AG$1179,IF(AC1173=75,Braking!$AG$1767,0)))</f>
        <v>0</v>
      </c>
      <c r="V1173" s="16">
        <f>0.5*'Gearing Calculator'!$C$15*'Gearing Calculator'!$C$20*'Gearing Calculator'!$W$20*('Track Data'!Q1173^2)</f>
        <v>202.8674761063169</v>
      </c>
      <c r="W1173" s="16">
        <f>('Gearing Calculator'!$U$9*'Track Data'!T1173)+'Track Data'!V1173</f>
        <v>1486.1928339950614</v>
      </c>
      <c r="X1173" s="16">
        <f>('Gearing Calculator'!$U$9*9.81)*('Gearing Calculator'!$U$16/'Gearing Calculator'!$C$7)-(('Track Data'!W1173)*('Gearing Calculator'!$U$17/'Gearing Calculator'!$C$7))</f>
        <v>591.0857078158931</v>
      </c>
      <c r="Y1173" s="16">
        <f>('Gearing Calculator'!$U$9*9.81)*(('Gearing Calculator'!$C$7-'Gearing Calculator'!$U$16)/'Gearing Calculator'!$C$7)+(('Track Data'!W1173)*('Gearing Calculator'!$U$17/'Gearing Calculator'!$C$7))</f>
        <v>2020.3362921841069</v>
      </c>
      <c r="Z1173" s="16">
        <f>((X1173*COS('Gearing Calculator'!$C$21))/'Gearing Calculator'!$C$22)/2</f>
        <v>18.274500640847798</v>
      </c>
      <c r="AA1173" s="16">
        <f>Y1173/'Gearing Calculator'!$C$24</f>
        <v>28.210670940130971</v>
      </c>
      <c r="AB1173" s="16">
        <f t="shared" si="128"/>
        <v>222.15110282139946</v>
      </c>
      <c r="AC1173" s="16">
        <v>0</v>
      </c>
      <c r="AD1173" s="16">
        <v>-45.249166535644598</v>
      </c>
      <c r="AE1173" s="16">
        <v>1170</v>
      </c>
      <c r="AF1173" s="16">
        <f>IF(AC1173=0,IF(O1173=6,INDEX(Acceleration!$V$4:$V$110,MATCH('Track Data'!S1173,Acceleration!$K$4:$K$110,0)),IF('Track Data'!O1173=5,INDEX(Acceleration!$U$4:$U$110,MATCH('Track Data'!S1173,Acceleration!$K$4:$K$110,0)),1)),U1173)</f>
        <v>1</v>
      </c>
      <c r="AG1173" s="16">
        <f>IF(AC1173=0,IF(O1173=4,INDEX(Acceleration!$T$4:$T$110,MATCH('Track Data'!S1173,Acceleration!$K$4:$K$110,0)),IF('Track Data'!O1173=3,INDEX(Acceleration!$S$4:$S$110,MATCH('Track Data'!S1173,Acceleration!$K$4:$K$110,0)),'Track Data'!AF1173)),'Track Data'!U1173)</f>
        <v>4.8209066787706405</v>
      </c>
      <c r="AH1173" s="16">
        <f>IF(AC1173=0,IF(O1173=2,INDEX(Acceleration!$R$4:$R$110,MATCH('Track Data'!S1173,Acceleration!$K$4:$K$110,0)),IF('Track Data'!O1173=1,INDEX(Acceleration!$Q$4:$Q$110,MATCH('Track Data'!S1173,Acceleration!$K$4:$K$110,0)),'Track Data'!AG1173)),'Track Data'!U1173)</f>
        <v>4.8209066787706405</v>
      </c>
    </row>
    <row r="1174" spans="2:34" x14ac:dyDescent="0.25">
      <c r="B1174" s="16">
        <v>228.607</v>
      </c>
      <c r="C1174" s="16">
        <v>8444</v>
      </c>
      <c r="D1174" s="16">
        <v>1171</v>
      </c>
      <c r="E1174" s="113">
        <v>133</v>
      </c>
      <c r="F1174" s="113">
        <v>125.1</v>
      </c>
      <c r="G1174" s="113">
        <v>114.2</v>
      </c>
      <c r="H1174" s="113">
        <f t="shared" si="131"/>
        <v>31.722222222222221</v>
      </c>
      <c r="I1174" s="113">
        <v>7.9</v>
      </c>
      <c r="J1174" s="113">
        <v>36.74</v>
      </c>
      <c r="K1174" s="113">
        <v>-57.2</v>
      </c>
      <c r="L1174" s="183"/>
      <c r="M1174" s="16">
        <v>1171</v>
      </c>
      <c r="N1174" s="16">
        <f t="shared" si="133"/>
        <v>2.2841188743510724E-2</v>
      </c>
      <c r="O1174" s="16">
        <v>4</v>
      </c>
      <c r="P1174" s="16">
        <f t="shared" si="129"/>
        <v>9.1833785004516724</v>
      </c>
      <c r="Q1174" s="16">
        <f t="shared" si="134"/>
        <v>43.780558500227102</v>
      </c>
      <c r="R1174" s="113">
        <f t="shared" si="130"/>
        <v>329.49099999999999</v>
      </c>
      <c r="S1174" s="16">
        <f>IF(S1173=15800,15800,ROUND((((Q1174*60)/'Gearing Calculator'!$C$14)*'Track Data'!P1174),-2))</f>
        <v>12200</v>
      </c>
      <c r="T1174" s="16">
        <f t="shared" si="132"/>
        <v>4.8209066787706405</v>
      </c>
      <c r="U1174" s="16">
        <f>IF(AC1174=100,Braking!$AG$2354,IF(AC1174=50,Braking!$AG$1179,IF(AC1174=75,Braking!$AG$1767,0)))</f>
        <v>0</v>
      </c>
      <c r="V1174" s="16">
        <f>0.5*'Gearing Calculator'!$C$15*'Gearing Calculator'!$C$20*'Gearing Calculator'!$W$20*('Track Data'!Q1174^2)</f>
        <v>202.8674761063169</v>
      </c>
      <c r="W1174" s="16">
        <f>('Gearing Calculator'!$U$9*'Track Data'!T1174)+'Track Data'!V1174</f>
        <v>1486.1928339950614</v>
      </c>
      <c r="X1174" s="16">
        <f>('Gearing Calculator'!$U$9*9.81)*('Gearing Calculator'!$U$16/'Gearing Calculator'!$C$7)-(('Track Data'!W1174)*('Gearing Calculator'!$U$17/'Gearing Calculator'!$C$7))</f>
        <v>591.0857078158931</v>
      </c>
      <c r="Y1174" s="16">
        <f>('Gearing Calculator'!$U$9*9.81)*(('Gearing Calculator'!$C$7-'Gearing Calculator'!$U$16)/'Gearing Calculator'!$C$7)+(('Track Data'!W1174)*('Gearing Calculator'!$U$17/'Gearing Calculator'!$C$7))</f>
        <v>2020.3362921841069</v>
      </c>
      <c r="Z1174" s="16">
        <f>((X1174*COS('Gearing Calculator'!$C$21))/'Gearing Calculator'!$C$22)/2</f>
        <v>18.274500640847798</v>
      </c>
      <c r="AA1174" s="16">
        <f>Y1174/'Gearing Calculator'!$C$24</f>
        <v>28.210670940130971</v>
      </c>
      <c r="AB1174" s="16">
        <f t="shared" si="128"/>
        <v>222.15110282139946</v>
      </c>
      <c r="AC1174" s="16">
        <v>0</v>
      </c>
      <c r="AD1174" s="16">
        <v>-45.249166535644598</v>
      </c>
      <c r="AE1174" s="16">
        <v>1171</v>
      </c>
      <c r="AF1174" s="16">
        <f>IF(AC1174=0,IF(O1174=6,INDEX(Acceleration!$V$4:$V$110,MATCH('Track Data'!S1174,Acceleration!$K$4:$K$110,0)),IF('Track Data'!O1174=5,INDEX(Acceleration!$U$4:$U$110,MATCH('Track Data'!S1174,Acceleration!$K$4:$K$110,0)),1)),U1174)</f>
        <v>1</v>
      </c>
      <c r="AG1174" s="16">
        <f>IF(AC1174=0,IF(O1174=4,INDEX(Acceleration!$T$4:$T$110,MATCH('Track Data'!S1174,Acceleration!$K$4:$K$110,0)),IF('Track Data'!O1174=3,INDEX(Acceleration!$S$4:$S$110,MATCH('Track Data'!S1174,Acceleration!$K$4:$K$110,0)),'Track Data'!AF1174)),'Track Data'!U1174)</f>
        <v>4.8209066787706405</v>
      </c>
      <c r="AH1174" s="16">
        <f>IF(AC1174=0,IF(O1174=2,INDEX(Acceleration!$R$4:$R$110,MATCH('Track Data'!S1174,Acceleration!$K$4:$K$110,0)),IF('Track Data'!O1174=1,INDEX(Acceleration!$Q$4:$Q$110,MATCH('Track Data'!S1174,Acceleration!$K$4:$K$110,0)),'Track Data'!AG1174)),'Track Data'!U1174)</f>
        <v>4.8209066787706405</v>
      </c>
    </row>
    <row r="1175" spans="2:34" x14ac:dyDescent="0.25">
      <c r="B1175" s="16">
        <v>228.636</v>
      </c>
      <c r="C1175" s="16">
        <v>8445</v>
      </c>
      <c r="D1175" s="16">
        <v>1172</v>
      </c>
      <c r="E1175" s="113">
        <v>133</v>
      </c>
      <c r="F1175" s="113">
        <v>125.3</v>
      </c>
      <c r="G1175" s="113">
        <v>114.4</v>
      </c>
      <c r="H1175" s="113">
        <f t="shared" si="131"/>
        <v>31.777777777777779</v>
      </c>
      <c r="I1175" s="113">
        <v>7.6</v>
      </c>
      <c r="J1175" s="113">
        <v>36.58</v>
      </c>
      <c r="K1175" s="113">
        <v>-57.2</v>
      </c>
      <c r="L1175" s="183"/>
      <c r="M1175" s="16">
        <v>1172</v>
      </c>
      <c r="N1175" s="16">
        <f t="shared" si="133"/>
        <v>2.2841188743510724E-2</v>
      </c>
      <c r="O1175" s="16">
        <v>4</v>
      </c>
      <c r="P1175" s="16">
        <f t="shared" si="129"/>
        <v>9.1833785004516724</v>
      </c>
      <c r="Q1175" s="16">
        <f t="shared" si="134"/>
        <v>43.780558500227102</v>
      </c>
      <c r="R1175" s="113">
        <f t="shared" si="130"/>
        <v>329.49099999999999</v>
      </c>
      <c r="S1175" s="16">
        <f>IF(S1174=15800,15800,ROUND((((Q1175*60)/'Gearing Calculator'!$C$14)*'Track Data'!P1175),-2))</f>
        <v>12200</v>
      </c>
      <c r="T1175" s="16">
        <f t="shared" si="132"/>
        <v>4.8209066787706405</v>
      </c>
      <c r="U1175" s="16">
        <f>IF(AC1175=100,Braking!$AG$2354,IF(AC1175=50,Braking!$AG$1179,IF(AC1175=75,Braking!$AG$1767,0)))</f>
        <v>0</v>
      </c>
      <c r="V1175" s="16">
        <f>0.5*'Gearing Calculator'!$C$15*'Gearing Calculator'!$C$20*'Gearing Calculator'!$W$20*('Track Data'!Q1175^2)</f>
        <v>202.8674761063169</v>
      </c>
      <c r="W1175" s="16">
        <f>('Gearing Calculator'!$U$9*'Track Data'!T1175)+'Track Data'!V1175</f>
        <v>1486.1928339950614</v>
      </c>
      <c r="X1175" s="16">
        <f>('Gearing Calculator'!$U$9*9.81)*('Gearing Calculator'!$U$16/'Gearing Calculator'!$C$7)-(('Track Data'!W1175)*('Gearing Calculator'!$U$17/'Gearing Calculator'!$C$7))</f>
        <v>591.0857078158931</v>
      </c>
      <c r="Y1175" s="16">
        <f>('Gearing Calculator'!$U$9*9.81)*(('Gearing Calculator'!$C$7-'Gearing Calculator'!$U$16)/'Gearing Calculator'!$C$7)+(('Track Data'!W1175)*('Gearing Calculator'!$U$17/'Gearing Calculator'!$C$7))</f>
        <v>2020.3362921841069</v>
      </c>
      <c r="Z1175" s="16">
        <f>((X1175*COS('Gearing Calculator'!$C$21))/'Gearing Calculator'!$C$22)/2</f>
        <v>18.274500640847798</v>
      </c>
      <c r="AA1175" s="16">
        <f>Y1175/'Gearing Calculator'!$C$24</f>
        <v>28.210670940130971</v>
      </c>
      <c r="AB1175" s="16">
        <f t="shared" si="128"/>
        <v>222.15110282139946</v>
      </c>
      <c r="AC1175" s="16">
        <v>0</v>
      </c>
      <c r="AD1175" s="16">
        <v>-45.249166535644598</v>
      </c>
      <c r="AE1175" s="16">
        <v>1172</v>
      </c>
      <c r="AF1175" s="16">
        <f>IF(AC1175=0,IF(O1175=6,INDEX(Acceleration!$V$4:$V$110,MATCH('Track Data'!S1175,Acceleration!$K$4:$K$110,0)),IF('Track Data'!O1175=5,INDEX(Acceleration!$U$4:$U$110,MATCH('Track Data'!S1175,Acceleration!$K$4:$K$110,0)),1)),U1175)</f>
        <v>1</v>
      </c>
      <c r="AG1175" s="16">
        <f>IF(AC1175=0,IF(O1175=4,INDEX(Acceleration!$T$4:$T$110,MATCH('Track Data'!S1175,Acceleration!$K$4:$K$110,0)),IF('Track Data'!O1175=3,INDEX(Acceleration!$S$4:$S$110,MATCH('Track Data'!S1175,Acceleration!$K$4:$K$110,0)),'Track Data'!AF1175)),'Track Data'!U1175)</f>
        <v>4.8209066787706405</v>
      </c>
      <c r="AH1175" s="16">
        <f>IF(AC1175=0,IF(O1175=2,INDEX(Acceleration!$R$4:$R$110,MATCH('Track Data'!S1175,Acceleration!$K$4:$K$110,0)),IF('Track Data'!O1175=1,INDEX(Acceleration!$Q$4:$Q$110,MATCH('Track Data'!S1175,Acceleration!$K$4:$K$110,0)),'Track Data'!AG1175)),'Track Data'!U1175)</f>
        <v>4.8209066787706405</v>
      </c>
    </row>
    <row r="1176" spans="2:34" x14ac:dyDescent="0.25">
      <c r="B1176" s="16">
        <v>228.66399999999999</v>
      </c>
      <c r="C1176" s="16">
        <v>8446</v>
      </c>
      <c r="D1176" s="16">
        <v>1173</v>
      </c>
      <c r="E1176" s="113">
        <v>133</v>
      </c>
      <c r="F1176" s="113">
        <v>125.6</v>
      </c>
      <c r="G1176" s="113">
        <v>114.7</v>
      </c>
      <c r="H1176" s="113">
        <f t="shared" si="131"/>
        <v>31.861111111111111</v>
      </c>
      <c r="I1176" s="113">
        <v>7.9</v>
      </c>
      <c r="J1176" s="113">
        <v>36.869999999999997</v>
      </c>
      <c r="K1176" s="113">
        <v>-55.3</v>
      </c>
      <c r="L1176" s="183"/>
      <c r="M1176" s="16">
        <v>1173</v>
      </c>
      <c r="N1176" s="16">
        <f t="shared" si="133"/>
        <v>2.2841188743510724E-2</v>
      </c>
      <c r="O1176" s="16">
        <v>4</v>
      </c>
      <c r="P1176" s="16">
        <f t="shared" si="129"/>
        <v>9.1833785004516724</v>
      </c>
      <c r="Q1176" s="16">
        <f t="shared" si="134"/>
        <v>43.780558500227102</v>
      </c>
      <c r="R1176" s="113">
        <f t="shared" si="130"/>
        <v>329.49099999999999</v>
      </c>
      <c r="S1176" s="16">
        <f>IF(S1175=15800,15800,ROUND((((Q1176*60)/'Gearing Calculator'!$C$14)*'Track Data'!P1176),-2))</f>
        <v>12200</v>
      </c>
      <c r="T1176" s="16">
        <f t="shared" si="132"/>
        <v>4.8209066787706405</v>
      </c>
      <c r="U1176" s="16">
        <f>IF(AC1176=100,Braking!$AG$2354,IF(AC1176=50,Braking!$AG$1179,IF(AC1176=75,Braking!$AG$1767,0)))</f>
        <v>0</v>
      </c>
      <c r="V1176" s="16">
        <f>0.5*'Gearing Calculator'!$C$15*'Gearing Calculator'!$C$20*'Gearing Calculator'!$W$20*('Track Data'!Q1176^2)</f>
        <v>202.8674761063169</v>
      </c>
      <c r="W1176" s="16">
        <f>('Gearing Calculator'!$U$9*'Track Data'!T1176)+'Track Data'!V1176</f>
        <v>1486.1928339950614</v>
      </c>
      <c r="X1176" s="16">
        <f>('Gearing Calculator'!$U$9*9.81)*('Gearing Calculator'!$U$16/'Gearing Calculator'!$C$7)-(('Track Data'!W1176)*('Gearing Calculator'!$U$17/'Gearing Calculator'!$C$7))</f>
        <v>591.0857078158931</v>
      </c>
      <c r="Y1176" s="16">
        <f>('Gearing Calculator'!$U$9*9.81)*(('Gearing Calculator'!$C$7-'Gearing Calculator'!$U$16)/'Gearing Calculator'!$C$7)+(('Track Data'!W1176)*('Gearing Calculator'!$U$17/'Gearing Calculator'!$C$7))</f>
        <v>2020.3362921841069</v>
      </c>
      <c r="Z1176" s="16">
        <f>((X1176*COS('Gearing Calculator'!$C$21))/'Gearing Calculator'!$C$22)/2</f>
        <v>18.274500640847798</v>
      </c>
      <c r="AA1176" s="16">
        <f>Y1176/'Gearing Calculator'!$C$24</f>
        <v>28.210670940130971</v>
      </c>
      <c r="AB1176" s="16">
        <f t="shared" si="128"/>
        <v>222.15110282139946</v>
      </c>
      <c r="AC1176" s="16">
        <v>0</v>
      </c>
      <c r="AD1176" s="16">
        <v>-45.249166535644598</v>
      </c>
      <c r="AE1176" s="16">
        <v>1173</v>
      </c>
      <c r="AF1176" s="16">
        <f>IF(AC1176=0,IF(O1176=6,INDEX(Acceleration!$V$4:$V$110,MATCH('Track Data'!S1176,Acceleration!$K$4:$K$110,0)),IF('Track Data'!O1176=5,INDEX(Acceleration!$U$4:$U$110,MATCH('Track Data'!S1176,Acceleration!$K$4:$K$110,0)),1)),U1176)</f>
        <v>1</v>
      </c>
      <c r="AG1176" s="16">
        <f>IF(AC1176=0,IF(O1176=4,INDEX(Acceleration!$T$4:$T$110,MATCH('Track Data'!S1176,Acceleration!$K$4:$K$110,0)),IF('Track Data'!O1176=3,INDEX(Acceleration!$S$4:$S$110,MATCH('Track Data'!S1176,Acceleration!$K$4:$K$110,0)),'Track Data'!AF1176)),'Track Data'!U1176)</f>
        <v>4.8209066787706405</v>
      </c>
      <c r="AH1176" s="16">
        <f>IF(AC1176=0,IF(O1176=2,INDEX(Acceleration!$R$4:$R$110,MATCH('Track Data'!S1176,Acceleration!$K$4:$K$110,0)),IF('Track Data'!O1176=1,INDEX(Acceleration!$Q$4:$Q$110,MATCH('Track Data'!S1176,Acceleration!$K$4:$K$110,0)),'Track Data'!AG1176)),'Track Data'!U1176)</f>
        <v>4.8209066787706405</v>
      </c>
    </row>
    <row r="1177" spans="2:34" x14ac:dyDescent="0.25">
      <c r="B1177" s="16">
        <v>228.69200000000001</v>
      </c>
      <c r="C1177" s="16">
        <v>8447</v>
      </c>
      <c r="D1177" s="16">
        <v>1174</v>
      </c>
      <c r="E1177" s="113">
        <v>133</v>
      </c>
      <c r="F1177" s="113">
        <v>125.7</v>
      </c>
      <c r="G1177" s="113">
        <v>115</v>
      </c>
      <c r="H1177" s="113">
        <f t="shared" si="131"/>
        <v>31.944444444444443</v>
      </c>
      <c r="I1177" s="113">
        <v>10</v>
      </c>
      <c r="J1177" s="113">
        <v>35.75</v>
      </c>
      <c r="K1177" s="113">
        <v>-52.8</v>
      </c>
      <c r="L1177" s="183"/>
      <c r="M1177" s="16">
        <v>1174</v>
      </c>
      <c r="N1177" s="16">
        <f t="shared" si="133"/>
        <v>2.2841188743510724E-2</v>
      </c>
      <c r="O1177" s="16">
        <v>4</v>
      </c>
      <c r="P1177" s="16">
        <f t="shared" si="129"/>
        <v>9.1833785004516724</v>
      </c>
      <c r="Q1177" s="16">
        <f t="shared" si="134"/>
        <v>43.780558500227102</v>
      </c>
      <c r="R1177" s="113">
        <f t="shared" si="130"/>
        <v>329.49099999999999</v>
      </c>
      <c r="S1177" s="16">
        <f>IF(S1176=15800,15800,ROUND((((Q1177*60)/'Gearing Calculator'!$C$14)*'Track Data'!P1177),-2))</f>
        <v>12200</v>
      </c>
      <c r="T1177" s="16">
        <f t="shared" si="132"/>
        <v>4.8209066787706405</v>
      </c>
      <c r="U1177" s="16">
        <f>IF(AC1177=100,Braking!$AG$2354,IF(AC1177=50,Braking!$AG$1179,IF(AC1177=75,Braking!$AG$1767,0)))</f>
        <v>0</v>
      </c>
      <c r="V1177" s="16">
        <f>0.5*'Gearing Calculator'!$C$15*'Gearing Calculator'!$C$20*'Gearing Calculator'!$W$20*('Track Data'!Q1177^2)</f>
        <v>202.8674761063169</v>
      </c>
      <c r="W1177" s="16">
        <f>('Gearing Calculator'!$U$9*'Track Data'!T1177)+'Track Data'!V1177</f>
        <v>1486.1928339950614</v>
      </c>
      <c r="X1177" s="16">
        <f>('Gearing Calculator'!$U$9*9.81)*('Gearing Calculator'!$U$16/'Gearing Calculator'!$C$7)-(('Track Data'!W1177)*('Gearing Calculator'!$U$17/'Gearing Calculator'!$C$7))</f>
        <v>591.0857078158931</v>
      </c>
      <c r="Y1177" s="16">
        <f>('Gearing Calculator'!$U$9*9.81)*(('Gearing Calculator'!$C$7-'Gearing Calculator'!$U$16)/'Gearing Calculator'!$C$7)+(('Track Data'!W1177)*('Gearing Calculator'!$U$17/'Gearing Calculator'!$C$7))</f>
        <v>2020.3362921841069</v>
      </c>
      <c r="Z1177" s="16">
        <f>((X1177*COS('Gearing Calculator'!$C$21))/'Gearing Calculator'!$C$22)/2</f>
        <v>18.274500640847798</v>
      </c>
      <c r="AA1177" s="16">
        <f>Y1177/'Gearing Calculator'!$C$24</f>
        <v>28.210670940130971</v>
      </c>
      <c r="AB1177" s="16">
        <f t="shared" si="128"/>
        <v>222.15110282139946</v>
      </c>
      <c r="AC1177" s="16">
        <v>0</v>
      </c>
      <c r="AD1177" s="16">
        <v>-45.249166535644598</v>
      </c>
      <c r="AE1177" s="16">
        <v>1174</v>
      </c>
      <c r="AF1177" s="16">
        <f>IF(AC1177=0,IF(O1177=6,INDEX(Acceleration!$V$4:$V$110,MATCH('Track Data'!S1177,Acceleration!$K$4:$K$110,0)),IF('Track Data'!O1177=5,INDEX(Acceleration!$U$4:$U$110,MATCH('Track Data'!S1177,Acceleration!$K$4:$K$110,0)),1)),U1177)</f>
        <v>1</v>
      </c>
      <c r="AG1177" s="16">
        <f>IF(AC1177=0,IF(O1177=4,INDEX(Acceleration!$T$4:$T$110,MATCH('Track Data'!S1177,Acceleration!$K$4:$K$110,0)),IF('Track Data'!O1177=3,INDEX(Acceleration!$S$4:$S$110,MATCH('Track Data'!S1177,Acceleration!$K$4:$K$110,0)),'Track Data'!AF1177)),'Track Data'!U1177)</f>
        <v>4.8209066787706405</v>
      </c>
      <c r="AH1177" s="16">
        <f>IF(AC1177=0,IF(O1177=2,INDEX(Acceleration!$R$4:$R$110,MATCH('Track Data'!S1177,Acceleration!$K$4:$K$110,0)),IF('Track Data'!O1177=1,INDEX(Acceleration!$Q$4:$Q$110,MATCH('Track Data'!S1177,Acceleration!$K$4:$K$110,0)),'Track Data'!AG1177)),'Track Data'!U1177)</f>
        <v>4.8209066787706405</v>
      </c>
    </row>
    <row r="1178" spans="2:34" x14ac:dyDescent="0.25">
      <c r="B1178" s="16">
        <v>228.721</v>
      </c>
      <c r="C1178" s="16">
        <v>8448</v>
      </c>
      <c r="D1178" s="16">
        <v>1175</v>
      </c>
      <c r="E1178" s="113">
        <v>132</v>
      </c>
      <c r="F1178" s="113">
        <v>125.9</v>
      </c>
      <c r="G1178" s="113">
        <v>115.3</v>
      </c>
      <c r="H1178" s="113">
        <f t="shared" si="131"/>
        <v>32.027777777777779</v>
      </c>
      <c r="I1178" s="113">
        <v>12.2</v>
      </c>
      <c r="J1178" s="113">
        <v>40.03</v>
      </c>
      <c r="K1178" s="113">
        <v>-50.6</v>
      </c>
      <c r="L1178" s="183"/>
      <c r="M1178" s="16">
        <v>1175</v>
      </c>
      <c r="N1178" s="16">
        <f t="shared" si="133"/>
        <v>2.2841188743510724E-2</v>
      </c>
      <c r="O1178" s="16">
        <v>4</v>
      </c>
      <c r="P1178" s="16">
        <f t="shared" si="129"/>
        <v>9.1833785004516724</v>
      </c>
      <c r="Q1178" s="16">
        <f t="shared" si="134"/>
        <v>43.780558500227102</v>
      </c>
      <c r="R1178" s="113">
        <f t="shared" si="130"/>
        <v>329.49099999999999</v>
      </c>
      <c r="S1178" s="16">
        <f>IF(S1177=15800,15800,ROUND((((Q1178*60)/'Gearing Calculator'!$C$14)*'Track Data'!P1178),-2))</f>
        <v>12200</v>
      </c>
      <c r="T1178" s="16">
        <f t="shared" si="132"/>
        <v>4.8209066787706405</v>
      </c>
      <c r="U1178" s="16">
        <f>IF(AC1178=100,Braking!$AG$2354,IF(AC1178=50,Braking!$AG$1179,IF(AC1178=75,Braking!$AG$1767,0)))</f>
        <v>0</v>
      </c>
      <c r="V1178" s="16">
        <f>0.5*'Gearing Calculator'!$C$15*'Gearing Calculator'!$C$20*'Gearing Calculator'!$W$20*('Track Data'!Q1178^2)</f>
        <v>202.8674761063169</v>
      </c>
      <c r="W1178" s="16">
        <f>('Gearing Calculator'!$U$9*'Track Data'!T1178)+'Track Data'!V1178</f>
        <v>1486.1928339950614</v>
      </c>
      <c r="X1178" s="16">
        <f>('Gearing Calculator'!$U$9*9.81)*('Gearing Calculator'!$U$16/'Gearing Calculator'!$C$7)-(('Track Data'!W1178)*('Gearing Calculator'!$U$17/'Gearing Calculator'!$C$7))</f>
        <v>591.0857078158931</v>
      </c>
      <c r="Y1178" s="16">
        <f>('Gearing Calculator'!$U$9*9.81)*(('Gearing Calculator'!$C$7-'Gearing Calculator'!$U$16)/'Gearing Calculator'!$C$7)+(('Track Data'!W1178)*('Gearing Calculator'!$U$17/'Gearing Calculator'!$C$7))</f>
        <v>2020.3362921841069</v>
      </c>
      <c r="Z1178" s="16">
        <f>((X1178*COS('Gearing Calculator'!$C$21))/'Gearing Calculator'!$C$22)/2</f>
        <v>18.274500640847798</v>
      </c>
      <c r="AA1178" s="16">
        <f>Y1178/'Gearing Calculator'!$C$24</f>
        <v>28.210670940130971</v>
      </c>
      <c r="AB1178" s="16">
        <f t="shared" si="128"/>
        <v>222.15110282139946</v>
      </c>
      <c r="AC1178" s="16">
        <v>0</v>
      </c>
      <c r="AD1178" s="16">
        <v>-45.249166535644598</v>
      </c>
      <c r="AE1178" s="16">
        <v>1175</v>
      </c>
      <c r="AF1178" s="16">
        <f>IF(AC1178=0,IF(O1178=6,INDEX(Acceleration!$V$4:$V$110,MATCH('Track Data'!S1178,Acceleration!$K$4:$K$110,0)),IF('Track Data'!O1178=5,INDEX(Acceleration!$U$4:$U$110,MATCH('Track Data'!S1178,Acceleration!$K$4:$K$110,0)),1)),U1178)</f>
        <v>1</v>
      </c>
      <c r="AG1178" s="16">
        <f>IF(AC1178=0,IF(O1178=4,INDEX(Acceleration!$T$4:$T$110,MATCH('Track Data'!S1178,Acceleration!$K$4:$K$110,0)),IF('Track Data'!O1178=3,INDEX(Acceleration!$S$4:$S$110,MATCH('Track Data'!S1178,Acceleration!$K$4:$K$110,0)),'Track Data'!AF1178)),'Track Data'!U1178)</f>
        <v>4.8209066787706405</v>
      </c>
      <c r="AH1178" s="16">
        <f>IF(AC1178=0,IF(O1178=2,INDEX(Acceleration!$R$4:$R$110,MATCH('Track Data'!S1178,Acceleration!$K$4:$K$110,0)),IF('Track Data'!O1178=1,INDEX(Acceleration!$Q$4:$Q$110,MATCH('Track Data'!S1178,Acceleration!$K$4:$K$110,0)),'Track Data'!AG1178)),'Track Data'!U1178)</f>
        <v>4.8209066787706405</v>
      </c>
    </row>
    <row r="1179" spans="2:34" x14ac:dyDescent="0.25">
      <c r="B1179" s="16">
        <v>228.749</v>
      </c>
      <c r="C1179" s="16">
        <v>8449</v>
      </c>
      <c r="D1179" s="16">
        <v>1176</v>
      </c>
      <c r="E1179" s="113">
        <v>132</v>
      </c>
      <c r="F1179" s="113">
        <v>126.1</v>
      </c>
      <c r="G1179" s="113">
        <v>115.4</v>
      </c>
      <c r="H1179" s="113">
        <f t="shared" si="131"/>
        <v>32.055555555555557</v>
      </c>
      <c r="I1179" s="113">
        <v>13.4</v>
      </c>
      <c r="J1179" s="113">
        <v>44.66</v>
      </c>
      <c r="K1179" s="113">
        <v>-50</v>
      </c>
      <c r="L1179" s="183"/>
      <c r="M1179" s="16">
        <v>1176</v>
      </c>
      <c r="N1179" s="16">
        <f t="shared" si="133"/>
        <v>2.2841188743510724E-2</v>
      </c>
      <c r="O1179" s="16">
        <v>4</v>
      </c>
      <c r="P1179" s="16">
        <f t="shared" si="129"/>
        <v>9.1833785004516724</v>
      </c>
      <c r="Q1179" s="16">
        <f t="shared" si="134"/>
        <v>43.780558500227102</v>
      </c>
      <c r="R1179" s="113">
        <f t="shared" si="130"/>
        <v>329.49099999999999</v>
      </c>
      <c r="S1179" s="16">
        <f>IF(S1178=15800,15800,ROUND((((Q1179*60)/'Gearing Calculator'!$C$14)*'Track Data'!P1179),-2))</f>
        <v>12200</v>
      </c>
      <c r="T1179" s="16">
        <f t="shared" si="132"/>
        <v>4.8209066787706405</v>
      </c>
      <c r="U1179" s="16">
        <f>IF(AC1179=100,Braking!$AG$2354,IF(AC1179=50,Braking!$AG$1179,IF(AC1179=75,Braking!$AG$1767,0)))</f>
        <v>0</v>
      </c>
      <c r="V1179" s="16">
        <f>0.5*'Gearing Calculator'!$C$15*'Gearing Calculator'!$C$20*'Gearing Calculator'!$W$20*('Track Data'!Q1179^2)</f>
        <v>202.8674761063169</v>
      </c>
      <c r="W1179" s="16">
        <f>('Gearing Calculator'!$U$9*'Track Data'!T1179)+'Track Data'!V1179</f>
        <v>1486.1928339950614</v>
      </c>
      <c r="X1179" s="16">
        <f>('Gearing Calculator'!$U$9*9.81)*('Gearing Calculator'!$U$16/'Gearing Calculator'!$C$7)-(('Track Data'!W1179)*('Gearing Calculator'!$U$17/'Gearing Calculator'!$C$7))</f>
        <v>591.0857078158931</v>
      </c>
      <c r="Y1179" s="16">
        <f>('Gearing Calculator'!$U$9*9.81)*(('Gearing Calculator'!$C$7-'Gearing Calculator'!$U$16)/'Gearing Calculator'!$C$7)+(('Track Data'!W1179)*('Gearing Calculator'!$U$17/'Gearing Calculator'!$C$7))</f>
        <v>2020.3362921841069</v>
      </c>
      <c r="Z1179" s="16">
        <f>((X1179*COS('Gearing Calculator'!$C$21))/'Gearing Calculator'!$C$22)/2</f>
        <v>18.274500640847798</v>
      </c>
      <c r="AA1179" s="16">
        <f>Y1179/'Gearing Calculator'!$C$24</f>
        <v>28.210670940130971</v>
      </c>
      <c r="AB1179" s="16">
        <f t="shared" si="128"/>
        <v>222.15110282139946</v>
      </c>
      <c r="AC1179" s="16">
        <v>0</v>
      </c>
      <c r="AD1179" s="16">
        <v>-45.249166535644598</v>
      </c>
      <c r="AE1179" s="16">
        <v>1176</v>
      </c>
      <c r="AF1179" s="16">
        <f>IF(AC1179=0,IF(O1179=6,INDEX(Acceleration!$V$4:$V$110,MATCH('Track Data'!S1179,Acceleration!$K$4:$K$110,0)),IF('Track Data'!O1179=5,INDEX(Acceleration!$U$4:$U$110,MATCH('Track Data'!S1179,Acceleration!$K$4:$K$110,0)),1)),U1179)</f>
        <v>1</v>
      </c>
      <c r="AG1179" s="16">
        <f>IF(AC1179=0,IF(O1179=4,INDEX(Acceleration!$T$4:$T$110,MATCH('Track Data'!S1179,Acceleration!$K$4:$K$110,0)),IF('Track Data'!O1179=3,INDEX(Acceleration!$S$4:$S$110,MATCH('Track Data'!S1179,Acceleration!$K$4:$K$110,0)),'Track Data'!AF1179)),'Track Data'!U1179)</f>
        <v>4.8209066787706405</v>
      </c>
      <c r="AH1179" s="16">
        <f>IF(AC1179=0,IF(O1179=2,INDEX(Acceleration!$R$4:$R$110,MATCH('Track Data'!S1179,Acceleration!$K$4:$K$110,0)),IF('Track Data'!O1179=1,INDEX(Acceleration!$Q$4:$Q$110,MATCH('Track Data'!S1179,Acceleration!$K$4:$K$110,0)),'Track Data'!AG1179)),'Track Data'!U1179)</f>
        <v>4.8209066787706405</v>
      </c>
    </row>
    <row r="1180" spans="2:34" x14ac:dyDescent="0.25">
      <c r="B1180" s="16">
        <v>228.77799999999999</v>
      </c>
      <c r="C1180" s="16">
        <v>8450</v>
      </c>
      <c r="D1180" s="16">
        <v>1177</v>
      </c>
      <c r="E1180" s="113">
        <v>132</v>
      </c>
      <c r="F1180" s="113">
        <v>126.1</v>
      </c>
      <c r="G1180" s="113">
        <v>115.7</v>
      </c>
      <c r="H1180" s="113">
        <f t="shared" si="131"/>
        <v>32.138888888888886</v>
      </c>
      <c r="I1180" s="113">
        <v>15.2</v>
      </c>
      <c r="J1180" s="113">
        <v>44.86</v>
      </c>
      <c r="K1180" s="113">
        <v>-49.2</v>
      </c>
      <c r="L1180" s="183"/>
      <c r="M1180" s="16">
        <v>1177</v>
      </c>
      <c r="N1180" s="16">
        <f t="shared" si="133"/>
        <v>2.2841188743510724E-2</v>
      </c>
      <c r="O1180" s="16">
        <v>4</v>
      </c>
      <c r="P1180" s="16">
        <f t="shared" si="129"/>
        <v>9.1833785004516724</v>
      </c>
      <c r="Q1180" s="16">
        <f t="shared" si="134"/>
        <v>43.780558500227102</v>
      </c>
      <c r="R1180" s="113">
        <f t="shared" si="130"/>
        <v>329.49099999999999</v>
      </c>
      <c r="S1180" s="16">
        <f>IF(S1179=15800,15800,ROUND((((Q1180*60)/'Gearing Calculator'!$C$14)*'Track Data'!P1180),-2))</f>
        <v>12200</v>
      </c>
      <c r="T1180" s="16">
        <f t="shared" si="132"/>
        <v>4.8209066787706405</v>
      </c>
      <c r="U1180" s="16">
        <f>IF(AC1180=100,Braking!$AG$2354,IF(AC1180=50,Braking!$AG$1179,IF(AC1180=75,Braking!$AG$1767,0)))</f>
        <v>0</v>
      </c>
      <c r="V1180" s="16">
        <f>0.5*'Gearing Calculator'!$C$15*'Gearing Calculator'!$C$20*'Gearing Calculator'!$W$20*('Track Data'!Q1180^2)</f>
        <v>202.8674761063169</v>
      </c>
      <c r="W1180" s="16">
        <f>('Gearing Calculator'!$U$9*'Track Data'!T1180)+'Track Data'!V1180</f>
        <v>1486.1928339950614</v>
      </c>
      <c r="X1180" s="16">
        <f>('Gearing Calculator'!$U$9*9.81)*('Gearing Calculator'!$U$16/'Gearing Calculator'!$C$7)-(('Track Data'!W1180)*('Gearing Calculator'!$U$17/'Gearing Calculator'!$C$7))</f>
        <v>591.0857078158931</v>
      </c>
      <c r="Y1180" s="16">
        <f>('Gearing Calculator'!$U$9*9.81)*(('Gearing Calculator'!$C$7-'Gearing Calculator'!$U$16)/'Gearing Calculator'!$C$7)+(('Track Data'!W1180)*('Gearing Calculator'!$U$17/'Gearing Calculator'!$C$7))</f>
        <v>2020.3362921841069</v>
      </c>
      <c r="Z1180" s="16">
        <f>((X1180*COS('Gearing Calculator'!$C$21))/'Gearing Calculator'!$C$22)/2</f>
        <v>18.274500640847798</v>
      </c>
      <c r="AA1180" s="16">
        <f>Y1180/'Gearing Calculator'!$C$24</f>
        <v>28.210670940130971</v>
      </c>
      <c r="AB1180" s="16">
        <f t="shared" si="128"/>
        <v>222.15110282139946</v>
      </c>
      <c r="AC1180" s="16">
        <v>0</v>
      </c>
      <c r="AD1180" s="16">
        <v>-45.249166535644598</v>
      </c>
      <c r="AE1180" s="16">
        <v>1177</v>
      </c>
      <c r="AF1180" s="16">
        <f>IF(AC1180=0,IF(O1180=6,INDEX(Acceleration!$V$4:$V$110,MATCH('Track Data'!S1180,Acceleration!$K$4:$K$110,0)),IF('Track Data'!O1180=5,INDEX(Acceleration!$U$4:$U$110,MATCH('Track Data'!S1180,Acceleration!$K$4:$K$110,0)),1)),U1180)</f>
        <v>1</v>
      </c>
      <c r="AG1180" s="16">
        <f>IF(AC1180=0,IF(O1180=4,INDEX(Acceleration!$T$4:$T$110,MATCH('Track Data'!S1180,Acceleration!$K$4:$K$110,0)),IF('Track Data'!O1180=3,INDEX(Acceleration!$S$4:$S$110,MATCH('Track Data'!S1180,Acceleration!$K$4:$K$110,0)),'Track Data'!AF1180)),'Track Data'!U1180)</f>
        <v>4.8209066787706405</v>
      </c>
      <c r="AH1180" s="16">
        <f>IF(AC1180=0,IF(O1180=2,INDEX(Acceleration!$R$4:$R$110,MATCH('Track Data'!S1180,Acceleration!$K$4:$K$110,0)),IF('Track Data'!O1180=1,INDEX(Acceleration!$Q$4:$Q$110,MATCH('Track Data'!S1180,Acceleration!$K$4:$K$110,0)),'Track Data'!AG1180)),'Track Data'!U1180)</f>
        <v>4.8209066787706405</v>
      </c>
    </row>
    <row r="1181" spans="2:34" x14ac:dyDescent="0.25">
      <c r="B1181" s="16">
        <v>228.80699999999999</v>
      </c>
      <c r="C1181" s="16">
        <v>8451</v>
      </c>
      <c r="D1181" s="16">
        <v>1178</v>
      </c>
      <c r="E1181" s="113">
        <v>131</v>
      </c>
      <c r="F1181" s="113">
        <v>125.8</v>
      </c>
      <c r="G1181" s="113">
        <v>116</v>
      </c>
      <c r="H1181" s="113">
        <f t="shared" si="131"/>
        <v>32.222222222222221</v>
      </c>
      <c r="I1181" s="113">
        <v>18.3</v>
      </c>
      <c r="J1181" s="113">
        <v>49.12</v>
      </c>
      <c r="K1181" s="113">
        <v>-48.3</v>
      </c>
      <c r="L1181" s="183"/>
      <c r="M1181" s="16">
        <v>1178</v>
      </c>
      <c r="N1181" s="16">
        <f t="shared" si="133"/>
        <v>2.2841188743510724E-2</v>
      </c>
      <c r="O1181" s="16">
        <v>4</v>
      </c>
      <c r="P1181" s="16">
        <f t="shared" si="129"/>
        <v>9.1833785004516724</v>
      </c>
      <c r="Q1181" s="16">
        <f t="shared" si="134"/>
        <v>43.780558500227102</v>
      </c>
      <c r="R1181" s="113">
        <f t="shared" si="130"/>
        <v>329.49099999999999</v>
      </c>
      <c r="S1181" s="16">
        <f>IF(S1180=15800,15800,ROUND((((Q1181*60)/'Gearing Calculator'!$C$14)*'Track Data'!P1181),-2))</f>
        <v>12200</v>
      </c>
      <c r="T1181" s="16">
        <f t="shared" si="132"/>
        <v>4.8209066787706405</v>
      </c>
      <c r="U1181" s="16">
        <f>IF(AC1181=100,Braking!$AG$2354,IF(AC1181=50,Braking!$AG$1179,IF(AC1181=75,Braking!$AG$1767,0)))</f>
        <v>0</v>
      </c>
      <c r="V1181" s="16">
        <f>0.5*'Gearing Calculator'!$C$15*'Gearing Calculator'!$C$20*'Gearing Calculator'!$W$20*('Track Data'!Q1181^2)</f>
        <v>202.8674761063169</v>
      </c>
      <c r="W1181" s="16">
        <f>('Gearing Calculator'!$U$9*'Track Data'!T1181)+'Track Data'!V1181</f>
        <v>1486.1928339950614</v>
      </c>
      <c r="X1181" s="16">
        <f>('Gearing Calculator'!$U$9*9.81)*('Gearing Calculator'!$U$16/'Gearing Calculator'!$C$7)-(('Track Data'!W1181)*('Gearing Calculator'!$U$17/'Gearing Calculator'!$C$7))</f>
        <v>591.0857078158931</v>
      </c>
      <c r="Y1181" s="16">
        <f>('Gearing Calculator'!$U$9*9.81)*(('Gearing Calculator'!$C$7-'Gearing Calculator'!$U$16)/'Gearing Calculator'!$C$7)+(('Track Data'!W1181)*('Gearing Calculator'!$U$17/'Gearing Calculator'!$C$7))</f>
        <v>2020.3362921841069</v>
      </c>
      <c r="Z1181" s="16">
        <f>((X1181*COS('Gearing Calculator'!$C$21))/'Gearing Calculator'!$C$22)/2</f>
        <v>18.274500640847798</v>
      </c>
      <c r="AA1181" s="16">
        <f>Y1181/'Gearing Calculator'!$C$24</f>
        <v>28.210670940130971</v>
      </c>
      <c r="AB1181" s="16">
        <f t="shared" si="128"/>
        <v>222.15110282139946</v>
      </c>
      <c r="AC1181" s="16">
        <v>0</v>
      </c>
      <c r="AD1181" s="16">
        <v>-45.249166535644598</v>
      </c>
      <c r="AE1181" s="16">
        <v>1178</v>
      </c>
      <c r="AF1181" s="16">
        <f>IF(AC1181=0,IF(O1181=6,INDEX(Acceleration!$V$4:$V$110,MATCH('Track Data'!S1181,Acceleration!$K$4:$K$110,0)),IF('Track Data'!O1181=5,INDEX(Acceleration!$U$4:$U$110,MATCH('Track Data'!S1181,Acceleration!$K$4:$K$110,0)),1)),U1181)</f>
        <v>1</v>
      </c>
      <c r="AG1181" s="16">
        <f>IF(AC1181=0,IF(O1181=4,INDEX(Acceleration!$T$4:$T$110,MATCH('Track Data'!S1181,Acceleration!$K$4:$K$110,0)),IF('Track Data'!O1181=3,INDEX(Acceleration!$S$4:$S$110,MATCH('Track Data'!S1181,Acceleration!$K$4:$K$110,0)),'Track Data'!AF1181)),'Track Data'!U1181)</f>
        <v>4.8209066787706405</v>
      </c>
      <c r="AH1181" s="16">
        <f>IF(AC1181=0,IF(O1181=2,INDEX(Acceleration!$R$4:$R$110,MATCH('Track Data'!S1181,Acceleration!$K$4:$K$110,0)),IF('Track Data'!O1181=1,INDEX(Acceleration!$Q$4:$Q$110,MATCH('Track Data'!S1181,Acceleration!$K$4:$K$110,0)),'Track Data'!AG1181)),'Track Data'!U1181)</f>
        <v>4.8209066787706405</v>
      </c>
    </row>
    <row r="1182" spans="2:34" x14ac:dyDescent="0.25">
      <c r="B1182" s="16">
        <v>228.83500000000001</v>
      </c>
      <c r="C1182" s="16">
        <v>8452</v>
      </c>
      <c r="D1182" s="16">
        <v>1179</v>
      </c>
      <c r="E1182" s="113">
        <v>132</v>
      </c>
      <c r="F1182" s="113">
        <v>126.1</v>
      </c>
      <c r="G1182" s="113">
        <v>116.3</v>
      </c>
      <c r="H1182" s="113">
        <f t="shared" si="131"/>
        <v>32.305555555555557</v>
      </c>
      <c r="I1182" s="113">
        <v>19.100000000000001</v>
      </c>
      <c r="J1182" s="113">
        <v>48.97</v>
      </c>
      <c r="K1182" s="113">
        <v>-47.3</v>
      </c>
      <c r="L1182" s="183"/>
      <c r="M1182" s="16">
        <v>1179</v>
      </c>
      <c r="N1182" s="16">
        <f t="shared" si="133"/>
        <v>2.2841188743510724E-2</v>
      </c>
      <c r="O1182" s="16">
        <v>4</v>
      </c>
      <c r="P1182" s="16">
        <f t="shared" si="129"/>
        <v>9.1833785004516724</v>
      </c>
      <c r="Q1182" s="16">
        <f t="shared" si="134"/>
        <v>43.780558500227102</v>
      </c>
      <c r="R1182" s="113">
        <f t="shared" si="130"/>
        <v>329.49099999999999</v>
      </c>
      <c r="S1182" s="16">
        <f>IF(S1181=15800,15800,ROUND((((Q1182*60)/'Gearing Calculator'!$C$14)*'Track Data'!P1182),-2))</f>
        <v>12200</v>
      </c>
      <c r="T1182" s="16">
        <f t="shared" si="132"/>
        <v>4.8209066787706405</v>
      </c>
      <c r="U1182" s="16">
        <f>IF(AC1182=100,Braking!$AG$2354,IF(AC1182=50,Braking!$AG$1179,IF(AC1182=75,Braking!$AG$1767,0)))</f>
        <v>0</v>
      </c>
      <c r="V1182" s="16">
        <f>0.5*'Gearing Calculator'!$C$15*'Gearing Calculator'!$C$20*'Gearing Calculator'!$W$20*('Track Data'!Q1182^2)</f>
        <v>202.8674761063169</v>
      </c>
      <c r="W1182" s="16">
        <f>('Gearing Calculator'!$U$9*'Track Data'!T1182)+'Track Data'!V1182</f>
        <v>1486.1928339950614</v>
      </c>
      <c r="X1182" s="16">
        <f>('Gearing Calculator'!$U$9*9.81)*('Gearing Calculator'!$U$16/'Gearing Calculator'!$C$7)-(('Track Data'!W1182)*('Gearing Calculator'!$U$17/'Gearing Calculator'!$C$7))</f>
        <v>591.0857078158931</v>
      </c>
      <c r="Y1182" s="16">
        <f>('Gearing Calculator'!$U$9*9.81)*(('Gearing Calculator'!$C$7-'Gearing Calculator'!$U$16)/'Gearing Calculator'!$C$7)+(('Track Data'!W1182)*('Gearing Calculator'!$U$17/'Gearing Calculator'!$C$7))</f>
        <v>2020.3362921841069</v>
      </c>
      <c r="Z1182" s="16">
        <f>((X1182*COS('Gearing Calculator'!$C$21))/'Gearing Calculator'!$C$22)/2</f>
        <v>18.274500640847798</v>
      </c>
      <c r="AA1182" s="16">
        <f>Y1182/'Gearing Calculator'!$C$24</f>
        <v>28.210670940130971</v>
      </c>
      <c r="AB1182" s="16">
        <f t="shared" si="128"/>
        <v>222.15110282139946</v>
      </c>
      <c r="AC1182" s="16">
        <v>0</v>
      </c>
      <c r="AD1182" s="16">
        <v>-45.249166535644598</v>
      </c>
      <c r="AE1182" s="16">
        <v>1179</v>
      </c>
      <c r="AF1182" s="16">
        <f>IF(AC1182=0,IF(O1182=6,INDEX(Acceleration!$V$4:$V$110,MATCH('Track Data'!S1182,Acceleration!$K$4:$K$110,0)),IF('Track Data'!O1182=5,INDEX(Acceleration!$U$4:$U$110,MATCH('Track Data'!S1182,Acceleration!$K$4:$K$110,0)),1)),U1182)</f>
        <v>1</v>
      </c>
      <c r="AG1182" s="16">
        <f>IF(AC1182=0,IF(O1182=4,INDEX(Acceleration!$T$4:$T$110,MATCH('Track Data'!S1182,Acceleration!$K$4:$K$110,0)),IF('Track Data'!O1182=3,INDEX(Acceleration!$S$4:$S$110,MATCH('Track Data'!S1182,Acceleration!$K$4:$K$110,0)),'Track Data'!AF1182)),'Track Data'!U1182)</f>
        <v>4.8209066787706405</v>
      </c>
      <c r="AH1182" s="16">
        <f>IF(AC1182=0,IF(O1182=2,INDEX(Acceleration!$R$4:$R$110,MATCH('Track Data'!S1182,Acceleration!$K$4:$K$110,0)),IF('Track Data'!O1182=1,INDEX(Acceleration!$Q$4:$Q$110,MATCH('Track Data'!S1182,Acceleration!$K$4:$K$110,0)),'Track Data'!AG1182)),'Track Data'!U1182)</f>
        <v>4.8209066787706405</v>
      </c>
    </row>
    <row r="1183" spans="2:34" x14ac:dyDescent="0.25">
      <c r="B1183" s="16">
        <v>228.864</v>
      </c>
      <c r="C1183" s="16">
        <v>8453</v>
      </c>
      <c r="D1183" s="16">
        <v>1180</v>
      </c>
      <c r="E1183" s="113">
        <v>132</v>
      </c>
      <c r="F1183" s="113">
        <v>126.1</v>
      </c>
      <c r="G1183" s="113">
        <v>116.5</v>
      </c>
      <c r="H1183" s="113">
        <f t="shared" si="131"/>
        <v>32.361111111111107</v>
      </c>
      <c r="I1183" s="113">
        <v>19.5</v>
      </c>
      <c r="J1183" s="113">
        <v>49.56</v>
      </c>
      <c r="K1183" s="113">
        <v>-46.1</v>
      </c>
      <c r="L1183" s="183"/>
      <c r="M1183" s="16">
        <v>1180</v>
      </c>
      <c r="N1183" s="16">
        <f t="shared" si="133"/>
        <v>2.2841188743510724E-2</v>
      </c>
      <c r="O1183" s="16">
        <v>4</v>
      </c>
      <c r="P1183" s="16">
        <f t="shared" si="129"/>
        <v>9.1833785004516724</v>
      </c>
      <c r="Q1183" s="16">
        <f t="shared" si="134"/>
        <v>43.780558500227102</v>
      </c>
      <c r="R1183" s="113">
        <f t="shared" si="130"/>
        <v>329.49099999999999</v>
      </c>
      <c r="S1183" s="16">
        <f>IF(S1182=15800,15800,ROUND((((Q1183*60)/'Gearing Calculator'!$C$14)*'Track Data'!P1183),-2))</f>
        <v>12200</v>
      </c>
      <c r="T1183" s="16">
        <f t="shared" si="132"/>
        <v>4.8209066787706405</v>
      </c>
      <c r="U1183" s="16">
        <f>IF(AC1183=100,Braking!$AG$2354,IF(AC1183=50,Braking!$AG$1179,IF(AC1183=75,Braking!$AG$1767,0)))</f>
        <v>0</v>
      </c>
      <c r="V1183" s="16">
        <f>0.5*'Gearing Calculator'!$C$15*'Gearing Calculator'!$C$20*'Gearing Calculator'!$W$20*('Track Data'!Q1183^2)</f>
        <v>202.8674761063169</v>
      </c>
      <c r="W1183" s="16">
        <f>('Gearing Calculator'!$U$9*'Track Data'!T1183)+'Track Data'!V1183</f>
        <v>1486.1928339950614</v>
      </c>
      <c r="X1183" s="16">
        <f>('Gearing Calculator'!$U$9*9.81)*('Gearing Calculator'!$U$16/'Gearing Calculator'!$C$7)-(('Track Data'!W1183)*('Gearing Calculator'!$U$17/'Gearing Calculator'!$C$7))</f>
        <v>591.0857078158931</v>
      </c>
      <c r="Y1183" s="16">
        <f>('Gearing Calculator'!$U$9*9.81)*(('Gearing Calculator'!$C$7-'Gearing Calculator'!$U$16)/'Gearing Calculator'!$C$7)+(('Track Data'!W1183)*('Gearing Calculator'!$U$17/'Gearing Calculator'!$C$7))</f>
        <v>2020.3362921841069</v>
      </c>
      <c r="Z1183" s="16">
        <f>((X1183*COS('Gearing Calculator'!$C$21))/'Gearing Calculator'!$C$22)/2</f>
        <v>18.274500640847798</v>
      </c>
      <c r="AA1183" s="16">
        <f>Y1183/'Gearing Calculator'!$C$24</f>
        <v>28.210670940130971</v>
      </c>
      <c r="AB1183" s="16">
        <f t="shared" si="128"/>
        <v>222.15110282139946</v>
      </c>
      <c r="AC1183" s="16">
        <v>0</v>
      </c>
      <c r="AD1183" s="16">
        <v>-45.249166535644598</v>
      </c>
      <c r="AE1183" s="16">
        <v>1180</v>
      </c>
      <c r="AF1183" s="16">
        <f>IF(AC1183=0,IF(O1183=6,INDEX(Acceleration!$V$4:$V$110,MATCH('Track Data'!S1183,Acceleration!$K$4:$K$110,0)),IF('Track Data'!O1183=5,INDEX(Acceleration!$U$4:$U$110,MATCH('Track Data'!S1183,Acceleration!$K$4:$K$110,0)),1)),U1183)</f>
        <v>1</v>
      </c>
      <c r="AG1183" s="16">
        <f>IF(AC1183=0,IF(O1183=4,INDEX(Acceleration!$T$4:$T$110,MATCH('Track Data'!S1183,Acceleration!$K$4:$K$110,0)),IF('Track Data'!O1183=3,INDEX(Acceleration!$S$4:$S$110,MATCH('Track Data'!S1183,Acceleration!$K$4:$K$110,0)),'Track Data'!AF1183)),'Track Data'!U1183)</f>
        <v>4.8209066787706405</v>
      </c>
      <c r="AH1183" s="16">
        <f>IF(AC1183=0,IF(O1183=2,INDEX(Acceleration!$R$4:$R$110,MATCH('Track Data'!S1183,Acceleration!$K$4:$K$110,0)),IF('Track Data'!O1183=1,INDEX(Acceleration!$Q$4:$Q$110,MATCH('Track Data'!S1183,Acceleration!$K$4:$K$110,0)),'Track Data'!AG1183)),'Track Data'!U1183)</f>
        <v>4.8209066787706405</v>
      </c>
    </row>
    <row r="1184" spans="2:34" x14ac:dyDescent="0.25">
      <c r="B1184" s="16">
        <v>228.892</v>
      </c>
      <c r="C1184" s="16">
        <v>8454</v>
      </c>
      <c r="D1184" s="16">
        <v>1181</v>
      </c>
      <c r="E1184" s="113">
        <v>132</v>
      </c>
      <c r="F1184" s="113">
        <v>126.3</v>
      </c>
      <c r="G1184" s="113">
        <v>116.7</v>
      </c>
      <c r="H1184" s="113">
        <f t="shared" si="131"/>
        <v>32.416666666666664</v>
      </c>
      <c r="I1184" s="113">
        <v>18.399999999999999</v>
      </c>
      <c r="J1184" s="113">
        <v>49.92</v>
      </c>
      <c r="K1184" s="113">
        <v>-46.5</v>
      </c>
      <c r="L1184" s="183"/>
      <c r="M1184" s="16">
        <v>1181</v>
      </c>
      <c r="N1184" s="16">
        <f t="shared" si="133"/>
        <v>2.2841188743510724E-2</v>
      </c>
      <c r="O1184" s="16">
        <v>4</v>
      </c>
      <c r="P1184" s="16">
        <f t="shared" si="129"/>
        <v>9.1833785004516724</v>
      </c>
      <c r="Q1184" s="16">
        <f t="shared" si="134"/>
        <v>43.780558500227102</v>
      </c>
      <c r="R1184" s="113">
        <f t="shared" si="130"/>
        <v>329.49099999999999</v>
      </c>
      <c r="S1184" s="16">
        <f>IF(S1183=15800,15800,ROUND((((Q1184*60)/'Gearing Calculator'!$C$14)*'Track Data'!P1184),-2))</f>
        <v>12200</v>
      </c>
      <c r="T1184" s="16">
        <f t="shared" si="132"/>
        <v>4.8209066787706405</v>
      </c>
      <c r="U1184" s="16">
        <f>IF(AC1184=100,Braking!$AG$2354,IF(AC1184=50,Braking!$AG$1179,IF(AC1184=75,Braking!$AG$1767,0)))</f>
        <v>0</v>
      </c>
      <c r="V1184" s="16">
        <f>0.5*'Gearing Calculator'!$C$15*'Gearing Calculator'!$C$20*'Gearing Calculator'!$W$20*('Track Data'!Q1184^2)</f>
        <v>202.8674761063169</v>
      </c>
      <c r="W1184" s="16">
        <f>('Gearing Calculator'!$U$9*'Track Data'!T1184)+'Track Data'!V1184</f>
        <v>1486.1928339950614</v>
      </c>
      <c r="X1184" s="16">
        <f>('Gearing Calculator'!$U$9*9.81)*('Gearing Calculator'!$U$16/'Gearing Calculator'!$C$7)-(('Track Data'!W1184)*('Gearing Calculator'!$U$17/'Gearing Calculator'!$C$7))</f>
        <v>591.0857078158931</v>
      </c>
      <c r="Y1184" s="16">
        <f>('Gearing Calculator'!$U$9*9.81)*(('Gearing Calculator'!$C$7-'Gearing Calculator'!$U$16)/'Gearing Calculator'!$C$7)+(('Track Data'!W1184)*('Gearing Calculator'!$U$17/'Gearing Calculator'!$C$7))</f>
        <v>2020.3362921841069</v>
      </c>
      <c r="Z1184" s="16">
        <f>((X1184*COS('Gearing Calculator'!$C$21))/'Gearing Calculator'!$C$22)/2</f>
        <v>18.274500640847798</v>
      </c>
      <c r="AA1184" s="16">
        <f>Y1184/'Gearing Calculator'!$C$24</f>
        <v>28.210670940130971</v>
      </c>
      <c r="AB1184" s="16">
        <f t="shared" si="128"/>
        <v>222.15110282139946</v>
      </c>
      <c r="AC1184" s="16">
        <v>0</v>
      </c>
      <c r="AD1184" s="16">
        <v>-45.249166535644598</v>
      </c>
      <c r="AE1184" s="16">
        <v>1181</v>
      </c>
      <c r="AF1184" s="16">
        <f>IF(AC1184=0,IF(O1184=6,INDEX(Acceleration!$V$4:$V$110,MATCH('Track Data'!S1184,Acceleration!$K$4:$K$110,0)),IF('Track Data'!O1184=5,INDEX(Acceleration!$U$4:$U$110,MATCH('Track Data'!S1184,Acceleration!$K$4:$K$110,0)),1)),U1184)</f>
        <v>1</v>
      </c>
      <c r="AG1184" s="16">
        <f>IF(AC1184=0,IF(O1184=4,INDEX(Acceleration!$T$4:$T$110,MATCH('Track Data'!S1184,Acceleration!$K$4:$K$110,0)),IF('Track Data'!O1184=3,INDEX(Acceleration!$S$4:$S$110,MATCH('Track Data'!S1184,Acceleration!$K$4:$K$110,0)),'Track Data'!AF1184)),'Track Data'!U1184)</f>
        <v>4.8209066787706405</v>
      </c>
      <c r="AH1184" s="16">
        <f>IF(AC1184=0,IF(O1184=2,INDEX(Acceleration!$R$4:$R$110,MATCH('Track Data'!S1184,Acceleration!$K$4:$K$110,0)),IF('Track Data'!O1184=1,INDEX(Acceleration!$Q$4:$Q$110,MATCH('Track Data'!S1184,Acceleration!$K$4:$K$110,0)),'Track Data'!AG1184)),'Track Data'!U1184)</f>
        <v>4.8209066787706405</v>
      </c>
    </row>
    <row r="1185" spans="2:34" x14ac:dyDescent="0.25">
      <c r="B1185" s="16">
        <v>228.92099999999999</v>
      </c>
      <c r="C1185" s="16">
        <v>8455</v>
      </c>
      <c r="D1185" s="16">
        <v>1182</v>
      </c>
      <c r="E1185" s="113">
        <v>133</v>
      </c>
      <c r="F1185" s="113">
        <v>126.6</v>
      </c>
      <c r="G1185" s="113">
        <v>117</v>
      </c>
      <c r="H1185" s="113">
        <f t="shared" si="131"/>
        <v>32.5</v>
      </c>
      <c r="I1185" s="113">
        <v>17.5</v>
      </c>
      <c r="J1185" s="113">
        <v>45.06</v>
      </c>
      <c r="K1185" s="113">
        <v>-48.7</v>
      </c>
      <c r="L1185" s="183"/>
      <c r="M1185" s="16">
        <v>1182</v>
      </c>
      <c r="N1185" s="16">
        <f t="shared" si="133"/>
        <v>2.2841188743510724E-2</v>
      </c>
      <c r="O1185" s="16">
        <v>4</v>
      </c>
      <c r="P1185" s="16">
        <f t="shared" si="129"/>
        <v>9.1833785004516724</v>
      </c>
      <c r="Q1185" s="16">
        <f t="shared" si="134"/>
        <v>43.780558500227102</v>
      </c>
      <c r="R1185" s="113">
        <f t="shared" si="130"/>
        <v>329.49099999999999</v>
      </c>
      <c r="S1185" s="16">
        <f>IF(S1184=15800,15800,ROUND((((Q1185*60)/'Gearing Calculator'!$C$14)*'Track Data'!P1185),-2))</f>
        <v>12200</v>
      </c>
      <c r="T1185" s="16">
        <f t="shared" si="132"/>
        <v>4.8209066787706405</v>
      </c>
      <c r="U1185" s="16">
        <f>IF(AC1185=100,Braking!$AG$2354,IF(AC1185=50,Braking!$AG$1179,IF(AC1185=75,Braking!$AG$1767,0)))</f>
        <v>0</v>
      </c>
      <c r="V1185" s="16">
        <f>0.5*'Gearing Calculator'!$C$15*'Gearing Calculator'!$C$20*'Gearing Calculator'!$W$20*('Track Data'!Q1185^2)</f>
        <v>202.8674761063169</v>
      </c>
      <c r="W1185" s="16">
        <f>('Gearing Calculator'!$U$9*'Track Data'!T1185)+'Track Data'!V1185</f>
        <v>1486.1928339950614</v>
      </c>
      <c r="X1185" s="16">
        <f>('Gearing Calculator'!$U$9*9.81)*('Gearing Calculator'!$U$16/'Gearing Calculator'!$C$7)-(('Track Data'!W1185)*('Gearing Calculator'!$U$17/'Gearing Calculator'!$C$7))</f>
        <v>591.0857078158931</v>
      </c>
      <c r="Y1185" s="16">
        <f>('Gearing Calculator'!$U$9*9.81)*(('Gearing Calculator'!$C$7-'Gearing Calculator'!$U$16)/'Gearing Calculator'!$C$7)+(('Track Data'!W1185)*('Gearing Calculator'!$U$17/'Gearing Calculator'!$C$7))</f>
        <v>2020.3362921841069</v>
      </c>
      <c r="Z1185" s="16">
        <f>((X1185*COS('Gearing Calculator'!$C$21))/'Gearing Calculator'!$C$22)/2</f>
        <v>18.274500640847798</v>
      </c>
      <c r="AA1185" s="16">
        <f>Y1185/'Gearing Calculator'!$C$24</f>
        <v>28.210670940130971</v>
      </c>
      <c r="AB1185" s="16">
        <f t="shared" si="128"/>
        <v>222.15110282139946</v>
      </c>
      <c r="AC1185" s="16">
        <v>0</v>
      </c>
      <c r="AD1185" s="16">
        <v>-45.249166535644598</v>
      </c>
      <c r="AE1185" s="16">
        <v>1182</v>
      </c>
      <c r="AF1185" s="16">
        <f>IF(AC1185=0,IF(O1185=6,INDEX(Acceleration!$V$4:$V$110,MATCH('Track Data'!S1185,Acceleration!$K$4:$K$110,0)),IF('Track Data'!O1185=5,INDEX(Acceleration!$U$4:$U$110,MATCH('Track Data'!S1185,Acceleration!$K$4:$K$110,0)),1)),U1185)</f>
        <v>1</v>
      </c>
      <c r="AG1185" s="16">
        <f>IF(AC1185=0,IF(O1185=4,INDEX(Acceleration!$T$4:$T$110,MATCH('Track Data'!S1185,Acceleration!$K$4:$K$110,0)),IF('Track Data'!O1185=3,INDEX(Acceleration!$S$4:$S$110,MATCH('Track Data'!S1185,Acceleration!$K$4:$K$110,0)),'Track Data'!AF1185)),'Track Data'!U1185)</f>
        <v>4.8209066787706405</v>
      </c>
      <c r="AH1185" s="16">
        <f>IF(AC1185=0,IF(O1185=2,INDEX(Acceleration!$R$4:$R$110,MATCH('Track Data'!S1185,Acceleration!$K$4:$K$110,0)),IF('Track Data'!O1185=1,INDEX(Acceleration!$Q$4:$Q$110,MATCH('Track Data'!S1185,Acceleration!$K$4:$K$110,0)),'Track Data'!AG1185)),'Track Data'!U1185)</f>
        <v>4.8209066787706405</v>
      </c>
    </row>
    <row r="1186" spans="2:34" x14ac:dyDescent="0.25">
      <c r="B1186" s="16">
        <v>228.94900000000001</v>
      </c>
      <c r="C1186" s="16">
        <v>8456</v>
      </c>
      <c r="D1186" s="16">
        <v>1183</v>
      </c>
      <c r="E1186" s="113">
        <v>134</v>
      </c>
      <c r="F1186" s="113">
        <v>126.7</v>
      </c>
      <c r="G1186" s="113">
        <v>117.1</v>
      </c>
      <c r="H1186" s="113">
        <f t="shared" si="131"/>
        <v>32.527777777777779</v>
      </c>
      <c r="I1186" s="113">
        <v>16.8</v>
      </c>
      <c r="J1186" s="113">
        <v>43.92</v>
      </c>
      <c r="K1186" s="113">
        <v>-50.1</v>
      </c>
      <c r="L1186" s="183"/>
      <c r="M1186" s="16">
        <v>1183</v>
      </c>
      <c r="N1186" s="16">
        <f t="shared" si="133"/>
        <v>2.2841188743510724E-2</v>
      </c>
      <c r="O1186" s="16">
        <v>4</v>
      </c>
      <c r="P1186" s="16">
        <f t="shared" si="129"/>
        <v>9.1833785004516724</v>
      </c>
      <c r="Q1186" s="16">
        <f t="shared" si="134"/>
        <v>43.780558500227102</v>
      </c>
      <c r="R1186" s="113">
        <f t="shared" si="130"/>
        <v>329.49099999999999</v>
      </c>
      <c r="S1186" s="16">
        <f>IF(S1185=15800,15800,ROUND((((Q1186*60)/'Gearing Calculator'!$C$14)*'Track Data'!P1186),-2))</f>
        <v>12200</v>
      </c>
      <c r="T1186" s="16">
        <f t="shared" si="132"/>
        <v>4.8209066787706405</v>
      </c>
      <c r="U1186" s="16">
        <f>IF(AC1186=100,Braking!$AG$2354,IF(AC1186=50,Braking!$AG$1179,IF(AC1186=75,Braking!$AG$1767,0)))</f>
        <v>0</v>
      </c>
      <c r="V1186" s="16">
        <f>0.5*'Gearing Calculator'!$C$15*'Gearing Calculator'!$C$20*'Gearing Calculator'!$W$20*('Track Data'!Q1186^2)</f>
        <v>202.8674761063169</v>
      </c>
      <c r="W1186" s="16">
        <f>('Gearing Calculator'!$U$9*'Track Data'!T1186)+'Track Data'!V1186</f>
        <v>1486.1928339950614</v>
      </c>
      <c r="X1186" s="16">
        <f>('Gearing Calculator'!$U$9*9.81)*('Gearing Calculator'!$U$16/'Gearing Calculator'!$C$7)-(('Track Data'!W1186)*('Gearing Calculator'!$U$17/'Gearing Calculator'!$C$7))</f>
        <v>591.0857078158931</v>
      </c>
      <c r="Y1186" s="16">
        <f>('Gearing Calculator'!$U$9*9.81)*(('Gearing Calculator'!$C$7-'Gearing Calculator'!$U$16)/'Gearing Calculator'!$C$7)+(('Track Data'!W1186)*('Gearing Calculator'!$U$17/'Gearing Calculator'!$C$7))</f>
        <v>2020.3362921841069</v>
      </c>
      <c r="Z1186" s="16">
        <f>((X1186*COS('Gearing Calculator'!$C$21))/'Gearing Calculator'!$C$22)/2</f>
        <v>18.274500640847798</v>
      </c>
      <c r="AA1186" s="16">
        <f>Y1186/'Gearing Calculator'!$C$24</f>
        <v>28.210670940130971</v>
      </c>
      <c r="AB1186" s="16">
        <f t="shared" si="128"/>
        <v>222.15110282139946</v>
      </c>
      <c r="AC1186" s="16">
        <v>0</v>
      </c>
      <c r="AD1186" s="16">
        <v>-45.249166535644598</v>
      </c>
      <c r="AE1186" s="16">
        <v>1183</v>
      </c>
      <c r="AF1186" s="16">
        <f>IF(AC1186=0,IF(O1186=6,INDEX(Acceleration!$V$4:$V$110,MATCH('Track Data'!S1186,Acceleration!$K$4:$K$110,0)),IF('Track Data'!O1186=5,INDEX(Acceleration!$U$4:$U$110,MATCH('Track Data'!S1186,Acceleration!$K$4:$K$110,0)),1)),U1186)</f>
        <v>1</v>
      </c>
      <c r="AG1186" s="16">
        <f>IF(AC1186=0,IF(O1186=4,INDEX(Acceleration!$T$4:$T$110,MATCH('Track Data'!S1186,Acceleration!$K$4:$K$110,0)),IF('Track Data'!O1186=3,INDEX(Acceleration!$S$4:$S$110,MATCH('Track Data'!S1186,Acceleration!$K$4:$K$110,0)),'Track Data'!AF1186)),'Track Data'!U1186)</f>
        <v>4.8209066787706405</v>
      </c>
      <c r="AH1186" s="16">
        <f>IF(AC1186=0,IF(O1186=2,INDEX(Acceleration!$R$4:$R$110,MATCH('Track Data'!S1186,Acceleration!$K$4:$K$110,0)),IF('Track Data'!O1186=1,INDEX(Acceleration!$Q$4:$Q$110,MATCH('Track Data'!S1186,Acceleration!$K$4:$K$110,0)),'Track Data'!AG1186)),'Track Data'!U1186)</f>
        <v>4.8209066787706405</v>
      </c>
    </row>
    <row r="1187" spans="2:34" x14ac:dyDescent="0.25">
      <c r="B1187" s="16">
        <v>228.977</v>
      </c>
      <c r="C1187" s="16">
        <v>8457</v>
      </c>
      <c r="D1187" s="16">
        <v>1184</v>
      </c>
      <c r="E1187" s="113">
        <v>135</v>
      </c>
      <c r="F1187" s="113">
        <v>126.9</v>
      </c>
      <c r="G1187" s="113">
        <v>117.4</v>
      </c>
      <c r="H1187" s="113">
        <f t="shared" si="131"/>
        <v>32.611111111111114</v>
      </c>
      <c r="I1187" s="113">
        <v>14.8</v>
      </c>
      <c r="J1187" s="113">
        <v>43.14</v>
      </c>
      <c r="K1187" s="113">
        <v>-51.3</v>
      </c>
      <c r="L1187" s="183"/>
      <c r="M1187" s="16">
        <v>1184</v>
      </c>
      <c r="N1187" s="16">
        <f t="shared" si="133"/>
        <v>2.2841188743510724E-2</v>
      </c>
      <c r="O1187" s="16">
        <v>4</v>
      </c>
      <c r="P1187" s="16">
        <f t="shared" si="129"/>
        <v>9.1833785004516724</v>
      </c>
      <c r="Q1187" s="16">
        <f t="shared" si="134"/>
        <v>43.780558500227102</v>
      </c>
      <c r="R1187" s="113">
        <f t="shared" si="130"/>
        <v>329.49099999999999</v>
      </c>
      <c r="S1187" s="16">
        <f>IF(S1186=15800,15800,ROUND((((Q1187*60)/'Gearing Calculator'!$C$14)*'Track Data'!P1187),-2))</f>
        <v>12200</v>
      </c>
      <c r="T1187" s="16">
        <f t="shared" si="132"/>
        <v>4.8209066787706405</v>
      </c>
      <c r="U1187" s="16">
        <f>IF(AC1187=100,Braking!$AG$2354,IF(AC1187=50,Braking!$AG$1179,IF(AC1187=75,Braking!$AG$1767,0)))</f>
        <v>0</v>
      </c>
      <c r="V1187" s="16">
        <f>0.5*'Gearing Calculator'!$C$15*'Gearing Calculator'!$C$20*'Gearing Calculator'!$W$20*('Track Data'!Q1187^2)</f>
        <v>202.8674761063169</v>
      </c>
      <c r="W1187" s="16">
        <f>('Gearing Calculator'!$U$9*'Track Data'!T1187)+'Track Data'!V1187</f>
        <v>1486.1928339950614</v>
      </c>
      <c r="X1187" s="16">
        <f>('Gearing Calculator'!$U$9*9.81)*('Gearing Calculator'!$U$16/'Gearing Calculator'!$C$7)-(('Track Data'!W1187)*('Gearing Calculator'!$U$17/'Gearing Calculator'!$C$7))</f>
        <v>591.0857078158931</v>
      </c>
      <c r="Y1187" s="16">
        <f>('Gearing Calculator'!$U$9*9.81)*(('Gearing Calculator'!$C$7-'Gearing Calculator'!$U$16)/'Gearing Calculator'!$C$7)+(('Track Data'!W1187)*('Gearing Calculator'!$U$17/'Gearing Calculator'!$C$7))</f>
        <v>2020.3362921841069</v>
      </c>
      <c r="Z1187" s="16">
        <f>((X1187*COS('Gearing Calculator'!$C$21))/'Gearing Calculator'!$C$22)/2</f>
        <v>18.274500640847798</v>
      </c>
      <c r="AA1187" s="16">
        <f>Y1187/'Gearing Calculator'!$C$24</f>
        <v>28.210670940130971</v>
      </c>
      <c r="AB1187" s="16">
        <f t="shared" si="128"/>
        <v>222.15110282139946</v>
      </c>
      <c r="AC1187" s="16">
        <v>0</v>
      </c>
      <c r="AD1187" s="16">
        <v>-45.249166535644598</v>
      </c>
      <c r="AE1187" s="16">
        <v>1184</v>
      </c>
      <c r="AF1187" s="16">
        <f>IF(AC1187=0,IF(O1187=6,INDEX(Acceleration!$V$4:$V$110,MATCH('Track Data'!S1187,Acceleration!$K$4:$K$110,0)),IF('Track Data'!O1187=5,INDEX(Acceleration!$U$4:$U$110,MATCH('Track Data'!S1187,Acceleration!$K$4:$K$110,0)),1)),U1187)</f>
        <v>1</v>
      </c>
      <c r="AG1187" s="16">
        <f>IF(AC1187=0,IF(O1187=4,INDEX(Acceleration!$T$4:$T$110,MATCH('Track Data'!S1187,Acceleration!$K$4:$K$110,0)),IF('Track Data'!O1187=3,INDEX(Acceleration!$S$4:$S$110,MATCH('Track Data'!S1187,Acceleration!$K$4:$K$110,0)),'Track Data'!AF1187)),'Track Data'!U1187)</f>
        <v>4.8209066787706405</v>
      </c>
      <c r="AH1187" s="16">
        <f>IF(AC1187=0,IF(O1187=2,INDEX(Acceleration!$R$4:$R$110,MATCH('Track Data'!S1187,Acceleration!$K$4:$K$110,0)),IF('Track Data'!O1187=1,INDEX(Acceleration!$Q$4:$Q$110,MATCH('Track Data'!S1187,Acceleration!$K$4:$K$110,0)),'Track Data'!AG1187)),'Track Data'!U1187)</f>
        <v>4.8209066787706405</v>
      </c>
    </row>
    <row r="1188" spans="2:34" x14ac:dyDescent="0.25">
      <c r="B1188" s="16">
        <v>229.006</v>
      </c>
      <c r="C1188" s="16">
        <v>8458</v>
      </c>
      <c r="D1188" s="16">
        <v>1185</v>
      </c>
      <c r="E1188" s="113">
        <v>136</v>
      </c>
      <c r="F1188" s="113">
        <v>127.2</v>
      </c>
      <c r="G1188" s="113">
        <v>117.7</v>
      </c>
      <c r="H1188" s="113">
        <f t="shared" si="131"/>
        <v>32.694444444444443</v>
      </c>
      <c r="I1188" s="113">
        <v>13.2</v>
      </c>
      <c r="J1188" s="113">
        <v>39.619999999999997</v>
      </c>
      <c r="K1188" s="113">
        <v>-51.3</v>
      </c>
      <c r="L1188" s="183"/>
      <c r="M1188" s="16">
        <v>1185</v>
      </c>
      <c r="N1188" s="16">
        <f t="shared" si="133"/>
        <v>2.2841188743510724E-2</v>
      </c>
      <c r="O1188" s="16">
        <v>4</v>
      </c>
      <c r="P1188" s="16">
        <f t="shared" si="129"/>
        <v>9.1833785004516724</v>
      </c>
      <c r="Q1188" s="16">
        <f t="shared" si="134"/>
        <v>43.780558500227102</v>
      </c>
      <c r="R1188" s="113">
        <f t="shared" si="130"/>
        <v>329.49099999999999</v>
      </c>
      <c r="S1188" s="16">
        <f>IF(S1187=15800,15800,ROUND((((Q1188*60)/'Gearing Calculator'!$C$14)*'Track Data'!P1188),-2))</f>
        <v>12200</v>
      </c>
      <c r="T1188" s="16">
        <f t="shared" si="132"/>
        <v>4.8209066787706405</v>
      </c>
      <c r="U1188" s="16">
        <f>IF(AC1188=100,Braking!$AG$2354,IF(AC1188=50,Braking!$AG$1179,IF(AC1188=75,Braking!$AG$1767,0)))</f>
        <v>0</v>
      </c>
      <c r="V1188" s="16">
        <f>0.5*'Gearing Calculator'!$C$15*'Gearing Calculator'!$C$20*'Gearing Calculator'!$W$20*('Track Data'!Q1188^2)</f>
        <v>202.8674761063169</v>
      </c>
      <c r="W1188" s="16">
        <f>('Gearing Calculator'!$U$9*'Track Data'!T1188)+'Track Data'!V1188</f>
        <v>1486.1928339950614</v>
      </c>
      <c r="X1188" s="16">
        <f>('Gearing Calculator'!$U$9*9.81)*('Gearing Calculator'!$U$16/'Gearing Calculator'!$C$7)-(('Track Data'!W1188)*('Gearing Calculator'!$U$17/'Gearing Calculator'!$C$7))</f>
        <v>591.0857078158931</v>
      </c>
      <c r="Y1188" s="16">
        <f>('Gearing Calculator'!$U$9*9.81)*(('Gearing Calculator'!$C$7-'Gearing Calculator'!$U$16)/'Gearing Calculator'!$C$7)+(('Track Data'!W1188)*('Gearing Calculator'!$U$17/'Gearing Calculator'!$C$7))</f>
        <v>2020.3362921841069</v>
      </c>
      <c r="Z1188" s="16">
        <f>((X1188*COS('Gearing Calculator'!$C$21))/'Gearing Calculator'!$C$22)/2</f>
        <v>18.274500640847798</v>
      </c>
      <c r="AA1188" s="16">
        <f>Y1188/'Gearing Calculator'!$C$24</f>
        <v>28.210670940130971</v>
      </c>
      <c r="AB1188" s="16">
        <f t="shared" si="128"/>
        <v>222.15110282139946</v>
      </c>
      <c r="AC1188" s="16">
        <v>0</v>
      </c>
      <c r="AD1188" s="16">
        <v>-45.249166535644598</v>
      </c>
      <c r="AE1188" s="16">
        <v>1185</v>
      </c>
      <c r="AF1188" s="16">
        <f>IF(AC1188=0,IF(O1188=6,INDEX(Acceleration!$V$4:$V$110,MATCH('Track Data'!S1188,Acceleration!$K$4:$K$110,0)),IF('Track Data'!O1188=5,INDEX(Acceleration!$U$4:$U$110,MATCH('Track Data'!S1188,Acceleration!$K$4:$K$110,0)),1)),U1188)</f>
        <v>1</v>
      </c>
      <c r="AG1188" s="16">
        <f>IF(AC1188=0,IF(O1188=4,INDEX(Acceleration!$T$4:$T$110,MATCH('Track Data'!S1188,Acceleration!$K$4:$K$110,0)),IF('Track Data'!O1188=3,INDEX(Acceleration!$S$4:$S$110,MATCH('Track Data'!S1188,Acceleration!$K$4:$K$110,0)),'Track Data'!AF1188)),'Track Data'!U1188)</f>
        <v>4.8209066787706405</v>
      </c>
      <c r="AH1188" s="16">
        <f>IF(AC1188=0,IF(O1188=2,INDEX(Acceleration!$R$4:$R$110,MATCH('Track Data'!S1188,Acceleration!$K$4:$K$110,0)),IF('Track Data'!O1188=1,INDEX(Acceleration!$Q$4:$Q$110,MATCH('Track Data'!S1188,Acceleration!$K$4:$K$110,0)),'Track Data'!AG1188)),'Track Data'!U1188)</f>
        <v>4.8209066787706405</v>
      </c>
    </row>
    <row r="1189" spans="2:34" x14ac:dyDescent="0.25">
      <c r="B1189" s="16">
        <v>229.03399999999999</v>
      </c>
      <c r="C1189" s="16">
        <v>8459</v>
      </c>
      <c r="D1189" s="16">
        <v>1186</v>
      </c>
      <c r="E1189" s="113">
        <v>136</v>
      </c>
      <c r="F1189" s="113">
        <v>128</v>
      </c>
      <c r="G1189" s="113">
        <v>118</v>
      </c>
      <c r="H1189" s="113">
        <f t="shared" si="131"/>
        <v>32.777777777777779</v>
      </c>
      <c r="I1189" s="113">
        <v>11.8</v>
      </c>
      <c r="J1189" s="113">
        <v>37.15</v>
      </c>
      <c r="K1189" s="113">
        <v>-51.3</v>
      </c>
      <c r="L1189" s="183"/>
      <c r="M1189" s="16">
        <v>1186</v>
      </c>
      <c r="N1189" s="16">
        <f t="shared" si="133"/>
        <v>2.2841188743510724E-2</v>
      </c>
      <c r="O1189" s="16">
        <v>4</v>
      </c>
      <c r="P1189" s="16">
        <f t="shared" si="129"/>
        <v>9.1833785004516724</v>
      </c>
      <c r="Q1189" s="16">
        <f t="shared" si="134"/>
        <v>43.780558500227102</v>
      </c>
      <c r="R1189" s="113">
        <f t="shared" si="130"/>
        <v>329.49099999999999</v>
      </c>
      <c r="S1189" s="16">
        <f>IF(S1188=15800,15800,ROUND((((Q1189*60)/'Gearing Calculator'!$C$14)*'Track Data'!P1189),-2))</f>
        <v>12200</v>
      </c>
      <c r="T1189" s="16">
        <f t="shared" si="132"/>
        <v>4.8209066787706405</v>
      </c>
      <c r="U1189" s="16">
        <f>IF(AC1189=100,Braking!$AG$2354,IF(AC1189=50,Braking!$AG$1179,IF(AC1189=75,Braking!$AG$1767,0)))</f>
        <v>0</v>
      </c>
      <c r="V1189" s="16">
        <f>0.5*'Gearing Calculator'!$C$15*'Gearing Calculator'!$C$20*'Gearing Calculator'!$W$20*('Track Data'!Q1189^2)</f>
        <v>202.8674761063169</v>
      </c>
      <c r="W1189" s="16">
        <f>('Gearing Calculator'!$U$9*'Track Data'!T1189)+'Track Data'!V1189</f>
        <v>1486.1928339950614</v>
      </c>
      <c r="X1189" s="16">
        <f>('Gearing Calculator'!$U$9*9.81)*('Gearing Calculator'!$U$16/'Gearing Calculator'!$C$7)-(('Track Data'!W1189)*('Gearing Calculator'!$U$17/'Gearing Calculator'!$C$7))</f>
        <v>591.0857078158931</v>
      </c>
      <c r="Y1189" s="16">
        <f>('Gearing Calculator'!$U$9*9.81)*(('Gearing Calculator'!$C$7-'Gearing Calculator'!$U$16)/'Gearing Calculator'!$C$7)+(('Track Data'!W1189)*('Gearing Calculator'!$U$17/'Gearing Calculator'!$C$7))</f>
        <v>2020.3362921841069</v>
      </c>
      <c r="Z1189" s="16">
        <f>((X1189*COS('Gearing Calculator'!$C$21))/'Gearing Calculator'!$C$22)/2</f>
        <v>18.274500640847798</v>
      </c>
      <c r="AA1189" s="16">
        <f>Y1189/'Gearing Calculator'!$C$24</f>
        <v>28.210670940130971</v>
      </c>
      <c r="AB1189" s="16">
        <f t="shared" si="128"/>
        <v>222.15110282139946</v>
      </c>
      <c r="AC1189" s="16">
        <v>0</v>
      </c>
      <c r="AD1189" s="16">
        <v>-45.249166535644598</v>
      </c>
      <c r="AE1189" s="16">
        <v>1186</v>
      </c>
      <c r="AF1189" s="16">
        <f>IF(AC1189=0,IF(O1189=6,INDEX(Acceleration!$V$4:$V$110,MATCH('Track Data'!S1189,Acceleration!$K$4:$K$110,0)),IF('Track Data'!O1189=5,INDEX(Acceleration!$U$4:$U$110,MATCH('Track Data'!S1189,Acceleration!$K$4:$K$110,0)),1)),U1189)</f>
        <v>1</v>
      </c>
      <c r="AG1189" s="16">
        <f>IF(AC1189=0,IF(O1189=4,INDEX(Acceleration!$T$4:$T$110,MATCH('Track Data'!S1189,Acceleration!$K$4:$K$110,0)),IF('Track Data'!O1189=3,INDEX(Acceleration!$S$4:$S$110,MATCH('Track Data'!S1189,Acceleration!$K$4:$K$110,0)),'Track Data'!AF1189)),'Track Data'!U1189)</f>
        <v>4.8209066787706405</v>
      </c>
      <c r="AH1189" s="16">
        <f>IF(AC1189=0,IF(O1189=2,INDEX(Acceleration!$R$4:$R$110,MATCH('Track Data'!S1189,Acceleration!$K$4:$K$110,0)),IF('Track Data'!O1189=1,INDEX(Acceleration!$Q$4:$Q$110,MATCH('Track Data'!S1189,Acceleration!$K$4:$K$110,0)),'Track Data'!AG1189)),'Track Data'!U1189)</f>
        <v>4.8209066787706405</v>
      </c>
    </row>
    <row r="1190" spans="2:34" x14ac:dyDescent="0.25">
      <c r="B1190" s="16">
        <v>229.06200000000001</v>
      </c>
      <c r="C1190" s="16">
        <v>8460</v>
      </c>
      <c r="D1190" s="16">
        <v>1187</v>
      </c>
      <c r="E1190" s="113">
        <v>137</v>
      </c>
      <c r="F1190" s="113">
        <v>128.30000000000001</v>
      </c>
      <c r="G1190" s="113">
        <v>118.3</v>
      </c>
      <c r="H1190" s="113">
        <f t="shared" si="131"/>
        <v>32.861111111111107</v>
      </c>
      <c r="I1190" s="113">
        <v>11.1</v>
      </c>
      <c r="J1190" s="113">
        <v>37.4</v>
      </c>
      <c r="K1190" s="113">
        <v>-50.6</v>
      </c>
      <c r="L1190" s="183"/>
      <c r="M1190" s="16">
        <v>1187</v>
      </c>
      <c r="N1190" s="16">
        <f t="shared" si="133"/>
        <v>2.2841188743510724E-2</v>
      </c>
      <c r="O1190" s="16">
        <v>4</v>
      </c>
      <c r="P1190" s="16">
        <f t="shared" si="129"/>
        <v>9.1833785004516724</v>
      </c>
      <c r="Q1190" s="16">
        <f t="shared" si="134"/>
        <v>43.780558500227102</v>
      </c>
      <c r="R1190" s="113">
        <f t="shared" si="130"/>
        <v>329.49099999999999</v>
      </c>
      <c r="S1190" s="16">
        <f>IF(S1189=15800,15800,ROUND((((Q1190*60)/'Gearing Calculator'!$C$14)*'Track Data'!P1190),-2))</f>
        <v>12200</v>
      </c>
      <c r="T1190" s="16">
        <f t="shared" si="132"/>
        <v>4.8209066787706405</v>
      </c>
      <c r="U1190" s="16">
        <f>IF(AC1190=100,Braking!$AG$2354,IF(AC1190=50,Braking!$AG$1179,IF(AC1190=75,Braking!$AG$1767,0)))</f>
        <v>0</v>
      </c>
      <c r="V1190" s="16">
        <f>0.5*'Gearing Calculator'!$C$15*'Gearing Calculator'!$C$20*'Gearing Calculator'!$W$20*('Track Data'!Q1190^2)</f>
        <v>202.8674761063169</v>
      </c>
      <c r="W1190" s="16">
        <f>('Gearing Calculator'!$U$9*'Track Data'!T1190)+'Track Data'!V1190</f>
        <v>1486.1928339950614</v>
      </c>
      <c r="X1190" s="16">
        <f>('Gearing Calculator'!$U$9*9.81)*('Gearing Calculator'!$U$16/'Gearing Calculator'!$C$7)-(('Track Data'!W1190)*('Gearing Calculator'!$U$17/'Gearing Calculator'!$C$7))</f>
        <v>591.0857078158931</v>
      </c>
      <c r="Y1190" s="16">
        <f>('Gearing Calculator'!$U$9*9.81)*(('Gearing Calculator'!$C$7-'Gearing Calculator'!$U$16)/'Gearing Calculator'!$C$7)+(('Track Data'!W1190)*('Gearing Calculator'!$U$17/'Gearing Calculator'!$C$7))</f>
        <v>2020.3362921841069</v>
      </c>
      <c r="Z1190" s="16">
        <f>((X1190*COS('Gearing Calculator'!$C$21))/'Gearing Calculator'!$C$22)/2</f>
        <v>18.274500640847798</v>
      </c>
      <c r="AA1190" s="16">
        <f>Y1190/'Gearing Calculator'!$C$24</f>
        <v>28.210670940130971</v>
      </c>
      <c r="AB1190" s="16">
        <f t="shared" si="128"/>
        <v>222.15110282139946</v>
      </c>
      <c r="AC1190" s="16">
        <v>0</v>
      </c>
      <c r="AD1190" s="16">
        <v>-45.249166535644598</v>
      </c>
      <c r="AE1190" s="16">
        <v>1187</v>
      </c>
      <c r="AF1190" s="16">
        <f>IF(AC1190=0,IF(O1190=6,INDEX(Acceleration!$V$4:$V$110,MATCH('Track Data'!S1190,Acceleration!$K$4:$K$110,0)),IF('Track Data'!O1190=5,INDEX(Acceleration!$U$4:$U$110,MATCH('Track Data'!S1190,Acceleration!$K$4:$K$110,0)),1)),U1190)</f>
        <v>1</v>
      </c>
      <c r="AG1190" s="16">
        <f>IF(AC1190=0,IF(O1190=4,INDEX(Acceleration!$T$4:$T$110,MATCH('Track Data'!S1190,Acceleration!$K$4:$K$110,0)),IF('Track Data'!O1190=3,INDEX(Acceleration!$S$4:$S$110,MATCH('Track Data'!S1190,Acceleration!$K$4:$K$110,0)),'Track Data'!AF1190)),'Track Data'!U1190)</f>
        <v>4.8209066787706405</v>
      </c>
      <c r="AH1190" s="16">
        <f>IF(AC1190=0,IF(O1190=2,INDEX(Acceleration!$R$4:$R$110,MATCH('Track Data'!S1190,Acceleration!$K$4:$K$110,0)),IF('Track Data'!O1190=1,INDEX(Acceleration!$Q$4:$Q$110,MATCH('Track Data'!S1190,Acceleration!$K$4:$K$110,0)),'Track Data'!AG1190)),'Track Data'!U1190)</f>
        <v>4.8209066787706405</v>
      </c>
    </row>
    <row r="1191" spans="2:34" x14ac:dyDescent="0.25">
      <c r="B1191" s="16">
        <v>229.09</v>
      </c>
      <c r="C1191" s="16">
        <v>8461</v>
      </c>
      <c r="D1191" s="16">
        <v>1188</v>
      </c>
      <c r="E1191" s="113">
        <v>137</v>
      </c>
      <c r="F1191" s="113">
        <v>128.5</v>
      </c>
      <c r="G1191" s="113">
        <v>118.7</v>
      </c>
      <c r="H1191" s="113">
        <f t="shared" si="131"/>
        <v>32.972222222222221</v>
      </c>
      <c r="I1191" s="113">
        <v>11</v>
      </c>
      <c r="J1191" s="113">
        <v>37.04</v>
      </c>
      <c r="K1191" s="113">
        <v>-49.8</v>
      </c>
      <c r="L1191" s="183"/>
      <c r="M1191" s="16">
        <v>1188</v>
      </c>
      <c r="N1191" s="16">
        <f t="shared" si="133"/>
        <v>2.2841188743510724E-2</v>
      </c>
      <c r="O1191" s="16">
        <v>4</v>
      </c>
      <c r="P1191" s="16">
        <f t="shared" si="129"/>
        <v>9.1833785004516724</v>
      </c>
      <c r="Q1191" s="16">
        <f t="shared" si="134"/>
        <v>43.780558500227102</v>
      </c>
      <c r="R1191" s="113">
        <f t="shared" si="130"/>
        <v>329.49099999999999</v>
      </c>
      <c r="S1191" s="16">
        <f>IF(S1190=15800,15800,ROUND((((Q1191*60)/'Gearing Calculator'!$C$14)*'Track Data'!P1191),-2))</f>
        <v>12200</v>
      </c>
      <c r="T1191" s="16">
        <f t="shared" si="132"/>
        <v>4.8209066787706405</v>
      </c>
      <c r="U1191" s="16">
        <f>IF(AC1191=100,Braking!$AG$2354,IF(AC1191=50,Braking!$AG$1179,IF(AC1191=75,Braking!$AG$1767,0)))</f>
        <v>0</v>
      </c>
      <c r="V1191" s="16">
        <f>0.5*'Gearing Calculator'!$C$15*'Gearing Calculator'!$C$20*'Gearing Calculator'!$W$20*('Track Data'!Q1191^2)</f>
        <v>202.8674761063169</v>
      </c>
      <c r="W1191" s="16">
        <f>('Gearing Calculator'!$U$9*'Track Data'!T1191)+'Track Data'!V1191</f>
        <v>1486.1928339950614</v>
      </c>
      <c r="X1191" s="16">
        <f>('Gearing Calculator'!$U$9*9.81)*('Gearing Calculator'!$U$16/'Gearing Calculator'!$C$7)-(('Track Data'!W1191)*('Gearing Calculator'!$U$17/'Gearing Calculator'!$C$7))</f>
        <v>591.0857078158931</v>
      </c>
      <c r="Y1191" s="16">
        <f>('Gearing Calculator'!$U$9*9.81)*(('Gearing Calculator'!$C$7-'Gearing Calculator'!$U$16)/'Gearing Calculator'!$C$7)+(('Track Data'!W1191)*('Gearing Calculator'!$U$17/'Gearing Calculator'!$C$7))</f>
        <v>2020.3362921841069</v>
      </c>
      <c r="Z1191" s="16">
        <f>((X1191*COS('Gearing Calculator'!$C$21))/'Gearing Calculator'!$C$22)/2</f>
        <v>18.274500640847798</v>
      </c>
      <c r="AA1191" s="16">
        <f>Y1191/'Gearing Calculator'!$C$24</f>
        <v>28.210670940130971</v>
      </c>
      <c r="AB1191" s="16">
        <f t="shared" si="128"/>
        <v>222.15110282139946</v>
      </c>
      <c r="AC1191" s="16">
        <v>0</v>
      </c>
      <c r="AD1191" s="16">
        <v>-45.249166535644598</v>
      </c>
      <c r="AE1191" s="16">
        <v>1188</v>
      </c>
      <c r="AF1191" s="16">
        <f>IF(AC1191=0,IF(O1191=6,INDEX(Acceleration!$V$4:$V$110,MATCH('Track Data'!S1191,Acceleration!$K$4:$K$110,0)),IF('Track Data'!O1191=5,INDEX(Acceleration!$U$4:$U$110,MATCH('Track Data'!S1191,Acceleration!$K$4:$K$110,0)),1)),U1191)</f>
        <v>1</v>
      </c>
      <c r="AG1191" s="16">
        <f>IF(AC1191=0,IF(O1191=4,INDEX(Acceleration!$T$4:$T$110,MATCH('Track Data'!S1191,Acceleration!$K$4:$K$110,0)),IF('Track Data'!O1191=3,INDEX(Acceleration!$S$4:$S$110,MATCH('Track Data'!S1191,Acceleration!$K$4:$K$110,0)),'Track Data'!AF1191)),'Track Data'!U1191)</f>
        <v>4.8209066787706405</v>
      </c>
      <c r="AH1191" s="16">
        <f>IF(AC1191=0,IF(O1191=2,INDEX(Acceleration!$R$4:$R$110,MATCH('Track Data'!S1191,Acceleration!$K$4:$K$110,0)),IF('Track Data'!O1191=1,INDEX(Acceleration!$Q$4:$Q$110,MATCH('Track Data'!S1191,Acceleration!$K$4:$K$110,0)),'Track Data'!AG1191)),'Track Data'!U1191)</f>
        <v>4.8209066787706405</v>
      </c>
    </row>
    <row r="1192" spans="2:34" x14ac:dyDescent="0.25">
      <c r="B1192" s="16">
        <v>229.11799999999999</v>
      </c>
      <c r="C1192" s="16">
        <v>8462</v>
      </c>
      <c r="D1192" s="16">
        <v>1189</v>
      </c>
      <c r="E1192" s="113">
        <v>136</v>
      </c>
      <c r="F1192" s="113">
        <v>128.69999999999999</v>
      </c>
      <c r="G1192" s="113">
        <v>118.9</v>
      </c>
      <c r="H1192" s="113">
        <f t="shared" si="131"/>
        <v>33.027777777777779</v>
      </c>
      <c r="I1192" s="113">
        <v>11.8</v>
      </c>
      <c r="J1192" s="113">
        <v>36.06</v>
      </c>
      <c r="K1192" s="113">
        <v>-49.3</v>
      </c>
      <c r="L1192" s="183"/>
      <c r="M1192" s="16">
        <v>1189</v>
      </c>
      <c r="N1192" s="16">
        <f t="shared" si="133"/>
        <v>2.2841188743510724E-2</v>
      </c>
      <c r="O1192" s="16">
        <v>4</v>
      </c>
      <c r="P1192" s="16">
        <f t="shared" si="129"/>
        <v>9.1833785004516724</v>
      </c>
      <c r="Q1192" s="16">
        <f t="shared" si="134"/>
        <v>43.780558500227102</v>
      </c>
      <c r="R1192" s="113">
        <f t="shared" si="130"/>
        <v>329.49099999999999</v>
      </c>
      <c r="S1192" s="16">
        <f>IF(S1191=15800,15800,ROUND((((Q1192*60)/'Gearing Calculator'!$C$14)*'Track Data'!P1192),-2))</f>
        <v>12200</v>
      </c>
      <c r="T1192" s="16">
        <f t="shared" si="132"/>
        <v>4.8209066787706405</v>
      </c>
      <c r="U1192" s="16">
        <f>IF(AC1192=100,Braking!$AG$2354,IF(AC1192=50,Braking!$AG$1179,IF(AC1192=75,Braking!$AG$1767,0)))</f>
        <v>0</v>
      </c>
      <c r="V1192" s="16">
        <f>0.5*'Gearing Calculator'!$C$15*'Gearing Calculator'!$C$20*'Gearing Calculator'!$W$20*('Track Data'!Q1192^2)</f>
        <v>202.8674761063169</v>
      </c>
      <c r="W1192" s="16">
        <f>('Gearing Calculator'!$U$9*'Track Data'!T1192)+'Track Data'!V1192</f>
        <v>1486.1928339950614</v>
      </c>
      <c r="X1192" s="16">
        <f>('Gearing Calculator'!$U$9*9.81)*('Gearing Calculator'!$U$16/'Gearing Calculator'!$C$7)-(('Track Data'!W1192)*('Gearing Calculator'!$U$17/'Gearing Calculator'!$C$7))</f>
        <v>591.0857078158931</v>
      </c>
      <c r="Y1192" s="16">
        <f>('Gearing Calculator'!$U$9*9.81)*(('Gearing Calculator'!$C$7-'Gearing Calculator'!$U$16)/'Gearing Calculator'!$C$7)+(('Track Data'!W1192)*('Gearing Calculator'!$U$17/'Gearing Calculator'!$C$7))</f>
        <v>2020.3362921841069</v>
      </c>
      <c r="Z1192" s="16">
        <f>((X1192*COS('Gearing Calculator'!$C$21))/'Gearing Calculator'!$C$22)/2</f>
        <v>18.274500640847798</v>
      </c>
      <c r="AA1192" s="16">
        <f>Y1192/'Gearing Calculator'!$C$24</f>
        <v>28.210670940130971</v>
      </c>
      <c r="AB1192" s="16">
        <f t="shared" si="128"/>
        <v>222.15110282139946</v>
      </c>
      <c r="AC1192" s="16">
        <v>0</v>
      </c>
      <c r="AD1192" s="16">
        <v>-45.249166535644598</v>
      </c>
      <c r="AE1192" s="16">
        <v>1189</v>
      </c>
      <c r="AF1192" s="16">
        <f>IF(AC1192=0,IF(O1192=6,INDEX(Acceleration!$V$4:$V$110,MATCH('Track Data'!S1192,Acceleration!$K$4:$K$110,0)),IF('Track Data'!O1192=5,INDEX(Acceleration!$U$4:$U$110,MATCH('Track Data'!S1192,Acceleration!$K$4:$K$110,0)),1)),U1192)</f>
        <v>1</v>
      </c>
      <c r="AG1192" s="16">
        <f>IF(AC1192=0,IF(O1192=4,INDEX(Acceleration!$T$4:$T$110,MATCH('Track Data'!S1192,Acceleration!$K$4:$K$110,0)),IF('Track Data'!O1192=3,INDEX(Acceleration!$S$4:$S$110,MATCH('Track Data'!S1192,Acceleration!$K$4:$K$110,0)),'Track Data'!AF1192)),'Track Data'!U1192)</f>
        <v>4.8209066787706405</v>
      </c>
      <c r="AH1192" s="16">
        <f>IF(AC1192=0,IF(O1192=2,INDEX(Acceleration!$R$4:$R$110,MATCH('Track Data'!S1192,Acceleration!$K$4:$K$110,0)),IF('Track Data'!O1192=1,INDEX(Acceleration!$Q$4:$Q$110,MATCH('Track Data'!S1192,Acceleration!$K$4:$K$110,0)),'Track Data'!AG1192)),'Track Data'!U1192)</f>
        <v>4.8209066787706405</v>
      </c>
    </row>
    <row r="1193" spans="2:34" x14ac:dyDescent="0.25">
      <c r="B1193" s="16">
        <v>229.14599999999999</v>
      </c>
      <c r="C1193" s="16">
        <v>8463</v>
      </c>
      <c r="D1193" s="16">
        <v>1190</v>
      </c>
      <c r="E1193" s="113">
        <v>137</v>
      </c>
      <c r="F1193" s="113">
        <v>129</v>
      </c>
      <c r="G1193" s="113">
        <v>119.3</v>
      </c>
      <c r="H1193" s="113">
        <f t="shared" si="131"/>
        <v>33.138888888888886</v>
      </c>
      <c r="I1193" s="113">
        <v>12.7</v>
      </c>
      <c r="J1193" s="113">
        <v>35.97</v>
      </c>
      <c r="K1193" s="113">
        <v>-39.6</v>
      </c>
      <c r="L1193" s="183"/>
      <c r="M1193" s="16">
        <v>1190</v>
      </c>
      <c r="N1193" s="16">
        <f t="shared" si="133"/>
        <v>2.2841188743510724E-2</v>
      </c>
      <c r="O1193" s="16">
        <v>4</v>
      </c>
      <c r="P1193" s="16">
        <f t="shared" si="129"/>
        <v>9.1833785004516724</v>
      </c>
      <c r="Q1193" s="16">
        <f t="shared" si="134"/>
        <v>43.780558500227102</v>
      </c>
      <c r="R1193" s="113">
        <f t="shared" si="130"/>
        <v>329.49099999999999</v>
      </c>
      <c r="S1193" s="16">
        <f>IF(S1192=15800,15800,ROUND((((Q1193*60)/'Gearing Calculator'!$C$14)*'Track Data'!P1193),-2))</f>
        <v>12200</v>
      </c>
      <c r="T1193" s="16">
        <f t="shared" si="132"/>
        <v>4.8209066787706405</v>
      </c>
      <c r="U1193" s="16">
        <f>IF(AC1193=100,Braking!$AG$2354,IF(AC1193=50,Braking!$AG$1179,IF(AC1193=75,Braking!$AG$1767,0)))</f>
        <v>0</v>
      </c>
      <c r="V1193" s="16">
        <f>0.5*'Gearing Calculator'!$C$15*'Gearing Calculator'!$C$20*'Gearing Calculator'!$W$20*('Track Data'!Q1193^2)</f>
        <v>202.8674761063169</v>
      </c>
      <c r="W1193" s="16">
        <f>('Gearing Calculator'!$U$9*'Track Data'!T1193)+'Track Data'!V1193</f>
        <v>1486.1928339950614</v>
      </c>
      <c r="X1193" s="16">
        <f>('Gearing Calculator'!$U$9*9.81)*('Gearing Calculator'!$U$16/'Gearing Calculator'!$C$7)-(('Track Data'!W1193)*('Gearing Calculator'!$U$17/'Gearing Calculator'!$C$7))</f>
        <v>591.0857078158931</v>
      </c>
      <c r="Y1193" s="16">
        <f>('Gearing Calculator'!$U$9*9.81)*(('Gearing Calculator'!$C$7-'Gearing Calculator'!$U$16)/'Gearing Calculator'!$C$7)+(('Track Data'!W1193)*('Gearing Calculator'!$U$17/'Gearing Calculator'!$C$7))</f>
        <v>2020.3362921841069</v>
      </c>
      <c r="Z1193" s="16">
        <f>((X1193*COS('Gearing Calculator'!$C$21))/'Gearing Calculator'!$C$22)/2</f>
        <v>18.274500640847798</v>
      </c>
      <c r="AA1193" s="16">
        <f>Y1193/'Gearing Calculator'!$C$24</f>
        <v>28.210670940130971</v>
      </c>
      <c r="AB1193" s="16">
        <f t="shared" si="128"/>
        <v>222.15110282139946</v>
      </c>
      <c r="AC1193" s="16">
        <v>0</v>
      </c>
      <c r="AD1193" s="16">
        <v>-45.249166535644598</v>
      </c>
      <c r="AE1193" s="16">
        <v>1190</v>
      </c>
      <c r="AF1193" s="16">
        <f>IF(AC1193=0,IF(O1193=6,INDEX(Acceleration!$V$4:$V$110,MATCH('Track Data'!S1193,Acceleration!$K$4:$K$110,0)),IF('Track Data'!O1193=5,INDEX(Acceleration!$U$4:$U$110,MATCH('Track Data'!S1193,Acceleration!$K$4:$K$110,0)),1)),U1193)</f>
        <v>1</v>
      </c>
      <c r="AG1193" s="16">
        <f>IF(AC1193=0,IF(O1193=4,INDEX(Acceleration!$T$4:$T$110,MATCH('Track Data'!S1193,Acceleration!$K$4:$K$110,0)),IF('Track Data'!O1193=3,INDEX(Acceleration!$S$4:$S$110,MATCH('Track Data'!S1193,Acceleration!$K$4:$K$110,0)),'Track Data'!AF1193)),'Track Data'!U1193)</f>
        <v>4.8209066787706405</v>
      </c>
      <c r="AH1193" s="16">
        <f>IF(AC1193=0,IF(O1193=2,INDEX(Acceleration!$R$4:$R$110,MATCH('Track Data'!S1193,Acceleration!$K$4:$K$110,0)),IF('Track Data'!O1193=1,INDEX(Acceleration!$Q$4:$Q$110,MATCH('Track Data'!S1193,Acceleration!$K$4:$K$110,0)),'Track Data'!AG1193)),'Track Data'!U1193)</f>
        <v>4.8209066787706405</v>
      </c>
    </row>
    <row r="1194" spans="2:34" x14ac:dyDescent="0.25">
      <c r="B1194" s="16">
        <v>229.17400000000001</v>
      </c>
      <c r="C1194" s="16">
        <v>8464</v>
      </c>
      <c r="D1194" s="16">
        <v>1191</v>
      </c>
      <c r="E1194" s="113">
        <v>137</v>
      </c>
      <c r="F1194" s="113">
        <v>129.30000000000001</v>
      </c>
      <c r="G1194" s="113">
        <v>119.7</v>
      </c>
      <c r="H1194" s="113">
        <f t="shared" si="131"/>
        <v>33.25</v>
      </c>
      <c r="I1194" s="113">
        <v>13.5</v>
      </c>
      <c r="J1194" s="113">
        <v>36.74</v>
      </c>
      <c r="K1194" s="113">
        <v>-27.7</v>
      </c>
      <c r="L1194" s="183"/>
      <c r="M1194" s="16">
        <v>1191</v>
      </c>
      <c r="N1194" s="16">
        <f t="shared" si="133"/>
        <v>2.2841188743510724E-2</v>
      </c>
      <c r="O1194" s="16">
        <v>4</v>
      </c>
      <c r="P1194" s="16">
        <f t="shared" si="129"/>
        <v>9.1833785004516724</v>
      </c>
      <c r="Q1194" s="16">
        <f t="shared" si="134"/>
        <v>43.780558500227102</v>
      </c>
      <c r="R1194" s="113">
        <f t="shared" si="130"/>
        <v>329.49099999999999</v>
      </c>
      <c r="S1194" s="16">
        <f>IF(S1193=15800,15800,ROUND((((Q1194*60)/'Gearing Calculator'!$C$14)*'Track Data'!P1194),-2))</f>
        <v>12200</v>
      </c>
      <c r="T1194" s="16">
        <f t="shared" si="132"/>
        <v>4.8209066787706405</v>
      </c>
      <c r="U1194" s="16">
        <f>IF(AC1194=100,Braking!$AG$2354,IF(AC1194=50,Braking!$AG$1179,IF(AC1194=75,Braking!$AG$1767,0)))</f>
        <v>0</v>
      </c>
      <c r="V1194" s="16">
        <f>0.5*'Gearing Calculator'!$C$15*'Gearing Calculator'!$C$20*'Gearing Calculator'!$W$20*('Track Data'!Q1194^2)</f>
        <v>202.8674761063169</v>
      </c>
      <c r="W1194" s="16">
        <f>('Gearing Calculator'!$U$9*'Track Data'!T1194)+'Track Data'!V1194</f>
        <v>1486.1928339950614</v>
      </c>
      <c r="X1194" s="16">
        <f>('Gearing Calculator'!$U$9*9.81)*('Gearing Calculator'!$U$16/'Gearing Calculator'!$C$7)-(('Track Data'!W1194)*('Gearing Calculator'!$U$17/'Gearing Calculator'!$C$7))</f>
        <v>591.0857078158931</v>
      </c>
      <c r="Y1194" s="16">
        <f>('Gearing Calculator'!$U$9*9.81)*(('Gearing Calculator'!$C$7-'Gearing Calculator'!$U$16)/'Gearing Calculator'!$C$7)+(('Track Data'!W1194)*('Gearing Calculator'!$U$17/'Gearing Calculator'!$C$7))</f>
        <v>2020.3362921841069</v>
      </c>
      <c r="Z1194" s="16">
        <f>((X1194*COS('Gearing Calculator'!$C$21))/'Gearing Calculator'!$C$22)/2</f>
        <v>18.274500640847798</v>
      </c>
      <c r="AA1194" s="16">
        <f>Y1194/'Gearing Calculator'!$C$24</f>
        <v>28.210670940130971</v>
      </c>
      <c r="AB1194" s="16">
        <f t="shared" si="128"/>
        <v>222.15110282139946</v>
      </c>
      <c r="AC1194" s="16">
        <v>0</v>
      </c>
      <c r="AD1194" s="16">
        <v>-45.249166535644598</v>
      </c>
      <c r="AE1194" s="16">
        <v>1191</v>
      </c>
      <c r="AF1194" s="16">
        <f>IF(AC1194=0,IF(O1194=6,INDEX(Acceleration!$V$4:$V$110,MATCH('Track Data'!S1194,Acceleration!$K$4:$K$110,0)),IF('Track Data'!O1194=5,INDEX(Acceleration!$U$4:$U$110,MATCH('Track Data'!S1194,Acceleration!$K$4:$K$110,0)),1)),U1194)</f>
        <v>1</v>
      </c>
      <c r="AG1194" s="16">
        <f>IF(AC1194=0,IF(O1194=4,INDEX(Acceleration!$T$4:$T$110,MATCH('Track Data'!S1194,Acceleration!$K$4:$K$110,0)),IF('Track Data'!O1194=3,INDEX(Acceleration!$S$4:$S$110,MATCH('Track Data'!S1194,Acceleration!$K$4:$K$110,0)),'Track Data'!AF1194)),'Track Data'!U1194)</f>
        <v>4.8209066787706405</v>
      </c>
      <c r="AH1194" s="16">
        <f>IF(AC1194=0,IF(O1194=2,INDEX(Acceleration!$R$4:$R$110,MATCH('Track Data'!S1194,Acceleration!$K$4:$K$110,0)),IF('Track Data'!O1194=1,INDEX(Acceleration!$Q$4:$Q$110,MATCH('Track Data'!S1194,Acceleration!$K$4:$K$110,0)),'Track Data'!AG1194)),'Track Data'!U1194)</f>
        <v>4.8209066787706405</v>
      </c>
    </row>
    <row r="1195" spans="2:34" x14ac:dyDescent="0.25">
      <c r="B1195" s="16">
        <v>229.20099999999999</v>
      </c>
      <c r="C1195" s="16">
        <v>8465</v>
      </c>
      <c r="D1195" s="16">
        <v>1192</v>
      </c>
      <c r="E1195" s="113">
        <v>137</v>
      </c>
      <c r="F1195" s="113">
        <v>129.6</v>
      </c>
      <c r="G1195" s="113">
        <v>120.1</v>
      </c>
      <c r="H1195" s="113">
        <f t="shared" si="131"/>
        <v>33.361111111111107</v>
      </c>
      <c r="I1195" s="113">
        <v>14.3</v>
      </c>
      <c r="J1195" s="113">
        <v>35.270000000000003</v>
      </c>
      <c r="K1195" s="113">
        <v>-18.899999999999999</v>
      </c>
      <c r="L1195" s="183"/>
      <c r="M1195" s="16">
        <v>1192</v>
      </c>
      <c r="N1195" s="16">
        <f t="shared" si="133"/>
        <v>2.2841188743510724E-2</v>
      </c>
      <c r="O1195" s="16">
        <v>4</v>
      </c>
      <c r="P1195" s="16">
        <f t="shared" si="129"/>
        <v>9.1833785004516724</v>
      </c>
      <c r="Q1195" s="16">
        <f t="shared" si="134"/>
        <v>43.780558500227102</v>
      </c>
      <c r="R1195" s="113">
        <f t="shared" si="130"/>
        <v>329.49099999999999</v>
      </c>
      <c r="S1195" s="16">
        <f>IF(S1194=15800,15800,ROUND((((Q1195*60)/'Gearing Calculator'!$C$14)*'Track Data'!P1195),-2))</f>
        <v>12200</v>
      </c>
      <c r="T1195" s="16">
        <f t="shared" si="132"/>
        <v>4.8209066787706405</v>
      </c>
      <c r="U1195" s="16">
        <f>IF(AC1195=100,Braking!$AG$2354,IF(AC1195=50,Braking!$AG$1179,IF(AC1195=75,Braking!$AG$1767,0)))</f>
        <v>0</v>
      </c>
      <c r="V1195" s="16">
        <f>0.5*'Gearing Calculator'!$C$15*'Gearing Calculator'!$C$20*'Gearing Calculator'!$W$20*('Track Data'!Q1195^2)</f>
        <v>202.8674761063169</v>
      </c>
      <c r="W1195" s="16">
        <f>('Gearing Calculator'!$U$9*'Track Data'!T1195)+'Track Data'!V1195</f>
        <v>1486.1928339950614</v>
      </c>
      <c r="X1195" s="16">
        <f>('Gearing Calculator'!$U$9*9.81)*('Gearing Calculator'!$U$16/'Gearing Calculator'!$C$7)-(('Track Data'!W1195)*('Gearing Calculator'!$U$17/'Gearing Calculator'!$C$7))</f>
        <v>591.0857078158931</v>
      </c>
      <c r="Y1195" s="16">
        <f>('Gearing Calculator'!$U$9*9.81)*(('Gearing Calculator'!$C$7-'Gearing Calculator'!$U$16)/'Gearing Calculator'!$C$7)+(('Track Data'!W1195)*('Gearing Calculator'!$U$17/'Gearing Calculator'!$C$7))</f>
        <v>2020.3362921841069</v>
      </c>
      <c r="Z1195" s="16">
        <f>((X1195*COS('Gearing Calculator'!$C$21))/'Gearing Calculator'!$C$22)/2</f>
        <v>18.274500640847798</v>
      </c>
      <c r="AA1195" s="16">
        <f>Y1195/'Gearing Calculator'!$C$24</f>
        <v>28.210670940130971</v>
      </c>
      <c r="AB1195" s="16">
        <f t="shared" si="128"/>
        <v>222.15110282139946</v>
      </c>
      <c r="AC1195" s="16">
        <v>0</v>
      </c>
      <c r="AD1195" s="16">
        <v>-45.249166535644598</v>
      </c>
      <c r="AE1195" s="16">
        <v>1192</v>
      </c>
      <c r="AF1195" s="16">
        <f>IF(AC1195=0,IF(O1195=6,INDEX(Acceleration!$V$4:$V$110,MATCH('Track Data'!S1195,Acceleration!$K$4:$K$110,0)),IF('Track Data'!O1195=5,INDEX(Acceleration!$U$4:$U$110,MATCH('Track Data'!S1195,Acceleration!$K$4:$K$110,0)),1)),U1195)</f>
        <v>1</v>
      </c>
      <c r="AG1195" s="16">
        <f>IF(AC1195=0,IF(O1195=4,INDEX(Acceleration!$T$4:$T$110,MATCH('Track Data'!S1195,Acceleration!$K$4:$K$110,0)),IF('Track Data'!O1195=3,INDEX(Acceleration!$S$4:$S$110,MATCH('Track Data'!S1195,Acceleration!$K$4:$K$110,0)),'Track Data'!AF1195)),'Track Data'!U1195)</f>
        <v>4.8209066787706405</v>
      </c>
      <c r="AH1195" s="16">
        <f>IF(AC1195=0,IF(O1195=2,INDEX(Acceleration!$R$4:$R$110,MATCH('Track Data'!S1195,Acceleration!$K$4:$K$110,0)),IF('Track Data'!O1195=1,INDEX(Acceleration!$Q$4:$Q$110,MATCH('Track Data'!S1195,Acceleration!$K$4:$K$110,0)),'Track Data'!AG1195)),'Track Data'!U1195)</f>
        <v>4.8209066787706405</v>
      </c>
    </row>
    <row r="1196" spans="2:34" x14ac:dyDescent="0.25">
      <c r="B1196" s="16">
        <v>229.22900000000001</v>
      </c>
      <c r="C1196" s="16">
        <v>8466</v>
      </c>
      <c r="D1196" s="16">
        <v>1193</v>
      </c>
      <c r="E1196" s="113">
        <v>138</v>
      </c>
      <c r="F1196" s="113">
        <v>129.69999999999999</v>
      </c>
      <c r="G1196" s="113">
        <v>120.4</v>
      </c>
      <c r="H1196" s="113">
        <f t="shared" si="131"/>
        <v>33.444444444444443</v>
      </c>
      <c r="I1196" s="113">
        <v>14.8</v>
      </c>
      <c r="J1196" s="113">
        <v>35.380000000000003</v>
      </c>
      <c r="K1196" s="113">
        <v>-27.7</v>
      </c>
      <c r="L1196" s="183"/>
      <c r="M1196" s="16">
        <v>1193</v>
      </c>
      <c r="N1196" s="16">
        <f t="shared" si="133"/>
        <v>2.2841188743510724E-2</v>
      </c>
      <c r="O1196" s="16">
        <v>4</v>
      </c>
      <c r="P1196" s="16">
        <f t="shared" si="129"/>
        <v>9.1833785004516724</v>
      </c>
      <c r="Q1196" s="16">
        <f t="shared" si="134"/>
        <v>43.780558500227102</v>
      </c>
      <c r="R1196" s="113">
        <f t="shared" si="130"/>
        <v>329.49099999999999</v>
      </c>
      <c r="S1196" s="16">
        <f>IF(S1195=15800,15800,ROUND((((Q1196*60)/'Gearing Calculator'!$C$14)*'Track Data'!P1196),-2))</f>
        <v>12200</v>
      </c>
      <c r="T1196" s="16">
        <f t="shared" si="132"/>
        <v>4.8209066787706405</v>
      </c>
      <c r="U1196" s="16">
        <f>IF(AC1196=100,Braking!$AG$2354,IF(AC1196=50,Braking!$AG$1179,IF(AC1196=75,Braking!$AG$1767,0)))</f>
        <v>0</v>
      </c>
      <c r="V1196" s="16">
        <f>0.5*'Gearing Calculator'!$C$15*'Gearing Calculator'!$C$20*'Gearing Calculator'!$W$20*('Track Data'!Q1196^2)</f>
        <v>202.8674761063169</v>
      </c>
      <c r="W1196" s="16">
        <f>('Gearing Calculator'!$U$9*'Track Data'!T1196)+'Track Data'!V1196</f>
        <v>1486.1928339950614</v>
      </c>
      <c r="X1196" s="16">
        <f>('Gearing Calculator'!$U$9*9.81)*('Gearing Calculator'!$U$16/'Gearing Calculator'!$C$7)-(('Track Data'!W1196)*('Gearing Calculator'!$U$17/'Gearing Calculator'!$C$7))</f>
        <v>591.0857078158931</v>
      </c>
      <c r="Y1196" s="16">
        <f>('Gearing Calculator'!$U$9*9.81)*(('Gearing Calculator'!$C$7-'Gearing Calculator'!$U$16)/'Gearing Calculator'!$C$7)+(('Track Data'!W1196)*('Gearing Calculator'!$U$17/'Gearing Calculator'!$C$7))</f>
        <v>2020.3362921841069</v>
      </c>
      <c r="Z1196" s="16">
        <f>((X1196*COS('Gearing Calculator'!$C$21))/'Gearing Calculator'!$C$22)/2</f>
        <v>18.274500640847798</v>
      </c>
      <c r="AA1196" s="16">
        <f>Y1196/'Gearing Calculator'!$C$24</f>
        <v>28.210670940130971</v>
      </c>
      <c r="AB1196" s="16">
        <f t="shared" si="128"/>
        <v>222.15110282139946</v>
      </c>
      <c r="AC1196" s="16">
        <v>0</v>
      </c>
      <c r="AD1196" s="16">
        <v>-45.249166535644598</v>
      </c>
      <c r="AE1196" s="16">
        <v>1193</v>
      </c>
      <c r="AF1196" s="16">
        <f>IF(AC1196=0,IF(O1196=6,INDEX(Acceleration!$V$4:$V$110,MATCH('Track Data'!S1196,Acceleration!$K$4:$K$110,0)),IF('Track Data'!O1196=5,INDEX(Acceleration!$U$4:$U$110,MATCH('Track Data'!S1196,Acceleration!$K$4:$K$110,0)),1)),U1196)</f>
        <v>1</v>
      </c>
      <c r="AG1196" s="16">
        <f>IF(AC1196=0,IF(O1196=4,INDEX(Acceleration!$T$4:$T$110,MATCH('Track Data'!S1196,Acceleration!$K$4:$K$110,0)),IF('Track Data'!O1196=3,INDEX(Acceleration!$S$4:$S$110,MATCH('Track Data'!S1196,Acceleration!$K$4:$K$110,0)),'Track Data'!AF1196)),'Track Data'!U1196)</f>
        <v>4.8209066787706405</v>
      </c>
      <c r="AH1196" s="16">
        <f>IF(AC1196=0,IF(O1196=2,INDEX(Acceleration!$R$4:$R$110,MATCH('Track Data'!S1196,Acceleration!$K$4:$K$110,0)),IF('Track Data'!O1196=1,INDEX(Acceleration!$Q$4:$Q$110,MATCH('Track Data'!S1196,Acceleration!$K$4:$K$110,0)),'Track Data'!AG1196)),'Track Data'!U1196)</f>
        <v>4.8209066787706405</v>
      </c>
    </row>
    <row r="1197" spans="2:34" x14ac:dyDescent="0.25">
      <c r="B1197" s="16">
        <v>229.25700000000001</v>
      </c>
      <c r="C1197" s="16">
        <v>8467</v>
      </c>
      <c r="D1197" s="16">
        <v>1194</v>
      </c>
      <c r="E1197" s="113">
        <v>138</v>
      </c>
      <c r="F1197" s="113">
        <v>129.9</v>
      </c>
      <c r="G1197" s="113">
        <v>120.8</v>
      </c>
      <c r="H1197" s="113">
        <f t="shared" si="131"/>
        <v>33.555555555555557</v>
      </c>
      <c r="I1197" s="113">
        <v>14.9</v>
      </c>
      <c r="J1197" s="113">
        <v>35.479999999999997</v>
      </c>
      <c r="K1197" s="113">
        <v>-41.1</v>
      </c>
      <c r="L1197" s="183"/>
      <c r="M1197" s="16">
        <v>1194</v>
      </c>
      <c r="N1197" s="16">
        <f t="shared" si="133"/>
        <v>2.2841188743510724E-2</v>
      </c>
      <c r="O1197" s="16">
        <v>4</v>
      </c>
      <c r="P1197" s="16">
        <f t="shared" si="129"/>
        <v>9.1833785004516724</v>
      </c>
      <c r="Q1197" s="16">
        <f t="shared" si="134"/>
        <v>43.780558500227102</v>
      </c>
      <c r="R1197" s="113">
        <f t="shared" si="130"/>
        <v>329.49099999999999</v>
      </c>
      <c r="S1197" s="16">
        <f>IF(S1196=15800,15800,ROUND((((Q1197*60)/'Gearing Calculator'!$C$14)*'Track Data'!P1197),-2))</f>
        <v>12200</v>
      </c>
      <c r="T1197" s="16">
        <f t="shared" si="132"/>
        <v>4.8209066787706405</v>
      </c>
      <c r="U1197" s="16">
        <f>IF(AC1197=100,Braking!$AG$2354,IF(AC1197=50,Braking!$AG$1179,IF(AC1197=75,Braking!$AG$1767,0)))</f>
        <v>0</v>
      </c>
      <c r="V1197" s="16">
        <f>0.5*'Gearing Calculator'!$C$15*'Gearing Calculator'!$C$20*'Gearing Calculator'!$W$20*('Track Data'!Q1197^2)</f>
        <v>202.8674761063169</v>
      </c>
      <c r="W1197" s="16">
        <f>('Gearing Calculator'!$U$9*'Track Data'!T1197)+'Track Data'!V1197</f>
        <v>1486.1928339950614</v>
      </c>
      <c r="X1197" s="16">
        <f>('Gearing Calculator'!$U$9*9.81)*('Gearing Calculator'!$U$16/'Gearing Calculator'!$C$7)-(('Track Data'!W1197)*('Gearing Calculator'!$U$17/'Gearing Calculator'!$C$7))</f>
        <v>591.0857078158931</v>
      </c>
      <c r="Y1197" s="16">
        <f>('Gearing Calculator'!$U$9*9.81)*(('Gearing Calculator'!$C$7-'Gearing Calculator'!$U$16)/'Gearing Calculator'!$C$7)+(('Track Data'!W1197)*('Gearing Calculator'!$U$17/'Gearing Calculator'!$C$7))</f>
        <v>2020.3362921841069</v>
      </c>
      <c r="Z1197" s="16">
        <f>((X1197*COS('Gearing Calculator'!$C$21))/'Gearing Calculator'!$C$22)/2</f>
        <v>18.274500640847798</v>
      </c>
      <c r="AA1197" s="16">
        <f>Y1197/'Gearing Calculator'!$C$24</f>
        <v>28.210670940130971</v>
      </c>
      <c r="AB1197" s="16">
        <f t="shared" si="128"/>
        <v>222.15110282139946</v>
      </c>
      <c r="AC1197" s="16">
        <v>0</v>
      </c>
      <c r="AD1197" s="16">
        <v>-45.249166535644598</v>
      </c>
      <c r="AE1197" s="16">
        <v>1194</v>
      </c>
      <c r="AF1197" s="16">
        <f>IF(AC1197=0,IF(O1197=6,INDEX(Acceleration!$V$4:$V$110,MATCH('Track Data'!S1197,Acceleration!$K$4:$K$110,0)),IF('Track Data'!O1197=5,INDEX(Acceleration!$U$4:$U$110,MATCH('Track Data'!S1197,Acceleration!$K$4:$K$110,0)),1)),U1197)</f>
        <v>1</v>
      </c>
      <c r="AG1197" s="16">
        <f>IF(AC1197=0,IF(O1197=4,INDEX(Acceleration!$T$4:$T$110,MATCH('Track Data'!S1197,Acceleration!$K$4:$K$110,0)),IF('Track Data'!O1197=3,INDEX(Acceleration!$S$4:$S$110,MATCH('Track Data'!S1197,Acceleration!$K$4:$K$110,0)),'Track Data'!AF1197)),'Track Data'!U1197)</f>
        <v>4.8209066787706405</v>
      </c>
      <c r="AH1197" s="16">
        <f>IF(AC1197=0,IF(O1197=2,INDEX(Acceleration!$R$4:$R$110,MATCH('Track Data'!S1197,Acceleration!$K$4:$K$110,0)),IF('Track Data'!O1197=1,INDEX(Acceleration!$Q$4:$Q$110,MATCH('Track Data'!S1197,Acceleration!$K$4:$K$110,0)),'Track Data'!AG1197)),'Track Data'!U1197)</f>
        <v>4.8209066787706405</v>
      </c>
    </row>
    <row r="1198" spans="2:34" x14ac:dyDescent="0.25">
      <c r="B1198" s="16">
        <v>229.28399999999999</v>
      </c>
      <c r="C1198" s="16">
        <v>8468</v>
      </c>
      <c r="D1198" s="16">
        <v>1195</v>
      </c>
      <c r="E1198" s="113">
        <v>138</v>
      </c>
      <c r="F1198" s="113">
        <v>130</v>
      </c>
      <c r="G1198" s="113">
        <v>121.4</v>
      </c>
      <c r="H1198" s="113">
        <f t="shared" si="131"/>
        <v>33.722222222222221</v>
      </c>
      <c r="I1198" s="113">
        <v>15.2</v>
      </c>
      <c r="J1198" s="113">
        <v>33.93</v>
      </c>
      <c r="K1198" s="113">
        <v>-52.8</v>
      </c>
      <c r="L1198" s="183"/>
      <c r="M1198" s="16">
        <v>1195</v>
      </c>
      <c r="N1198" s="16">
        <f t="shared" si="133"/>
        <v>2.2841188743510724E-2</v>
      </c>
      <c r="O1198" s="16">
        <v>4</v>
      </c>
      <c r="P1198" s="16">
        <f t="shared" si="129"/>
        <v>9.1833785004516724</v>
      </c>
      <c r="Q1198" s="16">
        <f t="shared" si="134"/>
        <v>43.780558500227102</v>
      </c>
      <c r="R1198" s="113">
        <f t="shared" si="130"/>
        <v>329.49099999999999</v>
      </c>
      <c r="S1198" s="16">
        <f>IF(S1197=15800,15800,ROUND((((Q1198*60)/'Gearing Calculator'!$C$14)*'Track Data'!P1198),-2))</f>
        <v>12200</v>
      </c>
      <c r="T1198" s="16">
        <f t="shared" si="132"/>
        <v>4.8209066787706405</v>
      </c>
      <c r="U1198" s="16">
        <f>IF(AC1198=100,Braking!$AG$2354,IF(AC1198=50,Braking!$AG$1179,IF(AC1198=75,Braking!$AG$1767,0)))</f>
        <v>0</v>
      </c>
      <c r="V1198" s="16">
        <f>0.5*'Gearing Calculator'!$C$15*'Gearing Calculator'!$C$20*'Gearing Calculator'!$W$20*('Track Data'!Q1198^2)</f>
        <v>202.8674761063169</v>
      </c>
      <c r="W1198" s="16">
        <f>('Gearing Calculator'!$U$9*'Track Data'!T1198)+'Track Data'!V1198</f>
        <v>1486.1928339950614</v>
      </c>
      <c r="X1198" s="16">
        <f>('Gearing Calculator'!$U$9*9.81)*('Gearing Calculator'!$U$16/'Gearing Calculator'!$C$7)-(('Track Data'!W1198)*('Gearing Calculator'!$U$17/'Gearing Calculator'!$C$7))</f>
        <v>591.0857078158931</v>
      </c>
      <c r="Y1198" s="16">
        <f>('Gearing Calculator'!$U$9*9.81)*(('Gearing Calculator'!$C$7-'Gearing Calculator'!$U$16)/'Gearing Calculator'!$C$7)+(('Track Data'!W1198)*('Gearing Calculator'!$U$17/'Gearing Calculator'!$C$7))</f>
        <v>2020.3362921841069</v>
      </c>
      <c r="Z1198" s="16">
        <f>((X1198*COS('Gearing Calculator'!$C$21))/'Gearing Calculator'!$C$22)/2</f>
        <v>18.274500640847798</v>
      </c>
      <c r="AA1198" s="16">
        <f>Y1198/'Gearing Calculator'!$C$24</f>
        <v>28.210670940130971</v>
      </c>
      <c r="AB1198" s="16">
        <f t="shared" si="128"/>
        <v>222.15110282139946</v>
      </c>
      <c r="AC1198" s="16">
        <v>0</v>
      </c>
      <c r="AD1198" s="16">
        <v>-45.249166535644598</v>
      </c>
      <c r="AE1198" s="16">
        <v>1195</v>
      </c>
      <c r="AF1198" s="16">
        <f>IF(AC1198=0,IF(O1198=6,INDEX(Acceleration!$V$4:$V$110,MATCH('Track Data'!S1198,Acceleration!$K$4:$K$110,0)),IF('Track Data'!O1198=5,INDEX(Acceleration!$U$4:$U$110,MATCH('Track Data'!S1198,Acceleration!$K$4:$K$110,0)),1)),U1198)</f>
        <v>1</v>
      </c>
      <c r="AG1198" s="16">
        <f>IF(AC1198=0,IF(O1198=4,INDEX(Acceleration!$T$4:$T$110,MATCH('Track Data'!S1198,Acceleration!$K$4:$K$110,0)),IF('Track Data'!O1198=3,INDEX(Acceleration!$S$4:$S$110,MATCH('Track Data'!S1198,Acceleration!$K$4:$K$110,0)),'Track Data'!AF1198)),'Track Data'!U1198)</f>
        <v>4.8209066787706405</v>
      </c>
      <c r="AH1198" s="16">
        <f>IF(AC1198=0,IF(O1198=2,INDEX(Acceleration!$R$4:$R$110,MATCH('Track Data'!S1198,Acceleration!$K$4:$K$110,0)),IF('Track Data'!O1198=1,INDEX(Acceleration!$Q$4:$Q$110,MATCH('Track Data'!S1198,Acceleration!$K$4:$K$110,0)),'Track Data'!AG1198)),'Track Data'!U1198)</f>
        <v>4.8209066787706405</v>
      </c>
    </row>
    <row r="1199" spans="2:34" x14ac:dyDescent="0.25">
      <c r="B1199" s="16">
        <v>229.31200000000001</v>
      </c>
      <c r="C1199" s="16">
        <v>8469</v>
      </c>
      <c r="D1199" s="16">
        <v>1196</v>
      </c>
      <c r="E1199" s="113">
        <v>139</v>
      </c>
      <c r="F1199" s="113">
        <v>130.30000000000001</v>
      </c>
      <c r="G1199" s="113">
        <v>121.9</v>
      </c>
      <c r="H1199" s="113">
        <f t="shared" si="131"/>
        <v>33.861111111111114</v>
      </c>
      <c r="I1199" s="113">
        <v>14.7</v>
      </c>
      <c r="J1199" s="113">
        <v>30.68</v>
      </c>
      <c r="K1199" s="113">
        <v>-53</v>
      </c>
      <c r="L1199" s="183"/>
      <c r="M1199" s="16">
        <v>1196</v>
      </c>
      <c r="N1199" s="16">
        <f t="shared" si="133"/>
        <v>2.2841188743510724E-2</v>
      </c>
      <c r="O1199" s="16">
        <v>4</v>
      </c>
      <c r="P1199" s="16">
        <f t="shared" si="129"/>
        <v>9.1833785004516724</v>
      </c>
      <c r="Q1199" s="16">
        <f t="shared" si="134"/>
        <v>43.780558500227102</v>
      </c>
      <c r="R1199" s="113">
        <f t="shared" si="130"/>
        <v>329.49099999999999</v>
      </c>
      <c r="S1199" s="16">
        <f>IF(S1198=15800,15800,ROUND((((Q1199*60)/'Gearing Calculator'!$C$14)*'Track Data'!P1199),-2))</f>
        <v>12200</v>
      </c>
      <c r="T1199" s="16">
        <f t="shared" si="132"/>
        <v>4.8209066787706405</v>
      </c>
      <c r="U1199" s="16">
        <f>IF(AC1199=100,Braking!$AG$2354,IF(AC1199=50,Braking!$AG$1179,IF(AC1199=75,Braking!$AG$1767,0)))</f>
        <v>0</v>
      </c>
      <c r="V1199" s="16">
        <f>0.5*'Gearing Calculator'!$C$15*'Gearing Calculator'!$C$20*'Gearing Calculator'!$W$20*('Track Data'!Q1199^2)</f>
        <v>202.8674761063169</v>
      </c>
      <c r="W1199" s="16">
        <f>('Gearing Calculator'!$U$9*'Track Data'!T1199)+'Track Data'!V1199</f>
        <v>1486.1928339950614</v>
      </c>
      <c r="X1199" s="16">
        <f>('Gearing Calculator'!$U$9*9.81)*('Gearing Calculator'!$U$16/'Gearing Calculator'!$C$7)-(('Track Data'!W1199)*('Gearing Calculator'!$U$17/'Gearing Calculator'!$C$7))</f>
        <v>591.0857078158931</v>
      </c>
      <c r="Y1199" s="16">
        <f>('Gearing Calculator'!$U$9*9.81)*(('Gearing Calculator'!$C$7-'Gearing Calculator'!$U$16)/'Gearing Calculator'!$C$7)+(('Track Data'!W1199)*('Gearing Calculator'!$U$17/'Gearing Calculator'!$C$7))</f>
        <v>2020.3362921841069</v>
      </c>
      <c r="Z1199" s="16">
        <f>((X1199*COS('Gearing Calculator'!$C$21))/'Gearing Calculator'!$C$22)/2</f>
        <v>18.274500640847798</v>
      </c>
      <c r="AA1199" s="16">
        <f>Y1199/'Gearing Calculator'!$C$24</f>
        <v>28.210670940130971</v>
      </c>
      <c r="AB1199" s="16">
        <f t="shared" si="128"/>
        <v>222.15110282139946</v>
      </c>
      <c r="AC1199" s="16">
        <v>0</v>
      </c>
      <c r="AD1199" s="16">
        <v>-45.249166535644598</v>
      </c>
      <c r="AE1199" s="16">
        <v>1196</v>
      </c>
      <c r="AF1199" s="16">
        <f>IF(AC1199=0,IF(O1199=6,INDEX(Acceleration!$V$4:$V$110,MATCH('Track Data'!S1199,Acceleration!$K$4:$K$110,0)),IF('Track Data'!O1199=5,INDEX(Acceleration!$U$4:$U$110,MATCH('Track Data'!S1199,Acceleration!$K$4:$K$110,0)),1)),U1199)</f>
        <v>1</v>
      </c>
      <c r="AG1199" s="16">
        <f>IF(AC1199=0,IF(O1199=4,INDEX(Acceleration!$T$4:$T$110,MATCH('Track Data'!S1199,Acceleration!$K$4:$K$110,0)),IF('Track Data'!O1199=3,INDEX(Acceleration!$S$4:$S$110,MATCH('Track Data'!S1199,Acceleration!$K$4:$K$110,0)),'Track Data'!AF1199)),'Track Data'!U1199)</f>
        <v>4.8209066787706405</v>
      </c>
      <c r="AH1199" s="16">
        <f>IF(AC1199=0,IF(O1199=2,INDEX(Acceleration!$R$4:$R$110,MATCH('Track Data'!S1199,Acceleration!$K$4:$K$110,0)),IF('Track Data'!O1199=1,INDEX(Acceleration!$Q$4:$Q$110,MATCH('Track Data'!S1199,Acceleration!$K$4:$K$110,0)),'Track Data'!AG1199)),'Track Data'!U1199)</f>
        <v>4.8209066787706405</v>
      </c>
    </row>
    <row r="1200" spans="2:34" x14ac:dyDescent="0.25">
      <c r="B1200" s="16">
        <v>229.339</v>
      </c>
      <c r="C1200" s="16">
        <v>8470</v>
      </c>
      <c r="D1200" s="16">
        <v>1197</v>
      </c>
      <c r="E1200" s="113">
        <v>139</v>
      </c>
      <c r="F1200" s="113">
        <v>130.6</v>
      </c>
      <c r="G1200" s="113">
        <v>122.2</v>
      </c>
      <c r="H1200" s="113">
        <f t="shared" si="131"/>
        <v>33.944444444444443</v>
      </c>
      <c r="I1200" s="113">
        <v>13.7</v>
      </c>
      <c r="J1200" s="113">
        <v>29.74</v>
      </c>
      <c r="K1200" s="113">
        <v>-53.1</v>
      </c>
      <c r="L1200" s="183"/>
      <c r="M1200" s="16">
        <v>1197</v>
      </c>
      <c r="N1200" s="16">
        <f t="shared" si="133"/>
        <v>2.2841188743510724E-2</v>
      </c>
      <c r="O1200" s="16">
        <v>4</v>
      </c>
      <c r="P1200" s="16">
        <f t="shared" si="129"/>
        <v>9.1833785004516724</v>
      </c>
      <c r="Q1200" s="16">
        <f t="shared" si="134"/>
        <v>43.780558500227102</v>
      </c>
      <c r="R1200" s="113">
        <f t="shared" si="130"/>
        <v>329.49099999999999</v>
      </c>
      <c r="S1200" s="16">
        <f>IF(S1199=15800,15800,ROUND((((Q1200*60)/'Gearing Calculator'!$C$14)*'Track Data'!P1200),-2))</f>
        <v>12200</v>
      </c>
      <c r="T1200" s="16">
        <f t="shared" si="132"/>
        <v>4.8209066787706405</v>
      </c>
      <c r="U1200" s="16">
        <f>IF(AC1200=100,Braking!$AG$2354,IF(AC1200=50,Braking!$AG$1179,IF(AC1200=75,Braking!$AG$1767,0)))</f>
        <v>0</v>
      </c>
      <c r="V1200" s="16">
        <f>0.5*'Gearing Calculator'!$C$15*'Gearing Calculator'!$C$20*'Gearing Calculator'!$W$20*('Track Data'!Q1200^2)</f>
        <v>202.8674761063169</v>
      </c>
      <c r="W1200" s="16">
        <f>('Gearing Calculator'!$U$9*'Track Data'!T1200)+'Track Data'!V1200</f>
        <v>1486.1928339950614</v>
      </c>
      <c r="X1200" s="16">
        <f>('Gearing Calculator'!$U$9*9.81)*('Gearing Calculator'!$U$16/'Gearing Calculator'!$C$7)-(('Track Data'!W1200)*('Gearing Calculator'!$U$17/'Gearing Calculator'!$C$7))</f>
        <v>591.0857078158931</v>
      </c>
      <c r="Y1200" s="16">
        <f>('Gearing Calculator'!$U$9*9.81)*(('Gearing Calculator'!$C$7-'Gearing Calculator'!$U$16)/'Gearing Calculator'!$C$7)+(('Track Data'!W1200)*('Gearing Calculator'!$U$17/'Gearing Calculator'!$C$7))</f>
        <v>2020.3362921841069</v>
      </c>
      <c r="Z1200" s="16">
        <f>((X1200*COS('Gearing Calculator'!$C$21))/'Gearing Calculator'!$C$22)/2</f>
        <v>18.274500640847798</v>
      </c>
      <c r="AA1200" s="16">
        <f>Y1200/'Gearing Calculator'!$C$24</f>
        <v>28.210670940130971</v>
      </c>
      <c r="AB1200" s="16">
        <f t="shared" si="128"/>
        <v>222.15110282139946</v>
      </c>
      <c r="AC1200" s="16">
        <v>0</v>
      </c>
      <c r="AD1200" s="16">
        <v>-45.249166535644598</v>
      </c>
      <c r="AE1200" s="16">
        <v>1197</v>
      </c>
      <c r="AF1200" s="16">
        <f>IF(AC1200=0,IF(O1200=6,INDEX(Acceleration!$V$4:$V$110,MATCH('Track Data'!S1200,Acceleration!$K$4:$K$110,0)),IF('Track Data'!O1200=5,INDEX(Acceleration!$U$4:$U$110,MATCH('Track Data'!S1200,Acceleration!$K$4:$K$110,0)),1)),U1200)</f>
        <v>1</v>
      </c>
      <c r="AG1200" s="16">
        <f>IF(AC1200=0,IF(O1200=4,INDEX(Acceleration!$T$4:$T$110,MATCH('Track Data'!S1200,Acceleration!$K$4:$K$110,0)),IF('Track Data'!O1200=3,INDEX(Acceleration!$S$4:$S$110,MATCH('Track Data'!S1200,Acceleration!$K$4:$K$110,0)),'Track Data'!AF1200)),'Track Data'!U1200)</f>
        <v>4.8209066787706405</v>
      </c>
      <c r="AH1200" s="16">
        <f>IF(AC1200=0,IF(O1200=2,INDEX(Acceleration!$R$4:$R$110,MATCH('Track Data'!S1200,Acceleration!$K$4:$K$110,0)),IF('Track Data'!O1200=1,INDEX(Acceleration!$Q$4:$Q$110,MATCH('Track Data'!S1200,Acceleration!$K$4:$K$110,0)),'Track Data'!AG1200)),'Track Data'!U1200)</f>
        <v>4.8209066787706405</v>
      </c>
    </row>
    <row r="1201" spans="2:34" x14ac:dyDescent="0.25">
      <c r="B1201" s="16">
        <v>229.36699999999999</v>
      </c>
      <c r="C1201" s="16">
        <v>8471</v>
      </c>
      <c r="D1201" s="16">
        <v>1198</v>
      </c>
      <c r="E1201" s="113">
        <v>140</v>
      </c>
      <c r="F1201" s="113">
        <v>131.1</v>
      </c>
      <c r="G1201" s="113">
        <v>122.8</v>
      </c>
      <c r="H1201" s="113">
        <f t="shared" si="131"/>
        <v>34.111111111111107</v>
      </c>
      <c r="I1201" s="113">
        <v>11.2</v>
      </c>
      <c r="J1201" s="113">
        <v>27.64</v>
      </c>
      <c r="K1201" s="113">
        <v>-53.3</v>
      </c>
      <c r="L1201" s="183"/>
      <c r="M1201" s="16">
        <v>1198</v>
      </c>
      <c r="N1201" s="16">
        <f t="shared" si="133"/>
        <v>2.2841188743510724E-2</v>
      </c>
      <c r="O1201" s="16">
        <v>4</v>
      </c>
      <c r="P1201" s="16">
        <f t="shared" si="129"/>
        <v>9.1833785004516724</v>
      </c>
      <c r="Q1201" s="16">
        <f t="shared" si="134"/>
        <v>43.780558500227102</v>
      </c>
      <c r="R1201" s="113">
        <f t="shared" si="130"/>
        <v>329.49099999999999</v>
      </c>
      <c r="S1201" s="16">
        <f>IF(S1200=15800,15800,ROUND((((Q1201*60)/'Gearing Calculator'!$C$14)*'Track Data'!P1201),-2))</f>
        <v>12200</v>
      </c>
      <c r="T1201" s="16">
        <f t="shared" si="132"/>
        <v>4.8209066787706405</v>
      </c>
      <c r="U1201" s="16">
        <f>IF(AC1201=100,Braking!$AG$2354,IF(AC1201=50,Braking!$AG$1179,IF(AC1201=75,Braking!$AG$1767,0)))</f>
        <v>0</v>
      </c>
      <c r="V1201" s="16">
        <f>0.5*'Gearing Calculator'!$C$15*'Gearing Calculator'!$C$20*'Gearing Calculator'!$W$20*('Track Data'!Q1201^2)</f>
        <v>202.8674761063169</v>
      </c>
      <c r="W1201" s="16">
        <f>('Gearing Calculator'!$U$9*'Track Data'!T1201)+'Track Data'!V1201</f>
        <v>1486.1928339950614</v>
      </c>
      <c r="X1201" s="16">
        <f>('Gearing Calculator'!$U$9*9.81)*('Gearing Calculator'!$U$16/'Gearing Calculator'!$C$7)-(('Track Data'!W1201)*('Gearing Calculator'!$U$17/'Gearing Calculator'!$C$7))</f>
        <v>591.0857078158931</v>
      </c>
      <c r="Y1201" s="16">
        <f>('Gearing Calculator'!$U$9*9.81)*(('Gearing Calculator'!$C$7-'Gearing Calculator'!$U$16)/'Gearing Calculator'!$C$7)+(('Track Data'!W1201)*('Gearing Calculator'!$U$17/'Gearing Calculator'!$C$7))</f>
        <v>2020.3362921841069</v>
      </c>
      <c r="Z1201" s="16">
        <f>((X1201*COS('Gearing Calculator'!$C$21))/'Gearing Calculator'!$C$22)/2</f>
        <v>18.274500640847798</v>
      </c>
      <c r="AA1201" s="16">
        <f>Y1201/'Gearing Calculator'!$C$24</f>
        <v>28.210670940130971</v>
      </c>
      <c r="AB1201" s="16">
        <f t="shared" si="128"/>
        <v>222.15110282139946</v>
      </c>
      <c r="AC1201" s="16">
        <v>0</v>
      </c>
      <c r="AD1201" s="16">
        <v>-45.249166535644598</v>
      </c>
      <c r="AE1201" s="16">
        <v>1198</v>
      </c>
      <c r="AF1201" s="16">
        <f>IF(AC1201=0,IF(O1201=6,INDEX(Acceleration!$V$4:$V$110,MATCH('Track Data'!S1201,Acceleration!$K$4:$K$110,0)),IF('Track Data'!O1201=5,INDEX(Acceleration!$U$4:$U$110,MATCH('Track Data'!S1201,Acceleration!$K$4:$K$110,0)),1)),U1201)</f>
        <v>1</v>
      </c>
      <c r="AG1201" s="16">
        <f>IF(AC1201=0,IF(O1201=4,INDEX(Acceleration!$T$4:$T$110,MATCH('Track Data'!S1201,Acceleration!$K$4:$K$110,0)),IF('Track Data'!O1201=3,INDEX(Acceleration!$S$4:$S$110,MATCH('Track Data'!S1201,Acceleration!$K$4:$K$110,0)),'Track Data'!AF1201)),'Track Data'!U1201)</f>
        <v>4.8209066787706405</v>
      </c>
      <c r="AH1201" s="16">
        <f>IF(AC1201=0,IF(O1201=2,INDEX(Acceleration!$R$4:$R$110,MATCH('Track Data'!S1201,Acceleration!$K$4:$K$110,0)),IF('Track Data'!O1201=1,INDEX(Acceleration!$Q$4:$Q$110,MATCH('Track Data'!S1201,Acceleration!$K$4:$K$110,0)),'Track Data'!AG1201)),'Track Data'!U1201)</f>
        <v>4.8209066787706405</v>
      </c>
    </row>
    <row r="1202" spans="2:34" x14ac:dyDescent="0.25">
      <c r="B1202" s="16">
        <v>229.39400000000001</v>
      </c>
      <c r="C1202" s="16">
        <v>8472</v>
      </c>
      <c r="D1202" s="16">
        <v>1199</v>
      </c>
      <c r="E1202" s="113">
        <v>141</v>
      </c>
      <c r="F1202" s="113">
        <v>131.5</v>
      </c>
      <c r="G1202" s="113">
        <v>123.3</v>
      </c>
      <c r="H1202" s="113">
        <f t="shared" si="131"/>
        <v>34.25</v>
      </c>
      <c r="I1202" s="113">
        <v>9.6999999999999993</v>
      </c>
      <c r="J1202" s="113">
        <v>26.8</v>
      </c>
      <c r="K1202" s="113">
        <v>-53.3</v>
      </c>
      <c r="L1202" s="183"/>
      <c r="M1202" s="16">
        <v>1199</v>
      </c>
      <c r="N1202" s="16">
        <f t="shared" si="133"/>
        <v>2.2841188743510724E-2</v>
      </c>
      <c r="O1202" s="16">
        <v>4</v>
      </c>
      <c r="P1202" s="16">
        <f t="shared" si="129"/>
        <v>9.1833785004516724</v>
      </c>
      <c r="Q1202" s="16">
        <f t="shared" si="134"/>
        <v>43.780558500227102</v>
      </c>
      <c r="R1202" s="113">
        <f t="shared" si="130"/>
        <v>329.49099999999999</v>
      </c>
      <c r="S1202" s="16">
        <f>IF(S1201=15800,15800,ROUND((((Q1202*60)/'Gearing Calculator'!$C$14)*'Track Data'!P1202),-2))</f>
        <v>12200</v>
      </c>
      <c r="T1202" s="16">
        <f t="shared" si="132"/>
        <v>4.8209066787706405</v>
      </c>
      <c r="U1202" s="16">
        <f>IF(AC1202=100,Braking!$AG$2354,IF(AC1202=50,Braking!$AG$1179,IF(AC1202=75,Braking!$AG$1767,0)))</f>
        <v>0</v>
      </c>
      <c r="V1202" s="16">
        <f>0.5*'Gearing Calculator'!$C$15*'Gearing Calculator'!$C$20*'Gearing Calculator'!$W$20*('Track Data'!Q1202^2)</f>
        <v>202.8674761063169</v>
      </c>
      <c r="W1202" s="16">
        <f>('Gearing Calculator'!$U$9*'Track Data'!T1202)+'Track Data'!V1202</f>
        <v>1486.1928339950614</v>
      </c>
      <c r="X1202" s="16">
        <f>('Gearing Calculator'!$U$9*9.81)*('Gearing Calculator'!$U$16/'Gearing Calculator'!$C$7)-(('Track Data'!W1202)*('Gearing Calculator'!$U$17/'Gearing Calculator'!$C$7))</f>
        <v>591.0857078158931</v>
      </c>
      <c r="Y1202" s="16">
        <f>('Gearing Calculator'!$U$9*9.81)*(('Gearing Calculator'!$C$7-'Gearing Calculator'!$U$16)/'Gearing Calculator'!$C$7)+(('Track Data'!W1202)*('Gearing Calculator'!$U$17/'Gearing Calculator'!$C$7))</f>
        <v>2020.3362921841069</v>
      </c>
      <c r="Z1202" s="16">
        <f>((X1202*COS('Gearing Calculator'!$C$21))/'Gearing Calculator'!$C$22)/2</f>
        <v>18.274500640847798</v>
      </c>
      <c r="AA1202" s="16">
        <f>Y1202/'Gearing Calculator'!$C$24</f>
        <v>28.210670940130971</v>
      </c>
      <c r="AB1202" s="16">
        <f t="shared" si="128"/>
        <v>222.15110282139946</v>
      </c>
      <c r="AC1202" s="16">
        <v>0</v>
      </c>
      <c r="AD1202" s="16">
        <v>-45.249166535644598</v>
      </c>
      <c r="AE1202" s="16">
        <v>1199</v>
      </c>
      <c r="AF1202" s="16">
        <f>IF(AC1202=0,IF(O1202=6,INDEX(Acceleration!$V$4:$V$110,MATCH('Track Data'!S1202,Acceleration!$K$4:$K$110,0)),IF('Track Data'!O1202=5,INDEX(Acceleration!$U$4:$U$110,MATCH('Track Data'!S1202,Acceleration!$K$4:$K$110,0)),1)),U1202)</f>
        <v>1</v>
      </c>
      <c r="AG1202" s="16">
        <f>IF(AC1202=0,IF(O1202=4,INDEX(Acceleration!$T$4:$T$110,MATCH('Track Data'!S1202,Acceleration!$K$4:$K$110,0)),IF('Track Data'!O1202=3,INDEX(Acceleration!$S$4:$S$110,MATCH('Track Data'!S1202,Acceleration!$K$4:$K$110,0)),'Track Data'!AF1202)),'Track Data'!U1202)</f>
        <v>4.8209066787706405</v>
      </c>
      <c r="AH1202" s="16">
        <f>IF(AC1202=0,IF(O1202=2,INDEX(Acceleration!$R$4:$R$110,MATCH('Track Data'!S1202,Acceleration!$K$4:$K$110,0)),IF('Track Data'!O1202=1,INDEX(Acceleration!$Q$4:$Q$110,MATCH('Track Data'!S1202,Acceleration!$K$4:$K$110,0)),'Track Data'!AG1202)),'Track Data'!U1202)</f>
        <v>4.8209066787706405</v>
      </c>
    </row>
    <row r="1203" spans="2:34" x14ac:dyDescent="0.25">
      <c r="B1203" s="16">
        <v>229.422</v>
      </c>
      <c r="C1203" s="16">
        <v>8473</v>
      </c>
      <c r="D1203" s="16">
        <v>1200</v>
      </c>
      <c r="E1203" s="113">
        <v>142</v>
      </c>
      <c r="F1203" s="113">
        <v>131.9</v>
      </c>
      <c r="G1203" s="113">
        <v>123.8</v>
      </c>
      <c r="H1203" s="113">
        <f t="shared" si="131"/>
        <v>34.388888888888886</v>
      </c>
      <c r="I1203" s="113">
        <v>9</v>
      </c>
      <c r="J1203" s="113">
        <v>24.11</v>
      </c>
      <c r="K1203" s="113">
        <v>-53.3</v>
      </c>
      <c r="L1203" s="183"/>
      <c r="M1203" s="16">
        <v>1200</v>
      </c>
      <c r="N1203" s="16">
        <f t="shared" si="133"/>
        <v>2.2841188743510724E-2</v>
      </c>
      <c r="O1203" s="16">
        <v>4</v>
      </c>
      <c r="P1203" s="16">
        <f t="shared" si="129"/>
        <v>9.1833785004516724</v>
      </c>
      <c r="Q1203" s="16">
        <f t="shared" si="134"/>
        <v>43.780558500227102</v>
      </c>
      <c r="R1203" s="113">
        <f t="shared" si="130"/>
        <v>329.49099999999999</v>
      </c>
      <c r="S1203" s="16">
        <f>IF(S1202=15800,15800,ROUND((((Q1203*60)/'Gearing Calculator'!$C$14)*'Track Data'!P1203),-2))</f>
        <v>12200</v>
      </c>
      <c r="T1203" s="16">
        <f t="shared" si="132"/>
        <v>4.8209066787706405</v>
      </c>
      <c r="U1203" s="16">
        <f>IF(AC1203=100,Braking!$AG$2354,IF(AC1203=50,Braking!$AG$1179,IF(AC1203=75,Braking!$AG$1767,0)))</f>
        <v>0</v>
      </c>
      <c r="V1203" s="16">
        <f>0.5*'Gearing Calculator'!$C$15*'Gearing Calculator'!$C$20*'Gearing Calculator'!$W$20*('Track Data'!Q1203^2)</f>
        <v>202.8674761063169</v>
      </c>
      <c r="W1203" s="16">
        <f>('Gearing Calculator'!$U$9*'Track Data'!T1203)+'Track Data'!V1203</f>
        <v>1486.1928339950614</v>
      </c>
      <c r="X1203" s="16">
        <f>('Gearing Calculator'!$U$9*9.81)*('Gearing Calculator'!$U$16/'Gearing Calculator'!$C$7)-(('Track Data'!W1203)*('Gearing Calculator'!$U$17/'Gearing Calculator'!$C$7))</f>
        <v>591.0857078158931</v>
      </c>
      <c r="Y1203" s="16">
        <f>('Gearing Calculator'!$U$9*9.81)*(('Gearing Calculator'!$C$7-'Gearing Calculator'!$U$16)/'Gearing Calculator'!$C$7)+(('Track Data'!W1203)*('Gearing Calculator'!$U$17/'Gearing Calculator'!$C$7))</f>
        <v>2020.3362921841069</v>
      </c>
      <c r="Z1203" s="16">
        <f>((X1203*COS('Gearing Calculator'!$C$21))/'Gearing Calculator'!$C$22)/2</f>
        <v>18.274500640847798</v>
      </c>
      <c r="AA1203" s="16">
        <f>Y1203/'Gearing Calculator'!$C$24</f>
        <v>28.210670940130971</v>
      </c>
      <c r="AB1203" s="16">
        <f t="shared" si="128"/>
        <v>222.15110282139946</v>
      </c>
      <c r="AC1203" s="16">
        <v>0</v>
      </c>
      <c r="AD1203" s="16">
        <v>-45.249166535644598</v>
      </c>
      <c r="AE1203" s="16">
        <v>1200</v>
      </c>
      <c r="AF1203" s="16">
        <f>IF(AC1203=0,IF(O1203=6,INDEX(Acceleration!$V$4:$V$110,MATCH('Track Data'!S1203,Acceleration!$K$4:$K$110,0)),IF('Track Data'!O1203=5,INDEX(Acceleration!$U$4:$U$110,MATCH('Track Data'!S1203,Acceleration!$K$4:$K$110,0)),1)),U1203)</f>
        <v>1</v>
      </c>
      <c r="AG1203" s="16">
        <f>IF(AC1203=0,IF(O1203=4,INDEX(Acceleration!$T$4:$T$110,MATCH('Track Data'!S1203,Acceleration!$K$4:$K$110,0)),IF('Track Data'!O1203=3,INDEX(Acceleration!$S$4:$S$110,MATCH('Track Data'!S1203,Acceleration!$K$4:$K$110,0)),'Track Data'!AF1203)),'Track Data'!U1203)</f>
        <v>4.8209066787706405</v>
      </c>
      <c r="AH1203" s="16">
        <f>IF(AC1203=0,IF(O1203=2,INDEX(Acceleration!$R$4:$R$110,MATCH('Track Data'!S1203,Acceleration!$K$4:$K$110,0)),IF('Track Data'!O1203=1,INDEX(Acceleration!$Q$4:$Q$110,MATCH('Track Data'!S1203,Acceleration!$K$4:$K$110,0)),'Track Data'!AG1203)),'Track Data'!U1203)</f>
        <v>4.8209066787706405</v>
      </c>
    </row>
    <row r="1204" spans="2:34" x14ac:dyDescent="0.25">
      <c r="B1204" s="16">
        <v>229.44900000000001</v>
      </c>
      <c r="C1204" s="16">
        <v>8474</v>
      </c>
      <c r="D1204" s="16">
        <v>1201</v>
      </c>
      <c r="E1204" s="113">
        <v>142</v>
      </c>
      <c r="F1204" s="113">
        <v>132.30000000000001</v>
      </c>
      <c r="G1204" s="113">
        <v>124.2</v>
      </c>
      <c r="H1204" s="113">
        <f t="shared" si="131"/>
        <v>34.5</v>
      </c>
      <c r="I1204" s="113">
        <v>9</v>
      </c>
      <c r="J1204" s="113">
        <v>23.88</v>
      </c>
      <c r="K1204" s="113">
        <v>-53.1</v>
      </c>
      <c r="L1204" s="183"/>
      <c r="M1204" s="16">
        <v>1201</v>
      </c>
      <c r="N1204" s="16">
        <f t="shared" si="133"/>
        <v>2.2841188743510724E-2</v>
      </c>
      <c r="O1204" s="16">
        <v>4</v>
      </c>
      <c r="P1204" s="16">
        <f t="shared" si="129"/>
        <v>9.1833785004516724</v>
      </c>
      <c r="Q1204" s="16">
        <f t="shared" si="134"/>
        <v>43.780558500227102</v>
      </c>
      <c r="R1204" s="113">
        <f t="shared" si="130"/>
        <v>329.49099999999999</v>
      </c>
      <c r="S1204" s="16">
        <f>IF(S1203=15800,15800,ROUND((((Q1204*60)/'Gearing Calculator'!$C$14)*'Track Data'!P1204),-2))</f>
        <v>12200</v>
      </c>
      <c r="T1204" s="16">
        <f t="shared" si="132"/>
        <v>4.8209066787706405</v>
      </c>
      <c r="U1204" s="16">
        <f>IF(AC1204=100,Braking!$AG$2354,IF(AC1204=50,Braking!$AG$1179,IF(AC1204=75,Braking!$AG$1767,0)))</f>
        <v>0</v>
      </c>
      <c r="V1204" s="16">
        <f>0.5*'Gearing Calculator'!$C$15*'Gearing Calculator'!$C$20*'Gearing Calculator'!$W$20*('Track Data'!Q1204^2)</f>
        <v>202.8674761063169</v>
      </c>
      <c r="W1204" s="16">
        <f>('Gearing Calculator'!$U$9*'Track Data'!T1204)+'Track Data'!V1204</f>
        <v>1486.1928339950614</v>
      </c>
      <c r="X1204" s="16">
        <f>('Gearing Calculator'!$U$9*9.81)*('Gearing Calculator'!$U$16/'Gearing Calculator'!$C$7)-(('Track Data'!W1204)*('Gearing Calculator'!$U$17/'Gearing Calculator'!$C$7))</f>
        <v>591.0857078158931</v>
      </c>
      <c r="Y1204" s="16">
        <f>('Gearing Calculator'!$U$9*9.81)*(('Gearing Calculator'!$C$7-'Gearing Calculator'!$U$16)/'Gearing Calculator'!$C$7)+(('Track Data'!W1204)*('Gearing Calculator'!$U$17/'Gearing Calculator'!$C$7))</f>
        <v>2020.3362921841069</v>
      </c>
      <c r="Z1204" s="16">
        <f>((X1204*COS('Gearing Calculator'!$C$21))/'Gearing Calculator'!$C$22)/2</f>
        <v>18.274500640847798</v>
      </c>
      <c r="AA1204" s="16">
        <f>Y1204/'Gearing Calculator'!$C$24</f>
        <v>28.210670940130971</v>
      </c>
      <c r="AB1204" s="16">
        <f t="shared" si="128"/>
        <v>222.15110282139946</v>
      </c>
      <c r="AC1204" s="16">
        <v>0</v>
      </c>
      <c r="AD1204" s="16">
        <v>-45.249166535644598</v>
      </c>
      <c r="AE1204" s="16">
        <v>1201</v>
      </c>
      <c r="AF1204" s="16">
        <f>IF(AC1204=0,IF(O1204=6,INDEX(Acceleration!$V$4:$V$110,MATCH('Track Data'!S1204,Acceleration!$K$4:$K$110,0)),IF('Track Data'!O1204=5,INDEX(Acceleration!$U$4:$U$110,MATCH('Track Data'!S1204,Acceleration!$K$4:$K$110,0)),1)),U1204)</f>
        <v>1</v>
      </c>
      <c r="AG1204" s="16">
        <f>IF(AC1204=0,IF(O1204=4,INDEX(Acceleration!$T$4:$T$110,MATCH('Track Data'!S1204,Acceleration!$K$4:$K$110,0)),IF('Track Data'!O1204=3,INDEX(Acceleration!$S$4:$S$110,MATCH('Track Data'!S1204,Acceleration!$K$4:$K$110,0)),'Track Data'!AF1204)),'Track Data'!U1204)</f>
        <v>4.8209066787706405</v>
      </c>
      <c r="AH1204" s="16">
        <f>IF(AC1204=0,IF(O1204=2,INDEX(Acceleration!$R$4:$R$110,MATCH('Track Data'!S1204,Acceleration!$K$4:$K$110,0)),IF('Track Data'!O1204=1,INDEX(Acceleration!$Q$4:$Q$110,MATCH('Track Data'!S1204,Acceleration!$K$4:$K$110,0)),'Track Data'!AG1204)),'Track Data'!U1204)</f>
        <v>4.8209066787706405</v>
      </c>
    </row>
    <row r="1205" spans="2:34" x14ac:dyDescent="0.25">
      <c r="B1205" s="16">
        <v>229.476</v>
      </c>
      <c r="C1205" s="16">
        <v>8475</v>
      </c>
      <c r="D1205" s="16">
        <v>1202</v>
      </c>
      <c r="E1205" s="113">
        <v>142</v>
      </c>
      <c r="F1205" s="113">
        <v>132.69999999999999</v>
      </c>
      <c r="G1205" s="113">
        <v>124.7</v>
      </c>
      <c r="H1205" s="113">
        <f t="shared" si="131"/>
        <v>34.638888888888886</v>
      </c>
      <c r="I1205" s="113">
        <v>8.1999999999999993</v>
      </c>
      <c r="J1205" s="113">
        <v>23.41</v>
      </c>
      <c r="K1205" s="113">
        <v>-51.9</v>
      </c>
      <c r="L1205" s="183"/>
      <c r="M1205" s="16">
        <v>1202</v>
      </c>
      <c r="N1205" s="16">
        <f t="shared" si="133"/>
        <v>2.2841188743510724E-2</v>
      </c>
      <c r="O1205" s="16">
        <v>4</v>
      </c>
      <c r="P1205" s="16">
        <f t="shared" si="129"/>
        <v>9.1833785004516724</v>
      </c>
      <c r="Q1205" s="16">
        <f t="shared" si="134"/>
        <v>43.780558500227102</v>
      </c>
      <c r="R1205" s="113">
        <f t="shared" si="130"/>
        <v>329.49099999999999</v>
      </c>
      <c r="S1205" s="16">
        <f>IF(S1204=15800,15800,ROUND((((Q1205*60)/'Gearing Calculator'!$C$14)*'Track Data'!P1205),-2))</f>
        <v>12200</v>
      </c>
      <c r="T1205" s="16">
        <f t="shared" si="132"/>
        <v>4.8209066787706405</v>
      </c>
      <c r="U1205" s="16">
        <f>IF(AC1205=100,Braking!$AG$2354,IF(AC1205=50,Braking!$AG$1179,IF(AC1205=75,Braking!$AG$1767,0)))</f>
        <v>0</v>
      </c>
      <c r="V1205" s="16">
        <f>0.5*'Gearing Calculator'!$C$15*'Gearing Calculator'!$C$20*'Gearing Calculator'!$W$20*('Track Data'!Q1205^2)</f>
        <v>202.8674761063169</v>
      </c>
      <c r="W1205" s="16">
        <f>('Gearing Calculator'!$U$9*'Track Data'!T1205)+'Track Data'!V1205</f>
        <v>1486.1928339950614</v>
      </c>
      <c r="X1205" s="16">
        <f>('Gearing Calculator'!$U$9*9.81)*('Gearing Calculator'!$U$16/'Gearing Calculator'!$C$7)-(('Track Data'!W1205)*('Gearing Calculator'!$U$17/'Gearing Calculator'!$C$7))</f>
        <v>591.0857078158931</v>
      </c>
      <c r="Y1205" s="16">
        <f>('Gearing Calculator'!$U$9*9.81)*(('Gearing Calculator'!$C$7-'Gearing Calculator'!$U$16)/'Gearing Calculator'!$C$7)+(('Track Data'!W1205)*('Gearing Calculator'!$U$17/'Gearing Calculator'!$C$7))</f>
        <v>2020.3362921841069</v>
      </c>
      <c r="Z1205" s="16">
        <f>((X1205*COS('Gearing Calculator'!$C$21))/'Gearing Calculator'!$C$22)/2</f>
        <v>18.274500640847798</v>
      </c>
      <c r="AA1205" s="16">
        <f>Y1205/'Gearing Calculator'!$C$24</f>
        <v>28.210670940130971</v>
      </c>
      <c r="AB1205" s="16">
        <f t="shared" si="128"/>
        <v>222.15110282139946</v>
      </c>
      <c r="AC1205" s="16">
        <v>0</v>
      </c>
      <c r="AD1205" s="16">
        <v>-45.249166535644598</v>
      </c>
      <c r="AE1205" s="16">
        <v>1202</v>
      </c>
      <c r="AF1205" s="16">
        <f>IF(AC1205=0,IF(O1205=6,INDEX(Acceleration!$V$4:$V$110,MATCH('Track Data'!S1205,Acceleration!$K$4:$K$110,0)),IF('Track Data'!O1205=5,INDEX(Acceleration!$U$4:$U$110,MATCH('Track Data'!S1205,Acceleration!$K$4:$K$110,0)),1)),U1205)</f>
        <v>1</v>
      </c>
      <c r="AG1205" s="16">
        <f>IF(AC1205=0,IF(O1205=4,INDEX(Acceleration!$T$4:$T$110,MATCH('Track Data'!S1205,Acceleration!$K$4:$K$110,0)),IF('Track Data'!O1205=3,INDEX(Acceleration!$S$4:$S$110,MATCH('Track Data'!S1205,Acceleration!$K$4:$K$110,0)),'Track Data'!AF1205)),'Track Data'!U1205)</f>
        <v>4.8209066787706405</v>
      </c>
      <c r="AH1205" s="16">
        <f>IF(AC1205=0,IF(O1205=2,INDEX(Acceleration!$R$4:$R$110,MATCH('Track Data'!S1205,Acceleration!$K$4:$K$110,0)),IF('Track Data'!O1205=1,INDEX(Acceleration!$Q$4:$Q$110,MATCH('Track Data'!S1205,Acceleration!$K$4:$K$110,0)),'Track Data'!AG1205)),'Track Data'!U1205)</f>
        <v>4.8209066787706405</v>
      </c>
    </row>
    <row r="1206" spans="2:34" x14ac:dyDescent="0.25">
      <c r="B1206" s="16">
        <v>229.50299999999999</v>
      </c>
      <c r="C1206" s="16">
        <v>8476</v>
      </c>
      <c r="D1206" s="16">
        <v>1203</v>
      </c>
      <c r="E1206" s="113">
        <v>143</v>
      </c>
      <c r="F1206" s="113">
        <v>133.4</v>
      </c>
      <c r="G1206" s="113">
        <v>125.3</v>
      </c>
      <c r="H1206" s="113">
        <f t="shared" si="131"/>
        <v>34.805555555555557</v>
      </c>
      <c r="I1206" s="113">
        <v>8.1</v>
      </c>
      <c r="J1206" s="113">
        <v>20.78</v>
      </c>
      <c r="K1206" s="113">
        <v>-50.7</v>
      </c>
      <c r="L1206" s="183"/>
      <c r="M1206" s="16">
        <v>1203</v>
      </c>
      <c r="N1206" s="16">
        <f t="shared" si="133"/>
        <v>2.2841188743510724E-2</v>
      </c>
      <c r="O1206" s="16">
        <v>4</v>
      </c>
      <c r="P1206" s="16">
        <f t="shared" si="129"/>
        <v>9.1833785004516724</v>
      </c>
      <c r="Q1206" s="16">
        <f t="shared" si="134"/>
        <v>43.780558500227102</v>
      </c>
      <c r="R1206" s="113">
        <f t="shared" si="130"/>
        <v>329.49099999999999</v>
      </c>
      <c r="S1206" s="16">
        <f>IF(S1205=15800,15800,ROUND((((Q1206*60)/'Gearing Calculator'!$C$14)*'Track Data'!P1206),-2))</f>
        <v>12200</v>
      </c>
      <c r="T1206" s="16">
        <f t="shared" si="132"/>
        <v>4.8209066787706405</v>
      </c>
      <c r="U1206" s="16">
        <f>IF(AC1206=100,Braking!$AG$2354,IF(AC1206=50,Braking!$AG$1179,IF(AC1206=75,Braking!$AG$1767,0)))</f>
        <v>0</v>
      </c>
      <c r="V1206" s="16">
        <f>0.5*'Gearing Calculator'!$C$15*'Gearing Calculator'!$C$20*'Gearing Calculator'!$W$20*('Track Data'!Q1206^2)</f>
        <v>202.8674761063169</v>
      </c>
      <c r="W1206" s="16">
        <f>('Gearing Calculator'!$U$9*'Track Data'!T1206)+'Track Data'!V1206</f>
        <v>1486.1928339950614</v>
      </c>
      <c r="X1206" s="16">
        <f>('Gearing Calculator'!$U$9*9.81)*('Gearing Calculator'!$U$16/'Gearing Calculator'!$C$7)-(('Track Data'!W1206)*('Gearing Calculator'!$U$17/'Gearing Calculator'!$C$7))</f>
        <v>591.0857078158931</v>
      </c>
      <c r="Y1206" s="16">
        <f>('Gearing Calculator'!$U$9*9.81)*(('Gearing Calculator'!$C$7-'Gearing Calculator'!$U$16)/'Gearing Calculator'!$C$7)+(('Track Data'!W1206)*('Gearing Calculator'!$U$17/'Gearing Calculator'!$C$7))</f>
        <v>2020.3362921841069</v>
      </c>
      <c r="Z1206" s="16">
        <f>((X1206*COS('Gearing Calculator'!$C$21))/'Gearing Calculator'!$C$22)/2</f>
        <v>18.274500640847798</v>
      </c>
      <c r="AA1206" s="16">
        <f>Y1206/'Gearing Calculator'!$C$24</f>
        <v>28.210670940130971</v>
      </c>
      <c r="AB1206" s="16">
        <f t="shared" ref="AB1206:AB1269" si="135">(T1206*O1206)+V1206</f>
        <v>222.15110282139946</v>
      </c>
      <c r="AC1206" s="16">
        <v>0</v>
      </c>
      <c r="AD1206" s="16">
        <v>-45.249166535644598</v>
      </c>
      <c r="AE1206" s="16">
        <v>1203</v>
      </c>
      <c r="AF1206" s="16">
        <f>IF(AC1206=0,IF(O1206=6,INDEX(Acceleration!$V$4:$V$110,MATCH('Track Data'!S1206,Acceleration!$K$4:$K$110,0)),IF('Track Data'!O1206=5,INDEX(Acceleration!$U$4:$U$110,MATCH('Track Data'!S1206,Acceleration!$K$4:$K$110,0)),1)),U1206)</f>
        <v>1</v>
      </c>
      <c r="AG1206" s="16">
        <f>IF(AC1206=0,IF(O1206=4,INDEX(Acceleration!$T$4:$T$110,MATCH('Track Data'!S1206,Acceleration!$K$4:$K$110,0)),IF('Track Data'!O1206=3,INDEX(Acceleration!$S$4:$S$110,MATCH('Track Data'!S1206,Acceleration!$K$4:$K$110,0)),'Track Data'!AF1206)),'Track Data'!U1206)</f>
        <v>4.8209066787706405</v>
      </c>
      <c r="AH1206" s="16">
        <f>IF(AC1206=0,IF(O1206=2,INDEX(Acceleration!$R$4:$R$110,MATCH('Track Data'!S1206,Acceleration!$K$4:$K$110,0)),IF('Track Data'!O1206=1,INDEX(Acceleration!$Q$4:$Q$110,MATCH('Track Data'!S1206,Acceleration!$K$4:$K$110,0)),'Track Data'!AG1206)),'Track Data'!U1206)</f>
        <v>4.8209066787706405</v>
      </c>
    </row>
    <row r="1207" spans="2:34" x14ac:dyDescent="0.25">
      <c r="B1207" s="16">
        <v>229.53</v>
      </c>
      <c r="C1207" s="16">
        <v>8477</v>
      </c>
      <c r="D1207" s="16">
        <v>1204</v>
      </c>
      <c r="E1207" s="113">
        <v>143</v>
      </c>
      <c r="F1207" s="113">
        <v>134</v>
      </c>
      <c r="G1207" s="113">
        <v>125.8</v>
      </c>
      <c r="H1207" s="113">
        <f t="shared" si="131"/>
        <v>34.944444444444443</v>
      </c>
      <c r="I1207" s="113">
        <v>8</v>
      </c>
      <c r="J1207" s="113">
        <v>21.23</v>
      </c>
      <c r="K1207" s="113">
        <v>-49.4</v>
      </c>
      <c r="L1207" s="183"/>
      <c r="M1207" s="16">
        <v>1204</v>
      </c>
      <c r="N1207" s="16">
        <f t="shared" si="133"/>
        <v>2.2841188743510724E-2</v>
      </c>
      <c r="O1207" s="16">
        <v>4</v>
      </c>
      <c r="P1207" s="16">
        <f t="shared" si="129"/>
        <v>9.1833785004516724</v>
      </c>
      <c r="Q1207" s="16">
        <f t="shared" si="134"/>
        <v>43.780558500227102</v>
      </c>
      <c r="R1207" s="113">
        <f t="shared" si="130"/>
        <v>329.49099999999999</v>
      </c>
      <c r="S1207" s="16">
        <f>IF(S1206=15800,15800,ROUND((((Q1207*60)/'Gearing Calculator'!$C$14)*'Track Data'!P1207),-2))</f>
        <v>12200</v>
      </c>
      <c r="T1207" s="16">
        <f t="shared" si="132"/>
        <v>4.8209066787706405</v>
      </c>
      <c r="U1207" s="16">
        <f>IF(AC1207=100,Braking!$AG$2354,IF(AC1207=50,Braking!$AG$1179,IF(AC1207=75,Braking!$AG$1767,0)))</f>
        <v>0</v>
      </c>
      <c r="V1207" s="16">
        <f>0.5*'Gearing Calculator'!$C$15*'Gearing Calculator'!$C$20*'Gearing Calculator'!$W$20*('Track Data'!Q1207^2)</f>
        <v>202.8674761063169</v>
      </c>
      <c r="W1207" s="16">
        <f>('Gearing Calculator'!$U$9*'Track Data'!T1207)+'Track Data'!V1207</f>
        <v>1486.1928339950614</v>
      </c>
      <c r="X1207" s="16">
        <f>('Gearing Calculator'!$U$9*9.81)*('Gearing Calculator'!$U$16/'Gearing Calculator'!$C$7)-(('Track Data'!W1207)*('Gearing Calculator'!$U$17/'Gearing Calculator'!$C$7))</f>
        <v>591.0857078158931</v>
      </c>
      <c r="Y1207" s="16">
        <f>('Gearing Calculator'!$U$9*9.81)*(('Gearing Calculator'!$C$7-'Gearing Calculator'!$U$16)/'Gearing Calculator'!$C$7)+(('Track Data'!W1207)*('Gearing Calculator'!$U$17/'Gearing Calculator'!$C$7))</f>
        <v>2020.3362921841069</v>
      </c>
      <c r="Z1207" s="16">
        <f>((X1207*COS('Gearing Calculator'!$C$21))/'Gearing Calculator'!$C$22)/2</f>
        <v>18.274500640847798</v>
      </c>
      <c r="AA1207" s="16">
        <f>Y1207/'Gearing Calculator'!$C$24</f>
        <v>28.210670940130971</v>
      </c>
      <c r="AB1207" s="16">
        <f t="shared" si="135"/>
        <v>222.15110282139946</v>
      </c>
      <c r="AC1207" s="16">
        <v>0</v>
      </c>
      <c r="AD1207" s="16">
        <v>-45.249166535644598</v>
      </c>
      <c r="AE1207" s="16">
        <v>1204</v>
      </c>
      <c r="AF1207" s="16">
        <f>IF(AC1207=0,IF(O1207=6,INDEX(Acceleration!$V$4:$V$110,MATCH('Track Data'!S1207,Acceleration!$K$4:$K$110,0)),IF('Track Data'!O1207=5,INDEX(Acceleration!$U$4:$U$110,MATCH('Track Data'!S1207,Acceleration!$K$4:$K$110,0)),1)),U1207)</f>
        <v>1</v>
      </c>
      <c r="AG1207" s="16">
        <f>IF(AC1207=0,IF(O1207=4,INDEX(Acceleration!$T$4:$T$110,MATCH('Track Data'!S1207,Acceleration!$K$4:$K$110,0)),IF('Track Data'!O1207=3,INDEX(Acceleration!$S$4:$S$110,MATCH('Track Data'!S1207,Acceleration!$K$4:$K$110,0)),'Track Data'!AF1207)),'Track Data'!U1207)</f>
        <v>4.8209066787706405</v>
      </c>
      <c r="AH1207" s="16">
        <f>IF(AC1207=0,IF(O1207=2,INDEX(Acceleration!$R$4:$R$110,MATCH('Track Data'!S1207,Acceleration!$K$4:$K$110,0)),IF('Track Data'!O1207=1,INDEX(Acceleration!$Q$4:$Q$110,MATCH('Track Data'!S1207,Acceleration!$K$4:$K$110,0)),'Track Data'!AG1207)),'Track Data'!U1207)</f>
        <v>4.8209066787706405</v>
      </c>
    </row>
    <row r="1208" spans="2:34" x14ac:dyDescent="0.25">
      <c r="B1208" s="16">
        <v>229.55699999999999</v>
      </c>
      <c r="C1208" s="16">
        <v>8478</v>
      </c>
      <c r="D1208" s="16">
        <v>1205</v>
      </c>
      <c r="E1208" s="113">
        <v>143</v>
      </c>
      <c r="F1208" s="113">
        <v>134.1</v>
      </c>
      <c r="G1208" s="113">
        <v>126.2</v>
      </c>
      <c r="H1208" s="113">
        <f t="shared" si="131"/>
        <v>35.055555555555557</v>
      </c>
      <c r="I1208" s="113">
        <v>8.1</v>
      </c>
      <c r="J1208" s="113">
        <v>22.24</v>
      </c>
      <c r="K1208" s="113">
        <v>-48.3</v>
      </c>
      <c r="L1208" s="183"/>
      <c r="M1208" s="16">
        <v>1205</v>
      </c>
      <c r="N1208" s="16">
        <f t="shared" si="133"/>
        <v>2.2841188743510724E-2</v>
      </c>
      <c r="O1208" s="16">
        <v>4</v>
      </c>
      <c r="P1208" s="16">
        <f t="shared" si="129"/>
        <v>9.1833785004516724</v>
      </c>
      <c r="Q1208" s="16">
        <f t="shared" si="134"/>
        <v>43.780558500227102</v>
      </c>
      <c r="R1208" s="113">
        <f t="shared" si="130"/>
        <v>329.49099999999999</v>
      </c>
      <c r="S1208" s="16">
        <f>IF(S1207=15800,15800,ROUND((((Q1208*60)/'Gearing Calculator'!$C$14)*'Track Data'!P1208),-2))</f>
        <v>12200</v>
      </c>
      <c r="T1208" s="16">
        <f t="shared" si="132"/>
        <v>4.8209066787706405</v>
      </c>
      <c r="U1208" s="16">
        <f>IF(AC1208=100,Braking!$AG$2354,IF(AC1208=50,Braking!$AG$1179,IF(AC1208=75,Braking!$AG$1767,0)))</f>
        <v>0</v>
      </c>
      <c r="V1208" s="16">
        <f>0.5*'Gearing Calculator'!$C$15*'Gearing Calculator'!$C$20*'Gearing Calculator'!$W$20*('Track Data'!Q1208^2)</f>
        <v>202.8674761063169</v>
      </c>
      <c r="W1208" s="16">
        <f>('Gearing Calculator'!$U$9*'Track Data'!T1208)+'Track Data'!V1208</f>
        <v>1486.1928339950614</v>
      </c>
      <c r="X1208" s="16">
        <f>('Gearing Calculator'!$U$9*9.81)*('Gearing Calculator'!$U$16/'Gearing Calculator'!$C$7)-(('Track Data'!W1208)*('Gearing Calculator'!$U$17/'Gearing Calculator'!$C$7))</f>
        <v>591.0857078158931</v>
      </c>
      <c r="Y1208" s="16">
        <f>('Gearing Calculator'!$U$9*9.81)*(('Gearing Calculator'!$C$7-'Gearing Calculator'!$U$16)/'Gearing Calculator'!$C$7)+(('Track Data'!W1208)*('Gearing Calculator'!$U$17/'Gearing Calculator'!$C$7))</f>
        <v>2020.3362921841069</v>
      </c>
      <c r="Z1208" s="16">
        <f>((X1208*COS('Gearing Calculator'!$C$21))/'Gearing Calculator'!$C$22)/2</f>
        <v>18.274500640847798</v>
      </c>
      <c r="AA1208" s="16">
        <f>Y1208/'Gearing Calculator'!$C$24</f>
        <v>28.210670940130971</v>
      </c>
      <c r="AB1208" s="16">
        <f t="shared" si="135"/>
        <v>222.15110282139946</v>
      </c>
      <c r="AC1208" s="16">
        <v>0</v>
      </c>
      <c r="AD1208" s="16">
        <v>-45.249166535644598</v>
      </c>
      <c r="AE1208" s="16">
        <v>1205</v>
      </c>
      <c r="AF1208" s="16">
        <f>IF(AC1208=0,IF(O1208=6,INDEX(Acceleration!$V$4:$V$110,MATCH('Track Data'!S1208,Acceleration!$K$4:$K$110,0)),IF('Track Data'!O1208=5,INDEX(Acceleration!$U$4:$U$110,MATCH('Track Data'!S1208,Acceleration!$K$4:$K$110,0)),1)),U1208)</f>
        <v>1</v>
      </c>
      <c r="AG1208" s="16">
        <f>IF(AC1208=0,IF(O1208=4,INDEX(Acceleration!$T$4:$T$110,MATCH('Track Data'!S1208,Acceleration!$K$4:$K$110,0)),IF('Track Data'!O1208=3,INDEX(Acceleration!$S$4:$S$110,MATCH('Track Data'!S1208,Acceleration!$K$4:$K$110,0)),'Track Data'!AF1208)),'Track Data'!U1208)</f>
        <v>4.8209066787706405</v>
      </c>
      <c r="AH1208" s="16">
        <f>IF(AC1208=0,IF(O1208=2,INDEX(Acceleration!$R$4:$R$110,MATCH('Track Data'!S1208,Acceleration!$K$4:$K$110,0)),IF('Track Data'!O1208=1,INDEX(Acceleration!$Q$4:$Q$110,MATCH('Track Data'!S1208,Acceleration!$K$4:$K$110,0)),'Track Data'!AG1208)),'Track Data'!U1208)</f>
        <v>4.8209066787706405</v>
      </c>
    </row>
    <row r="1209" spans="2:34" x14ac:dyDescent="0.25">
      <c r="B1209" s="16">
        <v>229.584</v>
      </c>
      <c r="C1209" s="16">
        <v>8479</v>
      </c>
      <c r="D1209" s="16">
        <v>1206</v>
      </c>
      <c r="E1209" s="113">
        <v>144</v>
      </c>
      <c r="F1209" s="113">
        <v>134.5</v>
      </c>
      <c r="G1209" s="113">
        <v>126.7</v>
      </c>
      <c r="H1209" s="113">
        <f t="shared" si="131"/>
        <v>35.194444444444443</v>
      </c>
      <c r="I1209" s="113">
        <v>9.6</v>
      </c>
      <c r="J1209" s="113">
        <v>25.16</v>
      </c>
      <c r="K1209" s="113">
        <v>-46.7</v>
      </c>
      <c r="L1209" s="183"/>
      <c r="M1209" s="16">
        <v>1206</v>
      </c>
      <c r="N1209" s="16">
        <f t="shared" si="133"/>
        <v>2.2841188743510724E-2</v>
      </c>
      <c r="O1209" s="16">
        <v>4</v>
      </c>
      <c r="P1209" s="16">
        <f t="shared" si="129"/>
        <v>9.1833785004516724</v>
      </c>
      <c r="Q1209" s="16">
        <f t="shared" si="134"/>
        <v>43.780558500227102</v>
      </c>
      <c r="R1209" s="113">
        <f t="shared" si="130"/>
        <v>329.49099999999999</v>
      </c>
      <c r="S1209" s="16">
        <f>IF(S1208=15800,15800,ROUND((((Q1209*60)/'Gearing Calculator'!$C$14)*'Track Data'!P1209),-2))</f>
        <v>12200</v>
      </c>
      <c r="T1209" s="16">
        <f t="shared" si="132"/>
        <v>4.8209066787706405</v>
      </c>
      <c r="U1209" s="16">
        <f>IF(AC1209=100,Braking!$AG$2354,IF(AC1209=50,Braking!$AG$1179,IF(AC1209=75,Braking!$AG$1767,0)))</f>
        <v>0</v>
      </c>
      <c r="V1209" s="16">
        <f>0.5*'Gearing Calculator'!$C$15*'Gearing Calculator'!$C$20*'Gearing Calculator'!$W$20*('Track Data'!Q1209^2)</f>
        <v>202.8674761063169</v>
      </c>
      <c r="W1209" s="16">
        <f>('Gearing Calculator'!$U$9*'Track Data'!T1209)+'Track Data'!V1209</f>
        <v>1486.1928339950614</v>
      </c>
      <c r="X1209" s="16">
        <f>('Gearing Calculator'!$U$9*9.81)*('Gearing Calculator'!$U$16/'Gearing Calculator'!$C$7)-(('Track Data'!W1209)*('Gearing Calculator'!$U$17/'Gearing Calculator'!$C$7))</f>
        <v>591.0857078158931</v>
      </c>
      <c r="Y1209" s="16">
        <f>('Gearing Calculator'!$U$9*9.81)*(('Gearing Calculator'!$C$7-'Gearing Calculator'!$U$16)/'Gearing Calculator'!$C$7)+(('Track Data'!W1209)*('Gearing Calculator'!$U$17/'Gearing Calculator'!$C$7))</f>
        <v>2020.3362921841069</v>
      </c>
      <c r="Z1209" s="16">
        <f>((X1209*COS('Gearing Calculator'!$C$21))/'Gearing Calculator'!$C$22)/2</f>
        <v>18.274500640847798</v>
      </c>
      <c r="AA1209" s="16">
        <f>Y1209/'Gearing Calculator'!$C$24</f>
        <v>28.210670940130971</v>
      </c>
      <c r="AB1209" s="16">
        <f t="shared" si="135"/>
        <v>222.15110282139946</v>
      </c>
      <c r="AC1209" s="16">
        <v>0</v>
      </c>
      <c r="AD1209" s="16">
        <v>-45.249166535644598</v>
      </c>
      <c r="AE1209" s="16">
        <v>1206</v>
      </c>
      <c r="AF1209" s="16">
        <f>IF(AC1209=0,IF(O1209=6,INDEX(Acceleration!$V$4:$V$110,MATCH('Track Data'!S1209,Acceleration!$K$4:$K$110,0)),IF('Track Data'!O1209=5,INDEX(Acceleration!$U$4:$U$110,MATCH('Track Data'!S1209,Acceleration!$K$4:$K$110,0)),1)),U1209)</f>
        <v>1</v>
      </c>
      <c r="AG1209" s="16">
        <f>IF(AC1209=0,IF(O1209=4,INDEX(Acceleration!$T$4:$T$110,MATCH('Track Data'!S1209,Acceleration!$K$4:$K$110,0)),IF('Track Data'!O1209=3,INDEX(Acceleration!$S$4:$S$110,MATCH('Track Data'!S1209,Acceleration!$K$4:$K$110,0)),'Track Data'!AF1209)),'Track Data'!U1209)</f>
        <v>4.8209066787706405</v>
      </c>
      <c r="AH1209" s="16">
        <f>IF(AC1209=0,IF(O1209=2,INDEX(Acceleration!$R$4:$R$110,MATCH('Track Data'!S1209,Acceleration!$K$4:$K$110,0)),IF('Track Data'!O1209=1,INDEX(Acceleration!$Q$4:$Q$110,MATCH('Track Data'!S1209,Acceleration!$K$4:$K$110,0)),'Track Data'!AG1209)),'Track Data'!U1209)</f>
        <v>4.8209066787706405</v>
      </c>
    </row>
    <row r="1210" spans="2:34" x14ac:dyDescent="0.25">
      <c r="B1210" s="16">
        <v>229.61</v>
      </c>
      <c r="C1210" s="16">
        <v>8480</v>
      </c>
      <c r="D1210" s="16">
        <v>1207</v>
      </c>
      <c r="E1210" s="113">
        <v>144</v>
      </c>
      <c r="F1210" s="113">
        <v>135</v>
      </c>
      <c r="G1210" s="113">
        <v>127.2</v>
      </c>
      <c r="H1210" s="113">
        <f t="shared" si="131"/>
        <v>35.333333333333336</v>
      </c>
      <c r="I1210" s="113">
        <v>10.6</v>
      </c>
      <c r="J1210" s="113">
        <v>22.29</v>
      </c>
      <c r="K1210" s="113">
        <v>-46</v>
      </c>
      <c r="L1210" s="183"/>
      <c r="M1210" s="16">
        <v>1207</v>
      </c>
      <c r="N1210" s="16">
        <f t="shared" si="133"/>
        <v>2.2841188743510724E-2</v>
      </c>
      <c r="O1210" s="16">
        <v>4</v>
      </c>
      <c r="P1210" s="16">
        <f t="shared" si="129"/>
        <v>9.1833785004516724</v>
      </c>
      <c r="Q1210" s="16">
        <f t="shared" si="134"/>
        <v>43.780558500227102</v>
      </c>
      <c r="R1210" s="113">
        <f t="shared" si="130"/>
        <v>329.49099999999999</v>
      </c>
      <c r="S1210" s="16">
        <f>IF(S1209=15800,15800,ROUND((((Q1210*60)/'Gearing Calculator'!$C$14)*'Track Data'!P1210),-2))</f>
        <v>12200</v>
      </c>
      <c r="T1210" s="16">
        <f t="shared" si="132"/>
        <v>4.8209066787706405</v>
      </c>
      <c r="U1210" s="16">
        <f>IF(AC1210=100,Braking!$AG$2354,IF(AC1210=50,Braking!$AG$1179,IF(AC1210=75,Braking!$AG$1767,0)))</f>
        <v>0</v>
      </c>
      <c r="V1210" s="16">
        <f>0.5*'Gearing Calculator'!$C$15*'Gearing Calculator'!$C$20*'Gearing Calculator'!$W$20*('Track Data'!Q1210^2)</f>
        <v>202.8674761063169</v>
      </c>
      <c r="W1210" s="16">
        <f>('Gearing Calculator'!$U$9*'Track Data'!T1210)+'Track Data'!V1210</f>
        <v>1486.1928339950614</v>
      </c>
      <c r="X1210" s="16">
        <f>('Gearing Calculator'!$U$9*9.81)*('Gearing Calculator'!$U$16/'Gearing Calculator'!$C$7)-(('Track Data'!W1210)*('Gearing Calculator'!$U$17/'Gearing Calculator'!$C$7))</f>
        <v>591.0857078158931</v>
      </c>
      <c r="Y1210" s="16">
        <f>('Gearing Calculator'!$U$9*9.81)*(('Gearing Calculator'!$C$7-'Gearing Calculator'!$U$16)/'Gearing Calculator'!$C$7)+(('Track Data'!W1210)*('Gearing Calculator'!$U$17/'Gearing Calculator'!$C$7))</f>
        <v>2020.3362921841069</v>
      </c>
      <c r="Z1210" s="16">
        <f>((X1210*COS('Gearing Calculator'!$C$21))/'Gearing Calculator'!$C$22)/2</f>
        <v>18.274500640847798</v>
      </c>
      <c r="AA1210" s="16">
        <f>Y1210/'Gearing Calculator'!$C$24</f>
        <v>28.210670940130971</v>
      </c>
      <c r="AB1210" s="16">
        <f t="shared" si="135"/>
        <v>222.15110282139946</v>
      </c>
      <c r="AC1210" s="16">
        <v>0</v>
      </c>
      <c r="AD1210" s="16">
        <v>-45.249166535644598</v>
      </c>
      <c r="AE1210" s="16">
        <v>1207</v>
      </c>
      <c r="AF1210" s="16">
        <f>IF(AC1210=0,IF(O1210=6,INDEX(Acceleration!$V$4:$V$110,MATCH('Track Data'!S1210,Acceleration!$K$4:$K$110,0)),IF('Track Data'!O1210=5,INDEX(Acceleration!$U$4:$U$110,MATCH('Track Data'!S1210,Acceleration!$K$4:$K$110,0)),1)),U1210)</f>
        <v>1</v>
      </c>
      <c r="AG1210" s="16">
        <f>IF(AC1210=0,IF(O1210=4,INDEX(Acceleration!$T$4:$T$110,MATCH('Track Data'!S1210,Acceleration!$K$4:$K$110,0)),IF('Track Data'!O1210=3,INDEX(Acceleration!$S$4:$S$110,MATCH('Track Data'!S1210,Acceleration!$K$4:$K$110,0)),'Track Data'!AF1210)),'Track Data'!U1210)</f>
        <v>4.8209066787706405</v>
      </c>
      <c r="AH1210" s="16">
        <f>IF(AC1210=0,IF(O1210=2,INDEX(Acceleration!$R$4:$R$110,MATCH('Track Data'!S1210,Acceleration!$K$4:$K$110,0)),IF('Track Data'!O1210=1,INDEX(Acceleration!$Q$4:$Q$110,MATCH('Track Data'!S1210,Acceleration!$K$4:$K$110,0)),'Track Data'!AG1210)),'Track Data'!U1210)</f>
        <v>4.8209066787706405</v>
      </c>
    </row>
    <row r="1211" spans="2:34" x14ac:dyDescent="0.25">
      <c r="B1211" s="16">
        <v>229.637</v>
      </c>
      <c r="C1211" s="16">
        <v>8481</v>
      </c>
      <c r="D1211" s="16">
        <v>1208</v>
      </c>
      <c r="E1211" s="113">
        <v>144</v>
      </c>
      <c r="F1211" s="113">
        <v>135.4</v>
      </c>
      <c r="G1211" s="113">
        <v>127.6</v>
      </c>
      <c r="H1211" s="113">
        <f t="shared" si="131"/>
        <v>35.444444444444443</v>
      </c>
      <c r="I1211" s="113">
        <v>10.9</v>
      </c>
      <c r="J1211" s="113">
        <v>22.92</v>
      </c>
      <c r="K1211" s="113">
        <v>-46.2</v>
      </c>
      <c r="L1211" s="183"/>
      <c r="M1211" s="16">
        <v>1208</v>
      </c>
      <c r="N1211" s="16">
        <f t="shared" si="133"/>
        <v>2.2841188743510724E-2</v>
      </c>
      <c r="O1211" s="16">
        <v>4</v>
      </c>
      <c r="P1211" s="16">
        <f t="shared" si="129"/>
        <v>9.1833785004516724</v>
      </c>
      <c r="Q1211" s="16">
        <f t="shared" si="134"/>
        <v>43.780558500227102</v>
      </c>
      <c r="R1211" s="113">
        <f t="shared" si="130"/>
        <v>329.49099999999999</v>
      </c>
      <c r="S1211" s="16">
        <f>IF(S1210=15800,15800,ROUND((((Q1211*60)/'Gearing Calculator'!$C$14)*'Track Data'!P1211),-2))</f>
        <v>12200</v>
      </c>
      <c r="T1211" s="16">
        <f t="shared" si="132"/>
        <v>4.8209066787706405</v>
      </c>
      <c r="U1211" s="16">
        <f>IF(AC1211=100,Braking!$AG$2354,IF(AC1211=50,Braking!$AG$1179,IF(AC1211=75,Braking!$AG$1767,0)))</f>
        <v>0</v>
      </c>
      <c r="V1211" s="16">
        <f>0.5*'Gearing Calculator'!$C$15*'Gearing Calculator'!$C$20*'Gearing Calculator'!$W$20*('Track Data'!Q1211^2)</f>
        <v>202.8674761063169</v>
      </c>
      <c r="W1211" s="16">
        <f>('Gearing Calculator'!$U$9*'Track Data'!T1211)+'Track Data'!V1211</f>
        <v>1486.1928339950614</v>
      </c>
      <c r="X1211" s="16">
        <f>('Gearing Calculator'!$U$9*9.81)*('Gearing Calculator'!$U$16/'Gearing Calculator'!$C$7)-(('Track Data'!W1211)*('Gearing Calculator'!$U$17/'Gearing Calculator'!$C$7))</f>
        <v>591.0857078158931</v>
      </c>
      <c r="Y1211" s="16">
        <f>('Gearing Calculator'!$U$9*9.81)*(('Gearing Calculator'!$C$7-'Gearing Calculator'!$U$16)/'Gearing Calculator'!$C$7)+(('Track Data'!W1211)*('Gearing Calculator'!$U$17/'Gearing Calculator'!$C$7))</f>
        <v>2020.3362921841069</v>
      </c>
      <c r="Z1211" s="16">
        <f>((X1211*COS('Gearing Calculator'!$C$21))/'Gearing Calculator'!$C$22)/2</f>
        <v>18.274500640847798</v>
      </c>
      <c r="AA1211" s="16">
        <f>Y1211/'Gearing Calculator'!$C$24</f>
        <v>28.210670940130971</v>
      </c>
      <c r="AB1211" s="16">
        <f t="shared" si="135"/>
        <v>222.15110282139946</v>
      </c>
      <c r="AC1211" s="16">
        <v>0</v>
      </c>
      <c r="AD1211" s="16">
        <v>-45.249166535644598</v>
      </c>
      <c r="AE1211" s="16">
        <v>1208</v>
      </c>
      <c r="AF1211" s="16">
        <f>IF(AC1211=0,IF(O1211=6,INDEX(Acceleration!$V$4:$V$110,MATCH('Track Data'!S1211,Acceleration!$K$4:$K$110,0)),IF('Track Data'!O1211=5,INDEX(Acceleration!$U$4:$U$110,MATCH('Track Data'!S1211,Acceleration!$K$4:$K$110,0)),1)),U1211)</f>
        <v>1</v>
      </c>
      <c r="AG1211" s="16">
        <f>IF(AC1211=0,IF(O1211=4,INDEX(Acceleration!$T$4:$T$110,MATCH('Track Data'!S1211,Acceleration!$K$4:$K$110,0)),IF('Track Data'!O1211=3,INDEX(Acceleration!$S$4:$S$110,MATCH('Track Data'!S1211,Acceleration!$K$4:$K$110,0)),'Track Data'!AF1211)),'Track Data'!U1211)</f>
        <v>4.8209066787706405</v>
      </c>
      <c r="AH1211" s="16">
        <f>IF(AC1211=0,IF(O1211=2,INDEX(Acceleration!$R$4:$R$110,MATCH('Track Data'!S1211,Acceleration!$K$4:$K$110,0)),IF('Track Data'!O1211=1,INDEX(Acceleration!$Q$4:$Q$110,MATCH('Track Data'!S1211,Acceleration!$K$4:$K$110,0)),'Track Data'!AG1211)),'Track Data'!U1211)</f>
        <v>4.8209066787706405</v>
      </c>
    </row>
    <row r="1212" spans="2:34" x14ac:dyDescent="0.25">
      <c r="B1212" s="16">
        <v>229.66399999999999</v>
      </c>
      <c r="C1212" s="16">
        <v>8482</v>
      </c>
      <c r="D1212" s="16">
        <v>1209</v>
      </c>
      <c r="E1212" s="113">
        <v>145</v>
      </c>
      <c r="F1212" s="113">
        <v>136</v>
      </c>
      <c r="G1212" s="113">
        <v>128.19999999999999</v>
      </c>
      <c r="H1212" s="113">
        <f t="shared" si="131"/>
        <v>35.611111111111107</v>
      </c>
      <c r="I1212" s="113">
        <v>10.7</v>
      </c>
      <c r="J1212" s="113">
        <v>26.22</v>
      </c>
      <c r="K1212" s="113">
        <v>-46.6</v>
      </c>
      <c r="L1212" s="183"/>
      <c r="M1212" s="16">
        <v>1209</v>
      </c>
      <c r="N1212" s="16">
        <f t="shared" si="133"/>
        <v>2.2841188743510724E-2</v>
      </c>
      <c r="O1212" s="16">
        <v>4</v>
      </c>
      <c r="P1212" s="16">
        <f t="shared" si="129"/>
        <v>9.1833785004516724</v>
      </c>
      <c r="Q1212" s="16">
        <f t="shared" si="134"/>
        <v>43.780558500227102</v>
      </c>
      <c r="R1212" s="113">
        <f t="shared" si="130"/>
        <v>329.49099999999999</v>
      </c>
      <c r="S1212" s="16">
        <f>IF(S1211=15800,15800,ROUND((((Q1212*60)/'Gearing Calculator'!$C$14)*'Track Data'!P1212),-2))</f>
        <v>12200</v>
      </c>
      <c r="T1212" s="16">
        <f t="shared" si="132"/>
        <v>4.8209066787706405</v>
      </c>
      <c r="U1212" s="16">
        <f>IF(AC1212=100,Braking!$AG$2354,IF(AC1212=50,Braking!$AG$1179,IF(AC1212=75,Braking!$AG$1767,0)))</f>
        <v>0</v>
      </c>
      <c r="V1212" s="16">
        <f>0.5*'Gearing Calculator'!$C$15*'Gearing Calculator'!$C$20*'Gearing Calculator'!$W$20*('Track Data'!Q1212^2)</f>
        <v>202.8674761063169</v>
      </c>
      <c r="W1212" s="16">
        <f>('Gearing Calculator'!$U$9*'Track Data'!T1212)+'Track Data'!V1212</f>
        <v>1486.1928339950614</v>
      </c>
      <c r="X1212" s="16">
        <f>('Gearing Calculator'!$U$9*9.81)*('Gearing Calculator'!$U$16/'Gearing Calculator'!$C$7)-(('Track Data'!W1212)*('Gearing Calculator'!$U$17/'Gearing Calculator'!$C$7))</f>
        <v>591.0857078158931</v>
      </c>
      <c r="Y1212" s="16">
        <f>('Gearing Calculator'!$U$9*9.81)*(('Gearing Calculator'!$C$7-'Gearing Calculator'!$U$16)/'Gearing Calculator'!$C$7)+(('Track Data'!W1212)*('Gearing Calculator'!$U$17/'Gearing Calculator'!$C$7))</f>
        <v>2020.3362921841069</v>
      </c>
      <c r="Z1212" s="16">
        <f>((X1212*COS('Gearing Calculator'!$C$21))/'Gearing Calculator'!$C$22)/2</f>
        <v>18.274500640847798</v>
      </c>
      <c r="AA1212" s="16">
        <f>Y1212/'Gearing Calculator'!$C$24</f>
        <v>28.210670940130971</v>
      </c>
      <c r="AB1212" s="16">
        <f t="shared" si="135"/>
        <v>222.15110282139946</v>
      </c>
      <c r="AC1212" s="16">
        <v>0</v>
      </c>
      <c r="AD1212" s="16">
        <v>-45.249166535644598</v>
      </c>
      <c r="AE1212" s="16">
        <v>1209</v>
      </c>
      <c r="AF1212" s="16">
        <f>IF(AC1212=0,IF(O1212=6,INDEX(Acceleration!$V$4:$V$110,MATCH('Track Data'!S1212,Acceleration!$K$4:$K$110,0)),IF('Track Data'!O1212=5,INDEX(Acceleration!$U$4:$U$110,MATCH('Track Data'!S1212,Acceleration!$K$4:$K$110,0)),1)),U1212)</f>
        <v>1</v>
      </c>
      <c r="AG1212" s="16">
        <f>IF(AC1212=0,IF(O1212=4,INDEX(Acceleration!$T$4:$T$110,MATCH('Track Data'!S1212,Acceleration!$K$4:$K$110,0)),IF('Track Data'!O1212=3,INDEX(Acceleration!$S$4:$S$110,MATCH('Track Data'!S1212,Acceleration!$K$4:$K$110,0)),'Track Data'!AF1212)),'Track Data'!U1212)</f>
        <v>4.8209066787706405</v>
      </c>
      <c r="AH1212" s="16">
        <f>IF(AC1212=0,IF(O1212=2,INDEX(Acceleration!$R$4:$R$110,MATCH('Track Data'!S1212,Acceleration!$K$4:$K$110,0)),IF('Track Data'!O1212=1,INDEX(Acceleration!$Q$4:$Q$110,MATCH('Track Data'!S1212,Acceleration!$K$4:$K$110,0)),'Track Data'!AG1212)),'Track Data'!U1212)</f>
        <v>4.8209066787706405</v>
      </c>
    </row>
    <row r="1213" spans="2:34" x14ac:dyDescent="0.25">
      <c r="B1213" s="16">
        <v>229.69</v>
      </c>
      <c r="C1213" s="16">
        <v>8483</v>
      </c>
      <c r="D1213" s="16">
        <v>1210</v>
      </c>
      <c r="E1213" s="113">
        <v>146</v>
      </c>
      <c r="F1213" s="113">
        <v>136.4</v>
      </c>
      <c r="G1213" s="113">
        <v>128.69999999999999</v>
      </c>
      <c r="H1213" s="113">
        <f t="shared" si="131"/>
        <v>35.749999999999993</v>
      </c>
      <c r="I1213" s="113">
        <v>10.6</v>
      </c>
      <c r="J1213" s="113">
        <v>23.93</v>
      </c>
      <c r="K1213" s="113">
        <v>-46</v>
      </c>
      <c r="L1213" s="183"/>
      <c r="M1213" s="16">
        <v>1210</v>
      </c>
      <c r="N1213" s="16">
        <f t="shared" si="133"/>
        <v>2.2841188743510724E-2</v>
      </c>
      <c r="O1213" s="16">
        <v>4</v>
      </c>
      <c r="P1213" s="16">
        <f t="shared" si="129"/>
        <v>9.1833785004516724</v>
      </c>
      <c r="Q1213" s="16">
        <f t="shared" si="134"/>
        <v>43.780558500227102</v>
      </c>
      <c r="R1213" s="113">
        <f t="shared" si="130"/>
        <v>329.49099999999999</v>
      </c>
      <c r="S1213" s="16">
        <f>IF(S1212=15800,15800,ROUND((((Q1213*60)/'Gearing Calculator'!$C$14)*'Track Data'!P1213),-2))</f>
        <v>12200</v>
      </c>
      <c r="T1213" s="16">
        <f t="shared" si="132"/>
        <v>4.8209066787706405</v>
      </c>
      <c r="U1213" s="16">
        <f>IF(AC1213=100,Braking!$AG$2354,IF(AC1213=50,Braking!$AG$1179,IF(AC1213=75,Braking!$AG$1767,0)))</f>
        <v>0</v>
      </c>
      <c r="V1213" s="16">
        <f>0.5*'Gearing Calculator'!$C$15*'Gearing Calculator'!$C$20*'Gearing Calculator'!$W$20*('Track Data'!Q1213^2)</f>
        <v>202.8674761063169</v>
      </c>
      <c r="W1213" s="16">
        <f>('Gearing Calculator'!$U$9*'Track Data'!T1213)+'Track Data'!V1213</f>
        <v>1486.1928339950614</v>
      </c>
      <c r="X1213" s="16">
        <f>('Gearing Calculator'!$U$9*9.81)*('Gearing Calculator'!$U$16/'Gearing Calculator'!$C$7)-(('Track Data'!W1213)*('Gearing Calculator'!$U$17/'Gearing Calculator'!$C$7))</f>
        <v>591.0857078158931</v>
      </c>
      <c r="Y1213" s="16">
        <f>('Gearing Calculator'!$U$9*9.81)*(('Gearing Calculator'!$C$7-'Gearing Calculator'!$U$16)/'Gearing Calculator'!$C$7)+(('Track Data'!W1213)*('Gearing Calculator'!$U$17/'Gearing Calculator'!$C$7))</f>
        <v>2020.3362921841069</v>
      </c>
      <c r="Z1213" s="16">
        <f>((X1213*COS('Gearing Calculator'!$C$21))/'Gearing Calculator'!$C$22)/2</f>
        <v>18.274500640847798</v>
      </c>
      <c r="AA1213" s="16">
        <f>Y1213/'Gearing Calculator'!$C$24</f>
        <v>28.210670940130971</v>
      </c>
      <c r="AB1213" s="16">
        <f t="shared" si="135"/>
        <v>222.15110282139946</v>
      </c>
      <c r="AC1213" s="16">
        <v>0</v>
      </c>
      <c r="AD1213" s="16">
        <v>-45.249166535644598</v>
      </c>
      <c r="AE1213" s="16">
        <v>1210</v>
      </c>
      <c r="AF1213" s="16">
        <f>IF(AC1213=0,IF(O1213=6,INDEX(Acceleration!$V$4:$V$110,MATCH('Track Data'!S1213,Acceleration!$K$4:$K$110,0)),IF('Track Data'!O1213=5,INDEX(Acceleration!$U$4:$U$110,MATCH('Track Data'!S1213,Acceleration!$K$4:$K$110,0)),1)),U1213)</f>
        <v>1</v>
      </c>
      <c r="AG1213" s="16">
        <f>IF(AC1213=0,IF(O1213=4,INDEX(Acceleration!$T$4:$T$110,MATCH('Track Data'!S1213,Acceleration!$K$4:$K$110,0)),IF('Track Data'!O1213=3,INDEX(Acceleration!$S$4:$S$110,MATCH('Track Data'!S1213,Acceleration!$K$4:$K$110,0)),'Track Data'!AF1213)),'Track Data'!U1213)</f>
        <v>4.8209066787706405</v>
      </c>
      <c r="AH1213" s="16">
        <f>IF(AC1213=0,IF(O1213=2,INDEX(Acceleration!$R$4:$R$110,MATCH('Track Data'!S1213,Acceleration!$K$4:$K$110,0)),IF('Track Data'!O1213=1,INDEX(Acceleration!$Q$4:$Q$110,MATCH('Track Data'!S1213,Acceleration!$K$4:$K$110,0)),'Track Data'!AG1213)),'Track Data'!U1213)</f>
        <v>4.8209066787706405</v>
      </c>
    </row>
    <row r="1214" spans="2:34" x14ac:dyDescent="0.25">
      <c r="B1214" s="16">
        <v>229.71600000000001</v>
      </c>
      <c r="C1214" s="16">
        <v>8484</v>
      </c>
      <c r="D1214" s="16">
        <v>1211</v>
      </c>
      <c r="E1214" s="113">
        <v>145</v>
      </c>
      <c r="F1214" s="113">
        <v>136.6</v>
      </c>
      <c r="G1214" s="113">
        <v>129.1</v>
      </c>
      <c r="H1214" s="113">
        <f t="shared" si="131"/>
        <v>35.861111111111107</v>
      </c>
      <c r="I1214" s="113">
        <v>11.7</v>
      </c>
      <c r="J1214" s="113">
        <v>22.89</v>
      </c>
      <c r="K1214" s="113">
        <v>-44.8</v>
      </c>
      <c r="L1214" s="183"/>
      <c r="M1214" s="16">
        <v>1211</v>
      </c>
      <c r="N1214" s="16">
        <f t="shared" si="133"/>
        <v>2.2841188743510724E-2</v>
      </c>
      <c r="O1214" s="16">
        <v>4</v>
      </c>
      <c r="P1214" s="16">
        <f t="shared" si="129"/>
        <v>9.1833785004516724</v>
      </c>
      <c r="Q1214" s="16">
        <f t="shared" si="134"/>
        <v>43.780558500227102</v>
      </c>
      <c r="R1214" s="113">
        <f t="shared" si="130"/>
        <v>329.49099999999999</v>
      </c>
      <c r="S1214" s="16">
        <f>IF(S1213=15800,15800,ROUND((((Q1214*60)/'Gearing Calculator'!$C$14)*'Track Data'!P1214),-2))</f>
        <v>12200</v>
      </c>
      <c r="T1214" s="16">
        <f t="shared" si="132"/>
        <v>4.8209066787706405</v>
      </c>
      <c r="U1214" s="16">
        <f>IF(AC1214=100,Braking!$AG$2354,IF(AC1214=50,Braking!$AG$1179,IF(AC1214=75,Braking!$AG$1767,0)))</f>
        <v>0</v>
      </c>
      <c r="V1214" s="16">
        <f>0.5*'Gearing Calculator'!$C$15*'Gearing Calculator'!$C$20*'Gearing Calculator'!$W$20*('Track Data'!Q1214^2)</f>
        <v>202.8674761063169</v>
      </c>
      <c r="W1214" s="16">
        <f>('Gearing Calculator'!$U$9*'Track Data'!T1214)+'Track Data'!V1214</f>
        <v>1486.1928339950614</v>
      </c>
      <c r="X1214" s="16">
        <f>('Gearing Calculator'!$U$9*9.81)*('Gearing Calculator'!$U$16/'Gearing Calculator'!$C$7)-(('Track Data'!W1214)*('Gearing Calculator'!$U$17/'Gearing Calculator'!$C$7))</f>
        <v>591.0857078158931</v>
      </c>
      <c r="Y1214" s="16">
        <f>('Gearing Calculator'!$U$9*9.81)*(('Gearing Calculator'!$C$7-'Gearing Calculator'!$U$16)/'Gearing Calculator'!$C$7)+(('Track Data'!W1214)*('Gearing Calculator'!$U$17/'Gearing Calculator'!$C$7))</f>
        <v>2020.3362921841069</v>
      </c>
      <c r="Z1214" s="16">
        <f>((X1214*COS('Gearing Calculator'!$C$21))/'Gearing Calculator'!$C$22)/2</f>
        <v>18.274500640847798</v>
      </c>
      <c r="AA1214" s="16">
        <f>Y1214/'Gearing Calculator'!$C$24</f>
        <v>28.210670940130971</v>
      </c>
      <c r="AB1214" s="16">
        <f t="shared" si="135"/>
        <v>222.15110282139946</v>
      </c>
      <c r="AC1214" s="16">
        <v>0</v>
      </c>
      <c r="AD1214" s="16">
        <v>-45.249166535644598</v>
      </c>
      <c r="AE1214" s="16">
        <v>1211</v>
      </c>
      <c r="AF1214" s="16">
        <f>IF(AC1214=0,IF(O1214=6,INDEX(Acceleration!$V$4:$V$110,MATCH('Track Data'!S1214,Acceleration!$K$4:$K$110,0)),IF('Track Data'!O1214=5,INDEX(Acceleration!$U$4:$U$110,MATCH('Track Data'!S1214,Acceleration!$K$4:$K$110,0)),1)),U1214)</f>
        <v>1</v>
      </c>
      <c r="AG1214" s="16">
        <f>IF(AC1214=0,IF(O1214=4,INDEX(Acceleration!$T$4:$T$110,MATCH('Track Data'!S1214,Acceleration!$K$4:$K$110,0)),IF('Track Data'!O1214=3,INDEX(Acceleration!$S$4:$S$110,MATCH('Track Data'!S1214,Acceleration!$K$4:$K$110,0)),'Track Data'!AF1214)),'Track Data'!U1214)</f>
        <v>4.8209066787706405</v>
      </c>
      <c r="AH1214" s="16">
        <f>IF(AC1214=0,IF(O1214=2,INDEX(Acceleration!$R$4:$R$110,MATCH('Track Data'!S1214,Acceleration!$K$4:$K$110,0)),IF('Track Data'!O1214=1,INDEX(Acceleration!$Q$4:$Q$110,MATCH('Track Data'!S1214,Acceleration!$K$4:$K$110,0)),'Track Data'!AG1214)),'Track Data'!U1214)</f>
        <v>4.8209066787706405</v>
      </c>
    </row>
    <row r="1215" spans="2:34" x14ac:dyDescent="0.25">
      <c r="B1215" s="16">
        <v>229.74299999999999</v>
      </c>
      <c r="C1215" s="16">
        <v>8485</v>
      </c>
      <c r="D1215" s="16">
        <v>1212</v>
      </c>
      <c r="E1215" s="113">
        <v>146</v>
      </c>
      <c r="F1215" s="113">
        <v>136.9</v>
      </c>
      <c r="G1215" s="113">
        <v>129.69999999999999</v>
      </c>
      <c r="H1215" s="113">
        <f t="shared" si="131"/>
        <v>36.027777777777771</v>
      </c>
      <c r="I1215" s="113">
        <v>12.6</v>
      </c>
      <c r="J1215" s="113">
        <v>33.31</v>
      </c>
      <c r="K1215" s="113">
        <v>-43.1</v>
      </c>
      <c r="L1215" s="183"/>
      <c r="M1215" s="16">
        <v>1212</v>
      </c>
      <c r="N1215" s="16">
        <f t="shared" si="133"/>
        <v>2.2841188743510724E-2</v>
      </c>
      <c r="O1215" s="16">
        <v>4</v>
      </c>
      <c r="P1215" s="16">
        <f t="shared" si="129"/>
        <v>9.1833785004516724</v>
      </c>
      <c r="Q1215" s="16">
        <f t="shared" si="134"/>
        <v>43.780558500227102</v>
      </c>
      <c r="R1215" s="113">
        <f t="shared" si="130"/>
        <v>329.49099999999999</v>
      </c>
      <c r="S1215" s="16">
        <f>IF(S1214=15800,15800,ROUND((((Q1215*60)/'Gearing Calculator'!$C$14)*'Track Data'!P1215),-2))</f>
        <v>12200</v>
      </c>
      <c r="T1215" s="16">
        <f t="shared" si="132"/>
        <v>4.8209066787706405</v>
      </c>
      <c r="U1215" s="16">
        <f>IF(AC1215=100,Braking!$AG$2354,IF(AC1215=50,Braking!$AG$1179,IF(AC1215=75,Braking!$AG$1767,0)))</f>
        <v>0</v>
      </c>
      <c r="V1215" s="16">
        <f>0.5*'Gearing Calculator'!$C$15*'Gearing Calculator'!$C$20*'Gearing Calculator'!$W$20*('Track Data'!Q1215^2)</f>
        <v>202.8674761063169</v>
      </c>
      <c r="W1215" s="16">
        <f>('Gearing Calculator'!$U$9*'Track Data'!T1215)+'Track Data'!V1215</f>
        <v>1486.1928339950614</v>
      </c>
      <c r="X1215" s="16">
        <f>('Gearing Calculator'!$U$9*9.81)*('Gearing Calculator'!$U$16/'Gearing Calculator'!$C$7)-(('Track Data'!W1215)*('Gearing Calculator'!$U$17/'Gearing Calculator'!$C$7))</f>
        <v>591.0857078158931</v>
      </c>
      <c r="Y1215" s="16">
        <f>('Gearing Calculator'!$U$9*9.81)*(('Gearing Calculator'!$C$7-'Gearing Calculator'!$U$16)/'Gearing Calculator'!$C$7)+(('Track Data'!W1215)*('Gearing Calculator'!$U$17/'Gearing Calculator'!$C$7))</f>
        <v>2020.3362921841069</v>
      </c>
      <c r="Z1215" s="16">
        <f>((X1215*COS('Gearing Calculator'!$C$21))/'Gearing Calculator'!$C$22)/2</f>
        <v>18.274500640847798</v>
      </c>
      <c r="AA1215" s="16">
        <f>Y1215/'Gearing Calculator'!$C$24</f>
        <v>28.210670940130971</v>
      </c>
      <c r="AB1215" s="16">
        <f t="shared" si="135"/>
        <v>222.15110282139946</v>
      </c>
      <c r="AC1215" s="16">
        <v>0</v>
      </c>
      <c r="AD1215" s="16">
        <v>-45.249166535644598</v>
      </c>
      <c r="AE1215" s="16">
        <v>1212</v>
      </c>
      <c r="AF1215" s="16">
        <f>IF(AC1215=0,IF(O1215=6,INDEX(Acceleration!$V$4:$V$110,MATCH('Track Data'!S1215,Acceleration!$K$4:$K$110,0)),IF('Track Data'!O1215=5,INDEX(Acceleration!$U$4:$U$110,MATCH('Track Data'!S1215,Acceleration!$K$4:$K$110,0)),1)),U1215)</f>
        <v>1</v>
      </c>
      <c r="AG1215" s="16">
        <f>IF(AC1215=0,IF(O1215=4,INDEX(Acceleration!$T$4:$T$110,MATCH('Track Data'!S1215,Acceleration!$K$4:$K$110,0)),IF('Track Data'!O1215=3,INDEX(Acceleration!$S$4:$S$110,MATCH('Track Data'!S1215,Acceleration!$K$4:$K$110,0)),'Track Data'!AF1215)),'Track Data'!U1215)</f>
        <v>4.8209066787706405</v>
      </c>
      <c r="AH1215" s="16">
        <f>IF(AC1215=0,IF(O1215=2,INDEX(Acceleration!$R$4:$R$110,MATCH('Track Data'!S1215,Acceleration!$K$4:$K$110,0)),IF('Track Data'!O1215=1,INDEX(Acceleration!$Q$4:$Q$110,MATCH('Track Data'!S1215,Acceleration!$K$4:$K$110,0)),'Track Data'!AG1215)),'Track Data'!U1215)</f>
        <v>4.8209066787706405</v>
      </c>
    </row>
    <row r="1216" spans="2:34" x14ac:dyDescent="0.25">
      <c r="B1216" s="16">
        <v>229.76900000000001</v>
      </c>
      <c r="C1216" s="16">
        <v>8486</v>
      </c>
      <c r="D1216" s="16">
        <v>1213</v>
      </c>
      <c r="E1216" s="113">
        <v>146</v>
      </c>
      <c r="F1216" s="113">
        <v>137.19999999999999</v>
      </c>
      <c r="G1216" s="113">
        <v>130.1</v>
      </c>
      <c r="H1216" s="113">
        <f t="shared" si="131"/>
        <v>36.138888888888886</v>
      </c>
      <c r="I1216" s="113">
        <v>13</v>
      </c>
      <c r="J1216" s="113">
        <v>31.94</v>
      </c>
      <c r="K1216" s="113">
        <v>-42.1</v>
      </c>
      <c r="L1216" s="183"/>
      <c r="M1216" s="16">
        <v>1213</v>
      </c>
      <c r="N1216" s="16">
        <f t="shared" si="133"/>
        <v>2.2841188743510724E-2</v>
      </c>
      <c r="O1216" s="16">
        <v>4</v>
      </c>
      <c r="P1216" s="16">
        <f t="shared" si="129"/>
        <v>9.1833785004516724</v>
      </c>
      <c r="Q1216" s="16">
        <f t="shared" si="134"/>
        <v>43.780558500227102</v>
      </c>
      <c r="R1216" s="113">
        <f t="shared" si="130"/>
        <v>329.49099999999999</v>
      </c>
      <c r="S1216" s="16">
        <f>IF(S1215=15800,15800,ROUND((((Q1216*60)/'Gearing Calculator'!$C$14)*'Track Data'!P1216),-2))</f>
        <v>12200</v>
      </c>
      <c r="T1216" s="16">
        <f t="shared" si="132"/>
        <v>4.8209066787706405</v>
      </c>
      <c r="U1216" s="16">
        <f>IF(AC1216=100,Braking!$AG$2354,IF(AC1216=50,Braking!$AG$1179,IF(AC1216=75,Braking!$AG$1767,0)))</f>
        <v>0</v>
      </c>
      <c r="V1216" s="16">
        <f>0.5*'Gearing Calculator'!$C$15*'Gearing Calculator'!$C$20*'Gearing Calculator'!$W$20*('Track Data'!Q1216^2)</f>
        <v>202.8674761063169</v>
      </c>
      <c r="W1216" s="16">
        <f>('Gearing Calculator'!$U$9*'Track Data'!T1216)+'Track Data'!V1216</f>
        <v>1486.1928339950614</v>
      </c>
      <c r="X1216" s="16">
        <f>('Gearing Calculator'!$U$9*9.81)*('Gearing Calculator'!$U$16/'Gearing Calculator'!$C$7)-(('Track Data'!W1216)*('Gearing Calculator'!$U$17/'Gearing Calculator'!$C$7))</f>
        <v>591.0857078158931</v>
      </c>
      <c r="Y1216" s="16">
        <f>('Gearing Calculator'!$U$9*9.81)*(('Gearing Calculator'!$C$7-'Gearing Calculator'!$U$16)/'Gearing Calculator'!$C$7)+(('Track Data'!W1216)*('Gearing Calculator'!$U$17/'Gearing Calculator'!$C$7))</f>
        <v>2020.3362921841069</v>
      </c>
      <c r="Z1216" s="16">
        <f>((X1216*COS('Gearing Calculator'!$C$21))/'Gearing Calculator'!$C$22)/2</f>
        <v>18.274500640847798</v>
      </c>
      <c r="AA1216" s="16">
        <f>Y1216/'Gearing Calculator'!$C$24</f>
        <v>28.210670940130971</v>
      </c>
      <c r="AB1216" s="16">
        <f t="shared" si="135"/>
        <v>222.15110282139946</v>
      </c>
      <c r="AC1216" s="16">
        <v>0</v>
      </c>
      <c r="AD1216" s="16">
        <v>-45.249166535644598</v>
      </c>
      <c r="AE1216" s="16">
        <v>1213</v>
      </c>
      <c r="AF1216" s="16">
        <f>IF(AC1216=0,IF(O1216=6,INDEX(Acceleration!$V$4:$V$110,MATCH('Track Data'!S1216,Acceleration!$K$4:$K$110,0)),IF('Track Data'!O1216=5,INDEX(Acceleration!$U$4:$U$110,MATCH('Track Data'!S1216,Acceleration!$K$4:$K$110,0)),1)),U1216)</f>
        <v>1</v>
      </c>
      <c r="AG1216" s="16">
        <f>IF(AC1216=0,IF(O1216=4,INDEX(Acceleration!$T$4:$T$110,MATCH('Track Data'!S1216,Acceleration!$K$4:$K$110,0)),IF('Track Data'!O1216=3,INDEX(Acceleration!$S$4:$S$110,MATCH('Track Data'!S1216,Acceleration!$K$4:$K$110,0)),'Track Data'!AF1216)),'Track Data'!U1216)</f>
        <v>4.8209066787706405</v>
      </c>
      <c r="AH1216" s="16">
        <f>IF(AC1216=0,IF(O1216=2,INDEX(Acceleration!$R$4:$R$110,MATCH('Track Data'!S1216,Acceleration!$K$4:$K$110,0)),IF('Track Data'!O1216=1,INDEX(Acceleration!$Q$4:$Q$110,MATCH('Track Data'!S1216,Acceleration!$K$4:$K$110,0)),'Track Data'!AG1216)),'Track Data'!U1216)</f>
        <v>4.8209066787706405</v>
      </c>
    </row>
    <row r="1217" spans="2:34" x14ac:dyDescent="0.25">
      <c r="B1217" s="16">
        <v>229.79499999999999</v>
      </c>
      <c r="C1217" s="16">
        <v>8487</v>
      </c>
      <c r="D1217" s="16">
        <v>1214</v>
      </c>
      <c r="E1217" s="113">
        <v>146</v>
      </c>
      <c r="F1217" s="113">
        <v>137.69999999999999</v>
      </c>
      <c r="G1217" s="113">
        <v>130.6</v>
      </c>
      <c r="H1217" s="113">
        <f t="shared" si="131"/>
        <v>36.277777777777779</v>
      </c>
      <c r="I1217" s="113">
        <v>15.3</v>
      </c>
      <c r="J1217" s="113">
        <v>29.51</v>
      </c>
      <c r="K1217" s="113">
        <v>-42.1</v>
      </c>
      <c r="L1217" s="183"/>
      <c r="M1217" s="16">
        <v>1214</v>
      </c>
      <c r="N1217" s="16">
        <f t="shared" si="133"/>
        <v>2.2841188743510724E-2</v>
      </c>
      <c r="O1217" s="16">
        <v>4</v>
      </c>
      <c r="P1217" s="16">
        <f t="shared" si="129"/>
        <v>9.1833785004516724</v>
      </c>
      <c r="Q1217" s="16">
        <f t="shared" si="134"/>
        <v>43.780558500227102</v>
      </c>
      <c r="R1217" s="113">
        <f t="shared" si="130"/>
        <v>329.49099999999999</v>
      </c>
      <c r="S1217" s="16">
        <f>IF(S1216=15800,15800,ROUND((((Q1217*60)/'Gearing Calculator'!$C$14)*'Track Data'!P1217),-2))</f>
        <v>12200</v>
      </c>
      <c r="T1217" s="16">
        <f t="shared" si="132"/>
        <v>4.8209066787706405</v>
      </c>
      <c r="U1217" s="16">
        <f>IF(AC1217=100,Braking!$AG$2354,IF(AC1217=50,Braking!$AG$1179,IF(AC1217=75,Braking!$AG$1767,0)))</f>
        <v>0</v>
      </c>
      <c r="V1217" s="16">
        <f>0.5*'Gearing Calculator'!$C$15*'Gearing Calculator'!$C$20*'Gearing Calculator'!$W$20*('Track Data'!Q1217^2)</f>
        <v>202.8674761063169</v>
      </c>
      <c r="W1217" s="16">
        <f>('Gearing Calculator'!$U$9*'Track Data'!T1217)+'Track Data'!V1217</f>
        <v>1486.1928339950614</v>
      </c>
      <c r="X1217" s="16">
        <f>('Gearing Calculator'!$U$9*9.81)*('Gearing Calculator'!$U$16/'Gearing Calculator'!$C$7)-(('Track Data'!W1217)*('Gearing Calculator'!$U$17/'Gearing Calculator'!$C$7))</f>
        <v>591.0857078158931</v>
      </c>
      <c r="Y1217" s="16">
        <f>('Gearing Calculator'!$U$9*9.81)*(('Gearing Calculator'!$C$7-'Gearing Calculator'!$U$16)/'Gearing Calculator'!$C$7)+(('Track Data'!W1217)*('Gearing Calculator'!$U$17/'Gearing Calculator'!$C$7))</f>
        <v>2020.3362921841069</v>
      </c>
      <c r="Z1217" s="16">
        <f>((X1217*COS('Gearing Calculator'!$C$21))/'Gearing Calculator'!$C$22)/2</f>
        <v>18.274500640847798</v>
      </c>
      <c r="AA1217" s="16">
        <f>Y1217/'Gearing Calculator'!$C$24</f>
        <v>28.210670940130971</v>
      </c>
      <c r="AB1217" s="16">
        <f t="shared" si="135"/>
        <v>222.15110282139946</v>
      </c>
      <c r="AC1217" s="16">
        <v>0</v>
      </c>
      <c r="AD1217" s="16">
        <v>-45.249166535644598</v>
      </c>
      <c r="AE1217" s="16">
        <v>1214</v>
      </c>
      <c r="AF1217" s="16">
        <f>IF(AC1217=0,IF(O1217=6,INDEX(Acceleration!$V$4:$V$110,MATCH('Track Data'!S1217,Acceleration!$K$4:$K$110,0)),IF('Track Data'!O1217=5,INDEX(Acceleration!$U$4:$U$110,MATCH('Track Data'!S1217,Acceleration!$K$4:$K$110,0)),1)),U1217)</f>
        <v>1</v>
      </c>
      <c r="AG1217" s="16">
        <f>IF(AC1217=0,IF(O1217=4,INDEX(Acceleration!$T$4:$T$110,MATCH('Track Data'!S1217,Acceleration!$K$4:$K$110,0)),IF('Track Data'!O1217=3,INDEX(Acceleration!$S$4:$S$110,MATCH('Track Data'!S1217,Acceleration!$K$4:$K$110,0)),'Track Data'!AF1217)),'Track Data'!U1217)</f>
        <v>4.8209066787706405</v>
      </c>
      <c r="AH1217" s="16">
        <f>IF(AC1217=0,IF(O1217=2,INDEX(Acceleration!$R$4:$R$110,MATCH('Track Data'!S1217,Acceleration!$K$4:$K$110,0)),IF('Track Data'!O1217=1,INDEX(Acceleration!$Q$4:$Q$110,MATCH('Track Data'!S1217,Acceleration!$K$4:$K$110,0)),'Track Data'!AG1217)),'Track Data'!U1217)</f>
        <v>4.8209066787706405</v>
      </c>
    </row>
    <row r="1218" spans="2:34" x14ac:dyDescent="0.25">
      <c r="B1218" s="16">
        <v>229.821</v>
      </c>
      <c r="C1218" s="16">
        <v>8488</v>
      </c>
      <c r="D1218" s="16">
        <v>1215</v>
      </c>
      <c r="E1218" s="113">
        <v>147</v>
      </c>
      <c r="F1218" s="113">
        <v>138.19999999999999</v>
      </c>
      <c r="G1218" s="113">
        <v>131.19999999999999</v>
      </c>
      <c r="H1218" s="113">
        <f t="shared" si="131"/>
        <v>36.444444444444443</v>
      </c>
      <c r="I1218" s="113">
        <v>15.3</v>
      </c>
      <c r="J1218" s="113">
        <v>29.02</v>
      </c>
      <c r="K1218" s="113">
        <v>-42.1</v>
      </c>
      <c r="L1218" s="183"/>
      <c r="M1218" s="16">
        <v>1215</v>
      </c>
      <c r="N1218" s="16">
        <f t="shared" si="133"/>
        <v>2.2841188743510724E-2</v>
      </c>
      <c r="O1218" s="16">
        <v>4</v>
      </c>
      <c r="P1218" s="16">
        <f t="shared" si="129"/>
        <v>9.1833785004516724</v>
      </c>
      <c r="Q1218" s="16">
        <f t="shared" si="134"/>
        <v>43.780558500227102</v>
      </c>
      <c r="R1218" s="113">
        <f t="shared" si="130"/>
        <v>329.49099999999999</v>
      </c>
      <c r="S1218" s="16">
        <f>IF(S1217=15800,15800,ROUND((((Q1218*60)/'Gearing Calculator'!$C$14)*'Track Data'!P1218),-2))</f>
        <v>12200</v>
      </c>
      <c r="T1218" s="16">
        <f t="shared" si="132"/>
        <v>4.8209066787706405</v>
      </c>
      <c r="U1218" s="16">
        <f>IF(AC1218=100,Braking!$AG$2354,IF(AC1218=50,Braking!$AG$1179,IF(AC1218=75,Braking!$AG$1767,0)))</f>
        <v>0</v>
      </c>
      <c r="V1218" s="16">
        <f>0.5*'Gearing Calculator'!$C$15*'Gearing Calculator'!$C$20*'Gearing Calculator'!$W$20*('Track Data'!Q1218^2)</f>
        <v>202.8674761063169</v>
      </c>
      <c r="W1218" s="16">
        <f>('Gearing Calculator'!$U$9*'Track Data'!T1218)+'Track Data'!V1218</f>
        <v>1486.1928339950614</v>
      </c>
      <c r="X1218" s="16">
        <f>('Gearing Calculator'!$U$9*9.81)*('Gearing Calculator'!$U$16/'Gearing Calculator'!$C$7)-(('Track Data'!W1218)*('Gearing Calculator'!$U$17/'Gearing Calculator'!$C$7))</f>
        <v>591.0857078158931</v>
      </c>
      <c r="Y1218" s="16">
        <f>('Gearing Calculator'!$U$9*9.81)*(('Gearing Calculator'!$C$7-'Gearing Calculator'!$U$16)/'Gearing Calculator'!$C$7)+(('Track Data'!W1218)*('Gearing Calculator'!$U$17/'Gearing Calculator'!$C$7))</f>
        <v>2020.3362921841069</v>
      </c>
      <c r="Z1218" s="16">
        <f>((X1218*COS('Gearing Calculator'!$C$21))/'Gearing Calculator'!$C$22)/2</f>
        <v>18.274500640847798</v>
      </c>
      <c r="AA1218" s="16">
        <f>Y1218/'Gearing Calculator'!$C$24</f>
        <v>28.210670940130971</v>
      </c>
      <c r="AB1218" s="16">
        <f t="shared" si="135"/>
        <v>222.15110282139946</v>
      </c>
      <c r="AC1218" s="16">
        <v>0</v>
      </c>
      <c r="AD1218" s="16">
        <v>-45.249166535644598</v>
      </c>
      <c r="AE1218" s="16">
        <v>1215</v>
      </c>
      <c r="AF1218" s="16">
        <f>IF(AC1218=0,IF(O1218=6,INDEX(Acceleration!$V$4:$V$110,MATCH('Track Data'!S1218,Acceleration!$K$4:$K$110,0)),IF('Track Data'!O1218=5,INDEX(Acceleration!$U$4:$U$110,MATCH('Track Data'!S1218,Acceleration!$K$4:$K$110,0)),1)),U1218)</f>
        <v>1</v>
      </c>
      <c r="AG1218" s="16">
        <f>IF(AC1218=0,IF(O1218=4,INDEX(Acceleration!$T$4:$T$110,MATCH('Track Data'!S1218,Acceleration!$K$4:$K$110,0)),IF('Track Data'!O1218=3,INDEX(Acceleration!$S$4:$S$110,MATCH('Track Data'!S1218,Acceleration!$K$4:$K$110,0)),'Track Data'!AF1218)),'Track Data'!U1218)</f>
        <v>4.8209066787706405</v>
      </c>
      <c r="AH1218" s="16">
        <f>IF(AC1218=0,IF(O1218=2,INDEX(Acceleration!$R$4:$R$110,MATCH('Track Data'!S1218,Acceleration!$K$4:$K$110,0)),IF('Track Data'!O1218=1,INDEX(Acceleration!$Q$4:$Q$110,MATCH('Track Data'!S1218,Acceleration!$K$4:$K$110,0)),'Track Data'!AG1218)),'Track Data'!U1218)</f>
        <v>4.8209066787706405</v>
      </c>
    </row>
    <row r="1219" spans="2:34" x14ac:dyDescent="0.25">
      <c r="B1219" s="16">
        <v>229.84700000000001</v>
      </c>
      <c r="C1219" s="16">
        <v>8489</v>
      </c>
      <c r="D1219" s="16">
        <v>1216</v>
      </c>
      <c r="E1219" s="113">
        <v>147</v>
      </c>
      <c r="F1219" s="113">
        <v>138.5</v>
      </c>
      <c r="G1219" s="113">
        <v>131.6</v>
      </c>
      <c r="H1219" s="113">
        <f t="shared" si="131"/>
        <v>36.55555555555555</v>
      </c>
      <c r="I1219" s="113">
        <v>14.6</v>
      </c>
      <c r="J1219" s="113">
        <v>29.11</v>
      </c>
      <c r="K1219" s="113">
        <v>-42.1</v>
      </c>
      <c r="L1219" s="183"/>
      <c r="M1219" s="16">
        <v>1216</v>
      </c>
      <c r="N1219" s="16">
        <f t="shared" si="133"/>
        <v>2.2841188743510724E-2</v>
      </c>
      <c r="O1219" s="16">
        <v>4</v>
      </c>
      <c r="P1219" s="16">
        <f t="shared" si="129"/>
        <v>9.1833785004516724</v>
      </c>
      <c r="Q1219" s="16">
        <f t="shared" si="134"/>
        <v>43.780558500227102</v>
      </c>
      <c r="R1219" s="113">
        <f t="shared" si="130"/>
        <v>329.49099999999999</v>
      </c>
      <c r="S1219" s="16">
        <f>IF(S1218=15800,15800,ROUND((((Q1219*60)/'Gearing Calculator'!$C$14)*'Track Data'!P1219),-2))</f>
        <v>12200</v>
      </c>
      <c r="T1219" s="16">
        <f t="shared" si="132"/>
        <v>4.8209066787706405</v>
      </c>
      <c r="U1219" s="16">
        <f>IF(AC1219=100,Braking!$AG$2354,IF(AC1219=50,Braking!$AG$1179,IF(AC1219=75,Braking!$AG$1767,0)))</f>
        <v>0</v>
      </c>
      <c r="V1219" s="16">
        <f>0.5*'Gearing Calculator'!$C$15*'Gearing Calculator'!$C$20*'Gearing Calculator'!$W$20*('Track Data'!Q1219^2)</f>
        <v>202.8674761063169</v>
      </c>
      <c r="W1219" s="16">
        <f>('Gearing Calculator'!$U$9*'Track Data'!T1219)+'Track Data'!V1219</f>
        <v>1486.1928339950614</v>
      </c>
      <c r="X1219" s="16">
        <f>('Gearing Calculator'!$U$9*9.81)*('Gearing Calculator'!$U$16/'Gearing Calculator'!$C$7)-(('Track Data'!W1219)*('Gearing Calculator'!$U$17/'Gearing Calculator'!$C$7))</f>
        <v>591.0857078158931</v>
      </c>
      <c r="Y1219" s="16">
        <f>('Gearing Calculator'!$U$9*9.81)*(('Gearing Calculator'!$C$7-'Gearing Calculator'!$U$16)/'Gearing Calculator'!$C$7)+(('Track Data'!W1219)*('Gearing Calculator'!$U$17/'Gearing Calculator'!$C$7))</f>
        <v>2020.3362921841069</v>
      </c>
      <c r="Z1219" s="16">
        <f>((X1219*COS('Gearing Calculator'!$C$21))/'Gearing Calculator'!$C$22)/2</f>
        <v>18.274500640847798</v>
      </c>
      <c r="AA1219" s="16">
        <f>Y1219/'Gearing Calculator'!$C$24</f>
        <v>28.210670940130971</v>
      </c>
      <c r="AB1219" s="16">
        <f t="shared" si="135"/>
        <v>222.15110282139946</v>
      </c>
      <c r="AC1219" s="16">
        <v>0</v>
      </c>
      <c r="AD1219" s="16">
        <v>-45.249166535644598</v>
      </c>
      <c r="AE1219" s="16">
        <v>1216</v>
      </c>
      <c r="AF1219" s="16">
        <f>IF(AC1219=0,IF(O1219=6,INDEX(Acceleration!$V$4:$V$110,MATCH('Track Data'!S1219,Acceleration!$K$4:$K$110,0)),IF('Track Data'!O1219=5,INDEX(Acceleration!$U$4:$U$110,MATCH('Track Data'!S1219,Acceleration!$K$4:$K$110,0)),1)),U1219)</f>
        <v>1</v>
      </c>
      <c r="AG1219" s="16">
        <f>IF(AC1219=0,IF(O1219=4,INDEX(Acceleration!$T$4:$T$110,MATCH('Track Data'!S1219,Acceleration!$K$4:$K$110,0)),IF('Track Data'!O1219=3,INDEX(Acceleration!$S$4:$S$110,MATCH('Track Data'!S1219,Acceleration!$K$4:$K$110,0)),'Track Data'!AF1219)),'Track Data'!U1219)</f>
        <v>4.8209066787706405</v>
      </c>
      <c r="AH1219" s="16">
        <f>IF(AC1219=0,IF(O1219=2,INDEX(Acceleration!$R$4:$R$110,MATCH('Track Data'!S1219,Acceleration!$K$4:$K$110,0)),IF('Track Data'!O1219=1,INDEX(Acceleration!$Q$4:$Q$110,MATCH('Track Data'!S1219,Acceleration!$K$4:$K$110,0)),'Track Data'!AG1219)),'Track Data'!U1219)</f>
        <v>4.8209066787706405</v>
      </c>
    </row>
    <row r="1220" spans="2:34" x14ac:dyDescent="0.25">
      <c r="B1220" s="16">
        <v>229.87299999999999</v>
      </c>
      <c r="C1220" s="16">
        <v>8490</v>
      </c>
      <c r="D1220" s="16">
        <v>1217</v>
      </c>
      <c r="E1220" s="113">
        <v>148</v>
      </c>
      <c r="F1220" s="113">
        <v>138.69999999999999</v>
      </c>
      <c r="G1220" s="113">
        <v>132.1</v>
      </c>
      <c r="H1220" s="113">
        <f t="shared" si="131"/>
        <v>36.694444444444443</v>
      </c>
      <c r="I1220" s="113">
        <v>14.1</v>
      </c>
      <c r="J1220" s="113">
        <v>28.09</v>
      </c>
      <c r="K1220" s="113">
        <v>-42.1</v>
      </c>
      <c r="L1220" s="183"/>
      <c r="M1220" s="16">
        <v>1217</v>
      </c>
      <c r="N1220" s="16">
        <f t="shared" si="133"/>
        <v>2.2841188743510724E-2</v>
      </c>
      <c r="O1220" s="16">
        <v>4</v>
      </c>
      <c r="P1220" s="16">
        <f t="shared" ref="P1220:P1283" si="136">VLOOKUP(O1220,$AJ$5:$AK$10,2,FALSE)</f>
        <v>9.1833785004516724</v>
      </c>
      <c r="Q1220" s="16">
        <f t="shared" si="134"/>
        <v>43.780558500227102</v>
      </c>
      <c r="R1220" s="113">
        <f t="shared" ref="R1220:R1283" si="137">VLOOKUP(O1220,$AJ$5:$AL$10,3,FALSE)</f>
        <v>329.49099999999999</v>
      </c>
      <c r="S1220" s="16">
        <f>IF(S1219=15800,15800,ROUND((((Q1220*60)/'Gearing Calculator'!$C$14)*'Track Data'!P1220),-2))</f>
        <v>12200</v>
      </c>
      <c r="T1220" s="16">
        <f t="shared" si="132"/>
        <v>4.8209066787706405</v>
      </c>
      <c r="U1220" s="16">
        <f>IF(AC1220=100,Braking!$AG$2354,IF(AC1220=50,Braking!$AG$1179,IF(AC1220=75,Braking!$AG$1767,0)))</f>
        <v>0</v>
      </c>
      <c r="V1220" s="16">
        <f>0.5*'Gearing Calculator'!$C$15*'Gearing Calculator'!$C$20*'Gearing Calculator'!$W$20*('Track Data'!Q1220^2)</f>
        <v>202.8674761063169</v>
      </c>
      <c r="W1220" s="16">
        <f>('Gearing Calculator'!$U$9*'Track Data'!T1220)+'Track Data'!V1220</f>
        <v>1486.1928339950614</v>
      </c>
      <c r="X1220" s="16">
        <f>('Gearing Calculator'!$U$9*9.81)*('Gearing Calculator'!$U$16/'Gearing Calculator'!$C$7)-(('Track Data'!W1220)*('Gearing Calculator'!$U$17/'Gearing Calculator'!$C$7))</f>
        <v>591.0857078158931</v>
      </c>
      <c r="Y1220" s="16">
        <f>('Gearing Calculator'!$U$9*9.81)*(('Gearing Calculator'!$C$7-'Gearing Calculator'!$U$16)/'Gearing Calculator'!$C$7)+(('Track Data'!W1220)*('Gearing Calculator'!$U$17/'Gearing Calculator'!$C$7))</f>
        <v>2020.3362921841069</v>
      </c>
      <c r="Z1220" s="16">
        <f>((X1220*COS('Gearing Calculator'!$C$21))/'Gearing Calculator'!$C$22)/2</f>
        <v>18.274500640847798</v>
      </c>
      <c r="AA1220" s="16">
        <f>Y1220/'Gearing Calculator'!$C$24</f>
        <v>28.210670940130971</v>
      </c>
      <c r="AB1220" s="16">
        <f t="shared" si="135"/>
        <v>222.15110282139946</v>
      </c>
      <c r="AC1220" s="16">
        <v>0</v>
      </c>
      <c r="AD1220" s="16">
        <v>-45.249166535644598</v>
      </c>
      <c r="AE1220" s="16">
        <v>1217</v>
      </c>
      <c r="AF1220" s="16">
        <f>IF(AC1220=0,IF(O1220=6,INDEX(Acceleration!$V$4:$V$110,MATCH('Track Data'!S1220,Acceleration!$K$4:$K$110,0)),IF('Track Data'!O1220=5,INDEX(Acceleration!$U$4:$U$110,MATCH('Track Data'!S1220,Acceleration!$K$4:$K$110,0)),1)),U1220)</f>
        <v>1</v>
      </c>
      <c r="AG1220" s="16">
        <f>IF(AC1220=0,IF(O1220=4,INDEX(Acceleration!$T$4:$T$110,MATCH('Track Data'!S1220,Acceleration!$K$4:$K$110,0)),IF('Track Data'!O1220=3,INDEX(Acceleration!$S$4:$S$110,MATCH('Track Data'!S1220,Acceleration!$K$4:$K$110,0)),'Track Data'!AF1220)),'Track Data'!U1220)</f>
        <v>4.8209066787706405</v>
      </c>
      <c r="AH1220" s="16">
        <f>IF(AC1220=0,IF(O1220=2,INDEX(Acceleration!$R$4:$R$110,MATCH('Track Data'!S1220,Acceleration!$K$4:$K$110,0)),IF('Track Data'!O1220=1,INDEX(Acceleration!$Q$4:$Q$110,MATCH('Track Data'!S1220,Acceleration!$K$4:$K$110,0)),'Track Data'!AG1220)),'Track Data'!U1220)</f>
        <v>4.8209066787706405</v>
      </c>
    </row>
    <row r="1221" spans="2:34" x14ac:dyDescent="0.25">
      <c r="B1221" s="16">
        <v>229.899</v>
      </c>
      <c r="C1221" s="16">
        <v>8491</v>
      </c>
      <c r="D1221" s="16">
        <v>1218</v>
      </c>
      <c r="E1221" s="113">
        <v>148</v>
      </c>
      <c r="F1221" s="113">
        <v>138.9</v>
      </c>
      <c r="G1221" s="113">
        <v>132.4</v>
      </c>
      <c r="H1221" s="113">
        <f t="shared" ref="H1221:H1284" si="138">G1221/3.6</f>
        <v>36.777777777777779</v>
      </c>
      <c r="I1221" s="113">
        <v>14.2</v>
      </c>
      <c r="J1221" s="113">
        <v>27.35</v>
      </c>
      <c r="K1221" s="113">
        <v>-42.1</v>
      </c>
      <c r="L1221" s="183"/>
      <c r="M1221" s="16">
        <v>1218</v>
      </c>
      <c r="N1221" s="16">
        <f t="shared" si="133"/>
        <v>2.2841188743510724E-2</v>
      </c>
      <c r="O1221" s="16">
        <v>4</v>
      </c>
      <c r="P1221" s="16">
        <f t="shared" si="136"/>
        <v>9.1833785004516724</v>
      </c>
      <c r="Q1221" s="16">
        <f t="shared" si="134"/>
        <v>43.780558500227102</v>
      </c>
      <c r="R1221" s="113">
        <f t="shared" si="137"/>
        <v>329.49099999999999</v>
      </c>
      <c r="S1221" s="16">
        <f>IF(S1220=15800,15800,ROUND((((Q1221*60)/'Gearing Calculator'!$C$14)*'Track Data'!P1221),-2))</f>
        <v>12200</v>
      </c>
      <c r="T1221" s="16">
        <f t="shared" ref="T1221:T1284" si="139">AH1221</f>
        <v>4.8209066787706405</v>
      </c>
      <c r="U1221" s="16">
        <f>IF(AC1221=100,Braking!$AG$2354,IF(AC1221=50,Braking!$AG$1179,IF(AC1221=75,Braking!$AG$1767,0)))</f>
        <v>0</v>
      </c>
      <c r="V1221" s="16">
        <f>0.5*'Gearing Calculator'!$C$15*'Gearing Calculator'!$C$20*'Gearing Calculator'!$W$20*('Track Data'!Q1221^2)</f>
        <v>202.8674761063169</v>
      </c>
      <c r="W1221" s="16">
        <f>('Gearing Calculator'!$U$9*'Track Data'!T1221)+'Track Data'!V1221</f>
        <v>1486.1928339950614</v>
      </c>
      <c r="X1221" s="16">
        <f>('Gearing Calculator'!$U$9*9.81)*('Gearing Calculator'!$U$16/'Gearing Calculator'!$C$7)-(('Track Data'!W1221)*('Gearing Calculator'!$U$17/'Gearing Calculator'!$C$7))</f>
        <v>591.0857078158931</v>
      </c>
      <c r="Y1221" s="16">
        <f>('Gearing Calculator'!$U$9*9.81)*(('Gearing Calculator'!$C$7-'Gearing Calculator'!$U$16)/'Gearing Calculator'!$C$7)+(('Track Data'!W1221)*('Gearing Calculator'!$U$17/'Gearing Calculator'!$C$7))</f>
        <v>2020.3362921841069</v>
      </c>
      <c r="Z1221" s="16">
        <f>((X1221*COS('Gearing Calculator'!$C$21))/'Gearing Calculator'!$C$22)/2</f>
        <v>18.274500640847798</v>
      </c>
      <c r="AA1221" s="16">
        <f>Y1221/'Gearing Calculator'!$C$24</f>
        <v>28.210670940130971</v>
      </c>
      <c r="AB1221" s="16">
        <f t="shared" si="135"/>
        <v>222.15110282139946</v>
      </c>
      <c r="AC1221" s="16">
        <v>0</v>
      </c>
      <c r="AD1221" s="16">
        <v>-45.249166535644598</v>
      </c>
      <c r="AE1221" s="16">
        <v>1218</v>
      </c>
      <c r="AF1221" s="16">
        <f>IF(AC1221=0,IF(O1221=6,INDEX(Acceleration!$V$4:$V$110,MATCH('Track Data'!S1221,Acceleration!$K$4:$K$110,0)),IF('Track Data'!O1221=5,INDEX(Acceleration!$U$4:$U$110,MATCH('Track Data'!S1221,Acceleration!$K$4:$K$110,0)),1)),U1221)</f>
        <v>1</v>
      </c>
      <c r="AG1221" s="16">
        <f>IF(AC1221=0,IF(O1221=4,INDEX(Acceleration!$T$4:$T$110,MATCH('Track Data'!S1221,Acceleration!$K$4:$K$110,0)),IF('Track Data'!O1221=3,INDEX(Acceleration!$S$4:$S$110,MATCH('Track Data'!S1221,Acceleration!$K$4:$K$110,0)),'Track Data'!AF1221)),'Track Data'!U1221)</f>
        <v>4.8209066787706405</v>
      </c>
      <c r="AH1221" s="16">
        <f>IF(AC1221=0,IF(O1221=2,INDEX(Acceleration!$R$4:$R$110,MATCH('Track Data'!S1221,Acceleration!$K$4:$K$110,0)),IF('Track Data'!O1221=1,INDEX(Acceleration!$Q$4:$Q$110,MATCH('Track Data'!S1221,Acceleration!$K$4:$K$110,0)),'Track Data'!AG1221)),'Track Data'!U1221)</f>
        <v>4.8209066787706405</v>
      </c>
    </row>
    <row r="1222" spans="2:34" x14ac:dyDescent="0.25">
      <c r="B1222" s="16">
        <v>229.92500000000001</v>
      </c>
      <c r="C1222" s="16">
        <v>8492</v>
      </c>
      <c r="D1222" s="16">
        <v>1219</v>
      </c>
      <c r="E1222" s="113">
        <v>147</v>
      </c>
      <c r="F1222" s="113">
        <v>139.19999999999999</v>
      </c>
      <c r="G1222" s="113">
        <v>132.9</v>
      </c>
      <c r="H1222" s="113">
        <f t="shared" si="138"/>
        <v>36.916666666666664</v>
      </c>
      <c r="I1222" s="113">
        <v>14.2</v>
      </c>
      <c r="J1222" s="113">
        <v>23.54</v>
      </c>
      <c r="K1222" s="113">
        <v>-42.3</v>
      </c>
      <c r="L1222" s="183"/>
      <c r="M1222" s="16">
        <v>1219</v>
      </c>
      <c r="N1222" s="16">
        <f t="shared" ref="N1222:N1285" si="140">1/Q1222</f>
        <v>2.2841188743510724E-2</v>
      </c>
      <c r="O1222" s="16">
        <v>4</v>
      </c>
      <c r="P1222" s="16">
        <f t="shared" si="136"/>
        <v>9.1833785004516724</v>
      </c>
      <c r="Q1222" s="16">
        <f t="shared" ref="Q1222:Q1285" si="141">IF(AD1221=0,SQRT(Q1221^2+(2*T1221)),Q1221)</f>
        <v>43.780558500227102</v>
      </c>
      <c r="R1222" s="113">
        <f t="shared" si="137"/>
        <v>329.49099999999999</v>
      </c>
      <c r="S1222" s="16">
        <f>IF(S1221=15800,15800,ROUND((((Q1222*60)/'Gearing Calculator'!$C$14)*'Track Data'!P1222),-2))</f>
        <v>12200</v>
      </c>
      <c r="T1222" s="16">
        <f t="shared" si="139"/>
        <v>4.8209066787706405</v>
      </c>
      <c r="U1222" s="16">
        <f>IF(AC1222=100,Braking!$AG$2354,IF(AC1222=50,Braking!$AG$1179,IF(AC1222=75,Braking!$AG$1767,0)))</f>
        <v>0</v>
      </c>
      <c r="V1222" s="16">
        <f>0.5*'Gearing Calculator'!$C$15*'Gearing Calculator'!$C$20*'Gearing Calculator'!$W$20*('Track Data'!Q1222^2)</f>
        <v>202.8674761063169</v>
      </c>
      <c r="W1222" s="16">
        <f>('Gearing Calculator'!$U$9*'Track Data'!T1222)+'Track Data'!V1222</f>
        <v>1486.1928339950614</v>
      </c>
      <c r="X1222" s="16">
        <f>('Gearing Calculator'!$U$9*9.81)*('Gearing Calculator'!$U$16/'Gearing Calculator'!$C$7)-(('Track Data'!W1222)*('Gearing Calculator'!$U$17/'Gearing Calculator'!$C$7))</f>
        <v>591.0857078158931</v>
      </c>
      <c r="Y1222" s="16">
        <f>('Gearing Calculator'!$U$9*9.81)*(('Gearing Calculator'!$C$7-'Gearing Calculator'!$U$16)/'Gearing Calculator'!$C$7)+(('Track Data'!W1222)*('Gearing Calculator'!$U$17/'Gearing Calculator'!$C$7))</f>
        <v>2020.3362921841069</v>
      </c>
      <c r="Z1222" s="16">
        <f>((X1222*COS('Gearing Calculator'!$C$21))/'Gearing Calculator'!$C$22)/2</f>
        <v>18.274500640847798</v>
      </c>
      <c r="AA1222" s="16">
        <f>Y1222/'Gearing Calculator'!$C$24</f>
        <v>28.210670940130971</v>
      </c>
      <c r="AB1222" s="16">
        <f t="shared" si="135"/>
        <v>222.15110282139946</v>
      </c>
      <c r="AC1222" s="16">
        <v>0</v>
      </c>
      <c r="AD1222" s="16">
        <v>-45.249166535644598</v>
      </c>
      <c r="AE1222" s="16">
        <v>1219</v>
      </c>
      <c r="AF1222" s="16">
        <f>IF(AC1222=0,IF(O1222=6,INDEX(Acceleration!$V$4:$V$110,MATCH('Track Data'!S1222,Acceleration!$K$4:$K$110,0)),IF('Track Data'!O1222=5,INDEX(Acceleration!$U$4:$U$110,MATCH('Track Data'!S1222,Acceleration!$K$4:$K$110,0)),1)),U1222)</f>
        <v>1</v>
      </c>
      <c r="AG1222" s="16">
        <f>IF(AC1222=0,IF(O1222=4,INDEX(Acceleration!$T$4:$T$110,MATCH('Track Data'!S1222,Acceleration!$K$4:$K$110,0)),IF('Track Data'!O1222=3,INDEX(Acceleration!$S$4:$S$110,MATCH('Track Data'!S1222,Acceleration!$K$4:$K$110,0)),'Track Data'!AF1222)),'Track Data'!U1222)</f>
        <v>4.8209066787706405</v>
      </c>
      <c r="AH1222" s="16">
        <f>IF(AC1222=0,IF(O1222=2,INDEX(Acceleration!$R$4:$R$110,MATCH('Track Data'!S1222,Acceleration!$K$4:$K$110,0)),IF('Track Data'!O1222=1,INDEX(Acceleration!$Q$4:$Q$110,MATCH('Track Data'!S1222,Acceleration!$K$4:$K$110,0)),'Track Data'!AG1222)),'Track Data'!U1222)</f>
        <v>4.8209066787706405</v>
      </c>
    </row>
    <row r="1223" spans="2:34" x14ac:dyDescent="0.25">
      <c r="B1223" s="16">
        <v>229.95099999999999</v>
      </c>
      <c r="C1223" s="16">
        <v>8493</v>
      </c>
      <c r="D1223" s="16">
        <v>1220</v>
      </c>
      <c r="E1223" s="113">
        <v>148</v>
      </c>
      <c r="F1223" s="113">
        <v>139</v>
      </c>
      <c r="G1223" s="113">
        <v>133.4</v>
      </c>
      <c r="H1223" s="113">
        <f t="shared" si="138"/>
        <v>37.055555555555557</v>
      </c>
      <c r="I1223" s="113">
        <v>13.4</v>
      </c>
      <c r="J1223" s="113">
        <v>22.23</v>
      </c>
      <c r="K1223" s="113">
        <v>-43.9</v>
      </c>
      <c r="L1223" s="183"/>
      <c r="M1223" s="16">
        <v>1220</v>
      </c>
      <c r="N1223" s="16">
        <f t="shared" si="140"/>
        <v>2.2841188743510724E-2</v>
      </c>
      <c r="O1223" s="16">
        <v>4</v>
      </c>
      <c r="P1223" s="16">
        <f t="shared" si="136"/>
        <v>9.1833785004516724</v>
      </c>
      <c r="Q1223" s="16">
        <f t="shared" si="141"/>
        <v>43.780558500227102</v>
      </c>
      <c r="R1223" s="113">
        <f t="shared" si="137"/>
        <v>329.49099999999999</v>
      </c>
      <c r="S1223" s="16">
        <f>IF(S1222=15800,15800,ROUND((((Q1223*60)/'Gearing Calculator'!$C$14)*'Track Data'!P1223),-2))</f>
        <v>12200</v>
      </c>
      <c r="T1223" s="16">
        <f t="shared" si="139"/>
        <v>4.8209066787706405</v>
      </c>
      <c r="U1223" s="16">
        <f>IF(AC1223=100,Braking!$AG$2354,IF(AC1223=50,Braking!$AG$1179,IF(AC1223=75,Braking!$AG$1767,0)))</f>
        <v>0</v>
      </c>
      <c r="V1223" s="16">
        <f>0.5*'Gearing Calculator'!$C$15*'Gearing Calculator'!$C$20*'Gearing Calculator'!$W$20*('Track Data'!Q1223^2)</f>
        <v>202.8674761063169</v>
      </c>
      <c r="W1223" s="16">
        <f>('Gearing Calculator'!$U$9*'Track Data'!T1223)+'Track Data'!V1223</f>
        <v>1486.1928339950614</v>
      </c>
      <c r="X1223" s="16">
        <f>('Gearing Calculator'!$U$9*9.81)*('Gearing Calculator'!$U$16/'Gearing Calculator'!$C$7)-(('Track Data'!W1223)*('Gearing Calculator'!$U$17/'Gearing Calculator'!$C$7))</f>
        <v>591.0857078158931</v>
      </c>
      <c r="Y1223" s="16">
        <f>('Gearing Calculator'!$U$9*9.81)*(('Gearing Calculator'!$C$7-'Gearing Calculator'!$U$16)/'Gearing Calculator'!$C$7)+(('Track Data'!W1223)*('Gearing Calculator'!$U$17/'Gearing Calculator'!$C$7))</f>
        <v>2020.3362921841069</v>
      </c>
      <c r="Z1223" s="16">
        <f>((X1223*COS('Gearing Calculator'!$C$21))/'Gearing Calculator'!$C$22)/2</f>
        <v>18.274500640847798</v>
      </c>
      <c r="AA1223" s="16">
        <f>Y1223/'Gearing Calculator'!$C$24</f>
        <v>28.210670940130971</v>
      </c>
      <c r="AB1223" s="16">
        <f t="shared" si="135"/>
        <v>222.15110282139946</v>
      </c>
      <c r="AC1223" s="16">
        <v>0</v>
      </c>
      <c r="AD1223" s="16">
        <v>-45.249166535644598</v>
      </c>
      <c r="AE1223" s="16">
        <v>1220</v>
      </c>
      <c r="AF1223" s="16">
        <f>IF(AC1223=0,IF(O1223=6,INDEX(Acceleration!$V$4:$V$110,MATCH('Track Data'!S1223,Acceleration!$K$4:$K$110,0)),IF('Track Data'!O1223=5,INDEX(Acceleration!$U$4:$U$110,MATCH('Track Data'!S1223,Acceleration!$K$4:$K$110,0)),1)),U1223)</f>
        <v>1</v>
      </c>
      <c r="AG1223" s="16">
        <f>IF(AC1223=0,IF(O1223=4,INDEX(Acceleration!$T$4:$T$110,MATCH('Track Data'!S1223,Acceleration!$K$4:$K$110,0)),IF('Track Data'!O1223=3,INDEX(Acceleration!$S$4:$S$110,MATCH('Track Data'!S1223,Acceleration!$K$4:$K$110,0)),'Track Data'!AF1223)),'Track Data'!U1223)</f>
        <v>4.8209066787706405</v>
      </c>
      <c r="AH1223" s="16">
        <f>IF(AC1223=0,IF(O1223=2,INDEX(Acceleration!$R$4:$R$110,MATCH('Track Data'!S1223,Acceleration!$K$4:$K$110,0)),IF('Track Data'!O1223=1,INDEX(Acceleration!$Q$4:$Q$110,MATCH('Track Data'!S1223,Acceleration!$K$4:$K$110,0)),'Track Data'!AG1223)),'Track Data'!U1223)</f>
        <v>4.8209066787706405</v>
      </c>
    </row>
    <row r="1224" spans="2:34" x14ac:dyDescent="0.25">
      <c r="B1224" s="16">
        <v>229.976</v>
      </c>
      <c r="C1224" s="16">
        <v>8494</v>
      </c>
      <c r="D1224" s="16">
        <v>1221</v>
      </c>
      <c r="E1224" s="113">
        <v>148</v>
      </c>
      <c r="F1224" s="113">
        <v>139.30000000000001</v>
      </c>
      <c r="G1224" s="113">
        <v>133.80000000000001</v>
      </c>
      <c r="H1224" s="113">
        <f t="shared" si="138"/>
        <v>37.166666666666671</v>
      </c>
      <c r="I1224" s="113">
        <v>12.4</v>
      </c>
      <c r="J1224" s="113">
        <v>20.29</v>
      </c>
      <c r="K1224" s="113">
        <v>-45.1</v>
      </c>
      <c r="L1224" s="183"/>
      <c r="M1224" s="16">
        <v>1221</v>
      </c>
      <c r="N1224" s="16">
        <f t="shared" si="140"/>
        <v>2.2841188743510724E-2</v>
      </c>
      <c r="O1224" s="16">
        <v>4</v>
      </c>
      <c r="P1224" s="16">
        <f t="shared" si="136"/>
        <v>9.1833785004516724</v>
      </c>
      <c r="Q1224" s="16">
        <f t="shared" si="141"/>
        <v>43.780558500227102</v>
      </c>
      <c r="R1224" s="113">
        <f t="shared" si="137"/>
        <v>329.49099999999999</v>
      </c>
      <c r="S1224" s="16">
        <f>IF(S1223=15800,15800,ROUND((((Q1224*60)/'Gearing Calculator'!$C$14)*'Track Data'!P1224),-2))</f>
        <v>12200</v>
      </c>
      <c r="T1224" s="16">
        <f t="shared" si="139"/>
        <v>4.8209066787706405</v>
      </c>
      <c r="U1224" s="16">
        <f>IF(AC1224=100,Braking!$AG$2354,IF(AC1224=50,Braking!$AG$1179,IF(AC1224=75,Braking!$AG$1767,0)))</f>
        <v>0</v>
      </c>
      <c r="V1224" s="16">
        <f>0.5*'Gearing Calculator'!$C$15*'Gearing Calculator'!$C$20*'Gearing Calculator'!$W$20*('Track Data'!Q1224^2)</f>
        <v>202.8674761063169</v>
      </c>
      <c r="W1224" s="16">
        <f>('Gearing Calculator'!$U$9*'Track Data'!T1224)+'Track Data'!V1224</f>
        <v>1486.1928339950614</v>
      </c>
      <c r="X1224" s="16">
        <f>('Gearing Calculator'!$U$9*9.81)*('Gearing Calculator'!$U$16/'Gearing Calculator'!$C$7)-(('Track Data'!W1224)*('Gearing Calculator'!$U$17/'Gearing Calculator'!$C$7))</f>
        <v>591.0857078158931</v>
      </c>
      <c r="Y1224" s="16">
        <f>('Gearing Calculator'!$U$9*9.81)*(('Gearing Calculator'!$C$7-'Gearing Calculator'!$U$16)/'Gearing Calculator'!$C$7)+(('Track Data'!W1224)*('Gearing Calculator'!$U$17/'Gearing Calculator'!$C$7))</f>
        <v>2020.3362921841069</v>
      </c>
      <c r="Z1224" s="16">
        <f>((X1224*COS('Gearing Calculator'!$C$21))/'Gearing Calculator'!$C$22)/2</f>
        <v>18.274500640847798</v>
      </c>
      <c r="AA1224" s="16">
        <f>Y1224/'Gearing Calculator'!$C$24</f>
        <v>28.210670940130971</v>
      </c>
      <c r="AB1224" s="16">
        <f t="shared" si="135"/>
        <v>222.15110282139946</v>
      </c>
      <c r="AC1224" s="16">
        <v>0</v>
      </c>
      <c r="AD1224" s="16">
        <v>-45.249166535644598</v>
      </c>
      <c r="AE1224" s="16">
        <v>1221</v>
      </c>
      <c r="AF1224" s="16">
        <f>IF(AC1224=0,IF(O1224=6,INDEX(Acceleration!$V$4:$V$110,MATCH('Track Data'!S1224,Acceleration!$K$4:$K$110,0)),IF('Track Data'!O1224=5,INDEX(Acceleration!$U$4:$U$110,MATCH('Track Data'!S1224,Acceleration!$K$4:$K$110,0)),1)),U1224)</f>
        <v>1</v>
      </c>
      <c r="AG1224" s="16">
        <f>IF(AC1224=0,IF(O1224=4,INDEX(Acceleration!$T$4:$T$110,MATCH('Track Data'!S1224,Acceleration!$K$4:$K$110,0)),IF('Track Data'!O1224=3,INDEX(Acceleration!$S$4:$S$110,MATCH('Track Data'!S1224,Acceleration!$K$4:$K$110,0)),'Track Data'!AF1224)),'Track Data'!U1224)</f>
        <v>4.8209066787706405</v>
      </c>
      <c r="AH1224" s="16">
        <f>IF(AC1224=0,IF(O1224=2,INDEX(Acceleration!$R$4:$R$110,MATCH('Track Data'!S1224,Acceleration!$K$4:$K$110,0)),IF('Track Data'!O1224=1,INDEX(Acceleration!$Q$4:$Q$110,MATCH('Track Data'!S1224,Acceleration!$K$4:$K$110,0)),'Track Data'!AG1224)),'Track Data'!U1224)</f>
        <v>4.8209066787706405</v>
      </c>
    </row>
    <row r="1225" spans="2:34" x14ac:dyDescent="0.25">
      <c r="B1225" s="16">
        <v>230.00200000000001</v>
      </c>
      <c r="C1225" s="16">
        <v>8495</v>
      </c>
      <c r="D1225" s="16">
        <v>1222</v>
      </c>
      <c r="E1225" s="113">
        <v>148</v>
      </c>
      <c r="F1225" s="113">
        <v>140</v>
      </c>
      <c r="G1225" s="113">
        <v>134.30000000000001</v>
      </c>
      <c r="H1225" s="113">
        <f t="shared" si="138"/>
        <v>37.305555555555557</v>
      </c>
      <c r="I1225" s="113">
        <v>11</v>
      </c>
      <c r="J1225" s="113">
        <v>16.64</v>
      </c>
      <c r="K1225" s="113">
        <v>-46.5</v>
      </c>
      <c r="L1225" s="183"/>
      <c r="M1225" s="16">
        <v>1222</v>
      </c>
      <c r="N1225" s="16">
        <f t="shared" si="140"/>
        <v>2.2841188743510724E-2</v>
      </c>
      <c r="O1225" s="16">
        <v>4</v>
      </c>
      <c r="P1225" s="16">
        <f t="shared" si="136"/>
        <v>9.1833785004516724</v>
      </c>
      <c r="Q1225" s="16">
        <f t="shared" si="141"/>
        <v>43.780558500227102</v>
      </c>
      <c r="R1225" s="113">
        <f t="shared" si="137"/>
        <v>329.49099999999999</v>
      </c>
      <c r="S1225" s="16">
        <f>IF(S1224=15800,15800,ROUND((((Q1225*60)/'Gearing Calculator'!$C$14)*'Track Data'!P1225),-2))</f>
        <v>12200</v>
      </c>
      <c r="T1225" s="16">
        <f t="shared" si="139"/>
        <v>4.8209066787706405</v>
      </c>
      <c r="U1225" s="16">
        <f>IF(AC1225=100,Braking!$AG$2354,IF(AC1225=50,Braking!$AG$1179,IF(AC1225=75,Braking!$AG$1767,0)))</f>
        <v>0</v>
      </c>
      <c r="V1225" s="16">
        <f>0.5*'Gearing Calculator'!$C$15*'Gearing Calculator'!$C$20*'Gearing Calculator'!$W$20*('Track Data'!Q1225^2)</f>
        <v>202.8674761063169</v>
      </c>
      <c r="W1225" s="16">
        <f>('Gearing Calculator'!$U$9*'Track Data'!T1225)+'Track Data'!V1225</f>
        <v>1486.1928339950614</v>
      </c>
      <c r="X1225" s="16">
        <f>('Gearing Calculator'!$U$9*9.81)*('Gearing Calculator'!$U$16/'Gearing Calculator'!$C$7)-(('Track Data'!W1225)*('Gearing Calculator'!$U$17/'Gearing Calculator'!$C$7))</f>
        <v>591.0857078158931</v>
      </c>
      <c r="Y1225" s="16">
        <f>('Gearing Calculator'!$U$9*9.81)*(('Gearing Calculator'!$C$7-'Gearing Calculator'!$U$16)/'Gearing Calculator'!$C$7)+(('Track Data'!W1225)*('Gearing Calculator'!$U$17/'Gearing Calculator'!$C$7))</f>
        <v>2020.3362921841069</v>
      </c>
      <c r="Z1225" s="16">
        <f>((X1225*COS('Gearing Calculator'!$C$21))/'Gearing Calculator'!$C$22)/2</f>
        <v>18.274500640847798</v>
      </c>
      <c r="AA1225" s="16">
        <f>Y1225/'Gearing Calculator'!$C$24</f>
        <v>28.210670940130971</v>
      </c>
      <c r="AB1225" s="16">
        <f t="shared" si="135"/>
        <v>222.15110282139946</v>
      </c>
      <c r="AC1225" s="16">
        <v>0</v>
      </c>
      <c r="AD1225" s="16">
        <v>-45.249166535644598</v>
      </c>
      <c r="AE1225" s="16">
        <v>1222</v>
      </c>
      <c r="AF1225" s="16">
        <f>IF(AC1225=0,IF(O1225=6,INDEX(Acceleration!$V$4:$V$110,MATCH('Track Data'!S1225,Acceleration!$K$4:$K$110,0)),IF('Track Data'!O1225=5,INDEX(Acceleration!$U$4:$U$110,MATCH('Track Data'!S1225,Acceleration!$K$4:$K$110,0)),1)),U1225)</f>
        <v>1</v>
      </c>
      <c r="AG1225" s="16">
        <f>IF(AC1225=0,IF(O1225=4,INDEX(Acceleration!$T$4:$T$110,MATCH('Track Data'!S1225,Acceleration!$K$4:$K$110,0)),IF('Track Data'!O1225=3,INDEX(Acceleration!$S$4:$S$110,MATCH('Track Data'!S1225,Acceleration!$K$4:$K$110,0)),'Track Data'!AF1225)),'Track Data'!U1225)</f>
        <v>4.8209066787706405</v>
      </c>
      <c r="AH1225" s="16">
        <f>IF(AC1225=0,IF(O1225=2,INDEX(Acceleration!$R$4:$R$110,MATCH('Track Data'!S1225,Acceleration!$K$4:$K$110,0)),IF('Track Data'!O1225=1,INDEX(Acceleration!$Q$4:$Q$110,MATCH('Track Data'!S1225,Acceleration!$K$4:$K$110,0)),'Track Data'!AG1225)),'Track Data'!U1225)</f>
        <v>4.8209066787706405</v>
      </c>
    </row>
    <row r="1226" spans="2:34" x14ac:dyDescent="0.25">
      <c r="B1226" s="16">
        <v>230.02799999999999</v>
      </c>
      <c r="C1226" s="16">
        <v>8496</v>
      </c>
      <c r="D1226" s="16">
        <v>1223</v>
      </c>
      <c r="E1226" s="113">
        <v>149</v>
      </c>
      <c r="F1226" s="113">
        <v>140.5</v>
      </c>
      <c r="G1226" s="113">
        <v>134.6</v>
      </c>
      <c r="H1226" s="113">
        <f t="shared" si="138"/>
        <v>37.388888888888886</v>
      </c>
      <c r="I1226" s="113">
        <v>9.8000000000000007</v>
      </c>
      <c r="J1226" s="113">
        <v>17.62</v>
      </c>
      <c r="K1226" s="113">
        <v>-46.7</v>
      </c>
      <c r="L1226" s="183"/>
      <c r="M1226" s="16">
        <v>1223</v>
      </c>
      <c r="N1226" s="16">
        <f t="shared" si="140"/>
        <v>2.2841188743510724E-2</v>
      </c>
      <c r="O1226" s="16">
        <v>4</v>
      </c>
      <c r="P1226" s="16">
        <f t="shared" si="136"/>
        <v>9.1833785004516724</v>
      </c>
      <c r="Q1226" s="16">
        <f t="shared" si="141"/>
        <v>43.780558500227102</v>
      </c>
      <c r="R1226" s="113">
        <f t="shared" si="137"/>
        <v>329.49099999999999</v>
      </c>
      <c r="S1226" s="16">
        <f>IF(S1225=15800,15800,ROUND((((Q1226*60)/'Gearing Calculator'!$C$14)*'Track Data'!P1226),-2))</f>
        <v>12200</v>
      </c>
      <c r="T1226" s="16">
        <f t="shared" si="139"/>
        <v>4.8209066787706405</v>
      </c>
      <c r="U1226" s="16">
        <f>IF(AC1226=100,Braking!$AG$2354,IF(AC1226=50,Braking!$AG$1179,IF(AC1226=75,Braking!$AG$1767,0)))</f>
        <v>0</v>
      </c>
      <c r="V1226" s="16">
        <f>0.5*'Gearing Calculator'!$C$15*'Gearing Calculator'!$C$20*'Gearing Calculator'!$W$20*('Track Data'!Q1226^2)</f>
        <v>202.8674761063169</v>
      </c>
      <c r="W1226" s="16">
        <f>('Gearing Calculator'!$U$9*'Track Data'!T1226)+'Track Data'!V1226</f>
        <v>1486.1928339950614</v>
      </c>
      <c r="X1226" s="16">
        <f>('Gearing Calculator'!$U$9*9.81)*('Gearing Calculator'!$U$16/'Gearing Calculator'!$C$7)-(('Track Data'!W1226)*('Gearing Calculator'!$U$17/'Gearing Calculator'!$C$7))</f>
        <v>591.0857078158931</v>
      </c>
      <c r="Y1226" s="16">
        <f>('Gearing Calculator'!$U$9*9.81)*(('Gearing Calculator'!$C$7-'Gearing Calculator'!$U$16)/'Gearing Calculator'!$C$7)+(('Track Data'!W1226)*('Gearing Calculator'!$U$17/'Gearing Calculator'!$C$7))</f>
        <v>2020.3362921841069</v>
      </c>
      <c r="Z1226" s="16">
        <f>((X1226*COS('Gearing Calculator'!$C$21))/'Gearing Calculator'!$C$22)/2</f>
        <v>18.274500640847798</v>
      </c>
      <c r="AA1226" s="16">
        <f>Y1226/'Gearing Calculator'!$C$24</f>
        <v>28.210670940130971</v>
      </c>
      <c r="AB1226" s="16">
        <f t="shared" si="135"/>
        <v>222.15110282139946</v>
      </c>
      <c r="AC1226" s="16">
        <v>0</v>
      </c>
      <c r="AD1226" s="16">
        <v>-45.249166535644598</v>
      </c>
      <c r="AE1226" s="16">
        <v>1223</v>
      </c>
      <c r="AF1226" s="16">
        <f>IF(AC1226=0,IF(O1226=6,INDEX(Acceleration!$V$4:$V$110,MATCH('Track Data'!S1226,Acceleration!$K$4:$K$110,0)),IF('Track Data'!O1226=5,INDEX(Acceleration!$U$4:$U$110,MATCH('Track Data'!S1226,Acceleration!$K$4:$K$110,0)),1)),U1226)</f>
        <v>1</v>
      </c>
      <c r="AG1226" s="16">
        <f>IF(AC1226=0,IF(O1226=4,INDEX(Acceleration!$T$4:$T$110,MATCH('Track Data'!S1226,Acceleration!$K$4:$K$110,0)),IF('Track Data'!O1226=3,INDEX(Acceleration!$S$4:$S$110,MATCH('Track Data'!S1226,Acceleration!$K$4:$K$110,0)),'Track Data'!AF1226)),'Track Data'!U1226)</f>
        <v>4.8209066787706405</v>
      </c>
      <c r="AH1226" s="16">
        <f>IF(AC1226=0,IF(O1226=2,INDEX(Acceleration!$R$4:$R$110,MATCH('Track Data'!S1226,Acceleration!$K$4:$K$110,0)),IF('Track Data'!O1226=1,INDEX(Acceleration!$Q$4:$Q$110,MATCH('Track Data'!S1226,Acceleration!$K$4:$K$110,0)),'Track Data'!AG1226)),'Track Data'!U1226)</f>
        <v>4.8209066787706405</v>
      </c>
    </row>
    <row r="1227" spans="2:34" x14ac:dyDescent="0.25">
      <c r="B1227" s="16">
        <v>230.053</v>
      </c>
      <c r="C1227" s="16">
        <v>8497</v>
      </c>
      <c r="D1227" s="16">
        <v>1224</v>
      </c>
      <c r="E1227" s="113">
        <v>149</v>
      </c>
      <c r="F1227" s="113">
        <v>140.9</v>
      </c>
      <c r="G1227" s="113">
        <v>135.19999999999999</v>
      </c>
      <c r="H1227" s="113">
        <f t="shared" si="138"/>
        <v>37.55555555555555</v>
      </c>
      <c r="I1227" s="113">
        <v>8.3000000000000007</v>
      </c>
      <c r="J1227" s="113">
        <v>18.54</v>
      </c>
      <c r="K1227" s="113">
        <v>-46.9</v>
      </c>
      <c r="L1227" s="183"/>
      <c r="M1227" s="16">
        <v>1224</v>
      </c>
      <c r="N1227" s="16">
        <f t="shared" si="140"/>
        <v>2.2841188743510724E-2</v>
      </c>
      <c r="O1227" s="16">
        <v>4</v>
      </c>
      <c r="P1227" s="16">
        <f t="shared" si="136"/>
        <v>9.1833785004516724</v>
      </c>
      <c r="Q1227" s="16">
        <f t="shared" si="141"/>
        <v>43.780558500227102</v>
      </c>
      <c r="R1227" s="113">
        <f t="shared" si="137"/>
        <v>329.49099999999999</v>
      </c>
      <c r="S1227" s="16">
        <f>IF(S1226=15800,15800,ROUND((((Q1227*60)/'Gearing Calculator'!$C$14)*'Track Data'!P1227),-2))</f>
        <v>12200</v>
      </c>
      <c r="T1227" s="16">
        <f t="shared" si="139"/>
        <v>4.8209066787706405</v>
      </c>
      <c r="U1227" s="16">
        <f>IF(AC1227=100,Braking!$AG$2354,IF(AC1227=50,Braking!$AG$1179,IF(AC1227=75,Braking!$AG$1767,0)))</f>
        <v>0</v>
      </c>
      <c r="V1227" s="16">
        <f>0.5*'Gearing Calculator'!$C$15*'Gearing Calculator'!$C$20*'Gearing Calculator'!$W$20*('Track Data'!Q1227^2)</f>
        <v>202.8674761063169</v>
      </c>
      <c r="W1227" s="16">
        <f>('Gearing Calculator'!$U$9*'Track Data'!T1227)+'Track Data'!V1227</f>
        <v>1486.1928339950614</v>
      </c>
      <c r="X1227" s="16">
        <f>('Gearing Calculator'!$U$9*9.81)*('Gearing Calculator'!$U$16/'Gearing Calculator'!$C$7)-(('Track Data'!W1227)*('Gearing Calculator'!$U$17/'Gearing Calculator'!$C$7))</f>
        <v>591.0857078158931</v>
      </c>
      <c r="Y1227" s="16">
        <f>('Gearing Calculator'!$U$9*9.81)*(('Gearing Calculator'!$C$7-'Gearing Calculator'!$U$16)/'Gearing Calculator'!$C$7)+(('Track Data'!W1227)*('Gearing Calculator'!$U$17/'Gearing Calculator'!$C$7))</f>
        <v>2020.3362921841069</v>
      </c>
      <c r="Z1227" s="16">
        <f>((X1227*COS('Gearing Calculator'!$C$21))/'Gearing Calculator'!$C$22)/2</f>
        <v>18.274500640847798</v>
      </c>
      <c r="AA1227" s="16">
        <f>Y1227/'Gearing Calculator'!$C$24</f>
        <v>28.210670940130971</v>
      </c>
      <c r="AB1227" s="16">
        <f t="shared" si="135"/>
        <v>222.15110282139946</v>
      </c>
      <c r="AC1227" s="16">
        <v>0</v>
      </c>
      <c r="AD1227" s="16">
        <v>-45.249166535644598</v>
      </c>
      <c r="AE1227" s="16">
        <v>1224</v>
      </c>
      <c r="AF1227" s="16">
        <f>IF(AC1227=0,IF(O1227=6,INDEX(Acceleration!$V$4:$V$110,MATCH('Track Data'!S1227,Acceleration!$K$4:$K$110,0)),IF('Track Data'!O1227=5,INDEX(Acceleration!$U$4:$U$110,MATCH('Track Data'!S1227,Acceleration!$K$4:$K$110,0)),1)),U1227)</f>
        <v>1</v>
      </c>
      <c r="AG1227" s="16">
        <f>IF(AC1227=0,IF(O1227=4,INDEX(Acceleration!$T$4:$T$110,MATCH('Track Data'!S1227,Acceleration!$K$4:$K$110,0)),IF('Track Data'!O1227=3,INDEX(Acceleration!$S$4:$S$110,MATCH('Track Data'!S1227,Acceleration!$K$4:$K$110,0)),'Track Data'!AF1227)),'Track Data'!U1227)</f>
        <v>4.8209066787706405</v>
      </c>
      <c r="AH1227" s="16">
        <f>IF(AC1227=0,IF(O1227=2,INDEX(Acceleration!$R$4:$R$110,MATCH('Track Data'!S1227,Acceleration!$K$4:$K$110,0)),IF('Track Data'!O1227=1,INDEX(Acceleration!$Q$4:$Q$110,MATCH('Track Data'!S1227,Acceleration!$K$4:$K$110,0)),'Track Data'!AG1227)),'Track Data'!U1227)</f>
        <v>4.8209066787706405</v>
      </c>
    </row>
    <row r="1228" spans="2:34" x14ac:dyDescent="0.25">
      <c r="B1228" s="16">
        <v>230.07900000000001</v>
      </c>
      <c r="C1228" s="16">
        <v>8498</v>
      </c>
      <c r="D1228" s="16">
        <v>1225</v>
      </c>
      <c r="E1228" s="113">
        <v>149</v>
      </c>
      <c r="F1228" s="113">
        <v>141</v>
      </c>
      <c r="G1228" s="113">
        <v>135.6</v>
      </c>
      <c r="H1228" s="113">
        <f t="shared" si="138"/>
        <v>37.666666666666664</v>
      </c>
      <c r="I1228" s="113">
        <v>8.3000000000000007</v>
      </c>
      <c r="J1228" s="113">
        <v>18.48</v>
      </c>
      <c r="K1228" s="113">
        <v>-47.1</v>
      </c>
      <c r="L1228" s="183"/>
      <c r="M1228" s="16">
        <v>1225</v>
      </c>
      <c r="N1228" s="16">
        <f t="shared" si="140"/>
        <v>2.2841188743510724E-2</v>
      </c>
      <c r="O1228" s="16">
        <v>4</v>
      </c>
      <c r="P1228" s="16">
        <f t="shared" si="136"/>
        <v>9.1833785004516724</v>
      </c>
      <c r="Q1228" s="16">
        <f t="shared" si="141"/>
        <v>43.780558500227102</v>
      </c>
      <c r="R1228" s="113">
        <f t="shared" si="137"/>
        <v>329.49099999999999</v>
      </c>
      <c r="S1228" s="16">
        <f>IF(S1227=15800,15800,ROUND((((Q1228*60)/'Gearing Calculator'!$C$14)*'Track Data'!P1228),-2))</f>
        <v>12200</v>
      </c>
      <c r="T1228" s="16">
        <f t="shared" si="139"/>
        <v>4.8209066787706405</v>
      </c>
      <c r="U1228" s="16">
        <f>IF(AC1228=100,Braking!$AG$2354,IF(AC1228=50,Braking!$AG$1179,IF(AC1228=75,Braking!$AG$1767,0)))</f>
        <v>0</v>
      </c>
      <c r="V1228" s="16">
        <f>0.5*'Gearing Calculator'!$C$15*'Gearing Calculator'!$C$20*'Gearing Calculator'!$W$20*('Track Data'!Q1228^2)</f>
        <v>202.8674761063169</v>
      </c>
      <c r="W1228" s="16">
        <f>('Gearing Calculator'!$U$9*'Track Data'!T1228)+'Track Data'!V1228</f>
        <v>1486.1928339950614</v>
      </c>
      <c r="X1228" s="16">
        <f>('Gearing Calculator'!$U$9*9.81)*('Gearing Calculator'!$U$16/'Gearing Calculator'!$C$7)-(('Track Data'!W1228)*('Gearing Calculator'!$U$17/'Gearing Calculator'!$C$7))</f>
        <v>591.0857078158931</v>
      </c>
      <c r="Y1228" s="16">
        <f>('Gearing Calculator'!$U$9*9.81)*(('Gearing Calculator'!$C$7-'Gearing Calculator'!$U$16)/'Gearing Calculator'!$C$7)+(('Track Data'!W1228)*('Gearing Calculator'!$U$17/'Gearing Calculator'!$C$7))</f>
        <v>2020.3362921841069</v>
      </c>
      <c r="Z1228" s="16">
        <f>((X1228*COS('Gearing Calculator'!$C$21))/'Gearing Calculator'!$C$22)/2</f>
        <v>18.274500640847798</v>
      </c>
      <c r="AA1228" s="16">
        <f>Y1228/'Gearing Calculator'!$C$24</f>
        <v>28.210670940130971</v>
      </c>
      <c r="AB1228" s="16">
        <f t="shared" si="135"/>
        <v>222.15110282139946</v>
      </c>
      <c r="AC1228" s="16">
        <v>0</v>
      </c>
      <c r="AD1228" s="16">
        <v>-45.249166535644598</v>
      </c>
      <c r="AE1228" s="16">
        <v>1225</v>
      </c>
      <c r="AF1228" s="16">
        <f>IF(AC1228=0,IF(O1228=6,INDEX(Acceleration!$V$4:$V$110,MATCH('Track Data'!S1228,Acceleration!$K$4:$K$110,0)),IF('Track Data'!O1228=5,INDEX(Acceleration!$U$4:$U$110,MATCH('Track Data'!S1228,Acceleration!$K$4:$K$110,0)),1)),U1228)</f>
        <v>1</v>
      </c>
      <c r="AG1228" s="16">
        <f>IF(AC1228=0,IF(O1228=4,INDEX(Acceleration!$T$4:$T$110,MATCH('Track Data'!S1228,Acceleration!$K$4:$K$110,0)),IF('Track Data'!O1228=3,INDEX(Acceleration!$S$4:$S$110,MATCH('Track Data'!S1228,Acceleration!$K$4:$K$110,0)),'Track Data'!AF1228)),'Track Data'!U1228)</f>
        <v>4.8209066787706405</v>
      </c>
      <c r="AH1228" s="16">
        <f>IF(AC1228=0,IF(O1228=2,INDEX(Acceleration!$R$4:$R$110,MATCH('Track Data'!S1228,Acceleration!$K$4:$K$110,0)),IF('Track Data'!O1228=1,INDEX(Acceleration!$Q$4:$Q$110,MATCH('Track Data'!S1228,Acceleration!$K$4:$K$110,0)),'Track Data'!AG1228)),'Track Data'!U1228)</f>
        <v>4.8209066787706405</v>
      </c>
    </row>
    <row r="1229" spans="2:34" x14ac:dyDescent="0.25">
      <c r="B1229" s="16">
        <v>230.10400000000001</v>
      </c>
      <c r="C1229" s="16">
        <v>8499</v>
      </c>
      <c r="D1229" s="16">
        <v>1226</v>
      </c>
      <c r="E1229" s="113">
        <v>149</v>
      </c>
      <c r="F1229" s="113">
        <v>141.4</v>
      </c>
      <c r="G1229" s="113">
        <v>136.1</v>
      </c>
      <c r="H1229" s="113">
        <f t="shared" si="138"/>
        <v>37.80555555555555</v>
      </c>
      <c r="I1229" s="113">
        <v>8.1</v>
      </c>
      <c r="J1229" s="113">
        <v>16.87</v>
      </c>
      <c r="K1229" s="113">
        <v>-37.1</v>
      </c>
      <c r="L1229" s="183"/>
      <c r="M1229" s="16">
        <v>1226</v>
      </c>
      <c r="N1229" s="16">
        <f t="shared" si="140"/>
        <v>2.2841188743510724E-2</v>
      </c>
      <c r="O1229" s="16">
        <v>4</v>
      </c>
      <c r="P1229" s="16">
        <f t="shared" si="136"/>
        <v>9.1833785004516724</v>
      </c>
      <c r="Q1229" s="16">
        <f t="shared" si="141"/>
        <v>43.780558500227102</v>
      </c>
      <c r="R1229" s="113">
        <f t="shared" si="137"/>
        <v>329.49099999999999</v>
      </c>
      <c r="S1229" s="16">
        <f>IF(S1228=15800,15800,ROUND((((Q1229*60)/'Gearing Calculator'!$C$14)*'Track Data'!P1229),-2))</f>
        <v>12200</v>
      </c>
      <c r="T1229" s="16">
        <f t="shared" si="139"/>
        <v>4.8209066787706405</v>
      </c>
      <c r="U1229" s="16">
        <f>IF(AC1229=100,Braking!$AG$2354,IF(AC1229=50,Braking!$AG$1179,IF(AC1229=75,Braking!$AG$1767,0)))</f>
        <v>0</v>
      </c>
      <c r="V1229" s="16">
        <f>0.5*'Gearing Calculator'!$C$15*'Gearing Calculator'!$C$20*'Gearing Calculator'!$W$20*('Track Data'!Q1229^2)</f>
        <v>202.8674761063169</v>
      </c>
      <c r="W1229" s="16">
        <f>('Gearing Calculator'!$U$9*'Track Data'!T1229)+'Track Data'!V1229</f>
        <v>1486.1928339950614</v>
      </c>
      <c r="X1229" s="16">
        <f>('Gearing Calculator'!$U$9*9.81)*('Gearing Calculator'!$U$16/'Gearing Calculator'!$C$7)-(('Track Data'!W1229)*('Gearing Calculator'!$U$17/'Gearing Calculator'!$C$7))</f>
        <v>591.0857078158931</v>
      </c>
      <c r="Y1229" s="16">
        <f>('Gearing Calculator'!$U$9*9.81)*(('Gearing Calculator'!$C$7-'Gearing Calculator'!$U$16)/'Gearing Calculator'!$C$7)+(('Track Data'!W1229)*('Gearing Calculator'!$U$17/'Gearing Calculator'!$C$7))</f>
        <v>2020.3362921841069</v>
      </c>
      <c r="Z1229" s="16">
        <f>((X1229*COS('Gearing Calculator'!$C$21))/'Gearing Calculator'!$C$22)/2</f>
        <v>18.274500640847798</v>
      </c>
      <c r="AA1229" s="16">
        <f>Y1229/'Gearing Calculator'!$C$24</f>
        <v>28.210670940130971</v>
      </c>
      <c r="AB1229" s="16">
        <f t="shared" si="135"/>
        <v>222.15110282139946</v>
      </c>
      <c r="AC1229" s="16">
        <v>0</v>
      </c>
      <c r="AD1229" s="16">
        <v>-45.249166535644598</v>
      </c>
      <c r="AE1229" s="16">
        <v>1226</v>
      </c>
      <c r="AF1229" s="16">
        <f>IF(AC1229=0,IF(O1229=6,INDEX(Acceleration!$V$4:$V$110,MATCH('Track Data'!S1229,Acceleration!$K$4:$K$110,0)),IF('Track Data'!O1229=5,INDEX(Acceleration!$U$4:$U$110,MATCH('Track Data'!S1229,Acceleration!$K$4:$K$110,0)),1)),U1229)</f>
        <v>1</v>
      </c>
      <c r="AG1229" s="16">
        <f>IF(AC1229=0,IF(O1229=4,INDEX(Acceleration!$T$4:$T$110,MATCH('Track Data'!S1229,Acceleration!$K$4:$K$110,0)),IF('Track Data'!O1229=3,INDEX(Acceleration!$S$4:$S$110,MATCH('Track Data'!S1229,Acceleration!$K$4:$K$110,0)),'Track Data'!AF1229)),'Track Data'!U1229)</f>
        <v>4.8209066787706405</v>
      </c>
      <c r="AH1229" s="16">
        <f>IF(AC1229=0,IF(O1229=2,INDEX(Acceleration!$R$4:$R$110,MATCH('Track Data'!S1229,Acceleration!$K$4:$K$110,0)),IF('Track Data'!O1229=1,INDEX(Acceleration!$Q$4:$Q$110,MATCH('Track Data'!S1229,Acceleration!$K$4:$K$110,0)),'Track Data'!AG1229)),'Track Data'!U1229)</f>
        <v>4.8209066787706405</v>
      </c>
    </row>
    <row r="1230" spans="2:34" x14ac:dyDescent="0.25">
      <c r="B1230" s="16">
        <v>230.12899999999999</v>
      </c>
      <c r="C1230" s="16">
        <v>8500</v>
      </c>
      <c r="D1230" s="16">
        <v>1227</v>
      </c>
      <c r="E1230" s="113">
        <v>149</v>
      </c>
      <c r="F1230" s="113">
        <v>141.69999999999999</v>
      </c>
      <c r="G1230" s="113">
        <v>136.5</v>
      </c>
      <c r="H1230" s="113">
        <f t="shared" si="138"/>
        <v>37.916666666666664</v>
      </c>
      <c r="I1230" s="113">
        <v>7.3</v>
      </c>
      <c r="J1230" s="113">
        <v>16.63</v>
      </c>
      <c r="K1230" s="113">
        <v>-28.8</v>
      </c>
      <c r="L1230" s="183"/>
      <c r="M1230" s="16">
        <v>1227</v>
      </c>
      <c r="N1230" s="16">
        <f t="shared" si="140"/>
        <v>2.2841188743510724E-2</v>
      </c>
      <c r="O1230" s="16">
        <v>4</v>
      </c>
      <c r="P1230" s="16">
        <f t="shared" si="136"/>
        <v>9.1833785004516724</v>
      </c>
      <c r="Q1230" s="16">
        <f t="shared" si="141"/>
        <v>43.780558500227102</v>
      </c>
      <c r="R1230" s="113">
        <f t="shared" si="137"/>
        <v>329.49099999999999</v>
      </c>
      <c r="S1230" s="16">
        <f>IF(S1229=15800,15800,ROUND((((Q1230*60)/'Gearing Calculator'!$C$14)*'Track Data'!P1230),-2))</f>
        <v>12200</v>
      </c>
      <c r="T1230" s="16">
        <f t="shared" si="139"/>
        <v>4.8209066787706405</v>
      </c>
      <c r="U1230" s="16">
        <f>IF(AC1230=100,Braking!$AG$2354,IF(AC1230=50,Braking!$AG$1179,IF(AC1230=75,Braking!$AG$1767,0)))</f>
        <v>0</v>
      </c>
      <c r="V1230" s="16">
        <f>0.5*'Gearing Calculator'!$C$15*'Gearing Calculator'!$C$20*'Gearing Calculator'!$W$20*('Track Data'!Q1230^2)</f>
        <v>202.8674761063169</v>
      </c>
      <c r="W1230" s="16">
        <f>('Gearing Calculator'!$U$9*'Track Data'!T1230)+'Track Data'!V1230</f>
        <v>1486.1928339950614</v>
      </c>
      <c r="X1230" s="16">
        <f>('Gearing Calculator'!$U$9*9.81)*('Gearing Calculator'!$U$16/'Gearing Calculator'!$C$7)-(('Track Data'!W1230)*('Gearing Calculator'!$U$17/'Gearing Calculator'!$C$7))</f>
        <v>591.0857078158931</v>
      </c>
      <c r="Y1230" s="16">
        <f>('Gearing Calculator'!$U$9*9.81)*(('Gearing Calculator'!$C$7-'Gearing Calculator'!$U$16)/'Gearing Calculator'!$C$7)+(('Track Data'!W1230)*('Gearing Calculator'!$U$17/'Gearing Calculator'!$C$7))</f>
        <v>2020.3362921841069</v>
      </c>
      <c r="Z1230" s="16">
        <f>((X1230*COS('Gearing Calculator'!$C$21))/'Gearing Calculator'!$C$22)/2</f>
        <v>18.274500640847798</v>
      </c>
      <c r="AA1230" s="16">
        <f>Y1230/'Gearing Calculator'!$C$24</f>
        <v>28.210670940130971</v>
      </c>
      <c r="AB1230" s="16">
        <f t="shared" si="135"/>
        <v>222.15110282139946</v>
      </c>
      <c r="AC1230" s="16">
        <v>0</v>
      </c>
      <c r="AD1230" s="16">
        <v>-45.249166535644598</v>
      </c>
      <c r="AE1230" s="16">
        <v>1227</v>
      </c>
      <c r="AF1230" s="16">
        <f>IF(AC1230=0,IF(O1230=6,INDEX(Acceleration!$V$4:$V$110,MATCH('Track Data'!S1230,Acceleration!$K$4:$K$110,0)),IF('Track Data'!O1230=5,INDEX(Acceleration!$U$4:$U$110,MATCH('Track Data'!S1230,Acceleration!$K$4:$K$110,0)),1)),U1230)</f>
        <v>1</v>
      </c>
      <c r="AG1230" s="16">
        <f>IF(AC1230=0,IF(O1230=4,INDEX(Acceleration!$T$4:$T$110,MATCH('Track Data'!S1230,Acceleration!$K$4:$K$110,0)),IF('Track Data'!O1230=3,INDEX(Acceleration!$S$4:$S$110,MATCH('Track Data'!S1230,Acceleration!$K$4:$K$110,0)),'Track Data'!AF1230)),'Track Data'!U1230)</f>
        <v>4.8209066787706405</v>
      </c>
      <c r="AH1230" s="16">
        <f>IF(AC1230=0,IF(O1230=2,INDEX(Acceleration!$R$4:$R$110,MATCH('Track Data'!S1230,Acceleration!$K$4:$K$110,0)),IF('Track Data'!O1230=1,INDEX(Acceleration!$Q$4:$Q$110,MATCH('Track Data'!S1230,Acceleration!$K$4:$K$110,0)),'Track Data'!AG1230)),'Track Data'!U1230)</f>
        <v>4.8209066787706405</v>
      </c>
    </row>
    <row r="1231" spans="2:34" ht="15.75" thickBot="1" x14ac:dyDescent="0.3">
      <c r="B1231" s="16">
        <v>230.155</v>
      </c>
      <c r="C1231" s="16">
        <v>8501</v>
      </c>
      <c r="D1231" s="16">
        <v>1228</v>
      </c>
      <c r="E1231" s="113">
        <v>150</v>
      </c>
      <c r="F1231" s="113">
        <v>142.4</v>
      </c>
      <c r="G1231" s="113">
        <v>137.1</v>
      </c>
      <c r="H1231" s="113">
        <f t="shared" si="138"/>
        <v>38.083333333333329</v>
      </c>
      <c r="I1231" s="113">
        <v>5.7</v>
      </c>
      <c r="J1231" s="113">
        <v>15.39</v>
      </c>
      <c r="K1231" s="113">
        <v>-16.2</v>
      </c>
      <c r="L1231" s="183"/>
      <c r="M1231" s="16">
        <v>1228</v>
      </c>
      <c r="N1231" s="16">
        <f t="shared" si="140"/>
        <v>2.2841188743510724E-2</v>
      </c>
      <c r="O1231" s="16">
        <v>4</v>
      </c>
      <c r="P1231" s="16">
        <f t="shared" si="136"/>
        <v>9.1833785004516724</v>
      </c>
      <c r="Q1231" s="16">
        <f t="shared" si="141"/>
        <v>43.780558500227102</v>
      </c>
      <c r="R1231" s="113">
        <f t="shared" si="137"/>
        <v>329.49099999999999</v>
      </c>
      <c r="S1231" s="16">
        <f>IF(S1230=15800,15800,ROUND((((Q1231*60)/'Gearing Calculator'!$C$14)*'Track Data'!P1231),-2))</f>
        <v>12200</v>
      </c>
      <c r="T1231" s="16">
        <f t="shared" si="139"/>
        <v>4.8209066787706405</v>
      </c>
      <c r="U1231" s="16">
        <f>IF(AC1231=100,Braking!$AG$2354,IF(AC1231=50,Braking!$AG$1179,IF(AC1231=75,Braking!$AG$1767,0)))</f>
        <v>0</v>
      </c>
      <c r="V1231" s="16">
        <f>0.5*'Gearing Calculator'!$C$15*'Gearing Calculator'!$C$20*'Gearing Calculator'!$W$20*('Track Data'!Q1231^2)</f>
        <v>202.8674761063169</v>
      </c>
      <c r="W1231" s="16">
        <f>('Gearing Calculator'!$U$9*'Track Data'!T1231)+'Track Data'!V1231</f>
        <v>1486.1928339950614</v>
      </c>
      <c r="X1231" s="16">
        <f>('Gearing Calculator'!$U$9*9.81)*('Gearing Calculator'!$U$16/'Gearing Calculator'!$C$7)-(('Track Data'!W1231)*('Gearing Calculator'!$U$17/'Gearing Calculator'!$C$7))</f>
        <v>591.0857078158931</v>
      </c>
      <c r="Y1231" s="16">
        <f>('Gearing Calculator'!$U$9*9.81)*(('Gearing Calculator'!$C$7-'Gearing Calculator'!$U$16)/'Gearing Calculator'!$C$7)+(('Track Data'!W1231)*('Gearing Calculator'!$U$17/'Gearing Calculator'!$C$7))</f>
        <v>2020.3362921841069</v>
      </c>
      <c r="Z1231" s="16">
        <f>((X1231*COS('Gearing Calculator'!$C$21))/'Gearing Calculator'!$C$22)/2</f>
        <v>18.274500640847798</v>
      </c>
      <c r="AA1231" s="16">
        <f>Y1231/'Gearing Calculator'!$C$24</f>
        <v>28.210670940130971</v>
      </c>
      <c r="AB1231" s="16">
        <f t="shared" si="135"/>
        <v>222.15110282139946</v>
      </c>
      <c r="AC1231" s="16">
        <v>0</v>
      </c>
      <c r="AD1231" s="16">
        <v>-45.249166535644598</v>
      </c>
      <c r="AE1231" s="16">
        <v>1228</v>
      </c>
      <c r="AF1231" s="16">
        <f>IF(AC1231=0,IF(O1231=6,INDEX(Acceleration!$V$4:$V$110,MATCH('Track Data'!S1231,Acceleration!$K$4:$K$110,0)),IF('Track Data'!O1231=5,INDEX(Acceleration!$U$4:$U$110,MATCH('Track Data'!S1231,Acceleration!$K$4:$K$110,0)),1)),U1231)</f>
        <v>1</v>
      </c>
      <c r="AG1231" s="16">
        <f>IF(AC1231=0,IF(O1231=4,INDEX(Acceleration!$T$4:$T$110,MATCH('Track Data'!S1231,Acceleration!$K$4:$K$110,0)),IF('Track Data'!O1231=3,INDEX(Acceleration!$S$4:$S$110,MATCH('Track Data'!S1231,Acceleration!$K$4:$K$110,0)),'Track Data'!AF1231)),'Track Data'!U1231)</f>
        <v>4.8209066787706405</v>
      </c>
      <c r="AH1231" s="16">
        <f>IF(AC1231=0,IF(O1231=2,INDEX(Acceleration!$R$4:$R$110,MATCH('Track Data'!S1231,Acceleration!$K$4:$K$110,0)),IF('Track Data'!O1231=1,INDEX(Acceleration!$Q$4:$Q$110,MATCH('Track Data'!S1231,Acceleration!$K$4:$K$110,0)),'Track Data'!AG1231)),'Track Data'!U1231)</f>
        <v>4.8209066787706405</v>
      </c>
    </row>
    <row r="1232" spans="2:34" x14ac:dyDescent="0.25">
      <c r="B1232" s="16">
        <v>230.18</v>
      </c>
      <c r="C1232" s="16">
        <v>8502</v>
      </c>
      <c r="D1232" s="16">
        <v>1229</v>
      </c>
      <c r="E1232" s="113">
        <v>150</v>
      </c>
      <c r="F1232" s="113">
        <v>142.6</v>
      </c>
      <c r="G1232" s="113">
        <v>137.69999999999999</v>
      </c>
      <c r="H1232" s="113">
        <f t="shared" si="138"/>
        <v>38.249999999999993</v>
      </c>
      <c r="I1232" s="113">
        <v>5.0999999999999996</v>
      </c>
      <c r="J1232" s="113">
        <v>15.42</v>
      </c>
      <c r="K1232" s="113">
        <v>-13.6</v>
      </c>
      <c r="L1232" s="184" t="s">
        <v>193</v>
      </c>
      <c r="M1232" s="16">
        <v>1229</v>
      </c>
      <c r="N1232" s="16">
        <f t="shared" si="140"/>
        <v>2.2841188743510724E-2</v>
      </c>
      <c r="O1232" s="16">
        <v>4</v>
      </c>
      <c r="P1232" s="16">
        <f t="shared" si="136"/>
        <v>9.1833785004516724</v>
      </c>
      <c r="Q1232" s="16">
        <f t="shared" si="141"/>
        <v>43.780558500227102</v>
      </c>
      <c r="R1232" s="113">
        <f t="shared" si="137"/>
        <v>329.49099999999999</v>
      </c>
      <c r="S1232" s="16">
        <f>IF(S1231=15800,15800,ROUND((((Q1232*60)/'Gearing Calculator'!$C$14)*'Track Data'!P1232),-2))</f>
        <v>12200</v>
      </c>
      <c r="T1232" s="16">
        <f t="shared" si="139"/>
        <v>4.8209066787706405</v>
      </c>
      <c r="U1232" s="16">
        <f>IF(AC1232=100,Braking!$AG$2354,IF(AC1232=50,Braking!$AG$1179,IF(AC1232=75,Braking!$AG$1767,0)))</f>
        <v>0</v>
      </c>
      <c r="V1232" s="16">
        <f>0.5*'Gearing Calculator'!$C$15*'Gearing Calculator'!$C$20*'Gearing Calculator'!$W$20*('Track Data'!Q1232^2)</f>
        <v>202.8674761063169</v>
      </c>
      <c r="W1232" s="16">
        <f>('Gearing Calculator'!$U$9*'Track Data'!T1232)+'Track Data'!V1232</f>
        <v>1486.1928339950614</v>
      </c>
      <c r="X1232" s="16">
        <f>('Gearing Calculator'!$U$9*9.81)*('Gearing Calculator'!$U$16/'Gearing Calculator'!$C$7)-(('Track Data'!W1232)*('Gearing Calculator'!$U$17/'Gearing Calculator'!$C$7))</f>
        <v>591.0857078158931</v>
      </c>
      <c r="Y1232" s="16">
        <f>('Gearing Calculator'!$U$9*9.81)*(('Gearing Calculator'!$C$7-'Gearing Calculator'!$U$16)/'Gearing Calculator'!$C$7)+(('Track Data'!W1232)*('Gearing Calculator'!$U$17/'Gearing Calculator'!$C$7))</f>
        <v>2020.3362921841069</v>
      </c>
      <c r="Z1232" s="16">
        <f>((X1232*COS('Gearing Calculator'!$C$21))/'Gearing Calculator'!$C$22)/2</f>
        <v>18.274500640847798</v>
      </c>
      <c r="AA1232" s="16">
        <f>Y1232/'Gearing Calculator'!$C$24</f>
        <v>28.210670940130971</v>
      </c>
      <c r="AB1232" s="16">
        <f t="shared" si="135"/>
        <v>222.15110282139946</v>
      </c>
      <c r="AC1232" s="16">
        <v>0</v>
      </c>
      <c r="AD1232" s="16">
        <v>0</v>
      </c>
      <c r="AE1232" s="16">
        <v>1229</v>
      </c>
      <c r="AF1232" s="16">
        <f>IF(AC1232=0,IF(O1232=6,INDEX(Acceleration!$V$4:$V$110,MATCH('Track Data'!S1232,Acceleration!$K$4:$K$110,0)),IF('Track Data'!O1232=5,INDEX(Acceleration!$U$4:$U$110,MATCH('Track Data'!S1232,Acceleration!$K$4:$K$110,0)),1)),U1232)</f>
        <v>1</v>
      </c>
      <c r="AG1232" s="16">
        <f>IF(AC1232=0,IF(O1232=4,INDEX(Acceleration!$T$4:$T$110,MATCH('Track Data'!S1232,Acceleration!$K$4:$K$110,0)),IF('Track Data'!O1232=3,INDEX(Acceleration!$S$4:$S$110,MATCH('Track Data'!S1232,Acceleration!$K$4:$K$110,0)),'Track Data'!AF1232)),'Track Data'!U1232)</f>
        <v>4.8209066787706405</v>
      </c>
      <c r="AH1232" s="16">
        <f>IF(AC1232=0,IF(O1232=2,INDEX(Acceleration!$R$4:$R$110,MATCH('Track Data'!S1232,Acceleration!$K$4:$K$110,0)),IF('Track Data'!O1232=1,INDEX(Acceleration!$Q$4:$Q$110,MATCH('Track Data'!S1232,Acceleration!$K$4:$K$110,0)),'Track Data'!AG1232)),'Track Data'!U1232)</f>
        <v>4.8209066787706405</v>
      </c>
    </row>
    <row r="1233" spans="2:34" x14ac:dyDescent="0.25">
      <c r="B1233" s="16">
        <v>230.20599999999999</v>
      </c>
      <c r="C1233" s="16">
        <v>8503</v>
      </c>
      <c r="D1233" s="16">
        <v>1230</v>
      </c>
      <c r="E1233" s="113">
        <v>150</v>
      </c>
      <c r="F1233" s="113">
        <v>142.80000000000001</v>
      </c>
      <c r="G1233" s="113">
        <v>138.1</v>
      </c>
      <c r="H1233" s="113">
        <f t="shared" si="138"/>
        <v>38.361111111111107</v>
      </c>
      <c r="I1233" s="113">
        <v>5.0999999999999996</v>
      </c>
      <c r="J1233" s="113">
        <v>13.52</v>
      </c>
      <c r="K1233" s="113">
        <v>-13.6</v>
      </c>
      <c r="L1233" s="185"/>
      <c r="M1233" s="16">
        <v>1230</v>
      </c>
      <c r="N1233" s="16">
        <f t="shared" si="140"/>
        <v>2.2783955268473516E-2</v>
      </c>
      <c r="O1233" s="16">
        <v>4</v>
      </c>
      <c r="P1233" s="16">
        <f t="shared" si="136"/>
        <v>9.1833785004516724</v>
      </c>
      <c r="Q1233" s="16">
        <f t="shared" si="141"/>
        <v>43.890535607911517</v>
      </c>
      <c r="R1233" s="113">
        <f t="shared" si="137"/>
        <v>329.49099999999999</v>
      </c>
      <c r="S1233" s="16">
        <f>IF(S1232=15800,15800,ROUND((((Q1233*60)/'Gearing Calculator'!$C$14)*'Track Data'!P1233),-2))</f>
        <v>12200</v>
      </c>
      <c r="T1233" s="16">
        <f t="shared" si="139"/>
        <v>4.8209066787706405</v>
      </c>
      <c r="U1233" s="16">
        <f>IF(AC1233=100,Braking!$AG$2354,IF(AC1233=50,Braking!$AG$1179,IF(AC1233=75,Braking!$AG$1767,0)))</f>
        <v>0</v>
      </c>
      <c r="V1233" s="16">
        <f>0.5*'Gearing Calculator'!$C$15*'Gearing Calculator'!$C$20*'Gearing Calculator'!$W$20*('Track Data'!Q1233^2)</f>
        <v>203.88796563207904</v>
      </c>
      <c r="W1233" s="16">
        <f>('Gearing Calculator'!$U$9*'Track Data'!T1233)+'Track Data'!V1233</f>
        <v>1487.2133235208235</v>
      </c>
      <c r="X1233" s="16">
        <f>('Gearing Calculator'!$U$9*9.81)*('Gearing Calculator'!$U$16/'Gearing Calculator'!$C$7)-(('Track Data'!W1233)*('Gearing Calculator'!$U$17/'Gearing Calculator'!$C$7))</f>
        <v>590.5294713313134</v>
      </c>
      <c r="Y1233" s="16">
        <f>('Gearing Calculator'!$U$9*9.81)*(('Gearing Calculator'!$C$7-'Gearing Calculator'!$U$16)/'Gearing Calculator'!$C$7)+(('Track Data'!W1233)*('Gearing Calculator'!$U$17/'Gearing Calculator'!$C$7))</f>
        <v>2020.8925286686867</v>
      </c>
      <c r="Z1233" s="16">
        <f>((X1233*COS('Gearing Calculator'!$C$21))/'Gearing Calculator'!$C$22)/2</f>
        <v>18.257303567970709</v>
      </c>
      <c r="AA1233" s="16">
        <f>Y1233/'Gearing Calculator'!$C$24</f>
        <v>28.218437867098569</v>
      </c>
      <c r="AB1233" s="16">
        <f t="shared" si="135"/>
        <v>223.17159234716161</v>
      </c>
      <c r="AC1233" s="16">
        <v>0</v>
      </c>
      <c r="AD1233" s="16">
        <v>0</v>
      </c>
      <c r="AE1233" s="16">
        <v>1230</v>
      </c>
      <c r="AF1233" s="16">
        <f>IF(AC1233=0,IF(O1233=6,INDEX(Acceleration!$V$4:$V$110,MATCH('Track Data'!S1233,Acceleration!$K$4:$K$110,0)),IF('Track Data'!O1233=5,INDEX(Acceleration!$U$4:$U$110,MATCH('Track Data'!S1233,Acceleration!$K$4:$K$110,0)),1)),U1233)</f>
        <v>1</v>
      </c>
      <c r="AG1233" s="16">
        <f>IF(AC1233=0,IF(O1233=4,INDEX(Acceleration!$T$4:$T$110,MATCH('Track Data'!S1233,Acceleration!$K$4:$K$110,0)),IF('Track Data'!O1233=3,INDEX(Acceleration!$S$4:$S$110,MATCH('Track Data'!S1233,Acceleration!$K$4:$K$110,0)),'Track Data'!AF1233)),'Track Data'!U1233)</f>
        <v>4.8209066787706405</v>
      </c>
      <c r="AH1233" s="16">
        <f>IF(AC1233=0,IF(O1233=2,INDEX(Acceleration!$R$4:$R$110,MATCH('Track Data'!S1233,Acceleration!$K$4:$K$110,0)),IF('Track Data'!O1233=1,INDEX(Acceleration!$Q$4:$Q$110,MATCH('Track Data'!S1233,Acceleration!$K$4:$K$110,0)),'Track Data'!AG1233)),'Track Data'!U1233)</f>
        <v>4.8209066787706405</v>
      </c>
    </row>
    <row r="1234" spans="2:34" x14ac:dyDescent="0.25">
      <c r="B1234" s="16">
        <v>230.23099999999999</v>
      </c>
      <c r="C1234" s="16">
        <v>8504</v>
      </c>
      <c r="D1234" s="16">
        <v>1231</v>
      </c>
      <c r="E1234" s="113">
        <v>149</v>
      </c>
      <c r="F1234" s="113">
        <v>143.1</v>
      </c>
      <c r="G1234" s="113">
        <v>138.6</v>
      </c>
      <c r="H1234" s="113">
        <f t="shared" si="138"/>
        <v>38.5</v>
      </c>
      <c r="I1234" s="113">
        <v>5</v>
      </c>
      <c r="J1234" s="113">
        <v>12.85</v>
      </c>
      <c r="K1234" s="113">
        <v>-13.6</v>
      </c>
      <c r="L1234" s="185"/>
      <c r="M1234" s="16">
        <v>1231</v>
      </c>
      <c r="N1234" s="16">
        <f t="shared" si="140"/>
        <v>2.272714988062783E-2</v>
      </c>
      <c r="O1234" s="16">
        <v>4</v>
      </c>
      <c r="P1234" s="16">
        <f t="shared" si="136"/>
        <v>9.1833785004516724</v>
      </c>
      <c r="Q1234" s="16">
        <f t="shared" si="141"/>
        <v>44.000237832390063</v>
      </c>
      <c r="R1234" s="113">
        <f t="shared" si="137"/>
        <v>329.49099999999999</v>
      </c>
      <c r="S1234" s="16">
        <f>IF(S1233=15800,15800,ROUND((((Q1234*60)/'Gearing Calculator'!$C$14)*'Track Data'!P1234),-2))</f>
        <v>12300</v>
      </c>
      <c r="T1234" s="16">
        <f t="shared" si="139"/>
        <v>4.8207797244267363</v>
      </c>
      <c r="U1234" s="16">
        <f>IF(AC1234=100,Braking!$AG$2354,IF(AC1234=50,Braking!$AG$1179,IF(AC1234=75,Braking!$AG$1767,0)))</f>
        <v>0</v>
      </c>
      <c r="V1234" s="16">
        <f>0.5*'Gearing Calculator'!$C$15*'Gearing Calculator'!$C$20*'Gearing Calculator'!$W$20*('Track Data'!Q1234^2)</f>
        <v>204.90845515784119</v>
      </c>
      <c r="W1234" s="16">
        <f>('Gearing Calculator'!$U$9*'Track Data'!T1234)+'Track Data'!V1234</f>
        <v>1488.2000178002384</v>
      </c>
      <c r="X1234" s="16">
        <f>('Gearing Calculator'!$U$9*9.81)*('Gearing Calculator'!$U$16/'Gearing Calculator'!$C$7)-(('Track Data'!W1234)*('Gearing Calculator'!$U$17/'Gearing Calculator'!$C$7))</f>
        <v>589.99165556399646</v>
      </c>
      <c r="Y1234" s="16">
        <f>('Gearing Calculator'!$U$9*9.81)*(('Gearing Calculator'!$C$7-'Gearing Calculator'!$U$16)/'Gearing Calculator'!$C$7)+(('Track Data'!W1234)*('Gearing Calculator'!$U$17/'Gearing Calculator'!$C$7))</f>
        <v>2021.4303444360035</v>
      </c>
      <c r="Z1234" s="16">
        <f>((X1234*COS('Gearing Calculator'!$C$21))/'Gearing Calculator'!$C$22)/2</f>
        <v>18.240676005411618</v>
      </c>
      <c r="AA1234" s="16">
        <f>Y1234/'Gearing Calculator'!$C$24</f>
        <v>28.225947579069231</v>
      </c>
      <c r="AB1234" s="16">
        <f t="shared" si="135"/>
        <v>224.19157405554813</v>
      </c>
      <c r="AC1234" s="16">
        <v>0</v>
      </c>
      <c r="AD1234" s="16">
        <v>0</v>
      </c>
      <c r="AE1234" s="16">
        <v>1231</v>
      </c>
      <c r="AF1234" s="16">
        <f>IF(AC1234=0,IF(O1234=6,INDEX(Acceleration!$V$4:$V$110,MATCH('Track Data'!S1234,Acceleration!$K$4:$K$110,0)),IF('Track Data'!O1234=5,INDEX(Acceleration!$U$4:$U$110,MATCH('Track Data'!S1234,Acceleration!$K$4:$K$110,0)),1)),U1234)</f>
        <v>1</v>
      </c>
      <c r="AG1234" s="16">
        <f>IF(AC1234=0,IF(O1234=4,INDEX(Acceleration!$T$4:$T$110,MATCH('Track Data'!S1234,Acceleration!$K$4:$K$110,0)),IF('Track Data'!O1234=3,INDEX(Acceleration!$S$4:$S$110,MATCH('Track Data'!S1234,Acceleration!$K$4:$K$110,0)),'Track Data'!AF1234)),'Track Data'!U1234)</f>
        <v>4.8207797244267363</v>
      </c>
      <c r="AH1234" s="16">
        <f>IF(AC1234=0,IF(O1234=2,INDEX(Acceleration!$R$4:$R$110,MATCH('Track Data'!S1234,Acceleration!$K$4:$K$110,0)),IF('Track Data'!O1234=1,INDEX(Acceleration!$Q$4:$Q$110,MATCH('Track Data'!S1234,Acceleration!$K$4:$K$110,0)),'Track Data'!AG1234)),'Track Data'!U1234)</f>
        <v>4.8207797244267363</v>
      </c>
    </row>
    <row r="1235" spans="2:34" x14ac:dyDescent="0.25">
      <c r="B1235" s="16">
        <v>230.256</v>
      </c>
      <c r="C1235" s="16">
        <v>8505</v>
      </c>
      <c r="D1235" s="16">
        <v>1232</v>
      </c>
      <c r="E1235" s="113">
        <v>149</v>
      </c>
      <c r="F1235" s="113">
        <v>143.19999999999999</v>
      </c>
      <c r="G1235" s="113">
        <v>139.1</v>
      </c>
      <c r="H1235" s="113">
        <f t="shared" si="138"/>
        <v>38.638888888888886</v>
      </c>
      <c r="I1235" s="113">
        <v>4.5999999999999996</v>
      </c>
      <c r="J1235" s="113">
        <v>11.85</v>
      </c>
      <c r="K1235" s="113">
        <v>-18.2</v>
      </c>
      <c r="L1235" s="185"/>
      <c r="M1235" s="16">
        <v>1232</v>
      </c>
      <c r="N1235" s="16">
        <f t="shared" si="140"/>
        <v>2.2670768749131757E-2</v>
      </c>
      <c r="O1235" s="16">
        <v>4</v>
      </c>
      <c r="P1235" s="16">
        <f t="shared" si="136"/>
        <v>9.1833785004516724</v>
      </c>
      <c r="Q1235" s="16">
        <f t="shared" si="141"/>
        <v>44.109664346441619</v>
      </c>
      <c r="R1235" s="113">
        <f t="shared" si="137"/>
        <v>329.49099999999999</v>
      </c>
      <c r="S1235" s="16">
        <f>IF(S1234=15800,15800,ROUND((((Q1235*60)/'Gearing Calculator'!$C$14)*'Track Data'!P1235),-2))</f>
        <v>12300</v>
      </c>
      <c r="T1235" s="16">
        <f t="shared" si="139"/>
        <v>4.8207797244267363</v>
      </c>
      <c r="U1235" s="16">
        <f>IF(AC1235=100,Braking!$AG$2354,IF(AC1235=50,Braking!$AG$1179,IF(AC1235=75,Braking!$AG$1767,0)))</f>
        <v>0</v>
      </c>
      <c r="V1235" s="16">
        <f>0.5*'Gearing Calculator'!$C$15*'Gearing Calculator'!$C$20*'Gearing Calculator'!$W$20*('Track Data'!Q1235^2)</f>
        <v>205.92891780990783</v>
      </c>
      <c r="W1235" s="16">
        <f>('Gearing Calculator'!$U$9*'Track Data'!T1235)+'Track Data'!V1235</f>
        <v>1489.2204804523049</v>
      </c>
      <c r="X1235" s="16">
        <f>('Gearing Calculator'!$U$9*9.81)*('Gearing Calculator'!$U$16/'Gearing Calculator'!$C$7)-(('Track Data'!W1235)*('Gearing Calculator'!$U$17/'Gearing Calculator'!$C$7))</f>
        <v>589.43543372741624</v>
      </c>
      <c r="Y1235" s="16">
        <f>('Gearing Calculator'!$U$9*9.81)*(('Gearing Calculator'!$C$7-'Gearing Calculator'!$U$16)/'Gearing Calculator'!$C$7)+(('Track Data'!W1235)*('Gearing Calculator'!$U$17/'Gearing Calculator'!$C$7))</f>
        <v>2021.9865662725838</v>
      </c>
      <c r="Z1235" s="16">
        <f>((X1235*COS('Gearing Calculator'!$C$21))/'Gearing Calculator'!$C$22)/2</f>
        <v>18.22347938540435</v>
      </c>
      <c r="AA1235" s="16">
        <f>Y1235/'Gearing Calculator'!$C$24</f>
        <v>28.233714301501625</v>
      </c>
      <c r="AB1235" s="16">
        <f t="shared" si="135"/>
        <v>225.21203670761477</v>
      </c>
      <c r="AC1235" s="16">
        <v>0</v>
      </c>
      <c r="AD1235" s="16">
        <v>0</v>
      </c>
      <c r="AE1235" s="16">
        <v>1232</v>
      </c>
      <c r="AF1235" s="16">
        <f>IF(AC1235=0,IF(O1235=6,INDEX(Acceleration!$V$4:$V$110,MATCH('Track Data'!S1235,Acceleration!$K$4:$K$110,0)),IF('Track Data'!O1235=5,INDEX(Acceleration!$U$4:$U$110,MATCH('Track Data'!S1235,Acceleration!$K$4:$K$110,0)),1)),U1235)</f>
        <v>1</v>
      </c>
      <c r="AG1235" s="16">
        <f>IF(AC1235=0,IF(O1235=4,INDEX(Acceleration!$T$4:$T$110,MATCH('Track Data'!S1235,Acceleration!$K$4:$K$110,0)),IF('Track Data'!O1235=3,INDEX(Acceleration!$S$4:$S$110,MATCH('Track Data'!S1235,Acceleration!$K$4:$K$110,0)),'Track Data'!AF1235)),'Track Data'!U1235)</f>
        <v>4.8207797244267363</v>
      </c>
      <c r="AH1235" s="16">
        <f>IF(AC1235=0,IF(O1235=2,INDEX(Acceleration!$R$4:$R$110,MATCH('Track Data'!S1235,Acceleration!$K$4:$K$110,0)),IF('Track Data'!O1235=1,INDEX(Acceleration!$Q$4:$Q$110,MATCH('Track Data'!S1235,Acceleration!$K$4:$K$110,0)),'Track Data'!AG1235)),'Track Data'!U1235)</f>
        <v>4.8207797244267363</v>
      </c>
    </row>
    <row r="1236" spans="2:34" x14ac:dyDescent="0.25">
      <c r="B1236" s="16">
        <v>230.28100000000001</v>
      </c>
      <c r="C1236" s="16">
        <v>8506</v>
      </c>
      <c r="D1236" s="16">
        <v>1233</v>
      </c>
      <c r="E1236" s="113">
        <v>150</v>
      </c>
      <c r="F1236" s="113">
        <v>143.19999999999999</v>
      </c>
      <c r="G1236" s="113">
        <v>139.80000000000001</v>
      </c>
      <c r="H1236" s="113">
        <f t="shared" si="138"/>
        <v>38.833333333333336</v>
      </c>
      <c r="I1236" s="113">
        <v>4.0999999999999996</v>
      </c>
      <c r="J1236" s="113">
        <v>10.82</v>
      </c>
      <c r="K1236" s="113">
        <v>-28.3</v>
      </c>
      <c r="L1236" s="185"/>
      <c r="M1236" s="16">
        <v>1233</v>
      </c>
      <c r="N1236" s="16">
        <f t="shared" si="140"/>
        <v>2.2614805154515496E-2</v>
      </c>
      <c r="O1236" s="16">
        <v>4</v>
      </c>
      <c r="P1236" s="16">
        <f t="shared" si="136"/>
        <v>9.1833785004516724</v>
      </c>
      <c r="Q1236" s="16">
        <f t="shared" si="141"/>
        <v>44.218820067982328</v>
      </c>
      <c r="R1236" s="113">
        <f t="shared" si="137"/>
        <v>329.49099999999999</v>
      </c>
      <c r="S1236" s="16">
        <f>IF(S1235=15800,15800,ROUND((((Q1236*60)/'Gearing Calculator'!$C$14)*'Track Data'!P1236),-2))</f>
        <v>12300</v>
      </c>
      <c r="T1236" s="16">
        <f t="shared" si="139"/>
        <v>4.8207797244267363</v>
      </c>
      <c r="U1236" s="16">
        <f>IF(AC1236=100,Braking!$AG$2354,IF(AC1236=50,Braking!$AG$1179,IF(AC1236=75,Braking!$AG$1767,0)))</f>
        <v>0</v>
      </c>
      <c r="V1236" s="16">
        <f>0.5*'Gearing Calculator'!$C$15*'Gearing Calculator'!$C$20*'Gearing Calculator'!$W$20*('Track Data'!Q1236^2)</f>
        <v>206.9493804619745</v>
      </c>
      <c r="W1236" s="16">
        <f>('Gearing Calculator'!$U$9*'Track Data'!T1236)+'Track Data'!V1236</f>
        <v>1490.2409431043716</v>
      </c>
      <c r="X1236" s="16">
        <f>('Gearing Calculator'!$U$9*9.81)*('Gearing Calculator'!$U$16/'Gearing Calculator'!$C$7)-(('Track Data'!W1236)*('Gearing Calculator'!$U$17/'Gearing Calculator'!$C$7))</f>
        <v>588.87921189083579</v>
      </c>
      <c r="Y1236" s="16">
        <f>('Gearing Calculator'!$U$9*9.81)*(('Gearing Calculator'!$C$7-'Gearing Calculator'!$U$16)/'Gearing Calculator'!$C$7)+(('Track Data'!W1236)*('Gearing Calculator'!$U$17/'Gearing Calculator'!$C$7))</f>
        <v>2022.5427881091641</v>
      </c>
      <c r="Z1236" s="16">
        <f>((X1236*COS('Gearing Calculator'!$C$21))/'Gearing Calculator'!$C$22)/2</f>
        <v>18.20628276539707</v>
      </c>
      <c r="AA1236" s="16">
        <f>Y1236/'Gearing Calculator'!$C$24</f>
        <v>28.241481023934018</v>
      </c>
      <c r="AB1236" s="16">
        <f t="shared" si="135"/>
        <v>226.23249935968144</v>
      </c>
      <c r="AC1236" s="16">
        <v>0</v>
      </c>
      <c r="AD1236" s="16">
        <v>0</v>
      </c>
      <c r="AE1236" s="16">
        <v>1233</v>
      </c>
      <c r="AF1236" s="16">
        <f>IF(AC1236=0,IF(O1236=6,INDEX(Acceleration!$V$4:$V$110,MATCH('Track Data'!S1236,Acceleration!$K$4:$K$110,0)),IF('Track Data'!O1236=5,INDEX(Acceleration!$U$4:$U$110,MATCH('Track Data'!S1236,Acceleration!$K$4:$K$110,0)),1)),U1236)</f>
        <v>1</v>
      </c>
      <c r="AG1236" s="16">
        <f>IF(AC1236=0,IF(O1236=4,INDEX(Acceleration!$T$4:$T$110,MATCH('Track Data'!S1236,Acceleration!$K$4:$K$110,0)),IF('Track Data'!O1236=3,INDEX(Acceleration!$S$4:$S$110,MATCH('Track Data'!S1236,Acceleration!$K$4:$K$110,0)),'Track Data'!AF1236)),'Track Data'!U1236)</f>
        <v>4.8207797244267363</v>
      </c>
      <c r="AH1236" s="16">
        <f>IF(AC1236=0,IF(O1236=2,INDEX(Acceleration!$R$4:$R$110,MATCH('Track Data'!S1236,Acceleration!$K$4:$K$110,0)),IF('Track Data'!O1236=1,INDEX(Acceleration!$Q$4:$Q$110,MATCH('Track Data'!S1236,Acceleration!$K$4:$K$110,0)),'Track Data'!AG1236)),'Track Data'!U1236)</f>
        <v>4.8207797244267363</v>
      </c>
    </row>
    <row r="1237" spans="2:34" x14ac:dyDescent="0.25">
      <c r="B1237" s="16">
        <v>230.30600000000001</v>
      </c>
      <c r="C1237" s="16">
        <v>8507</v>
      </c>
      <c r="D1237" s="16">
        <v>1234</v>
      </c>
      <c r="E1237" s="113">
        <v>149</v>
      </c>
      <c r="F1237" s="113">
        <v>143.19999999999999</v>
      </c>
      <c r="G1237" s="113">
        <v>140.30000000000001</v>
      </c>
      <c r="H1237" s="113">
        <f t="shared" si="138"/>
        <v>38.972222222222221</v>
      </c>
      <c r="I1237" s="113">
        <v>4</v>
      </c>
      <c r="J1237" s="113">
        <v>8.59</v>
      </c>
      <c r="K1237" s="113">
        <v>-35.1</v>
      </c>
      <c r="L1237" s="185"/>
      <c r="M1237" s="16">
        <v>1234</v>
      </c>
      <c r="N1237" s="16">
        <f t="shared" si="140"/>
        <v>2.2559253968564189E-2</v>
      </c>
      <c r="O1237" s="16">
        <v>4</v>
      </c>
      <c r="P1237" s="16">
        <f t="shared" si="136"/>
        <v>9.1833785004516724</v>
      </c>
      <c r="Q1237" s="16">
        <f t="shared" si="141"/>
        <v>44.327706997468866</v>
      </c>
      <c r="R1237" s="113">
        <f t="shared" si="137"/>
        <v>329.49099999999999</v>
      </c>
      <c r="S1237" s="16">
        <f>IF(S1236=15800,15800,ROUND((((Q1237*60)/'Gearing Calculator'!$C$14)*'Track Data'!P1237),-2))</f>
        <v>12300</v>
      </c>
      <c r="T1237" s="16">
        <f t="shared" si="139"/>
        <v>4.8207797244267363</v>
      </c>
      <c r="U1237" s="16">
        <f>IF(AC1237=100,Braking!$AG$2354,IF(AC1237=50,Braking!$AG$1179,IF(AC1237=75,Braking!$AG$1767,0)))</f>
        <v>0</v>
      </c>
      <c r="V1237" s="16">
        <f>0.5*'Gearing Calculator'!$C$15*'Gearing Calculator'!$C$20*'Gearing Calculator'!$W$20*('Track Data'!Q1237^2)</f>
        <v>207.96984311404114</v>
      </c>
      <c r="W1237" s="16">
        <f>('Gearing Calculator'!$U$9*'Track Data'!T1237)+'Track Data'!V1237</f>
        <v>1491.2614057564383</v>
      </c>
      <c r="X1237" s="16">
        <f>('Gearing Calculator'!$U$9*9.81)*('Gearing Calculator'!$U$16/'Gearing Calculator'!$C$7)-(('Track Data'!W1237)*('Gearing Calculator'!$U$17/'Gearing Calculator'!$C$7))</f>
        <v>588.32299005425534</v>
      </c>
      <c r="Y1237" s="16">
        <f>('Gearing Calculator'!$U$9*9.81)*(('Gearing Calculator'!$C$7-'Gearing Calculator'!$U$16)/'Gearing Calculator'!$C$7)+(('Track Data'!W1237)*('Gearing Calculator'!$U$17/'Gearing Calculator'!$C$7))</f>
        <v>2023.0990099457447</v>
      </c>
      <c r="Z1237" s="16">
        <f>((X1237*COS('Gearing Calculator'!$C$21))/'Gearing Calculator'!$C$22)/2</f>
        <v>18.189086145389794</v>
      </c>
      <c r="AA1237" s="16">
        <f>Y1237/'Gearing Calculator'!$C$24</f>
        <v>28.249247746366414</v>
      </c>
      <c r="AB1237" s="16">
        <f t="shared" si="135"/>
        <v>227.25296201174808</v>
      </c>
      <c r="AC1237" s="16">
        <v>0</v>
      </c>
      <c r="AD1237" s="16">
        <v>0</v>
      </c>
      <c r="AE1237" s="16">
        <v>1234</v>
      </c>
      <c r="AF1237" s="16">
        <f>IF(AC1237=0,IF(O1237=6,INDEX(Acceleration!$V$4:$V$110,MATCH('Track Data'!S1237,Acceleration!$K$4:$K$110,0)),IF('Track Data'!O1237=5,INDEX(Acceleration!$U$4:$U$110,MATCH('Track Data'!S1237,Acceleration!$K$4:$K$110,0)),1)),U1237)</f>
        <v>1</v>
      </c>
      <c r="AG1237" s="16">
        <f>IF(AC1237=0,IF(O1237=4,INDEX(Acceleration!$T$4:$T$110,MATCH('Track Data'!S1237,Acceleration!$K$4:$K$110,0)),IF('Track Data'!O1237=3,INDEX(Acceleration!$S$4:$S$110,MATCH('Track Data'!S1237,Acceleration!$K$4:$K$110,0)),'Track Data'!AF1237)),'Track Data'!U1237)</f>
        <v>4.8207797244267363</v>
      </c>
      <c r="AH1237" s="16">
        <f>IF(AC1237=0,IF(O1237=2,INDEX(Acceleration!$R$4:$R$110,MATCH('Track Data'!S1237,Acceleration!$K$4:$K$110,0)),IF('Track Data'!O1237=1,INDEX(Acceleration!$Q$4:$Q$110,MATCH('Track Data'!S1237,Acceleration!$K$4:$K$110,0)),'Track Data'!AG1237)),'Track Data'!U1237)</f>
        <v>4.8207797244267363</v>
      </c>
    </row>
    <row r="1238" spans="2:34" x14ac:dyDescent="0.25">
      <c r="B1238" s="16">
        <v>230.33099999999999</v>
      </c>
      <c r="C1238" s="16">
        <v>8508</v>
      </c>
      <c r="D1238" s="16">
        <v>1235</v>
      </c>
      <c r="E1238" s="113">
        <v>149</v>
      </c>
      <c r="F1238" s="113">
        <v>143.6</v>
      </c>
      <c r="G1238" s="113">
        <v>141</v>
      </c>
      <c r="H1238" s="113">
        <f t="shared" si="138"/>
        <v>39.166666666666664</v>
      </c>
      <c r="I1238" s="113">
        <v>3.9</v>
      </c>
      <c r="J1238" s="113">
        <v>6.88</v>
      </c>
      <c r="K1238" s="113">
        <v>-39.799999999999997</v>
      </c>
      <c r="L1238" s="185"/>
      <c r="M1238" s="16">
        <v>1235</v>
      </c>
      <c r="N1238" s="16">
        <f t="shared" si="140"/>
        <v>2.2504110150811062E-2</v>
      </c>
      <c r="O1238" s="16">
        <v>4</v>
      </c>
      <c r="P1238" s="16">
        <f t="shared" si="136"/>
        <v>9.1833785004516724</v>
      </c>
      <c r="Q1238" s="16">
        <f t="shared" si="141"/>
        <v>44.436327110848211</v>
      </c>
      <c r="R1238" s="113">
        <f t="shared" si="137"/>
        <v>329.49099999999999</v>
      </c>
      <c r="S1238" s="16">
        <f>IF(S1237=15800,15800,ROUND((((Q1238*60)/'Gearing Calculator'!$C$14)*'Track Data'!P1238),-2))</f>
        <v>12400</v>
      </c>
      <c r="T1238" s="16">
        <f t="shared" si="139"/>
        <v>4.820458184523007</v>
      </c>
      <c r="U1238" s="16">
        <f>IF(AC1238=100,Braking!$AG$2354,IF(AC1238=50,Braking!$AG$1179,IF(AC1238=75,Braking!$AG$1767,0)))</f>
        <v>0</v>
      </c>
      <c r="V1238" s="16">
        <f>0.5*'Gearing Calculator'!$C$15*'Gearing Calculator'!$C$20*'Gearing Calculator'!$W$20*('Track Data'!Q1238^2)</f>
        <v>208.99030576610781</v>
      </c>
      <c r="W1238" s="16">
        <f>('Gearing Calculator'!$U$9*'Track Data'!T1238)+'Track Data'!V1238</f>
        <v>1492.1962744861323</v>
      </c>
      <c r="X1238" s="16">
        <f>('Gearing Calculator'!$U$9*9.81)*('Gearing Calculator'!$U$16/'Gearing Calculator'!$C$7)-(('Track Data'!W1238)*('Gearing Calculator'!$U$17/'Gearing Calculator'!$C$7))</f>
        <v>587.81342275089662</v>
      </c>
      <c r="Y1238" s="16">
        <f>('Gearing Calculator'!$U$9*9.81)*(('Gearing Calculator'!$C$7-'Gearing Calculator'!$U$16)/'Gearing Calculator'!$C$7)+(('Track Data'!W1238)*('Gearing Calculator'!$U$17/'Gearing Calculator'!$C$7))</f>
        <v>2023.6085772491033</v>
      </c>
      <c r="Z1238" s="16">
        <f>((X1238*COS('Gearing Calculator'!$C$21))/'Gearing Calculator'!$C$22)/2</f>
        <v>18.173331935994014</v>
      </c>
      <c r="AA1238" s="16">
        <f>Y1238/'Gearing Calculator'!$C$24</f>
        <v>28.256363015033571</v>
      </c>
      <c r="AB1238" s="16">
        <f t="shared" si="135"/>
        <v>228.27213850419983</v>
      </c>
      <c r="AC1238" s="16">
        <v>0</v>
      </c>
      <c r="AD1238" s="16">
        <v>0</v>
      </c>
      <c r="AE1238" s="16">
        <v>1235</v>
      </c>
      <c r="AF1238" s="16">
        <f>IF(AC1238=0,IF(O1238=6,INDEX(Acceleration!$V$4:$V$110,MATCH('Track Data'!S1238,Acceleration!$K$4:$K$110,0)),IF('Track Data'!O1238=5,INDEX(Acceleration!$U$4:$U$110,MATCH('Track Data'!S1238,Acceleration!$K$4:$K$110,0)),1)),U1238)</f>
        <v>1</v>
      </c>
      <c r="AG1238" s="16">
        <f>IF(AC1238=0,IF(O1238=4,INDEX(Acceleration!$T$4:$T$110,MATCH('Track Data'!S1238,Acceleration!$K$4:$K$110,0)),IF('Track Data'!O1238=3,INDEX(Acceleration!$S$4:$S$110,MATCH('Track Data'!S1238,Acceleration!$K$4:$K$110,0)),'Track Data'!AF1238)),'Track Data'!U1238)</f>
        <v>4.820458184523007</v>
      </c>
      <c r="AH1238" s="16">
        <f>IF(AC1238=0,IF(O1238=2,INDEX(Acceleration!$R$4:$R$110,MATCH('Track Data'!S1238,Acceleration!$K$4:$K$110,0)),IF('Track Data'!O1238=1,INDEX(Acceleration!$Q$4:$Q$110,MATCH('Track Data'!S1238,Acceleration!$K$4:$K$110,0)),'Track Data'!AG1238)),'Track Data'!U1238)</f>
        <v>4.820458184523007</v>
      </c>
    </row>
    <row r="1239" spans="2:34" x14ac:dyDescent="0.25">
      <c r="B1239" s="16">
        <v>230.35599999999999</v>
      </c>
      <c r="C1239" s="16">
        <v>8509</v>
      </c>
      <c r="D1239" s="16">
        <v>1236</v>
      </c>
      <c r="E1239" s="113">
        <v>150</v>
      </c>
      <c r="F1239" s="113">
        <v>144.1</v>
      </c>
      <c r="G1239" s="113">
        <v>141.4</v>
      </c>
      <c r="H1239" s="113">
        <f t="shared" si="138"/>
        <v>39.277777777777779</v>
      </c>
      <c r="I1239" s="113">
        <v>3.7</v>
      </c>
      <c r="J1239" s="113">
        <v>5.37</v>
      </c>
      <c r="K1239" s="113">
        <v>-38.700000000000003</v>
      </c>
      <c r="L1239" s="185"/>
      <c r="M1239" s="16">
        <v>1236</v>
      </c>
      <c r="N1239" s="16">
        <f t="shared" si="140"/>
        <v>2.2449372384488145E-2</v>
      </c>
      <c r="O1239" s="16">
        <v>4</v>
      </c>
      <c r="P1239" s="16">
        <f t="shared" si="136"/>
        <v>9.1833785004516724</v>
      </c>
      <c r="Q1239" s="16">
        <f t="shared" si="141"/>
        <v>44.544675141607549</v>
      </c>
      <c r="R1239" s="113">
        <f t="shared" si="137"/>
        <v>329.49099999999999</v>
      </c>
      <c r="S1239" s="16">
        <f>IF(S1238=15800,15800,ROUND((((Q1239*60)/'Gearing Calculator'!$C$14)*'Track Data'!P1239),-2))</f>
        <v>12400</v>
      </c>
      <c r="T1239" s="16">
        <f t="shared" si="139"/>
        <v>4.820458184523007</v>
      </c>
      <c r="U1239" s="16">
        <f>IF(AC1239=100,Braking!$AG$2354,IF(AC1239=50,Braking!$AG$1179,IF(AC1239=75,Braking!$AG$1767,0)))</f>
        <v>0</v>
      </c>
      <c r="V1239" s="16">
        <f>0.5*'Gearing Calculator'!$C$15*'Gearing Calculator'!$C$20*'Gearing Calculator'!$W$20*('Track Data'!Q1239^2)</f>
        <v>210.01070035460759</v>
      </c>
      <c r="W1239" s="16">
        <f>('Gearing Calculator'!$U$9*'Track Data'!T1239)+'Track Data'!V1239</f>
        <v>1493.2166690746321</v>
      </c>
      <c r="X1239" s="16">
        <f>('Gearing Calculator'!$U$9*9.81)*('Gearing Calculator'!$U$16/'Gearing Calculator'!$C$7)-(('Track Data'!W1239)*('Gearing Calculator'!$U$17/'Gearing Calculator'!$C$7))</f>
        <v>587.25723801360846</v>
      </c>
      <c r="Y1239" s="16">
        <f>('Gearing Calculator'!$U$9*9.81)*(('Gearing Calculator'!$C$7-'Gearing Calculator'!$U$16)/'Gearing Calculator'!$C$7)+(('Track Data'!W1239)*('Gearing Calculator'!$U$17/'Gearing Calculator'!$C$7))</f>
        <v>2024.1647619863916</v>
      </c>
      <c r="Z1239" s="16">
        <f>((X1239*COS('Gearing Calculator'!$C$21))/'Gearing Calculator'!$C$22)/2</f>
        <v>18.156136462979518</v>
      </c>
      <c r="AA1239" s="16">
        <f>Y1239/'Gearing Calculator'!$C$24</f>
        <v>28.264129219435414</v>
      </c>
      <c r="AB1239" s="16">
        <f t="shared" si="135"/>
        <v>229.29253309269961</v>
      </c>
      <c r="AC1239" s="16">
        <v>0</v>
      </c>
      <c r="AD1239" s="16">
        <v>0</v>
      </c>
      <c r="AE1239" s="16">
        <v>1236</v>
      </c>
      <c r="AF1239" s="16">
        <f>IF(AC1239=0,IF(O1239=6,INDEX(Acceleration!$V$4:$V$110,MATCH('Track Data'!S1239,Acceleration!$K$4:$K$110,0)),IF('Track Data'!O1239=5,INDEX(Acceleration!$U$4:$U$110,MATCH('Track Data'!S1239,Acceleration!$K$4:$K$110,0)),1)),U1239)</f>
        <v>1</v>
      </c>
      <c r="AG1239" s="16">
        <f>IF(AC1239=0,IF(O1239=4,INDEX(Acceleration!$T$4:$T$110,MATCH('Track Data'!S1239,Acceleration!$K$4:$K$110,0)),IF('Track Data'!O1239=3,INDEX(Acceleration!$S$4:$S$110,MATCH('Track Data'!S1239,Acceleration!$K$4:$K$110,0)),'Track Data'!AF1239)),'Track Data'!U1239)</f>
        <v>4.820458184523007</v>
      </c>
      <c r="AH1239" s="16">
        <f>IF(AC1239=0,IF(O1239=2,INDEX(Acceleration!$R$4:$R$110,MATCH('Track Data'!S1239,Acceleration!$K$4:$K$110,0)),IF('Track Data'!O1239=1,INDEX(Acceleration!$Q$4:$Q$110,MATCH('Track Data'!S1239,Acceleration!$K$4:$K$110,0)),'Track Data'!AG1239)),'Track Data'!U1239)</f>
        <v>4.820458184523007</v>
      </c>
    </row>
    <row r="1240" spans="2:34" x14ac:dyDescent="0.25">
      <c r="B1240" s="16">
        <v>230.381</v>
      </c>
      <c r="C1240" s="16">
        <v>8510</v>
      </c>
      <c r="D1240" s="16">
        <v>1237</v>
      </c>
      <c r="E1240" s="113">
        <v>151</v>
      </c>
      <c r="F1240" s="113">
        <v>145</v>
      </c>
      <c r="G1240" s="113">
        <v>142.1</v>
      </c>
      <c r="H1240" s="113">
        <f t="shared" si="138"/>
        <v>39.472222222222221</v>
      </c>
      <c r="I1240" s="113">
        <v>3</v>
      </c>
      <c r="J1240" s="113">
        <v>5.36</v>
      </c>
      <c r="K1240" s="113">
        <v>-37.1</v>
      </c>
      <c r="L1240" s="185"/>
      <c r="M1240" s="16">
        <v>1237</v>
      </c>
      <c r="N1240" s="16">
        <f t="shared" si="140"/>
        <v>2.2395032108332841E-2</v>
      </c>
      <c r="O1240" s="16">
        <v>4</v>
      </c>
      <c r="P1240" s="16">
        <f t="shared" si="136"/>
        <v>9.1833785004516724</v>
      </c>
      <c r="Q1240" s="16">
        <f t="shared" si="141"/>
        <v>44.652760271235138</v>
      </c>
      <c r="R1240" s="113">
        <f t="shared" si="137"/>
        <v>329.49099999999999</v>
      </c>
      <c r="S1240" s="16">
        <f>IF(S1239=15800,15800,ROUND((((Q1240*60)/'Gearing Calculator'!$C$14)*'Track Data'!P1240),-2))</f>
        <v>12400</v>
      </c>
      <c r="T1240" s="16">
        <f t="shared" si="139"/>
        <v>4.820458184523007</v>
      </c>
      <c r="U1240" s="16">
        <f>IF(AC1240=100,Braking!$AG$2354,IF(AC1240=50,Braking!$AG$1179,IF(AC1240=75,Braking!$AG$1767,0)))</f>
        <v>0</v>
      </c>
      <c r="V1240" s="16">
        <f>0.5*'Gearing Calculator'!$C$15*'Gearing Calculator'!$C$20*'Gearing Calculator'!$W$20*('Track Data'!Q1240^2)</f>
        <v>211.03109494310741</v>
      </c>
      <c r="W1240" s="16">
        <f>('Gearing Calculator'!$U$9*'Track Data'!T1240)+'Track Data'!V1240</f>
        <v>1494.2370636631317</v>
      </c>
      <c r="X1240" s="16">
        <f>('Gearing Calculator'!$U$9*9.81)*('Gearing Calculator'!$U$16/'Gearing Calculator'!$C$7)-(('Track Data'!W1240)*('Gearing Calculator'!$U$17/'Gearing Calculator'!$C$7))</f>
        <v>586.70105327632052</v>
      </c>
      <c r="Y1240" s="16">
        <f>('Gearing Calculator'!$U$9*9.81)*(('Gearing Calculator'!$C$7-'Gearing Calculator'!$U$16)/'Gearing Calculator'!$C$7)+(('Track Data'!W1240)*('Gearing Calculator'!$U$17/'Gearing Calculator'!$C$7))</f>
        <v>2024.7209467236794</v>
      </c>
      <c r="Z1240" s="16">
        <f>((X1240*COS('Gearing Calculator'!$C$21))/'Gearing Calculator'!$C$22)/2</f>
        <v>18.138940989965029</v>
      </c>
      <c r="AA1240" s="16">
        <f>Y1240/'Gearing Calculator'!$C$24</f>
        <v>28.27189542383725</v>
      </c>
      <c r="AB1240" s="16">
        <f t="shared" si="135"/>
        <v>230.31292768119943</v>
      </c>
      <c r="AC1240" s="16">
        <v>0</v>
      </c>
      <c r="AD1240" s="16">
        <v>0</v>
      </c>
      <c r="AE1240" s="16">
        <v>1237</v>
      </c>
      <c r="AF1240" s="16">
        <f>IF(AC1240=0,IF(O1240=6,INDEX(Acceleration!$V$4:$V$110,MATCH('Track Data'!S1240,Acceleration!$K$4:$K$110,0)),IF('Track Data'!O1240=5,INDEX(Acceleration!$U$4:$U$110,MATCH('Track Data'!S1240,Acceleration!$K$4:$K$110,0)),1)),U1240)</f>
        <v>1</v>
      </c>
      <c r="AG1240" s="16">
        <f>IF(AC1240=0,IF(O1240=4,INDEX(Acceleration!$T$4:$T$110,MATCH('Track Data'!S1240,Acceleration!$K$4:$K$110,0)),IF('Track Data'!O1240=3,INDEX(Acceleration!$S$4:$S$110,MATCH('Track Data'!S1240,Acceleration!$K$4:$K$110,0)),'Track Data'!AF1240)),'Track Data'!U1240)</f>
        <v>4.820458184523007</v>
      </c>
      <c r="AH1240" s="16">
        <f>IF(AC1240=0,IF(O1240=2,INDEX(Acceleration!$R$4:$R$110,MATCH('Track Data'!S1240,Acceleration!$K$4:$K$110,0)),IF('Track Data'!O1240=1,INDEX(Acceleration!$Q$4:$Q$110,MATCH('Track Data'!S1240,Acceleration!$K$4:$K$110,0)),'Track Data'!AG1240)),'Track Data'!U1240)</f>
        <v>4.820458184523007</v>
      </c>
    </row>
    <row r="1241" spans="2:34" x14ac:dyDescent="0.25">
      <c r="B1241" s="16">
        <v>230.40600000000001</v>
      </c>
      <c r="C1241" s="16">
        <v>8511</v>
      </c>
      <c r="D1241" s="16">
        <v>1238</v>
      </c>
      <c r="E1241" s="113">
        <v>151</v>
      </c>
      <c r="F1241" s="113">
        <v>145.69999999999999</v>
      </c>
      <c r="G1241" s="113">
        <v>142.5</v>
      </c>
      <c r="H1241" s="113">
        <f t="shared" si="138"/>
        <v>39.583333333333336</v>
      </c>
      <c r="I1241" s="113">
        <v>2.8</v>
      </c>
      <c r="J1241" s="113">
        <v>6.01</v>
      </c>
      <c r="K1241" s="113">
        <v>-35.4</v>
      </c>
      <c r="L1241" s="185"/>
      <c r="M1241" s="16">
        <v>1238</v>
      </c>
      <c r="N1241" s="16">
        <f t="shared" si="140"/>
        <v>2.234108453474944E-2</v>
      </c>
      <c r="O1241" s="16">
        <v>4</v>
      </c>
      <c r="P1241" s="16">
        <f t="shared" si="136"/>
        <v>9.1833785004516724</v>
      </c>
      <c r="Q1241" s="16">
        <f t="shared" si="141"/>
        <v>44.760584404243886</v>
      </c>
      <c r="R1241" s="113">
        <f t="shared" si="137"/>
        <v>329.49099999999999</v>
      </c>
      <c r="S1241" s="16">
        <f>IF(S1240=15800,15800,ROUND((((Q1241*60)/'Gearing Calculator'!$C$14)*'Track Data'!P1241),-2))</f>
        <v>12500</v>
      </c>
      <c r="T1241" s="16">
        <f t="shared" si="139"/>
        <v>4.8199451432580522</v>
      </c>
      <c r="U1241" s="16">
        <f>IF(AC1241=100,Braking!$AG$2354,IF(AC1241=50,Braking!$AG$1179,IF(AC1241=75,Braking!$AG$1767,0)))</f>
        <v>0</v>
      </c>
      <c r="V1241" s="16">
        <f>0.5*'Gearing Calculator'!$C$15*'Gearing Calculator'!$C$20*'Gearing Calculator'!$W$20*('Track Data'!Q1241^2)</f>
        <v>212.05148953160722</v>
      </c>
      <c r="W1241" s="16">
        <f>('Gearing Calculator'!$U$9*'Track Data'!T1241)+'Track Data'!V1241</f>
        <v>1495.1208866669008</v>
      </c>
      <c r="X1241" s="16">
        <f>('Gearing Calculator'!$U$9*9.81)*('Gearing Calculator'!$U$16/'Gearing Calculator'!$C$7)-(('Track Data'!W1241)*('Gearing Calculator'!$U$17/'Gearing Calculator'!$C$7))</f>
        <v>586.21930937969398</v>
      </c>
      <c r="Y1241" s="16">
        <f>('Gearing Calculator'!$U$9*9.81)*(('Gearing Calculator'!$C$7-'Gearing Calculator'!$U$16)/'Gearing Calculator'!$C$7)+(('Track Data'!W1241)*('Gearing Calculator'!$U$17/'Gearing Calculator'!$C$7))</f>
        <v>2025.2026906203059</v>
      </c>
      <c r="Z1241" s="16">
        <f>((X1241*COS('Gearing Calculator'!$C$21))/'Gearing Calculator'!$C$22)/2</f>
        <v>18.124046992307473</v>
      </c>
      <c r="AA1241" s="16">
        <f>Y1241/'Gearing Calculator'!$C$24</f>
        <v>28.278622184425437</v>
      </c>
      <c r="AB1241" s="16">
        <f t="shared" si="135"/>
        <v>231.33127010463943</v>
      </c>
      <c r="AC1241" s="16">
        <v>0</v>
      </c>
      <c r="AD1241" s="16">
        <v>0</v>
      </c>
      <c r="AE1241" s="16">
        <v>1238</v>
      </c>
      <c r="AF1241" s="16">
        <f>IF(AC1241=0,IF(O1241=6,INDEX(Acceleration!$V$4:$V$110,MATCH('Track Data'!S1241,Acceleration!$K$4:$K$110,0)),IF('Track Data'!O1241=5,INDEX(Acceleration!$U$4:$U$110,MATCH('Track Data'!S1241,Acceleration!$K$4:$K$110,0)),1)),U1241)</f>
        <v>1</v>
      </c>
      <c r="AG1241" s="16">
        <f>IF(AC1241=0,IF(O1241=4,INDEX(Acceleration!$T$4:$T$110,MATCH('Track Data'!S1241,Acceleration!$K$4:$K$110,0)),IF('Track Data'!O1241=3,INDEX(Acceleration!$S$4:$S$110,MATCH('Track Data'!S1241,Acceleration!$K$4:$K$110,0)),'Track Data'!AF1241)),'Track Data'!U1241)</f>
        <v>4.8199451432580522</v>
      </c>
      <c r="AH1241" s="16">
        <f>IF(AC1241=0,IF(O1241=2,INDEX(Acceleration!$R$4:$R$110,MATCH('Track Data'!S1241,Acceleration!$K$4:$K$110,0)),IF('Track Data'!O1241=1,INDEX(Acceleration!$Q$4:$Q$110,MATCH('Track Data'!S1241,Acceleration!$K$4:$K$110,0)),'Track Data'!AG1241)),'Track Data'!U1241)</f>
        <v>4.8199451432580522</v>
      </c>
    </row>
    <row r="1242" spans="2:34" x14ac:dyDescent="0.25">
      <c r="B1242" s="16">
        <v>230.43</v>
      </c>
      <c r="C1242" s="16">
        <v>8512</v>
      </c>
      <c r="D1242" s="16">
        <v>1239</v>
      </c>
      <c r="E1242" s="113">
        <v>151</v>
      </c>
      <c r="F1242" s="113">
        <v>146.19999999999999</v>
      </c>
      <c r="G1242" s="113">
        <v>143.19999999999999</v>
      </c>
      <c r="H1242" s="113">
        <f t="shared" si="138"/>
        <v>39.777777777777771</v>
      </c>
      <c r="I1242" s="113">
        <v>2.8</v>
      </c>
      <c r="J1242" s="113">
        <v>8.5</v>
      </c>
      <c r="K1242" s="113">
        <v>-28</v>
      </c>
      <c r="L1242" s="185"/>
      <c r="M1242" s="16">
        <v>1239</v>
      </c>
      <c r="N1242" s="16">
        <f t="shared" si="140"/>
        <v>2.2287530636350233E-2</v>
      </c>
      <c r="O1242" s="16">
        <v>4</v>
      </c>
      <c r="P1242" s="16">
        <f t="shared" si="136"/>
        <v>9.1833785004516724</v>
      </c>
      <c r="Q1242" s="16">
        <f t="shared" si="141"/>
        <v>44.86813798784118</v>
      </c>
      <c r="R1242" s="113">
        <f t="shared" si="137"/>
        <v>329.49099999999999</v>
      </c>
      <c r="S1242" s="16">
        <f>IF(S1241=15800,15800,ROUND((((Q1242*60)/'Gearing Calculator'!$C$14)*'Track Data'!P1242),-2))</f>
        <v>12500</v>
      </c>
      <c r="T1242" s="16">
        <f t="shared" si="139"/>
        <v>4.8199451432580522</v>
      </c>
      <c r="U1242" s="16">
        <f>IF(AC1242=100,Braking!$AG$2354,IF(AC1242=50,Braking!$AG$1179,IF(AC1242=75,Braking!$AG$1767,0)))</f>
        <v>0</v>
      </c>
      <c r="V1242" s="16">
        <f>0.5*'Gearing Calculator'!$C$15*'Gearing Calculator'!$C$20*'Gearing Calculator'!$W$20*('Track Data'!Q1242^2)</f>
        <v>213.07177551953205</v>
      </c>
      <c r="W1242" s="16">
        <f>('Gearing Calculator'!$U$9*'Track Data'!T1242)+'Track Data'!V1242</f>
        <v>1496.1411726548256</v>
      </c>
      <c r="X1242" s="16">
        <f>('Gearing Calculator'!$U$9*9.81)*('Gearing Calculator'!$U$16/'Gearing Calculator'!$C$7)-(('Track Data'!W1242)*('Gearing Calculator'!$U$17/'Gearing Calculator'!$C$7))</f>
        <v>585.66318383713599</v>
      </c>
      <c r="Y1242" s="16">
        <f>('Gearing Calculator'!$U$9*9.81)*(('Gearing Calculator'!$C$7-'Gearing Calculator'!$U$16)/'Gearing Calculator'!$C$7)+(('Track Data'!W1242)*('Gearing Calculator'!$U$17/'Gearing Calculator'!$C$7))</f>
        <v>2025.7588161628642</v>
      </c>
      <c r="Z1242" s="16">
        <f>((X1242*COS('Gearing Calculator'!$C$21))/'Gearing Calculator'!$C$22)/2</f>
        <v>18.106853349406816</v>
      </c>
      <c r="AA1242" s="16">
        <f>Y1242/'Gearing Calculator'!$C$24</f>
        <v>28.286387562270306</v>
      </c>
      <c r="AB1242" s="16">
        <f t="shared" si="135"/>
        <v>232.35155609256427</v>
      </c>
      <c r="AC1242" s="16">
        <v>0</v>
      </c>
      <c r="AD1242" s="16">
        <v>0</v>
      </c>
      <c r="AE1242" s="16">
        <v>1239</v>
      </c>
      <c r="AF1242" s="16">
        <f>IF(AC1242=0,IF(O1242=6,INDEX(Acceleration!$V$4:$V$110,MATCH('Track Data'!S1242,Acceleration!$K$4:$K$110,0)),IF('Track Data'!O1242=5,INDEX(Acceleration!$U$4:$U$110,MATCH('Track Data'!S1242,Acceleration!$K$4:$K$110,0)),1)),U1242)</f>
        <v>1</v>
      </c>
      <c r="AG1242" s="16">
        <f>IF(AC1242=0,IF(O1242=4,INDEX(Acceleration!$T$4:$T$110,MATCH('Track Data'!S1242,Acceleration!$K$4:$K$110,0)),IF('Track Data'!O1242=3,INDEX(Acceleration!$S$4:$S$110,MATCH('Track Data'!S1242,Acceleration!$K$4:$K$110,0)),'Track Data'!AF1242)),'Track Data'!U1242)</f>
        <v>4.8199451432580522</v>
      </c>
      <c r="AH1242" s="16">
        <f>IF(AC1242=0,IF(O1242=2,INDEX(Acceleration!$R$4:$R$110,MATCH('Track Data'!S1242,Acceleration!$K$4:$K$110,0)),IF('Track Data'!O1242=1,INDEX(Acceleration!$Q$4:$Q$110,MATCH('Track Data'!S1242,Acceleration!$K$4:$K$110,0)),'Track Data'!AG1242)),'Track Data'!U1242)</f>
        <v>4.8199451432580522</v>
      </c>
    </row>
    <row r="1243" spans="2:34" x14ac:dyDescent="0.25">
      <c r="B1243" s="16">
        <v>230.45500000000001</v>
      </c>
      <c r="C1243" s="16">
        <v>8513</v>
      </c>
      <c r="D1243" s="16">
        <v>1240</v>
      </c>
      <c r="E1243" s="113">
        <v>151</v>
      </c>
      <c r="F1243" s="113">
        <v>146.6</v>
      </c>
      <c r="G1243" s="113">
        <v>143.6</v>
      </c>
      <c r="H1243" s="113">
        <f t="shared" si="138"/>
        <v>39.888888888888886</v>
      </c>
      <c r="I1243" s="113">
        <v>3.3</v>
      </c>
      <c r="J1243" s="113">
        <v>7.73</v>
      </c>
      <c r="K1243" s="113">
        <v>-23.1</v>
      </c>
      <c r="L1243" s="185"/>
      <c r="M1243" s="16">
        <v>1240</v>
      </c>
      <c r="N1243" s="16">
        <f t="shared" si="140"/>
        <v>2.2234360023524122E-2</v>
      </c>
      <c r="O1243" s="16">
        <v>4</v>
      </c>
      <c r="P1243" s="16">
        <f t="shared" si="136"/>
        <v>9.1833785004516724</v>
      </c>
      <c r="Q1243" s="16">
        <f t="shared" si="141"/>
        <v>44.975434370136689</v>
      </c>
      <c r="R1243" s="113">
        <f t="shared" si="137"/>
        <v>329.49099999999999</v>
      </c>
      <c r="S1243" s="16">
        <f>IF(S1242=15800,15800,ROUND((((Q1243*60)/'Gearing Calculator'!$C$14)*'Track Data'!P1243),-2))</f>
        <v>12500</v>
      </c>
      <c r="T1243" s="16">
        <f t="shared" si="139"/>
        <v>4.8199451432580522</v>
      </c>
      <c r="U1243" s="16">
        <f>IF(AC1243=100,Braking!$AG$2354,IF(AC1243=50,Braking!$AG$1179,IF(AC1243=75,Braking!$AG$1767,0)))</f>
        <v>0</v>
      </c>
      <c r="V1243" s="16">
        <f>0.5*'Gearing Calculator'!$C$15*'Gearing Calculator'!$C$20*'Gearing Calculator'!$W$20*('Track Data'!Q1243^2)</f>
        <v>214.09206150745689</v>
      </c>
      <c r="W1243" s="16">
        <f>('Gearing Calculator'!$U$9*'Track Data'!T1243)+'Track Data'!V1243</f>
        <v>1497.1614586427504</v>
      </c>
      <c r="X1243" s="16">
        <f>('Gearing Calculator'!$U$9*9.81)*('Gearing Calculator'!$U$16/'Gearing Calculator'!$C$7)-(('Track Data'!W1243)*('Gearing Calculator'!$U$17/'Gearing Calculator'!$C$7))</f>
        <v>585.107058294578</v>
      </c>
      <c r="Y1243" s="16">
        <f>('Gearing Calculator'!$U$9*9.81)*(('Gearing Calculator'!$C$7-'Gearing Calculator'!$U$16)/'Gearing Calculator'!$C$7)+(('Track Data'!W1243)*('Gearing Calculator'!$U$17/'Gearing Calculator'!$C$7))</f>
        <v>2026.3149417054219</v>
      </c>
      <c r="Z1243" s="16">
        <f>((X1243*COS('Gearing Calculator'!$C$21))/'Gearing Calculator'!$C$22)/2</f>
        <v>18.089659706506158</v>
      </c>
      <c r="AA1243" s="16">
        <f>Y1243/'Gearing Calculator'!$C$24</f>
        <v>28.294152940115168</v>
      </c>
      <c r="AB1243" s="16">
        <f t="shared" si="135"/>
        <v>233.3718420804891</v>
      </c>
      <c r="AC1243" s="16">
        <v>0</v>
      </c>
      <c r="AD1243" s="16">
        <v>0</v>
      </c>
      <c r="AE1243" s="16">
        <v>1240</v>
      </c>
      <c r="AF1243" s="16">
        <f>IF(AC1243=0,IF(O1243=6,INDEX(Acceleration!$V$4:$V$110,MATCH('Track Data'!S1243,Acceleration!$K$4:$K$110,0)),IF('Track Data'!O1243=5,INDEX(Acceleration!$U$4:$U$110,MATCH('Track Data'!S1243,Acceleration!$K$4:$K$110,0)),1)),U1243)</f>
        <v>1</v>
      </c>
      <c r="AG1243" s="16">
        <f>IF(AC1243=0,IF(O1243=4,INDEX(Acceleration!$T$4:$T$110,MATCH('Track Data'!S1243,Acceleration!$K$4:$K$110,0)),IF('Track Data'!O1243=3,INDEX(Acceleration!$S$4:$S$110,MATCH('Track Data'!S1243,Acceleration!$K$4:$K$110,0)),'Track Data'!AF1243)),'Track Data'!U1243)</f>
        <v>4.8199451432580522</v>
      </c>
      <c r="AH1243" s="16">
        <f>IF(AC1243=0,IF(O1243=2,INDEX(Acceleration!$R$4:$R$110,MATCH('Track Data'!S1243,Acceleration!$K$4:$K$110,0)),IF('Track Data'!O1243=1,INDEX(Acceleration!$Q$4:$Q$110,MATCH('Track Data'!S1243,Acceleration!$K$4:$K$110,0)),'Track Data'!AG1243)),'Track Data'!U1243)</f>
        <v>4.8199451432580522</v>
      </c>
    </row>
    <row r="1244" spans="2:34" x14ac:dyDescent="0.25">
      <c r="B1244" s="16">
        <v>230.47900000000001</v>
      </c>
      <c r="C1244" s="16">
        <v>8514</v>
      </c>
      <c r="D1244" s="16">
        <v>1241</v>
      </c>
      <c r="E1244" s="113">
        <v>151</v>
      </c>
      <c r="F1244" s="113">
        <v>147.19999999999999</v>
      </c>
      <c r="G1244" s="113">
        <v>144.1</v>
      </c>
      <c r="H1244" s="113">
        <f t="shared" si="138"/>
        <v>40.027777777777779</v>
      </c>
      <c r="I1244" s="113">
        <v>3.8</v>
      </c>
      <c r="J1244" s="113">
        <v>8.2200000000000006</v>
      </c>
      <c r="K1244" s="113">
        <v>-18.100000000000001</v>
      </c>
      <c r="L1244" s="185"/>
      <c r="M1244" s="16">
        <v>1241</v>
      </c>
      <c r="N1244" s="16">
        <f t="shared" si="140"/>
        <v>2.2181568146015691E-2</v>
      </c>
      <c r="O1244" s="16">
        <v>4</v>
      </c>
      <c r="P1244" s="16">
        <f t="shared" si="136"/>
        <v>9.1833785004516724</v>
      </c>
      <c r="Q1244" s="16">
        <f t="shared" si="141"/>
        <v>45.082475387549302</v>
      </c>
      <c r="R1244" s="113">
        <f t="shared" si="137"/>
        <v>329.49099999999999</v>
      </c>
      <c r="S1244" s="16">
        <f>IF(S1243=15800,15800,ROUND((((Q1244*60)/'Gearing Calculator'!$C$14)*'Track Data'!P1244),-2))</f>
        <v>12600</v>
      </c>
      <c r="T1244" s="16">
        <f t="shared" si="139"/>
        <v>4.8192435869194066</v>
      </c>
      <c r="U1244" s="16">
        <f>IF(AC1244=100,Braking!$AG$2354,IF(AC1244=50,Braking!$AG$1179,IF(AC1244=75,Braking!$AG$1767,0)))</f>
        <v>0</v>
      </c>
      <c r="V1244" s="16">
        <f>0.5*'Gearing Calculator'!$C$15*'Gearing Calculator'!$C$20*'Gearing Calculator'!$W$20*('Track Data'!Q1244^2)</f>
        <v>215.11234749538173</v>
      </c>
      <c r="W1244" s="16">
        <f>('Gearing Calculator'!$U$9*'Track Data'!T1244)+'Track Data'!V1244</f>
        <v>1497.9949903333277</v>
      </c>
      <c r="X1244" s="16">
        <f>('Gearing Calculator'!$U$9*9.81)*('Gearing Calculator'!$U$16/'Gearing Calculator'!$C$7)-(('Track Data'!W1244)*('Gearing Calculator'!$U$17/'Gearing Calculator'!$C$7))</f>
        <v>584.65272659822256</v>
      </c>
      <c r="Y1244" s="16">
        <f>('Gearing Calculator'!$U$9*9.81)*(('Gearing Calculator'!$C$7-'Gearing Calculator'!$U$16)/'Gearing Calculator'!$C$7)+(('Track Data'!W1244)*('Gearing Calculator'!$U$17/'Gearing Calculator'!$C$7))</f>
        <v>2026.7692734017774</v>
      </c>
      <c r="Z1244" s="16">
        <f>((X1244*COS('Gearing Calculator'!$C$21))/'Gearing Calculator'!$C$22)/2</f>
        <v>18.075613207383579</v>
      </c>
      <c r="AA1244" s="16">
        <f>Y1244/'Gearing Calculator'!$C$24</f>
        <v>28.300496934445786</v>
      </c>
      <c r="AB1244" s="16">
        <f t="shared" si="135"/>
        <v>234.38932184305935</v>
      </c>
      <c r="AC1244" s="16">
        <v>0</v>
      </c>
      <c r="AD1244" s="16">
        <v>0</v>
      </c>
      <c r="AE1244" s="16">
        <v>1241</v>
      </c>
      <c r="AF1244" s="16">
        <f>IF(AC1244=0,IF(O1244=6,INDEX(Acceleration!$V$4:$V$110,MATCH('Track Data'!S1244,Acceleration!$K$4:$K$110,0)),IF('Track Data'!O1244=5,INDEX(Acceleration!$U$4:$U$110,MATCH('Track Data'!S1244,Acceleration!$K$4:$K$110,0)),1)),U1244)</f>
        <v>1</v>
      </c>
      <c r="AG1244" s="16">
        <f>IF(AC1244=0,IF(O1244=4,INDEX(Acceleration!$T$4:$T$110,MATCH('Track Data'!S1244,Acceleration!$K$4:$K$110,0)),IF('Track Data'!O1244=3,INDEX(Acceleration!$S$4:$S$110,MATCH('Track Data'!S1244,Acceleration!$K$4:$K$110,0)),'Track Data'!AF1244)),'Track Data'!U1244)</f>
        <v>4.8192435869194066</v>
      </c>
      <c r="AH1244" s="16">
        <f>IF(AC1244=0,IF(O1244=2,INDEX(Acceleration!$R$4:$R$110,MATCH('Track Data'!S1244,Acceleration!$K$4:$K$110,0)),IF('Track Data'!O1244=1,INDEX(Acceleration!$Q$4:$Q$110,MATCH('Track Data'!S1244,Acceleration!$K$4:$K$110,0)),'Track Data'!AG1244)),'Track Data'!U1244)</f>
        <v>4.8192435869194066</v>
      </c>
    </row>
    <row r="1245" spans="2:34" x14ac:dyDescent="0.25">
      <c r="B1245" s="16">
        <v>230.50399999999999</v>
      </c>
      <c r="C1245" s="16">
        <v>8515</v>
      </c>
      <c r="D1245" s="16">
        <v>1242</v>
      </c>
      <c r="E1245" s="113">
        <v>152</v>
      </c>
      <c r="F1245" s="113">
        <v>147.6</v>
      </c>
      <c r="G1245" s="113">
        <v>144.69999999999999</v>
      </c>
      <c r="H1245" s="113">
        <f t="shared" si="138"/>
        <v>40.194444444444443</v>
      </c>
      <c r="I1245" s="113">
        <v>4.0999999999999996</v>
      </c>
      <c r="J1245" s="113">
        <v>9.3699999999999992</v>
      </c>
      <c r="K1245" s="113">
        <v>-16.8</v>
      </c>
      <c r="L1245" s="185"/>
      <c r="M1245" s="16">
        <v>1242</v>
      </c>
      <c r="N1245" s="16">
        <f t="shared" si="140"/>
        <v>2.2129158131349306E-2</v>
      </c>
      <c r="O1245" s="16">
        <v>4</v>
      </c>
      <c r="P1245" s="16">
        <f t="shared" si="136"/>
        <v>9.1833785004516724</v>
      </c>
      <c r="Q1245" s="16">
        <f t="shared" si="141"/>
        <v>45.18924732989948</v>
      </c>
      <c r="R1245" s="113">
        <f t="shared" si="137"/>
        <v>329.49099999999999</v>
      </c>
      <c r="S1245" s="16">
        <f>IF(S1244=15800,15800,ROUND((((Q1245*60)/'Gearing Calculator'!$C$14)*'Track Data'!P1245),-2))</f>
        <v>12600</v>
      </c>
      <c r="T1245" s="16">
        <f t="shared" si="139"/>
        <v>4.8192435869194066</v>
      </c>
      <c r="U1245" s="16">
        <f>IF(AC1245=100,Braking!$AG$2354,IF(AC1245=50,Braking!$AG$1179,IF(AC1245=75,Braking!$AG$1767,0)))</f>
        <v>0</v>
      </c>
      <c r="V1245" s="16">
        <f>0.5*'Gearing Calculator'!$C$15*'Gearing Calculator'!$C$20*'Gearing Calculator'!$W$20*('Track Data'!Q1245^2)</f>
        <v>216.13248497786083</v>
      </c>
      <c r="W1245" s="16">
        <f>('Gearing Calculator'!$U$9*'Track Data'!T1245)+'Track Data'!V1245</f>
        <v>1499.0151278158069</v>
      </c>
      <c r="X1245" s="16">
        <f>('Gearing Calculator'!$U$9*9.81)*('Gearing Calculator'!$U$16/'Gearing Calculator'!$C$7)-(('Track Data'!W1245)*('Gearing Calculator'!$U$17/'Gearing Calculator'!$C$7))</f>
        <v>584.0966820012743</v>
      </c>
      <c r="Y1245" s="16">
        <f>('Gearing Calculator'!$U$9*9.81)*(('Gearing Calculator'!$C$7-'Gearing Calculator'!$U$16)/'Gearing Calculator'!$C$7)+(('Track Data'!W1245)*('Gearing Calculator'!$U$17/'Gearing Calculator'!$C$7))</f>
        <v>2027.3253179987257</v>
      </c>
      <c r="Z1245" s="16">
        <f>((X1245*COS('Gearing Calculator'!$C$21))/'Gearing Calculator'!$C$22)/2</f>
        <v>18.05842206706517</v>
      </c>
      <c r="AA1245" s="16">
        <f>Y1245/'Gearing Calculator'!$C$24</f>
        <v>28.308261182018448</v>
      </c>
      <c r="AB1245" s="16">
        <f t="shared" si="135"/>
        <v>235.40945932553845</v>
      </c>
      <c r="AC1245" s="16">
        <v>0</v>
      </c>
      <c r="AD1245" s="16">
        <v>0</v>
      </c>
      <c r="AE1245" s="16">
        <v>1242</v>
      </c>
      <c r="AF1245" s="16">
        <f>IF(AC1245=0,IF(O1245=6,INDEX(Acceleration!$V$4:$V$110,MATCH('Track Data'!S1245,Acceleration!$K$4:$K$110,0)),IF('Track Data'!O1245=5,INDEX(Acceleration!$U$4:$U$110,MATCH('Track Data'!S1245,Acceleration!$K$4:$K$110,0)),1)),U1245)</f>
        <v>1</v>
      </c>
      <c r="AG1245" s="16">
        <f>IF(AC1245=0,IF(O1245=4,INDEX(Acceleration!$T$4:$T$110,MATCH('Track Data'!S1245,Acceleration!$K$4:$K$110,0)),IF('Track Data'!O1245=3,INDEX(Acceleration!$S$4:$S$110,MATCH('Track Data'!S1245,Acceleration!$K$4:$K$110,0)),'Track Data'!AF1245)),'Track Data'!U1245)</f>
        <v>4.8192435869194066</v>
      </c>
      <c r="AH1245" s="16">
        <f>IF(AC1245=0,IF(O1245=2,INDEX(Acceleration!$R$4:$R$110,MATCH('Track Data'!S1245,Acceleration!$K$4:$K$110,0)),IF('Track Data'!O1245=1,INDEX(Acceleration!$Q$4:$Q$110,MATCH('Track Data'!S1245,Acceleration!$K$4:$K$110,0)),'Track Data'!AG1245)),'Track Data'!U1245)</f>
        <v>4.8192435869194066</v>
      </c>
    </row>
    <row r="1246" spans="2:34" x14ac:dyDescent="0.25">
      <c r="B1246" s="16">
        <v>230.52799999999999</v>
      </c>
      <c r="C1246" s="16">
        <v>8516</v>
      </c>
      <c r="D1246" s="16">
        <v>1243</v>
      </c>
      <c r="E1246" s="113">
        <v>152</v>
      </c>
      <c r="F1246" s="113">
        <v>147.9</v>
      </c>
      <c r="G1246" s="113">
        <v>145.1</v>
      </c>
      <c r="H1246" s="113">
        <f t="shared" si="138"/>
        <v>40.30555555555555</v>
      </c>
      <c r="I1246" s="113">
        <v>4.8</v>
      </c>
      <c r="J1246" s="113">
        <v>8.84</v>
      </c>
      <c r="K1246" s="113">
        <v>-16.899999999999999</v>
      </c>
      <c r="L1246" s="185"/>
      <c r="M1246" s="16">
        <v>1243</v>
      </c>
      <c r="N1246" s="16">
        <f t="shared" si="140"/>
        <v>2.2077117868678733E-2</v>
      </c>
      <c r="O1246" s="16">
        <v>4</v>
      </c>
      <c r="P1246" s="16">
        <f t="shared" si="136"/>
        <v>9.1833785004516724</v>
      </c>
      <c r="Q1246" s="16">
        <f t="shared" si="141"/>
        <v>45.295767588337284</v>
      </c>
      <c r="R1246" s="113">
        <f t="shared" si="137"/>
        <v>329.49099999999999</v>
      </c>
      <c r="S1246" s="16">
        <f>IF(S1245=15800,15800,ROUND((((Q1246*60)/'Gearing Calculator'!$C$14)*'Track Data'!P1246),-2))</f>
        <v>12600</v>
      </c>
      <c r="T1246" s="16">
        <f t="shared" si="139"/>
        <v>4.8192435869194066</v>
      </c>
      <c r="U1246" s="16">
        <f>IF(AC1246=100,Braking!$AG$2354,IF(AC1246=50,Braking!$AG$1179,IF(AC1246=75,Braking!$AG$1767,0)))</f>
        <v>0</v>
      </c>
      <c r="V1246" s="16">
        <f>0.5*'Gearing Calculator'!$C$15*'Gearing Calculator'!$C$20*'Gearing Calculator'!$W$20*('Track Data'!Q1246^2)</f>
        <v>217.15262246033996</v>
      </c>
      <c r="W1246" s="16">
        <f>('Gearing Calculator'!$U$9*'Track Data'!T1246)+'Track Data'!V1246</f>
        <v>1500.0352652982858</v>
      </c>
      <c r="X1246" s="16">
        <f>('Gearing Calculator'!$U$9*9.81)*('Gearing Calculator'!$U$16/'Gearing Calculator'!$C$7)-(('Track Data'!W1246)*('Gearing Calculator'!$U$17/'Gearing Calculator'!$C$7))</f>
        <v>583.54063740432628</v>
      </c>
      <c r="Y1246" s="16">
        <f>('Gearing Calculator'!$U$9*9.81)*(('Gearing Calculator'!$C$7-'Gearing Calculator'!$U$16)/'Gearing Calculator'!$C$7)+(('Track Data'!W1246)*('Gearing Calculator'!$U$17/'Gearing Calculator'!$C$7))</f>
        <v>2027.8813625956736</v>
      </c>
      <c r="Z1246" s="16">
        <f>((X1246*COS('Gearing Calculator'!$C$21))/'Gearing Calculator'!$C$22)/2</f>
        <v>18.041230926746763</v>
      </c>
      <c r="AA1246" s="16">
        <f>Y1246/'Gearing Calculator'!$C$24</f>
        <v>28.3160254295911</v>
      </c>
      <c r="AB1246" s="16">
        <f t="shared" si="135"/>
        <v>236.42959680801758</v>
      </c>
      <c r="AC1246" s="16">
        <v>0</v>
      </c>
      <c r="AD1246" s="16">
        <v>0</v>
      </c>
      <c r="AE1246" s="16">
        <v>1243</v>
      </c>
      <c r="AF1246" s="16">
        <f>IF(AC1246=0,IF(O1246=6,INDEX(Acceleration!$V$4:$V$110,MATCH('Track Data'!S1246,Acceleration!$K$4:$K$110,0)),IF('Track Data'!O1246=5,INDEX(Acceleration!$U$4:$U$110,MATCH('Track Data'!S1246,Acceleration!$K$4:$K$110,0)),1)),U1246)</f>
        <v>1</v>
      </c>
      <c r="AG1246" s="16">
        <f>IF(AC1246=0,IF(O1246=4,INDEX(Acceleration!$T$4:$T$110,MATCH('Track Data'!S1246,Acceleration!$K$4:$K$110,0)),IF('Track Data'!O1246=3,INDEX(Acceleration!$S$4:$S$110,MATCH('Track Data'!S1246,Acceleration!$K$4:$K$110,0)),'Track Data'!AF1246)),'Track Data'!U1246)</f>
        <v>4.8192435869194066</v>
      </c>
      <c r="AH1246" s="16">
        <f>IF(AC1246=0,IF(O1246=2,INDEX(Acceleration!$R$4:$R$110,MATCH('Track Data'!S1246,Acceleration!$K$4:$K$110,0)),IF('Track Data'!O1246=1,INDEX(Acceleration!$Q$4:$Q$110,MATCH('Track Data'!S1246,Acceleration!$K$4:$K$110,0)),'Track Data'!AG1246)),'Track Data'!U1246)</f>
        <v>4.8192435869194066</v>
      </c>
    </row>
    <row r="1247" spans="2:34" x14ac:dyDescent="0.25">
      <c r="B1247" s="16">
        <v>230.553</v>
      </c>
      <c r="C1247" s="16">
        <v>8517</v>
      </c>
      <c r="D1247" s="16">
        <v>1244</v>
      </c>
      <c r="E1247" s="113">
        <v>152</v>
      </c>
      <c r="F1247" s="113">
        <v>148.69999999999999</v>
      </c>
      <c r="G1247" s="113">
        <v>145.80000000000001</v>
      </c>
      <c r="H1247" s="113">
        <f t="shared" si="138"/>
        <v>40.5</v>
      </c>
      <c r="I1247" s="113">
        <v>5.6</v>
      </c>
      <c r="J1247" s="113">
        <v>9.57</v>
      </c>
      <c r="K1247" s="113">
        <v>-17.100000000000001</v>
      </c>
      <c r="L1247" s="185"/>
      <c r="M1247" s="16">
        <v>1244</v>
      </c>
      <c r="N1247" s="16">
        <f t="shared" si="140"/>
        <v>2.2025443030693266E-2</v>
      </c>
      <c r="O1247" s="16">
        <v>4</v>
      </c>
      <c r="P1247" s="16">
        <f t="shared" si="136"/>
        <v>9.1833785004516724</v>
      </c>
      <c r="Q1247" s="16">
        <f t="shared" si="141"/>
        <v>45.402037934331815</v>
      </c>
      <c r="R1247" s="113">
        <f t="shared" si="137"/>
        <v>329.49099999999999</v>
      </c>
      <c r="S1247" s="16">
        <f>IF(S1246=15800,15800,ROUND((((Q1247*60)/'Gearing Calculator'!$C$14)*'Track Data'!P1247),-2))</f>
        <v>12600</v>
      </c>
      <c r="T1247" s="16">
        <f t="shared" si="139"/>
        <v>4.8192435869194066</v>
      </c>
      <c r="U1247" s="16">
        <f>IF(AC1247=100,Braking!$AG$2354,IF(AC1247=50,Braking!$AG$1179,IF(AC1247=75,Braking!$AG$1767,0)))</f>
        <v>0</v>
      </c>
      <c r="V1247" s="16">
        <f>0.5*'Gearing Calculator'!$C$15*'Gearing Calculator'!$C$20*'Gearing Calculator'!$W$20*('Track Data'!Q1247^2)</f>
        <v>218.17275994281903</v>
      </c>
      <c r="W1247" s="16">
        <f>('Gearing Calculator'!$U$9*'Track Data'!T1247)+'Track Data'!V1247</f>
        <v>1501.055402780765</v>
      </c>
      <c r="X1247" s="16">
        <f>('Gearing Calculator'!$U$9*9.81)*('Gearing Calculator'!$U$16/'Gearing Calculator'!$C$7)-(('Track Data'!W1247)*('Gearing Calculator'!$U$17/'Gearing Calculator'!$C$7))</f>
        <v>582.98459280737814</v>
      </c>
      <c r="Y1247" s="16">
        <f>('Gearing Calculator'!$U$9*9.81)*(('Gearing Calculator'!$C$7-'Gearing Calculator'!$U$16)/'Gearing Calculator'!$C$7)+(('Track Data'!W1247)*('Gearing Calculator'!$U$17/'Gearing Calculator'!$C$7))</f>
        <v>2028.4374071926218</v>
      </c>
      <c r="Z1247" s="16">
        <f>((X1247*COS('Gearing Calculator'!$C$21))/'Gearing Calculator'!$C$22)/2</f>
        <v>18.024039786428357</v>
      </c>
      <c r="AA1247" s="16">
        <f>Y1247/'Gearing Calculator'!$C$24</f>
        <v>28.323789677163759</v>
      </c>
      <c r="AB1247" s="16">
        <f t="shared" si="135"/>
        <v>237.44973429049665</v>
      </c>
      <c r="AC1247" s="16">
        <v>0</v>
      </c>
      <c r="AD1247" s="16">
        <v>0</v>
      </c>
      <c r="AE1247" s="16">
        <v>1244</v>
      </c>
      <c r="AF1247" s="16">
        <f>IF(AC1247=0,IF(O1247=6,INDEX(Acceleration!$V$4:$V$110,MATCH('Track Data'!S1247,Acceleration!$K$4:$K$110,0)),IF('Track Data'!O1247=5,INDEX(Acceleration!$U$4:$U$110,MATCH('Track Data'!S1247,Acceleration!$K$4:$K$110,0)),1)),U1247)</f>
        <v>1</v>
      </c>
      <c r="AG1247" s="16">
        <f>IF(AC1247=0,IF(O1247=4,INDEX(Acceleration!$T$4:$T$110,MATCH('Track Data'!S1247,Acceleration!$K$4:$K$110,0)),IF('Track Data'!O1247=3,INDEX(Acceleration!$S$4:$S$110,MATCH('Track Data'!S1247,Acceleration!$K$4:$K$110,0)),'Track Data'!AF1247)),'Track Data'!U1247)</f>
        <v>4.8192435869194066</v>
      </c>
      <c r="AH1247" s="16">
        <f>IF(AC1247=0,IF(O1247=2,INDEX(Acceleration!$R$4:$R$110,MATCH('Track Data'!S1247,Acceleration!$K$4:$K$110,0)),IF('Track Data'!O1247=1,INDEX(Acceleration!$Q$4:$Q$110,MATCH('Track Data'!S1247,Acceleration!$K$4:$K$110,0)),'Track Data'!AG1247)),'Track Data'!U1247)</f>
        <v>4.8192435869194066</v>
      </c>
    </row>
    <row r="1248" spans="2:34" x14ac:dyDescent="0.25">
      <c r="B1248" s="16">
        <v>230.577</v>
      </c>
      <c r="C1248" s="16">
        <v>8518</v>
      </c>
      <c r="D1248" s="16">
        <v>1245</v>
      </c>
      <c r="E1248" s="113">
        <v>152</v>
      </c>
      <c r="F1248" s="113">
        <v>149</v>
      </c>
      <c r="G1248" s="113">
        <v>146.19999999999999</v>
      </c>
      <c r="H1248" s="113">
        <f t="shared" si="138"/>
        <v>40.611111111111107</v>
      </c>
      <c r="I1248" s="113">
        <v>6.5</v>
      </c>
      <c r="J1248" s="113">
        <v>10.76</v>
      </c>
      <c r="K1248" s="113">
        <v>-17.2</v>
      </c>
      <c r="L1248" s="185"/>
      <c r="M1248" s="16">
        <v>1245</v>
      </c>
      <c r="N1248" s="16">
        <f t="shared" si="140"/>
        <v>2.1974129360653117E-2</v>
      </c>
      <c r="O1248" s="16">
        <v>4</v>
      </c>
      <c r="P1248" s="16">
        <f t="shared" si="136"/>
        <v>9.1833785004516724</v>
      </c>
      <c r="Q1248" s="16">
        <f t="shared" si="141"/>
        <v>45.508060118668467</v>
      </c>
      <c r="R1248" s="113">
        <f t="shared" si="137"/>
        <v>329.49099999999999</v>
      </c>
      <c r="S1248" s="16">
        <f>IF(S1247=15800,15800,ROUND((((Q1248*60)/'Gearing Calculator'!$C$14)*'Track Data'!P1248),-2))</f>
        <v>12700</v>
      </c>
      <c r="T1248" s="16">
        <f t="shared" si="139"/>
        <v>4.8183564077382988</v>
      </c>
      <c r="U1248" s="16">
        <f>IF(AC1248=100,Braking!$AG$2354,IF(AC1248=50,Braking!$AG$1179,IF(AC1248=75,Braking!$AG$1767,0)))</f>
        <v>0</v>
      </c>
      <c r="V1248" s="16">
        <f>0.5*'Gearing Calculator'!$C$15*'Gearing Calculator'!$C$20*'Gearing Calculator'!$W$20*('Track Data'!Q1248^2)</f>
        <v>219.19289742529807</v>
      </c>
      <c r="W1248" s="16">
        <f>('Gearing Calculator'!$U$9*'Track Data'!T1248)+'Track Data'!V1248</f>
        <v>1501.8393731652332</v>
      </c>
      <c r="X1248" s="16">
        <f>('Gearing Calculator'!$U$9*9.81)*('Gearing Calculator'!$U$16/'Gearing Calculator'!$C$7)-(('Track Data'!W1248)*('Gearing Calculator'!$U$17/'Gearing Calculator'!$C$7))</f>
        <v>582.5572754075788</v>
      </c>
      <c r="Y1248" s="16">
        <f>('Gearing Calculator'!$U$9*9.81)*(('Gearing Calculator'!$C$7-'Gearing Calculator'!$U$16)/'Gearing Calculator'!$C$7)+(('Track Data'!W1248)*('Gearing Calculator'!$U$17/'Gearing Calculator'!$C$7))</f>
        <v>2028.8647245924212</v>
      </c>
      <c r="Z1248" s="16">
        <f>((X1248*COS('Gearing Calculator'!$C$21))/'Gearing Calculator'!$C$22)/2</f>
        <v>18.010828483916352</v>
      </c>
      <c r="AA1248" s="16">
        <f>Y1248/'Gearing Calculator'!$C$24</f>
        <v>28.329756461307255</v>
      </c>
      <c r="AB1248" s="16">
        <f t="shared" si="135"/>
        <v>238.46632305625127</v>
      </c>
      <c r="AC1248" s="16">
        <v>0</v>
      </c>
      <c r="AD1248" s="16">
        <v>0</v>
      </c>
      <c r="AE1248" s="16">
        <v>1245</v>
      </c>
      <c r="AF1248" s="16">
        <f>IF(AC1248=0,IF(O1248=6,INDEX(Acceleration!$V$4:$V$110,MATCH('Track Data'!S1248,Acceleration!$K$4:$K$110,0)),IF('Track Data'!O1248=5,INDEX(Acceleration!$U$4:$U$110,MATCH('Track Data'!S1248,Acceleration!$K$4:$K$110,0)),1)),U1248)</f>
        <v>1</v>
      </c>
      <c r="AG1248" s="16">
        <f>IF(AC1248=0,IF(O1248=4,INDEX(Acceleration!$T$4:$T$110,MATCH('Track Data'!S1248,Acceleration!$K$4:$K$110,0)),IF('Track Data'!O1248=3,INDEX(Acceleration!$S$4:$S$110,MATCH('Track Data'!S1248,Acceleration!$K$4:$K$110,0)),'Track Data'!AF1248)),'Track Data'!U1248)</f>
        <v>4.8183564077382988</v>
      </c>
      <c r="AH1248" s="16">
        <f>IF(AC1248=0,IF(O1248=2,INDEX(Acceleration!$R$4:$R$110,MATCH('Track Data'!S1248,Acceleration!$K$4:$K$110,0)),IF('Track Data'!O1248=1,INDEX(Acceleration!$Q$4:$Q$110,MATCH('Track Data'!S1248,Acceleration!$K$4:$K$110,0)),'Track Data'!AG1248)),'Track Data'!U1248)</f>
        <v>4.8183564077382988</v>
      </c>
    </row>
    <row r="1249" spans="2:34" x14ac:dyDescent="0.25">
      <c r="B1249" s="16">
        <v>230.601</v>
      </c>
      <c r="C1249" s="16">
        <v>8519</v>
      </c>
      <c r="D1249" s="16">
        <v>1246</v>
      </c>
      <c r="E1249" s="113">
        <v>152</v>
      </c>
      <c r="F1249" s="113">
        <v>149.1</v>
      </c>
      <c r="G1249" s="113">
        <v>146.80000000000001</v>
      </c>
      <c r="H1249" s="113">
        <f t="shared" si="138"/>
        <v>40.777777777777779</v>
      </c>
      <c r="I1249" s="113">
        <v>7.9</v>
      </c>
      <c r="J1249" s="113">
        <v>11.08</v>
      </c>
      <c r="K1249" s="113">
        <v>-17.2</v>
      </c>
      <c r="L1249" s="185"/>
      <c r="M1249" s="16">
        <v>1246</v>
      </c>
      <c r="N1249" s="16">
        <f t="shared" si="140"/>
        <v>2.1923182018983911E-2</v>
      </c>
      <c r="O1249" s="16">
        <v>4</v>
      </c>
      <c r="P1249" s="16">
        <f t="shared" si="136"/>
        <v>9.1833785004516724</v>
      </c>
      <c r="Q1249" s="16">
        <f t="shared" si="141"/>
        <v>45.613816421998933</v>
      </c>
      <c r="R1249" s="113">
        <f t="shared" si="137"/>
        <v>329.49099999999999</v>
      </c>
      <c r="S1249" s="16">
        <f>IF(S1248=15800,15800,ROUND((((Q1249*60)/'Gearing Calculator'!$C$14)*'Track Data'!P1249),-2))</f>
        <v>12700</v>
      </c>
      <c r="T1249" s="16">
        <f t="shared" si="139"/>
        <v>4.8183564077382988</v>
      </c>
      <c r="U1249" s="16">
        <f>IF(AC1249=100,Braking!$AG$2354,IF(AC1249=50,Braking!$AG$1179,IF(AC1249=75,Braking!$AG$1767,0)))</f>
        <v>0</v>
      </c>
      <c r="V1249" s="16">
        <f>0.5*'Gearing Calculator'!$C$15*'Gearing Calculator'!$C$20*'Gearing Calculator'!$W$20*('Track Data'!Q1249^2)</f>
        <v>220.21284710968806</v>
      </c>
      <c r="W1249" s="16">
        <f>('Gearing Calculator'!$U$9*'Track Data'!T1249)+'Track Data'!V1249</f>
        <v>1502.8593228496231</v>
      </c>
      <c r="X1249" s="16">
        <f>('Gearing Calculator'!$U$9*9.81)*('Gearing Calculator'!$U$16/'Gearing Calculator'!$C$7)-(('Track Data'!W1249)*('Gearing Calculator'!$U$17/'Gearing Calculator'!$C$7))</f>
        <v>582.00133317341476</v>
      </c>
      <c r="Y1249" s="16">
        <f>('Gearing Calculator'!$U$9*9.81)*(('Gearing Calculator'!$C$7-'Gearing Calculator'!$U$16)/'Gearing Calculator'!$C$7)+(('Track Data'!W1249)*('Gearing Calculator'!$U$17/'Gearing Calculator'!$C$7))</f>
        <v>2029.4206668265851</v>
      </c>
      <c r="Z1249" s="16">
        <f>((X1249*COS('Gearing Calculator'!$C$21))/'Gearing Calculator'!$C$22)/2</f>
        <v>17.993640508331481</v>
      </c>
      <c r="AA1249" s="16">
        <f>Y1249/'Gearing Calculator'!$C$24</f>
        <v>28.337519279552115</v>
      </c>
      <c r="AB1249" s="16">
        <f t="shared" si="135"/>
        <v>239.48627274064125</v>
      </c>
      <c r="AC1249" s="16">
        <v>0</v>
      </c>
      <c r="AD1249" s="16">
        <v>0</v>
      </c>
      <c r="AE1249" s="16">
        <v>1246</v>
      </c>
      <c r="AF1249" s="16">
        <f>IF(AC1249=0,IF(O1249=6,INDEX(Acceleration!$V$4:$V$110,MATCH('Track Data'!S1249,Acceleration!$K$4:$K$110,0)),IF('Track Data'!O1249=5,INDEX(Acceleration!$U$4:$U$110,MATCH('Track Data'!S1249,Acceleration!$K$4:$K$110,0)),1)),U1249)</f>
        <v>1</v>
      </c>
      <c r="AG1249" s="16">
        <f>IF(AC1249=0,IF(O1249=4,INDEX(Acceleration!$T$4:$T$110,MATCH('Track Data'!S1249,Acceleration!$K$4:$K$110,0)),IF('Track Data'!O1249=3,INDEX(Acceleration!$S$4:$S$110,MATCH('Track Data'!S1249,Acceleration!$K$4:$K$110,0)),'Track Data'!AF1249)),'Track Data'!U1249)</f>
        <v>4.8183564077382988</v>
      </c>
      <c r="AH1249" s="16">
        <f>IF(AC1249=0,IF(O1249=2,INDEX(Acceleration!$R$4:$R$110,MATCH('Track Data'!S1249,Acceleration!$K$4:$K$110,0)),IF('Track Data'!O1249=1,INDEX(Acceleration!$Q$4:$Q$110,MATCH('Track Data'!S1249,Acceleration!$K$4:$K$110,0)),'Track Data'!AG1249)),'Track Data'!U1249)</f>
        <v>4.8183564077382988</v>
      </c>
    </row>
    <row r="1250" spans="2:34" x14ac:dyDescent="0.25">
      <c r="B1250" s="16">
        <v>230.625</v>
      </c>
      <c r="C1250" s="16">
        <v>8520</v>
      </c>
      <c r="D1250" s="16">
        <v>1247</v>
      </c>
      <c r="E1250" s="113">
        <v>152</v>
      </c>
      <c r="F1250" s="113">
        <v>149.5</v>
      </c>
      <c r="G1250" s="113">
        <v>147.19999999999999</v>
      </c>
      <c r="H1250" s="113">
        <f t="shared" si="138"/>
        <v>40.888888888888886</v>
      </c>
      <c r="I1250" s="113">
        <v>8.8000000000000007</v>
      </c>
      <c r="J1250" s="113">
        <v>10.14</v>
      </c>
      <c r="K1250" s="113">
        <v>-17.2</v>
      </c>
      <c r="L1250" s="185"/>
      <c r="M1250" s="16">
        <v>1247</v>
      </c>
      <c r="N1250" s="16">
        <f t="shared" si="140"/>
        <v>2.1872587408484318E-2</v>
      </c>
      <c r="O1250" s="16">
        <v>4</v>
      </c>
      <c r="P1250" s="16">
        <f t="shared" si="136"/>
        <v>9.1833785004516724</v>
      </c>
      <c r="Q1250" s="16">
        <f t="shared" si="141"/>
        <v>45.71932809431145</v>
      </c>
      <c r="R1250" s="113">
        <f t="shared" si="137"/>
        <v>329.49099999999999</v>
      </c>
      <c r="S1250" s="16">
        <f>IF(S1249=15800,15800,ROUND((((Q1250*60)/'Gearing Calculator'!$C$14)*'Track Data'!P1250),-2))</f>
        <v>12700</v>
      </c>
      <c r="T1250" s="16">
        <f t="shared" si="139"/>
        <v>4.8183564077382988</v>
      </c>
      <c r="U1250" s="16">
        <f>IF(AC1250=100,Braking!$AG$2354,IF(AC1250=50,Braking!$AG$1179,IF(AC1250=75,Braking!$AG$1767,0)))</f>
        <v>0</v>
      </c>
      <c r="V1250" s="16">
        <f>0.5*'Gearing Calculator'!$C$15*'Gearing Calculator'!$C$20*'Gearing Calculator'!$W$20*('Track Data'!Q1250^2)</f>
        <v>221.23279679407815</v>
      </c>
      <c r="W1250" s="16">
        <f>('Gearing Calculator'!$U$9*'Track Data'!T1250)+'Track Data'!V1250</f>
        <v>1503.8792725340134</v>
      </c>
      <c r="X1250" s="16">
        <f>('Gearing Calculator'!$U$9*9.81)*('Gearing Calculator'!$U$16/'Gearing Calculator'!$C$7)-(('Track Data'!W1250)*('Gearing Calculator'!$U$17/'Gearing Calculator'!$C$7))</f>
        <v>581.4453909392505</v>
      </c>
      <c r="Y1250" s="16">
        <f>('Gearing Calculator'!$U$9*9.81)*(('Gearing Calculator'!$C$7-'Gearing Calculator'!$U$16)/'Gearing Calculator'!$C$7)+(('Track Data'!W1250)*('Gearing Calculator'!$U$17/'Gearing Calculator'!$C$7))</f>
        <v>2029.9766090607495</v>
      </c>
      <c r="Z1250" s="16">
        <f>((X1250*COS('Gearing Calculator'!$C$21))/'Gearing Calculator'!$C$22)/2</f>
        <v>17.976452532746602</v>
      </c>
      <c r="AA1250" s="16">
        <f>Y1250/'Gearing Calculator'!$C$24</f>
        <v>28.345282097796982</v>
      </c>
      <c r="AB1250" s="16">
        <f t="shared" si="135"/>
        <v>240.50622242503135</v>
      </c>
      <c r="AC1250" s="16">
        <v>0</v>
      </c>
      <c r="AD1250" s="16">
        <v>0</v>
      </c>
      <c r="AE1250" s="16">
        <v>1247</v>
      </c>
      <c r="AF1250" s="16">
        <f>IF(AC1250=0,IF(O1250=6,INDEX(Acceleration!$V$4:$V$110,MATCH('Track Data'!S1250,Acceleration!$K$4:$K$110,0)),IF('Track Data'!O1250=5,INDEX(Acceleration!$U$4:$U$110,MATCH('Track Data'!S1250,Acceleration!$K$4:$K$110,0)),1)),U1250)</f>
        <v>1</v>
      </c>
      <c r="AG1250" s="16">
        <f>IF(AC1250=0,IF(O1250=4,INDEX(Acceleration!$T$4:$T$110,MATCH('Track Data'!S1250,Acceleration!$K$4:$K$110,0)),IF('Track Data'!O1250=3,INDEX(Acceleration!$S$4:$S$110,MATCH('Track Data'!S1250,Acceleration!$K$4:$K$110,0)),'Track Data'!AF1250)),'Track Data'!U1250)</f>
        <v>4.8183564077382988</v>
      </c>
      <c r="AH1250" s="16">
        <f>IF(AC1250=0,IF(O1250=2,INDEX(Acceleration!$R$4:$R$110,MATCH('Track Data'!S1250,Acceleration!$K$4:$K$110,0)),IF('Track Data'!O1250=1,INDEX(Acceleration!$Q$4:$Q$110,MATCH('Track Data'!S1250,Acceleration!$K$4:$K$110,0)),'Track Data'!AG1250)),'Track Data'!U1250)</f>
        <v>4.8183564077382988</v>
      </c>
    </row>
    <row r="1251" spans="2:34" x14ac:dyDescent="0.25">
      <c r="B1251" s="16">
        <v>230.649</v>
      </c>
      <c r="C1251" s="16">
        <v>8521</v>
      </c>
      <c r="D1251" s="16">
        <v>1248</v>
      </c>
      <c r="E1251" s="113">
        <v>152</v>
      </c>
      <c r="F1251" s="113">
        <v>149.80000000000001</v>
      </c>
      <c r="G1251" s="113">
        <v>147.6</v>
      </c>
      <c r="H1251" s="113">
        <f t="shared" si="138"/>
        <v>41</v>
      </c>
      <c r="I1251" s="113">
        <v>8.8000000000000007</v>
      </c>
      <c r="J1251" s="113">
        <v>10.5</v>
      </c>
      <c r="K1251" s="113">
        <v>-17.5</v>
      </c>
      <c r="L1251" s="185"/>
      <c r="M1251" s="16">
        <v>1248</v>
      </c>
      <c r="N1251" s="16">
        <f t="shared" si="140"/>
        <v>2.1822341477658956E-2</v>
      </c>
      <c r="O1251" s="16">
        <v>4</v>
      </c>
      <c r="P1251" s="16">
        <f t="shared" si="136"/>
        <v>9.1833785004516724</v>
      </c>
      <c r="Q1251" s="16">
        <f t="shared" si="141"/>
        <v>45.824596825403418</v>
      </c>
      <c r="R1251" s="113">
        <f t="shared" si="137"/>
        <v>329.49099999999999</v>
      </c>
      <c r="S1251" s="16">
        <f>IF(S1250=15800,15800,ROUND((((Q1251*60)/'Gearing Calculator'!$C$14)*'Track Data'!P1251),-2))</f>
        <v>12800</v>
      </c>
      <c r="T1251" s="16">
        <f t="shared" si="139"/>
        <v>4.792705712495037</v>
      </c>
      <c r="U1251" s="16">
        <f>IF(AC1251=100,Braking!$AG$2354,IF(AC1251=50,Braking!$AG$1179,IF(AC1251=75,Braking!$AG$1767,0)))</f>
        <v>0</v>
      </c>
      <c r="V1251" s="16">
        <f>0.5*'Gearing Calculator'!$C$15*'Gearing Calculator'!$C$20*'Gearing Calculator'!$W$20*('Track Data'!Q1251^2)</f>
        <v>222.2527464784682</v>
      </c>
      <c r="W1251" s="16">
        <f>('Gearing Calculator'!$U$9*'Track Data'!T1251)+'Track Data'!V1251</f>
        <v>1498.071007144647</v>
      </c>
      <c r="X1251" s="16">
        <f>('Gearing Calculator'!$U$9*9.81)*('Gearing Calculator'!$U$16/'Gearing Calculator'!$C$7)-(('Track Data'!W1251)*('Gearing Calculator'!$U$17/'Gearing Calculator'!$C$7))</f>
        <v>584.6112922445817</v>
      </c>
      <c r="Y1251" s="16">
        <f>('Gearing Calculator'!$U$9*9.81)*(('Gearing Calculator'!$C$7-'Gearing Calculator'!$U$16)/'Gearing Calculator'!$C$7)+(('Track Data'!W1251)*('Gearing Calculator'!$U$17/'Gearing Calculator'!$C$7))</f>
        <v>2026.8107077554182</v>
      </c>
      <c r="Z1251" s="16">
        <f>((X1251*COS('Gearing Calculator'!$C$21))/'Gearing Calculator'!$C$22)/2</f>
        <v>18.074332188214701</v>
      </c>
      <c r="AA1251" s="16">
        <f>Y1251/'Gearing Calculator'!$C$24</f>
        <v>28.301075496995349</v>
      </c>
      <c r="AB1251" s="16">
        <f t="shared" si="135"/>
        <v>241.42356932844834</v>
      </c>
      <c r="AC1251" s="16">
        <v>0</v>
      </c>
      <c r="AD1251" s="16">
        <v>0</v>
      </c>
      <c r="AE1251" s="16">
        <v>1248</v>
      </c>
      <c r="AF1251" s="16">
        <f>IF(AC1251=0,IF(O1251=6,INDEX(Acceleration!$V$4:$V$110,MATCH('Track Data'!S1251,Acceleration!$K$4:$K$110,0)),IF('Track Data'!O1251=5,INDEX(Acceleration!$U$4:$U$110,MATCH('Track Data'!S1251,Acceleration!$K$4:$K$110,0)),1)),U1251)</f>
        <v>1</v>
      </c>
      <c r="AG1251" s="16">
        <f>IF(AC1251=0,IF(O1251=4,INDEX(Acceleration!$T$4:$T$110,MATCH('Track Data'!S1251,Acceleration!$K$4:$K$110,0)),IF('Track Data'!O1251=3,INDEX(Acceleration!$S$4:$S$110,MATCH('Track Data'!S1251,Acceleration!$K$4:$K$110,0)),'Track Data'!AF1251)),'Track Data'!U1251)</f>
        <v>4.792705712495037</v>
      </c>
      <c r="AH1251" s="16">
        <f>IF(AC1251=0,IF(O1251=2,INDEX(Acceleration!$R$4:$R$110,MATCH('Track Data'!S1251,Acceleration!$K$4:$K$110,0)),IF('Track Data'!O1251=1,INDEX(Acceleration!$Q$4:$Q$110,MATCH('Track Data'!S1251,Acceleration!$K$4:$K$110,0)),'Track Data'!AG1251)),'Track Data'!U1251)</f>
        <v>4.792705712495037</v>
      </c>
    </row>
    <row r="1252" spans="2:34" x14ac:dyDescent="0.25">
      <c r="B1252" s="16">
        <v>230.673</v>
      </c>
      <c r="C1252" s="16">
        <v>8522</v>
      </c>
      <c r="D1252" s="16">
        <v>1249</v>
      </c>
      <c r="E1252" s="113">
        <v>153</v>
      </c>
      <c r="F1252" s="113">
        <v>149.9</v>
      </c>
      <c r="G1252" s="113">
        <v>148.19999999999999</v>
      </c>
      <c r="H1252" s="113">
        <f t="shared" si="138"/>
        <v>41.166666666666664</v>
      </c>
      <c r="I1252" s="113">
        <v>7.7</v>
      </c>
      <c r="J1252" s="113">
        <v>10.99</v>
      </c>
      <c r="K1252" s="113">
        <v>-19.3</v>
      </c>
      <c r="L1252" s="185"/>
      <c r="M1252" s="16">
        <v>1249</v>
      </c>
      <c r="N1252" s="16">
        <f t="shared" si="140"/>
        <v>2.1772704985240688E-2</v>
      </c>
      <c r="O1252" s="16">
        <v>4</v>
      </c>
      <c r="P1252" s="16">
        <f t="shared" si="136"/>
        <v>9.1833785004516724</v>
      </c>
      <c r="Q1252" s="16">
        <f t="shared" si="141"/>
        <v>45.929065804082747</v>
      </c>
      <c r="R1252" s="113">
        <f t="shared" si="137"/>
        <v>329.49099999999999</v>
      </c>
      <c r="S1252" s="16">
        <f>IF(S1251=15800,15800,ROUND((((Q1252*60)/'Gearing Calculator'!$C$14)*'Track Data'!P1252),-2))</f>
        <v>12800</v>
      </c>
      <c r="T1252" s="16">
        <f t="shared" si="139"/>
        <v>4.792705712495037</v>
      </c>
      <c r="U1252" s="16">
        <f>IF(AC1252=100,Braking!$AG$2354,IF(AC1252=50,Braking!$AG$1179,IF(AC1252=75,Braking!$AG$1767,0)))</f>
        <v>0</v>
      </c>
      <c r="V1252" s="16">
        <f>0.5*'Gearing Calculator'!$C$15*'Gearing Calculator'!$C$20*'Gearing Calculator'!$W$20*('Track Data'!Q1252^2)</f>
        <v>223.26726642368914</v>
      </c>
      <c r="W1252" s="16">
        <f>('Gearing Calculator'!$U$9*'Track Data'!T1252)+'Track Data'!V1252</f>
        <v>1499.0855270898678</v>
      </c>
      <c r="X1252" s="16">
        <f>('Gearing Calculator'!$U$9*9.81)*('Gearing Calculator'!$U$16/'Gearing Calculator'!$C$7)-(('Track Data'!W1252)*('Gearing Calculator'!$U$17/'Gearing Calculator'!$C$7))</f>
        <v>584.05830958908189</v>
      </c>
      <c r="Y1252" s="16">
        <f>('Gearing Calculator'!$U$9*9.81)*(('Gearing Calculator'!$C$7-'Gearing Calculator'!$U$16)/'Gearing Calculator'!$C$7)+(('Track Data'!W1252)*('Gearing Calculator'!$U$17/'Gearing Calculator'!$C$7))</f>
        <v>2027.363690410918</v>
      </c>
      <c r="Z1252" s="16">
        <f>((X1252*COS('Gearing Calculator'!$C$21))/'Gearing Calculator'!$C$22)/2</f>
        <v>18.057235713441777</v>
      </c>
      <c r="AA1252" s="16">
        <f>Y1252/'Gearing Calculator'!$C$24</f>
        <v>28.308796989595493</v>
      </c>
      <c r="AB1252" s="16">
        <f t="shared" si="135"/>
        <v>242.43808927366928</v>
      </c>
      <c r="AC1252" s="16">
        <v>0</v>
      </c>
      <c r="AD1252" s="16">
        <v>0</v>
      </c>
      <c r="AE1252" s="16">
        <v>1249</v>
      </c>
      <c r="AF1252" s="16">
        <f>IF(AC1252=0,IF(O1252=6,INDEX(Acceleration!$V$4:$V$110,MATCH('Track Data'!S1252,Acceleration!$K$4:$K$110,0)),IF('Track Data'!O1252=5,INDEX(Acceleration!$U$4:$U$110,MATCH('Track Data'!S1252,Acceleration!$K$4:$K$110,0)),1)),U1252)</f>
        <v>1</v>
      </c>
      <c r="AG1252" s="16">
        <f>IF(AC1252=0,IF(O1252=4,INDEX(Acceleration!$T$4:$T$110,MATCH('Track Data'!S1252,Acceleration!$K$4:$K$110,0)),IF('Track Data'!O1252=3,INDEX(Acceleration!$S$4:$S$110,MATCH('Track Data'!S1252,Acceleration!$K$4:$K$110,0)),'Track Data'!AF1252)),'Track Data'!U1252)</f>
        <v>4.792705712495037</v>
      </c>
      <c r="AH1252" s="16">
        <f>IF(AC1252=0,IF(O1252=2,INDEX(Acceleration!$R$4:$R$110,MATCH('Track Data'!S1252,Acceleration!$K$4:$K$110,0)),IF('Track Data'!O1252=1,INDEX(Acceleration!$Q$4:$Q$110,MATCH('Track Data'!S1252,Acceleration!$K$4:$K$110,0)),'Track Data'!AG1252)),'Track Data'!U1252)</f>
        <v>4.792705712495037</v>
      </c>
    </row>
    <row r="1253" spans="2:34" x14ac:dyDescent="0.25">
      <c r="B1253" s="16">
        <v>230.697</v>
      </c>
      <c r="C1253" s="16">
        <v>8523</v>
      </c>
      <c r="D1253" s="16">
        <v>1250</v>
      </c>
      <c r="E1253" s="113">
        <v>153</v>
      </c>
      <c r="F1253" s="113">
        <v>149.9</v>
      </c>
      <c r="G1253" s="113">
        <v>148.6</v>
      </c>
      <c r="H1253" s="113">
        <f t="shared" si="138"/>
        <v>41.277777777777779</v>
      </c>
      <c r="I1253" s="113">
        <v>6.9</v>
      </c>
      <c r="J1253" s="113">
        <v>11.08</v>
      </c>
      <c r="K1253" s="113">
        <v>-20.6</v>
      </c>
      <c r="L1253" s="185"/>
      <c r="M1253" s="16">
        <v>1250</v>
      </c>
      <c r="N1253" s="16">
        <f t="shared" si="140"/>
        <v>2.17234056646337E-2</v>
      </c>
      <c r="O1253" s="16">
        <v>4</v>
      </c>
      <c r="P1253" s="16">
        <f t="shared" si="136"/>
        <v>9.1833785004516724</v>
      </c>
      <c r="Q1253" s="16">
        <f t="shared" si="141"/>
        <v>46.03329769917373</v>
      </c>
      <c r="R1253" s="113">
        <f t="shared" si="137"/>
        <v>329.49099999999999</v>
      </c>
      <c r="S1253" s="16">
        <f>IF(S1252=15800,15800,ROUND((((Q1253*60)/'Gearing Calculator'!$C$14)*'Track Data'!P1253),-2))</f>
        <v>12800</v>
      </c>
      <c r="T1253" s="16">
        <f t="shared" si="139"/>
        <v>4.792705712495037</v>
      </c>
      <c r="U1253" s="16">
        <f>IF(AC1253=100,Braking!$AG$2354,IF(AC1253=50,Braking!$AG$1179,IF(AC1253=75,Braking!$AG$1767,0)))</f>
        <v>0</v>
      </c>
      <c r="V1253" s="16">
        <f>0.5*'Gearing Calculator'!$C$15*'Gearing Calculator'!$C$20*'Gearing Calculator'!$W$20*('Track Data'!Q1253^2)</f>
        <v>224.2817863689101</v>
      </c>
      <c r="W1253" s="16">
        <f>('Gearing Calculator'!$U$9*'Track Data'!T1253)+'Track Data'!V1253</f>
        <v>1500.1000470350889</v>
      </c>
      <c r="X1253" s="16">
        <f>('Gearing Calculator'!$U$9*9.81)*('Gearing Calculator'!$U$16/'Gearing Calculator'!$C$7)-(('Track Data'!W1253)*('Gearing Calculator'!$U$17/'Gearing Calculator'!$C$7))</f>
        <v>583.50532693358207</v>
      </c>
      <c r="Y1253" s="16">
        <f>('Gearing Calculator'!$U$9*9.81)*(('Gearing Calculator'!$C$7-'Gearing Calculator'!$U$16)/'Gearing Calculator'!$C$7)+(('Track Data'!W1253)*('Gearing Calculator'!$U$17/'Gearing Calculator'!$C$7))</f>
        <v>2027.9166730664178</v>
      </c>
      <c r="Z1253" s="16">
        <f>((X1253*COS('Gearing Calculator'!$C$21))/'Gearing Calculator'!$C$22)/2</f>
        <v>18.040139238668857</v>
      </c>
      <c r="AA1253" s="16">
        <f>Y1253/'Gearing Calculator'!$C$24</f>
        <v>28.31651848219564</v>
      </c>
      <c r="AB1253" s="16">
        <f t="shared" si="135"/>
        <v>243.45260921889025</v>
      </c>
      <c r="AC1253" s="16">
        <v>0</v>
      </c>
      <c r="AD1253" s="16">
        <v>0</v>
      </c>
      <c r="AE1253" s="16">
        <v>1250</v>
      </c>
      <c r="AF1253" s="16">
        <f>IF(AC1253=0,IF(O1253=6,INDEX(Acceleration!$V$4:$V$110,MATCH('Track Data'!S1253,Acceleration!$K$4:$K$110,0)),IF('Track Data'!O1253=5,INDEX(Acceleration!$U$4:$U$110,MATCH('Track Data'!S1253,Acceleration!$K$4:$K$110,0)),1)),U1253)</f>
        <v>1</v>
      </c>
      <c r="AG1253" s="16">
        <f>IF(AC1253=0,IF(O1253=4,INDEX(Acceleration!$T$4:$T$110,MATCH('Track Data'!S1253,Acceleration!$K$4:$K$110,0)),IF('Track Data'!O1253=3,INDEX(Acceleration!$S$4:$S$110,MATCH('Track Data'!S1253,Acceleration!$K$4:$K$110,0)),'Track Data'!AF1253)),'Track Data'!U1253)</f>
        <v>4.792705712495037</v>
      </c>
      <c r="AH1253" s="16">
        <f>IF(AC1253=0,IF(O1253=2,INDEX(Acceleration!$R$4:$R$110,MATCH('Track Data'!S1253,Acceleration!$K$4:$K$110,0)),IF('Track Data'!O1253=1,INDEX(Acceleration!$Q$4:$Q$110,MATCH('Track Data'!S1253,Acceleration!$K$4:$K$110,0)),'Track Data'!AG1253)),'Track Data'!U1253)</f>
        <v>4.792705712495037</v>
      </c>
    </row>
    <row r="1254" spans="2:34" x14ac:dyDescent="0.25">
      <c r="B1254" s="16">
        <v>230.721</v>
      </c>
      <c r="C1254" s="16">
        <v>8524</v>
      </c>
      <c r="D1254" s="16">
        <v>1251</v>
      </c>
      <c r="E1254" s="113">
        <v>153</v>
      </c>
      <c r="F1254" s="113">
        <v>150</v>
      </c>
      <c r="G1254" s="113">
        <v>149.19999999999999</v>
      </c>
      <c r="H1254" s="113">
        <f t="shared" si="138"/>
        <v>41.444444444444443</v>
      </c>
      <c r="I1254" s="113">
        <v>6.3</v>
      </c>
      <c r="J1254" s="113">
        <v>9.18</v>
      </c>
      <c r="K1254" s="113">
        <v>-22.2</v>
      </c>
      <c r="L1254" s="185"/>
      <c r="M1254" s="16">
        <v>1251</v>
      </c>
      <c r="N1254" s="16">
        <f t="shared" si="140"/>
        <v>2.1674439715797123E-2</v>
      </c>
      <c r="O1254" s="16">
        <v>4</v>
      </c>
      <c r="P1254" s="16">
        <f t="shared" si="136"/>
        <v>9.1833785004516724</v>
      </c>
      <c r="Q1254" s="16">
        <f t="shared" si="141"/>
        <v>46.137294117511303</v>
      </c>
      <c r="R1254" s="113">
        <f t="shared" si="137"/>
        <v>329.49099999999999</v>
      </c>
      <c r="S1254" s="16">
        <f>IF(S1253=15800,15800,ROUND((((Q1254*60)/'Gearing Calculator'!$C$14)*'Track Data'!P1254),-2))</f>
        <v>12800</v>
      </c>
      <c r="T1254" s="16">
        <f t="shared" si="139"/>
        <v>4.792705712495037</v>
      </c>
      <c r="U1254" s="16">
        <f>IF(AC1254=100,Braking!$AG$2354,IF(AC1254=50,Braking!$AG$1179,IF(AC1254=75,Braking!$AG$1767,0)))</f>
        <v>0</v>
      </c>
      <c r="V1254" s="16">
        <f>0.5*'Gearing Calculator'!$C$15*'Gearing Calculator'!$C$20*'Gearing Calculator'!$W$20*('Track Data'!Q1254^2)</f>
        <v>225.29630631413104</v>
      </c>
      <c r="W1254" s="16">
        <f>('Gearing Calculator'!$U$9*'Track Data'!T1254)+'Track Data'!V1254</f>
        <v>1501.1145669803097</v>
      </c>
      <c r="X1254" s="16">
        <f>('Gearing Calculator'!$U$9*9.81)*('Gearing Calculator'!$U$16/'Gearing Calculator'!$C$7)-(('Track Data'!W1254)*('Gearing Calculator'!$U$17/'Gearing Calculator'!$C$7))</f>
        <v>582.95234427808225</v>
      </c>
      <c r="Y1254" s="16">
        <f>('Gearing Calculator'!$U$9*9.81)*(('Gearing Calculator'!$C$7-'Gearing Calculator'!$U$16)/'Gearing Calculator'!$C$7)+(('Track Data'!W1254)*('Gearing Calculator'!$U$17/'Gearing Calculator'!$C$7))</f>
        <v>2028.4696557219177</v>
      </c>
      <c r="Z1254" s="16">
        <f>((X1254*COS('Gearing Calculator'!$C$21))/'Gearing Calculator'!$C$22)/2</f>
        <v>18.023042763895933</v>
      </c>
      <c r="AA1254" s="16">
        <f>Y1254/'Gearing Calculator'!$C$24</f>
        <v>28.324239974795784</v>
      </c>
      <c r="AB1254" s="16">
        <f t="shared" si="135"/>
        <v>244.46712916411118</v>
      </c>
      <c r="AC1254" s="16">
        <v>0</v>
      </c>
      <c r="AD1254" s="16">
        <v>0</v>
      </c>
      <c r="AE1254" s="16">
        <v>1251</v>
      </c>
      <c r="AF1254" s="16">
        <f>IF(AC1254=0,IF(O1254=6,INDEX(Acceleration!$V$4:$V$110,MATCH('Track Data'!S1254,Acceleration!$K$4:$K$110,0)),IF('Track Data'!O1254=5,INDEX(Acceleration!$U$4:$U$110,MATCH('Track Data'!S1254,Acceleration!$K$4:$K$110,0)),1)),U1254)</f>
        <v>1</v>
      </c>
      <c r="AG1254" s="16">
        <f>IF(AC1254=0,IF(O1254=4,INDEX(Acceleration!$T$4:$T$110,MATCH('Track Data'!S1254,Acceleration!$K$4:$K$110,0)),IF('Track Data'!O1254=3,INDEX(Acceleration!$S$4:$S$110,MATCH('Track Data'!S1254,Acceleration!$K$4:$K$110,0)),'Track Data'!AF1254)),'Track Data'!U1254)</f>
        <v>4.792705712495037</v>
      </c>
      <c r="AH1254" s="16">
        <f>IF(AC1254=0,IF(O1254=2,INDEX(Acceleration!$R$4:$R$110,MATCH('Track Data'!S1254,Acceleration!$K$4:$K$110,0)),IF('Track Data'!O1254=1,INDEX(Acceleration!$Q$4:$Q$110,MATCH('Track Data'!S1254,Acceleration!$K$4:$K$110,0)),'Track Data'!AG1254)),'Track Data'!U1254)</f>
        <v>4.792705712495037</v>
      </c>
    </row>
    <row r="1255" spans="2:34" x14ac:dyDescent="0.25">
      <c r="B1255" s="16">
        <v>230.744</v>
      </c>
      <c r="C1255" s="16">
        <v>8525</v>
      </c>
      <c r="D1255" s="16">
        <v>1252</v>
      </c>
      <c r="E1255" s="113">
        <v>154</v>
      </c>
      <c r="F1255" s="113">
        <v>150.30000000000001</v>
      </c>
      <c r="G1255" s="113">
        <v>149.6</v>
      </c>
      <c r="H1255" s="113">
        <f t="shared" si="138"/>
        <v>41.55555555555555</v>
      </c>
      <c r="I1255" s="113">
        <v>5.4</v>
      </c>
      <c r="J1255" s="113">
        <v>8.81</v>
      </c>
      <c r="K1255" s="113">
        <v>-21.6</v>
      </c>
      <c r="L1255" s="185"/>
      <c r="M1255" s="16">
        <v>1252</v>
      </c>
      <c r="N1255" s="16">
        <f t="shared" si="140"/>
        <v>2.1625803398379898E-2</v>
      </c>
      <c r="O1255" s="16">
        <v>4</v>
      </c>
      <c r="P1255" s="16">
        <f t="shared" si="136"/>
        <v>9.1833785004516724</v>
      </c>
      <c r="Q1255" s="16">
        <f t="shared" si="141"/>
        <v>46.24105664786147</v>
      </c>
      <c r="R1255" s="113">
        <f t="shared" si="137"/>
        <v>329.49099999999999</v>
      </c>
      <c r="S1255" s="16">
        <f>IF(S1254=15800,15800,ROUND((((Q1255*60)/'Gearing Calculator'!$C$14)*'Track Data'!P1255),-2))</f>
        <v>12900</v>
      </c>
      <c r="T1255" s="16">
        <f t="shared" si="139"/>
        <v>4.7672560072758658</v>
      </c>
      <c r="U1255" s="16">
        <f>IF(AC1255=100,Braking!$AG$2354,IF(AC1255=50,Braking!$AG$1179,IF(AC1255=75,Braking!$AG$1767,0)))</f>
        <v>0</v>
      </c>
      <c r="V1255" s="16">
        <f>0.5*'Gearing Calculator'!$C$15*'Gearing Calculator'!$C$20*'Gearing Calculator'!$W$20*('Track Data'!Q1255^2)</f>
        <v>226.31082625935198</v>
      </c>
      <c r="W1255" s="16">
        <f>('Gearing Calculator'!$U$9*'Track Data'!T1255)+'Track Data'!V1255</f>
        <v>1495.3543753961876</v>
      </c>
      <c r="X1255" s="16">
        <f>('Gearing Calculator'!$U$9*9.81)*('Gearing Calculator'!$U$16/'Gearing Calculator'!$C$7)-(('Track Data'!W1255)*('Gearing Calculator'!$U$17/'Gearing Calculator'!$C$7))</f>
        <v>586.09204207641574</v>
      </c>
      <c r="Y1255" s="16">
        <f>('Gearing Calculator'!$U$9*9.81)*(('Gearing Calculator'!$C$7-'Gearing Calculator'!$U$16)/'Gearing Calculator'!$C$7)+(('Track Data'!W1255)*('Gearing Calculator'!$U$17/'Gearing Calculator'!$C$7))</f>
        <v>2025.3299579235843</v>
      </c>
      <c r="Z1255" s="16">
        <f>((X1255*COS('Gearing Calculator'!$C$21))/'Gearing Calculator'!$C$22)/2</f>
        <v>18.120112289802293</v>
      </c>
      <c r="AA1255" s="16">
        <f>Y1255/'Gearing Calculator'!$C$24</f>
        <v>28.280399262839616</v>
      </c>
      <c r="AB1255" s="16">
        <f t="shared" si="135"/>
        <v>245.37985028845546</v>
      </c>
      <c r="AC1255" s="16">
        <v>0</v>
      </c>
      <c r="AD1255" s="16">
        <v>0</v>
      </c>
      <c r="AE1255" s="16">
        <v>1252</v>
      </c>
      <c r="AF1255" s="16">
        <f>IF(AC1255=0,IF(O1255=6,INDEX(Acceleration!$V$4:$V$110,MATCH('Track Data'!S1255,Acceleration!$K$4:$K$110,0)),IF('Track Data'!O1255=5,INDEX(Acceleration!$U$4:$U$110,MATCH('Track Data'!S1255,Acceleration!$K$4:$K$110,0)),1)),U1255)</f>
        <v>1</v>
      </c>
      <c r="AG1255" s="16">
        <f>IF(AC1255=0,IF(O1255=4,INDEX(Acceleration!$T$4:$T$110,MATCH('Track Data'!S1255,Acceleration!$K$4:$K$110,0)),IF('Track Data'!O1255=3,INDEX(Acceleration!$S$4:$S$110,MATCH('Track Data'!S1255,Acceleration!$K$4:$K$110,0)),'Track Data'!AF1255)),'Track Data'!U1255)</f>
        <v>4.7672560072758658</v>
      </c>
      <c r="AH1255" s="16">
        <f>IF(AC1255=0,IF(O1255=2,INDEX(Acceleration!$R$4:$R$110,MATCH('Track Data'!S1255,Acceleration!$K$4:$K$110,0)),IF('Track Data'!O1255=1,INDEX(Acceleration!$Q$4:$Q$110,MATCH('Track Data'!S1255,Acceleration!$K$4:$K$110,0)),'Track Data'!AG1255)),'Track Data'!U1255)</f>
        <v>4.7672560072758658</v>
      </c>
    </row>
    <row r="1256" spans="2:34" x14ac:dyDescent="0.25">
      <c r="B1256" s="16">
        <v>230.76900000000001</v>
      </c>
      <c r="C1256" s="16">
        <v>8526</v>
      </c>
      <c r="D1256" s="16">
        <v>1253</v>
      </c>
      <c r="E1256" s="113">
        <v>154</v>
      </c>
      <c r="F1256" s="113">
        <v>150.6</v>
      </c>
      <c r="G1256" s="113">
        <v>150</v>
      </c>
      <c r="H1256" s="113">
        <f t="shared" si="138"/>
        <v>41.666666666666664</v>
      </c>
      <c r="I1256" s="113">
        <v>4.4000000000000004</v>
      </c>
      <c r="J1256" s="113">
        <v>7.89</v>
      </c>
      <c r="K1256" s="113">
        <v>-21.1</v>
      </c>
      <c r="L1256" s="185"/>
      <c r="M1256" s="16">
        <v>1253</v>
      </c>
      <c r="N1256" s="16">
        <f t="shared" si="140"/>
        <v>2.1577748708561887E-2</v>
      </c>
      <c r="O1256" s="16">
        <v>4</v>
      </c>
      <c r="P1256" s="16">
        <f t="shared" si="136"/>
        <v>9.1833785004516724</v>
      </c>
      <c r="Q1256" s="16">
        <f t="shared" si="141"/>
        <v>46.344037717113999</v>
      </c>
      <c r="R1256" s="113">
        <f t="shared" si="137"/>
        <v>329.49099999999999</v>
      </c>
      <c r="S1256" s="16">
        <f>IF(S1255=15800,15800,ROUND((((Q1256*60)/'Gearing Calculator'!$C$14)*'Track Data'!P1256),-2))</f>
        <v>12900</v>
      </c>
      <c r="T1256" s="16">
        <f t="shared" si="139"/>
        <v>4.7672560072758658</v>
      </c>
      <c r="U1256" s="16">
        <f>IF(AC1256=100,Braking!$AG$2354,IF(AC1256=50,Braking!$AG$1179,IF(AC1256=75,Braking!$AG$1767,0)))</f>
        <v>0</v>
      </c>
      <c r="V1256" s="16">
        <f>0.5*'Gearing Calculator'!$C$15*'Gearing Calculator'!$C$20*'Gearing Calculator'!$W$20*('Track Data'!Q1256^2)</f>
        <v>227.31995901097213</v>
      </c>
      <c r="W1256" s="16">
        <f>('Gearing Calculator'!$U$9*'Track Data'!T1256)+'Track Data'!V1256</f>
        <v>1496.3635081478076</v>
      </c>
      <c r="X1256" s="16">
        <f>('Gearing Calculator'!$U$9*9.81)*('Gearing Calculator'!$U$16/'Gearing Calculator'!$C$7)-(('Track Data'!W1256)*('Gearing Calculator'!$U$17/'Gearing Calculator'!$C$7))</f>
        <v>585.54199580933994</v>
      </c>
      <c r="Y1256" s="16">
        <f>('Gearing Calculator'!$U$9*9.81)*(('Gearing Calculator'!$C$7-'Gearing Calculator'!$U$16)/'Gearing Calculator'!$C$7)+(('Track Data'!W1256)*('Gearing Calculator'!$U$17/'Gearing Calculator'!$C$7))</f>
        <v>2025.8800041906602</v>
      </c>
      <c r="Z1256" s="16">
        <f>((X1256*COS('Gearing Calculator'!$C$21))/'Gearing Calculator'!$C$22)/2</f>
        <v>18.10310659887244</v>
      </c>
      <c r="AA1256" s="16">
        <f>Y1256/'Gearing Calculator'!$C$24</f>
        <v>28.288079753608582</v>
      </c>
      <c r="AB1256" s="16">
        <f t="shared" si="135"/>
        <v>246.3889830400756</v>
      </c>
      <c r="AC1256" s="16">
        <v>0</v>
      </c>
      <c r="AD1256" s="16">
        <v>0</v>
      </c>
      <c r="AE1256" s="16">
        <v>1253</v>
      </c>
      <c r="AF1256" s="16">
        <f>IF(AC1256=0,IF(O1256=6,INDEX(Acceleration!$V$4:$V$110,MATCH('Track Data'!S1256,Acceleration!$K$4:$K$110,0)),IF('Track Data'!O1256=5,INDEX(Acceleration!$U$4:$U$110,MATCH('Track Data'!S1256,Acceleration!$K$4:$K$110,0)),1)),U1256)</f>
        <v>1</v>
      </c>
      <c r="AG1256" s="16">
        <f>IF(AC1256=0,IF(O1256=4,INDEX(Acceleration!$T$4:$T$110,MATCH('Track Data'!S1256,Acceleration!$K$4:$K$110,0)),IF('Track Data'!O1256=3,INDEX(Acceleration!$S$4:$S$110,MATCH('Track Data'!S1256,Acceleration!$K$4:$K$110,0)),'Track Data'!AF1256)),'Track Data'!U1256)</f>
        <v>4.7672560072758658</v>
      </c>
      <c r="AH1256" s="16">
        <f>IF(AC1256=0,IF(O1256=2,INDEX(Acceleration!$R$4:$R$110,MATCH('Track Data'!S1256,Acceleration!$K$4:$K$110,0)),IF('Track Data'!O1256=1,INDEX(Acceleration!$Q$4:$Q$110,MATCH('Track Data'!S1256,Acceleration!$K$4:$K$110,0)),'Track Data'!AG1256)),'Track Data'!U1256)</f>
        <v>4.7672560072758658</v>
      </c>
    </row>
    <row r="1257" spans="2:34" x14ac:dyDescent="0.25">
      <c r="B1257" s="16">
        <v>230.792</v>
      </c>
      <c r="C1257" s="16">
        <v>8527</v>
      </c>
      <c r="D1257" s="16">
        <v>1254</v>
      </c>
      <c r="E1257" s="113">
        <v>155</v>
      </c>
      <c r="F1257" s="113">
        <v>151.5</v>
      </c>
      <c r="G1257" s="113">
        <v>150.5</v>
      </c>
      <c r="H1257" s="113">
        <f t="shared" si="138"/>
        <v>41.805555555555557</v>
      </c>
      <c r="I1257" s="113">
        <v>2.9</v>
      </c>
      <c r="J1257" s="113">
        <v>7.42</v>
      </c>
      <c r="K1257" s="113">
        <v>-20.3</v>
      </c>
      <c r="L1257" s="185"/>
      <c r="M1257" s="16">
        <v>1254</v>
      </c>
      <c r="N1257" s="16">
        <f t="shared" si="140"/>
        <v>2.1530012948543575E-2</v>
      </c>
      <c r="O1257" s="16">
        <v>4</v>
      </c>
      <c r="P1257" s="16">
        <f t="shared" si="136"/>
        <v>9.1833785004516724</v>
      </c>
      <c r="Q1257" s="16">
        <f t="shared" si="141"/>
        <v>46.446790458973986</v>
      </c>
      <c r="R1257" s="113">
        <f t="shared" si="137"/>
        <v>329.49099999999999</v>
      </c>
      <c r="S1257" s="16">
        <f>IF(S1256=15800,15800,ROUND((((Q1257*60)/'Gearing Calculator'!$C$14)*'Track Data'!P1257),-2))</f>
        <v>12900</v>
      </c>
      <c r="T1257" s="16">
        <f t="shared" si="139"/>
        <v>4.7672560072758658</v>
      </c>
      <c r="U1257" s="16">
        <f>IF(AC1257=100,Braking!$AG$2354,IF(AC1257=50,Braking!$AG$1179,IF(AC1257=75,Braking!$AG$1767,0)))</f>
        <v>0</v>
      </c>
      <c r="V1257" s="16">
        <f>0.5*'Gearing Calculator'!$C$15*'Gearing Calculator'!$C$20*'Gearing Calculator'!$W$20*('Track Data'!Q1257^2)</f>
        <v>228.32909176259233</v>
      </c>
      <c r="W1257" s="16">
        <f>('Gearing Calculator'!$U$9*'Track Data'!T1257)+'Track Data'!V1257</f>
        <v>1497.3726408994278</v>
      </c>
      <c r="X1257" s="16">
        <f>('Gearing Calculator'!$U$9*9.81)*('Gearing Calculator'!$U$16/'Gearing Calculator'!$C$7)-(('Track Data'!W1257)*('Gearing Calculator'!$U$17/'Gearing Calculator'!$C$7))</f>
        <v>584.99194954226414</v>
      </c>
      <c r="Y1257" s="16">
        <f>('Gearing Calculator'!$U$9*9.81)*(('Gearing Calculator'!$C$7-'Gearing Calculator'!$U$16)/'Gearing Calculator'!$C$7)+(('Track Data'!W1257)*('Gearing Calculator'!$U$17/'Gearing Calculator'!$C$7))</f>
        <v>2026.4300504577359</v>
      </c>
      <c r="Z1257" s="16">
        <f>((X1257*COS('Gearing Calculator'!$C$21))/'Gearing Calculator'!$C$22)/2</f>
        <v>18.08610090794258</v>
      </c>
      <c r="AA1257" s="16">
        <f>Y1257/'Gearing Calculator'!$C$24</f>
        <v>28.295760244377544</v>
      </c>
      <c r="AB1257" s="16">
        <f t="shared" si="135"/>
        <v>247.3981157916958</v>
      </c>
      <c r="AC1257" s="16">
        <v>0</v>
      </c>
      <c r="AD1257" s="16">
        <v>0</v>
      </c>
      <c r="AE1257" s="16">
        <v>1254</v>
      </c>
      <c r="AF1257" s="16">
        <f>IF(AC1257=0,IF(O1257=6,INDEX(Acceleration!$V$4:$V$110,MATCH('Track Data'!S1257,Acceleration!$K$4:$K$110,0)),IF('Track Data'!O1257=5,INDEX(Acceleration!$U$4:$U$110,MATCH('Track Data'!S1257,Acceleration!$K$4:$K$110,0)),1)),U1257)</f>
        <v>1</v>
      </c>
      <c r="AG1257" s="16">
        <f>IF(AC1257=0,IF(O1257=4,INDEX(Acceleration!$T$4:$T$110,MATCH('Track Data'!S1257,Acceleration!$K$4:$K$110,0)),IF('Track Data'!O1257=3,INDEX(Acceleration!$S$4:$S$110,MATCH('Track Data'!S1257,Acceleration!$K$4:$K$110,0)),'Track Data'!AF1257)),'Track Data'!U1257)</f>
        <v>4.7672560072758658</v>
      </c>
      <c r="AH1257" s="16">
        <f>IF(AC1257=0,IF(O1257=2,INDEX(Acceleration!$R$4:$R$110,MATCH('Track Data'!S1257,Acceleration!$K$4:$K$110,0)),IF('Track Data'!O1257=1,INDEX(Acceleration!$Q$4:$Q$110,MATCH('Track Data'!S1257,Acceleration!$K$4:$K$110,0)),'Track Data'!AG1257)),'Track Data'!U1257)</f>
        <v>4.7672560072758658</v>
      </c>
    </row>
    <row r="1258" spans="2:34" x14ac:dyDescent="0.25">
      <c r="B1258" s="16">
        <v>230.816</v>
      </c>
      <c r="C1258" s="16">
        <v>8528</v>
      </c>
      <c r="D1258" s="16">
        <v>1255</v>
      </c>
      <c r="E1258" s="113">
        <v>155</v>
      </c>
      <c r="F1258" s="113">
        <v>151.80000000000001</v>
      </c>
      <c r="G1258" s="113">
        <v>150.9</v>
      </c>
      <c r="H1258" s="113">
        <f t="shared" si="138"/>
        <v>41.916666666666664</v>
      </c>
      <c r="I1258" s="113">
        <v>2.4</v>
      </c>
      <c r="J1258" s="113">
        <v>6.91</v>
      </c>
      <c r="K1258" s="113">
        <v>-19.399999999999999</v>
      </c>
      <c r="L1258" s="185"/>
      <c r="M1258" s="16">
        <v>1255</v>
      </c>
      <c r="N1258" s="16">
        <f t="shared" si="140"/>
        <v>2.1482592606068593E-2</v>
      </c>
      <c r="O1258" s="16">
        <v>4</v>
      </c>
      <c r="P1258" s="16">
        <f t="shared" si="136"/>
        <v>9.1833785004516724</v>
      </c>
      <c r="Q1258" s="16">
        <f t="shared" si="141"/>
        <v>46.549316385467883</v>
      </c>
      <c r="R1258" s="113">
        <f t="shared" si="137"/>
        <v>329.49099999999999</v>
      </c>
      <c r="S1258" s="16">
        <f>IF(S1257=15800,15800,ROUND((((Q1258*60)/'Gearing Calculator'!$C$14)*'Track Data'!P1258),-2))</f>
        <v>13000</v>
      </c>
      <c r="T1258" s="16">
        <f t="shared" si="139"/>
        <v>4.7177985984598587</v>
      </c>
      <c r="U1258" s="16">
        <f>IF(AC1258=100,Braking!$AG$2354,IF(AC1258=50,Braking!$AG$1179,IF(AC1258=75,Braking!$AG$1767,0)))</f>
        <v>0</v>
      </c>
      <c r="V1258" s="16">
        <f>0.5*'Gearing Calculator'!$C$15*'Gearing Calculator'!$C$20*'Gearing Calculator'!$W$20*('Track Data'!Q1258^2)</f>
        <v>229.33822451421247</v>
      </c>
      <c r="W1258" s="16">
        <f>('Gearing Calculator'!$U$9*'Track Data'!T1258)+'Track Data'!V1258</f>
        <v>1485.2162114242269</v>
      </c>
      <c r="X1258" s="16">
        <f>('Gearing Calculator'!$U$9*9.81)*('Gearing Calculator'!$U$16/'Gearing Calculator'!$C$7)-(('Track Data'!W1258)*('Gearing Calculator'!$U$17/'Gearing Calculator'!$C$7))</f>
        <v>591.61803381419907</v>
      </c>
      <c r="Y1258" s="16">
        <f>('Gearing Calculator'!$U$9*9.81)*(('Gearing Calculator'!$C$7-'Gearing Calculator'!$U$16)/'Gearing Calculator'!$C$7)+(('Track Data'!W1258)*('Gearing Calculator'!$U$17/'Gearing Calculator'!$C$7))</f>
        <v>2019.8039661858011</v>
      </c>
      <c r="Z1258" s="16">
        <f>((X1258*COS('Gearing Calculator'!$C$21))/'Gearing Calculator'!$C$22)/2</f>
        <v>18.290958477111726</v>
      </c>
      <c r="AA1258" s="16">
        <f>Y1258/'Gearing Calculator'!$C$24</f>
        <v>28.203237883748635</v>
      </c>
      <c r="AB1258" s="16">
        <f t="shared" si="135"/>
        <v>248.2094189080519</v>
      </c>
      <c r="AC1258" s="16">
        <v>0</v>
      </c>
      <c r="AD1258" s="16">
        <v>0</v>
      </c>
      <c r="AE1258" s="16">
        <v>1255</v>
      </c>
      <c r="AF1258" s="16">
        <f>IF(AC1258=0,IF(O1258=6,INDEX(Acceleration!$V$4:$V$110,MATCH('Track Data'!S1258,Acceleration!$K$4:$K$110,0)),IF('Track Data'!O1258=5,INDEX(Acceleration!$U$4:$U$110,MATCH('Track Data'!S1258,Acceleration!$K$4:$K$110,0)),1)),U1258)</f>
        <v>1</v>
      </c>
      <c r="AG1258" s="16">
        <f>IF(AC1258=0,IF(O1258=4,INDEX(Acceleration!$T$4:$T$110,MATCH('Track Data'!S1258,Acceleration!$K$4:$K$110,0)),IF('Track Data'!O1258=3,INDEX(Acceleration!$S$4:$S$110,MATCH('Track Data'!S1258,Acceleration!$K$4:$K$110,0)),'Track Data'!AF1258)),'Track Data'!U1258)</f>
        <v>4.7177985984598587</v>
      </c>
      <c r="AH1258" s="16">
        <f>IF(AC1258=0,IF(O1258=2,INDEX(Acceleration!$R$4:$R$110,MATCH('Track Data'!S1258,Acceleration!$K$4:$K$110,0)),IF('Track Data'!O1258=1,INDEX(Acceleration!$Q$4:$Q$110,MATCH('Track Data'!S1258,Acceleration!$K$4:$K$110,0)),'Track Data'!AG1258)),'Track Data'!U1258)</f>
        <v>4.7177985984598587</v>
      </c>
    </row>
    <row r="1259" spans="2:34" x14ac:dyDescent="0.25">
      <c r="B1259" s="16">
        <v>230.84</v>
      </c>
      <c r="C1259" s="16">
        <v>8529</v>
      </c>
      <c r="D1259" s="16">
        <v>1256</v>
      </c>
      <c r="E1259" s="113">
        <v>155</v>
      </c>
      <c r="F1259" s="113">
        <v>152.30000000000001</v>
      </c>
      <c r="G1259" s="113">
        <v>151.5</v>
      </c>
      <c r="H1259" s="113">
        <f t="shared" si="138"/>
        <v>42.083333333333336</v>
      </c>
      <c r="I1259" s="113">
        <v>2.2999999999999998</v>
      </c>
      <c r="J1259" s="113">
        <v>7.82</v>
      </c>
      <c r="K1259" s="113">
        <v>-17.899999999999999</v>
      </c>
      <c r="L1259" s="185"/>
      <c r="M1259" s="16">
        <v>1256</v>
      </c>
      <c r="N1259" s="16">
        <f t="shared" si="140"/>
        <v>2.1435971354120127E-2</v>
      </c>
      <c r="O1259" s="16">
        <v>4</v>
      </c>
      <c r="P1259" s="16">
        <f t="shared" si="136"/>
        <v>9.1833785004516724</v>
      </c>
      <c r="Q1259" s="16">
        <f t="shared" si="141"/>
        <v>46.650556836454896</v>
      </c>
      <c r="R1259" s="113">
        <f t="shared" si="137"/>
        <v>329.49099999999999</v>
      </c>
      <c r="S1259" s="16">
        <f>IF(S1258=15800,15800,ROUND((((Q1259*60)/'Gearing Calculator'!$C$14)*'Track Data'!P1259),-2))</f>
        <v>13000</v>
      </c>
      <c r="T1259" s="16">
        <f t="shared" si="139"/>
        <v>4.7177985984598587</v>
      </c>
      <c r="U1259" s="16">
        <f>IF(AC1259=100,Braking!$AG$2354,IF(AC1259=50,Braking!$AG$1179,IF(AC1259=75,Braking!$AG$1767,0)))</f>
        <v>0</v>
      </c>
      <c r="V1259" s="16">
        <f>0.5*'Gearing Calculator'!$C$15*'Gearing Calculator'!$C$20*'Gearing Calculator'!$W$20*('Track Data'!Q1259^2)</f>
        <v>230.33688812153449</v>
      </c>
      <c r="W1259" s="16">
        <f>('Gearing Calculator'!$U$9*'Track Data'!T1259)+'Track Data'!V1259</f>
        <v>1486.2148750315489</v>
      </c>
      <c r="X1259" s="16">
        <f>('Gearing Calculator'!$U$9*9.81)*('Gearing Calculator'!$U$16/'Gearing Calculator'!$C$7)-(('Track Data'!W1259)*('Gearing Calculator'!$U$17/'Gearing Calculator'!$C$7))</f>
        <v>591.07369394574266</v>
      </c>
      <c r="Y1259" s="16">
        <f>('Gearing Calculator'!$U$9*9.81)*(('Gearing Calculator'!$C$7-'Gearing Calculator'!$U$16)/'Gearing Calculator'!$C$7)+(('Track Data'!W1259)*('Gearing Calculator'!$U$17/'Gearing Calculator'!$C$7))</f>
        <v>2020.3483060542574</v>
      </c>
      <c r="Z1259" s="16">
        <f>((X1259*COS('Gearing Calculator'!$C$21))/'Gearing Calculator'!$C$22)/2</f>
        <v>18.274129209979378</v>
      </c>
      <c r="AA1259" s="16">
        <f>Y1259/'Gearing Calculator'!$C$24</f>
        <v>28.210838694053347</v>
      </c>
      <c r="AB1259" s="16">
        <f t="shared" si="135"/>
        <v>249.20808251537392</v>
      </c>
      <c r="AC1259" s="16">
        <v>0</v>
      </c>
      <c r="AD1259" s="16">
        <v>0</v>
      </c>
      <c r="AE1259" s="16">
        <v>1256</v>
      </c>
      <c r="AF1259" s="16">
        <f>IF(AC1259=0,IF(O1259=6,INDEX(Acceleration!$V$4:$V$110,MATCH('Track Data'!S1259,Acceleration!$K$4:$K$110,0)),IF('Track Data'!O1259=5,INDEX(Acceleration!$U$4:$U$110,MATCH('Track Data'!S1259,Acceleration!$K$4:$K$110,0)),1)),U1259)</f>
        <v>1</v>
      </c>
      <c r="AG1259" s="16">
        <f>IF(AC1259=0,IF(O1259=4,INDEX(Acceleration!$T$4:$T$110,MATCH('Track Data'!S1259,Acceleration!$K$4:$K$110,0)),IF('Track Data'!O1259=3,INDEX(Acceleration!$S$4:$S$110,MATCH('Track Data'!S1259,Acceleration!$K$4:$K$110,0)),'Track Data'!AF1259)),'Track Data'!U1259)</f>
        <v>4.7177985984598587</v>
      </c>
      <c r="AH1259" s="16">
        <f>IF(AC1259=0,IF(O1259=2,INDEX(Acceleration!$R$4:$R$110,MATCH('Track Data'!S1259,Acceleration!$K$4:$K$110,0)),IF('Track Data'!O1259=1,INDEX(Acceleration!$Q$4:$Q$110,MATCH('Track Data'!S1259,Acceleration!$K$4:$K$110,0)),'Track Data'!AG1259)),'Track Data'!U1259)</f>
        <v>4.7177985984598587</v>
      </c>
    </row>
    <row r="1260" spans="2:34" x14ac:dyDescent="0.25">
      <c r="B1260" s="16">
        <v>230.863</v>
      </c>
      <c r="C1260" s="16">
        <v>8530</v>
      </c>
      <c r="D1260" s="16">
        <v>1257</v>
      </c>
      <c r="E1260" s="113">
        <v>156</v>
      </c>
      <c r="F1260" s="113">
        <v>152.9</v>
      </c>
      <c r="G1260" s="113">
        <v>151.80000000000001</v>
      </c>
      <c r="H1260" s="113">
        <f t="shared" si="138"/>
        <v>42.166666666666671</v>
      </c>
      <c r="I1260" s="113">
        <v>3.1</v>
      </c>
      <c r="J1260" s="113">
        <v>7.03</v>
      </c>
      <c r="K1260" s="113">
        <v>-16.8</v>
      </c>
      <c r="L1260" s="185"/>
      <c r="M1260" s="16">
        <v>1257</v>
      </c>
      <c r="N1260" s="16">
        <f t="shared" si="140"/>
        <v>2.1389652321225555E-2</v>
      </c>
      <c r="O1260" s="16">
        <v>4</v>
      </c>
      <c r="P1260" s="16">
        <f t="shared" si="136"/>
        <v>9.1833785004516724</v>
      </c>
      <c r="Q1260" s="16">
        <f t="shared" si="141"/>
        <v>46.751578051957011</v>
      </c>
      <c r="R1260" s="113">
        <f t="shared" si="137"/>
        <v>329.49099999999999</v>
      </c>
      <c r="S1260" s="16">
        <f>IF(S1259=15800,15800,ROUND((((Q1260*60)/'Gearing Calculator'!$C$14)*'Track Data'!P1260),-2))</f>
        <v>13000</v>
      </c>
      <c r="T1260" s="16">
        <f t="shared" si="139"/>
        <v>4.7177985984598587</v>
      </c>
      <c r="U1260" s="16">
        <f>IF(AC1260=100,Braking!$AG$2354,IF(AC1260=50,Braking!$AG$1179,IF(AC1260=75,Braking!$AG$1767,0)))</f>
        <v>0</v>
      </c>
      <c r="V1260" s="16">
        <f>0.5*'Gearing Calculator'!$C$15*'Gearing Calculator'!$C$20*'Gearing Calculator'!$W$20*('Track Data'!Q1260^2)</f>
        <v>231.33555172885647</v>
      </c>
      <c r="W1260" s="16">
        <f>('Gearing Calculator'!$U$9*'Track Data'!T1260)+'Track Data'!V1260</f>
        <v>1487.2135386388709</v>
      </c>
      <c r="X1260" s="16">
        <f>('Gearing Calculator'!$U$9*9.81)*('Gearing Calculator'!$U$16/'Gearing Calculator'!$C$7)-(('Track Data'!W1260)*('Gearing Calculator'!$U$17/'Gearing Calculator'!$C$7))</f>
        <v>590.52935407728637</v>
      </c>
      <c r="Y1260" s="16">
        <f>('Gearing Calculator'!$U$9*9.81)*(('Gearing Calculator'!$C$7-'Gearing Calculator'!$U$16)/'Gearing Calculator'!$C$7)+(('Track Data'!W1260)*('Gearing Calculator'!$U$17/'Gearing Calculator'!$C$7))</f>
        <v>2020.8926459227137</v>
      </c>
      <c r="Z1260" s="16">
        <f>((X1260*COS('Gearing Calculator'!$C$21))/'Gearing Calculator'!$C$22)/2</f>
        <v>18.257299942847034</v>
      </c>
      <c r="AA1260" s="16">
        <f>Y1260/'Gearing Calculator'!$C$24</f>
        <v>28.218439504358059</v>
      </c>
      <c r="AB1260" s="16">
        <f t="shared" si="135"/>
        <v>250.2067461226959</v>
      </c>
      <c r="AC1260" s="16">
        <v>0</v>
      </c>
      <c r="AD1260" s="16">
        <v>0</v>
      </c>
      <c r="AE1260" s="16">
        <v>1257</v>
      </c>
      <c r="AF1260" s="16">
        <f>IF(AC1260=0,IF(O1260=6,INDEX(Acceleration!$V$4:$V$110,MATCH('Track Data'!S1260,Acceleration!$K$4:$K$110,0)),IF('Track Data'!O1260=5,INDEX(Acceleration!$U$4:$U$110,MATCH('Track Data'!S1260,Acceleration!$K$4:$K$110,0)),1)),U1260)</f>
        <v>1</v>
      </c>
      <c r="AG1260" s="16">
        <f>IF(AC1260=0,IF(O1260=4,INDEX(Acceleration!$T$4:$T$110,MATCH('Track Data'!S1260,Acceleration!$K$4:$K$110,0)),IF('Track Data'!O1260=3,INDEX(Acceleration!$S$4:$S$110,MATCH('Track Data'!S1260,Acceleration!$K$4:$K$110,0)),'Track Data'!AF1260)),'Track Data'!U1260)</f>
        <v>4.7177985984598587</v>
      </c>
      <c r="AH1260" s="16">
        <f>IF(AC1260=0,IF(O1260=2,INDEX(Acceleration!$R$4:$R$110,MATCH('Track Data'!S1260,Acceleration!$K$4:$K$110,0)),IF('Track Data'!O1260=1,INDEX(Acceleration!$Q$4:$Q$110,MATCH('Track Data'!S1260,Acceleration!$K$4:$K$110,0)),'Track Data'!AG1260)),'Track Data'!U1260)</f>
        <v>4.7177985984598587</v>
      </c>
    </row>
    <row r="1261" spans="2:34" x14ac:dyDescent="0.25">
      <c r="B1261" s="16">
        <v>230.887</v>
      </c>
      <c r="C1261" s="16">
        <v>8531</v>
      </c>
      <c r="D1261" s="16">
        <v>1258</v>
      </c>
      <c r="E1261" s="113">
        <v>156</v>
      </c>
      <c r="F1261" s="113">
        <v>153.5</v>
      </c>
      <c r="G1261" s="113">
        <v>152.1</v>
      </c>
      <c r="H1261" s="113">
        <f t="shared" si="138"/>
        <v>42.25</v>
      </c>
      <c r="I1261" s="113">
        <v>3.9</v>
      </c>
      <c r="J1261" s="113">
        <v>7.14</v>
      </c>
      <c r="K1261" s="113">
        <v>-16</v>
      </c>
      <c r="L1261" s="185"/>
      <c r="M1261" s="16">
        <v>1258</v>
      </c>
      <c r="N1261" s="16">
        <f t="shared" si="140"/>
        <v>2.1343632256242237E-2</v>
      </c>
      <c r="O1261" s="16">
        <v>4</v>
      </c>
      <c r="P1261" s="16">
        <f t="shared" si="136"/>
        <v>9.1833785004516724</v>
      </c>
      <c r="Q1261" s="16">
        <f t="shared" si="141"/>
        <v>46.852381450094384</v>
      </c>
      <c r="R1261" s="113">
        <f t="shared" si="137"/>
        <v>329.49099999999999</v>
      </c>
      <c r="S1261" s="16">
        <f>IF(S1260=15800,15800,ROUND((((Q1261*60)/'Gearing Calculator'!$C$14)*'Track Data'!P1261),-2))</f>
        <v>13000</v>
      </c>
      <c r="T1261" s="16">
        <f t="shared" si="139"/>
        <v>4.7177985984598587</v>
      </c>
      <c r="U1261" s="16">
        <f>IF(AC1261=100,Braking!$AG$2354,IF(AC1261=50,Braking!$AG$1179,IF(AC1261=75,Braking!$AG$1767,0)))</f>
        <v>0</v>
      </c>
      <c r="V1261" s="16">
        <f>0.5*'Gearing Calculator'!$C$15*'Gearing Calculator'!$C$20*'Gearing Calculator'!$W$20*('Track Data'!Q1261^2)</f>
        <v>232.33421533617846</v>
      </c>
      <c r="W1261" s="16">
        <f>('Gearing Calculator'!$U$9*'Track Data'!T1261)+'Track Data'!V1261</f>
        <v>1488.2122022461929</v>
      </c>
      <c r="X1261" s="16">
        <f>('Gearing Calculator'!$U$9*9.81)*('Gearing Calculator'!$U$16/'Gearing Calculator'!$C$7)-(('Track Data'!W1261)*('Gearing Calculator'!$U$17/'Gearing Calculator'!$C$7))</f>
        <v>589.98501420882997</v>
      </c>
      <c r="Y1261" s="16">
        <f>('Gearing Calculator'!$U$9*9.81)*(('Gearing Calculator'!$C$7-'Gearing Calculator'!$U$16)/'Gearing Calculator'!$C$7)+(('Track Data'!W1261)*('Gearing Calculator'!$U$17/'Gearing Calculator'!$C$7))</f>
        <v>2021.4369857911702</v>
      </c>
      <c r="Z1261" s="16">
        <f>((X1261*COS('Gearing Calculator'!$C$21))/'Gearing Calculator'!$C$22)/2</f>
        <v>18.24047067571469</v>
      </c>
      <c r="AA1261" s="16">
        <f>Y1261/'Gearing Calculator'!$C$24</f>
        <v>28.226040314662772</v>
      </c>
      <c r="AB1261" s="16">
        <f t="shared" si="135"/>
        <v>251.20540973001789</v>
      </c>
      <c r="AC1261" s="16">
        <v>0</v>
      </c>
      <c r="AD1261" s="16">
        <v>0</v>
      </c>
      <c r="AE1261" s="16">
        <v>1258</v>
      </c>
      <c r="AF1261" s="16">
        <f>IF(AC1261=0,IF(O1261=6,INDEX(Acceleration!$V$4:$V$110,MATCH('Track Data'!S1261,Acceleration!$K$4:$K$110,0)),IF('Track Data'!O1261=5,INDEX(Acceleration!$U$4:$U$110,MATCH('Track Data'!S1261,Acceleration!$K$4:$K$110,0)),1)),U1261)</f>
        <v>1</v>
      </c>
      <c r="AG1261" s="16">
        <f>IF(AC1261=0,IF(O1261=4,INDEX(Acceleration!$T$4:$T$110,MATCH('Track Data'!S1261,Acceleration!$K$4:$K$110,0)),IF('Track Data'!O1261=3,INDEX(Acceleration!$S$4:$S$110,MATCH('Track Data'!S1261,Acceleration!$K$4:$K$110,0)),'Track Data'!AF1261)),'Track Data'!U1261)</f>
        <v>4.7177985984598587</v>
      </c>
      <c r="AH1261" s="16">
        <f>IF(AC1261=0,IF(O1261=2,INDEX(Acceleration!$R$4:$R$110,MATCH('Track Data'!S1261,Acceleration!$K$4:$K$110,0)),IF('Track Data'!O1261=1,INDEX(Acceleration!$Q$4:$Q$110,MATCH('Track Data'!S1261,Acceleration!$K$4:$K$110,0)),'Track Data'!AG1261)),'Track Data'!U1261)</f>
        <v>4.7177985984598587</v>
      </c>
    </row>
    <row r="1262" spans="2:34" x14ac:dyDescent="0.25">
      <c r="B1262" s="16">
        <v>230.91</v>
      </c>
      <c r="C1262" s="16">
        <v>8532</v>
      </c>
      <c r="D1262" s="16">
        <v>1259</v>
      </c>
      <c r="E1262" s="113">
        <v>156</v>
      </c>
      <c r="F1262" s="113">
        <v>154.19999999999999</v>
      </c>
      <c r="G1262" s="113">
        <v>152.6</v>
      </c>
      <c r="H1262" s="113">
        <f t="shared" si="138"/>
        <v>42.388888888888886</v>
      </c>
      <c r="I1262" s="113">
        <v>4.8</v>
      </c>
      <c r="J1262" s="113">
        <v>8.14</v>
      </c>
      <c r="K1262" s="113">
        <v>-15.7</v>
      </c>
      <c r="L1262" s="185"/>
      <c r="M1262" s="16">
        <v>1259</v>
      </c>
      <c r="N1262" s="16">
        <f t="shared" si="140"/>
        <v>2.1297907956781936E-2</v>
      </c>
      <c r="O1262" s="16">
        <v>4</v>
      </c>
      <c r="P1262" s="16">
        <f t="shared" si="136"/>
        <v>9.1833785004516724</v>
      </c>
      <c r="Q1262" s="16">
        <f t="shared" si="141"/>
        <v>46.952968433764312</v>
      </c>
      <c r="R1262" s="113">
        <f t="shared" si="137"/>
        <v>329.49099999999999</v>
      </c>
      <c r="S1262" s="16">
        <f>IF(S1261=15800,15800,ROUND((((Q1262*60)/'Gearing Calculator'!$C$14)*'Track Data'!P1262),-2))</f>
        <v>13100</v>
      </c>
      <c r="T1262" s="16">
        <f t="shared" si="139"/>
        <v>4.668899545953348</v>
      </c>
      <c r="U1262" s="16">
        <f>IF(AC1262=100,Braking!$AG$2354,IF(AC1262=50,Braking!$AG$1179,IF(AC1262=75,Braking!$AG$1767,0)))</f>
        <v>0</v>
      </c>
      <c r="V1262" s="16">
        <f>0.5*'Gearing Calculator'!$C$15*'Gearing Calculator'!$C$20*'Gearing Calculator'!$W$20*('Track Data'!Q1262^2)</f>
        <v>233.33287894350048</v>
      </c>
      <c r="W1262" s="16">
        <f>('Gearing Calculator'!$U$9*'Track Data'!T1262)+'Track Data'!V1262</f>
        <v>1476.1939380762817</v>
      </c>
      <c r="X1262" s="16">
        <f>('Gearing Calculator'!$U$9*9.81)*('Gearing Calculator'!$U$16/'Gearing Calculator'!$C$7)-(('Track Data'!W1262)*('Gearing Calculator'!$U$17/'Gearing Calculator'!$C$7))</f>
        <v>596.53578895355759</v>
      </c>
      <c r="Y1262" s="16">
        <f>('Gearing Calculator'!$U$9*9.81)*(('Gearing Calculator'!$C$7-'Gearing Calculator'!$U$16)/'Gearing Calculator'!$C$7)+(('Track Data'!W1262)*('Gearing Calculator'!$U$17/'Gearing Calculator'!$C$7))</f>
        <v>2014.8862110464424</v>
      </c>
      <c r="Z1262" s="16">
        <f>((X1262*COS('Gearing Calculator'!$C$21))/'Gearing Calculator'!$C$22)/2</f>
        <v>18.442999912486325</v>
      </c>
      <c r="AA1262" s="16">
        <f>Y1262/'Gearing Calculator'!$C$24</f>
        <v>28.134569527625306</v>
      </c>
      <c r="AB1262" s="16">
        <f t="shared" si="135"/>
        <v>252.00847712731388</v>
      </c>
      <c r="AC1262" s="16">
        <v>0</v>
      </c>
      <c r="AD1262" s="16">
        <v>0</v>
      </c>
      <c r="AE1262" s="16">
        <v>1259</v>
      </c>
      <c r="AF1262" s="16">
        <f>IF(AC1262=0,IF(O1262=6,INDEX(Acceleration!$V$4:$V$110,MATCH('Track Data'!S1262,Acceleration!$K$4:$K$110,0)),IF('Track Data'!O1262=5,INDEX(Acceleration!$U$4:$U$110,MATCH('Track Data'!S1262,Acceleration!$K$4:$K$110,0)),1)),U1262)</f>
        <v>1</v>
      </c>
      <c r="AG1262" s="16">
        <f>IF(AC1262=0,IF(O1262=4,INDEX(Acceleration!$T$4:$T$110,MATCH('Track Data'!S1262,Acceleration!$K$4:$K$110,0)),IF('Track Data'!O1262=3,INDEX(Acceleration!$S$4:$S$110,MATCH('Track Data'!S1262,Acceleration!$K$4:$K$110,0)),'Track Data'!AF1262)),'Track Data'!U1262)</f>
        <v>4.668899545953348</v>
      </c>
      <c r="AH1262" s="16">
        <f>IF(AC1262=0,IF(O1262=2,INDEX(Acceleration!$R$4:$R$110,MATCH('Track Data'!S1262,Acceleration!$K$4:$K$110,0)),IF('Track Data'!O1262=1,INDEX(Acceleration!$Q$4:$Q$110,MATCH('Track Data'!S1262,Acceleration!$K$4:$K$110,0)),'Track Data'!AG1262)),'Track Data'!U1262)</f>
        <v>4.668899545953348</v>
      </c>
    </row>
    <row r="1263" spans="2:34" x14ac:dyDescent="0.25">
      <c r="B1263" s="16">
        <v>230.934</v>
      </c>
      <c r="C1263" s="16">
        <v>8533</v>
      </c>
      <c r="D1263" s="16">
        <v>1260</v>
      </c>
      <c r="E1263" s="113">
        <v>156</v>
      </c>
      <c r="F1263" s="113">
        <v>154.6</v>
      </c>
      <c r="G1263" s="113">
        <v>152.9</v>
      </c>
      <c r="H1263" s="113">
        <f t="shared" si="138"/>
        <v>42.472222222222221</v>
      </c>
      <c r="I1263" s="113">
        <v>5.6</v>
      </c>
      <c r="J1263" s="113">
        <v>10.199999999999999</v>
      </c>
      <c r="K1263" s="113">
        <v>-15.6</v>
      </c>
      <c r="L1263" s="185"/>
      <c r="M1263" s="16">
        <v>1260</v>
      </c>
      <c r="N1263" s="16">
        <f t="shared" si="140"/>
        <v>2.1252945668671044E-2</v>
      </c>
      <c r="O1263" s="16">
        <v>4</v>
      </c>
      <c r="P1263" s="16">
        <f t="shared" si="136"/>
        <v>9.1833785004516724</v>
      </c>
      <c r="Q1263" s="16">
        <f t="shared" si="141"/>
        <v>47.052301153439615</v>
      </c>
      <c r="R1263" s="113">
        <f t="shared" si="137"/>
        <v>329.49099999999999</v>
      </c>
      <c r="S1263" s="16">
        <f>IF(S1262=15800,15800,ROUND((((Q1263*60)/'Gearing Calculator'!$C$14)*'Track Data'!P1263),-2))</f>
        <v>13100</v>
      </c>
      <c r="T1263" s="16">
        <f t="shared" si="139"/>
        <v>4.668899545953348</v>
      </c>
      <c r="U1263" s="16">
        <f>IF(AC1263=100,Braking!$AG$2354,IF(AC1263=50,Braking!$AG$1179,IF(AC1263=75,Braking!$AG$1767,0)))</f>
        <v>0</v>
      </c>
      <c r="V1263" s="16">
        <f>0.5*'Gearing Calculator'!$C$15*'Gearing Calculator'!$C$20*'Gearing Calculator'!$W$20*('Track Data'!Q1263^2)</f>
        <v>234.32119159938784</v>
      </c>
      <c r="W1263" s="16">
        <f>('Gearing Calculator'!$U$9*'Track Data'!T1263)+'Track Data'!V1263</f>
        <v>1477.1822507321692</v>
      </c>
      <c r="X1263" s="16">
        <f>('Gearing Calculator'!$U$9*9.81)*('Gearing Calculator'!$U$16/'Gearing Calculator'!$C$7)-(('Track Data'!W1263)*('Gearing Calculator'!$U$17/'Gearing Calculator'!$C$7))</f>
        <v>595.99709106053808</v>
      </c>
      <c r="Y1263" s="16">
        <f>('Gearing Calculator'!$U$9*9.81)*(('Gearing Calculator'!$C$7-'Gearing Calculator'!$U$16)/'Gearing Calculator'!$C$7)+(('Track Data'!W1263)*('Gearing Calculator'!$U$17/'Gearing Calculator'!$C$7))</f>
        <v>2015.4249089394621</v>
      </c>
      <c r="Z1263" s="16">
        <f>((X1263*COS('Gearing Calculator'!$C$21))/'Gearing Calculator'!$C$22)/2</f>
        <v>18.42634507739044</v>
      </c>
      <c r="AA1263" s="16">
        <f>Y1263/'Gearing Calculator'!$C$24</f>
        <v>28.142091557029477</v>
      </c>
      <c r="AB1263" s="16">
        <f t="shared" si="135"/>
        <v>252.99678978320122</v>
      </c>
      <c r="AC1263" s="16">
        <v>0</v>
      </c>
      <c r="AD1263" s="16">
        <v>0</v>
      </c>
      <c r="AE1263" s="16">
        <v>1260</v>
      </c>
      <c r="AF1263" s="16">
        <f>IF(AC1263=0,IF(O1263=6,INDEX(Acceleration!$V$4:$V$110,MATCH('Track Data'!S1263,Acceleration!$K$4:$K$110,0)),IF('Track Data'!O1263=5,INDEX(Acceleration!$U$4:$U$110,MATCH('Track Data'!S1263,Acceleration!$K$4:$K$110,0)),1)),U1263)</f>
        <v>1</v>
      </c>
      <c r="AG1263" s="16">
        <f>IF(AC1263=0,IF(O1263=4,INDEX(Acceleration!$T$4:$T$110,MATCH('Track Data'!S1263,Acceleration!$K$4:$K$110,0)),IF('Track Data'!O1263=3,INDEX(Acceleration!$S$4:$S$110,MATCH('Track Data'!S1263,Acceleration!$K$4:$K$110,0)),'Track Data'!AF1263)),'Track Data'!U1263)</f>
        <v>4.668899545953348</v>
      </c>
      <c r="AH1263" s="16">
        <f>IF(AC1263=0,IF(O1263=2,INDEX(Acceleration!$R$4:$R$110,MATCH('Track Data'!S1263,Acceleration!$K$4:$K$110,0)),IF('Track Data'!O1263=1,INDEX(Acceleration!$Q$4:$Q$110,MATCH('Track Data'!S1263,Acceleration!$K$4:$K$110,0)),'Track Data'!AG1263)),'Track Data'!U1263)</f>
        <v>4.668899545953348</v>
      </c>
    </row>
    <row r="1264" spans="2:34" x14ac:dyDescent="0.25">
      <c r="B1264" s="16">
        <v>230.95699999999999</v>
      </c>
      <c r="C1264" s="16">
        <v>8534</v>
      </c>
      <c r="D1264" s="16">
        <v>1261</v>
      </c>
      <c r="E1264" s="113">
        <v>156</v>
      </c>
      <c r="F1264" s="113">
        <v>154.9</v>
      </c>
      <c r="G1264" s="113">
        <v>153.19999999999999</v>
      </c>
      <c r="H1264" s="113">
        <f t="shared" si="138"/>
        <v>42.55555555555555</v>
      </c>
      <c r="I1264" s="113">
        <v>6.6</v>
      </c>
      <c r="J1264" s="113">
        <v>10.27</v>
      </c>
      <c r="K1264" s="113">
        <v>-15.5</v>
      </c>
      <c r="L1264" s="185"/>
      <c r="M1264" s="16">
        <v>1261</v>
      </c>
      <c r="N1264" s="16">
        <f t="shared" si="140"/>
        <v>2.1208266944895821E-2</v>
      </c>
      <c r="O1264" s="16">
        <v>4</v>
      </c>
      <c r="P1264" s="16">
        <f t="shared" si="136"/>
        <v>9.1833785004516724</v>
      </c>
      <c r="Q1264" s="16">
        <f t="shared" si="141"/>
        <v>47.151424611838415</v>
      </c>
      <c r="R1264" s="113">
        <f t="shared" si="137"/>
        <v>329.49099999999999</v>
      </c>
      <c r="S1264" s="16">
        <f>IF(S1263=15800,15800,ROUND((((Q1264*60)/'Gearing Calculator'!$C$14)*'Track Data'!P1264),-2))</f>
        <v>13100</v>
      </c>
      <c r="T1264" s="16">
        <f t="shared" si="139"/>
        <v>4.668899545953348</v>
      </c>
      <c r="U1264" s="16">
        <f>IF(AC1264=100,Braking!$AG$2354,IF(AC1264=50,Braking!$AG$1179,IF(AC1264=75,Braking!$AG$1767,0)))</f>
        <v>0</v>
      </c>
      <c r="V1264" s="16">
        <f>0.5*'Gearing Calculator'!$C$15*'Gearing Calculator'!$C$20*'Gearing Calculator'!$W$20*('Track Data'!Q1264^2)</f>
        <v>235.30950425527524</v>
      </c>
      <c r="W1264" s="16">
        <f>('Gearing Calculator'!$U$9*'Track Data'!T1264)+'Track Data'!V1264</f>
        <v>1478.1705633880565</v>
      </c>
      <c r="X1264" s="16">
        <f>('Gearing Calculator'!$U$9*9.81)*('Gearing Calculator'!$U$16/'Gearing Calculator'!$C$7)-(('Track Data'!W1264)*('Gearing Calculator'!$U$17/'Gearing Calculator'!$C$7))</f>
        <v>595.45839316751869</v>
      </c>
      <c r="Y1264" s="16">
        <f>('Gearing Calculator'!$U$9*9.81)*(('Gearing Calculator'!$C$7-'Gearing Calculator'!$U$16)/'Gearing Calculator'!$C$7)+(('Track Data'!W1264)*('Gearing Calculator'!$U$17/'Gearing Calculator'!$C$7))</f>
        <v>2015.9636068324812</v>
      </c>
      <c r="Z1264" s="16">
        <f>((X1264*COS('Gearing Calculator'!$C$21))/'Gearing Calculator'!$C$22)/2</f>
        <v>18.409690242294559</v>
      </c>
      <c r="AA1264" s="16">
        <f>Y1264/'Gearing Calculator'!$C$24</f>
        <v>28.149613586433638</v>
      </c>
      <c r="AB1264" s="16">
        <f t="shared" si="135"/>
        <v>253.98510243908862</v>
      </c>
      <c r="AC1264" s="16">
        <v>0</v>
      </c>
      <c r="AD1264" s="16">
        <v>0</v>
      </c>
      <c r="AE1264" s="16">
        <v>1261</v>
      </c>
      <c r="AF1264" s="16">
        <f>IF(AC1264=0,IF(O1264=6,INDEX(Acceleration!$V$4:$V$110,MATCH('Track Data'!S1264,Acceleration!$K$4:$K$110,0)),IF('Track Data'!O1264=5,INDEX(Acceleration!$U$4:$U$110,MATCH('Track Data'!S1264,Acceleration!$K$4:$K$110,0)),1)),U1264)</f>
        <v>1</v>
      </c>
      <c r="AG1264" s="16">
        <f>IF(AC1264=0,IF(O1264=4,INDEX(Acceleration!$T$4:$T$110,MATCH('Track Data'!S1264,Acceleration!$K$4:$K$110,0)),IF('Track Data'!O1264=3,INDEX(Acceleration!$S$4:$S$110,MATCH('Track Data'!S1264,Acceleration!$K$4:$K$110,0)),'Track Data'!AF1264)),'Track Data'!U1264)</f>
        <v>4.668899545953348</v>
      </c>
      <c r="AH1264" s="16">
        <f>IF(AC1264=0,IF(O1264=2,INDEX(Acceleration!$R$4:$R$110,MATCH('Track Data'!S1264,Acceleration!$K$4:$K$110,0)),IF('Track Data'!O1264=1,INDEX(Acceleration!$Q$4:$Q$110,MATCH('Track Data'!S1264,Acceleration!$K$4:$K$110,0)),'Track Data'!AG1264)),'Track Data'!U1264)</f>
        <v>4.668899545953348</v>
      </c>
    </row>
    <row r="1265" spans="2:34" x14ac:dyDescent="0.25">
      <c r="B1265" s="16">
        <v>230.98</v>
      </c>
      <c r="C1265" s="16">
        <v>8535</v>
      </c>
      <c r="D1265" s="16">
        <v>1262</v>
      </c>
      <c r="E1265" s="113">
        <v>157</v>
      </c>
      <c r="F1265" s="113">
        <v>155.19999999999999</v>
      </c>
      <c r="G1265" s="113">
        <v>153.69999999999999</v>
      </c>
      <c r="H1265" s="113">
        <f t="shared" si="138"/>
        <v>42.694444444444443</v>
      </c>
      <c r="I1265" s="113">
        <v>7.8</v>
      </c>
      <c r="J1265" s="113">
        <v>11.23</v>
      </c>
      <c r="K1265" s="113">
        <v>-15.4</v>
      </c>
      <c r="L1265" s="185"/>
      <c r="M1265" s="16">
        <v>1262</v>
      </c>
      <c r="N1265" s="16">
        <f t="shared" si="140"/>
        <v>2.1163868817334425E-2</v>
      </c>
      <c r="O1265" s="16">
        <v>4</v>
      </c>
      <c r="P1265" s="16">
        <f t="shared" si="136"/>
        <v>9.1833785004516724</v>
      </c>
      <c r="Q1265" s="16">
        <f t="shared" si="141"/>
        <v>47.250340125948171</v>
      </c>
      <c r="R1265" s="113">
        <f t="shared" si="137"/>
        <v>329.49099999999999</v>
      </c>
      <c r="S1265" s="16">
        <f>IF(S1264=15800,15800,ROUND((((Q1265*60)/'Gearing Calculator'!$C$14)*'Track Data'!P1265),-2))</f>
        <v>13200</v>
      </c>
      <c r="T1265" s="16">
        <f t="shared" si="139"/>
        <v>4.6205446580837366</v>
      </c>
      <c r="U1265" s="16">
        <f>IF(AC1265=100,Braking!$AG$2354,IF(AC1265=50,Braking!$AG$1179,IF(AC1265=75,Braking!$AG$1767,0)))</f>
        <v>0</v>
      </c>
      <c r="V1265" s="16">
        <f>0.5*'Gearing Calculator'!$C$15*'Gearing Calculator'!$C$20*'Gearing Calculator'!$W$20*('Track Data'!Q1265^2)</f>
        <v>236.29781691116264</v>
      </c>
      <c r="W1265" s="16">
        <f>('Gearing Calculator'!$U$9*'Track Data'!T1265)+'Track Data'!V1265</f>
        <v>1466.2868048930534</v>
      </c>
      <c r="X1265" s="16">
        <f>('Gearing Calculator'!$U$9*9.81)*('Gearing Calculator'!$U$16/'Gearing Calculator'!$C$7)-(('Track Data'!W1265)*('Gearing Calculator'!$U$17/'Gearing Calculator'!$C$7))</f>
        <v>601.93585313352685</v>
      </c>
      <c r="Y1265" s="16">
        <f>('Gearing Calculator'!$U$9*9.81)*(('Gearing Calculator'!$C$7-'Gearing Calculator'!$U$16)/'Gearing Calculator'!$C$7)+(('Track Data'!W1265)*('Gearing Calculator'!$U$17/'Gearing Calculator'!$C$7))</f>
        <v>2009.4861468664731</v>
      </c>
      <c r="Z1265" s="16">
        <f>((X1265*COS('Gearing Calculator'!$C$21))/'Gearing Calculator'!$C$22)/2</f>
        <v>18.609952817983075</v>
      </c>
      <c r="AA1265" s="16">
        <f>Y1265/'Gearing Calculator'!$C$24</f>
        <v>28.059166519608254</v>
      </c>
      <c r="AB1265" s="16">
        <f t="shared" si="135"/>
        <v>254.77999554349759</v>
      </c>
      <c r="AC1265" s="16">
        <v>0</v>
      </c>
      <c r="AD1265" s="16">
        <v>0</v>
      </c>
      <c r="AE1265" s="16">
        <v>1262</v>
      </c>
      <c r="AF1265" s="16">
        <f>IF(AC1265=0,IF(O1265=6,INDEX(Acceleration!$V$4:$V$110,MATCH('Track Data'!S1265,Acceleration!$K$4:$K$110,0)),IF('Track Data'!O1265=5,INDEX(Acceleration!$U$4:$U$110,MATCH('Track Data'!S1265,Acceleration!$K$4:$K$110,0)),1)),U1265)</f>
        <v>1</v>
      </c>
      <c r="AG1265" s="16">
        <f>IF(AC1265=0,IF(O1265=4,INDEX(Acceleration!$T$4:$T$110,MATCH('Track Data'!S1265,Acceleration!$K$4:$K$110,0)),IF('Track Data'!O1265=3,INDEX(Acceleration!$S$4:$S$110,MATCH('Track Data'!S1265,Acceleration!$K$4:$K$110,0)),'Track Data'!AF1265)),'Track Data'!U1265)</f>
        <v>4.6205446580837366</v>
      </c>
      <c r="AH1265" s="16">
        <f>IF(AC1265=0,IF(O1265=2,INDEX(Acceleration!$R$4:$R$110,MATCH('Track Data'!S1265,Acceleration!$K$4:$K$110,0)),IF('Track Data'!O1265=1,INDEX(Acceleration!$Q$4:$Q$110,MATCH('Track Data'!S1265,Acceleration!$K$4:$K$110,0)),'Track Data'!AG1265)),'Track Data'!U1265)</f>
        <v>4.6205446580837366</v>
      </c>
    </row>
    <row r="1266" spans="2:34" x14ac:dyDescent="0.25">
      <c r="B1266" s="16">
        <v>231.00299999999999</v>
      </c>
      <c r="C1266" s="16">
        <v>8536</v>
      </c>
      <c r="D1266" s="16">
        <v>1263</v>
      </c>
      <c r="E1266" s="113">
        <v>157</v>
      </c>
      <c r="F1266" s="113">
        <v>155.19999999999999</v>
      </c>
      <c r="G1266" s="113">
        <v>154</v>
      </c>
      <c r="H1266" s="113">
        <f t="shared" si="138"/>
        <v>42.777777777777779</v>
      </c>
      <c r="I1266" s="113">
        <v>8</v>
      </c>
      <c r="J1266" s="113">
        <v>11.9</v>
      </c>
      <c r="K1266" s="113">
        <v>-15.4</v>
      </c>
      <c r="L1266" s="185"/>
      <c r="M1266" s="16">
        <v>1263</v>
      </c>
      <c r="N1266" s="16">
        <f t="shared" si="140"/>
        <v>2.1120203895023629E-2</v>
      </c>
      <c r="O1266" s="16">
        <v>4</v>
      </c>
      <c r="P1266" s="16">
        <f t="shared" si="136"/>
        <v>9.1833785004516724</v>
      </c>
      <c r="Q1266" s="16">
        <f t="shared" si="141"/>
        <v>47.348027744922547</v>
      </c>
      <c r="R1266" s="113">
        <f t="shared" si="137"/>
        <v>329.49099999999999</v>
      </c>
      <c r="S1266" s="16">
        <f>IF(S1265=15800,15800,ROUND((((Q1266*60)/'Gearing Calculator'!$C$14)*'Track Data'!P1266),-2))</f>
        <v>13200</v>
      </c>
      <c r="T1266" s="16">
        <f t="shared" si="139"/>
        <v>4.6205446580837366</v>
      </c>
      <c r="U1266" s="16">
        <f>IF(AC1266=100,Braking!$AG$2354,IF(AC1266=50,Braking!$AG$1179,IF(AC1266=75,Braking!$AG$1767,0)))</f>
        <v>0</v>
      </c>
      <c r="V1266" s="16">
        <f>0.5*'Gearing Calculator'!$C$15*'Gearing Calculator'!$C$20*'Gearing Calculator'!$W$20*('Track Data'!Q1266^2)</f>
        <v>237.27589380438579</v>
      </c>
      <c r="W1266" s="16">
        <f>('Gearing Calculator'!$U$9*'Track Data'!T1266)+'Track Data'!V1266</f>
        <v>1467.2648817862764</v>
      </c>
      <c r="X1266" s="16">
        <f>('Gearing Calculator'!$U$9*9.81)*('Gearing Calculator'!$U$16/'Gearing Calculator'!$C$7)-(('Track Data'!W1266)*('Gearing Calculator'!$U$17/'Gearing Calculator'!$C$7))</f>
        <v>601.40273443019794</v>
      </c>
      <c r="Y1266" s="16">
        <f>('Gearing Calculator'!$U$9*9.81)*(('Gearing Calculator'!$C$7-'Gearing Calculator'!$U$16)/'Gearing Calculator'!$C$7)+(('Track Data'!W1266)*('Gearing Calculator'!$U$17/'Gearing Calculator'!$C$7))</f>
        <v>2010.019265569802</v>
      </c>
      <c r="Z1266" s="16">
        <f>((X1266*COS('Gearing Calculator'!$C$21))/'Gearing Calculator'!$C$22)/2</f>
        <v>18.593470473786951</v>
      </c>
      <c r="AA1266" s="16">
        <f>Y1266/'Gearing Calculator'!$C$24</f>
        <v>28.06661064481148</v>
      </c>
      <c r="AB1266" s="16">
        <f t="shared" si="135"/>
        <v>255.75807243672074</v>
      </c>
      <c r="AC1266" s="16">
        <v>0</v>
      </c>
      <c r="AD1266" s="16">
        <v>0</v>
      </c>
      <c r="AE1266" s="16">
        <v>1263</v>
      </c>
      <c r="AF1266" s="16">
        <f>IF(AC1266=0,IF(O1266=6,INDEX(Acceleration!$V$4:$V$110,MATCH('Track Data'!S1266,Acceleration!$K$4:$K$110,0)),IF('Track Data'!O1266=5,INDEX(Acceleration!$U$4:$U$110,MATCH('Track Data'!S1266,Acceleration!$K$4:$K$110,0)),1)),U1266)</f>
        <v>1</v>
      </c>
      <c r="AG1266" s="16">
        <f>IF(AC1266=0,IF(O1266=4,INDEX(Acceleration!$T$4:$T$110,MATCH('Track Data'!S1266,Acceleration!$K$4:$K$110,0)),IF('Track Data'!O1266=3,INDEX(Acceleration!$S$4:$S$110,MATCH('Track Data'!S1266,Acceleration!$K$4:$K$110,0)),'Track Data'!AF1266)),'Track Data'!U1266)</f>
        <v>4.6205446580837366</v>
      </c>
      <c r="AH1266" s="16">
        <f>IF(AC1266=0,IF(O1266=2,INDEX(Acceleration!$R$4:$R$110,MATCH('Track Data'!S1266,Acceleration!$K$4:$K$110,0)),IF('Track Data'!O1266=1,INDEX(Acceleration!$Q$4:$Q$110,MATCH('Track Data'!S1266,Acceleration!$K$4:$K$110,0)),'Track Data'!AG1266)),'Track Data'!U1266)</f>
        <v>4.6205446580837366</v>
      </c>
    </row>
    <row r="1267" spans="2:34" x14ac:dyDescent="0.25">
      <c r="B1267" s="16">
        <v>231.02600000000001</v>
      </c>
      <c r="C1267" s="16">
        <v>8537</v>
      </c>
      <c r="D1267" s="16">
        <v>1264</v>
      </c>
      <c r="E1267" s="113">
        <v>158</v>
      </c>
      <c r="F1267" s="113">
        <v>155.19999999999999</v>
      </c>
      <c r="G1267" s="113">
        <v>154.30000000000001</v>
      </c>
      <c r="H1267" s="113">
        <f t="shared" si="138"/>
        <v>42.861111111111114</v>
      </c>
      <c r="I1267" s="113">
        <v>7.9</v>
      </c>
      <c r="J1267" s="113">
        <v>11.79</v>
      </c>
      <c r="K1267" s="113">
        <v>-15.4</v>
      </c>
      <c r="L1267" s="185"/>
      <c r="M1267" s="16">
        <v>1264</v>
      </c>
      <c r="N1267" s="16">
        <f t="shared" si="140"/>
        <v>2.1076808128370213E-2</v>
      </c>
      <c r="O1267" s="16">
        <v>4</v>
      </c>
      <c r="P1267" s="16">
        <f t="shared" si="136"/>
        <v>9.1833785004516724</v>
      </c>
      <c r="Q1267" s="16">
        <f t="shared" si="141"/>
        <v>47.445514231064273</v>
      </c>
      <c r="R1267" s="113">
        <f t="shared" si="137"/>
        <v>329.49099999999999</v>
      </c>
      <c r="S1267" s="16">
        <f>IF(S1266=15800,15800,ROUND((((Q1267*60)/'Gearing Calculator'!$C$14)*'Track Data'!P1267),-2))</f>
        <v>13200</v>
      </c>
      <c r="T1267" s="16">
        <f t="shared" si="139"/>
        <v>4.6205446580837366</v>
      </c>
      <c r="U1267" s="16">
        <f>IF(AC1267=100,Braking!$AG$2354,IF(AC1267=50,Braking!$AG$1179,IF(AC1267=75,Braking!$AG$1767,0)))</f>
        <v>0</v>
      </c>
      <c r="V1267" s="16">
        <f>0.5*'Gearing Calculator'!$C$15*'Gearing Calculator'!$C$20*'Gearing Calculator'!$W$20*('Track Data'!Q1267^2)</f>
        <v>238.25397069760893</v>
      </c>
      <c r="W1267" s="16">
        <f>('Gearing Calculator'!$U$9*'Track Data'!T1267)+'Track Data'!V1267</f>
        <v>1468.2429586794997</v>
      </c>
      <c r="X1267" s="16">
        <f>('Gearing Calculator'!$U$9*9.81)*('Gearing Calculator'!$U$16/'Gearing Calculator'!$C$7)-(('Track Data'!W1267)*('Gearing Calculator'!$U$17/'Gearing Calculator'!$C$7))</f>
        <v>600.86961572686891</v>
      </c>
      <c r="Y1267" s="16">
        <f>('Gearing Calculator'!$U$9*9.81)*(('Gearing Calculator'!$C$7-'Gearing Calculator'!$U$16)/'Gearing Calculator'!$C$7)+(('Track Data'!W1267)*('Gearing Calculator'!$U$17/'Gearing Calculator'!$C$7))</f>
        <v>2010.5523842731311</v>
      </c>
      <c r="Z1267" s="16">
        <f>((X1267*COS('Gearing Calculator'!$C$21))/'Gearing Calculator'!$C$22)/2</f>
        <v>18.57698812959082</v>
      </c>
      <c r="AA1267" s="16">
        <f>Y1267/'Gearing Calculator'!$C$24</f>
        <v>28.074054770014708</v>
      </c>
      <c r="AB1267" s="16">
        <f t="shared" si="135"/>
        <v>256.73614932994388</v>
      </c>
      <c r="AC1267" s="16">
        <v>0</v>
      </c>
      <c r="AD1267" s="16">
        <v>0</v>
      </c>
      <c r="AE1267" s="16">
        <v>1264</v>
      </c>
      <c r="AF1267" s="16">
        <f>IF(AC1267=0,IF(O1267=6,INDEX(Acceleration!$V$4:$V$110,MATCH('Track Data'!S1267,Acceleration!$K$4:$K$110,0)),IF('Track Data'!O1267=5,INDEX(Acceleration!$U$4:$U$110,MATCH('Track Data'!S1267,Acceleration!$K$4:$K$110,0)),1)),U1267)</f>
        <v>1</v>
      </c>
      <c r="AG1267" s="16">
        <f>IF(AC1267=0,IF(O1267=4,INDEX(Acceleration!$T$4:$T$110,MATCH('Track Data'!S1267,Acceleration!$K$4:$K$110,0)),IF('Track Data'!O1267=3,INDEX(Acceleration!$S$4:$S$110,MATCH('Track Data'!S1267,Acceleration!$K$4:$K$110,0)),'Track Data'!AF1267)),'Track Data'!U1267)</f>
        <v>4.6205446580837366</v>
      </c>
      <c r="AH1267" s="16">
        <f>IF(AC1267=0,IF(O1267=2,INDEX(Acceleration!$R$4:$R$110,MATCH('Track Data'!S1267,Acceleration!$K$4:$K$110,0)),IF('Track Data'!O1267=1,INDEX(Acceleration!$Q$4:$Q$110,MATCH('Track Data'!S1267,Acceleration!$K$4:$K$110,0)),'Track Data'!AG1267)),'Track Data'!U1267)</f>
        <v>4.6205446580837366</v>
      </c>
    </row>
    <row r="1268" spans="2:34" x14ac:dyDescent="0.25">
      <c r="B1268" s="16">
        <v>231.04900000000001</v>
      </c>
      <c r="C1268" s="16">
        <v>8538</v>
      </c>
      <c r="D1268" s="16">
        <v>1265</v>
      </c>
      <c r="E1268" s="113">
        <v>158</v>
      </c>
      <c r="F1268" s="113">
        <v>155.30000000000001</v>
      </c>
      <c r="G1268" s="113">
        <v>154.6</v>
      </c>
      <c r="H1268" s="113">
        <f t="shared" si="138"/>
        <v>42.944444444444443</v>
      </c>
      <c r="I1268" s="113">
        <v>7.2</v>
      </c>
      <c r="J1268" s="113">
        <v>9.76</v>
      </c>
      <c r="K1268" s="113">
        <v>-15.3</v>
      </c>
      <c r="L1268" s="185"/>
      <c r="M1268" s="16">
        <v>1265</v>
      </c>
      <c r="N1268" s="16">
        <f t="shared" si="140"/>
        <v>2.1033678763511057E-2</v>
      </c>
      <c r="O1268" s="16">
        <v>4</v>
      </c>
      <c r="P1268" s="16">
        <f t="shared" si="136"/>
        <v>9.1833785004516724</v>
      </c>
      <c r="Q1268" s="16">
        <f t="shared" si="141"/>
        <v>47.542800821641649</v>
      </c>
      <c r="R1268" s="113">
        <f t="shared" si="137"/>
        <v>329.49099999999999</v>
      </c>
      <c r="S1268" s="16">
        <f>IF(S1267=15800,15800,ROUND((((Q1268*60)/'Gearing Calculator'!$C$14)*'Track Data'!P1268),-2))</f>
        <v>13200</v>
      </c>
      <c r="T1268" s="16">
        <f t="shared" si="139"/>
        <v>4.6205446580837366</v>
      </c>
      <c r="U1268" s="16">
        <f>IF(AC1268=100,Braking!$AG$2354,IF(AC1268=50,Braking!$AG$1179,IF(AC1268=75,Braking!$AG$1767,0)))</f>
        <v>0</v>
      </c>
      <c r="V1268" s="16">
        <f>0.5*'Gearing Calculator'!$C$15*'Gearing Calculator'!$C$20*'Gearing Calculator'!$W$20*('Track Data'!Q1268^2)</f>
        <v>239.23204759083208</v>
      </c>
      <c r="W1268" s="16">
        <f>('Gearing Calculator'!$U$9*'Track Data'!T1268)+'Track Data'!V1268</f>
        <v>1469.2210355727227</v>
      </c>
      <c r="X1268" s="16">
        <f>('Gearing Calculator'!$U$9*9.81)*('Gearing Calculator'!$U$16/'Gearing Calculator'!$C$7)-(('Track Data'!W1268)*('Gearing Calculator'!$U$17/'Gearing Calculator'!$C$7))</f>
        <v>600.33649702354001</v>
      </c>
      <c r="Y1268" s="16">
        <f>('Gearing Calculator'!$U$9*9.81)*(('Gearing Calculator'!$C$7-'Gearing Calculator'!$U$16)/'Gearing Calculator'!$C$7)+(('Track Data'!W1268)*('Gearing Calculator'!$U$17/'Gearing Calculator'!$C$7))</f>
        <v>2011.08550297646</v>
      </c>
      <c r="Z1268" s="16">
        <f>((X1268*COS('Gearing Calculator'!$C$21))/'Gearing Calculator'!$C$22)/2</f>
        <v>18.560505785394696</v>
      </c>
      <c r="AA1268" s="16">
        <f>Y1268/'Gearing Calculator'!$C$24</f>
        <v>28.081498895217937</v>
      </c>
      <c r="AB1268" s="16">
        <f t="shared" si="135"/>
        <v>257.71422622316703</v>
      </c>
      <c r="AC1268" s="16">
        <v>0</v>
      </c>
      <c r="AD1268" s="16">
        <v>0</v>
      </c>
      <c r="AE1268" s="16">
        <v>1265</v>
      </c>
      <c r="AF1268" s="16">
        <f>IF(AC1268=0,IF(O1268=6,INDEX(Acceleration!$V$4:$V$110,MATCH('Track Data'!S1268,Acceleration!$K$4:$K$110,0)),IF('Track Data'!O1268=5,INDEX(Acceleration!$U$4:$U$110,MATCH('Track Data'!S1268,Acceleration!$K$4:$K$110,0)),1)),U1268)</f>
        <v>1</v>
      </c>
      <c r="AG1268" s="16">
        <f>IF(AC1268=0,IF(O1268=4,INDEX(Acceleration!$T$4:$T$110,MATCH('Track Data'!S1268,Acceleration!$K$4:$K$110,0)),IF('Track Data'!O1268=3,INDEX(Acceleration!$S$4:$S$110,MATCH('Track Data'!S1268,Acceleration!$K$4:$K$110,0)),'Track Data'!AF1268)),'Track Data'!U1268)</f>
        <v>4.6205446580837366</v>
      </c>
      <c r="AH1268" s="16">
        <f>IF(AC1268=0,IF(O1268=2,INDEX(Acceleration!$R$4:$R$110,MATCH('Track Data'!S1268,Acceleration!$K$4:$K$110,0)),IF('Track Data'!O1268=1,INDEX(Acceleration!$Q$4:$Q$110,MATCH('Track Data'!S1268,Acceleration!$K$4:$K$110,0)),'Track Data'!AG1268)),'Track Data'!U1268)</f>
        <v>4.6205446580837366</v>
      </c>
    </row>
    <row r="1269" spans="2:34" x14ac:dyDescent="0.25">
      <c r="B1269" s="16">
        <v>231.072</v>
      </c>
      <c r="C1269" s="16">
        <v>8539</v>
      </c>
      <c r="D1269" s="16">
        <v>1266</v>
      </c>
      <c r="E1269" s="113">
        <v>159</v>
      </c>
      <c r="F1269" s="113">
        <v>155.9</v>
      </c>
      <c r="G1269" s="113">
        <v>155.19999999999999</v>
      </c>
      <c r="H1269" s="113">
        <f t="shared" si="138"/>
        <v>43.111111111111107</v>
      </c>
      <c r="I1269" s="113">
        <v>4.9000000000000004</v>
      </c>
      <c r="J1269" s="113">
        <v>8.14</v>
      </c>
      <c r="K1269" s="113">
        <v>-14.1</v>
      </c>
      <c r="L1269" s="185"/>
      <c r="M1269" s="16">
        <v>1266</v>
      </c>
      <c r="N1269" s="16">
        <f t="shared" si="140"/>
        <v>2.0990813085868868E-2</v>
      </c>
      <c r="O1269" s="16">
        <v>4</v>
      </c>
      <c r="P1269" s="16">
        <f t="shared" si="136"/>
        <v>9.1833785004516724</v>
      </c>
      <c r="Q1269" s="16">
        <f t="shared" si="141"/>
        <v>47.63988874128966</v>
      </c>
      <c r="R1269" s="113">
        <f t="shared" si="137"/>
        <v>329.49099999999999</v>
      </c>
      <c r="S1269" s="16">
        <f>IF(S1268=15800,15800,ROUND((((Q1269*60)/'Gearing Calculator'!$C$14)*'Track Data'!P1269),-2))</f>
        <v>13300</v>
      </c>
      <c r="T1269" s="16">
        <f t="shared" si="139"/>
        <v>4.5727201699956463</v>
      </c>
      <c r="U1269" s="16">
        <f>IF(AC1269=100,Braking!$AG$2354,IF(AC1269=50,Braking!$AG$1179,IF(AC1269=75,Braking!$AG$1767,0)))</f>
        <v>0</v>
      </c>
      <c r="V1269" s="16">
        <f>0.5*'Gearing Calculator'!$C$15*'Gearing Calculator'!$C$20*'Gearing Calculator'!$W$20*('Track Data'!Q1269^2)</f>
        <v>240.21012448405523</v>
      </c>
      <c r="W1269" s="16">
        <f>('Gearing Calculator'!$U$9*'Track Data'!T1269)+'Track Data'!V1269</f>
        <v>1457.4682337368963</v>
      </c>
      <c r="X1269" s="16">
        <f>('Gearing Calculator'!$U$9*9.81)*('Gearing Calculator'!$U$16/'Gearing Calculator'!$C$7)-(('Track Data'!W1269)*('Gearing Calculator'!$U$17/'Gearing Calculator'!$C$7))</f>
        <v>606.74257666677761</v>
      </c>
      <c r="Y1269" s="16">
        <f>('Gearing Calculator'!$U$9*9.81)*(('Gearing Calculator'!$C$7-'Gearing Calculator'!$U$16)/'Gearing Calculator'!$C$7)+(('Track Data'!W1269)*('Gearing Calculator'!$U$17/'Gearing Calculator'!$C$7))</f>
        <v>2004.6794233332225</v>
      </c>
      <c r="Z1269" s="16">
        <f>((X1269*COS('Gearing Calculator'!$C$21))/'Gearing Calculator'!$C$22)/2</f>
        <v>18.758561507259877</v>
      </c>
      <c r="AA1269" s="16">
        <f>Y1269/'Gearing Calculator'!$C$24</f>
        <v>27.992048537111327</v>
      </c>
      <c r="AB1269" s="16">
        <f t="shared" si="135"/>
        <v>258.50100516403779</v>
      </c>
      <c r="AC1269" s="16">
        <v>0</v>
      </c>
      <c r="AD1269" s="16">
        <v>0</v>
      </c>
      <c r="AE1269" s="16">
        <v>1266</v>
      </c>
      <c r="AF1269" s="16">
        <f>IF(AC1269=0,IF(O1269=6,INDEX(Acceleration!$V$4:$V$110,MATCH('Track Data'!S1269,Acceleration!$K$4:$K$110,0)),IF('Track Data'!O1269=5,INDEX(Acceleration!$U$4:$U$110,MATCH('Track Data'!S1269,Acceleration!$K$4:$K$110,0)),1)),U1269)</f>
        <v>1</v>
      </c>
      <c r="AG1269" s="16">
        <f>IF(AC1269=0,IF(O1269=4,INDEX(Acceleration!$T$4:$T$110,MATCH('Track Data'!S1269,Acceleration!$K$4:$K$110,0)),IF('Track Data'!O1269=3,INDEX(Acceleration!$S$4:$S$110,MATCH('Track Data'!S1269,Acceleration!$K$4:$K$110,0)),'Track Data'!AF1269)),'Track Data'!U1269)</f>
        <v>4.5727201699956463</v>
      </c>
      <c r="AH1269" s="16">
        <f>IF(AC1269=0,IF(O1269=2,INDEX(Acceleration!$R$4:$R$110,MATCH('Track Data'!S1269,Acceleration!$K$4:$K$110,0)),IF('Track Data'!O1269=1,INDEX(Acceleration!$Q$4:$Q$110,MATCH('Track Data'!S1269,Acceleration!$K$4:$K$110,0)),'Track Data'!AG1269)),'Track Data'!U1269)</f>
        <v>4.5727201699956463</v>
      </c>
    </row>
    <row r="1270" spans="2:34" x14ac:dyDescent="0.25">
      <c r="B1270" s="16">
        <v>231.096</v>
      </c>
      <c r="C1270" s="16">
        <v>8540</v>
      </c>
      <c r="D1270" s="16">
        <v>1267</v>
      </c>
      <c r="E1270" s="113">
        <v>159</v>
      </c>
      <c r="F1270" s="113">
        <v>156</v>
      </c>
      <c r="G1270" s="113">
        <v>155.5</v>
      </c>
      <c r="H1270" s="113">
        <f t="shared" si="138"/>
        <v>43.194444444444443</v>
      </c>
      <c r="I1270" s="113">
        <v>3.1</v>
      </c>
      <c r="J1270" s="113">
        <v>7.99</v>
      </c>
      <c r="K1270" s="113">
        <v>-13.3</v>
      </c>
      <c r="L1270" s="185"/>
      <c r="M1270" s="16">
        <v>1267</v>
      </c>
      <c r="N1270" s="16">
        <f t="shared" si="140"/>
        <v>2.0948648066987648E-2</v>
      </c>
      <c r="O1270" s="16">
        <v>4</v>
      </c>
      <c r="P1270" s="16">
        <f t="shared" si="136"/>
        <v>9.1833785004516724</v>
      </c>
      <c r="Q1270" s="16">
        <f t="shared" si="141"/>
        <v>47.735777354332967</v>
      </c>
      <c r="R1270" s="113">
        <f t="shared" si="137"/>
        <v>329.49099999999999</v>
      </c>
      <c r="S1270" s="16">
        <f>IF(S1269=15800,15800,ROUND((((Q1270*60)/'Gearing Calculator'!$C$14)*'Track Data'!P1270),-2))</f>
        <v>13300</v>
      </c>
      <c r="T1270" s="16">
        <f t="shared" si="139"/>
        <v>4.5727201699956463</v>
      </c>
      <c r="U1270" s="16">
        <f>IF(AC1270=100,Braking!$AG$2354,IF(AC1270=50,Braking!$AG$1179,IF(AC1270=75,Braking!$AG$1767,0)))</f>
        <v>0</v>
      </c>
      <c r="V1270" s="16">
        <f>0.5*'Gearing Calculator'!$C$15*'Gearing Calculator'!$C$20*'Gearing Calculator'!$W$20*('Track Data'!Q1270^2)</f>
        <v>241.17807788963989</v>
      </c>
      <c r="W1270" s="16">
        <f>('Gearing Calculator'!$U$9*'Track Data'!T1270)+'Track Data'!V1270</f>
        <v>1458.4361871424808</v>
      </c>
      <c r="X1270" s="16">
        <f>('Gearing Calculator'!$U$9*9.81)*('Gearing Calculator'!$U$16/'Gearing Calculator'!$C$7)-(('Track Data'!W1270)*('Gearing Calculator'!$U$17/'Gearing Calculator'!$C$7))</f>
        <v>606.21497595558253</v>
      </c>
      <c r="Y1270" s="16">
        <f>('Gearing Calculator'!$U$9*9.81)*(('Gearing Calculator'!$C$7-'Gearing Calculator'!$U$16)/'Gearing Calculator'!$C$7)+(('Track Data'!W1270)*('Gearing Calculator'!$U$17/'Gearing Calculator'!$C$7))</f>
        <v>2005.2070240444175</v>
      </c>
      <c r="Z1270" s="16">
        <f>((X1270*COS('Gearing Calculator'!$C$21))/'Gearing Calculator'!$C$22)/2</f>
        <v>18.742249761928608</v>
      </c>
      <c r="AA1270" s="16">
        <f>Y1270/'Gearing Calculator'!$C$24</f>
        <v>27.999415612636763</v>
      </c>
      <c r="AB1270" s="16">
        <f t="shared" ref="AB1270:AB1333" si="142">(T1270*O1270)+V1270</f>
        <v>259.46895856962249</v>
      </c>
      <c r="AC1270" s="16">
        <v>0</v>
      </c>
      <c r="AD1270" s="16">
        <v>0</v>
      </c>
      <c r="AE1270" s="16">
        <v>1267</v>
      </c>
      <c r="AF1270" s="16">
        <f>IF(AC1270=0,IF(O1270=6,INDEX(Acceleration!$V$4:$V$110,MATCH('Track Data'!S1270,Acceleration!$K$4:$K$110,0)),IF('Track Data'!O1270=5,INDEX(Acceleration!$U$4:$U$110,MATCH('Track Data'!S1270,Acceleration!$K$4:$K$110,0)),1)),U1270)</f>
        <v>1</v>
      </c>
      <c r="AG1270" s="16">
        <f>IF(AC1270=0,IF(O1270=4,INDEX(Acceleration!$T$4:$T$110,MATCH('Track Data'!S1270,Acceleration!$K$4:$K$110,0)),IF('Track Data'!O1270=3,INDEX(Acceleration!$S$4:$S$110,MATCH('Track Data'!S1270,Acceleration!$K$4:$K$110,0)),'Track Data'!AF1270)),'Track Data'!U1270)</f>
        <v>4.5727201699956463</v>
      </c>
      <c r="AH1270" s="16">
        <f>IF(AC1270=0,IF(O1270=2,INDEX(Acceleration!$R$4:$R$110,MATCH('Track Data'!S1270,Acceleration!$K$4:$K$110,0)),IF('Track Data'!O1270=1,INDEX(Acceleration!$Q$4:$Q$110,MATCH('Track Data'!S1270,Acceleration!$K$4:$K$110,0)),'Track Data'!AG1270)),'Track Data'!U1270)</f>
        <v>4.5727201699956463</v>
      </c>
    </row>
    <row r="1271" spans="2:34" x14ac:dyDescent="0.25">
      <c r="B1271" s="16">
        <v>231.119</v>
      </c>
      <c r="C1271" s="16">
        <v>8541</v>
      </c>
      <c r="D1271" s="16">
        <v>1268</v>
      </c>
      <c r="E1271" s="113">
        <v>160</v>
      </c>
      <c r="F1271" s="113">
        <v>156.1</v>
      </c>
      <c r="G1271" s="113">
        <v>155.9</v>
      </c>
      <c r="H1271" s="113">
        <f t="shared" si="138"/>
        <v>43.305555555555557</v>
      </c>
      <c r="I1271" s="113">
        <v>2</v>
      </c>
      <c r="J1271" s="113">
        <v>7.34</v>
      </c>
      <c r="K1271" s="113">
        <v>-12.7</v>
      </c>
      <c r="L1271" s="185"/>
      <c r="M1271" s="16">
        <v>1268</v>
      </c>
      <c r="N1271" s="16">
        <f t="shared" si="140"/>
        <v>2.0906736126815244E-2</v>
      </c>
      <c r="O1271" s="16">
        <v>4</v>
      </c>
      <c r="P1271" s="16">
        <f t="shared" si="136"/>
        <v>9.1833785004516724</v>
      </c>
      <c r="Q1271" s="16">
        <f t="shared" si="141"/>
        <v>47.831473738140659</v>
      </c>
      <c r="R1271" s="113">
        <f t="shared" si="137"/>
        <v>329.49099999999999</v>
      </c>
      <c r="S1271" s="16">
        <f>IF(S1270=15800,15800,ROUND((((Q1271*60)/'Gearing Calculator'!$C$14)*'Track Data'!P1271),-2))</f>
        <v>13300</v>
      </c>
      <c r="T1271" s="16">
        <f t="shared" si="139"/>
        <v>4.5727201699956463</v>
      </c>
      <c r="U1271" s="16">
        <f>IF(AC1271=100,Braking!$AG$2354,IF(AC1271=50,Braking!$AG$1179,IF(AC1271=75,Braking!$AG$1767,0)))</f>
        <v>0</v>
      </c>
      <c r="V1271" s="16">
        <f>0.5*'Gearing Calculator'!$C$15*'Gearing Calculator'!$C$20*'Gearing Calculator'!$W$20*('Track Data'!Q1271^2)</f>
        <v>242.14603129522456</v>
      </c>
      <c r="W1271" s="16">
        <f>('Gearing Calculator'!$U$9*'Track Data'!T1271)+'Track Data'!V1271</f>
        <v>1459.4041405480655</v>
      </c>
      <c r="X1271" s="16">
        <f>('Gearing Calculator'!$U$9*9.81)*('Gearing Calculator'!$U$16/'Gearing Calculator'!$C$7)-(('Track Data'!W1271)*('Gearing Calculator'!$U$17/'Gearing Calculator'!$C$7))</f>
        <v>605.68737524438723</v>
      </c>
      <c r="Y1271" s="16">
        <f>('Gearing Calculator'!$U$9*9.81)*(('Gearing Calculator'!$C$7-'Gearing Calculator'!$U$16)/'Gearing Calculator'!$C$7)+(('Track Data'!W1271)*('Gearing Calculator'!$U$17/'Gearing Calculator'!$C$7))</f>
        <v>2005.7346247556129</v>
      </c>
      <c r="Z1271" s="16">
        <f>((X1271*COS('Gearing Calculator'!$C$21))/'Gearing Calculator'!$C$22)/2</f>
        <v>18.725938016597329</v>
      </c>
      <c r="AA1271" s="16">
        <f>Y1271/'Gearing Calculator'!$C$24</f>
        <v>28.006782688162208</v>
      </c>
      <c r="AB1271" s="16">
        <f t="shared" si="142"/>
        <v>260.43691197520712</v>
      </c>
      <c r="AC1271" s="16">
        <v>0</v>
      </c>
      <c r="AD1271" s="16">
        <v>0</v>
      </c>
      <c r="AE1271" s="16">
        <v>1268</v>
      </c>
      <c r="AF1271" s="16">
        <f>IF(AC1271=0,IF(O1271=6,INDEX(Acceleration!$V$4:$V$110,MATCH('Track Data'!S1271,Acceleration!$K$4:$K$110,0)),IF('Track Data'!O1271=5,INDEX(Acceleration!$U$4:$U$110,MATCH('Track Data'!S1271,Acceleration!$K$4:$K$110,0)),1)),U1271)</f>
        <v>1</v>
      </c>
      <c r="AG1271" s="16">
        <f>IF(AC1271=0,IF(O1271=4,INDEX(Acceleration!$T$4:$T$110,MATCH('Track Data'!S1271,Acceleration!$K$4:$K$110,0)),IF('Track Data'!O1271=3,INDEX(Acceleration!$S$4:$S$110,MATCH('Track Data'!S1271,Acceleration!$K$4:$K$110,0)),'Track Data'!AF1271)),'Track Data'!U1271)</f>
        <v>4.5727201699956463</v>
      </c>
      <c r="AH1271" s="16">
        <f>IF(AC1271=0,IF(O1271=2,INDEX(Acceleration!$R$4:$R$110,MATCH('Track Data'!S1271,Acceleration!$K$4:$K$110,0)),IF('Track Data'!O1271=1,INDEX(Acceleration!$Q$4:$Q$110,MATCH('Track Data'!S1271,Acceleration!$K$4:$K$110,0)),'Track Data'!AG1271)),'Track Data'!U1271)</f>
        <v>4.5727201699956463</v>
      </c>
    </row>
    <row r="1272" spans="2:34" x14ac:dyDescent="0.25">
      <c r="B1272" s="16">
        <v>231.142</v>
      </c>
      <c r="C1272" s="16">
        <v>8542</v>
      </c>
      <c r="D1272" s="16">
        <v>1269</v>
      </c>
      <c r="E1272" s="113">
        <v>161</v>
      </c>
      <c r="F1272" s="113">
        <v>156.5</v>
      </c>
      <c r="G1272" s="113">
        <v>156.4</v>
      </c>
      <c r="H1272" s="113">
        <f t="shared" si="138"/>
        <v>43.444444444444443</v>
      </c>
      <c r="I1272" s="113">
        <v>1.1000000000000001</v>
      </c>
      <c r="J1272" s="113">
        <v>5.41</v>
      </c>
      <c r="K1272" s="113">
        <v>-9.6999999999999993</v>
      </c>
      <c r="L1272" s="185"/>
      <c r="M1272" s="16">
        <v>1269</v>
      </c>
      <c r="N1272" s="16">
        <f t="shared" si="140"/>
        <v>2.0865074743766514E-2</v>
      </c>
      <c r="O1272" s="16">
        <v>4</v>
      </c>
      <c r="P1272" s="16">
        <f t="shared" si="136"/>
        <v>9.1833785004516724</v>
      </c>
      <c r="Q1272" s="16">
        <f t="shared" si="141"/>
        <v>47.926979044192123</v>
      </c>
      <c r="R1272" s="113">
        <f t="shared" si="137"/>
        <v>329.49099999999999</v>
      </c>
      <c r="S1272" s="16">
        <f>IF(S1271=15800,15800,ROUND((((Q1272*60)/'Gearing Calculator'!$C$14)*'Track Data'!P1272),-2))</f>
        <v>13300</v>
      </c>
      <c r="T1272" s="16">
        <f t="shared" si="139"/>
        <v>4.5727201699956463</v>
      </c>
      <c r="U1272" s="16">
        <f>IF(AC1272=100,Braking!$AG$2354,IF(AC1272=50,Braking!$AG$1179,IF(AC1272=75,Braking!$AG$1767,0)))</f>
        <v>0</v>
      </c>
      <c r="V1272" s="16">
        <f>0.5*'Gearing Calculator'!$C$15*'Gearing Calculator'!$C$20*'Gearing Calculator'!$W$20*('Track Data'!Q1272^2)</f>
        <v>243.11398470080928</v>
      </c>
      <c r="W1272" s="16">
        <f>('Gearing Calculator'!$U$9*'Track Data'!T1272)+'Track Data'!V1272</f>
        <v>1460.3720939536502</v>
      </c>
      <c r="X1272" s="16">
        <f>('Gearing Calculator'!$U$9*9.81)*('Gearing Calculator'!$U$16/'Gearing Calculator'!$C$7)-(('Track Data'!W1272)*('Gearing Calculator'!$U$17/'Gearing Calculator'!$C$7))</f>
        <v>605.15977453319204</v>
      </c>
      <c r="Y1272" s="16">
        <f>('Gearing Calculator'!$U$9*9.81)*(('Gearing Calculator'!$C$7-'Gearing Calculator'!$U$16)/'Gearing Calculator'!$C$7)+(('Track Data'!W1272)*('Gearing Calculator'!$U$17/'Gearing Calculator'!$C$7))</f>
        <v>2006.2622254668081</v>
      </c>
      <c r="Z1272" s="16">
        <f>((X1272*COS('Gearing Calculator'!$C$21))/'Gearing Calculator'!$C$22)/2</f>
        <v>18.709626271266057</v>
      </c>
      <c r="AA1272" s="16">
        <f>Y1272/'Gearing Calculator'!$C$24</f>
        <v>28.014149763687648</v>
      </c>
      <c r="AB1272" s="16">
        <f t="shared" si="142"/>
        <v>261.40486538079188</v>
      </c>
      <c r="AC1272" s="16">
        <v>0</v>
      </c>
      <c r="AD1272" s="16">
        <v>0</v>
      </c>
      <c r="AE1272" s="16">
        <v>1269</v>
      </c>
      <c r="AF1272" s="16">
        <f>IF(AC1272=0,IF(O1272=6,INDEX(Acceleration!$V$4:$V$110,MATCH('Track Data'!S1272,Acceleration!$K$4:$K$110,0)),IF('Track Data'!O1272=5,INDEX(Acceleration!$U$4:$U$110,MATCH('Track Data'!S1272,Acceleration!$K$4:$K$110,0)),1)),U1272)</f>
        <v>1</v>
      </c>
      <c r="AG1272" s="16">
        <f>IF(AC1272=0,IF(O1272=4,INDEX(Acceleration!$T$4:$T$110,MATCH('Track Data'!S1272,Acceleration!$K$4:$K$110,0)),IF('Track Data'!O1272=3,INDEX(Acceleration!$S$4:$S$110,MATCH('Track Data'!S1272,Acceleration!$K$4:$K$110,0)),'Track Data'!AF1272)),'Track Data'!U1272)</f>
        <v>4.5727201699956463</v>
      </c>
      <c r="AH1272" s="16">
        <f>IF(AC1272=0,IF(O1272=2,INDEX(Acceleration!$R$4:$R$110,MATCH('Track Data'!S1272,Acceleration!$K$4:$K$110,0)),IF('Track Data'!O1272=1,INDEX(Acceleration!$Q$4:$Q$110,MATCH('Track Data'!S1272,Acceleration!$K$4:$K$110,0)),'Track Data'!AG1272)),'Track Data'!U1272)</f>
        <v>4.5727201699956463</v>
      </c>
    </row>
    <row r="1273" spans="2:34" x14ac:dyDescent="0.25">
      <c r="B1273" s="16">
        <v>231.16399999999999</v>
      </c>
      <c r="C1273" s="16">
        <v>8543</v>
      </c>
      <c r="D1273" s="16">
        <v>1270</v>
      </c>
      <c r="E1273" s="113">
        <v>161</v>
      </c>
      <c r="F1273" s="113">
        <v>157</v>
      </c>
      <c r="G1273" s="113">
        <v>156.69999999999999</v>
      </c>
      <c r="H1273" s="113">
        <f t="shared" si="138"/>
        <v>43.527777777777771</v>
      </c>
      <c r="I1273" s="113">
        <v>1</v>
      </c>
      <c r="J1273" s="113">
        <v>4.3499999999999996</v>
      </c>
      <c r="K1273" s="113">
        <v>-7.3</v>
      </c>
      <c r="L1273" s="185"/>
      <c r="M1273" s="16">
        <v>1270</v>
      </c>
      <c r="N1273" s="16">
        <f t="shared" si="140"/>
        <v>2.0823661431290521E-2</v>
      </c>
      <c r="O1273" s="16">
        <v>4</v>
      </c>
      <c r="P1273" s="16">
        <f t="shared" si="136"/>
        <v>9.1833785004516724</v>
      </c>
      <c r="Q1273" s="16">
        <f t="shared" si="141"/>
        <v>48.022294412516594</v>
      </c>
      <c r="R1273" s="113">
        <f t="shared" si="137"/>
        <v>329.49099999999999</v>
      </c>
      <c r="S1273" s="16">
        <f>IF(S1272=15800,15800,ROUND((((Q1273*60)/'Gearing Calculator'!$C$14)*'Track Data'!P1273),-2))</f>
        <v>13400</v>
      </c>
      <c r="T1273" s="16">
        <f t="shared" si="139"/>
        <v>4.5254127277249072</v>
      </c>
      <c r="U1273" s="16">
        <f>IF(AC1273=100,Braking!$AG$2354,IF(AC1273=50,Braking!$AG$1179,IF(AC1273=75,Braking!$AG$1767,0)))</f>
        <v>0</v>
      </c>
      <c r="V1273" s="16">
        <f>0.5*'Gearing Calculator'!$C$15*'Gearing Calculator'!$C$20*'Gearing Calculator'!$W$20*('Track Data'!Q1273^2)</f>
        <v>244.08193810639395</v>
      </c>
      <c r="W1273" s="16">
        <f>('Gearing Calculator'!$U$9*'Track Data'!T1273)+'Track Data'!V1273</f>
        <v>1448.7468062267642</v>
      </c>
      <c r="X1273" s="16">
        <f>('Gearing Calculator'!$U$9*9.81)*('Gearing Calculator'!$U$16/'Gearing Calculator'!$C$7)-(('Track Data'!W1273)*('Gearing Calculator'!$U$17/'Gearing Calculator'!$C$7))</f>
        <v>611.49635027864258</v>
      </c>
      <c r="Y1273" s="16">
        <f>('Gearing Calculator'!$U$9*9.81)*(('Gearing Calculator'!$C$7-'Gearing Calculator'!$U$16)/'Gearing Calculator'!$C$7)+(('Track Data'!W1273)*('Gearing Calculator'!$U$17/'Gearing Calculator'!$C$7))</f>
        <v>1999.9256497213573</v>
      </c>
      <c r="Z1273" s="16">
        <f>((X1273*COS('Gearing Calculator'!$C$21))/'Gearing Calculator'!$C$22)/2</f>
        <v>18.905533152433758</v>
      </c>
      <c r="AA1273" s="16">
        <f>Y1273/'Gearing Calculator'!$C$24</f>
        <v>27.925669913113424</v>
      </c>
      <c r="AB1273" s="16">
        <f t="shared" si="142"/>
        <v>262.18358901729357</v>
      </c>
      <c r="AC1273" s="16">
        <v>0</v>
      </c>
      <c r="AD1273" s="16">
        <v>0</v>
      </c>
      <c r="AE1273" s="16">
        <v>1270</v>
      </c>
      <c r="AF1273" s="16">
        <f>IF(AC1273=0,IF(O1273=6,INDEX(Acceleration!$V$4:$V$110,MATCH('Track Data'!S1273,Acceleration!$K$4:$K$110,0)),IF('Track Data'!O1273=5,INDEX(Acceleration!$U$4:$U$110,MATCH('Track Data'!S1273,Acceleration!$K$4:$K$110,0)),1)),U1273)</f>
        <v>1</v>
      </c>
      <c r="AG1273" s="16">
        <f>IF(AC1273=0,IF(O1273=4,INDEX(Acceleration!$T$4:$T$110,MATCH('Track Data'!S1273,Acceleration!$K$4:$K$110,0)),IF('Track Data'!O1273=3,INDEX(Acceleration!$S$4:$S$110,MATCH('Track Data'!S1273,Acceleration!$K$4:$K$110,0)),'Track Data'!AF1273)),'Track Data'!U1273)</f>
        <v>4.5254127277249072</v>
      </c>
      <c r="AH1273" s="16">
        <f>IF(AC1273=0,IF(O1273=2,INDEX(Acceleration!$R$4:$R$110,MATCH('Track Data'!S1273,Acceleration!$K$4:$K$110,0)),IF('Track Data'!O1273=1,INDEX(Acceleration!$Q$4:$Q$110,MATCH('Track Data'!S1273,Acceleration!$K$4:$K$110,0)),'Track Data'!AG1273)),'Track Data'!U1273)</f>
        <v>4.5254127277249072</v>
      </c>
    </row>
    <row r="1274" spans="2:34" x14ac:dyDescent="0.25">
      <c r="B1274" s="16">
        <v>231.18799999999999</v>
      </c>
      <c r="C1274" s="16">
        <v>8544</v>
      </c>
      <c r="D1274" s="16">
        <v>1271</v>
      </c>
      <c r="E1274" s="113">
        <v>162</v>
      </c>
      <c r="F1274" s="113">
        <v>157.80000000000001</v>
      </c>
      <c r="G1274" s="113">
        <v>157.1</v>
      </c>
      <c r="H1274" s="113">
        <f t="shared" si="138"/>
        <v>43.638888888888886</v>
      </c>
      <c r="I1274" s="113">
        <v>0.9</v>
      </c>
      <c r="J1274" s="113">
        <v>3.98</v>
      </c>
      <c r="K1274" s="113">
        <v>-5</v>
      </c>
      <c r="L1274" s="185"/>
      <c r="M1274" s="16">
        <v>1271</v>
      </c>
      <c r="N1274" s="16">
        <f t="shared" si="140"/>
        <v>2.0782918391770003E-2</v>
      </c>
      <c r="O1274" s="16">
        <v>4</v>
      </c>
      <c r="P1274" s="16">
        <f t="shared" si="136"/>
        <v>9.1833785004516724</v>
      </c>
      <c r="Q1274" s="16">
        <f t="shared" si="141"/>
        <v>48.11643779518463</v>
      </c>
      <c r="R1274" s="113">
        <f t="shared" si="137"/>
        <v>329.49099999999999</v>
      </c>
      <c r="S1274" s="16">
        <f>IF(S1273=15800,15800,ROUND((((Q1274*60)/'Gearing Calculator'!$C$14)*'Track Data'!P1274),-2))</f>
        <v>13400</v>
      </c>
      <c r="T1274" s="16">
        <f t="shared" si="139"/>
        <v>4.5254127277249072</v>
      </c>
      <c r="U1274" s="16">
        <f>IF(AC1274=100,Braking!$AG$2354,IF(AC1274=50,Braking!$AG$1179,IF(AC1274=75,Braking!$AG$1767,0)))</f>
        <v>0</v>
      </c>
      <c r="V1274" s="16">
        <f>0.5*'Gearing Calculator'!$C$15*'Gearing Calculator'!$C$20*'Gearing Calculator'!$W$20*('Track Data'!Q1274^2)</f>
        <v>245.03987747259876</v>
      </c>
      <c r="W1274" s="16">
        <f>('Gearing Calculator'!$U$9*'Track Data'!T1274)+'Track Data'!V1274</f>
        <v>1449.7047455929692</v>
      </c>
      <c r="X1274" s="16">
        <f>('Gearing Calculator'!$U$9*9.81)*('Gearing Calculator'!$U$16/'Gearing Calculator'!$C$7)-(('Track Data'!W1274)*('Gearing Calculator'!$U$17/'Gearing Calculator'!$C$7))</f>
        <v>610.97420790280546</v>
      </c>
      <c r="Y1274" s="16">
        <f>('Gearing Calculator'!$U$9*9.81)*(('Gearing Calculator'!$C$7-'Gearing Calculator'!$U$16)/'Gearing Calculator'!$C$7)+(('Track Data'!W1274)*('Gearing Calculator'!$U$17/'Gearing Calculator'!$C$7))</f>
        <v>2000.4477920971945</v>
      </c>
      <c r="Z1274" s="16">
        <f>((X1274*COS('Gearing Calculator'!$C$21))/'Gearing Calculator'!$C$22)/2</f>
        <v>18.889390161568517</v>
      </c>
      <c r="AA1274" s="16">
        <f>Y1274/'Gearing Calculator'!$C$24</f>
        <v>27.932960771969757</v>
      </c>
      <c r="AB1274" s="16">
        <f t="shared" si="142"/>
        <v>263.14152838349838</v>
      </c>
      <c r="AC1274" s="16">
        <v>0</v>
      </c>
      <c r="AD1274" s="16">
        <v>0</v>
      </c>
      <c r="AE1274" s="16">
        <v>1271</v>
      </c>
      <c r="AF1274" s="16">
        <f>IF(AC1274=0,IF(O1274=6,INDEX(Acceleration!$V$4:$V$110,MATCH('Track Data'!S1274,Acceleration!$K$4:$K$110,0)),IF('Track Data'!O1274=5,INDEX(Acceleration!$U$4:$U$110,MATCH('Track Data'!S1274,Acceleration!$K$4:$K$110,0)),1)),U1274)</f>
        <v>1</v>
      </c>
      <c r="AG1274" s="16">
        <f>IF(AC1274=0,IF(O1274=4,INDEX(Acceleration!$T$4:$T$110,MATCH('Track Data'!S1274,Acceleration!$K$4:$K$110,0)),IF('Track Data'!O1274=3,INDEX(Acceleration!$S$4:$S$110,MATCH('Track Data'!S1274,Acceleration!$K$4:$K$110,0)),'Track Data'!AF1274)),'Track Data'!U1274)</f>
        <v>4.5254127277249072</v>
      </c>
      <c r="AH1274" s="16">
        <f>IF(AC1274=0,IF(O1274=2,INDEX(Acceleration!$R$4:$R$110,MATCH('Track Data'!S1274,Acceleration!$K$4:$K$110,0)),IF('Track Data'!O1274=1,INDEX(Acceleration!$Q$4:$Q$110,MATCH('Track Data'!S1274,Acceleration!$K$4:$K$110,0)),'Track Data'!AG1274)),'Track Data'!U1274)</f>
        <v>4.5254127277249072</v>
      </c>
    </row>
    <row r="1275" spans="2:34" x14ac:dyDescent="0.25">
      <c r="B1275" s="16">
        <v>231.21</v>
      </c>
      <c r="C1275" s="16">
        <v>8545</v>
      </c>
      <c r="D1275" s="16">
        <v>1272</v>
      </c>
      <c r="E1275" s="113">
        <v>162</v>
      </c>
      <c r="F1275" s="113">
        <v>158.69999999999999</v>
      </c>
      <c r="G1275" s="113">
        <v>157.6</v>
      </c>
      <c r="H1275" s="113">
        <f t="shared" si="138"/>
        <v>43.777777777777779</v>
      </c>
      <c r="I1275" s="113">
        <v>1.2</v>
      </c>
      <c r="J1275" s="113">
        <v>4.42</v>
      </c>
      <c r="K1275" s="113">
        <v>-5.3</v>
      </c>
      <c r="L1275" s="185"/>
      <c r="M1275" s="16">
        <v>1272</v>
      </c>
      <c r="N1275" s="16">
        <f t="shared" si="140"/>
        <v>2.0742413570561904E-2</v>
      </c>
      <c r="O1275" s="16">
        <v>4</v>
      </c>
      <c r="P1275" s="16">
        <f t="shared" si="136"/>
        <v>9.1833785004516724</v>
      </c>
      <c r="Q1275" s="16">
        <f t="shared" si="141"/>
        <v>48.210397338679151</v>
      </c>
      <c r="R1275" s="113">
        <f t="shared" si="137"/>
        <v>329.49099999999999</v>
      </c>
      <c r="S1275" s="16">
        <f>IF(S1274=15800,15800,ROUND((((Q1275*60)/'Gearing Calculator'!$C$14)*'Track Data'!P1275),-2))</f>
        <v>13400</v>
      </c>
      <c r="T1275" s="16">
        <f t="shared" si="139"/>
        <v>4.5254127277249072</v>
      </c>
      <c r="U1275" s="16">
        <f>IF(AC1275=100,Braking!$AG$2354,IF(AC1275=50,Braking!$AG$1179,IF(AC1275=75,Braking!$AG$1767,0)))</f>
        <v>0</v>
      </c>
      <c r="V1275" s="16">
        <f>0.5*'Gearing Calculator'!$C$15*'Gearing Calculator'!$C$20*'Gearing Calculator'!$W$20*('Track Data'!Q1275^2)</f>
        <v>245.99781683880354</v>
      </c>
      <c r="W1275" s="16">
        <f>('Gearing Calculator'!$U$9*'Track Data'!T1275)+'Track Data'!V1275</f>
        <v>1450.6626849591739</v>
      </c>
      <c r="X1275" s="16">
        <f>('Gearing Calculator'!$U$9*9.81)*('Gearing Calculator'!$U$16/'Gearing Calculator'!$C$7)-(('Track Data'!W1275)*('Gearing Calculator'!$U$17/'Gearing Calculator'!$C$7))</f>
        <v>610.45206552696845</v>
      </c>
      <c r="Y1275" s="16">
        <f>('Gearing Calculator'!$U$9*9.81)*(('Gearing Calculator'!$C$7-'Gearing Calculator'!$U$16)/'Gearing Calculator'!$C$7)+(('Track Data'!W1275)*('Gearing Calculator'!$U$17/'Gearing Calculator'!$C$7))</f>
        <v>2000.9699344730316</v>
      </c>
      <c r="Z1275" s="16">
        <f>((X1275*COS('Gearing Calculator'!$C$21))/'Gearing Calculator'!$C$22)/2</f>
        <v>18.873247170703273</v>
      </c>
      <c r="AA1275" s="16">
        <f>Y1275/'Gearing Calculator'!$C$24</f>
        <v>27.94025163082609</v>
      </c>
      <c r="AB1275" s="16">
        <f t="shared" si="142"/>
        <v>264.09946774970319</v>
      </c>
      <c r="AC1275" s="16">
        <v>0</v>
      </c>
      <c r="AD1275" s="16">
        <v>0</v>
      </c>
      <c r="AE1275" s="16">
        <v>1272</v>
      </c>
      <c r="AF1275" s="16">
        <f>IF(AC1275=0,IF(O1275=6,INDEX(Acceleration!$V$4:$V$110,MATCH('Track Data'!S1275,Acceleration!$K$4:$K$110,0)),IF('Track Data'!O1275=5,INDEX(Acceleration!$U$4:$U$110,MATCH('Track Data'!S1275,Acceleration!$K$4:$K$110,0)),1)),U1275)</f>
        <v>1</v>
      </c>
      <c r="AG1275" s="16">
        <f>IF(AC1275=0,IF(O1275=4,INDEX(Acceleration!$T$4:$T$110,MATCH('Track Data'!S1275,Acceleration!$K$4:$K$110,0)),IF('Track Data'!O1275=3,INDEX(Acceleration!$S$4:$S$110,MATCH('Track Data'!S1275,Acceleration!$K$4:$K$110,0)),'Track Data'!AF1275)),'Track Data'!U1275)</f>
        <v>4.5254127277249072</v>
      </c>
      <c r="AH1275" s="16">
        <f>IF(AC1275=0,IF(O1275=2,INDEX(Acceleration!$R$4:$R$110,MATCH('Track Data'!S1275,Acceleration!$K$4:$K$110,0)),IF('Track Data'!O1275=1,INDEX(Acceleration!$Q$4:$Q$110,MATCH('Track Data'!S1275,Acceleration!$K$4:$K$110,0)),'Track Data'!AG1275)),'Track Data'!U1275)</f>
        <v>4.5254127277249072</v>
      </c>
    </row>
    <row r="1276" spans="2:34" x14ac:dyDescent="0.25">
      <c r="B1276" s="16">
        <v>231.233</v>
      </c>
      <c r="C1276" s="16">
        <v>8546</v>
      </c>
      <c r="D1276" s="16">
        <v>1273</v>
      </c>
      <c r="E1276" s="113">
        <v>162</v>
      </c>
      <c r="F1276" s="113">
        <v>159.19999999999999</v>
      </c>
      <c r="G1276" s="113">
        <v>157.9</v>
      </c>
      <c r="H1276" s="113">
        <f t="shared" si="138"/>
        <v>43.861111111111114</v>
      </c>
      <c r="I1276" s="113">
        <v>1.7</v>
      </c>
      <c r="J1276" s="113">
        <v>5.81</v>
      </c>
      <c r="K1276" s="113">
        <v>-8.5</v>
      </c>
      <c r="L1276" s="185"/>
      <c r="M1276" s="16">
        <v>1273</v>
      </c>
      <c r="N1276" s="16">
        <f t="shared" si="140"/>
        <v>2.0702144655301478E-2</v>
      </c>
      <c r="O1276" s="16">
        <v>4</v>
      </c>
      <c r="P1276" s="16">
        <f t="shared" si="136"/>
        <v>9.1833785004516724</v>
      </c>
      <c r="Q1276" s="16">
        <f t="shared" si="141"/>
        <v>48.304174115792222</v>
      </c>
      <c r="R1276" s="113">
        <f t="shared" si="137"/>
        <v>329.49099999999999</v>
      </c>
      <c r="S1276" s="16">
        <f>IF(S1275=15800,15800,ROUND((((Q1276*60)/'Gearing Calculator'!$C$14)*'Track Data'!P1276),-2))</f>
        <v>13400</v>
      </c>
      <c r="T1276" s="16">
        <f t="shared" si="139"/>
        <v>4.5254127277249072</v>
      </c>
      <c r="U1276" s="16">
        <f>IF(AC1276=100,Braking!$AG$2354,IF(AC1276=50,Braking!$AG$1179,IF(AC1276=75,Braking!$AG$1767,0)))</f>
        <v>0</v>
      </c>
      <c r="V1276" s="16">
        <f>0.5*'Gearing Calculator'!$C$15*'Gearing Calculator'!$C$20*'Gearing Calculator'!$W$20*('Track Data'!Q1276^2)</f>
        <v>246.95575620500836</v>
      </c>
      <c r="W1276" s="16">
        <f>('Gearing Calculator'!$U$9*'Track Data'!T1276)+'Track Data'!V1276</f>
        <v>1451.6206243253787</v>
      </c>
      <c r="X1276" s="16">
        <f>('Gearing Calculator'!$U$9*9.81)*('Gearing Calculator'!$U$16/'Gearing Calculator'!$C$7)-(('Track Data'!W1276)*('Gearing Calculator'!$U$17/'Gearing Calculator'!$C$7))</f>
        <v>609.92992315113133</v>
      </c>
      <c r="Y1276" s="16">
        <f>('Gearing Calculator'!$U$9*9.81)*(('Gearing Calculator'!$C$7-'Gearing Calculator'!$U$16)/'Gearing Calculator'!$C$7)+(('Track Data'!W1276)*('Gearing Calculator'!$U$17/'Gearing Calculator'!$C$7))</f>
        <v>2001.4920768488687</v>
      </c>
      <c r="Z1276" s="16">
        <f>((X1276*COS('Gearing Calculator'!$C$21))/'Gearing Calculator'!$C$22)/2</f>
        <v>18.857104179838029</v>
      </c>
      <c r="AA1276" s="16">
        <f>Y1276/'Gearing Calculator'!$C$24</f>
        <v>27.947542489682419</v>
      </c>
      <c r="AB1276" s="16">
        <f t="shared" si="142"/>
        <v>265.05740711590801</v>
      </c>
      <c r="AC1276" s="16">
        <v>0</v>
      </c>
      <c r="AD1276" s="16">
        <v>0</v>
      </c>
      <c r="AE1276" s="16">
        <v>1273</v>
      </c>
      <c r="AF1276" s="16">
        <f>IF(AC1276=0,IF(O1276=6,INDEX(Acceleration!$V$4:$V$110,MATCH('Track Data'!S1276,Acceleration!$K$4:$K$110,0)),IF('Track Data'!O1276=5,INDEX(Acceleration!$U$4:$U$110,MATCH('Track Data'!S1276,Acceleration!$K$4:$K$110,0)),1)),U1276)</f>
        <v>1</v>
      </c>
      <c r="AG1276" s="16">
        <f>IF(AC1276=0,IF(O1276=4,INDEX(Acceleration!$T$4:$T$110,MATCH('Track Data'!S1276,Acceleration!$K$4:$K$110,0)),IF('Track Data'!O1276=3,INDEX(Acceleration!$S$4:$S$110,MATCH('Track Data'!S1276,Acceleration!$K$4:$K$110,0)),'Track Data'!AF1276)),'Track Data'!U1276)</f>
        <v>4.5254127277249072</v>
      </c>
      <c r="AH1276" s="16">
        <f>IF(AC1276=0,IF(O1276=2,INDEX(Acceleration!$R$4:$R$110,MATCH('Track Data'!S1276,Acceleration!$K$4:$K$110,0)),IF('Track Data'!O1276=1,INDEX(Acceleration!$Q$4:$Q$110,MATCH('Track Data'!S1276,Acceleration!$K$4:$K$110,0)),'Track Data'!AG1276)),'Track Data'!U1276)</f>
        <v>4.5254127277249072</v>
      </c>
    </row>
    <row r="1277" spans="2:34" x14ac:dyDescent="0.25">
      <c r="B1277" s="16">
        <v>231.256</v>
      </c>
      <c r="C1277" s="16">
        <v>8547</v>
      </c>
      <c r="D1277" s="16">
        <v>1274</v>
      </c>
      <c r="E1277" s="113">
        <v>162</v>
      </c>
      <c r="F1277" s="113">
        <v>159.9</v>
      </c>
      <c r="G1277" s="113">
        <v>158.30000000000001</v>
      </c>
      <c r="H1277" s="113">
        <f t="shared" si="138"/>
        <v>43.972222222222221</v>
      </c>
      <c r="I1277" s="113">
        <v>3</v>
      </c>
      <c r="J1277" s="113">
        <v>6.28</v>
      </c>
      <c r="K1277" s="113">
        <v>-11.8</v>
      </c>
      <c r="L1277" s="185"/>
      <c r="M1277" s="16">
        <v>1274</v>
      </c>
      <c r="N1277" s="16">
        <f t="shared" si="140"/>
        <v>2.066210936492675E-2</v>
      </c>
      <c r="O1277" s="16">
        <v>4</v>
      </c>
      <c r="P1277" s="16">
        <f t="shared" si="136"/>
        <v>9.1833785004516724</v>
      </c>
      <c r="Q1277" s="16">
        <f t="shared" si="141"/>
        <v>48.397769188922553</v>
      </c>
      <c r="R1277" s="113">
        <f t="shared" si="137"/>
        <v>329.49099999999999</v>
      </c>
      <c r="S1277" s="16">
        <f>IF(S1276=15800,15800,ROUND((((Q1277*60)/'Gearing Calculator'!$C$14)*'Track Data'!P1277),-2))</f>
        <v>13500</v>
      </c>
      <c r="T1277" s="16">
        <f t="shared" si="139"/>
        <v>4.4786093729803564</v>
      </c>
      <c r="U1277" s="16">
        <f>IF(AC1277=100,Braking!$AG$2354,IF(AC1277=50,Braking!$AG$1179,IF(AC1277=75,Braking!$AG$1767,0)))</f>
        <v>0</v>
      </c>
      <c r="V1277" s="16">
        <f>0.5*'Gearing Calculator'!$C$15*'Gearing Calculator'!$C$20*'Gearing Calculator'!$W$20*('Track Data'!Q1277^2)</f>
        <v>247.91369557121314</v>
      </c>
      <c r="W1277" s="16">
        <f>('Gearing Calculator'!$U$9*'Track Data'!T1277)+'Track Data'!V1277</f>
        <v>1440.119510658584</v>
      </c>
      <c r="X1277" s="16">
        <f>('Gearing Calculator'!$U$9*9.81)*('Gearing Calculator'!$U$16/'Gearing Calculator'!$C$7)-(('Track Data'!W1277)*('Gearing Calculator'!$U$17/'Gearing Calculator'!$C$7))</f>
        <v>616.19881555352208</v>
      </c>
      <c r="Y1277" s="16">
        <f>('Gearing Calculator'!$U$9*9.81)*(('Gearing Calculator'!$C$7-'Gearing Calculator'!$U$16)/'Gearing Calculator'!$C$7)+(('Track Data'!W1277)*('Gearing Calculator'!$U$17/'Gearing Calculator'!$C$7))</f>
        <v>1995.2231844464779</v>
      </c>
      <c r="Z1277" s="16">
        <f>((X1277*COS('Gearing Calculator'!$C$21))/'Gearing Calculator'!$C$22)/2</f>
        <v>19.050918506102498</v>
      </c>
      <c r="AA1277" s="16">
        <f>Y1277/'Gearing Calculator'!$C$24</f>
        <v>27.860007725590375</v>
      </c>
      <c r="AB1277" s="16">
        <f t="shared" si="142"/>
        <v>265.82813306313454</v>
      </c>
      <c r="AC1277" s="16">
        <v>0</v>
      </c>
      <c r="AD1277" s="16">
        <v>0</v>
      </c>
      <c r="AE1277" s="16">
        <v>1274</v>
      </c>
      <c r="AF1277" s="16">
        <f>IF(AC1277=0,IF(O1277=6,INDEX(Acceleration!$V$4:$V$110,MATCH('Track Data'!S1277,Acceleration!$K$4:$K$110,0)),IF('Track Data'!O1277=5,INDEX(Acceleration!$U$4:$U$110,MATCH('Track Data'!S1277,Acceleration!$K$4:$K$110,0)),1)),U1277)</f>
        <v>1</v>
      </c>
      <c r="AG1277" s="16">
        <f>IF(AC1277=0,IF(O1277=4,INDEX(Acceleration!$T$4:$T$110,MATCH('Track Data'!S1277,Acceleration!$K$4:$K$110,0)),IF('Track Data'!O1277=3,INDEX(Acceleration!$S$4:$S$110,MATCH('Track Data'!S1277,Acceleration!$K$4:$K$110,0)),'Track Data'!AF1277)),'Track Data'!U1277)</f>
        <v>4.4786093729803564</v>
      </c>
      <c r="AH1277" s="16">
        <f>IF(AC1277=0,IF(O1277=2,INDEX(Acceleration!$R$4:$R$110,MATCH('Track Data'!S1277,Acceleration!$K$4:$K$110,0)),IF('Track Data'!O1277=1,INDEX(Acceleration!$Q$4:$Q$110,MATCH('Track Data'!S1277,Acceleration!$K$4:$K$110,0)),'Track Data'!AG1277)),'Track Data'!U1277)</f>
        <v>4.4786093729803564</v>
      </c>
    </row>
    <row r="1278" spans="2:34" x14ac:dyDescent="0.25">
      <c r="B1278" s="16">
        <v>231.27799999999999</v>
      </c>
      <c r="C1278" s="16">
        <v>8548</v>
      </c>
      <c r="D1278" s="16">
        <v>1275</v>
      </c>
      <c r="E1278" s="113">
        <v>163</v>
      </c>
      <c r="F1278" s="113">
        <v>160.69999999999999</v>
      </c>
      <c r="G1278" s="113">
        <v>158.6</v>
      </c>
      <c r="H1278" s="113">
        <f t="shared" si="138"/>
        <v>44.05555555555555</v>
      </c>
      <c r="I1278" s="113">
        <v>3.9</v>
      </c>
      <c r="J1278" s="113">
        <v>6.99</v>
      </c>
      <c r="K1278" s="113">
        <v>-15</v>
      </c>
      <c r="L1278" s="185"/>
      <c r="M1278" s="16">
        <v>1275</v>
      </c>
      <c r="N1278" s="16">
        <f t="shared" si="140"/>
        <v>2.0622715938203817E-2</v>
      </c>
      <c r="O1278" s="16">
        <v>4</v>
      </c>
      <c r="P1278" s="16">
        <f t="shared" si="136"/>
        <v>9.1833785004516724</v>
      </c>
      <c r="Q1278" s="16">
        <f t="shared" si="141"/>
        <v>48.490218407532275</v>
      </c>
      <c r="R1278" s="113">
        <f t="shared" si="137"/>
        <v>329.49099999999999</v>
      </c>
      <c r="S1278" s="16">
        <f>IF(S1277=15800,15800,ROUND((((Q1278*60)/'Gearing Calculator'!$C$14)*'Track Data'!P1278),-2))</f>
        <v>13500</v>
      </c>
      <c r="T1278" s="16">
        <f t="shared" si="139"/>
        <v>4.4786093729803564</v>
      </c>
      <c r="U1278" s="16">
        <f>IF(AC1278=100,Braking!$AG$2354,IF(AC1278=50,Braking!$AG$1179,IF(AC1278=75,Braking!$AG$1767,0)))</f>
        <v>0</v>
      </c>
      <c r="V1278" s="16">
        <f>0.5*'Gearing Calculator'!$C$15*'Gearing Calculator'!$C$20*'Gearing Calculator'!$W$20*('Track Data'!Q1278^2)</f>
        <v>248.86172760328563</v>
      </c>
      <c r="W1278" s="16">
        <f>('Gearing Calculator'!$U$9*'Track Data'!T1278)+'Track Data'!V1278</f>
        <v>1441.0675426906564</v>
      </c>
      <c r="X1278" s="16">
        <f>('Gearing Calculator'!$U$9*9.81)*('Gearing Calculator'!$U$16/'Gearing Calculator'!$C$7)-(('Track Data'!W1278)*('Gearing Calculator'!$U$17/'Gearing Calculator'!$C$7))</f>
        <v>615.68207335139596</v>
      </c>
      <c r="Y1278" s="16">
        <f>('Gearing Calculator'!$U$9*9.81)*(('Gearing Calculator'!$C$7-'Gearing Calculator'!$U$16)/'Gearing Calculator'!$C$7)+(('Track Data'!W1278)*('Gearing Calculator'!$U$17/'Gearing Calculator'!$C$7))</f>
        <v>1995.7399266486041</v>
      </c>
      <c r="Z1278" s="16">
        <f>((X1278*COS('Gearing Calculator'!$C$21))/'Gearing Calculator'!$C$22)/2</f>
        <v>19.034942471529103</v>
      </c>
      <c r="AA1278" s="16">
        <f>Y1278/'Gearing Calculator'!$C$24</f>
        <v>27.867223179909271</v>
      </c>
      <c r="AB1278" s="16">
        <f t="shared" si="142"/>
        <v>266.77616509520703</v>
      </c>
      <c r="AC1278" s="16">
        <v>0</v>
      </c>
      <c r="AD1278" s="16">
        <v>0</v>
      </c>
      <c r="AE1278" s="16">
        <v>1275</v>
      </c>
      <c r="AF1278" s="16">
        <f>IF(AC1278=0,IF(O1278=6,INDEX(Acceleration!$V$4:$V$110,MATCH('Track Data'!S1278,Acceleration!$K$4:$K$110,0)),IF('Track Data'!O1278=5,INDEX(Acceleration!$U$4:$U$110,MATCH('Track Data'!S1278,Acceleration!$K$4:$K$110,0)),1)),U1278)</f>
        <v>1</v>
      </c>
      <c r="AG1278" s="16">
        <f>IF(AC1278=0,IF(O1278=4,INDEX(Acceleration!$T$4:$T$110,MATCH('Track Data'!S1278,Acceleration!$K$4:$K$110,0)),IF('Track Data'!O1278=3,INDEX(Acceleration!$S$4:$S$110,MATCH('Track Data'!S1278,Acceleration!$K$4:$K$110,0)),'Track Data'!AF1278)),'Track Data'!U1278)</f>
        <v>4.4786093729803564</v>
      </c>
      <c r="AH1278" s="16">
        <f>IF(AC1278=0,IF(O1278=2,INDEX(Acceleration!$R$4:$R$110,MATCH('Track Data'!S1278,Acceleration!$K$4:$K$110,0)),IF('Track Data'!O1278=1,INDEX(Acceleration!$Q$4:$Q$110,MATCH('Track Data'!S1278,Acceleration!$K$4:$K$110,0)),'Track Data'!AG1278)),'Track Data'!U1278)</f>
        <v>4.4786093729803564</v>
      </c>
    </row>
    <row r="1279" spans="2:34" x14ac:dyDescent="0.25">
      <c r="B1279" s="16">
        <v>231.3</v>
      </c>
      <c r="C1279" s="16">
        <v>8549</v>
      </c>
      <c r="D1279" s="16">
        <v>1276</v>
      </c>
      <c r="E1279" s="113">
        <v>162</v>
      </c>
      <c r="F1279" s="113">
        <v>161.4</v>
      </c>
      <c r="G1279" s="113">
        <v>159.1</v>
      </c>
      <c r="H1279" s="113">
        <f t="shared" si="138"/>
        <v>44.194444444444443</v>
      </c>
      <c r="I1279" s="113">
        <v>5.5</v>
      </c>
      <c r="J1279" s="113">
        <v>8.73</v>
      </c>
      <c r="K1279" s="113">
        <v>-14.9</v>
      </c>
      <c r="L1279" s="185"/>
      <c r="M1279" s="16">
        <v>1276</v>
      </c>
      <c r="N1279" s="16">
        <f t="shared" si="140"/>
        <v>2.0583546972803912E-2</v>
      </c>
      <c r="O1279" s="16">
        <v>4</v>
      </c>
      <c r="P1279" s="16">
        <f t="shared" si="136"/>
        <v>9.1833785004516724</v>
      </c>
      <c r="Q1279" s="16">
        <f t="shared" si="141"/>
        <v>48.582491701806966</v>
      </c>
      <c r="R1279" s="113">
        <f t="shared" si="137"/>
        <v>329.49099999999999</v>
      </c>
      <c r="S1279" s="16">
        <f>IF(S1278=15800,15800,ROUND((((Q1279*60)/'Gearing Calculator'!$C$14)*'Track Data'!P1279),-2))</f>
        <v>13500</v>
      </c>
      <c r="T1279" s="16">
        <f t="shared" si="139"/>
        <v>4.4786093729803564</v>
      </c>
      <c r="U1279" s="16">
        <f>IF(AC1279=100,Braking!$AG$2354,IF(AC1279=50,Braking!$AG$1179,IF(AC1279=75,Braking!$AG$1767,0)))</f>
        <v>0</v>
      </c>
      <c r="V1279" s="16">
        <f>0.5*'Gearing Calculator'!$C$15*'Gearing Calculator'!$C$20*'Gearing Calculator'!$W$20*('Track Data'!Q1279^2)</f>
        <v>249.80975963535812</v>
      </c>
      <c r="W1279" s="16">
        <f>('Gearing Calculator'!$U$9*'Track Data'!T1279)+'Track Data'!V1279</f>
        <v>1442.0155747227291</v>
      </c>
      <c r="X1279" s="16">
        <f>('Gearing Calculator'!$U$9*9.81)*('Gearing Calculator'!$U$16/'Gearing Calculator'!$C$7)-(('Track Data'!W1279)*('Gearing Calculator'!$U$17/'Gearing Calculator'!$C$7))</f>
        <v>615.16533114926972</v>
      </c>
      <c r="Y1279" s="16">
        <f>('Gearing Calculator'!$U$9*9.81)*(('Gearing Calculator'!$C$7-'Gearing Calculator'!$U$16)/'Gearing Calculator'!$C$7)+(('Track Data'!W1279)*('Gearing Calculator'!$U$17/'Gearing Calculator'!$C$7))</f>
        <v>1996.2566688507304</v>
      </c>
      <c r="Z1279" s="16">
        <f>((X1279*COS('Gearing Calculator'!$C$21))/'Gearing Calculator'!$C$22)/2</f>
        <v>19.018966436955704</v>
      </c>
      <c r="AA1279" s="16">
        <f>Y1279/'Gearing Calculator'!$C$24</f>
        <v>27.874438634228166</v>
      </c>
      <c r="AB1279" s="16">
        <f t="shared" si="142"/>
        <v>267.72419712727952</v>
      </c>
      <c r="AC1279" s="16">
        <v>0</v>
      </c>
      <c r="AD1279" s="16">
        <v>0</v>
      </c>
      <c r="AE1279" s="16">
        <v>1276</v>
      </c>
      <c r="AF1279" s="16">
        <f>IF(AC1279=0,IF(O1279=6,INDEX(Acceleration!$V$4:$V$110,MATCH('Track Data'!S1279,Acceleration!$K$4:$K$110,0)),IF('Track Data'!O1279=5,INDEX(Acceleration!$U$4:$U$110,MATCH('Track Data'!S1279,Acceleration!$K$4:$K$110,0)),1)),U1279)</f>
        <v>1</v>
      </c>
      <c r="AG1279" s="16">
        <f>IF(AC1279=0,IF(O1279=4,INDEX(Acceleration!$T$4:$T$110,MATCH('Track Data'!S1279,Acceleration!$K$4:$K$110,0)),IF('Track Data'!O1279=3,INDEX(Acceleration!$S$4:$S$110,MATCH('Track Data'!S1279,Acceleration!$K$4:$K$110,0)),'Track Data'!AF1279)),'Track Data'!U1279)</f>
        <v>4.4786093729803564</v>
      </c>
      <c r="AH1279" s="16">
        <f>IF(AC1279=0,IF(O1279=2,INDEX(Acceleration!$R$4:$R$110,MATCH('Track Data'!S1279,Acceleration!$K$4:$K$110,0)),IF('Track Data'!O1279=1,INDEX(Acceleration!$Q$4:$Q$110,MATCH('Track Data'!S1279,Acceleration!$K$4:$K$110,0)),'Track Data'!AG1279)),'Track Data'!U1279)</f>
        <v>4.4786093729803564</v>
      </c>
    </row>
    <row r="1280" spans="2:34" x14ac:dyDescent="0.25">
      <c r="B1280" s="16">
        <v>231.322</v>
      </c>
      <c r="C1280" s="16">
        <v>8550</v>
      </c>
      <c r="D1280" s="16">
        <v>1277</v>
      </c>
      <c r="E1280" s="113">
        <v>162</v>
      </c>
      <c r="F1280" s="113">
        <v>161.69999999999999</v>
      </c>
      <c r="G1280" s="113">
        <v>159.4</v>
      </c>
      <c r="H1280" s="113">
        <f t="shared" si="138"/>
        <v>44.277777777777779</v>
      </c>
      <c r="I1280" s="113">
        <v>6.1</v>
      </c>
      <c r="J1280" s="113">
        <v>12.28</v>
      </c>
      <c r="K1280" s="113">
        <v>-14.1</v>
      </c>
      <c r="L1280" s="185"/>
      <c r="M1280" s="16">
        <v>1277</v>
      </c>
      <c r="N1280" s="16">
        <f t="shared" si="140"/>
        <v>2.054460034518096E-2</v>
      </c>
      <c r="O1280" s="16">
        <v>4</v>
      </c>
      <c r="P1280" s="16">
        <f t="shared" si="136"/>
        <v>9.1833785004516724</v>
      </c>
      <c r="Q1280" s="16">
        <f t="shared" si="141"/>
        <v>48.674590072255398</v>
      </c>
      <c r="R1280" s="113">
        <f t="shared" si="137"/>
        <v>329.49099999999999</v>
      </c>
      <c r="S1280" s="16">
        <f>IF(S1279=15800,15800,ROUND((((Q1280*60)/'Gearing Calculator'!$C$14)*'Track Data'!P1280),-2))</f>
        <v>13600</v>
      </c>
      <c r="T1280" s="16">
        <f t="shared" si="139"/>
        <v>4.4322975285970454</v>
      </c>
      <c r="U1280" s="16">
        <f>IF(AC1280=100,Braking!$AG$2354,IF(AC1280=50,Braking!$AG$1179,IF(AC1280=75,Braking!$AG$1767,0)))</f>
        <v>0</v>
      </c>
      <c r="V1280" s="16">
        <f>0.5*'Gearing Calculator'!$C$15*'Gearing Calculator'!$C$20*'Gearing Calculator'!$W$20*('Track Data'!Q1280^2)</f>
        <v>250.75779166743067</v>
      </c>
      <c r="W1280" s="16">
        <f>('Gearing Calculator'!$U$9*'Track Data'!T1280)+'Track Data'!V1280</f>
        <v>1430.635393779964</v>
      </c>
      <c r="X1280" s="16">
        <f>('Gearing Calculator'!$U$9*9.81)*('Gearing Calculator'!$U$16/'Gearing Calculator'!$C$7)-(('Track Data'!W1280)*('Gearing Calculator'!$U$17/'Gearing Calculator'!$C$7))</f>
        <v>621.36830695811705</v>
      </c>
      <c r="Y1280" s="16">
        <f>('Gearing Calculator'!$U$9*9.81)*(('Gearing Calculator'!$C$7-'Gearing Calculator'!$U$16)/'Gearing Calculator'!$C$7)+(('Track Data'!W1280)*('Gearing Calculator'!$U$17/'Gearing Calculator'!$C$7))</f>
        <v>1990.053693041883</v>
      </c>
      <c r="Z1280" s="16">
        <f>((X1280*COS('Gearing Calculator'!$C$21))/'Gearing Calculator'!$C$22)/2</f>
        <v>19.210742830624238</v>
      </c>
      <c r="AA1280" s="16">
        <f>Y1280/'Gearing Calculator'!$C$24</f>
        <v>27.787824286869288</v>
      </c>
      <c r="AB1280" s="16">
        <f t="shared" si="142"/>
        <v>268.48698178181883</v>
      </c>
      <c r="AC1280" s="16">
        <v>0</v>
      </c>
      <c r="AD1280" s="16">
        <v>0</v>
      </c>
      <c r="AE1280" s="16">
        <v>1277</v>
      </c>
      <c r="AF1280" s="16">
        <f>IF(AC1280=0,IF(O1280=6,INDEX(Acceleration!$V$4:$V$110,MATCH('Track Data'!S1280,Acceleration!$K$4:$K$110,0)),IF('Track Data'!O1280=5,INDEX(Acceleration!$U$4:$U$110,MATCH('Track Data'!S1280,Acceleration!$K$4:$K$110,0)),1)),U1280)</f>
        <v>1</v>
      </c>
      <c r="AG1280" s="16">
        <f>IF(AC1280=0,IF(O1280=4,INDEX(Acceleration!$T$4:$T$110,MATCH('Track Data'!S1280,Acceleration!$K$4:$K$110,0)),IF('Track Data'!O1280=3,INDEX(Acceleration!$S$4:$S$110,MATCH('Track Data'!S1280,Acceleration!$K$4:$K$110,0)),'Track Data'!AF1280)),'Track Data'!U1280)</f>
        <v>4.4322975285970454</v>
      </c>
      <c r="AH1280" s="16">
        <f>IF(AC1280=0,IF(O1280=2,INDEX(Acceleration!$R$4:$R$110,MATCH('Track Data'!S1280,Acceleration!$K$4:$K$110,0)),IF('Track Data'!O1280=1,INDEX(Acceleration!$Q$4:$Q$110,MATCH('Track Data'!S1280,Acceleration!$K$4:$K$110,0)),'Track Data'!AG1280)),'Track Data'!U1280)</f>
        <v>4.4322975285970454</v>
      </c>
    </row>
    <row r="1281" spans="2:34" x14ac:dyDescent="0.25">
      <c r="B1281" s="16">
        <v>231.345</v>
      </c>
      <c r="C1281" s="16">
        <v>8551</v>
      </c>
      <c r="D1281" s="16">
        <v>1278</v>
      </c>
      <c r="E1281" s="113">
        <v>160</v>
      </c>
      <c r="F1281" s="113">
        <v>161.80000000000001</v>
      </c>
      <c r="G1281" s="113">
        <v>159.69999999999999</v>
      </c>
      <c r="H1281" s="113">
        <f t="shared" si="138"/>
        <v>44.361111111111107</v>
      </c>
      <c r="I1281" s="113">
        <v>8.4</v>
      </c>
      <c r="J1281" s="113">
        <v>15.02</v>
      </c>
      <c r="K1281" s="113">
        <v>-13.1</v>
      </c>
      <c r="L1281" s="185"/>
      <c r="M1281" s="16">
        <v>1278</v>
      </c>
      <c r="N1281" s="16">
        <f t="shared" si="140"/>
        <v>2.0506273296867269E-2</v>
      </c>
      <c r="O1281" s="16">
        <v>4</v>
      </c>
      <c r="P1281" s="16">
        <f t="shared" si="136"/>
        <v>9.1833785004516724</v>
      </c>
      <c r="Q1281" s="16">
        <f t="shared" si="141"/>
        <v>48.765564835848032</v>
      </c>
      <c r="R1281" s="113">
        <f t="shared" si="137"/>
        <v>329.49099999999999</v>
      </c>
      <c r="S1281" s="16">
        <f>IF(S1280=15800,15800,ROUND((((Q1281*60)/'Gearing Calculator'!$C$14)*'Track Data'!P1281),-2))</f>
        <v>13600</v>
      </c>
      <c r="T1281" s="16">
        <f t="shared" si="139"/>
        <v>4.4322975285970454</v>
      </c>
      <c r="U1281" s="16">
        <f>IF(AC1281=100,Braking!$AG$2354,IF(AC1281=50,Braking!$AG$1179,IF(AC1281=75,Braking!$AG$1767,0)))</f>
        <v>0</v>
      </c>
      <c r="V1281" s="16">
        <f>0.5*'Gearing Calculator'!$C$15*'Gearing Calculator'!$C$20*'Gearing Calculator'!$W$20*('Track Data'!Q1281^2)</f>
        <v>251.69602040828408</v>
      </c>
      <c r="W1281" s="16">
        <f>('Gearing Calculator'!$U$9*'Track Data'!T1281)+'Track Data'!V1281</f>
        <v>1431.5736225208175</v>
      </c>
      <c r="X1281" s="16">
        <f>('Gearing Calculator'!$U$9*9.81)*('Gearing Calculator'!$U$16/'Gearing Calculator'!$C$7)-(('Track Data'!W1281)*('Gearing Calculator'!$U$17/'Gearing Calculator'!$C$7))</f>
        <v>620.85690821920866</v>
      </c>
      <c r="Y1281" s="16">
        <f>('Gearing Calculator'!$U$9*9.81)*(('Gearing Calculator'!$C$7-'Gearing Calculator'!$U$16)/'Gearing Calculator'!$C$7)+(('Track Data'!W1281)*('Gearing Calculator'!$U$17/'Gearing Calculator'!$C$7))</f>
        <v>1990.5650917807914</v>
      </c>
      <c r="Z1281" s="16">
        <f>((X1281*COS('Gearing Calculator'!$C$21))/'Gearing Calculator'!$C$22)/2</f>
        <v>19.194931999033596</v>
      </c>
      <c r="AA1281" s="16">
        <f>Y1281/'Gearing Calculator'!$C$24</f>
        <v>27.79496512851944</v>
      </c>
      <c r="AB1281" s="16">
        <f t="shared" si="142"/>
        <v>269.42521052267227</v>
      </c>
      <c r="AC1281" s="16">
        <v>0</v>
      </c>
      <c r="AD1281" s="16">
        <v>0</v>
      </c>
      <c r="AE1281" s="16">
        <v>1278</v>
      </c>
      <c r="AF1281" s="16">
        <f>IF(AC1281=0,IF(O1281=6,INDEX(Acceleration!$V$4:$V$110,MATCH('Track Data'!S1281,Acceleration!$K$4:$K$110,0)),IF('Track Data'!O1281=5,INDEX(Acceleration!$U$4:$U$110,MATCH('Track Data'!S1281,Acceleration!$K$4:$K$110,0)),1)),U1281)</f>
        <v>1</v>
      </c>
      <c r="AG1281" s="16">
        <f>IF(AC1281=0,IF(O1281=4,INDEX(Acceleration!$T$4:$T$110,MATCH('Track Data'!S1281,Acceleration!$K$4:$K$110,0)),IF('Track Data'!O1281=3,INDEX(Acceleration!$S$4:$S$110,MATCH('Track Data'!S1281,Acceleration!$K$4:$K$110,0)),'Track Data'!AF1281)),'Track Data'!U1281)</f>
        <v>4.4322975285970454</v>
      </c>
      <c r="AH1281" s="16">
        <f>IF(AC1281=0,IF(O1281=2,INDEX(Acceleration!$R$4:$R$110,MATCH('Track Data'!S1281,Acceleration!$K$4:$K$110,0)),IF('Track Data'!O1281=1,INDEX(Acceleration!$Q$4:$Q$110,MATCH('Track Data'!S1281,Acceleration!$K$4:$K$110,0)),'Track Data'!AG1281)),'Track Data'!U1281)</f>
        <v>4.4322975285970454</v>
      </c>
    </row>
    <row r="1282" spans="2:34" x14ac:dyDescent="0.25">
      <c r="B1282" s="16">
        <v>231.36699999999999</v>
      </c>
      <c r="C1282" s="16">
        <v>8552</v>
      </c>
      <c r="D1282" s="16">
        <v>1279</v>
      </c>
      <c r="E1282" s="113">
        <v>159</v>
      </c>
      <c r="F1282" s="113">
        <v>161.9</v>
      </c>
      <c r="G1282" s="113">
        <v>159.80000000000001</v>
      </c>
      <c r="H1282" s="113">
        <f t="shared" si="138"/>
        <v>44.388888888888893</v>
      </c>
      <c r="I1282" s="113">
        <v>9.1999999999999993</v>
      </c>
      <c r="J1282" s="113">
        <v>21.45</v>
      </c>
      <c r="K1282" s="113">
        <v>-12.4</v>
      </c>
      <c r="L1282" s="185"/>
      <c r="M1282" s="16">
        <v>1279</v>
      </c>
      <c r="N1282" s="16">
        <f t="shared" si="140"/>
        <v>2.0468159954778242E-2</v>
      </c>
      <c r="O1282" s="16">
        <v>4</v>
      </c>
      <c r="P1282" s="16">
        <f t="shared" si="136"/>
        <v>9.1833785004516724</v>
      </c>
      <c r="Q1282" s="16">
        <f t="shared" si="141"/>
        <v>48.856370196899526</v>
      </c>
      <c r="R1282" s="113">
        <f t="shared" si="137"/>
        <v>329.49099999999999</v>
      </c>
      <c r="S1282" s="16">
        <f>IF(S1281=15800,15800,ROUND((((Q1282*60)/'Gearing Calculator'!$C$14)*'Track Data'!P1282),-2))</f>
        <v>13600</v>
      </c>
      <c r="T1282" s="16">
        <f t="shared" si="139"/>
        <v>4.4322975285970454</v>
      </c>
      <c r="U1282" s="16">
        <f>IF(AC1282=100,Braking!$AG$2354,IF(AC1282=50,Braking!$AG$1179,IF(AC1282=75,Braking!$AG$1767,0)))</f>
        <v>0</v>
      </c>
      <c r="V1282" s="16">
        <f>0.5*'Gearing Calculator'!$C$15*'Gearing Calculator'!$C$20*'Gearing Calculator'!$W$20*('Track Data'!Q1282^2)</f>
        <v>252.63424914913753</v>
      </c>
      <c r="W1282" s="16">
        <f>('Gearing Calculator'!$U$9*'Track Data'!T1282)+'Track Data'!V1282</f>
        <v>1432.5118512616709</v>
      </c>
      <c r="X1282" s="16">
        <f>('Gearing Calculator'!$U$9*9.81)*('Gearing Calculator'!$U$16/'Gearing Calculator'!$C$7)-(('Track Data'!W1282)*('Gearing Calculator'!$U$17/'Gearing Calculator'!$C$7))</f>
        <v>620.34550948030028</v>
      </c>
      <c r="Y1282" s="16">
        <f>('Gearing Calculator'!$U$9*9.81)*(('Gearing Calculator'!$C$7-'Gearing Calculator'!$U$16)/'Gearing Calculator'!$C$7)+(('Track Data'!W1282)*('Gearing Calculator'!$U$17/'Gearing Calculator'!$C$7))</f>
        <v>1991.0764905196997</v>
      </c>
      <c r="Z1282" s="16">
        <f>((X1282*COS('Gearing Calculator'!$C$21))/'Gearing Calculator'!$C$22)/2</f>
        <v>19.179121167442961</v>
      </c>
      <c r="AA1282" s="16">
        <f>Y1282/'Gearing Calculator'!$C$24</f>
        <v>27.802105970169592</v>
      </c>
      <c r="AB1282" s="16">
        <f t="shared" si="142"/>
        <v>270.36343926352572</v>
      </c>
      <c r="AC1282" s="16">
        <v>0</v>
      </c>
      <c r="AD1282" s="16">
        <v>0</v>
      </c>
      <c r="AE1282" s="16">
        <v>1279</v>
      </c>
      <c r="AF1282" s="16">
        <f>IF(AC1282=0,IF(O1282=6,INDEX(Acceleration!$V$4:$V$110,MATCH('Track Data'!S1282,Acceleration!$K$4:$K$110,0)),IF('Track Data'!O1282=5,INDEX(Acceleration!$U$4:$U$110,MATCH('Track Data'!S1282,Acceleration!$K$4:$K$110,0)),1)),U1282)</f>
        <v>1</v>
      </c>
      <c r="AG1282" s="16">
        <f>IF(AC1282=0,IF(O1282=4,INDEX(Acceleration!$T$4:$T$110,MATCH('Track Data'!S1282,Acceleration!$K$4:$K$110,0)),IF('Track Data'!O1282=3,INDEX(Acceleration!$S$4:$S$110,MATCH('Track Data'!S1282,Acceleration!$K$4:$K$110,0)),'Track Data'!AF1282)),'Track Data'!U1282)</f>
        <v>4.4322975285970454</v>
      </c>
      <c r="AH1282" s="16">
        <f>IF(AC1282=0,IF(O1282=2,INDEX(Acceleration!$R$4:$R$110,MATCH('Track Data'!S1282,Acceleration!$K$4:$K$110,0)),IF('Track Data'!O1282=1,INDEX(Acceleration!$Q$4:$Q$110,MATCH('Track Data'!S1282,Acceleration!$K$4:$K$110,0)),'Track Data'!AG1282)),'Track Data'!U1282)</f>
        <v>4.4322975285970454</v>
      </c>
    </row>
    <row r="1283" spans="2:34" x14ac:dyDescent="0.25">
      <c r="B1283" s="16">
        <v>231.38900000000001</v>
      </c>
      <c r="C1283" s="16">
        <v>8553</v>
      </c>
      <c r="D1283" s="16">
        <v>1280</v>
      </c>
      <c r="E1283" s="113">
        <v>158</v>
      </c>
      <c r="F1283" s="113">
        <v>161.80000000000001</v>
      </c>
      <c r="G1283" s="113">
        <v>160</v>
      </c>
      <c r="H1283" s="113">
        <f t="shared" si="138"/>
        <v>44.444444444444443</v>
      </c>
      <c r="I1283" s="113">
        <v>9.1</v>
      </c>
      <c r="J1283" s="113">
        <v>29.18</v>
      </c>
      <c r="K1283" s="113">
        <v>-12.4</v>
      </c>
      <c r="L1283" s="185"/>
      <c r="M1283" s="16">
        <v>1280</v>
      </c>
      <c r="N1283" s="16">
        <f t="shared" si="140"/>
        <v>2.0430258340274784E-2</v>
      </c>
      <c r="O1283" s="16">
        <v>4</v>
      </c>
      <c r="P1283" s="16">
        <f t="shared" si="136"/>
        <v>9.1833785004516724</v>
      </c>
      <c r="Q1283" s="16">
        <f t="shared" si="141"/>
        <v>48.947007098224979</v>
      </c>
      <c r="R1283" s="113">
        <f t="shared" si="137"/>
        <v>329.49099999999999</v>
      </c>
      <c r="S1283" s="16">
        <f>IF(S1282=15800,15800,ROUND((((Q1283*60)/'Gearing Calculator'!$C$14)*'Track Data'!P1283),-2))</f>
        <v>13600</v>
      </c>
      <c r="T1283" s="16">
        <f t="shared" si="139"/>
        <v>4.4322975285970454</v>
      </c>
      <c r="U1283" s="16">
        <f>IF(AC1283=100,Braking!$AG$2354,IF(AC1283=50,Braking!$AG$1179,IF(AC1283=75,Braking!$AG$1767,0)))</f>
        <v>0</v>
      </c>
      <c r="V1283" s="16">
        <f>0.5*'Gearing Calculator'!$C$15*'Gearing Calculator'!$C$20*'Gearing Calculator'!$W$20*('Track Data'!Q1283^2)</f>
        <v>253.57247788999095</v>
      </c>
      <c r="W1283" s="16">
        <f>('Gearing Calculator'!$U$9*'Track Data'!T1283)+'Track Data'!V1283</f>
        <v>1433.4500800025244</v>
      </c>
      <c r="X1283" s="16">
        <f>('Gearing Calculator'!$U$9*9.81)*('Gearing Calculator'!$U$16/'Gearing Calculator'!$C$7)-(('Track Data'!W1283)*('Gearing Calculator'!$U$17/'Gearing Calculator'!$C$7))</f>
        <v>619.8341107413919</v>
      </c>
      <c r="Y1283" s="16">
        <f>('Gearing Calculator'!$U$9*9.81)*(('Gearing Calculator'!$C$7-'Gearing Calculator'!$U$16)/'Gearing Calculator'!$C$7)+(('Track Data'!W1283)*('Gearing Calculator'!$U$17/'Gearing Calculator'!$C$7))</f>
        <v>1991.5878892586081</v>
      </c>
      <c r="Z1283" s="16">
        <f>((X1283*COS('Gearing Calculator'!$C$21))/'Gearing Calculator'!$C$22)/2</f>
        <v>19.163310335852319</v>
      </c>
      <c r="AA1283" s="16">
        <f>Y1283/'Gearing Calculator'!$C$24</f>
        <v>27.809246811819744</v>
      </c>
      <c r="AB1283" s="16">
        <f t="shared" si="142"/>
        <v>271.30166800437911</v>
      </c>
      <c r="AC1283" s="16">
        <v>0</v>
      </c>
      <c r="AD1283" s="16">
        <v>0</v>
      </c>
      <c r="AE1283" s="16">
        <v>1280</v>
      </c>
      <c r="AF1283" s="16">
        <f>IF(AC1283=0,IF(O1283=6,INDEX(Acceleration!$V$4:$V$110,MATCH('Track Data'!S1283,Acceleration!$K$4:$K$110,0)),IF('Track Data'!O1283=5,INDEX(Acceleration!$U$4:$U$110,MATCH('Track Data'!S1283,Acceleration!$K$4:$K$110,0)),1)),U1283)</f>
        <v>1</v>
      </c>
      <c r="AG1283" s="16">
        <f>IF(AC1283=0,IF(O1283=4,INDEX(Acceleration!$T$4:$T$110,MATCH('Track Data'!S1283,Acceleration!$K$4:$K$110,0)),IF('Track Data'!O1283=3,INDEX(Acceleration!$S$4:$S$110,MATCH('Track Data'!S1283,Acceleration!$K$4:$K$110,0)),'Track Data'!AF1283)),'Track Data'!U1283)</f>
        <v>4.4322975285970454</v>
      </c>
      <c r="AH1283" s="16">
        <f>IF(AC1283=0,IF(O1283=2,INDEX(Acceleration!$R$4:$R$110,MATCH('Track Data'!S1283,Acceleration!$K$4:$K$110,0)),IF('Track Data'!O1283=1,INDEX(Acceleration!$Q$4:$Q$110,MATCH('Track Data'!S1283,Acceleration!$K$4:$K$110,0)),'Track Data'!AG1283)),'Track Data'!U1283)</f>
        <v>4.4322975285970454</v>
      </c>
    </row>
    <row r="1284" spans="2:34" x14ac:dyDescent="0.25">
      <c r="B1284" s="16">
        <v>231.411</v>
      </c>
      <c r="C1284" s="16">
        <v>8554</v>
      </c>
      <c r="D1284" s="16">
        <v>1281</v>
      </c>
      <c r="E1284" s="113">
        <v>156</v>
      </c>
      <c r="F1284" s="113">
        <v>161.19999999999999</v>
      </c>
      <c r="G1284" s="113">
        <v>160.19999999999999</v>
      </c>
      <c r="H1284" s="113">
        <f t="shared" si="138"/>
        <v>44.499999999999993</v>
      </c>
      <c r="I1284" s="113">
        <v>8.4</v>
      </c>
      <c r="J1284" s="113">
        <v>41.96</v>
      </c>
      <c r="K1284" s="113">
        <v>-12.4</v>
      </c>
      <c r="L1284" s="185"/>
      <c r="M1284" s="16">
        <v>1281</v>
      </c>
      <c r="N1284" s="16">
        <f t="shared" si="140"/>
        <v>2.0392566500270635E-2</v>
      </c>
      <c r="O1284" s="16">
        <v>4</v>
      </c>
      <c r="P1284" s="16">
        <f t="shared" ref="P1284:P1347" si="143">VLOOKUP(O1284,$AJ$5:$AK$10,2,FALSE)</f>
        <v>9.1833785004516724</v>
      </c>
      <c r="Q1284" s="16">
        <f t="shared" si="141"/>
        <v>49.037476473926354</v>
      </c>
      <c r="R1284" s="113">
        <f t="shared" ref="R1284:R1347" si="144">VLOOKUP(O1284,$AJ$5:$AL$10,3,FALSE)</f>
        <v>329.49099999999999</v>
      </c>
      <c r="S1284" s="16">
        <f>IF(S1283=15800,15800,ROUND((((Q1284*60)/'Gearing Calculator'!$C$14)*'Track Data'!P1284),-2))</f>
        <v>13700</v>
      </c>
      <c r="T1284" s="16">
        <f t="shared" si="139"/>
        <v>4.3864649846265227</v>
      </c>
      <c r="U1284" s="16">
        <f>IF(AC1284=100,Braking!$AG$2354,IF(AC1284=50,Braking!$AG$1179,IF(AC1284=75,Braking!$AG$1767,0)))</f>
        <v>0</v>
      </c>
      <c r="V1284" s="16">
        <f>0.5*'Gearing Calculator'!$C$15*'Gearing Calculator'!$C$20*'Gearing Calculator'!$W$20*('Track Data'!Q1284^2)</f>
        <v>254.51070663084437</v>
      </c>
      <c r="W1284" s="16">
        <f>('Gearing Calculator'!$U$9*'Track Data'!T1284)+'Track Data'!V1284</f>
        <v>1422.1876855384246</v>
      </c>
      <c r="X1284" s="16">
        <f>('Gearing Calculator'!$U$9*9.81)*('Gearing Calculator'!$U$16/'Gearing Calculator'!$C$7)-(('Track Data'!W1284)*('Gearing Calculator'!$U$17/'Gearing Calculator'!$C$7))</f>
        <v>625.9728848752884</v>
      </c>
      <c r="Y1284" s="16">
        <f>('Gearing Calculator'!$U$9*9.81)*(('Gearing Calculator'!$C$7-'Gearing Calculator'!$U$16)/'Gearing Calculator'!$C$7)+(('Track Data'!W1284)*('Gearing Calculator'!$U$17/'Gearing Calculator'!$C$7))</f>
        <v>1985.4491151247116</v>
      </c>
      <c r="Z1284" s="16">
        <f>((X1284*COS('Gearing Calculator'!$C$21))/'Gearing Calculator'!$C$22)/2</f>
        <v>19.353101816783976</v>
      </c>
      <c r="AA1284" s="16">
        <f>Y1284/'Gearing Calculator'!$C$24</f>
        <v>27.72352893517856</v>
      </c>
      <c r="AB1284" s="16">
        <f t="shared" si="142"/>
        <v>272.05656656935048</v>
      </c>
      <c r="AC1284" s="16">
        <v>0</v>
      </c>
      <c r="AD1284" s="16">
        <v>0</v>
      </c>
      <c r="AE1284" s="16">
        <v>1281</v>
      </c>
      <c r="AF1284" s="16">
        <f>IF(AC1284=0,IF(O1284=6,INDEX(Acceleration!$V$4:$V$110,MATCH('Track Data'!S1284,Acceleration!$K$4:$K$110,0)),IF('Track Data'!O1284=5,INDEX(Acceleration!$U$4:$U$110,MATCH('Track Data'!S1284,Acceleration!$K$4:$K$110,0)),1)),U1284)</f>
        <v>1</v>
      </c>
      <c r="AG1284" s="16">
        <f>IF(AC1284=0,IF(O1284=4,INDEX(Acceleration!$T$4:$T$110,MATCH('Track Data'!S1284,Acceleration!$K$4:$K$110,0)),IF('Track Data'!O1284=3,INDEX(Acceleration!$S$4:$S$110,MATCH('Track Data'!S1284,Acceleration!$K$4:$K$110,0)),'Track Data'!AF1284)),'Track Data'!U1284)</f>
        <v>4.3864649846265227</v>
      </c>
      <c r="AH1284" s="16">
        <f>IF(AC1284=0,IF(O1284=2,INDEX(Acceleration!$R$4:$R$110,MATCH('Track Data'!S1284,Acceleration!$K$4:$K$110,0)),IF('Track Data'!O1284=1,INDEX(Acceleration!$Q$4:$Q$110,MATCH('Track Data'!S1284,Acceleration!$K$4:$K$110,0)),'Track Data'!AG1284)),'Track Data'!U1284)</f>
        <v>4.3864649846265227</v>
      </c>
    </row>
    <row r="1285" spans="2:34" x14ac:dyDescent="0.25">
      <c r="B1285" s="16">
        <v>231.434</v>
      </c>
      <c r="C1285" s="16">
        <v>8555</v>
      </c>
      <c r="D1285" s="16">
        <v>1282</v>
      </c>
      <c r="E1285" s="113">
        <v>154</v>
      </c>
      <c r="F1285" s="113">
        <v>160.6</v>
      </c>
      <c r="G1285" s="113">
        <v>160.4</v>
      </c>
      <c r="H1285" s="113">
        <f t="shared" ref="H1285:H1348" si="145">G1285/3.6</f>
        <v>44.555555555555557</v>
      </c>
      <c r="I1285" s="113">
        <v>8.5</v>
      </c>
      <c r="J1285" s="113">
        <v>47.82</v>
      </c>
      <c r="K1285" s="113">
        <v>-12.4</v>
      </c>
      <c r="L1285" s="185"/>
      <c r="M1285" s="16">
        <v>1282</v>
      </c>
      <c r="N1285" s="16">
        <f t="shared" si="140"/>
        <v>2.0355469056149492E-2</v>
      </c>
      <c r="O1285" s="16">
        <v>4</v>
      </c>
      <c r="P1285" s="16">
        <f t="shared" si="143"/>
        <v>9.1833785004516724</v>
      </c>
      <c r="Q1285" s="16">
        <f t="shared" si="141"/>
        <v>49.126846315432601</v>
      </c>
      <c r="R1285" s="113">
        <f t="shared" si="144"/>
        <v>329.49099999999999</v>
      </c>
      <c r="S1285" s="16">
        <f>IF(S1284=15800,15800,ROUND((((Q1285*60)/'Gearing Calculator'!$C$14)*'Track Data'!P1285),-2))</f>
        <v>13700</v>
      </c>
      <c r="T1285" s="16">
        <f t="shared" ref="T1285:T1348" si="146">AH1285</f>
        <v>4.3864649846265227</v>
      </c>
      <c r="U1285" s="16">
        <f>IF(AC1285=100,Braking!$AG$2354,IF(AC1285=50,Braking!$AG$1179,IF(AC1285=75,Braking!$AG$1767,0)))</f>
        <v>0</v>
      </c>
      <c r="V1285" s="16">
        <f>0.5*'Gearing Calculator'!$C$15*'Gearing Calculator'!$C$20*'Gearing Calculator'!$W$20*('Track Data'!Q1285^2)</f>
        <v>255.43923353879012</v>
      </c>
      <c r="W1285" s="16">
        <f>('Gearing Calculator'!$U$9*'Track Data'!T1285)+'Track Data'!V1285</f>
        <v>1423.1162124463704</v>
      </c>
      <c r="X1285" s="16">
        <f>('Gearing Calculator'!$U$9*9.81)*('Gearing Calculator'!$U$16/'Gearing Calculator'!$C$7)-(('Track Data'!W1285)*('Gearing Calculator'!$U$17/'Gearing Calculator'!$C$7))</f>
        <v>625.46677429788906</v>
      </c>
      <c r="Y1285" s="16">
        <f>('Gearing Calculator'!$U$9*9.81)*(('Gearing Calculator'!$C$7-'Gearing Calculator'!$U$16)/'Gearing Calculator'!$C$7)+(('Track Data'!W1285)*('Gearing Calculator'!$U$17/'Gearing Calculator'!$C$7))</f>
        <v>1985.955225702111</v>
      </c>
      <c r="Z1285" s="16">
        <f>((X1285*COS('Gearing Calculator'!$C$21))/'Gearing Calculator'!$C$22)/2</f>
        <v>19.337454478422167</v>
      </c>
      <c r="AA1285" s="16">
        <f>Y1285/'Gearing Calculator'!$C$24</f>
        <v>27.730595936357307</v>
      </c>
      <c r="AB1285" s="16">
        <f t="shared" si="142"/>
        <v>272.98509347729623</v>
      </c>
      <c r="AC1285" s="16">
        <v>0</v>
      </c>
      <c r="AD1285" s="16">
        <v>0</v>
      </c>
      <c r="AE1285" s="16">
        <v>1282</v>
      </c>
      <c r="AF1285" s="16">
        <f>IF(AC1285=0,IF(O1285=6,INDEX(Acceleration!$V$4:$V$110,MATCH('Track Data'!S1285,Acceleration!$K$4:$K$110,0)),IF('Track Data'!O1285=5,INDEX(Acceleration!$U$4:$U$110,MATCH('Track Data'!S1285,Acceleration!$K$4:$K$110,0)),1)),U1285)</f>
        <v>1</v>
      </c>
      <c r="AG1285" s="16">
        <f>IF(AC1285=0,IF(O1285=4,INDEX(Acceleration!$T$4:$T$110,MATCH('Track Data'!S1285,Acceleration!$K$4:$K$110,0)),IF('Track Data'!O1285=3,INDEX(Acceleration!$S$4:$S$110,MATCH('Track Data'!S1285,Acceleration!$K$4:$K$110,0)),'Track Data'!AF1285)),'Track Data'!U1285)</f>
        <v>4.3864649846265227</v>
      </c>
      <c r="AH1285" s="16">
        <f>IF(AC1285=0,IF(O1285=2,INDEX(Acceleration!$R$4:$R$110,MATCH('Track Data'!S1285,Acceleration!$K$4:$K$110,0)),IF('Track Data'!O1285=1,INDEX(Acceleration!$Q$4:$Q$110,MATCH('Track Data'!S1285,Acceleration!$K$4:$K$110,0)),'Track Data'!AG1285)),'Track Data'!U1285)</f>
        <v>4.3864649846265227</v>
      </c>
    </row>
    <row r="1286" spans="2:34" x14ac:dyDescent="0.25">
      <c r="B1286" s="16">
        <v>231.45599999999999</v>
      </c>
      <c r="C1286" s="16">
        <v>8556</v>
      </c>
      <c r="D1286" s="16">
        <v>1283</v>
      </c>
      <c r="E1286" s="113">
        <v>154</v>
      </c>
      <c r="F1286" s="113">
        <v>159.9</v>
      </c>
      <c r="G1286" s="113">
        <v>160.30000000000001</v>
      </c>
      <c r="H1286" s="113">
        <f t="shared" si="145"/>
        <v>44.527777777777779</v>
      </c>
      <c r="I1286" s="113">
        <v>7.8</v>
      </c>
      <c r="J1286" s="113">
        <v>58.09</v>
      </c>
      <c r="K1286" s="113">
        <v>-12.7</v>
      </c>
      <c r="L1286" s="185"/>
      <c r="M1286" s="16">
        <v>1283</v>
      </c>
      <c r="N1286" s="16">
        <f t="shared" ref="N1286:N1349" si="147">1/Q1286</f>
        <v>2.0318573337316646E-2</v>
      </c>
      <c r="O1286" s="16">
        <v>4</v>
      </c>
      <c r="P1286" s="16">
        <f t="shared" si="143"/>
        <v>9.1833785004516724</v>
      </c>
      <c r="Q1286" s="16">
        <f t="shared" ref="Q1286:Q1349" si="148">IF(AD1285=0,SQRT(Q1285^2+(2*T1285)),Q1285)</f>
        <v>49.216053873399758</v>
      </c>
      <c r="R1286" s="113">
        <f t="shared" si="144"/>
        <v>329.49099999999999</v>
      </c>
      <c r="S1286" s="16">
        <f>IF(S1285=15800,15800,ROUND((((Q1286*60)/'Gearing Calculator'!$C$14)*'Track Data'!P1286),-2))</f>
        <v>13700</v>
      </c>
      <c r="T1286" s="16">
        <f t="shared" si="146"/>
        <v>4.3864649846265227</v>
      </c>
      <c r="U1286" s="16">
        <f>IF(AC1286=100,Braking!$AG$2354,IF(AC1286=50,Braking!$AG$1179,IF(AC1286=75,Braking!$AG$1767,0)))</f>
        <v>0</v>
      </c>
      <c r="V1286" s="16">
        <f>0.5*'Gearing Calculator'!$C$15*'Gearing Calculator'!$C$20*'Gearing Calculator'!$W$20*('Track Data'!Q1286^2)</f>
        <v>256.36776044673593</v>
      </c>
      <c r="W1286" s="16">
        <f>('Gearing Calculator'!$U$9*'Track Data'!T1286)+'Track Data'!V1286</f>
        <v>1424.0447393543161</v>
      </c>
      <c r="X1286" s="16">
        <f>('Gearing Calculator'!$U$9*9.81)*('Gearing Calculator'!$U$16/'Gearing Calculator'!$C$7)-(('Track Data'!W1286)*('Gearing Calculator'!$U$17/'Gearing Calculator'!$C$7))</f>
        <v>624.96066372048972</v>
      </c>
      <c r="Y1286" s="16">
        <f>('Gearing Calculator'!$U$9*9.81)*(('Gearing Calculator'!$C$7-'Gearing Calculator'!$U$16)/'Gearing Calculator'!$C$7)+(('Track Data'!W1286)*('Gearing Calculator'!$U$17/'Gearing Calculator'!$C$7))</f>
        <v>1986.4613362795103</v>
      </c>
      <c r="Z1286" s="16">
        <f>((X1286*COS('Gearing Calculator'!$C$21))/'Gearing Calculator'!$C$22)/2</f>
        <v>19.321807140060358</v>
      </c>
      <c r="AA1286" s="16">
        <f>Y1286/'Gearing Calculator'!$C$24</f>
        <v>27.737662937536058</v>
      </c>
      <c r="AB1286" s="16">
        <f t="shared" si="142"/>
        <v>273.91362038524204</v>
      </c>
      <c r="AC1286" s="16">
        <v>0</v>
      </c>
      <c r="AD1286" s="16">
        <v>0</v>
      </c>
      <c r="AE1286" s="16">
        <v>1283</v>
      </c>
      <c r="AF1286" s="16">
        <f>IF(AC1286=0,IF(O1286=6,INDEX(Acceleration!$V$4:$V$110,MATCH('Track Data'!S1286,Acceleration!$K$4:$K$110,0)),IF('Track Data'!O1286=5,INDEX(Acceleration!$U$4:$U$110,MATCH('Track Data'!S1286,Acceleration!$K$4:$K$110,0)),1)),U1286)</f>
        <v>1</v>
      </c>
      <c r="AG1286" s="16">
        <f>IF(AC1286=0,IF(O1286=4,INDEX(Acceleration!$T$4:$T$110,MATCH('Track Data'!S1286,Acceleration!$K$4:$K$110,0)),IF('Track Data'!O1286=3,INDEX(Acceleration!$S$4:$S$110,MATCH('Track Data'!S1286,Acceleration!$K$4:$K$110,0)),'Track Data'!AF1286)),'Track Data'!U1286)</f>
        <v>4.3864649846265227</v>
      </c>
      <c r="AH1286" s="16">
        <f>IF(AC1286=0,IF(O1286=2,INDEX(Acceleration!$R$4:$R$110,MATCH('Track Data'!S1286,Acceleration!$K$4:$K$110,0)),IF('Track Data'!O1286=1,INDEX(Acceleration!$Q$4:$Q$110,MATCH('Track Data'!S1286,Acceleration!$K$4:$K$110,0)),'Track Data'!AG1286)),'Track Data'!U1286)</f>
        <v>4.3864649846265227</v>
      </c>
    </row>
    <row r="1287" spans="2:34" x14ac:dyDescent="0.25">
      <c r="B1287" s="16">
        <v>231.47800000000001</v>
      </c>
      <c r="C1287" s="16">
        <v>8557</v>
      </c>
      <c r="D1287" s="16">
        <v>1284</v>
      </c>
      <c r="E1287" s="113">
        <v>154</v>
      </c>
      <c r="F1287" s="113">
        <v>159.19999999999999</v>
      </c>
      <c r="G1287" s="113">
        <v>160.19999999999999</v>
      </c>
      <c r="H1287" s="113">
        <f t="shared" si="145"/>
        <v>44.499999999999993</v>
      </c>
      <c r="I1287" s="113">
        <v>7.2</v>
      </c>
      <c r="J1287" s="113">
        <v>64.790000000000006</v>
      </c>
      <c r="K1287" s="113">
        <v>-13.2</v>
      </c>
      <c r="L1287" s="185"/>
      <c r="M1287" s="16">
        <v>1284</v>
      </c>
      <c r="N1287" s="16">
        <f t="shared" si="147"/>
        <v>2.0281877522167337E-2</v>
      </c>
      <c r="O1287" s="16">
        <v>4</v>
      </c>
      <c r="P1287" s="16">
        <f t="shared" si="143"/>
        <v>9.1833785004516724</v>
      </c>
      <c r="Q1287" s="16">
        <f t="shared" si="148"/>
        <v>49.305100028685075</v>
      </c>
      <c r="R1287" s="113">
        <f t="shared" si="144"/>
        <v>329.49099999999999</v>
      </c>
      <c r="S1287" s="16">
        <f>IF(S1286=15800,15800,ROUND((((Q1287*60)/'Gearing Calculator'!$C$14)*'Track Data'!P1287),-2))</f>
        <v>13700</v>
      </c>
      <c r="T1287" s="16">
        <f t="shared" si="146"/>
        <v>4.3864649846265227</v>
      </c>
      <c r="U1287" s="16">
        <f>IF(AC1287=100,Braking!$AG$2354,IF(AC1287=50,Braking!$AG$1179,IF(AC1287=75,Braking!$AG$1767,0)))</f>
        <v>0</v>
      </c>
      <c r="V1287" s="16">
        <f>0.5*'Gearing Calculator'!$C$15*'Gearing Calculator'!$C$20*'Gearing Calculator'!$W$20*('Track Data'!Q1287^2)</f>
        <v>257.29628735468174</v>
      </c>
      <c r="W1287" s="16">
        <f>('Gearing Calculator'!$U$9*'Track Data'!T1287)+'Track Data'!V1287</f>
        <v>1424.9732662622619</v>
      </c>
      <c r="X1287" s="16">
        <f>('Gearing Calculator'!$U$9*9.81)*('Gearing Calculator'!$U$16/'Gearing Calculator'!$C$7)-(('Track Data'!W1287)*('Gearing Calculator'!$U$17/'Gearing Calculator'!$C$7))</f>
        <v>624.45455314309049</v>
      </c>
      <c r="Y1287" s="16">
        <f>('Gearing Calculator'!$U$9*9.81)*(('Gearing Calculator'!$C$7-'Gearing Calculator'!$U$16)/'Gearing Calculator'!$C$7)+(('Track Data'!W1287)*('Gearing Calculator'!$U$17/'Gearing Calculator'!$C$7))</f>
        <v>1986.9674468569096</v>
      </c>
      <c r="Z1287" s="16">
        <f>((X1287*COS('Gearing Calculator'!$C$21))/'Gearing Calculator'!$C$22)/2</f>
        <v>19.306159801698556</v>
      </c>
      <c r="AA1287" s="16">
        <f>Y1287/'Gearing Calculator'!$C$24</f>
        <v>27.744729938714805</v>
      </c>
      <c r="AB1287" s="16">
        <f t="shared" si="142"/>
        <v>274.84214729318785</v>
      </c>
      <c r="AC1287" s="16">
        <v>0</v>
      </c>
      <c r="AD1287" s="16">
        <v>0</v>
      </c>
      <c r="AE1287" s="16">
        <v>1284</v>
      </c>
      <c r="AF1287" s="16">
        <f>IF(AC1287=0,IF(O1287=6,INDEX(Acceleration!$V$4:$V$110,MATCH('Track Data'!S1287,Acceleration!$K$4:$K$110,0)),IF('Track Data'!O1287=5,INDEX(Acceleration!$U$4:$U$110,MATCH('Track Data'!S1287,Acceleration!$K$4:$K$110,0)),1)),U1287)</f>
        <v>1</v>
      </c>
      <c r="AG1287" s="16">
        <f>IF(AC1287=0,IF(O1287=4,INDEX(Acceleration!$T$4:$T$110,MATCH('Track Data'!S1287,Acceleration!$K$4:$K$110,0)),IF('Track Data'!O1287=3,INDEX(Acceleration!$S$4:$S$110,MATCH('Track Data'!S1287,Acceleration!$K$4:$K$110,0)),'Track Data'!AF1287)),'Track Data'!U1287)</f>
        <v>4.3864649846265227</v>
      </c>
      <c r="AH1287" s="16">
        <f>IF(AC1287=0,IF(O1287=2,INDEX(Acceleration!$R$4:$R$110,MATCH('Track Data'!S1287,Acceleration!$K$4:$K$110,0)),IF('Track Data'!O1287=1,INDEX(Acceleration!$Q$4:$Q$110,MATCH('Track Data'!S1287,Acceleration!$K$4:$K$110,0)),'Track Data'!AG1287)),'Track Data'!U1287)</f>
        <v>4.3864649846265227</v>
      </c>
    </row>
    <row r="1288" spans="2:34" x14ac:dyDescent="0.25">
      <c r="B1288" s="16">
        <v>231.501</v>
      </c>
      <c r="C1288" s="16">
        <v>8558</v>
      </c>
      <c r="D1288" s="16">
        <v>1285</v>
      </c>
      <c r="E1288" s="113">
        <v>155</v>
      </c>
      <c r="F1288" s="113">
        <v>158.5</v>
      </c>
      <c r="G1288" s="113">
        <v>160.1</v>
      </c>
      <c r="H1288" s="113">
        <f t="shared" si="145"/>
        <v>44.472222222222221</v>
      </c>
      <c r="I1288" s="113">
        <v>6.6</v>
      </c>
      <c r="J1288" s="113">
        <v>72.8</v>
      </c>
      <c r="K1288" s="113">
        <v>-13.9</v>
      </c>
      <c r="L1288" s="185"/>
      <c r="M1288" s="16">
        <v>1285</v>
      </c>
      <c r="N1288" s="16">
        <f t="shared" si="147"/>
        <v>2.0245379812042982E-2</v>
      </c>
      <c r="O1288" s="16">
        <v>4</v>
      </c>
      <c r="P1288" s="16">
        <f t="shared" si="143"/>
        <v>9.1833785004516724</v>
      </c>
      <c r="Q1288" s="16">
        <f t="shared" si="148"/>
        <v>49.393985654205864</v>
      </c>
      <c r="R1288" s="113">
        <f t="shared" si="144"/>
        <v>329.49099999999999</v>
      </c>
      <c r="S1288" s="16">
        <f>IF(S1287=15800,15800,ROUND((((Q1288*60)/'Gearing Calculator'!$C$14)*'Track Data'!P1288),-2))</f>
        <v>13800</v>
      </c>
      <c r="T1288" s="16">
        <f t="shared" si="146"/>
        <v>4.3638993703129962</v>
      </c>
      <c r="U1288" s="16">
        <f>IF(AC1288=100,Braking!$AG$2354,IF(AC1288=50,Braking!$AG$1179,IF(AC1288=75,Braking!$AG$1767,0)))</f>
        <v>0</v>
      </c>
      <c r="V1288" s="16">
        <f>0.5*'Gearing Calculator'!$C$15*'Gearing Calculator'!$C$20*'Gearing Calculator'!$W$20*('Track Data'!Q1288^2)</f>
        <v>258.22481426262755</v>
      </c>
      <c r="W1288" s="16">
        <f>('Gearing Calculator'!$U$9*'Track Data'!T1288)+'Track Data'!V1288</f>
        <v>1419.894826639947</v>
      </c>
      <c r="X1288" s="16">
        <f>('Gearing Calculator'!$U$9*9.81)*('Gearing Calculator'!$U$16/'Gearing Calculator'!$C$7)-(('Track Data'!W1288)*('Gearing Calculator'!$U$17/'Gearing Calculator'!$C$7))</f>
        <v>627.22264956285233</v>
      </c>
      <c r="Y1288" s="16">
        <f>('Gearing Calculator'!$U$9*9.81)*(('Gearing Calculator'!$C$7-'Gearing Calculator'!$U$16)/'Gearing Calculator'!$C$7)+(('Track Data'!W1288)*('Gearing Calculator'!$U$17/'Gearing Calculator'!$C$7))</f>
        <v>1984.1993504371476</v>
      </c>
      <c r="Z1288" s="16">
        <f>((X1288*COS('Gearing Calculator'!$C$21))/'Gearing Calculator'!$C$22)/2</f>
        <v>19.391740588254507</v>
      </c>
      <c r="AA1288" s="16">
        <f>Y1288/'Gearing Calculator'!$C$24</f>
        <v>27.706078028371678</v>
      </c>
      <c r="AB1288" s="16">
        <f t="shared" si="142"/>
        <v>275.68041174387952</v>
      </c>
      <c r="AC1288" s="16">
        <v>0</v>
      </c>
      <c r="AD1288" s="16">
        <v>0</v>
      </c>
      <c r="AE1288" s="16">
        <v>1285</v>
      </c>
      <c r="AF1288" s="16">
        <f>IF(AC1288=0,IF(O1288=6,INDEX(Acceleration!$V$4:$V$110,MATCH('Track Data'!S1288,Acceleration!$K$4:$K$110,0)),IF('Track Data'!O1288=5,INDEX(Acceleration!$U$4:$U$110,MATCH('Track Data'!S1288,Acceleration!$K$4:$K$110,0)),1)),U1288)</f>
        <v>1</v>
      </c>
      <c r="AG1288" s="16">
        <f>IF(AC1288=0,IF(O1288=4,INDEX(Acceleration!$T$4:$T$110,MATCH('Track Data'!S1288,Acceleration!$K$4:$K$110,0)),IF('Track Data'!O1288=3,INDEX(Acceleration!$S$4:$S$110,MATCH('Track Data'!S1288,Acceleration!$K$4:$K$110,0)),'Track Data'!AF1288)),'Track Data'!U1288)</f>
        <v>4.3638993703129962</v>
      </c>
      <c r="AH1288" s="16">
        <f>IF(AC1288=0,IF(O1288=2,INDEX(Acceleration!$R$4:$R$110,MATCH('Track Data'!S1288,Acceleration!$K$4:$K$110,0)),IF('Track Data'!O1288=1,INDEX(Acceleration!$Q$4:$Q$110,MATCH('Track Data'!S1288,Acceleration!$K$4:$K$110,0)),'Track Data'!AG1288)),'Track Data'!U1288)</f>
        <v>4.3638993703129962</v>
      </c>
    </row>
    <row r="1289" spans="2:34" x14ac:dyDescent="0.25">
      <c r="B1289" s="16">
        <v>231.523</v>
      </c>
      <c r="C1289" s="16">
        <v>8559</v>
      </c>
      <c r="D1289" s="16">
        <v>1286</v>
      </c>
      <c r="E1289" s="113">
        <v>155</v>
      </c>
      <c r="F1289" s="113">
        <v>158.19999999999999</v>
      </c>
      <c r="G1289" s="113">
        <v>160</v>
      </c>
      <c r="H1289" s="113">
        <f t="shared" si="145"/>
        <v>44.444444444444443</v>
      </c>
      <c r="I1289" s="113">
        <v>4.9000000000000004</v>
      </c>
      <c r="J1289" s="113">
        <v>77.400000000000006</v>
      </c>
      <c r="K1289" s="113">
        <v>-14.3</v>
      </c>
      <c r="L1289" s="185"/>
      <c r="M1289" s="16">
        <v>1286</v>
      </c>
      <c r="N1289" s="16">
        <f t="shared" si="147"/>
        <v>2.0209264679321902E-2</v>
      </c>
      <c r="O1289" s="16">
        <v>4</v>
      </c>
      <c r="P1289" s="16">
        <f t="shared" si="143"/>
        <v>9.1833785004516724</v>
      </c>
      <c r="Q1289" s="16">
        <f t="shared" si="148"/>
        <v>49.482255582668422</v>
      </c>
      <c r="R1289" s="113">
        <f t="shared" si="144"/>
        <v>329.49099999999999</v>
      </c>
      <c r="S1289" s="16">
        <f>IF(S1288=15800,15800,ROUND((((Q1289*60)/'Gearing Calculator'!$C$14)*'Track Data'!P1289),-2))</f>
        <v>13800</v>
      </c>
      <c r="T1289" s="16">
        <f t="shared" si="146"/>
        <v>-11.216477997530474</v>
      </c>
      <c r="U1289" s="16">
        <f>IF(AC1289=100,Braking!$AG$2354,IF(AC1289=50,Braking!$AG$1179,IF(AC1289=75,Braking!$AG$1767,0)))</f>
        <v>-11.216477997530474</v>
      </c>
      <c r="V1289" s="16">
        <f>0.5*'Gearing Calculator'!$C$15*'Gearing Calculator'!$C$20*'Gearing Calculator'!$W$20*('Track Data'!Q1289^2)</f>
        <v>259.14856448133537</v>
      </c>
      <c r="W1289" s="16">
        <f>('Gearing Calculator'!$U$9*'Track Data'!T1289)+'Track Data'!V1289</f>
        <v>-2726.6778784612761</v>
      </c>
      <c r="X1289" s="16">
        <f>('Gearing Calculator'!$U$9*9.81)*('Gearing Calculator'!$U$16/'Gearing Calculator'!$C$7)-(('Track Data'!W1289)*('Gearing Calculator'!$U$17/'Gearing Calculator'!$C$7))</f>
        <v>2887.3879587727847</v>
      </c>
      <c r="Y1289" s="16">
        <f>('Gearing Calculator'!$U$9*9.81)*(('Gearing Calculator'!$C$7-'Gearing Calculator'!$U$16)/'Gearing Calculator'!$C$7)+(('Track Data'!W1289)*('Gearing Calculator'!$U$17/'Gearing Calculator'!$C$7))</f>
        <v>-275.96595877278469</v>
      </c>
      <c r="Z1289" s="16">
        <f>((X1289*COS('Gearing Calculator'!$C$21))/'Gearing Calculator'!$C$22)/2</f>
        <v>89.268903655177681</v>
      </c>
      <c r="AA1289" s="16">
        <f>Y1289/'Gearing Calculator'!$C$24</f>
        <v>-3.8534103870403271</v>
      </c>
      <c r="AB1289" s="16">
        <f t="shared" si="142"/>
        <v>214.28265249121347</v>
      </c>
      <c r="AC1289" s="16">
        <v>50</v>
      </c>
      <c r="AD1289" s="16">
        <v>0</v>
      </c>
      <c r="AE1289" s="16">
        <v>1286</v>
      </c>
      <c r="AF1289" s="16">
        <f>IF(AC1289=0,IF(O1289=6,INDEX(Acceleration!$V$4:$V$110,MATCH('Track Data'!S1289,Acceleration!$K$4:$K$110,0)),IF('Track Data'!O1289=5,INDEX(Acceleration!$U$4:$U$110,MATCH('Track Data'!S1289,Acceleration!$K$4:$K$110,0)),1)),U1289)</f>
        <v>-11.216477997530474</v>
      </c>
      <c r="AG1289" s="16">
        <f>IF(AC1289=0,IF(O1289=4,INDEX(Acceleration!$T$4:$T$110,MATCH('Track Data'!S1289,Acceleration!$K$4:$K$110,0)),IF('Track Data'!O1289=3,INDEX(Acceleration!$S$4:$S$110,MATCH('Track Data'!S1289,Acceleration!$K$4:$K$110,0)),'Track Data'!AF1289)),'Track Data'!U1289)</f>
        <v>-11.216477997530474</v>
      </c>
      <c r="AH1289" s="16">
        <f>IF(AC1289=0,IF(O1289=2,INDEX(Acceleration!$R$4:$R$110,MATCH('Track Data'!S1289,Acceleration!$K$4:$K$110,0)),IF('Track Data'!O1289=1,INDEX(Acceleration!$Q$4:$Q$110,MATCH('Track Data'!S1289,Acceleration!$K$4:$K$110,0)),'Track Data'!AG1289)),'Track Data'!U1289)</f>
        <v>-11.216477997530474</v>
      </c>
    </row>
    <row r="1290" spans="2:34" x14ac:dyDescent="0.25">
      <c r="B1290" s="16">
        <v>231.54599999999999</v>
      </c>
      <c r="C1290" s="16">
        <v>8560</v>
      </c>
      <c r="D1290" s="16">
        <v>1287</v>
      </c>
      <c r="E1290" s="113">
        <v>154</v>
      </c>
      <c r="F1290" s="113">
        <v>157.6</v>
      </c>
      <c r="G1290" s="113">
        <v>159.80000000000001</v>
      </c>
      <c r="H1290" s="113">
        <f t="shared" si="145"/>
        <v>44.388888888888893</v>
      </c>
      <c r="I1290" s="113">
        <v>3.5</v>
      </c>
      <c r="J1290" s="113">
        <v>81.540000000000006</v>
      </c>
      <c r="K1290" s="113">
        <v>-14.1</v>
      </c>
      <c r="L1290" s="185"/>
      <c r="M1290" s="16">
        <v>1287</v>
      </c>
      <c r="N1290" s="16">
        <f t="shared" si="147"/>
        <v>2.0302483774874668E-2</v>
      </c>
      <c r="O1290" s="16">
        <v>4</v>
      </c>
      <c r="P1290" s="16">
        <f t="shared" si="143"/>
        <v>9.1833785004516724</v>
      </c>
      <c r="Q1290" s="16">
        <f t="shared" si="148"/>
        <v>49.255057218050808</v>
      </c>
      <c r="R1290" s="113">
        <f t="shared" si="144"/>
        <v>329.49099999999999</v>
      </c>
      <c r="S1290" s="16">
        <f>IF(S1289=15800,15800,ROUND((((Q1290*60)/'Gearing Calculator'!$C$14)*'Track Data'!P1290),-2))</f>
        <v>13700</v>
      </c>
      <c r="T1290" s="16">
        <f t="shared" si="146"/>
        <v>-11.216477997530474</v>
      </c>
      <c r="U1290" s="16">
        <f>IF(AC1290=100,Braking!$AG$2354,IF(AC1290=50,Braking!$AG$1179,IF(AC1290=75,Braking!$AG$1767,0)))</f>
        <v>-11.216477997530474</v>
      </c>
      <c r="V1290" s="16">
        <f>0.5*'Gearing Calculator'!$C$15*'Gearing Calculator'!$C$20*'Gearing Calculator'!$W$20*('Track Data'!Q1290^2)</f>
        <v>256.77426041881807</v>
      </c>
      <c r="W1290" s="16">
        <f>('Gearing Calculator'!$U$9*'Track Data'!T1290)+'Track Data'!V1290</f>
        <v>-2729.0521825237938</v>
      </c>
      <c r="X1290" s="16">
        <f>('Gearing Calculator'!$U$9*9.81)*('Gearing Calculator'!$U$16/'Gearing Calculator'!$C$7)-(('Track Data'!W1290)*('Gearing Calculator'!$U$17/'Gearing Calculator'!$C$7))</f>
        <v>2888.6821166369446</v>
      </c>
      <c r="Y1290" s="16">
        <f>('Gearing Calculator'!$U$9*9.81)*(('Gearing Calculator'!$C$7-'Gearing Calculator'!$U$16)/'Gearing Calculator'!$C$7)+(('Track Data'!W1290)*('Gearing Calculator'!$U$17/'Gearing Calculator'!$C$7))</f>
        <v>-277.26011663694476</v>
      </c>
      <c r="Z1290" s="16">
        <f>((X1290*COS('Gearing Calculator'!$C$21))/'Gearing Calculator'!$C$22)/2</f>
        <v>89.308914923264908</v>
      </c>
      <c r="AA1290" s="16">
        <f>Y1290/'Gearing Calculator'!$C$24</f>
        <v>-3.8714811714892536</v>
      </c>
      <c r="AB1290" s="16">
        <f t="shared" si="142"/>
        <v>211.90834842869617</v>
      </c>
      <c r="AC1290" s="16">
        <v>50</v>
      </c>
      <c r="AD1290" s="16">
        <v>0</v>
      </c>
      <c r="AE1290" s="16">
        <v>1287</v>
      </c>
      <c r="AF1290" s="16">
        <f>IF(AC1290=0,IF(O1290=6,INDEX(Acceleration!$V$4:$V$110,MATCH('Track Data'!S1290,Acceleration!$K$4:$K$110,0)),IF('Track Data'!O1290=5,INDEX(Acceleration!$U$4:$U$110,MATCH('Track Data'!S1290,Acceleration!$K$4:$K$110,0)),1)),U1290)</f>
        <v>-11.216477997530474</v>
      </c>
      <c r="AG1290" s="16">
        <f>IF(AC1290=0,IF(O1290=4,INDEX(Acceleration!$T$4:$T$110,MATCH('Track Data'!S1290,Acceleration!$K$4:$K$110,0)),IF('Track Data'!O1290=3,INDEX(Acceleration!$S$4:$S$110,MATCH('Track Data'!S1290,Acceleration!$K$4:$K$110,0)),'Track Data'!AF1290)),'Track Data'!U1290)</f>
        <v>-11.216477997530474</v>
      </c>
      <c r="AH1290" s="16">
        <f>IF(AC1290=0,IF(O1290=2,INDEX(Acceleration!$R$4:$R$110,MATCH('Track Data'!S1290,Acceleration!$K$4:$K$110,0)),IF('Track Data'!O1290=1,INDEX(Acceleration!$Q$4:$Q$110,MATCH('Track Data'!S1290,Acceleration!$K$4:$K$110,0)),'Track Data'!AG1290)),'Track Data'!U1290)</f>
        <v>-11.216477997530474</v>
      </c>
    </row>
    <row r="1291" spans="2:34" x14ac:dyDescent="0.25">
      <c r="B1291" s="16">
        <v>231.56899999999999</v>
      </c>
      <c r="C1291" s="16">
        <v>8561</v>
      </c>
      <c r="D1291" s="16">
        <v>1288</v>
      </c>
      <c r="E1291" s="113">
        <v>153</v>
      </c>
      <c r="F1291" s="113">
        <v>157</v>
      </c>
      <c r="G1291" s="113">
        <v>159.4</v>
      </c>
      <c r="H1291" s="113">
        <f t="shared" si="145"/>
        <v>44.277777777777779</v>
      </c>
      <c r="I1291" s="113">
        <v>2.1</v>
      </c>
      <c r="J1291" s="113">
        <v>81.69</v>
      </c>
      <c r="K1291" s="113">
        <v>-13.9</v>
      </c>
      <c r="L1291" s="185"/>
      <c r="M1291" s="16">
        <v>1288</v>
      </c>
      <c r="N1291" s="16">
        <f t="shared" si="147"/>
        <v>2.0397004859111004E-2</v>
      </c>
      <c r="O1291" s="16">
        <v>4</v>
      </c>
      <c r="P1291" s="16">
        <f t="shared" si="143"/>
        <v>9.1833785004516724</v>
      </c>
      <c r="Q1291" s="16">
        <f t="shared" si="148"/>
        <v>49.026805989768469</v>
      </c>
      <c r="R1291" s="113">
        <f t="shared" si="144"/>
        <v>329.49099999999999</v>
      </c>
      <c r="S1291" s="16">
        <f>IF(S1290=15800,15800,ROUND((((Q1291*60)/'Gearing Calculator'!$C$14)*'Track Data'!P1291),-2))</f>
        <v>13700</v>
      </c>
      <c r="T1291" s="16">
        <f t="shared" si="146"/>
        <v>-11.216477997530474</v>
      </c>
      <c r="U1291" s="16">
        <f>IF(AC1291=100,Braking!$AG$2354,IF(AC1291=50,Braking!$AG$1179,IF(AC1291=75,Braking!$AG$1767,0)))</f>
        <v>-11.216477997530474</v>
      </c>
      <c r="V1291" s="16">
        <f>0.5*'Gearing Calculator'!$C$15*'Gearing Calculator'!$C$20*'Gearing Calculator'!$W$20*('Track Data'!Q1291^2)</f>
        <v>254.39995635630075</v>
      </c>
      <c r="W1291" s="16">
        <f>('Gearing Calculator'!$U$9*'Track Data'!T1291)+'Track Data'!V1291</f>
        <v>-2731.4264865863111</v>
      </c>
      <c r="X1291" s="16">
        <f>('Gearing Calculator'!$U$9*9.81)*('Gearing Calculator'!$U$16/'Gearing Calculator'!$C$7)-(('Track Data'!W1291)*('Gearing Calculator'!$U$17/'Gearing Calculator'!$C$7))</f>
        <v>2889.9762745011049</v>
      </c>
      <c r="Y1291" s="16">
        <f>('Gearing Calculator'!$U$9*9.81)*(('Gearing Calculator'!$C$7-'Gearing Calculator'!$U$16)/'Gearing Calculator'!$C$7)+(('Track Data'!W1291)*('Gearing Calculator'!$U$17/'Gearing Calculator'!$C$7))</f>
        <v>-278.5542745011046</v>
      </c>
      <c r="Z1291" s="16">
        <f>((X1291*COS('Gearing Calculator'!$C$21))/'Gearing Calculator'!$C$22)/2</f>
        <v>89.348926191352135</v>
      </c>
      <c r="AA1291" s="16">
        <f>Y1291/'Gearing Calculator'!$C$24</f>
        <v>-3.889551955938177</v>
      </c>
      <c r="AB1291" s="16">
        <f t="shared" si="142"/>
        <v>209.53404436617885</v>
      </c>
      <c r="AC1291" s="16">
        <v>50</v>
      </c>
      <c r="AD1291" s="16">
        <v>0</v>
      </c>
      <c r="AE1291" s="16">
        <v>1288</v>
      </c>
      <c r="AF1291" s="16">
        <f>IF(AC1291=0,IF(O1291=6,INDEX(Acceleration!$V$4:$V$110,MATCH('Track Data'!S1291,Acceleration!$K$4:$K$110,0)),IF('Track Data'!O1291=5,INDEX(Acceleration!$U$4:$U$110,MATCH('Track Data'!S1291,Acceleration!$K$4:$K$110,0)),1)),U1291)</f>
        <v>-11.216477997530474</v>
      </c>
      <c r="AG1291" s="16">
        <f>IF(AC1291=0,IF(O1291=4,INDEX(Acceleration!$T$4:$T$110,MATCH('Track Data'!S1291,Acceleration!$K$4:$K$110,0)),IF('Track Data'!O1291=3,INDEX(Acceleration!$S$4:$S$110,MATCH('Track Data'!S1291,Acceleration!$K$4:$K$110,0)),'Track Data'!AF1291)),'Track Data'!U1291)</f>
        <v>-11.216477997530474</v>
      </c>
      <c r="AH1291" s="16">
        <f>IF(AC1291=0,IF(O1291=2,INDEX(Acceleration!$R$4:$R$110,MATCH('Track Data'!S1291,Acceleration!$K$4:$K$110,0)),IF('Track Data'!O1291=1,INDEX(Acceleration!$Q$4:$Q$110,MATCH('Track Data'!S1291,Acceleration!$K$4:$K$110,0)),'Track Data'!AG1291)),'Track Data'!U1291)</f>
        <v>-11.216477997530474</v>
      </c>
    </row>
    <row r="1292" spans="2:34" x14ac:dyDescent="0.25">
      <c r="B1292" s="16">
        <v>231.59200000000001</v>
      </c>
      <c r="C1292" s="16">
        <v>8562</v>
      </c>
      <c r="D1292" s="16">
        <v>1289</v>
      </c>
      <c r="E1292" s="113">
        <v>152</v>
      </c>
      <c r="F1292" s="113">
        <v>155.4</v>
      </c>
      <c r="G1292" s="113">
        <v>158.9</v>
      </c>
      <c r="H1292" s="113">
        <f t="shared" si="145"/>
        <v>44.138888888888893</v>
      </c>
      <c r="I1292" s="113">
        <v>1.2</v>
      </c>
      <c r="J1292" s="113">
        <v>81.69</v>
      </c>
      <c r="K1292" s="113">
        <v>-13.7</v>
      </c>
      <c r="L1292" s="185"/>
      <c r="M1292" s="16">
        <v>1289</v>
      </c>
      <c r="N1292" s="16">
        <f t="shared" si="147"/>
        <v>2.0492858525074098E-2</v>
      </c>
      <c r="O1292" s="16">
        <v>4</v>
      </c>
      <c r="P1292" s="16">
        <f t="shared" si="143"/>
        <v>9.1833785004516724</v>
      </c>
      <c r="Q1292" s="16">
        <f t="shared" si="148"/>
        <v>48.797487123450694</v>
      </c>
      <c r="R1292" s="113">
        <f t="shared" si="144"/>
        <v>329.49099999999999</v>
      </c>
      <c r="S1292" s="16">
        <f>IF(S1291=15800,15800,ROUND((((Q1292*60)/'Gearing Calculator'!$C$14)*'Track Data'!P1292),-2))</f>
        <v>13600</v>
      </c>
      <c r="T1292" s="16">
        <f t="shared" si="146"/>
        <v>-11.216477997530474</v>
      </c>
      <c r="U1292" s="16">
        <f>IF(AC1292=100,Braking!$AG$2354,IF(AC1292=50,Braking!$AG$1179,IF(AC1292=75,Braking!$AG$1767,0)))</f>
        <v>-11.216477997530474</v>
      </c>
      <c r="V1292" s="16">
        <f>0.5*'Gearing Calculator'!$C$15*'Gearing Calculator'!$C$20*'Gearing Calculator'!$W$20*('Track Data'!Q1292^2)</f>
        <v>252.02565229378348</v>
      </c>
      <c r="W1292" s="16">
        <f>('Gearing Calculator'!$U$9*'Track Data'!T1292)+'Track Data'!V1292</f>
        <v>-2733.8007906488283</v>
      </c>
      <c r="X1292" s="16">
        <f>('Gearing Calculator'!$U$9*9.81)*('Gearing Calculator'!$U$16/'Gearing Calculator'!$C$7)-(('Track Data'!W1292)*('Gearing Calculator'!$U$17/'Gearing Calculator'!$C$7))</f>
        <v>2891.2704323652647</v>
      </c>
      <c r="Y1292" s="16">
        <f>('Gearing Calculator'!$U$9*9.81)*(('Gearing Calculator'!$C$7-'Gearing Calculator'!$U$16)/'Gearing Calculator'!$C$7)+(('Track Data'!W1292)*('Gearing Calculator'!$U$17/'Gearing Calculator'!$C$7))</f>
        <v>-279.84843236526467</v>
      </c>
      <c r="Z1292" s="16">
        <f>((X1292*COS('Gearing Calculator'!$C$21))/'Gearing Calculator'!$C$22)/2</f>
        <v>89.388937459439362</v>
      </c>
      <c r="AA1292" s="16">
        <f>Y1292/'Gearing Calculator'!$C$24</f>
        <v>-3.9076227403871036</v>
      </c>
      <c r="AB1292" s="16">
        <f t="shared" si="142"/>
        <v>207.15974030366158</v>
      </c>
      <c r="AC1292" s="16">
        <v>50</v>
      </c>
      <c r="AD1292" s="16">
        <v>0</v>
      </c>
      <c r="AE1292" s="16">
        <v>1289</v>
      </c>
      <c r="AF1292" s="16">
        <f>IF(AC1292=0,IF(O1292=6,INDEX(Acceleration!$V$4:$V$110,MATCH('Track Data'!S1292,Acceleration!$K$4:$K$110,0)),IF('Track Data'!O1292=5,INDEX(Acceleration!$U$4:$U$110,MATCH('Track Data'!S1292,Acceleration!$K$4:$K$110,0)),1)),U1292)</f>
        <v>-11.216477997530474</v>
      </c>
      <c r="AG1292" s="16">
        <f>IF(AC1292=0,IF(O1292=4,INDEX(Acceleration!$T$4:$T$110,MATCH('Track Data'!S1292,Acceleration!$K$4:$K$110,0)),IF('Track Data'!O1292=3,INDEX(Acceleration!$S$4:$S$110,MATCH('Track Data'!S1292,Acceleration!$K$4:$K$110,0)),'Track Data'!AF1292)),'Track Data'!U1292)</f>
        <v>-11.216477997530474</v>
      </c>
      <c r="AH1292" s="16">
        <f>IF(AC1292=0,IF(O1292=2,INDEX(Acceleration!$R$4:$R$110,MATCH('Track Data'!S1292,Acceleration!$K$4:$K$110,0)),IF('Track Data'!O1292=1,INDEX(Acceleration!$Q$4:$Q$110,MATCH('Track Data'!S1292,Acceleration!$K$4:$K$110,0)),'Track Data'!AG1292)),'Track Data'!U1292)</f>
        <v>-11.216477997530474</v>
      </c>
    </row>
    <row r="1293" spans="2:34" x14ac:dyDescent="0.25">
      <c r="B1293" s="16">
        <v>231.614</v>
      </c>
      <c r="C1293" s="16">
        <v>8563</v>
      </c>
      <c r="D1293" s="16">
        <v>1290</v>
      </c>
      <c r="E1293" s="113">
        <v>151</v>
      </c>
      <c r="F1293" s="113">
        <v>154.69999999999999</v>
      </c>
      <c r="G1293" s="113">
        <v>158.5</v>
      </c>
      <c r="H1293" s="113">
        <f t="shared" si="145"/>
        <v>44.027777777777779</v>
      </c>
      <c r="I1293" s="113">
        <v>0.4</v>
      </c>
      <c r="J1293" s="113">
        <v>81.8</v>
      </c>
      <c r="K1293" s="113">
        <v>-12.9</v>
      </c>
      <c r="L1293" s="185"/>
      <c r="M1293" s="16">
        <v>1290</v>
      </c>
      <c r="N1293" s="16">
        <f t="shared" si="147"/>
        <v>2.0590076381749318E-2</v>
      </c>
      <c r="O1293" s="16">
        <v>4</v>
      </c>
      <c r="P1293" s="16">
        <f t="shared" si="143"/>
        <v>9.1833785004516724</v>
      </c>
      <c r="Q1293" s="16">
        <f t="shared" si="148"/>
        <v>48.567085495922804</v>
      </c>
      <c r="R1293" s="113">
        <f t="shared" si="144"/>
        <v>329.49099999999999</v>
      </c>
      <c r="S1293" s="16">
        <f>IF(S1292=15800,15800,ROUND((((Q1293*60)/'Gearing Calculator'!$C$14)*'Track Data'!P1293),-2))</f>
        <v>13500</v>
      </c>
      <c r="T1293" s="16">
        <f t="shared" si="146"/>
        <v>-11.216477997530474</v>
      </c>
      <c r="U1293" s="16">
        <f>IF(AC1293=100,Braking!$AG$2354,IF(AC1293=50,Braking!$AG$1179,IF(AC1293=75,Braking!$AG$1767,0)))</f>
        <v>-11.216477997530474</v>
      </c>
      <c r="V1293" s="16">
        <f>0.5*'Gearing Calculator'!$C$15*'Gearing Calculator'!$C$20*'Gearing Calculator'!$W$20*('Track Data'!Q1293^2)</f>
        <v>249.65134823126621</v>
      </c>
      <c r="W1293" s="16">
        <f>('Gearing Calculator'!$U$9*'Track Data'!T1293)+'Track Data'!V1293</f>
        <v>-2736.1750947113455</v>
      </c>
      <c r="X1293" s="16">
        <f>('Gearing Calculator'!$U$9*9.81)*('Gearing Calculator'!$U$16/'Gearing Calculator'!$C$7)-(('Track Data'!W1293)*('Gearing Calculator'!$U$17/'Gearing Calculator'!$C$7))</f>
        <v>2892.5645902294245</v>
      </c>
      <c r="Y1293" s="16">
        <f>('Gearing Calculator'!$U$9*9.81)*(('Gearing Calculator'!$C$7-'Gearing Calculator'!$U$16)/'Gearing Calculator'!$C$7)+(('Track Data'!W1293)*('Gearing Calculator'!$U$17/'Gearing Calculator'!$C$7))</f>
        <v>-281.14259022942451</v>
      </c>
      <c r="Z1293" s="16">
        <f>((X1293*COS('Gearing Calculator'!$C$21))/'Gearing Calculator'!$C$22)/2</f>
        <v>89.428948727526574</v>
      </c>
      <c r="AA1293" s="16">
        <f>Y1293/'Gearing Calculator'!$C$24</f>
        <v>-3.925693524836027</v>
      </c>
      <c r="AB1293" s="16">
        <f t="shared" si="142"/>
        <v>204.78543624114431</v>
      </c>
      <c r="AC1293" s="16">
        <v>50</v>
      </c>
      <c r="AD1293" s="16">
        <v>0</v>
      </c>
      <c r="AE1293" s="16">
        <v>1290</v>
      </c>
      <c r="AF1293" s="16">
        <f>IF(AC1293=0,IF(O1293=6,INDEX(Acceleration!$V$4:$V$110,MATCH('Track Data'!S1293,Acceleration!$K$4:$K$110,0)),IF('Track Data'!O1293=5,INDEX(Acceleration!$U$4:$U$110,MATCH('Track Data'!S1293,Acceleration!$K$4:$K$110,0)),1)),U1293)</f>
        <v>-11.216477997530474</v>
      </c>
      <c r="AG1293" s="16">
        <f>IF(AC1293=0,IF(O1293=4,INDEX(Acceleration!$T$4:$T$110,MATCH('Track Data'!S1293,Acceleration!$K$4:$K$110,0)),IF('Track Data'!O1293=3,INDEX(Acceleration!$S$4:$S$110,MATCH('Track Data'!S1293,Acceleration!$K$4:$K$110,0)),'Track Data'!AF1293)),'Track Data'!U1293)</f>
        <v>-11.216477997530474</v>
      </c>
      <c r="AH1293" s="16">
        <f>IF(AC1293=0,IF(O1293=2,INDEX(Acceleration!$R$4:$R$110,MATCH('Track Data'!S1293,Acceleration!$K$4:$K$110,0)),IF('Track Data'!O1293=1,INDEX(Acceleration!$Q$4:$Q$110,MATCH('Track Data'!S1293,Acceleration!$K$4:$K$110,0)),'Track Data'!AG1293)),'Track Data'!U1293)</f>
        <v>-11.216477997530474</v>
      </c>
    </row>
    <row r="1294" spans="2:34" x14ac:dyDescent="0.25">
      <c r="B1294" s="16">
        <v>231.637</v>
      </c>
      <c r="C1294" s="16">
        <v>8564</v>
      </c>
      <c r="D1294" s="16">
        <v>1291</v>
      </c>
      <c r="E1294" s="113">
        <v>150</v>
      </c>
      <c r="F1294" s="113">
        <v>154.19999999999999</v>
      </c>
      <c r="G1294" s="113">
        <v>158.1</v>
      </c>
      <c r="H1294" s="113">
        <f t="shared" si="145"/>
        <v>43.916666666666664</v>
      </c>
      <c r="I1294" s="113">
        <v>0</v>
      </c>
      <c r="J1294" s="113">
        <v>81.8</v>
      </c>
      <c r="K1294" s="113">
        <v>-12.1</v>
      </c>
      <c r="L1294" s="185"/>
      <c r="M1294" s="16">
        <v>1291</v>
      </c>
      <c r="N1294" s="16">
        <f t="shared" si="147"/>
        <v>2.0688691097856933E-2</v>
      </c>
      <c r="O1294" s="16">
        <v>4</v>
      </c>
      <c r="P1294" s="16">
        <f t="shared" si="143"/>
        <v>9.1833785004516724</v>
      </c>
      <c r="Q1294" s="16">
        <f t="shared" si="148"/>
        <v>48.335585623567383</v>
      </c>
      <c r="R1294" s="113">
        <f t="shared" si="144"/>
        <v>329.49099999999999</v>
      </c>
      <c r="S1294" s="16">
        <f>IF(S1293=15800,15800,ROUND((((Q1294*60)/'Gearing Calculator'!$C$14)*'Track Data'!P1294),-2))</f>
        <v>13500</v>
      </c>
      <c r="T1294" s="16">
        <f t="shared" si="146"/>
        <v>-11.216477997530474</v>
      </c>
      <c r="U1294" s="16">
        <f>IF(AC1294=100,Braking!$AG$2354,IF(AC1294=50,Braking!$AG$1179,IF(AC1294=75,Braking!$AG$1767,0)))</f>
        <v>-11.216477997530474</v>
      </c>
      <c r="V1294" s="16">
        <f>0.5*'Gearing Calculator'!$C$15*'Gearing Calculator'!$C$20*'Gearing Calculator'!$W$20*('Track Data'!Q1294^2)</f>
        <v>247.27704416874894</v>
      </c>
      <c r="W1294" s="16">
        <f>('Gearing Calculator'!$U$9*'Track Data'!T1294)+'Track Data'!V1294</f>
        <v>-2738.5493987738628</v>
      </c>
      <c r="X1294" s="16">
        <f>('Gearing Calculator'!$U$9*9.81)*('Gearing Calculator'!$U$16/'Gearing Calculator'!$C$7)-(('Track Data'!W1294)*('Gearing Calculator'!$U$17/'Gearing Calculator'!$C$7))</f>
        <v>2893.8587480935848</v>
      </c>
      <c r="Y1294" s="16">
        <f>('Gearing Calculator'!$U$9*9.81)*(('Gearing Calculator'!$C$7-'Gearing Calculator'!$U$16)/'Gearing Calculator'!$C$7)+(('Track Data'!W1294)*('Gearing Calculator'!$U$17/'Gearing Calculator'!$C$7))</f>
        <v>-282.43674809358458</v>
      </c>
      <c r="Z1294" s="16">
        <f>((X1294*COS('Gearing Calculator'!$C$21))/'Gearing Calculator'!$C$22)/2</f>
        <v>89.468959995613815</v>
      </c>
      <c r="AA1294" s="16">
        <f>Y1294/'Gearing Calculator'!$C$24</f>
        <v>-3.9437643092849535</v>
      </c>
      <c r="AB1294" s="16">
        <f t="shared" si="142"/>
        <v>202.41113217862704</v>
      </c>
      <c r="AC1294" s="16">
        <v>50</v>
      </c>
      <c r="AD1294" s="16">
        <v>0</v>
      </c>
      <c r="AE1294" s="16">
        <v>1291</v>
      </c>
      <c r="AF1294" s="16">
        <f>IF(AC1294=0,IF(O1294=6,INDEX(Acceleration!$V$4:$V$110,MATCH('Track Data'!S1294,Acceleration!$K$4:$K$110,0)),IF('Track Data'!O1294=5,INDEX(Acceleration!$U$4:$U$110,MATCH('Track Data'!S1294,Acceleration!$K$4:$K$110,0)),1)),U1294)</f>
        <v>-11.216477997530474</v>
      </c>
      <c r="AG1294" s="16">
        <f>IF(AC1294=0,IF(O1294=4,INDEX(Acceleration!$T$4:$T$110,MATCH('Track Data'!S1294,Acceleration!$K$4:$K$110,0)),IF('Track Data'!O1294=3,INDEX(Acceleration!$S$4:$S$110,MATCH('Track Data'!S1294,Acceleration!$K$4:$K$110,0)),'Track Data'!AF1294)),'Track Data'!U1294)</f>
        <v>-11.216477997530474</v>
      </c>
      <c r="AH1294" s="16">
        <f>IF(AC1294=0,IF(O1294=2,INDEX(Acceleration!$R$4:$R$110,MATCH('Track Data'!S1294,Acceleration!$K$4:$K$110,0)),IF('Track Data'!O1294=1,INDEX(Acceleration!$Q$4:$Q$110,MATCH('Track Data'!S1294,Acceleration!$K$4:$K$110,0)),'Track Data'!AG1294)),'Track Data'!U1294)</f>
        <v>-11.216477997530474</v>
      </c>
    </row>
    <row r="1295" spans="2:34" x14ac:dyDescent="0.25">
      <c r="B1295" s="16">
        <v>231.661</v>
      </c>
      <c r="C1295" s="16">
        <v>8565</v>
      </c>
      <c r="D1295" s="16">
        <v>1292</v>
      </c>
      <c r="E1295" s="113">
        <v>149</v>
      </c>
      <c r="F1295" s="113">
        <v>153.1</v>
      </c>
      <c r="G1295" s="113">
        <v>157.30000000000001</v>
      </c>
      <c r="H1295" s="113">
        <f t="shared" si="145"/>
        <v>43.69444444444445</v>
      </c>
      <c r="I1295" s="113">
        <v>-1.3</v>
      </c>
      <c r="J1295" s="113">
        <v>82.63</v>
      </c>
      <c r="K1295" s="113">
        <v>-10.7</v>
      </c>
      <c r="L1295" s="185"/>
      <c r="M1295" s="16">
        <v>1292</v>
      </c>
      <c r="N1295" s="16">
        <f t="shared" si="147"/>
        <v>2.0788736447974299E-2</v>
      </c>
      <c r="O1295" s="16">
        <v>4</v>
      </c>
      <c r="P1295" s="16">
        <f t="shared" si="143"/>
        <v>9.1833785004516724</v>
      </c>
      <c r="Q1295" s="16">
        <f t="shared" si="148"/>
        <v>48.102971650181374</v>
      </c>
      <c r="R1295" s="113">
        <f t="shared" si="144"/>
        <v>329.49099999999999</v>
      </c>
      <c r="S1295" s="16">
        <f>IF(S1294=15800,15800,ROUND((((Q1295*60)/'Gearing Calculator'!$C$14)*'Track Data'!P1295),-2))</f>
        <v>13400</v>
      </c>
      <c r="T1295" s="16">
        <f t="shared" si="146"/>
        <v>-11.216477997530474</v>
      </c>
      <c r="U1295" s="16">
        <f>IF(AC1295=100,Braking!$AG$2354,IF(AC1295=50,Braking!$AG$1179,IF(AC1295=75,Braking!$AG$1767,0)))</f>
        <v>-11.216477997530474</v>
      </c>
      <c r="V1295" s="16">
        <f>0.5*'Gearing Calculator'!$C$15*'Gearing Calculator'!$C$20*'Gearing Calculator'!$W$20*('Track Data'!Q1295^2)</f>
        <v>244.90274010623168</v>
      </c>
      <c r="W1295" s="16">
        <f>('Gearing Calculator'!$U$9*'Track Data'!T1295)+'Track Data'!V1295</f>
        <v>-2740.92370283638</v>
      </c>
      <c r="X1295" s="16">
        <f>('Gearing Calculator'!$U$9*9.81)*('Gearing Calculator'!$U$16/'Gearing Calculator'!$C$7)-(('Track Data'!W1295)*('Gearing Calculator'!$U$17/'Gearing Calculator'!$C$7))</f>
        <v>2895.1529059577442</v>
      </c>
      <c r="Y1295" s="16">
        <f>('Gearing Calculator'!$U$9*9.81)*(('Gearing Calculator'!$C$7-'Gearing Calculator'!$U$16)/'Gearing Calculator'!$C$7)+(('Track Data'!W1295)*('Gearing Calculator'!$U$17/'Gearing Calculator'!$C$7))</f>
        <v>-283.73090595774443</v>
      </c>
      <c r="Z1295" s="16">
        <f>((X1295*COS('Gearing Calculator'!$C$21))/'Gearing Calculator'!$C$22)/2</f>
        <v>89.508971263701028</v>
      </c>
      <c r="AA1295" s="16">
        <f>Y1295/'Gearing Calculator'!$C$24</f>
        <v>-3.9618350937338769</v>
      </c>
      <c r="AB1295" s="16">
        <f t="shared" si="142"/>
        <v>200.03682811610977</v>
      </c>
      <c r="AC1295" s="16">
        <v>50</v>
      </c>
      <c r="AD1295" s="16">
        <v>0</v>
      </c>
      <c r="AE1295" s="16">
        <v>1292</v>
      </c>
      <c r="AF1295" s="16">
        <f>IF(AC1295=0,IF(O1295=6,INDEX(Acceleration!$V$4:$V$110,MATCH('Track Data'!S1295,Acceleration!$K$4:$K$110,0)),IF('Track Data'!O1295=5,INDEX(Acceleration!$U$4:$U$110,MATCH('Track Data'!S1295,Acceleration!$K$4:$K$110,0)),1)),U1295)</f>
        <v>-11.216477997530474</v>
      </c>
      <c r="AG1295" s="16">
        <f>IF(AC1295=0,IF(O1295=4,INDEX(Acceleration!$T$4:$T$110,MATCH('Track Data'!S1295,Acceleration!$K$4:$K$110,0)),IF('Track Data'!O1295=3,INDEX(Acceleration!$S$4:$S$110,MATCH('Track Data'!S1295,Acceleration!$K$4:$K$110,0)),'Track Data'!AF1295)),'Track Data'!U1295)</f>
        <v>-11.216477997530474</v>
      </c>
      <c r="AH1295" s="16">
        <f>IF(AC1295=0,IF(O1295=2,INDEX(Acceleration!$R$4:$R$110,MATCH('Track Data'!S1295,Acceleration!$K$4:$K$110,0)),IF('Track Data'!O1295=1,INDEX(Acceleration!$Q$4:$Q$110,MATCH('Track Data'!S1295,Acceleration!$K$4:$K$110,0)),'Track Data'!AG1295)),'Track Data'!U1295)</f>
        <v>-11.216477997530474</v>
      </c>
    </row>
    <row r="1296" spans="2:34" x14ac:dyDescent="0.25">
      <c r="B1296" s="16">
        <v>231.684</v>
      </c>
      <c r="C1296" s="16">
        <v>8566</v>
      </c>
      <c r="D1296" s="16">
        <v>1293</v>
      </c>
      <c r="E1296" s="113">
        <v>148</v>
      </c>
      <c r="F1296" s="113">
        <v>152.4</v>
      </c>
      <c r="G1296" s="113">
        <v>156.69999999999999</v>
      </c>
      <c r="H1296" s="113">
        <f t="shared" si="145"/>
        <v>43.527777777777771</v>
      </c>
      <c r="I1296" s="113">
        <v>-1.6</v>
      </c>
      <c r="J1296" s="113">
        <v>83.23</v>
      </c>
      <c r="K1296" s="113">
        <v>-10.3</v>
      </c>
      <c r="L1296" s="185"/>
      <c r="M1296" s="16">
        <v>1293</v>
      </c>
      <c r="N1296" s="16">
        <f t="shared" si="147"/>
        <v>2.0890247361135518E-2</v>
      </c>
      <c r="O1296" s="16">
        <v>4</v>
      </c>
      <c r="P1296" s="16">
        <f t="shared" si="143"/>
        <v>9.1833785004516724</v>
      </c>
      <c r="Q1296" s="16">
        <f t="shared" si="148"/>
        <v>47.869227334302067</v>
      </c>
      <c r="R1296" s="113">
        <f t="shared" si="144"/>
        <v>329.49099999999999</v>
      </c>
      <c r="S1296" s="16">
        <f>IF(S1295=15800,15800,ROUND((((Q1296*60)/'Gearing Calculator'!$C$14)*'Track Data'!P1296),-2))</f>
        <v>13300</v>
      </c>
      <c r="T1296" s="16">
        <f t="shared" si="146"/>
        <v>-11.216477997530474</v>
      </c>
      <c r="U1296" s="16">
        <f>IF(AC1296=100,Braking!$AG$2354,IF(AC1296=50,Braking!$AG$1179,IF(AC1296=75,Braking!$AG$1767,0)))</f>
        <v>-11.216477997530474</v>
      </c>
      <c r="V1296" s="16">
        <f>0.5*'Gearing Calculator'!$C$15*'Gearing Calculator'!$C$20*'Gearing Calculator'!$W$20*('Track Data'!Q1296^2)</f>
        <v>242.52843604371446</v>
      </c>
      <c r="W1296" s="16">
        <f>('Gearing Calculator'!$U$9*'Track Data'!T1296)+'Track Data'!V1296</f>
        <v>-2743.2980068988973</v>
      </c>
      <c r="X1296" s="16">
        <f>('Gearing Calculator'!$U$9*9.81)*('Gearing Calculator'!$U$16/'Gearing Calculator'!$C$7)-(('Track Data'!W1296)*('Gearing Calculator'!$U$17/'Gearing Calculator'!$C$7))</f>
        <v>2896.4470638219045</v>
      </c>
      <c r="Y1296" s="16">
        <f>('Gearing Calculator'!$U$9*9.81)*(('Gearing Calculator'!$C$7-'Gearing Calculator'!$U$16)/'Gearing Calculator'!$C$7)+(('Track Data'!W1296)*('Gearing Calculator'!$U$17/'Gearing Calculator'!$C$7))</f>
        <v>-285.02506382190427</v>
      </c>
      <c r="Z1296" s="16">
        <f>((X1296*COS('Gearing Calculator'!$C$21))/'Gearing Calculator'!$C$22)/2</f>
        <v>89.548982531788255</v>
      </c>
      <c r="AA1296" s="16">
        <f>Y1296/'Gearing Calculator'!$C$24</f>
        <v>-3.9799058781828003</v>
      </c>
      <c r="AB1296" s="16">
        <f t="shared" si="142"/>
        <v>197.66252405359256</v>
      </c>
      <c r="AC1296" s="16">
        <v>50</v>
      </c>
      <c r="AD1296" s="16">
        <v>0</v>
      </c>
      <c r="AE1296" s="16">
        <v>1293</v>
      </c>
      <c r="AF1296" s="16">
        <f>IF(AC1296=0,IF(O1296=6,INDEX(Acceleration!$V$4:$V$110,MATCH('Track Data'!S1296,Acceleration!$K$4:$K$110,0)),IF('Track Data'!O1296=5,INDEX(Acceleration!$U$4:$U$110,MATCH('Track Data'!S1296,Acceleration!$K$4:$K$110,0)),1)),U1296)</f>
        <v>-11.216477997530474</v>
      </c>
      <c r="AG1296" s="16">
        <f>IF(AC1296=0,IF(O1296=4,INDEX(Acceleration!$T$4:$T$110,MATCH('Track Data'!S1296,Acceleration!$K$4:$K$110,0)),IF('Track Data'!O1296=3,INDEX(Acceleration!$S$4:$S$110,MATCH('Track Data'!S1296,Acceleration!$K$4:$K$110,0)),'Track Data'!AF1296)),'Track Data'!U1296)</f>
        <v>-11.216477997530474</v>
      </c>
      <c r="AH1296" s="16">
        <f>IF(AC1296=0,IF(O1296=2,INDEX(Acceleration!$R$4:$R$110,MATCH('Track Data'!S1296,Acceleration!$K$4:$K$110,0)),IF('Track Data'!O1296=1,INDEX(Acceleration!$Q$4:$Q$110,MATCH('Track Data'!S1296,Acceleration!$K$4:$K$110,0)),'Track Data'!AG1296)),'Track Data'!U1296)</f>
        <v>-11.216477997530474</v>
      </c>
    </row>
    <row r="1297" spans="2:34" x14ac:dyDescent="0.25">
      <c r="B1297" s="16">
        <v>231.708</v>
      </c>
      <c r="C1297" s="16">
        <v>8567</v>
      </c>
      <c r="D1297" s="16">
        <v>1294</v>
      </c>
      <c r="E1297" s="113">
        <v>147</v>
      </c>
      <c r="F1297" s="113">
        <v>151.6</v>
      </c>
      <c r="G1297" s="113">
        <v>156.1</v>
      </c>
      <c r="H1297" s="113">
        <f t="shared" si="145"/>
        <v>43.361111111111107</v>
      </c>
      <c r="I1297" s="113">
        <v>-1.9</v>
      </c>
      <c r="J1297" s="113">
        <v>85.22</v>
      </c>
      <c r="K1297" s="113">
        <v>-12</v>
      </c>
      <c r="L1297" s="185"/>
      <c r="M1297" s="16">
        <v>1294</v>
      </c>
      <c r="N1297" s="16">
        <f t="shared" si="147"/>
        <v>2.0993259972067243E-2</v>
      </c>
      <c r="O1297" s="16">
        <v>4</v>
      </c>
      <c r="P1297" s="16">
        <f t="shared" si="143"/>
        <v>9.1833785004516724</v>
      </c>
      <c r="Q1297" s="16">
        <f t="shared" si="148"/>
        <v>47.634336035973369</v>
      </c>
      <c r="R1297" s="113">
        <f t="shared" si="144"/>
        <v>329.49099999999999</v>
      </c>
      <c r="S1297" s="16">
        <f>IF(S1296=15800,15800,ROUND((((Q1297*60)/'Gearing Calculator'!$C$14)*'Track Data'!P1297),-2))</f>
        <v>13300</v>
      </c>
      <c r="T1297" s="16">
        <f t="shared" si="146"/>
        <v>-11.216477997530474</v>
      </c>
      <c r="U1297" s="16">
        <f>IF(AC1297=100,Braking!$AG$2354,IF(AC1297=50,Braking!$AG$1179,IF(AC1297=75,Braking!$AG$1767,0)))</f>
        <v>-11.216477997530474</v>
      </c>
      <c r="V1297" s="16">
        <f>0.5*'Gearing Calculator'!$C$15*'Gearing Calculator'!$C$20*'Gearing Calculator'!$W$20*('Track Data'!Q1297^2)</f>
        <v>240.1541319811972</v>
      </c>
      <c r="W1297" s="16">
        <f>('Gearing Calculator'!$U$9*'Track Data'!T1297)+'Track Data'!V1297</f>
        <v>-2745.6723109614145</v>
      </c>
      <c r="X1297" s="16">
        <f>('Gearing Calculator'!$U$9*9.81)*('Gearing Calculator'!$U$16/'Gearing Calculator'!$C$7)-(('Track Data'!W1297)*('Gearing Calculator'!$U$17/'Gearing Calculator'!$C$7))</f>
        <v>2897.7412216860644</v>
      </c>
      <c r="Y1297" s="16">
        <f>('Gearing Calculator'!$U$9*9.81)*(('Gearing Calculator'!$C$7-'Gearing Calculator'!$U$16)/'Gearing Calculator'!$C$7)+(('Track Data'!W1297)*('Gearing Calculator'!$U$17/'Gearing Calculator'!$C$7))</f>
        <v>-286.31922168606434</v>
      </c>
      <c r="Z1297" s="16">
        <f>((X1297*COS('Gearing Calculator'!$C$21))/'Gearing Calculator'!$C$22)/2</f>
        <v>89.588993799875482</v>
      </c>
      <c r="AA1297" s="16">
        <f>Y1297/'Gearing Calculator'!$C$24</f>
        <v>-3.9979766626317268</v>
      </c>
      <c r="AB1297" s="16">
        <f t="shared" si="142"/>
        <v>195.28821999107529</v>
      </c>
      <c r="AC1297" s="16">
        <v>50</v>
      </c>
      <c r="AD1297" s="16">
        <v>0</v>
      </c>
      <c r="AE1297" s="16">
        <v>1294</v>
      </c>
      <c r="AF1297" s="16">
        <f>IF(AC1297=0,IF(O1297=6,INDEX(Acceleration!$V$4:$V$110,MATCH('Track Data'!S1297,Acceleration!$K$4:$K$110,0)),IF('Track Data'!O1297=5,INDEX(Acceleration!$U$4:$U$110,MATCH('Track Data'!S1297,Acceleration!$K$4:$K$110,0)),1)),U1297)</f>
        <v>-11.216477997530474</v>
      </c>
      <c r="AG1297" s="16">
        <f>IF(AC1297=0,IF(O1297=4,INDEX(Acceleration!$T$4:$T$110,MATCH('Track Data'!S1297,Acceleration!$K$4:$K$110,0)),IF('Track Data'!O1297=3,INDEX(Acceleration!$S$4:$S$110,MATCH('Track Data'!S1297,Acceleration!$K$4:$K$110,0)),'Track Data'!AF1297)),'Track Data'!U1297)</f>
        <v>-11.216477997530474</v>
      </c>
      <c r="AH1297" s="16">
        <f>IF(AC1297=0,IF(O1297=2,INDEX(Acceleration!$R$4:$R$110,MATCH('Track Data'!S1297,Acceleration!$K$4:$K$110,0)),IF('Track Data'!O1297=1,INDEX(Acceleration!$Q$4:$Q$110,MATCH('Track Data'!S1297,Acceleration!$K$4:$K$110,0)),'Track Data'!AG1297)),'Track Data'!U1297)</f>
        <v>-11.216477997530474</v>
      </c>
    </row>
    <row r="1298" spans="2:34" x14ac:dyDescent="0.25">
      <c r="B1298" s="16">
        <v>231.732</v>
      </c>
      <c r="C1298" s="16">
        <v>8568</v>
      </c>
      <c r="D1298" s="16">
        <v>1295</v>
      </c>
      <c r="E1298" s="113">
        <v>146</v>
      </c>
      <c r="F1298" s="113">
        <v>150.5</v>
      </c>
      <c r="G1298" s="113">
        <v>155.19999999999999</v>
      </c>
      <c r="H1298" s="113">
        <f t="shared" si="145"/>
        <v>43.111111111111107</v>
      </c>
      <c r="I1298" s="113">
        <v>-1.7</v>
      </c>
      <c r="J1298" s="113">
        <v>85.55</v>
      </c>
      <c r="K1298" s="113">
        <v>-14.4</v>
      </c>
      <c r="L1298" s="185"/>
      <c r="M1298" s="16">
        <v>1295</v>
      </c>
      <c r="N1298" s="16">
        <f t="shared" si="147"/>
        <v>2.1097811675231424E-2</v>
      </c>
      <c r="O1298" s="16">
        <v>4</v>
      </c>
      <c r="P1298" s="16">
        <f t="shared" si="143"/>
        <v>9.1833785004516724</v>
      </c>
      <c r="Q1298" s="16">
        <f t="shared" si="148"/>
        <v>47.398280702921809</v>
      </c>
      <c r="R1298" s="113">
        <f t="shared" si="144"/>
        <v>329.49099999999999</v>
      </c>
      <c r="S1298" s="16">
        <f>IF(S1297=15800,15800,ROUND((((Q1298*60)/'Gearing Calculator'!$C$14)*'Track Data'!P1298),-2))</f>
        <v>13200</v>
      </c>
      <c r="T1298" s="16">
        <f t="shared" si="146"/>
        <v>-12.968079387143963</v>
      </c>
      <c r="U1298" s="16">
        <f>IF(AC1298=100,Braking!$AG$2354,IF(AC1298=50,Braking!$AG$1179,IF(AC1298=75,Braking!$AG$1767,0)))</f>
        <v>-12.968079387143963</v>
      </c>
      <c r="V1298" s="16">
        <f>0.5*'Gearing Calculator'!$C$15*'Gearing Calculator'!$C$20*'Gearing Calculator'!$W$20*('Track Data'!Q1298^2)</f>
        <v>237.77982791867993</v>
      </c>
      <c r="W1298" s="16">
        <f>('Gearing Calculator'!$U$9*'Track Data'!T1298)+'Track Data'!V1298</f>
        <v>-3214.3229049390429</v>
      </c>
      <c r="X1298" s="16">
        <f>('Gearing Calculator'!$U$9*9.81)*('Gearing Calculator'!$U$16/'Gearing Calculator'!$C$7)-(('Track Data'!W1298)*('Gearing Calculator'!$U$17/'Gearing Calculator'!$C$7))</f>
        <v>3153.1878013024725</v>
      </c>
      <c r="Y1298" s="16">
        <f>('Gearing Calculator'!$U$9*9.81)*(('Gearing Calculator'!$C$7-'Gearing Calculator'!$U$16)/'Gearing Calculator'!$C$7)+(('Track Data'!W1298)*('Gearing Calculator'!$U$17/'Gearing Calculator'!$C$7))</f>
        <v>-541.76580130247248</v>
      </c>
      <c r="Z1298" s="16">
        <f>((X1298*COS('Gearing Calculator'!$C$21))/'Gearing Calculator'!$C$22)/2</f>
        <v>97.486594132916238</v>
      </c>
      <c r="AA1298" s="16">
        <f>Y1298/'Gearing Calculator'!$C$24</f>
        <v>-7.5648676937035821</v>
      </c>
      <c r="AB1298" s="16">
        <f t="shared" si="142"/>
        <v>185.90751037010409</v>
      </c>
      <c r="AC1298" s="16">
        <v>75</v>
      </c>
      <c r="AD1298" s="16">
        <v>0</v>
      </c>
      <c r="AE1298" s="16">
        <v>1295</v>
      </c>
      <c r="AF1298" s="16">
        <f>IF(AC1298=0,IF(O1298=6,INDEX(Acceleration!$V$4:$V$110,MATCH('Track Data'!S1298,Acceleration!$K$4:$K$110,0)),IF('Track Data'!O1298=5,INDEX(Acceleration!$U$4:$U$110,MATCH('Track Data'!S1298,Acceleration!$K$4:$K$110,0)),1)),U1298)</f>
        <v>-12.968079387143963</v>
      </c>
      <c r="AG1298" s="16">
        <f>IF(AC1298=0,IF(O1298=4,INDEX(Acceleration!$T$4:$T$110,MATCH('Track Data'!S1298,Acceleration!$K$4:$K$110,0)),IF('Track Data'!O1298=3,INDEX(Acceleration!$S$4:$S$110,MATCH('Track Data'!S1298,Acceleration!$K$4:$K$110,0)),'Track Data'!AF1298)),'Track Data'!U1298)</f>
        <v>-12.968079387143963</v>
      </c>
      <c r="AH1298" s="16">
        <f>IF(AC1298=0,IF(O1298=2,INDEX(Acceleration!$R$4:$R$110,MATCH('Track Data'!S1298,Acceleration!$K$4:$K$110,0)),IF('Track Data'!O1298=1,INDEX(Acceleration!$Q$4:$Q$110,MATCH('Track Data'!S1298,Acceleration!$K$4:$K$110,0)),'Track Data'!AG1298)),'Track Data'!U1298)</f>
        <v>-12.968079387143963</v>
      </c>
    </row>
    <row r="1299" spans="2:34" x14ac:dyDescent="0.25">
      <c r="B1299" s="16">
        <v>231.756</v>
      </c>
      <c r="C1299" s="16">
        <v>8569</v>
      </c>
      <c r="D1299" s="16">
        <v>1296</v>
      </c>
      <c r="E1299" s="113">
        <v>145</v>
      </c>
      <c r="F1299" s="113">
        <v>149.69999999999999</v>
      </c>
      <c r="G1299" s="113">
        <v>154.5</v>
      </c>
      <c r="H1299" s="113">
        <f t="shared" si="145"/>
        <v>42.916666666666664</v>
      </c>
      <c r="I1299" s="113">
        <v>-1.7</v>
      </c>
      <c r="J1299" s="113">
        <v>87.64</v>
      </c>
      <c r="K1299" s="113">
        <v>-16.100000000000001</v>
      </c>
      <c r="L1299" s="185"/>
      <c r="M1299" s="16">
        <v>1296</v>
      </c>
      <c r="N1299" s="16">
        <f t="shared" si="147"/>
        <v>2.1220659725987551E-2</v>
      </c>
      <c r="O1299" s="16">
        <v>4</v>
      </c>
      <c r="P1299" s="16">
        <f t="shared" si="143"/>
        <v>9.1833785004516724</v>
      </c>
      <c r="Q1299" s="16">
        <f t="shared" si="148"/>
        <v>47.123888366927893</v>
      </c>
      <c r="R1299" s="113">
        <f t="shared" si="144"/>
        <v>329.49099999999999</v>
      </c>
      <c r="S1299" s="16">
        <f>IF(S1298=15800,15800,ROUND((((Q1299*60)/'Gearing Calculator'!$C$14)*'Track Data'!P1299),-2))</f>
        <v>13100</v>
      </c>
      <c r="T1299" s="16">
        <f t="shared" si="146"/>
        <v>-12.968079387143963</v>
      </c>
      <c r="U1299" s="16">
        <f>IF(AC1299=100,Braking!$AG$2354,IF(AC1299=50,Braking!$AG$1179,IF(AC1299=75,Braking!$AG$1767,0)))</f>
        <v>-12.968079387143963</v>
      </c>
      <c r="V1299" s="16">
        <f>0.5*'Gearing Calculator'!$C$15*'Gearing Calculator'!$C$20*'Gearing Calculator'!$W$20*('Track Data'!Q1299^2)</f>
        <v>235.03474487400928</v>
      </c>
      <c r="W1299" s="16">
        <f>('Gearing Calculator'!$U$9*'Track Data'!T1299)+'Track Data'!V1299</f>
        <v>-3217.0679879837135</v>
      </c>
      <c r="X1299" s="16">
        <f>('Gearing Calculator'!$U$9*9.81)*('Gearing Calculator'!$U$16/'Gearing Calculator'!$C$7)-(('Track Data'!W1299)*('Gearing Calculator'!$U$17/'Gearing Calculator'!$C$7))</f>
        <v>3154.684059033787</v>
      </c>
      <c r="Y1299" s="16">
        <f>('Gearing Calculator'!$U$9*9.81)*(('Gearing Calculator'!$C$7-'Gearing Calculator'!$U$16)/'Gearing Calculator'!$C$7)+(('Track Data'!W1299)*('Gearing Calculator'!$U$17/'Gearing Calculator'!$C$7))</f>
        <v>-543.26205903378695</v>
      </c>
      <c r="Z1299" s="16">
        <f>((X1299*COS('Gearing Calculator'!$C$21))/'Gearing Calculator'!$C$22)/2</f>
        <v>97.53285368970846</v>
      </c>
      <c r="AA1299" s="16">
        <f>Y1299/'Gearing Calculator'!$C$24</f>
        <v>-7.585760470150273</v>
      </c>
      <c r="AB1299" s="16">
        <f t="shared" si="142"/>
        <v>183.16242732543344</v>
      </c>
      <c r="AC1299" s="16">
        <v>75</v>
      </c>
      <c r="AD1299" s="16">
        <v>0</v>
      </c>
      <c r="AE1299" s="16">
        <v>1296</v>
      </c>
      <c r="AF1299" s="16">
        <f>IF(AC1299=0,IF(O1299=6,INDEX(Acceleration!$V$4:$V$110,MATCH('Track Data'!S1299,Acceleration!$K$4:$K$110,0)),IF('Track Data'!O1299=5,INDEX(Acceleration!$U$4:$U$110,MATCH('Track Data'!S1299,Acceleration!$K$4:$K$110,0)),1)),U1299)</f>
        <v>-12.968079387143963</v>
      </c>
      <c r="AG1299" s="16">
        <f>IF(AC1299=0,IF(O1299=4,INDEX(Acceleration!$T$4:$T$110,MATCH('Track Data'!S1299,Acceleration!$K$4:$K$110,0)),IF('Track Data'!O1299=3,INDEX(Acceleration!$S$4:$S$110,MATCH('Track Data'!S1299,Acceleration!$K$4:$K$110,0)),'Track Data'!AF1299)),'Track Data'!U1299)</f>
        <v>-12.968079387143963</v>
      </c>
      <c r="AH1299" s="16">
        <f>IF(AC1299=0,IF(O1299=2,INDEX(Acceleration!$R$4:$R$110,MATCH('Track Data'!S1299,Acceleration!$K$4:$K$110,0)),IF('Track Data'!O1299=1,INDEX(Acceleration!$Q$4:$Q$110,MATCH('Track Data'!S1299,Acceleration!$K$4:$K$110,0)),'Track Data'!AG1299)),'Track Data'!U1299)</f>
        <v>-12.968079387143963</v>
      </c>
    </row>
    <row r="1300" spans="2:34" x14ac:dyDescent="0.25">
      <c r="B1300" s="16">
        <v>231.779</v>
      </c>
      <c r="C1300" s="16">
        <v>8570</v>
      </c>
      <c r="D1300" s="16">
        <v>1297</v>
      </c>
      <c r="E1300" s="113">
        <v>144</v>
      </c>
      <c r="F1300" s="113">
        <v>148.9</v>
      </c>
      <c r="G1300" s="113">
        <v>153.69999999999999</v>
      </c>
      <c r="H1300" s="113">
        <f t="shared" si="145"/>
        <v>42.694444444444443</v>
      </c>
      <c r="I1300" s="113">
        <v>-2</v>
      </c>
      <c r="J1300" s="113">
        <v>88.98</v>
      </c>
      <c r="K1300" s="113">
        <v>-16.600000000000001</v>
      </c>
      <c r="L1300" s="185"/>
      <c r="M1300" s="16">
        <v>1297</v>
      </c>
      <c r="N1300" s="16">
        <f t="shared" si="147"/>
        <v>2.1345679028502727E-2</v>
      </c>
      <c r="O1300" s="16">
        <v>4</v>
      </c>
      <c r="P1300" s="16">
        <f t="shared" si="143"/>
        <v>9.1833785004516724</v>
      </c>
      <c r="Q1300" s="16">
        <f t="shared" si="148"/>
        <v>46.84788891769184</v>
      </c>
      <c r="R1300" s="113">
        <f t="shared" si="144"/>
        <v>329.49099999999999</v>
      </c>
      <c r="S1300" s="16">
        <f>IF(S1299=15800,15800,ROUND((((Q1300*60)/'Gearing Calculator'!$C$14)*'Track Data'!P1300),-2))</f>
        <v>13000</v>
      </c>
      <c r="T1300" s="16">
        <f t="shared" si="146"/>
        <v>-12.968079387143963</v>
      </c>
      <c r="U1300" s="16">
        <f>IF(AC1300=100,Braking!$AG$2354,IF(AC1300=50,Braking!$AG$1179,IF(AC1300=75,Braking!$AG$1767,0)))</f>
        <v>-12.968079387143963</v>
      </c>
      <c r="V1300" s="16">
        <f>0.5*'Gearing Calculator'!$C$15*'Gearing Calculator'!$C$20*'Gearing Calculator'!$W$20*('Track Data'!Q1300^2)</f>
        <v>232.28966182933863</v>
      </c>
      <c r="W1300" s="16">
        <f>('Gearing Calculator'!$U$9*'Track Data'!T1300)+'Track Data'!V1300</f>
        <v>-3219.8130710283845</v>
      </c>
      <c r="X1300" s="16">
        <f>('Gearing Calculator'!$U$9*9.81)*('Gearing Calculator'!$U$16/'Gearing Calculator'!$C$7)-(('Track Data'!W1300)*('Gearing Calculator'!$U$17/'Gearing Calculator'!$C$7))</f>
        <v>3156.1803167651015</v>
      </c>
      <c r="Y1300" s="16">
        <f>('Gearing Calculator'!$U$9*9.81)*(('Gearing Calculator'!$C$7-'Gearing Calculator'!$U$16)/'Gearing Calculator'!$C$7)+(('Track Data'!W1300)*('Gearing Calculator'!$U$17/'Gearing Calculator'!$C$7))</f>
        <v>-544.75831676510143</v>
      </c>
      <c r="Z1300" s="16">
        <f>((X1300*COS('Gearing Calculator'!$C$21))/'Gearing Calculator'!$C$22)/2</f>
        <v>97.579113246500683</v>
      </c>
      <c r="AA1300" s="16">
        <f>Y1300/'Gearing Calculator'!$C$24</f>
        <v>-7.6066532465969638</v>
      </c>
      <c r="AB1300" s="16">
        <f t="shared" si="142"/>
        <v>180.41734428076279</v>
      </c>
      <c r="AC1300" s="16">
        <v>75</v>
      </c>
      <c r="AD1300" s="16">
        <v>0</v>
      </c>
      <c r="AE1300" s="16">
        <v>1297</v>
      </c>
      <c r="AF1300" s="16">
        <f>IF(AC1300=0,IF(O1300=6,INDEX(Acceleration!$V$4:$V$110,MATCH('Track Data'!S1300,Acceleration!$K$4:$K$110,0)),IF('Track Data'!O1300=5,INDEX(Acceleration!$U$4:$U$110,MATCH('Track Data'!S1300,Acceleration!$K$4:$K$110,0)),1)),U1300)</f>
        <v>-12.968079387143963</v>
      </c>
      <c r="AG1300" s="16">
        <f>IF(AC1300=0,IF(O1300=4,INDEX(Acceleration!$T$4:$T$110,MATCH('Track Data'!S1300,Acceleration!$K$4:$K$110,0)),IF('Track Data'!O1300=3,INDEX(Acceleration!$S$4:$S$110,MATCH('Track Data'!S1300,Acceleration!$K$4:$K$110,0)),'Track Data'!AF1300)),'Track Data'!U1300)</f>
        <v>-12.968079387143963</v>
      </c>
      <c r="AH1300" s="16">
        <f>IF(AC1300=0,IF(O1300=2,INDEX(Acceleration!$R$4:$R$110,MATCH('Track Data'!S1300,Acceleration!$K$4:$K$110,0)),IF('Track Data'!O1300=1,INDEX(Acceleration!$Q$4:$Q$110,MATCH('Track Data'!S1300,Acceleration!$K$4:$K$110,0)),'Track Data'!AG1300)),'Track Data'!U1300)</f>
        <v>-12.968079387143963</v>
      </c>
    </row>
    <row r="1301" spans="2:34" x14ac:dyDescent="0.25">
      <c r="B1301" s="16">
        <v>231.803</v>
      </c>
      <c r="C1301" s="16">
        <v>8571</v>
      </c>
      <c r="D1301" s="16">
        <v>1298</v>
      </c>
      <c r="E1301" s="113">
        <v>143</v>
      </c>
      <c r="F1301" s="113">
        <v>147.6</v>
      </c>
      <c r="G1301" s="113">
        <v>152.6</v>
      </c>
      <c r="H1301" s="113">
        <f t="shared" si="145"/>
        <v>42.388888888888886</v>
      </c>
      <c r="I1301" s="113">
        <v>-2.2999999999999998</v>
      </c>
      <c r="J1301" s="113">
        <v>89.1</v>
      </c>
      <c r="K1301" s="113">
        <v>-16.600000000000001</v>
      </c>
      <c r="L1301" s="185"/>
      <c r="M1301" s="16">
        <v>1298</v>
      </c>
      <c r="N1301" s="16">
        <f t="shared" si="147"/>
        <v>2.1472934304643816E-2</v>
      </c>
      <c r="O1301" s="16">
        <v>4</v>
      </c>
      <c r="P1301" s="16">
        <f t="shared" si="143"/>
        <v>9.1833785004516724</v>
      </c>
      <c r="Q1301" s="16">
        <f t="shared" si="148"/>
        <v>46.570253781465546</v>
      </c>
      <c r="R1301" s="113">
        <f t="shared" si="144"/>
        <v>329.49099999999999</v>
      </c>
      <c r="S1301" s="16">
        <f>IF(S1300=15800,15800,ROUND((((Q1301*60)/'Gearing Calculator'!$C$14)*'Track Data'!P1301),-2))</f>
        <v>13000</v>
      </c>
      <c r="T1301" s="16">
        <f t="shared" si="146"/>
        <v>-12.968079387143963</v>
      </c>
      <c r="U1301" s="16">
        <f>IF(AC1301=100,Braking!$AG$2354,IF(AC1301=50,Braking!$AG$1179,IF(AC1301=75,Braking!$AG$1767,0)))</f>
        <v>-12.968079387143963</v>
      </c>
      <c r="V1301" s="16">
        <f>0.5*'Gearing Calculator'!$C$15*'Gearing Calculator'!$C$20*'Gearing Calculator'!$W$20*('Track Data'!Q1301^2)</f>
        <v>229.54457878466798</v>
      </c>
      <c r="W1301" s="16">
        <f>('Gearing Calculator'!$U$9*'Track Data'!T1301)+'Track Data'!V1301</f>
        <v>-3222.558154073055</v>
      </c>
      <c r="X1301" s="16">
        <f>('Gearing Calculator'!$U$9*9.81)*('Gearing Calculator'!$U$16/'Gearing Calculator'!$C$7)-(('Track Data'!W1301)*('Gearing Calculator'!$U$17/'Gearing Calculator'!$C$7))</f>
        <v>3157.6765744964159</v>
      </c>
      <c r="Y1301" s="16">
        <f>('Gearing Calculator'!$U$9*9.81)*(('Gearing Calculator'!$C$7-'Gearing Calculator'!$U$16)/'Gearing Calculator'!$C$7)+(('Track Data'!W1301)*('Gearing Calculator'!$U$17/'Gearing Calculator'!$C$7))</f>
        <v>-546.2545744964159</v>
      </c>
      <c r="Z1301" s="16">
        <f>((X1301*COS('Gearing Calculator'!$C$21))/'Gearing Calculator'!$C$22)/2</f>
        <v>97.625372803292905</v>
      </c>
      <c r="AA1301" s="16">
        <f>Y1301/'Gearing Calculator'!$C$24</f>
        <v>-7.6275460230436556</v>
      </c>
      <c r="AB1301" s="16">
        <f t="shared" si="142"/>
        <v>177.67226123609214</v>
      </c>
      <c r="AC1301" s="16">
        <v>75</v>
      </c>
      <c r="AD1301" s="16">
        <v>0</v>
      </c>
      <c r="AE1301" s="16">
        <v>1298</v>
      </c>
      <c r="AF1301" s="16">
        <f>IF(AC1301=0,IF(O1301=6,INDEX(Acceleration!$V$4:$V$110,MATCH('Track Data'!S1301,Acceleration!$K$4:$K$110,0)),IF('Track Data'!O1301=5,INDEX(Acceleration!$U$4:$U$110,MATCH('Track Data'!S1301,Acceleration!$K$4:$K$110,0)),1)),U1301)</f>
        <v>-12.968079387143963</v>
      </c>
      <c r="AG1301" s="16">
        <f>IF(AC1301=0,IF(O1301=4,INDEX(Acceleration!$T$4:$T$110,MATCH('Track Data'!S1301,Acceleration!$K$4:$K$110,0)),IF('Track Data'!O1301=3,INDEX(Acceleration!$S$4:$S$110,MATCH('Track Data'!S1301,Acceleration!$K$4:$K$110,0)),'Track Data'!AF1301)),'Track Data'!U1301)</f>
        <v>-12.968079387143963</v>
      </c>
      <c r="AH1301" s="16">
        <f>IF(AC1301=0,IF(O1301=2,INDEX(Acceleration!$R$4:$R$110,MATCH('Track Data'!S1301,Acceleration!$K$4:$K$110,0)),IF('Track Data'!O1301=1,INDEX(Acceleration!$Q$4:$Q$110,MATCH('Track Data'!S1301,Acceleration!$K$4:$K$110,0)),'Track Data'!AG1301)),'Track Data'!U1301)</f>
        <v>-12.968079387143963</v>
      </c>
    </row>
    <row r="1302" spans="2:34" x14ac:dyDescent="0.25">
      <c r="B1302" s="16">
        <v>231.827</v>
      </c>
      <c r="C1302" s="16">
        <v>8572</v>
      </c>
      <c r="D1302" s="16">
        <v>1299</v>
      </c>
      <c r="E1302" s="113">
        <v>142</v>
      </c>
      <c r="F1302" s="113">
        <v>146.9</v>
      </c>
      <c r="G1302" s="113">
        <v>151.80000000000001</v>
      </c>
      <c r="H1302" s="113">
        <f t="shared" si="145"/>
        <v>42.166666666666671</v>
      </c>
      <c r="I1302" s="113">
        <v>-2.4</v>
      </c>
      <c r="J1302" s="113">
        <v>89.39</v>
      </c>
      <c r="K1302" s="113">
        <v>-16.600000000000001</v>
      </c>
      <c r="L1302" s="185"/>
      <c r="M1302" s="16">
        <v>1299</v>
      </c>
      <c r="N1302" s="16">
        <f t="shared" si="147"/>
        <v>2.1602493009858736E-2</v>
      </c>
      <c r="O1302" s="16">
        <v>4</v>
      </c>
      <c r="P1302" s="16">
        <f t="shared" si="143"/>
        <v>9.1833785004516724</v>
      </c>
      <c r="Q1302" s="16">
        <f t="shared" si="148"/>
        <v>46.290953527615066</v>
      </c>
      <c r="R1302" s="113">
        <f t="shared" si="144"/>
        <v>329.49099999999999</v>
      </c>
      <c r="S1302" s="16">
        <f>IF(S1301=15800,15800,ROUND((((Q1302*60)/'Gearing Calculator'!$C$14)*'Track Data'!P1302),-2))</f>
        <v>12900</v>
      </c>
      <c r="T1302" s="16">
        <f t="shared" si="146"/>
        <v>-12.968079387143963</v>
      </c>
      <c r="U1302" s="16">
        <f>IF(AC1302=100,Braking!$AG$2354,IF(AC1302=50,Braking!$AG$1179,IF(AC1302=75,Braking!$AG$1767,0)))</f>
        <v>-12.968079387143963</v>
      </c>
      <c r="V1302" s="16">
        <f>0.5*'Gearing Calculator'!$C$15*'Gearing Calculator'!$C$20*'Gearing Calculator'!$W$20*('Track Data'!Q1302^2)</f>
        <v>226.79949573999735</v>
      </c>
      <c r="W1302" s="16">
        <f>('Gearing Calculator'!$U$9*'Track Data'!T1302)+'Track Data'!V1302</f>
        <v>-3225.3032371177255</v>
      </c>
      <c r="X1302" s="16">
        <f>('Gearing Calculator'!$U$9*9.81)*('Gearing Calculator'!$U$16/'Gearing Calculator'!$C$7)-(('Track Data'!W1302)*('Gearing Calculator'!$U$17/'Gearing Calculator'!$C$7))</f>
        <v>3159.1728322277304</v>
      </c>
      <c r="Y1302" s="16">
        <f>('Gearing Calculator'!$U$9*9.81)*(('Gearing Calculator'!$C$7-'Gearing Calculator'!$U$16)/'Gearing Calculator'!$C$7)+(('Track Data'!W1302)*('Gearing Calculator'!$U$17/'Gearing Calculator'!$C$7))</f>
        <v>-547.75083222773014</v>
      </c>
      <c r="Z1302" s="16">
        <f>((X1302*COS('Gearing Calculator'!$C$21))/'Gearing Calculator'!$C$22)/2</f>
        <v>97.671632360085127</v>
      </c>
      <c r="AA1302" s="16">
        <f>Y1302/'Gearing Calculator'!$C$24</f>
        <v>-7.6484387994903429</v>
      </c>
      <c r="AB1302" s="16">
        <f t="shared" si="142"/>
        <v>174.92717819142149</v>
      </c>
      <c r="AC1302" s="16">
        <v>75</v>
      </c>
      <c r="AD1302" s="16">
        <v>0</v>
      </c>
      <c r="AE1302" s="16">
        <v>1299</v>
      </c>
      <c r="AF1302" s="16">
        <f>IF(AC1302=0,IF(O1302=6,INDEX(Acceleration!$V$4:$V$110,MATCH('Track Data'!S1302,Acceleration!$K$4:$K$110,0)),IF('Track Data'!O1302=5,INDEX(Acceleration!$U$4:$U$110,MATCH('Track Data'!S1302,Acceleration!$K$4:$K$110,0)),1)),U1302)</f>
        <v>-12.968079387143963</v>
      </c>
      <c r="AG1302" s="16">
        <f>IF(AC1302=0,IF(O1302=4,INDEX(Acceleration!$T$4:$T$110,MATCH('Track Data'!S1302,Acceleration!$K$4:$K$110,0)),IF('Track Data'!O1302=3,INDEX(Acceleration!$S$4:$S$110,MATCH('Track Data'!S1302,Acceleration!$K$4:$K$110,0)),'Track Data'!AF1302)),'Track Data'!U1302)</f>
        <v>-12.968079387143963</v>
      </c>
      <c r="AH1302" s="16">
        <f>IF(AC1302=0,IF(O1302=2,INDEX(Acceleration!$R$4:$R$110,MATCH('Track Data'!S1302,Acceleration!$K$4:$K$110,0)),IF('Track Data'!O1302=1,INDEX(Acceleration!$Q$4:$Q$110,MATCH('Track Data'!S1302,Acceleration!$K$4:$K$110,0)),'Track Data'!AG1302)),'Track Data'!U1302)</f>
        <v>-12.968079387143963</v>
      </c>
    </row>
    <row r="1303" spans="2:34" x14ac:dyDescent="0.25">
      <c r="B1303" s="16">
        <v>231.852</v>
      </c>
      <c r="C1303" s="16">
        <v>8573</v>
      </c>
      <c r="D1303" s="16">
        <v>1300</v>
      </c>
      <c r="E1303" s="113">
        <v>140</v>
      </c>
      <c r="F1303" s="113">
        <v>145.80000000000001</v>
      </c>
      <c r="G1303" s="113">
        <v>150.80000000000001</v>
      </c>
      <c r="H1303" s="113">
        <f t="shared" si="145"/>
        <v>41.888888888888893</v>
      </c>
      <c r="I1303" s="113">
        <v>-3.2</v>
      </c>
      <c r="J1303" s="113">
        <v>91.47</v>
      </c>
      <c r="K1303" s="113">
        <v>-16.7</v>
      </c>
      <c r="L1303" s="185"/>
      <c r="M1303" s="16">
        <v>1300</v>
      </c>
      <c r="N1303" s="16">
        <f t="shared" si="147"/>
        <v>2.1734425483432723E-2</v>
      </c>
      <c r="O1303" s="16">
        <v>4</v>
      </c>
      <c r="P1303" s="16">
        <f t="shared" si="143"/>
        <v>9.1833785004516724</v>
      </c>
      <c r="Q1303" s="16">
        <f t="shared" si="148"/>
        <v>46.009957832207697</v>
      </c>
      <c r="R1303" s="113">
        <f t="shared" si="144"/>
        <v>329.49099999999999</v>
      </c>
      <c r="S1303" s="16">
        <f>IF(S1302=15800,15800,ROUND((((Q1303*60)/'Gearing Calculator'!$C$14)*'Track Data'!P1303),-2))</f>
        <v>12800</v>
      </c>
      <c r="T1303" s="16">
        <f t="shared" si="146"/>
        <v>-12.968079387143963</v>
      </c>
      <c r="U1303" s="16">
        <f>IF(AC1303=100,Braking!$AG$2354,IF(AC1303=50,Braking!$AG$1179,IF(AC1303=75,Braking!$AG$1767,0)))</f>
        <v>-12.968079387143963</v>
      </c>
      <c r="V1303" s="16">
        <f>0.5*'Gearing Calculator'!$C$15*'Gearing Calculator'!$C$20*'Gearing Calculator'!$W$20*('Track Data'!Q1303^2)</f>
        <v>224.05441269532676</v>
      </c>
      <c r="W1303" s="16">
        <f>('Gearing Calculator'!$U$9*'Track Data'!T1303)+'Track Data'!V1303</f>
        <v>-3228.0483201623961</v>
      </c>
      <c r="X1303" s="16">
        <f>('Gearing Calculator'!$U$9*9.81)*('Gearing Calculator'!$U$16/'Gearing Calculator'!$C$7)-(('Track Data'!W1303)*('Gearing Calculator'!$U$17/'Gearing Calculator'!$C$7))</f>
        <v>3160.6690899590449</v>
      </c>
      <c r="Y1303" s="16">
        <f>('Gearing Calculator'!$U$9*9.81)*(('Gearing Calculator'!$C$7-'Gearing Calculator'!$U$16)/'Gearing Calculator'!$C$7)+(('Track Data'!W1303)*('Gearing Calculator'!$U$17/'Gearing Calculator'!$C$7))</f>
        <v>-549.24708995904462</v>
      </c>
      <c r="Z1303" s="16">
        <f>((X1303*COS('Gearing Calculator'!$C$21))/'Gearing Calculator'!$C$22)/2</f>
        <v>97.717891916877349</v>
      </c>
      <c r="AA1303" s="16">
        <f>Y1303/'Gearing Calculator'!$C$24</f>
        <v>-7.6693315759370346</v>
      </c>
      <c r="AB1303" s="16">
        <f t="shared" si="142"/>
        <v>172.1820951467509</v>
      </c>
      <c r="AC1303" s="16">
        <v>75</v>
      </c>
      <c r="AD1303" s="16">
        <v>0</v>
      </c>
      <c r="AE1303" s="16">
        <v>1300</v>
      </c>
      <c r="AF1303" s="16">
        <f>IF(AC1303=0,IF(O1303=6,INDEX(Acceleration!$V$4:$V$110,MATCH('Track Data'!S1303,Acceleration!$K$4:$K$110,0)),IF('Track Data'!O1303=5,INDEX(Acceleration!$U$4:$U$110,MATCH('Track Data'!S1303,Acceleration!$K$4:$K$110,0)),1)),U1303)</f>
        <v>-12.968079387143963</v>
      </c>
      <c r="AG1303" s="16">
        <f>IF(AC1303=0,IF(O1303=4,INDEX(Acceleration!$T$4:$T$110,MATCH('Track Data'!S1303,Acceleration!$K$4:$K$110,0)),IF('Track Data'!O1303=3,INDEX(Acceleration!$S$4:$S$110,MATCH('Track Data'!S1303,Acceleration!$K$4:$K$110,0)),'Track Data'!AF1303)),'Track Data'!U1303)</f>
        <v>-12.968079387143963</v>
      </c>
      <c r="AH1303" s="16">
        <f>IF(AC1303=0,IF(O1303=2,INDEX(Acceleration!$R$4:$R$110,MATCH('Track Data'!S1303,Acceleration!$K$4:$K$110,0)),IF('Track Data'!O1303=1,INDEX(Acceleration!$Q$4:$Q$110,MATCH('Track Data'!S1303,Acceleration!$K$4:$K$110,0)),'Track Data'!AG1303)),'Track Data'!U1303)</f>
        <v>-12.968079387143963</v>
      </c>
    </row>
    <row r="1304" spans="2:34" x14ac:dyDescent="0.25">
      <c r="B1304" s="16">
        <v>231.87700000000001</v>
      </c>
      <c r="C1304" s="16">
        <v>8574</v>
      </c>
      <c r="D1304" s="16">
        <v>1301</v>
      </c>
      <c r="E1304" s="113">
        <v>139</v>
      </c>
      <c r="F1304" s="113">
        <v>144.9</v>
      </c>
      <c r="G1304" s="113">
        <v>150.1</v>
      </c>
      <c r="H1304" s="113">
        <f t="shared" si="145"/>
        <v>41.694444444444443</v>
      </c>
      <c r="I1304" s="113">
        <v>-3.3</v>
      </c>
      <c r="J1304" s="113">
        <v>92.37</v>
      </c>
      <c r="K1304" s="113">
        <v>-16.899999999999999</v>
      </c>
      <c r="L1304" s="185"/>
      <c r="M1304" s="16">
        <v>1301</v>
      </c>
      <c r="N1304" s="16">
        <f t="shared" si="147"/>
        <v>2.1868805108964065E-2</v>
      </c>
      <c r="O1304" s="16">
        <v>4</v>
      </c>
      <c r="P1304" s="16">
        <f t="shared" si="143"/>
        <v>9.1833785004516724</v>
      </c>
      <c r="Q1304" s="16">
        <f t="shared" si="148"/>
        <v>45.727235439585044</v>
      </c>
      <c r="R1304" s="113">
        <f t="shared" si="144"/>
        <v>329.49099999999999</v>
      </c>
      <c r="S1304" s="16">
        <f>IF(S1303=15800,15800,ROUND((((Q1304*60)/'Gearing Calculator'!$C$14)*'Track Data'!P1304),-2))</f>
        <v>12700</v>
      </c>
      <c r="T1304" s="16">
        <f t="shared" si="146"/>
        <v>-12.968079387143963</v>
      </c>
      <c r="U1304" s="16">
        <f>IF(AC1304=100,Braking!$AG$2354,IF(AC1304=50,Braking!$AG$1179,IF(AC1304=75,Braking!$AG$1767,0)))</f>
        <v>-12.968079387143963</v>
      </c>
      <c r="V1304" s="16">
        <f>0.5*'Gearing Calculator'!$C$15*'Gearing Calculator'!$C$20*'Gearing Calculator'!$W$20*('Track Data'!Q1304^2)</f>
        <v>221.30932965065611</v>
      </c>
      <c r="W1304" s="16">
        <f>('Gearing Calculator'!$U$9*'Track Data'!T1304)+'Track Data'!V1304</f>
        <v>-3230.7934032070666</v>
      </c>
      <c r="X1304" s="16">
        <f>('Gearing Calculator'!$U$9*9.81)*('Gearing Calculator'!$U$16/'Gearing Calculator'!$C$7)-(('Track Data'!W1304)*('Gearing Calculator'!$U$17/'Gearing Calculator'!$C$7))</f>
        <v>3162.1653476903589</v>
      </c>
      <c r="Y1304" s="16">
        <f>('Gearing Calculator'!$U$9*9.81)*(('Gearing Calculator'!$C$7-'Gearing Calculator'!$U$16)/'Gearing Calculator'!$C$7)+(('Track Data'!W1304)*('Gearing Calculator'!$U$17/'Gearing Calculator'!$C$7))</f>
        <v>-550.74334769035886</v>
      </c>
      <c r="Z1304" s="16">
        <f>((X1304*COS('Gearing Calculator'!$C$21))/'Gearing Calculator'!$C$22)/2</f>
        <v>97.764151473669557</v>
      </c>
      <c r="AA1304" s="16">
        <f>Y1304/'Gearing Calculator'!$C$24</f>
        <v>-7.6902243523837228</v>
      </c>
      <c r="AB1304" s="16">
        <f t="shared" si="142"/>
        <v>169.43701210208025</v>
      </c>
      <c r="AC1304" s="16">
        <v>75</v>
      </c>
      <c r="AD1304" s="16">
        <v>0</v>
      </c>
      <c r="AE1304" s="16">
        <v>1301</v>
      </c>
      <c r="AF1304" s="16">
        <f>IF(AC1304=0,IF(O1304=6,INDEX(Acceleration!$V$4:$V$110,MATCH('Track Data'!S1304,Acceleration!$K$4:$K$110,0)),IF('Track Data'!O1304=5,INDEX(Acceleration!$U$4:$U$110,MATCH('Track Data'!S1304,Acceleration!$K$4:$K$110,0)),1)),U1304)</f>
        <v>-12.968079387143963</v>
      </c>
      <c r="AG1304" s="16">
        <f>IF(AC1304=0,IF(O1304=4,INDEX(Acceleration!$T$4:$T$110,MATCH('Track Data'!S1304,Acceleration!$K$4:$K$110,0)),IF('Track Data'!O1304=3,INDEX(Acceleration!$S$4:$S$110,MATCH('Track Data'!S1304,Acceleration!$K$4:$K$110,0)),'Track Data'!AF1304)),'Track Data'!U1304)</f>
        <v>-12.968079387143963</v>
      </c>
      <c r="AH1304" s="16">
        <f>IF(AC1304=0,IF(O1304=2,INDEX(Acceleration!$R$4:$R$110,MATCH('Track Data'!S1304,Acceleration!$K$4:$K$110,0)),IF('Track Data'!O1304=1,INDEX(Acceleration!$Q$4:$Q$110,MATCH('Track Data'!S1304,Acceleration!$K$4:$K$110,0)),'Track Data'!AG1304)),'Track Data'!U1304)</f>
        <v>-12.968079387143963</v>
      </c>
    </row>
    <row r="1305" spans="2:34" x14ac:dyDescent="0.25">
      <c r="B1305" s="16">
        <v>231.90100000000001</v>
      </c>
      <c r="C1305" s="16">
        <v>8575</v>
      </c>
      <c r="D1305" s="16">
        <v>1302</v>
      </c>
      <c r="E1305" s="113">
        <v>138</v>
      </c>
      <c r="F1305" s="113">
        <v>143.69999999999999</v>
      </c>
      <c r="G1305" s="113">
        <v>149</v>
      </c>
      <c r="H1305" s="113">
        <f t="shared" si="145"/>
        <v>41.388888888888886</v>
      </c>
      <c r="I1305" s="113">
        <v>-3.5</v>
      </c>
      <c r="J1305" s="113">
        <v>93.98</v>
      </c>
      <c r="K1305" s="113">
        <v>-17.100000000000001</v>
      </c>
      <c r="L1305" s="185"/>
      <c r="M1305" s="16">
        <v>1302</v>
      </c>
      <c r="N1305" s="16">
        <f t="shared" si="147"/>
        <v>2.2005708485890788E-2</v>
      </c>
      <c r="O1305" s="16">
        <v>4</v>
      </c>
      <c r="P1305" s="16">
        <f t="shared" si="143"/>
        <v>9.1833785004516724</v>
      </c>
      <c r="Q1305" s="16">
        <f t="shared" si="148"/>
        <v>45.442754121784418</v>
      </c>
      <c r="R1305" s="113">
        <f t="shared" si="144"/>
        <v>329.49099999999999</v>
      </c>
      <c r="S1305" s="16">
        <f>IF(S1304=15800,15800,ROUND((((Q1305*60)/'Gearing Calculator'!$C$14)*'Track Data'!P1305),-2))</f>
        <v>12700</v>
      </c>
      <c r="T1305" s="16">
        <f t="shared" si="146"/>
        <v>-12.968079387143963</v>
      </c>
      <c r="U1305" s="16">
        <f>IF(AC1305=100,Braking!$AG$2354,IF(AC1305=50,Braking!$AG$1179,IF(AC1305=75,Braking!$AG$1767,0)))</f>
        <v>-12.968079387143963</v>
      </c>
      <c r="V1305" s="16">
        <f>0.5*'Gearing Calculator'!$C$15*'Gearing Calculator'!$C$20*'Gearing Calculator'!$W$20*('Track Data'!Q1305^2)</f>
        <v>218.56424660598552</v>
      </c>
      <c r="W1305" s="16">
        <f>('Gearing Calculator'!$U$9*'Track Data'!T1305)+'Track Data'!V1305</f>
        <v>-3233.5384862517376</v>
      </c>
      <c r="X1305" s="16">
        <f>('Gearing Calculator'!$U$9*9.81)*('Gearing Calculator'!$U$16/'Gearing Calculator'!$C$7)-(('Track Data'!W1305)*('Gearing Calculator'!$U$17/'Gearing Calculator'!$C$7))</f>
        <v>3163.6616054216738</v>
      </c>
      <c r="Y1305" s="16">
        <f>('Gearing Calculator'!$U$9*9.81)*(('Gearing Calculator'!$C$7-'Gearing Calculator'!$U$16)/'Gearing Calculator'!$C$7)+(('Track Data'!W1305)*('Gearing Calculator'!$U$17/'Gearing Calculator'!$C$7))</f>
        <v>-552.23960542167356</v>
      </c>
      <c r="Z1305" s="16">
        <f>((X1305*COS('Gearing Calculator'!$C$21))/'Gearing Calculator'!$C$22)/2</f>
        <v>97.810411030461793</v>
      </c>
      <c r="AA1305" s="16">
        <f>Y1305/'Gearing Calculator'!$C$24</f>
        <v>-7.7111171288304163</v>
      </c>
      <c r="AB1305" s="16">
        <f t="shared" si="142"/>
        <v>166.69192905740965</v>
      </c>
      <c r="AC1305" s="16">
        <v>75</v>
      </c>
      <c r="AD1305" s="16">
        <v>0</v>
      </c>
      <c r="AE1305" s="16">
        <v>1302</v>
      </c>
      <c r="AF1305" s="16">
        <f>IF(AC1305=0,IF(O1305=6,INDEX(Acceleration!$V$4:$V$110,MATCH('Track Data'!S1305,Acceleration!$K$4:$K$110,0)),IF('Track Data'!O1305=5,INDEX(Acceleration!$U$4:$U$110,MATCH('Track Data'!S1305,Acceleration!$K$4:$K$110,0)),1)),U1305)</f>
        <v>-12.968079387143963</v>
      </c>
      <c r="AG1305" s="16">
        <f>IF(AC1305=0,IF(O1305=4,INDEX(Acceleration!$T$4:$T$110,MATCH('Track Data'!S1305,Acceleration!$K$4:$K$110,0)),IF('Track Data'!O1305=3,INDEX(Acceleration!$S$4:$S$110,MATCH('Track Data'!S1305,Acceleration!$K$4:$K$110,0)),'Track Data'!AF1305)),'Track Data'!U1305)</f>
        <v>-12.968079387143963</v>
      </c>
      <c r="AH1305" s="16">
        <f>IF(AC1305=0,IF(O1305=2,INDEX(Acceleration!$R$4:$R$110,MATCH('Track Data'!S1305,Acceleration!$K$4:$K$110,0)),IF('Track Data'!O1305=1,INDEX(Acceleration!$Q$4:$Q$110,MATCH('Track Data'!S1305,Acceleration!$K$4:$K$110,0)),'Track Data'!AG1305)),'Track Data'!U1305)</f>
        <v>-12.968079387143963</v>
      </c>
    </row>
    <row r="1306" spans="2:34" x14ac:dyDescent="0.25">
      <c r="B1306" s="16">
        <v>231.92599999999999</v>
      </c>
      <c r="C1306" s="16">
        <v>8576</v>
      </c>
      <c r="D1306" s="16">
        <v>1303</v>
      </c>
      <c r="E1306" s="113">
        <v>137</v>
      </c>
      <c r="F1306" s="113">
        <v>143</v>
      </c>
      <c r="G1306" s="113">
        <v>148.30000000000001</v>
      </c>
      <c r="H1306" s="113">
        <f t="shared" si="145"/>
        <v>41.19444444444445</v>
      </c>
      <c r="I1306" s="113">
        <v>-3.5</v>
      </c>
      <c r="J1306" s="113">
        <v>94.78</v>
      </c>
      <c r="K1306" s="113">
        <v>-17.5</v>
      </c>
      <c r="L1306" s="185"/>
      <c r="M1306" s="16">
        <v>1303</v>
      </c>
      <c r="N1306" s="16">
        <f t="shared" si="147"/>
        <v>2.214521561297934E-2</v>
      </c>
      <c r="O1306" s="16">
        <v>4</v>
      </c>
      <c r="P1306" s="16">
        <f t="shared" si="143"/>
        <v>9.1833785004516724</v>
      </c>
      <c r="Q1306" s="16">
        <f t="shared" si="148"/>
        <v>45.156480635659229</v>
      </c>
      <c r="R1306" s="113">
        <f t="shared" si="144"/>
        <v>329.49099999999999</v>
      </c>
      <c r="S1306" s="16">
        <f>IF(S1305=15800,15800,ROUND((((Q1306*60)/'Gearing Calculator'!$C$14)*'Track Data'!P1306),-2))</f>
        <v>12600</v>
      </c>
      <c r="T1306" s="16">
        <f t="shared" si="146"/>
        <v>-12.968079387143963</v>
      </c>
      <c r="U1306" s="16">
        <f>IF(AC1306=100,Braking!$AG$2354,IF(AC1306=50,Braking!$AG$1179,IF(AC1306=75,Braking!$AG$1767,0)))</f>
        <v>-12.968079387143963</v>
      </c>
      <c r="V1306" s="16">
        <f>0.5*'Gearing Calculator'!$C$15*'Gearing Calculator'!$C$20*'Gearing Calculator'!$W$20*('Track Data'!Q1306^2)</f>
        <v>215.81916356131487</v>
      </c>
      <c r="W1306" s="16">
        <f>('Gearing Calculator'!$U$9*'Track Data'!T1306)+'Track Data'!V1306</f>
        <v>-3236.2835692964081</v>
      </c>
      <c r="X1306" s="16">
        <f>('Gearing Calculator'!$U$9*9.81)*('Gearing Calculator'!$U$16/'Gearing Calculator'!$C$7)-(('Track Data'!W1306)*('Gearing Calculator'!$U$17/'Gearing Calculator'!$C$7))</f>
        <v>3165.1578631529878</v>
      </c>
      <c r="Y1306" s="16">
        <f>('Gearing Calculator'!$U$9*9.81)*(('Gearing Calculator'!$C$7-'Gearing Calculator'!$U$16)/'Gearing Calculator'!$C$7)+(('Track Data'!W1306)*('Gearing Calculator'!$U$17/'Gearing Calculator'!$C$7))</f>
        <v>-553.7358631529878</v>
      </c>
      <c r="Z1306" s="16">
        <f>((X1306*COS('Gearing Calculator'!$C$21))/'Gearing Calculator'!$C$22)/2</f>
        <v>97.856670587254001</v>
      </c>
      <c r="AA1306" s="16">
        <f>Y1306/'Gearing Calculator'!$C$24</f>
        <v>-7.7320099052771045</v>
      </c>
      <c r="AB1306" s="16">
        <f t="shared" si="142"/>
        <v>163.946846012739</v>
      </c>
      <c r="AC1306" s="16">
        <v>75</v>
      </c>
      <c r="AD1306" s="16">
        <v>0</v>
      </c>
      <c r="AE1306" s="16">
        <v>1303</v>
      </c>
      <c r="AF1306" s="16">
        <f>IF(AC1306=0,IF(O1306=6,INDEX(Acceleration!$V$4:$V$110,MATCH('Track Data'!S1306,Acceleration!$K$4:$K$110,0)),IF('Track Data'!O1306=5,INDEX(Acceleration!$U$4:$U$110,MATCH('Track Data'!S1306,Acceleration!$K$4:$K$110,0)),1)),U1306)</f>
        <v>-12.968079387143963</v>
      </c>
      <c r="AG1306" s="16">
        <f>IF(AC1306=0,IF(O1306=4,INDEX(Acceleration!$T$4:$T$110,MATCH('Track Data'!S1306,Acceleration!$K$4:$K$110,0)),IF('Track Data'!O1306=3,INDEX(Acceleration!$S$4:$S$110,MATCH('Track Data'!S1306,Acceleration!$K$4:$K$110,0)),'Track Data'!AF1306)),'Track Data'!U1306)</f>
        <v>-12.968079387143963</v>
      </c>
      <c r="AH1306" s="16">
        <f>IF(AC1306=0,IF(O1306=2,INDEX(Acceleration!$R$4:$R$110,MATCH('Track Data'!S1306,Acceleration!$K$4:$K$110,0)),IF('Track Data'!O1306=1,INDEX(Acceleration!$Q$4:$Q$110,MATCH('Track Data'!S1306,Acceleration!$K$4:$K$110,0)),'Track Data'!AG1306)),'Track Data'!U1306)</f>
        <v>-12.968079387143963</v>
      </c>
    </row>
    <row r="1307" spans="2:34" x14ac:dyDescent="0.25">
      <c r="B1307" s="16">
        <v>231.95099999999999</v>
      </c>
      <c r="C1307" s="16">
        <v>8577</v>
      </c>
      <c r="D1307" s="16">
        <v>1304</v>
      </c>
      <c r="E1307" s="113">
        <v>135</v>
      </c>
      <c r="F1307" s="113">
        <v>141.9</v>
      </c>
      <c r="G1307" s="113">
        <v>147.30000000000001</v>
      </c>
      <c r="H1307" s="113">
        <f t="shared" si="145"/>
        <v>40.916666666666671</v>
      </c>
      <c r="I1307" s="113">
        <v>-3.7</v>
      </c>
      <c r="J1307" s="113">
        <v>95.55</v>
      </c>
      <c r="K1307" s="113">
        <v>-20.3</v>
      </c>
      <c r="L1307" s="185"/>
      <c r="M1307" s="16">
        <v>1304</v>
      </c>
      <c r="N1307" s="16">
        <f t="shared" si="147"/>
        <v>2.2287410084773602E-2</v>
      </c>
      <c r="O1307" s="16">
        <v>4</v>
      </c>
      <c r="P1307" s="16">
        <f t="shared" si="143"/>
        <v>9.1833785004516724</v>
      </c>
      <c r="Q1307" s="16">
        <f t="shared" si="148"/>
        <v>44.86838067753704</v>
      </c>
      <c r="R1307" s="113">
        <f t="shared" si="144"/>
        <v>329.49099999999999</v>
      </c>
      <c r="S1307" s="16">
        <f>IF(S1306=15800,15800,ROUND((((Q1307*60)/'Gearing Calculator'!$C$14)*'Track Data'!P1307),-2))</f>
        <v>12500</v>
      </c>
      <c r="T1307" s="16">
        <f t="shared" si="146"/>
        <v>-12.968079387143963</v>
      </c>
      <c r="U1307" s="16">
        <f>IF(AC1307=100,Braking!$AG$2354,IF(AC1307=50,Braking!$AG$1179,IF(AC1307=75,Braking!$AG$1767,0)))</f>
        <v>-12.968079387143963</v>
      </c>
      <c r="V1307" s="16">
        <f>0.5*'Gearing Calculator'!$C$15*'Gearing Calculator'!$C$20*'Gearing Calculator'!$W$20*('Track Data'!Q1307^2)</f>
        <v>213.07408051664427</v>
      </c>
      <c r="W1307" s="16">
        <f>('Gearing Calculator'!$U$9*'Track Data'!T1307)+'Track Data'!V1307</f>
        <v>-3239.0286523410787</v>
      </c>
      <c r="X1307" s="16">
        <f>('Gearing Calculator'!$U$9*9.81)*('Gearing Calculator'!$U$16/'Gearing Calculator'!$C$7)-(('Track Data'!W1307)*('Gearing Calculator'!$U$17/'Gearing Calculator'!$C$7))</f>
        <v>3166.6541208843018</v>
      </c>
      <c r="Y1307" s="16">
        <f>('Gearing Calculator'!$U$9*9.81)*(('Gearing Calculator'!$C$7-'Gearing Calculator'!$U$16)/'Gearing Calculator'!$C$7)+(('Track Data'!W1307)*('Gearing Calculator'!$U$17/'Gearing Calculator'!$C$7))</f>
        <v>-555.23212088430205</v>
      </c>
      <c r="Z1307" s="16">
        <f>((X1307*COS('Gearing Calculator'!$C$21))/'Gearing Calculator'!$C$22)/2</f>
        <v>97.902930144046195</v>
      </c>
      <c r="AA1307" s="16">
        <f>Y1307/'Gearing Calculator'!$C$24</f>
        <v>-7.7529026817237927</v>
      </c>
      <c r="AB1307" s="16">
        <f t="shared" si="142"/>
        <v>161.20176296806841</v>
      </c>
      <c r="AC1307" s="16">
        <v>75</v>
      </c>
      <c r="AD1307" s="16">
        <v>0</v>
      </c>
      <c r="AE1307" s="16">
        <v>1304</v>
      </c>
      <c r="AF1307" s="16">
        <f>IF(AC1307=0,IF(O1307=6,INDEX(Acceleration!$V$4:$V$110,MATCH('Track Data'!S1307,Acceleration!$K$4:$K$110,0)),IF('Track Data'!O1307=5,INDEX(Acceleration!$U$4:$U$110,MATCH('Track Data'!S1307,Acceleration!$K$4:$K$110,0)),1)),U1307)</f>
        <v>-12.968079387143963</v>
      </c>
      <c r="AG1307" s="16">
        <f>IF(AC1307=0,IF(O1307=4,INDEX(Acceleration!$T$4:$T$110,MATCH('Track Data'!S1307,Acceleration!$K$4:$K$110,0)),IF('Track Data'!O1307=3,INDEX(Acceleration!$S$4:$S$110,MATCH('Track Data'!S1307,Acceleration!$K$4:$K$110,0)),'Track Data'!AF1307)),'Track Data'!U1307)</f>
        <v>-12.968079387143963</v>
      </c>
      <c r="AH1307" s="16">
        <f>IF(AC1307=0,IF(O1307=2,INDEX(Acceleration!$R$4:$R$110,MATCH('Track Data'!S1307,Acceleration!$K$4:$K$110,0)),IF('Track Data'!O1307=1,INDEX(Acceleration!$Q$4:$Q$110,MATCH('Track Data'!S1307,Acceleration!$K$4:$K$110,0)),'Track Data'!AG1307)),'Track Data'!U1307)</f>
        <v>-12.968079387143963</v>
      </c>
    </row>
    <row r="1308" spans="2:34" x14ac:dyDescent="0.25">
      <c r="B1308" s="16">
        <v>231.977</v>
      </c>
      <c r="C1308" s="16">
        <v>8578</v>
      </c>
      <c r="D1308" s="16">
        <v>1305</v>
      </c>
      <c r="E1308" s="113">
        <v>134</v>
      </c>
      <c r="F1308" s="113">
        <v>141</v>
      </c>
      <c r="G1308" s="113">
        <v>146.69999999999999</v>
      </c>
      <c r="H1308" s="113">
        <f t="shared" si="145"/>
        <v>40.749999999999993</v>
      </c>
      <c r="I1308" s="113">
        <v>-3.8</v>
      </c>
      <c r="J1308" s="113">
        <v>96.02</v>
      </c>
      <c r="K1308" s="113">
        <v>-22.1</v>
      </c>
      <c r="L1308" s="185"/>
      <c r="M1308" s="16">
        <v>1305</v>
      </c>
      <c r="N1308" s="16">
        <f t="shared" si="147"/>
        <v>2.243237930210033E-2</v>
      </c>
      <c r="O1308" s="16">
        <v>4</v>
      </c>
      <c r="P1308" s="16">
        <f t="shared" si="143"/>
        <v>9.1833785004516724</v>
      </c>
      <c r="Q1308" s="16">
        <f t="shared" si="148"/>
        <v>44.578418835240122</v>
      </c>
      <c r="R1308" s="113">
        <f t="shared" si="144"/>
        <v>329.49099999999999</v>
      </c>
      <c r="S1308" s="16">
        <f>IF(S1307=15800,15800,ROUND((((Q1308*60)/'Gearing Calculator'!$C$14)*'Track Data'!P1308),-2))</f>
        <v>12400</v>
      </c>
      <c r="T1308" s="16">
        <f t="shared" si="146"/>
        <v>-12.968079387143963</v>
      </c>
      <c r="U1308" s="16">
        <f>IF(AC1308=100,Braking!$AG$2354,IF(AC1308=50,Braking!$AG$1179,IF(AC1308=75,Braking!$AG$1767,0)))</f>
        <v>-12.968079387143963</v>
      </c>
      <c r="V1308" s="16">
        <f>0.5*'Gearing Calculator'!$C$15*'Gearing Calculator'!$C$20*'Gearing Calculator'!$W$20*('Track Data'!Q1308^2)</f>
        <v>210.32899747197362</v>
      </c>
      <c r="W1308" s="16">
        <f>('Gearing Calculator'!$U$9*'Track Data'!T1308)+'Track Data'!V1308</f>
        <v>-3241.7737353857492</v>
      </c>
      <c r="X1308" s="16">
        <f>('Gearing Calculator'!$U$9*9.81)*('Gearing Calculator'!$U$16/'Gearing Calculator'!$C$7)-(('Track Data'!W1308)*('Gearing Calculator'!$U$17/'Gearing Calculator'!$C$7))</f>
        <v>3168.1503786156163</v>
      </c>
      <c r="Y1308" s="16">
        <f>('Gearing Calculator'!$U$9*9.81)*(('Gearing Calculator'!$C$7-'Gearing Calculator'!$U$16)/'Gearing Calculator'!$C$7)+(('Track Data'!W1308)*('Gearing Calculator'!$U$17/'Gearing Calculator'!$C$7))</f>
        <v>-556.72837861561652</v>
      </c>
      <c r="Z1308" s="16">
        <f>((X1308*COS('Gearing Calculator'!$C$21))/'Gearing Calculator'!$C$22)/2</f>
        <v>97.949189700838417</v>
      </c>
      <c r="AA1308" s="16">
        <f>Y1308/'Gearing Calculator'!$C$24</f>
        <v>-7.7737954581704836</v>
      </c>
      <c r="AB1308" s="16">
        <f t="shared" si="142"/>
        <v>158.45667992339776</v>
      </c>
      <c r="AC1308" s="16">
        <v>75</v>
      </c>
      <c r="AD1308" s="16">
        <v>0</v>
      </c>
      <c r="AE1308" s="16">
        <v>1305</v>
      </c>
      <c r="AF1308" s="16">
        <f>IF(AC1308=0,IF(O1308=6,INDEX(Acceleration!$V$4:$V$110,MATCH('Track Data'!S1308,Acceleration!$K$4:$K$110,0)),IF('Track Data'!O1308=5,INDEX(Acceleration!$U$4:$U$110,MATCH('Track Data'!S1308,Acceleration!$K$4:$K$110,0)),1)),U1308)</f>
        <v>-12.968079387143963</v>
      </c>
      <c r="AG1308" s="16">
        <f>IF(AC1308=0,IF(O1308=4,INDEX(Acceleration!$T$4:$T$110,MATCH('Track Data'!S1308,Acceleration!$K$4:$K$110,0)),IF('Track Data'!O1308=3,INDEX(Acceleration!$S$4:$S$110,MATCH('Track Data'!S1308,Acceleration!$K$4:$K$110,0)),'Track Data'!AF1308)),'Track Data'!U1308)</f>
        <v>-12.968079387143963</v>
      </c>
      <c r="AH1308" s="16">
        <f>IF(AC1308=0,IF(O1308=2,INDEX(Acceleration!$R$4:$R$110,MATCH('Track Data'!S1308,Acceleration!$K$4:$K$110,0)),IF('Track Data'!O1308=1,INDEX(Acceleration!$Q$4:$Q$110,MATCH('Track Data'!S1308,Acceleration!$K$4:$K$110,0)),'Track Data'!AG1308)),'Track Data'!U1308)</f>
        <v>-12.968079387143963</v>
      </c>
    </row>
    <row r="1309" spans="2:34" x14ac:dyDescent="0.25">
      <c r="B1309" s="16">
        <v>232.00200000000001</v>
      </c>
      <c r="C1309" s="16">
        <v>8579</v>
      </c>
      <c r="D1309" s="16">
        <v>1306</v>
      </c>
      <c r="E1309" s="113">
        <v>132</v>
      </c>
      <c r="F1309" s="113">
        <v>139.69999999999999</v>
      </c>
      <c r="G1309" s="113">
        <v>145.69999999999999</v>
      </c>
      <c r="H1309" s="113">
        <f t="shared" si="145"/>
        <v>40.472222222222221</v>
      </c>
      <c r="I1309" s="113">
        <v>-3.8</v>
      </c>
      <c r="J1309" s="113">
        <v>95.94</v>
      </c>
      <c r="K1309" s="113">
        <v>-24.6</v>
      </c>
      <c r="L1309" s="185"/>
      <c r="M1309" s="16">
        <v>1306</v>
      </c>
      <c r="N1309" s="16">
        <f t="shared" si="147"/>
        <v>2.2580214697835266E-2</v>
      </c>
      <c r="O1309" s="16">
        <v>4</v>
      </c>
      <c r="P1309" s="16">
        <f t="shared" si="143"/>
        <v>9.1833785004516724</v>
      </c>
      <c r="Q1309" s="16">
        <f t="shared" si="148"/>
        <v>44.286558537278594</v>
      </c>
      <c r="R1309" s="113">
        <f t="shared" si="144"/>
        <v>329.49099999999999</v>
      </c>
      <c r="S1309" s="16">
        <f>IF(S1308=15800,15800,ROUND((((Q1309*60)/'Gearing Calculator'!$C$14)*'Track Data'!P1309),-2))</f>
        <v>12300</v>
      </c>
      <c r="T1309" s="16">
        <f t="shared" si="146"/>
        <v>-12.968079387143963</v>
      </c>
      <c r="U1309" s="16">
        <f>IF(AC1309=100,Braking!$AG$2354,IF(AC1309=50,Braking!$AG$1179,IF(AC1309=75,Braking!$AG$1767,0)))</f>
        <v>-12.968079387143963</v>
      </c>
      <c r="V1309" s="16">
        <f>0.5*'Gearing Calculator'!$C$15*'Gearing Calculator'!$C$20*'Gearing Calculator'!$W$20*('Track Data'!Q1309^2)</f>
        <v>207.58391442730303</v>
      </c>
      <c r="W1309" s="16">
        <f>('Gearing Calculator'!$U$9*'Track Data'!T1309)+'Track Data'!V1309</f>
        <v>-3244.5188184304197</v>
      </c>
      <c r="X1309" s="16">
        <f>('Gearing Calculator'!$U$9*9.81)*('Gearing Calculator'!$U$16/'Gearing Calculator'!$C$7)-(('Track Data'!W1309)*('Gearing Calculator'!$U$17/'Gearing Calculator'!$C$7))</f>
        <v>3169.6466363469308</v>
      </c>
      <c r="Y1309" s="16">
        <f>('Gearing Calculator'!$U$9*9.81)*(('Gearing Calculator'!$C$7-'Gearing Calculator'!$U$16)/'Gearing Calculator'!$C$7)+(('Track Data'!W1309)*('Gearing Calculator'!$U$17/'Gearing Calculator'!$C$7))</f>
        <v>-558.22463634693077</v>
      </c>
      <c r="Z1309" s="16">
        <f>((X1309*COS('Gearing Calculator'!$C$21))/'Gearing Calculator'!$C$22)/2</f>
        <v>97.995449257630639</v>
      </c>
      <c r="AA1309" s="16">
        <f>Y1309/'Gearing Calculator'!$C$24</f>
        <v>-7.7946882346171718</v>
      </c>
      <c r="AB1309" s="16">
        <f t="shared" si="142"/>
        <v>155.71159687872716</v>
      </c>
      <c r="AC1309" s="16">
        <v>75</v>
      </c>
      <c r="AD1309" s="16">
        <v>0</v>
      </c>
      <c r="AE1309" s="16">
        <v>1306</v>
      </c>
      <c r="AF1309" s="16">
        <f>IF(AC1309=0,IF(O1309=6,INDEX(Acceleration!$V$4:$V$110,MATCH('Track Data'!S1309,Acceleration!$K$4:$K$110,0)),IF('Track Data'!O1309=5,INDEX(Acceleration!$U$4:$U$110,MATCH('Track Data'!S1309,Acceleration!$K$4:$K$110,0)),1)),U1309)</f>
        <v>-12.968079387143963</v>
      </c>
      <c r="AG1309" s="16">
        <f>IF(AC1309=0,IF(O1309=4,INDEX(Acceleration!$T$4:$T$110,MATCH('Track Data'!S1309,Acceleration!$K$4:$K$110,0)),IF('Track Data'!O1309=3,INDEX(Acceleration!$S$4:$S$110,MATCH('Track Data'!S1309,Acceleration!$K$4:$K$110,0)),'Track Data'!AF1309)),'Track Data'!U1309)</f>
        <v>-12.968079387143963</v>
      </c>
      <c r="AH1309" s="16">
        <f>IF(AC1309=0,IF(O1309=2,INDEX(Acceleration!$R$4:$R$110,MATCH('Track Data'!S1309,Acceleration!$K$4:$K$110,0)),IF('Track Data'!O1309=1,INDEX(Acceleration!$Q$4:$Q$110,MATCH('Track Data'!S1309,Acceleration!$K$4:$K$110,0)),'Track Data'!AG1309)),'Track Data'!U1309)</f>
        <v>-12.968079387143963</v>
      </c>
    </row>
    <row r="1310" spans="2:34" x14ac:dyDescent="0.25">
      <c r="B1310" s="16">
        <v>232.02799999999999</v>
      </c>
      <c r="C1310" s="16">
        <v>8580</v>
      </c>
      <c r="D1310" s="16">
        <v>1307</v>
      </c>
      <c r="E1310" s="113">
        <v>131</v>
      </c>
      <c r="F1310" s="113">
        <v>139.5</v>
      </c>
      <c r="G1310" s="113">
        <v>145</v>
      </c>
      <c r="H1310" s="113">
        <f t="shared" si="145"/>
        <v>40.277777777777779</v>
      </c>
      <c r="I1310" s="113">
        <v>-3.8</v>
      </c>
      <c r="J1310" s="113">
        <v>95.92</v>
      </c>
      <c r="K1310" s="113">
        <v>-25</v>
      </c>
      <c r="L1310" s="185"/>
      <c r="M1310" s="16">
        <v>1307</v>
      </c>
      <c r="N1310" s="16">
        <f t="shared" si="147"/>
        <v>2.2731011979254895E-2</v>
      </c>
      <c r="O1310" s="16">
        <v>4</v>
      </c>
      <c r="P1310" s="16">
        <f t="shared" si="143"/>
        <v>9.1833785004516724</v>
      </c>
      <c r="Q1310" s="16">
        <f t="shared" si="148"/>
        <v>43.992761999009744</v>
      </c>
      <c r="R1310" s="113">
        <f t="shared" si="144"/>
        <v>329.49099999999999</v>
      </c>
      <c r="S1310" s="16">
        <f>IF(S1309=15800,15800,ROUND((((Q1310*60)/'Gearing Calculator'!$C$14)*'Track Data'!P1310),-2))</f>
        <v>12200</v>
      </c>
      <c r="T1310" s="16">
        <f t="shared" si="146"/>
        <v>-12.968079387143963</v>
      </c>
      <c r="U1310" s="16">
        <f>IF(AC1310=100,Braking!$AG$2354,IF(AC1310=50,Braking!$AG$1179,IF(AC1310=75,Braking!$AG$1767,0)))</f>
        <v>-12.968079387143963</v>
      </c>
      <c r="V1310" s="16">
        <f>0.5*'Gearing Calculator'!$C$15*'Gearing Calculator'!$C$20*'Gearing Calculator'!$W$20*('Track Data'!Q1310^2)</f>
        <v>204.83883138263243</v>
      </c>
      <c r="W1310" s="16">
        <f>('Gearing Calculator'!$U$9*'Track Data'!T1310)+'Track Data'!V1310</f>
        <v>-3247.2639014750903</v>
      </c>
      <c r="X1310" s="16">
        <f>('Gearing Calculator'!$U$9*9.81)*('Gearing Calculator'!$U$16/'Gearing Calculator'!$C$7)-(('Track Data'!W1310)*('Gearing Calculator'!$U$17/'Gearing Calculator'!$C$7))</f>
        <v>3171.1428940782453</v>
      </c>
      <c r="Y1310" s="16">
        <f>('Gearing Calculator'!$U$9*9.81)*(('Gearing Calculator'!$C$7-'Gearing Calculator'!$U$16)/'Gearing Calculator'!$C$7)+(('Track Data'!W1310)*('Gearing Calculator'!$U$17/'Gearing Calculator'!$C$7))</f>
        <v>-559.72089407824524</v>
      </c>
      <c r="Z1310" s="16">
        <f>((X1310*COS('Gearing Calculator'!$C$21))/'Gearing Calculator'!$C$22)/2</f>
        <v>98.041708814422861</v>
      </c>
      <c r="AA1310" s="16">
        <f>Y1310/'Gearing Calculator'!$C$24</f>
        <v>-7.8155810110638626</v>
      </c>
      <c r="AB1310" s="16">
        <f t="shared" si="142"/>
        <v>152.96651383405657</v>
      </c>
      <c r="AC1310" s="16">
        <v>75</v>
      </c>
      <c r="AD1310" s="16">
        <v>0</v>
      </c>
      <c r="AE1310" s="16">
        <v>1307</v>
      </c>
      <c r="AF1310" s="16">
        <f>IF(AC1310=0,IF(O1310=6,INDEX(Acceleration!$V$4:$V$110,MATCH('Track Data'!S1310,Acceleration!$K$4:$K$110,0)),IF('Track Data'!O1310=5,INDEX(Acceleration!$U$4:$U$110,MATCH('Track Data'!S1310,Acceleration!$K$4:$K$110,0)),1)),U1310)</f>
        <v>-12.968079387143963</v>
      </c>
      <c r="AG1310" s="16">
        <f>IF(AC1310=0,IF(O1310=4,INDEX(Acceleration!$T$4:$T$110,MATCH('Track Data'!S1310,Acceleration!$K$4:$K$110,0)),IF('Track Data'!O1310=3,INDEX(Acceleration!$S$4:$S$110,MATCH('Track Data'!S1310,Acceleration!$K$4:$K$110,0)),'Track Data'!AF1310)),'Track Data'!U1310)</f>
        <v>-12.968079387143963</v>
      </c>
      <c r="AH1310" s="16">
        <f>IF(AC1310=0,IF(O1310=2,INDEX(Acceleration!$R$4:$R$110,MATCH('Track Data'!S1310,Acceleration!$K$4:$K$110,0)),IF('Track Data'!O1310=1,INDEX(Acceleration!$Q$4:$Q$110,MATCH('Track Data'!S1310,Acceleration!$K$4:$K$110,0)),'Track Data'!AG1310)),'Track Data'!U1310)</f>
        <v>-12.968079387143963</v>
      </c>
    </row>
    <row r="1311" spans="2:34" x14ac:dyDescent="0.25">
      <c r="B1311" s="16">
        <v>232.053</v>
      </c>
      <c r="C1311" s="16">
        <v>8581</v>
      </c>
      <c r="D1311" s="16">
        <v>1308</v>
      </c>
      <c r="E1311" s="113">
        <v>130</v>
      </c>
      <c r="F1311" s="113">
        <v>138.80000000000001</v>
      </c>
      <c r="G1311" s="113">
        <v>144.1</v>
      </c>
      <c r="H1311" s="113">
        <f t="shared" si="145"/>
        <v>40.027777777777779</v>
      </c>
      <c r="I1311" s="113">
        <v>-3.8</v>
      </c>
      <c r="J1311" s="113">
        <v>95.71</v>
      </c>
      <c r="K1311" s="113">
        <v>-25.6</v>
      </c>
      <c r="L1311" s="185"/>
      <c r="M1311" s="16">
        <v>1308</v>
      </c>
      <c r="N1311" s="16">
        <f t="shared" si="147"/>
        <v>2.2884871388433325E-2</v>
      </c>
      <c r="O1311" s="16">
        <v>4</v>
      </c>
      <c r="P1311" s="16">
        <f t="shared" si="143"/>
        <v>9.1833785004516724</v>
      </c>
      <c r="Q1311" s="16">
        <f t="shared" si="148"/>
        <v>43.696990165539184</v>
      </c>
      <c r="R1311" s="113">
        <f t="shared" si="144"/>
        <v>329.49099999999999</v>
      </c>
      <c r="S1311" s="16">
        <f>IF(S1310=15800,15800,ROUND((((Q1311*60)/'Gearing Calculator'!$C$14)*'Track Data'!P1311),-2))</f>
        <v>12200</v>
      </c>
      <c r="T1311" s="16">
        <f t="shared" si="146"/>
        <v>-12.968079387143963</v>
      </c>
      <c r="U1311" s="16">
        <f>IF(AC1311=100,Braking!$AG$2354,IF(AC1311=50,Braking!$AG$1179,IF(AC1311=75,Braking!$AG$1767,0)))</f>
        <v>-12.968079387143963</v>
      </c>
      <c r="V1311" s="16">
        <f>0.5*'Gearing Calculator'!$C$15*'Gearing Calculator'!$C$20*'Gearing Calculator'!$W$20*('Track Data'!Q1311^2)</f>
        <v>202.09374833796181</v>
      </c>
      <c r="W1311" s="16">
        <f>('Gearing Calculator'!$U$9*'Track Data'!T1311)+'Track Data'!V1311</f>
        <v>-3250.0089845197613</v>
      </c>
      <c r="X1311" s="16">
        <f>('Gearing Calculator'!$U$9*9.81)*('Gearing Calculator'!$U$16/'Gearing Calculator'!$C$7)-(('Track Data'!W1311)*('Gearing Calculator'!$U$17/'Gearing Calculator'!$C$7))</f>
        <v>3172.6391518095597</v>
      </c>
      <c r="Y1311" s="16">
        <f>('Gearing Calculator'!$U$9*9.81)*(('Gearing Calculator'!$C$7-'Gearing Calculator'!$U$16)/'Gearing Calculator'!$C$7)+(('Track Data'!W1311)*('Gearing Calculator'!$U$17/'Gearing Calculator'!$C$7))</f>
        <v>-561.21715180955971</v>
      </c>
      <c r="Z1311" s="16">
        <f>((X1311*COS('Gearing Calculator'!$C$21))/'Gearing Calculator'!$C$22)/2</f>
        <v>98.087968371215084</v>
      </c>
      <c r="AA1311" s="16">
        <f>Y1311/'Gearing Calculator'!$C$24</f>
        <v>-7.8364737875105543</v>
      </c>
      <c r="AB1311" s="16">
        <f t="shared" si="142"/>
        <v>150.22143078938598</v>
      </c>
      <c r="AC1311" s="16">
        <v>75</v>
      </c>
      <c r="AD1311" s="16">
        <v>0</v>
      </c>
      <c r="AE1311" s="16">
        <v>1308</v>
      </c>
      <c r="AF1311" s="16">
        <f>IF(AC1311=0,IF(O1311=6,INDEX(Acceleration!$V$4:$V$110,MATCH('Track Data'!S1311,Acceleration!$K$4:$K$110,0)),IF('Track Data'!O1311=5,INDEX(Acceleration!$U$4:$U$110,MATCH('Track Data'!S1311,Acceleration!$K$4:$K$110,0)),1)),U1311)</f>
        <v>-12.968079387143963</v>
      </c>
      <c r="AG1311" s="16">
        <f>IF(AC1311=0,IF(O1311=4,INDEX(Acceleration!$T$4:$T$110,MATCH('Track Data'!S1311,Acceleration!$K$4:$K$110,0)),IF('Track Data'!O1311=3,INDEX(Acceleration!$S$4:$S$110,MATCH('Track Data'!S1311,Acceleration!$K$4:$K$110,0)),'Track Data'!AF1311)),'Track Data'!U1311)</f>
        <v>-12.968079387143963</v>
      </c>
      <c r="AH1311" s="16">
        <f>IF(AC1311=0,IF(O1311=2,INDEX(Acceleration!$R$4:$R$110,MATCH('Track Data'!S1311,Acceleration!$K$4:$K$110,0)),IF('Track Data'!O1311=1,INDEX(Acceleration!$Q$4:$Q$110,MATCH('Track Data'!S1311,Acceleration!$K$4:$K$110,0)),'Track Data'!AG1311)),'Track Data'!U1311)</f>
        <v>-12.968079387143963</v>
      </c>
    </row>
    <row r="1312" spans="2:34" x14ac:dyDescent="0.25">
      <c r="B1312" s="16">
        <v>232.07900000000001</v>
      </c>
      <c r="C1312" s="16">
        <v>8582</v>
      </c>
      <c r="D1312" s="16">
        <v>1309</v>
      </c>
      <c r="E1312" s="113">
        <v>130</v>
      </c>
      <c r="F1312" s="113">
        <v>138</v>
      </c>
      <c r="G1312" s="113">
        <v>143.5</v>
      </c>
      <c r="H1312" s="113">
        <f t="shared" si="145"/>
        <v>39.861111111111107</v>
      </c>
      <c r="I1312" s="113">
        <v>-3.8</v>
      </c>
      <c r="J1312" s="113">
        <v>95.77</v>
      </c>
      <c r="K1312" s="113">
        <v>-26</v>
      </c>
      <c r="L1312" s="185"/>
      <c r="M1312" s="16">
        <v>1309</v>
      </c>
      <c r="N1312" s="16">
        <f t="shared" si="147"/>
        <v>2.3041897982294012E-2</v>
      </c>
      <c r="O1312" s="16">
        <v>4</v>
      </c>
      <c r="P1312" s="16">
        <f t="shared" si="143"/>
        <v>9.1833785004516724</v>
      </c>
      <c r="Q1312" s="16">
        <f t="shared" si="148"/>
        <v>43.399202651119531</v>
      </c>
      <c r="R1312" s="113">
        <f t="shared" si="144"/>
        <v>329.49099999999999</v>
      </c>
      <c r="S1312" s="16">
        <f>IF(S1311=15800,15800,ROUND((((Q1312*60)/'Gearing Calculator'!$C$14)*'Track Data'!P1312),-2))</f>
        <v>12100</v>
      </c>
      <c r="T1312" s="16">
        <f t="shared" si="146"/>
        <v>-12.968079387143963</v>
      </c>
      <c r="U1312" s="16">
        <f>IF(AC1312=100,Braking!$AG$2354,IF(AC1312=50,Braking!$AG$1179,IF(AC1312=75,Braking!$AG$1767,0)))</f>
        <v>-12.968079387143963</v>
      </c>
      <c r="V1312" s="16">
        <f>0.5*'Gearing Calculator'!$C$15*'Gearing Calculator'!$C$20*'Gearing Calculator'!$W$20*('Track Data'!Q1312^2)</f>
        <v>199.34866529329119</v>
      </c>
      <c r="W1312" s="16">
        <f>('Gearing Calculator'!$U$9*'Track Data'!T1312)+'Track Data'!V1312</f>
        <v>-3252.7540675644318</v>
      </c>
      <c r="X1312" s="16">
        <f>('Gearing Calculator'!$U$9*9.81)*('Gearing Calculator'!$U$16/'Gearing Calculator'!$C$7)-(('Track Data'!W1312)*('Gearing Calculator'!$U$17/'Gearing Calculator'!$C$7))</f>
        <v>3174.1354095408742</v>
      </c>
      <c r="Y1312" s="16">
        <f>('Gearing Calculator'!$U$9*9.81)*(('Gearing Calculator'!$C$7-'Gearing Calculator'!$U$16)/'Gearing Calculator'!$C$7)+(('Track Data'!W1312)*('Gearing Calculator'!$U$17/'Gearing Calculator'!$C$7))</f>
        <v>-562.71340954087418</v>
      </c>
      <c r="Z1312" s="16">
        <f>((X1312*COS('Gearing Calculator'!$C$21))/'Gearing Calculator'!$C$22)/2</f>
        <v>98.134227928007306</v>
      </c>
      <c r="AA1312" s="16">
        <f>Y1312/'Gearing Calculator'!$C$24</f>
        <v>-7.8573665639572452</v>
      </c>
      <c r="AB1312" s="16">
        <f t="shared" si="142"/>
        <v>147.47634774471533</v>
      </c>
      <c r="AC1312" s="16">
        <v>75</v>
      </c>
      <c r="AD1312" s="16">
        <v>0</v>
      </c>
      <c r="AE1312" s="16">
        <v>1309</v>
      </c>
      <c r="AF1312" s="16">
        <f>IF(AC1312=0,IF(O1312=6,INDEX(Acceleration!$V$4:$V$110,MATCH('Track Data'!S1312,Acceleration!$K$4:$K$110,0)),IF('Track Data'!O1312=5,INDEX(Acceleration!$U$4:$U$110,MATCH('Track Data'!S1312,Acceleration!$K$4:$K$110,0)),1)),U1312)</f>
        <v>-12.968079387143963</v>
      </c>
      <c r="AG1312" s="16">
        <f>IF(AC1312=0,IF(O1312=4,INDEX(Acceleration!$T$4:$T$110,MATCH('Track Data'!S1312,Acceleration!$K$4:$K$110,0)),IF('Track Data'!O1312=3,INDEX(Acceleration!$S$4:$S$110,MATCH('Track Data'!S1312,Acceleration!$K$4:$K$110,0)),'Track Data'!AF1312)),'Track Data'!U1312)</f>
        <v>-12.968079387143963</v>
      </c>
      <c r="AH1312" s="16">
        <f>IF(AC1312=0,IF(O1312=2,INDEX(Acceleration!$R$4:$R$110,MATCH('Track Data'!S1312,Acceleration!$K$4:$K$110,0)),IF('Track Data'!O1312=1,INDEX(Acceleration!$Q$4:$Q$110,MATCH('Track Data'!S1312,Acceleration!$K$4:$K$110,0)),'Track Data'!AG1312)),'Track Data'!U1312)</f>
        <v>-12.968079387143963</v>
      </c>
    </row>
    <row r="1313" spans="2:34" x14ac:dyDescent="0.25">
      <c r="B1313" s="16">
        <v>232.10499999999999</v>
      </c>
      <c r="C1313" s="16">
        <v>8583</v>
      </c>
      <c r="D1313" s="16">
        <v>1310</v>
      </c>
      <c r="E1313" s="113">
        <v>129</v>
      </c>
      <c r="F1313" s="113">
        <v>137.5</v>
      </c>
      <c r="G1313" s="113">
        <v>142.69999999999999</v>
      </c>
      <c r="H1313" s="113">
        <f t="shared" si="145"/>
        <v>39.638888888888886</v>
      </c>
      <c r="I1313" s="113">
        <v>-3.6</v>
      </c>
      <c r="J1313" s="113">
        <v>95.63</v>
      </c>
      <c r="K1313" s="113">
        <v>-21.1</v>
      </c>
      <c r="L1313" s="185"/>
      <c r="M1313" s="16">
        <v>1310</v>
      </c>
      <c r="N1313" s="16">
        <f t="shared" si="147"/>
        <v>2.3202201934094023E-2</v>
      </c>
      <c r="O1313" s="16">
        <v>4</v>
      </c>
      <c r="P1313" s="16">
        <f t="shared" si="143"/>
        <v>9.1833785004516724</v>
      </c>
      <c r="Q1313" s="16">
        <f t="shared" si="148"/>
        <v>43.099357674780407</v>
      </c>
      <c r="R1313" s="113">
        <f t="shared" si="144"/>
        <v>329.49099999999999</v>
      </c>
      <c r="S1313" s="16">
        <f>IF(S1312=15800,15800,ROUND((((Q1313*60)/'Gearing Calculator'!$C$14)*'Track Data'!P1313),-2))</f>
        <v>12000</v>
      </c>
      <c r="T1313" s="16">
        <f t="shared" si="146"/>
        <v>-12.968079387143963</v>
      </c>
      <c r="U1313" s="16">
        <f>IF(AC1313=100,Braking!$AG$2354,IF(AC1313=50,Braking!$AG$1179,IF(AC1313=75,Braking!$AG$1767,0)))</f>
        <v>-12.968079387143963</v>
      </c>
      <c r="V1313" s="16">
        <f>0.5*'Gearing Calculator'!$C$15*'Gearing Calculator'!$C$20*'Gearing Calculator'!$W$20*('Track Data'!Q1313^2)</f>
        <v>196.6035822486206</v>
      </c>
      <c r="W1313" s="16">
        <f>('Gearing Calculator'!$U$9*'Track Data'!T1313)+'Track Data'!V1313</f>
        <v>-3255.4991506091023</v>
      </c>
      <c r="X1313" s="16">
        <f>('Gearing Calculator'!$U$9*9.81)*('Gearing Calculator'!$U$16/'Gearing Calculator'!$C$7)-(('Track Data'!W1313)*('Gearing Calculator'!$U$17/'Gearing Calculator'!$C$7))</f>
        <v>3175.6316672721887</v>
      </c>
      <c r="Y1313" s="16">
        <f>('Gearing Calculator'!$U$9*9.81)*(('Gearing Calculator'!$C$7-'Gearing Calculator'!$U$16)/'Gearing Calculator'!$C$7)+(('Track Data'!W1313)*('Gearing Calculator'!$U$17/'Gearing Calculator'!$C$7))</f>
        <v>-564.20966727218843</v>
      </c>
      <c r="Z1313" s="16">
        <f>((X1313*COS('Gearing Calculator'!$C$21))/'Gearing Calculator'!$C$22)/2</f>
        <v>98.180487484799528</v>
      </c>
      <c r="AA1313" s="16">
        <f>Y1313/'Gearing Calculator'!$C$24</f>
        <v>-7.8782593404039334</v>
      </c>
      <c r="AB1313" s="16">
        <f t="shared" si="142"/>
        <v>144.73126470004473</v>
      </c>
      <c r="AC1313" s="16">
        <v>75</v>
      </c>
      <c r="AD1313" s="16">
        <v>0</v>
      </c>
      <c r="AE1313" s="16">
        <v>1310</v>
      </c>
      <c r="AF1313" s="16">
        <f>IF(AC1313=0,IF(O1313=6,INDEX(Acceleration!$V$4:$V$110,MATCH('Track Data'!S1313,Acceleration!$K$4:$K$110,0)),IF('Track Data'!O1313=5,INDEX(Acceleration!$U$4:$U$110,MATCH('Track Data'!S1313,Acceleration!$K$4:$K$110,0)),1)),U1313)</f>
        <v>-12.968079387143963</v>
      </c>
      <c r="AG1313" s="16">
        <f>IF(AC1313=0,IF(O1313=4,INDEX(Acceleration!$T$4:$T$110,MATCH('Track Data'!S1313,Acceleration!$K$4:$K$110,0)),IF('Track Data'!O1313=3,INDEX(Acceleration!$S$4:$S$110,MATCH('Track Data'!S1313,Acceleration!$K$4:$K$110,0)),'Track Data'!AF1313)),'Track Data'!U1313)</f>
        <v>-12.968079387143963</v>
      </c>
      <c r="AH1313" s="16">
        <f>IF(AC1313=0,IF(O1313=2,INDEX(Acceleration!$R$4:$R$110,MATCH('Track Data'!S1313,Acceleration!$K$4:$K$110,0)),IF('Track Data'!O1313=1,INDEX(Acceleration!$Q$4:$Q$110,MATCH('Track Data'!S1313,Acceleration!$K$4:$K$110,0)),'Track Data'!AG1313)),'Track Data'!U1313)</f>
        <v>-12.968079387143963</v>
      </c>
    </row>
    <row r="1314" spans="2:34" x14ac:dyDescent="0.25">
      <c r="B1314" s="16">
        <v>232.131</v>
      </c>
      <c r="C1314" s="16">
        <v>8584</v>
      </c>
      <c r="D1314" s="16">
        <v>1311</v>
      </c>
      <c r="E1314" s="113">
        <v>130</v>
      </c>
      <c r="F1314" s="113">
        <v>136.19999999999999</v>
      </c>
      <c r="G1314" s="113">
        <v>141.80000000000001</v>
      </c>
      <c r="H1314" s="113">
        <f t="shared" si="145"/>
        <v>39.388888888888893</v>
      </c>
      <c r="I1314" s="113">
        <v>-3.3</v>
      </c>
      <c r="J1314" s="113">
        <v>95.75</v>
      </c>
      <c r="K1314" s="113">
        <v>-14.8</v>
      </c>
      <c r="L1314" s="185"/>
      <c r="M1314" s="16">
        <v>1311</v>
      </c>
      <c r="N1314" s="16">
        <f t="shared" si="147"/>
        <v>2.3365898858306675E-2</v>
      </c>
      <c r="O1314" s="16">
        <v>4</v>
      </c>
      <c r="P1314" s="16">
        <f t="shared" si="143"/>
        <v>9.1833785004516724</v>
      </c>
      <c r="Q1314" s="16">
        <f t="shared" si="148"/>
        <v>42.797411991899288</v>
      </c>
      <c r="R1314" s="113">
        <f t="shared" si="144"/>
        <v>329.49099999999999</v>
      </c>
      <c r="S1314" s="16">
        <f>IF(S1313=15800,15800,ROUND((((Q1314*60)/'Gearing Calculator'!$C$14)*'Track Data'!P1314),-2))</f>
        <v>11900</v>
      </c>
      <c r="T1314" s="16">
        <f t="shared" si="146"/>
        <v>-12.968079387143963</v>
      </c>
      <c r="U1314" s="16">
        <f>IF(AC1314=100,Braking!$AG$2354,IF(AC1314=50,Braking!$AG$1179,IF(AC1314=75,Braking!$AG$1767,0)))</f>
        <v>-12.968079387143963</v>
      </c>
      <c r="V1314" s="16">
        <f>0.5*'Gearing Calculator'!$C$15*'Gearing Calculator'!$C$20*'Gearing Calculator'!$W$20*('Track Data'!Q1314^2)</f>
        <v>193.85849920394998</v>
      </c>
      <c r="W1314" s="16">
        <f>('Gearing Calculator'!$U$9*'Track Data'!T1314)+'Track Data'!V1314</f>
        <v>-3258.2442336537729</v>
      </c>
      <c r="X1314" s="16">
        <f>('Gearing Calculator'!$U$9*9.81)*('Gearing Calculator'!$U$16/'Gearing Calculator'!$C$7)-(('Track Data'!W1314)*('Gearing Calculator'!$U$17/'Gearing Calculator'!$C$7))</f>
        <v>3177.1279250035027</v>
      </c>
      <c r="Y1314" s="16">
        <f>('Gearing Calculator'!$U$9*9.81)*(('Gearing Calculator'!$C$7-'Gearing Calculator'!$U$16)/'Gearing Calculator'!$C$7)+(('Track Data'!W1314)*('Gearing Calculator'!$U$17/'Gearing Calculator'!$C$7))</f>
        <v>-565.70592500350267</v>
      </c>
      <c r="Z1314" s="16">
        <f>((X1314*COS('Gearing Calculator'!$C$21))/'Gearing Calculator'!$C$22)/2</f>
        <v>98.226747041591736</v>
      </c>
      <c r="AA1314" s="16">
        <f>Y1314/'Gearing Calculator'!$C$24</f>
        <v>-7.8991521168506216</v>
      </c>
      <c r="AB1314" s="16">
        <f t="shared" si="142"/>
        <v>141.98618165537414</v>
      </c>
      <c r="AC1314" s="16">
        <v>75</v>
      </c>
      <c r="AD1314" s="16">
        <v>0</v>
      </c>
      <c r="AE1314" s="16">
        <v>1311</v>
      </c>
      <c r="AF1314" s="16">
        <f>IF(AC1314=0,IF(O1314=6,INDEX(Acceleration!$V$4:$V$110,MATCH('Track Data'!S1314,Acceleration!$K$4:$K$110,0)),IF('Track Data'!O1314=5,INDEX(Acceleration!$U$4:$U$110,MATCH('Track Data'!S1314,Acceleration!$K$4:$K$110,0)),1)),U1314)</f>
        <v>-12.968079387143963</v>
      </c>
      <c r="AG1314" s="16">
        <f>IF(AC1314=0,IF(O1314=4,INDEX(Acceleration!$T$4:$T$110,MATCH('Track Data'!S1314,Acceleration!$K$4:$K$110,0)),IF('Track Data'!O1314=3,INDEX(Acceleration!$S$4:$S$110,MATCH('Track Data'!S1314,Acceleration!$K$4:$K$110,0)),'Track Data'!AF1314)),'Track Data'!U1314)</f>
        <v>-12.968079387143963</v>
      </c>
      <c r="AH1314" s="16">
        <f>IF(AC1314=0,IF(O1314=2,INDEX(Acceleration!$R$4:$R$110,MATCH('Track Data'!S1314,Acceleration!$K$4:$K$110,0)),IF('Track Data'!O1314=1,INDEX(Acceleration!$Q$4:$Q$110,MATCH('Track Data'!S1314,Acceleration!$K$4:$K$110,0)),'Track Data'!AG1314)),'Track Data'!U1314)</f>
        <v>-12.968079387143963</v>
      </c>
    </row>
    <row r="1315" spans="2:34" x14ac:dyDescent="0.25">
      <c r="B1315" s="16">
        <v>232.15700000000001</v>
      </c>
      <c r="C1315" s="16">
        <v>8585</v>
      </c>
      <c r="D1315" s="16">
        <v>1312</v>
      </c>
      <c r="E1315" s="113">
        <v>132</v>
      </c>
      <c r="F1315" s="113">
        <v>134.6</v>
      </c>
      <c r="G1315" s="113">
        <v>141.30000000000001</v>
      </c>
      <c r="H1315" s="113">
        <f t="shared" si="145"/>
        <v>39.25</v>
      </c>
      <c r="I1315" s="113">
        <v>-3.2</v>
      </c>
      <c r="J1315" s="113">
        <v>95.53</v>
      </c>
      <c r="K1315" s="113">
        <v>-10.6</v>
      </c>
      <c r="L1315" s="185"/>
      <c r="M1315" s="16">
        <v>1312</v>
      </c>
      <c r="N1315" s="16">
        <f t="shared" si="147"/>
        <v>2.3533110161079441E-2</v>
      </c>
      <c r="O1315" s="16">
        <v>4</v>
      </c>
      <c r="P1315" s="16">
        <f t="shared" si="143"/>
        <v>9.1833785004516724</v>
      </c>
      <c r="Q1315" s="16">
        <f t="shared" si="148"/>
        <v>42.493320821395884</v>
      </c>
      <c r="R1315" s="113">
        <f t="shared" si="144"/>
        <v>329.49099999999999</v>
      </c>
      <c r="S1315" s="16">
        <f>IF(S1314=15800,15800,ROUND((((Q1315*60)/'Gearing Calculator'!$C$14)*'Track Data'!P1315),-2))</f>
        <v>11800</v>
      </c>
      <c r="T1315" s="16">
        <f t="shared" si="146"/>
        <v>-14.71670186282954</v>
      </c>
      <c r="U1315" s="16">
        <f>IF(AC1315=100,Braking!$AG$2354,IF(AC1315=50,Braking!$AG$1179,IF(AC1315=75,Braking!$AG$1767,0)))</f>
        <v>-14.71670186282954</v>
      </c>
      <c r="V1315" s="16">
        <f>0.5*'Gearing Calculator'!$C$15*'Gearing Calculator'!$C$20*'Gearing Calculator'!$W$20*('Track Data'!Q1315^2)</f>
        <v>191.11341615927932</v>
      </c>
      <c r="W1315" s="16">
        <f>('Gearing Calculator'!$U$9*'Track Data'!T1315)+'Track Data'!V1315</f>
        <v>-3726.4726197259438</v>
      </c>
      <c r="X1315" s="16">
        <f>('Gearing Calculator'!$U$9*9.81)*('Gearing Calculator'!$U$16/'Gearing Calculator'!$C$7)-(('Track Data'!W1315)*('Gearing Calculator'!$U$17/'Gearing Calculator'!$C$7))</f>
        <v>3432.3443724772824</v>
      </c>
      <c r="Y1315" s="16">
        <f>('Gearing Calculator'!$U$9*9.81)*(('Gearing Calculator'!$C$7-'Gearing Calculator'!$U$16)/'Gearing Calculator'!$C$7)+(('Track Data'!W1315)*('Gearing Calculator'!$U$17/'Gearing Calculator'!$C$7))</f>
        <v>-820.92237247728258</v>
      </c>
      <c r="Z1315" s="16">
        <f>((X1315*COS('Gearing Calculator'!$C$21))/'Gearing Calculator'!$C$22)/2</f>
        <v>106.11723241662838</v>
      </c>
      <c r="AA1315" s="16">
        <f>Y1315/'Gearing Calculator'!$C$24</f>
        <v>-11.46282973133755</v>
      </c>
      <c r="AB1315" s="16">
        <f t="shared" si="142"/>
        <v>132.24660870796117</v>
      </c>
      <c r="AC1315" s="16">
        <v>100</v>
      </c>
      <c r="AD1315" s="16">
        <v>0</v>
      </c>
      <c r="AE1315" s="16">
        <v>1312</v>
      </c>
      <c r="AF1315" s="16">
        <f>IF(AC1315=0,IF(O1315=6,INDEX(Acceleration!$V$4:$V$110,MATCH('Track Data'!S1315,Acceleration!$K$4:$K$110,0)),IF('Track Data'!O1315=5,INDEX(Acceleration!$U$4:$U$110,MATCH('Track Data'!S1315,Acceleration!$K$4:$K$110,0)),1)),U1315)</f>
        <v>-14.71670186282954</v>
      </c>
      <c r="AG1315" s="16">
        <f>IF(AC1315=0,IF(O1315=4,INDEX(Acceleration!$T$4:$T$110,MATCH('Track Data'!S1315,Acceleration!$K$4:$K$110,0)),IF('Track Data'!O1315=3,INDEX(Acceleration!$S$4:$S$110,MATCH('Track Data'!S1315,Acceleration!$K$4:$K$110,0)),'Track Data'!AF1315)),'Track Data'!U1315)</f>
        <v>-14.71670186282954</v>
      </c>
      <c r="AH1315" s="16">
        <f>IF(AC1315=0,IF(O1315=2,INDEX(Acceleration!$R$4:$R$110,MATCH('Track Data'!S1315,Acceleration!$K$4:$K$110,0)),IF('Track Data'!O1315=1,INDEX(Acceleration!$Q$4:$Q$110,MATCH('Track Data'!S1315,Acceleration!$K$4:$K$110,0)),'Track Data'!AG1315)),'Track Data'!U1315)</f>
        <v>-14.71670186282954</v>
      </c>
    </row>
    <row r="1316" spans="2:34" x14ac:dyDescent="0.25">
      <c r="B1316" s="16">
        <v>232.184</v>
      </c>
      <c r="C1316" s="16">
        <v>8586</v>
      </c>
      <c r="D1316" s="16">
        <v>1313</v>
      </c>
      <c r="E1316" s="113">
        <v>134</v>
      </c>
      <c r="F1316" s="113">
        <v>134.6</v>
      </c>
      <c r="G1316" s="113">
        <v>140.6</v>
      </c>
      <c r="H1316" s="113">
        <f t="shared" si="145"/>
        <v>39.05555555555555</v>
      </c>
      <c r="I1316" s="113">
        <v>-1.9</v>
      </c>
      <c r="J1316" s="113">
        <v>94.48</v>
      </c>
      <c r="K1316" s="113">
        <v>-9.3000000000000007</v>
      </c>
      <c r="L1316" s="185"/>
      <c r="M1316" s="16">
        <v>1313</v>
      </c>
      <c r="N1316" s="16">
        <f t="shared" si="147"/>
        <v>2.3727287233660573E-2</v>
      </c>
      <c r="O1316" s="16">
        <v>4</v>
      </c>
      <c r="P1316" s="16">
        <f t="shared" si="143"/>
        <v>9.1833785004516724</v>
      </c>
      <c r="Q1316" s="16">
        <f t="shared" si="148"/>
        <v>42.145568102760436</v>
      </c>
      <c r="R1316" s="113">
        <f t="shared" si="144"/>
        <v>329.49099999999999</v>
      </c>
      <c r="S1316" s="16">
        <f>IF(S1315=15800,15800,ROUND((((Q1316*60)/'Gearing Calculator'!$C$14)*'Track Data'!P1316),-2))</f>
        <v>11700</v>
      </c>
      <c r="T1316" s="16">
        <f t="shared" si="146"/>
        <v>-14.71670186282954</v>
      </c>
      <c r="U1316" s="16">
        <f>IF(AC1316=100,Braking!$AG$2354,IF(AC1316=50,Braking!$AG$1179,IF(AC1316=75,Braking!$AG$1767,0)))</f>
        <v>-14.71670186282954</v>
      </c>
      <c r="V1316" s="16">
        <f>0.5*'Gearing Calculator'!$C$15*'Gearing Calculator'!$C$20*'Gearing Calculator'!$W$20*('Track Data'!Q1316^2)</f>
        <v>187.99818470895556</v>
      </c>
      <c r="W1316" s="16">
        <f>('Gearing Calculator'!$U$9*'Track Data'!T1316)+'Track Data'!V1316</f>
        <v>-3729.5878511762676</v>
      </c>
      <c r="X1316" s="16">
        <f>('Gearing Calculator'!$U$9*9.81)*('Gearing Calculator'!$U$16/'Gearing Calculator'!$C$7)-(('Track Data'!W1316)*('Gearing Calculator'!$U$17/'Gearing Calculator'!$C$7))</f>
        <v>3434.0423863684946</v>
      </c>
      <c r="Y1316" s="16">
        <f>('Gearing Calculator'!$U$9*9.81)*(('Gearing Calculator'!$C$7-'Gearing Calculator'!$U$16)/'Gearing Calculator'!$C$7)+(('Track Data'!W1316)*('Gearing Calculator'!$U$17/'Gearing Calculator'!$C$7))</f>
        <v>-822.62038636849456</v>
      </c>
      <c r="Z1316" s="16">
        <f>((X1316*COS('Gearing Calculator'!$C$21))/'Gearing Calculator'!$C$22)/2</f>
        <v>106.16972963578426</v>
      </c>
      <c r="AA1316" s="16">
        <f>Y1316/'Gearing Calculator'!$C$24</f>
        <v>-11.486539700475889</v>
      </c>
      <c r="AB1316" s="16">
        <f t="shared" si="142"/>
        <v>129.13137725763741</v>
      </c>
      <c r="AC1316" s="16">
        <v>100</v>
      </c>
      <c r="AD1316" s="16">
        <v>0</v>
      </c>
      <c r="AE1316" s="16">
        <v>1313</v>
      </c>
      <c r="AF1316" s="16">
        <f>IF(AC1316=0,IF(O1316=6,INDEX(Acceleration!$V$4:$V$110,MATCH('Track Data'!S1316,Acceleration!$K$4:$K$110,0)),IF('Track Data'!O1316=5,INDEX(Acceleration!$U$4:$U$110,MATCH('Track Data'!S1316,Acceleration!$K$4:$K$110,0)),1)),U1316)</f>
        <v>-14.71670186282954</v>
      </c>
      <c r="AG1316" s="16">
        <f>IF(AC1316=0,IF(O1316=4,INDEX(Acceleration!$T$4:$T$110,MATCH('Track Data'!S1316,Acceleration!$K$4:$K$110,0)),IF('Track Data'!O1316=3,INDEX(Acceleration!$S$4:$S$110,MATCH('Track Data'!S1316,Acceleration!$K$4:$K$110,0)),'Track Data'!AF1316)),'Track Data'!U1316)</f>
        <v>-14.71670186282954</v>
      </c>
      <c r="AH1316" s="16">
        <f>IF(AC1316=0,IF(O1316=2,INDEX(Acceleration!$R$4:$R$110,MATCH('Track Data'!S1316,Acceleration!$K$4:$K$110,0)),IF('Track Data'!O1316=1,INDEX(Acceleration!$Q$4:$Q$110,MATCH('Track Data'!S1316,Acceleration!$K$4:$K$110,0)),'Track Data'!AG1316)),'Track Data'!U1316)</f>
        <v>-14.71670186282954</v>
      </c>
    </row>
    <row r="1317" spans="2:34" x14ac:dyDescent="0.25">
      <c r="B1317" s="16">
        <v>232.21100000000001</v>
      </c>
      <c r="C1317" s="16">
        <v>8587</v>
      </c>
      <c r="D1317" s="16">
        <v>1314</v>
      </c>
      <c r="E1317" s="113">
        <v>134</v>
      </c>
      <c r="F1317" s="113">
        <v>134.30000000000001</v>
      </c>
      <c r="G1317" s="113">
        <v>139.80000000000001</v>
      </c>
      <c r="H1317" s="113">
        <f t="shared" si="145"/>
        <v>38.833333333333336</v>
      </c>
      <c r="I1317" s="113">
        <v>-2.2999999999999998</v>
      </c>
      <c r="J1317" s="113">
        <v>94.41</v>
      </c>
      <c r="K1317" s="113">
        <v>-9.3000000000000007</v>
      </c>
      <c r="L1317" s="185"/>
      <c r="M1317" s="16">
        <v>1314</v>
      </c>
      <c r="N1317" s="16">
        <f t="shared" si="147"/>
        <v>2.3926351613471765E-2</v>
      </c>
      <c r="O1317" s="16">
        <v>4</v>
      </c>
      <c r="P1317" s="16">
        <f t="shared" si="143"/>
        <v>9.1833785004516724</v>
      </c>
      <c r="Q1317" s="16">
        <f t="shared" si="148"/>
        <v>41.794922023838716</v>
      </c>
      <c r="R1317" s="113">
        <f t="shared" si="144"/>
        <v>329.49099999999999</v>
      </c>
      <c r="S1317" s="16">
        <f>IF(S1316=15800,15800,ROUND((((Q1317*60)/'Gearing Calculator'!$C$14)*'Track Data'!P1317),-2))</f>
        <v>11600</v>
      </c>
      <c r="T1317" s="16">
        <f t="shared" si="146"/>
        <v>-14.71670186282954</v>
      </c>
      <c r="U1317" s="16">
        <f>IF(AC1317=100,Braking!$AG$2354,IF(AC1317=50,Braking!$AG$1179,IF(AC1317=75,Braking!$AG$1767,0)))</f>
        <v>-14.71670186282954</v>
      </c>
      <c r="V1317" s="16">
        <f>0.5*'Gearing Calculator'!$C$15*'Gearing Calculator'!$C$20*'Gearing Calculator'!$W$20*('Track Data'!Q1317^2)</f>
        <v>184.88295325863177</v>
      </c>
      <c r="W1317" s="16">
        <f>('Gearing Calculator'!$U$9*'Track Data'!T1317)+'Track Data'!V1317</f>
        <v>-3732.7030826265914</v>
      </c>
      <c r="X1317" s="16">
        <f>('Gearing Calculator'!$U$9*9.81)*('Gearing Calculator'!$U$16/'Gearing Calculator'!$C$7)-(('Track Data'!W1317)*('Gearing Calculator'!$U$17/'Gearing Calculator'!$C$7))</f>
        <v>3435.7404002597063</v>
      </c>
      <c r="Y1317" s="16">
        <f>('Gearing Calculator'!$U$9*9.81)*(('Gearing Calculator'!$C$7-'Gearing Calculator'!$U$16)/'Gearing Calculator'!$C$7)+(('Track Data'!W1317)*('Gearing Calculator'!$U$17/'Gearing Calculator'!$C$7))</f>
        <v>-824.31840025970632</v>
      </c>
      <c r="Z1317" s="16">
        <f>((X1317*COS('Gearing Calculator'!$C$21))/'Gearing Calculator'!$C$22)/2</f>
        <v>106.22222685494015</v>
      </c>
      <c r="AA1317" s="16">
        <f>Y1317/'Gearing Calculator'!$C$24</f>
        <v>-11.510249669614227</v>
      </c>
      <c r="AB1317" s="16">
        <f t="shared" si="142"/>
        <v>126.01614580731362</v>
      </c>
      <c r="AC1317" s="16">
        <v>100</v>
      </c>
      <c r="AD1317" s="16">
        <v>0</v>
      </c>
      <c r="AE1317" s="16">
        <v>1314</v>
      </c>
      <c r="AF1317" s="16">
        <f>IF(AC1317=0,IF(O1317=6,INDEX(Acceleration!$V$4:$V$110,MATCH('Track Data'!S1317,Acceleration!$K$4:$K$110,0)),IF('Track Data'!O1317=5,INDEX(Acceleration!$U$4:$U$110,MATCH('Track Data'!S1317,Acceleration!$K$4:$K$110,0)),1)),U1317)</f>
        <v>-14.71670186282954</v>
      </c>
      <c r="AG1317" s="16">
        <f>IF(AC1317=0,IF(O1317=4,INDEX(Acceleration!$T$4:$T$110,MATCH('Track Data'!S1317,Acceleration!$K$4:$K$110,0)),IF('Track Data'!O1317=3,INDEX(Acceleration!$S$4:$S$110,MATCH('Track Data'!S1317,Acceleration!$K$4:$K$110,0)),'Track Data'!AF1317)),'Track Data'!U1317)</f>
        <v>-14.71670186282954</v>
      </c>
      <c r="AH1317" s="16">
        <f>IF(AC1317=0,IF(O1317=2,INDEX(Acceleration!$R$4:$R$110,MATCH('Track Data'!S1317,Acceleration!$K$4:$K$110,0)),IF('Track Data'!O1317=1,INDEX(Acceleration!$Q$4:$Q$110,MATCH('Track Data'!S1317,Acceleration!$K$4:$K$110,0)),'Track Data'!AG1317)),'Track Data'!U1317)</f>
        <v>-14.71670186282954</v>
      </c>
    </row>
    <row r="1318" spans="2:34" x14ac:dyDescent="0.25">
      <c r="B1318" s="16">
        <v>232.238</v>
      </c>
      <c r="C1318" s="16">
        <v>8588</v>
      </c>
      <c r="D1318" s="16">
        <v>1315</v>
      </c>
      <c r="E1318" s="113">
        <v>134</v>
      </c>
      <c r="F1318" s="113">
        <v>133.30000000000001</v>
      </c>
      <c r="G1318" s="113">
        <v>139.30000000000001</v>
      </c>
      <c r="H1318" s="113">
        <f t="shared" si="145"/>
        <v>38.69444444444445</v>
      </c>
      <c r="I1318" s="113">
        <v>-2.8</v>
      </c>
      <c r="J1318" s="113">
        <v>94.3</v>
      </c>
      <c r="K1318" s="113">
        <v>-9.3000000000000007</v>
      </c>
      <c r="L1318" s="185"/>
      <c r="M1318" s="16">
        <v>1315</v>
      </c>
      <c r="N1318" s="16">
        <f t="shared" si="147"/>
        <v>2.4130511818945075E-2</v>
      </c>
      <c r="O1318" s="16">
        <v>4</v>
      </c>
      <c r="P1318" s="16">
        <f t="shared" si="143"/>
        <v>9.1833785004516724</v>
      </c>
      <c r="Q1318" s="16">
        <f t="shared" si="148"/>
        <v>41.441309140193674</v>
      </c>
      <c r="R1318" s="113">
        <f t="shared" si="144"/>
        <v>329.49099999999999</v>
      </c>
      <c r="S1318" s="16">
        <f>IF(S1317=15800,15800,ROUND((((Q1318*60)/'Gearing Calculator'!$C$14)*'Track Data'!P1318),-2))</f>
        <v>11500</v>
      </c>
      <c r="T1318" s="16">
        <f t="shared" si="146"/>
        <v>-14.71670186282954</v>
      </c>
      <c r="U1318" s="16">
        <f>IF(AC1318=100,Braking!$AG$2354,IF(AC1318=50,Braking!$AG$1179,IF(AC1318=75,Braking!$AG$1767,0)))</f>
        <v>-14.71670186282954</v>
      </c>
      <c r="V1318" s="16">
        <f>0.5*'Gearing Calculator'!$C$15*'Gearing Calculator'!$C$20*'Gearing Calculator'!$W$20*('Track Data'!Q1318^2)</f>
        <v>181.76772180830807</v>
      </c>
      <c r="W1318" s="16">
        <f>('Gearing Calculator'!$U$9*'Track Data'!T1318)+'Track Data'!V1318</f>
        <v>-3735.8183140769152</v>
      </c>
      <c r="X1318" s="16">
        <f>('Gearing Calculator'!$U$9*9.81)*('Gearing Calculator'!$U$16/'Gearing Calculator'!$C$7)-(('Track Data'!W1318)*('Gearing Calculator'!$U$17/'Gearing Calculator'!$C$7))</f>
        <v>3437.4384141509181</v>
      </c>
      <c r="Y1318" s="16">
        <f>('Gearing Calculator'!$U$9*9.81)*(('Gearing Calculator'!$C$7-'Gearing Calculator'!$U$16)/'Gearing Calculator'!$C$7)+(('Track Data'!W1318)*('Gearing Calculator'!$U$17/'Gearing Calculator'!$C$7))</f>
        <v>-826.01641415091808</v>
      </c>
      <c r="Z1318" s="16">
        <f>((X1318*COS('Gearing Calculator'!$C$21))/'Gearing Calculator'!$C$22)/2</f>
        <v>106.27472407409604</v>
      </c>
      <c r="AA1318" s="16">
        <f>Y1318/'Gearing Calculator'!$C$24</f>
        <v>-11.533959638752563</v>
      </c>
      <c r="AB1318" s="16">
        <f t="shared" si="142"/>
        <v>122.90091435698992</v>
      </c>
      <c r="AC1318" s="16">
        <v>100</v>
      </c>
      <c r="AD1318" s="16">
        <v>0</v>
      </c>
      <c r="AE1318" s="16">
        <v>1315</v>
      </c>
      <c r="AF1318" s="16">
        <f>IF(AC1318=0,IF(O1318=6,INDEX(Acceleration!$V$4:$V$110,MATCH('Track Data'!S1318,Acceleration!$K$4:$K$110,0)),IF('Track Data'!O1318=5,INDEX(Acceleration!$U$4:$U$110,MATCH('Track Data'!S1318,Acceleration!$K$4:$K$110,0)),1)),U1318)</f>
        <v>-14.71670186282954</v>
      </c>
      <c r="AG1318" s="16">
        <f>IF(AC1318=0,IF(O1318=4,INDEX(Acceleration!$T$4:$T$110,MATCH('Track Data'!S1318,Acceleration!$K$4:$K$110,0)),IF('Track Data'!O1318=3,INDEX(Acceleration!$S$4:$S$110,MATCH('Track Data'!S1318,Acceleration!$K$4:$K$110,0)),'Track Data'!AF1318)),'Track Data'!U1318)</f>
        <v>-14.71670186282954</v>
      </c>
      <c r="AH1318" s="16">
        <f>IF(AC1318=0,IF(O1318=2,INDEX(Acceleration!$R$4:$R$110,MATCH('Track Data'!S1318,Acceleration!$K$4:$K$110,0)),IF('Track Data'!O1318=1,INDEX(Acceleration!$Q$4:$Q$110,MATCH('Track Data'!S1318,Acceleration!$K$4:$K$110,0)),'Track Data'!AG1318)),'Track Data'!U1318)</f>
        <v>-14.71670186282954</v>
      </c>
    </row>
    <row r="1319" spans="2:34" x14ac:dyDescent="0.25">
      <c r="B1319" s="16">
        <v>232.26400000000001</v>
      </c>
      <c r="C1319" s="16">
        <v>8589</v>
      </c>
      <c r="D1319" s="16">
        <v>1316</v>
      </c>
      <c r="E1319" s="113">
        <v>127</v>
      </c>
      <c r="F1319" s="113">
        <v>132.80000000000001</v>
      </c>
      <c r="G1319" s="113">
        <v>138.5</v>
      </c>
      <c r="H1319" s="113">
        <f t="shared" si="145"/>
        <v>38.472222222222221</v>
      </c>
      <c r="I1319" s="113">
        <v>-1.2</v>
      </c>
      <c r="J1319" s="113">
        <v>92.82</v>
      </c>
      <c r="K1319" s="113">
        <v>-12.3</v>
      </c>
      <c r="L1319" s="185"/>
      <c r="M1319" s="16">
        <v>1316</v>
      </c>
      <c r="N1319" s="16">
        <f t="shared" si="147"/>
        <v>2.4339989040024754E-2</v>
      </c>
      <c r="O1319" s="16">
        <v>4</v>
      </c>
      <c r="P1319" s="16">
        <f t="shared" si="143"/>
        <v>9.1833785004516724</v>
      </c>
      <c r="Q1319" s="16">
        <f t="shared" si="148"/>
        <v>41.08465284662195</v>
      </c>
      <c r="R1319" s="113">
        <f t="shared" si="144"/>
        <v>329.49099999999999</v>
      </c>
      <c r="S1319" s="16">
        <f>IF(S1318=15800,15800,ROUND((((Q1319*60)/'Gearing Calculator'!$C$14)*'Track Data'!P1319),-2))</f>
        <v>11400</v>
      </c>
      <c r="T1319" s="16">
        <f t="shared" si="146"/>
        <v>-14.71670186282954</v>
      </c>
      <c r="U1319" s="16">
        <f>IF(AC1319=100,Braking!$AG$2354,IF(AC1319=50,Braking!$AG$1179,IF(AC1319=75,Braking!$AG$1767,0)))</f>
        <v>-14.71670186282954</v>
      </c>
      <c r="V1319" s="16">
        <f>0.5*'Gearing Calculator'!$C$15*'Gearing Calculator'!$C$20*'Gearing Calculator'!$W$20*('Track Data'!Q1319^2)</f>
        <v>178.65249035798433</v>
      </c>
      <c r="W1319" s="16">
        <f>('Gearing Calculator'!$U$9*'Track Data'!T1319)+'Track Data'!V1319</f>
        <v>-3738.9335455272389</v>
      </c>
      <c r="X1319" s="16">
        <f>('Gearing Calculator'!$U$9*9.81)*('Gearing Calculator'!$U$16/'Gearing Calculator'!$C$7)-(('Track Data'!W1319)*('Gearing Calculator'!$U$17/'Gearing Calculator'!$C$7))</f>
        <v>3439.1364280421299</v>
      </c>
      <c r="Y1319" s="16">
        <f>('Gearing Calculator'!$U$9*9.81)*(('Gearing Calculator'!$C$7-'Gearing Calculator'!$U$16)/'Gearing Calculator'!$C$7)+(('Track Data'!W1319)*('Gearing Calculator'!$U$17/'Gearing Calculator'!$C$7))</f>
        <v>-827.71442804212984</v>
      </c>
      <c r="Z1319" s="16">
        <f>((X1319*COS('Gearing Calculator'!$C$21))/'Gearing Calculator'!$C$22)/2</f>
        <v>106.32722129325191</v>
      </c>
      <c r="AA1319" s="16">
        <f>Y1319/'Gearing Calculator'!$C$24</f>
        <v>-11.557669607890899</v>
      </c>
      <c r="AB1319" s="16">
        <f t="shared" si="142"/>
        <v>119.78568290666618</v>
      </c>
      <c r="AC1319" s="16">
        <v>100</v>
      </c>
      <c r="AD1319" s="16">
        <v>0</v>
      </c>
      <c r="AE1319" s="16">
        <v>1316</v>
      </c>
      <c r="AF1319" s="16">
        <f>IF(AC1319=0,IF(O1319=6,INDEX(Acceleration!$V$4:$V$110,MATCH('Track Data'!S1319,Acceleration!$K$4:$K$110,0)),IF('Track Data'!O1319=5,INDEX(Acceleration!$U$4:$U$110,MATCH('Track Data'!S1319,Acceleration!$K$4:$K$110,0)),1)),U1319)</f>
        <v>-14.71670186282954</v>
      </c>
      <c r="AG1319" s="16">
        <f>IF(AC1319=0,IF(O1319=4,INDEX(Acceleration!$T$4:$T$110,MATCH('Track Data'!S1319,Acceleration!$K$4:$K$110,0)),IF('Track Data'!O1319=3,INDEX(Acceleration!$S$4:$S$110,MATCH('Track Data'!S1319,Acceleration!$K$4:$K$110,0)),'Track Data'!AF1319)),'Track Data'!U1319)</f>
        <v>-14.71670186282954</v>
      </c>
      <c r="AH1319" s="16">
        <f>IF(AC1319=0,IF(O1319=2,INDEX(Acceleration!$R$4:$R$110,MATCH('Track Data'!S1319,Acceleration!$K$4:$K$110,0)),IF('Track Data'!O1319=1,INDEX(Acceleration!$Q$4:$Q$110,MATCH('Track Data'!S1319,Acceleration!$K$4:$K$110,0)),'Track Data'!AG1319)),'Track Data'!U1319)</f>
        <v>-14.71670186282954</v>
      </c>
    </row>
    <row r="1320" spans="2:34" x14ac:dyDescent="0.25">
      <c r="B1320" s="16">
        <v>232.291</v>
      </c>
      <c r="C1320" s="16">
        <v>8590</v>
      </c>
      <c r="D1320" s="16">
        <v>1317</v>
      </c>
      <c r="E1320" s="113">
        <v>121</v>
      </c>
      <c r="F1320" s="113">
        <v>131.80000000000001</v>
      </c>
      <c r="G1320" s="113">
        <v>137.80000000000001</v>
      </c>
      <c r="H1320" s="113">
        <f t="shared" si="145"/>
        <v>38.277777777777779</v>
      </c>
      <c r="I1320" s="113">
        <v>-1</v>
      </c>
      <c r="J1320" s="113">
        <v>93.04</v>
      </c>
      <c r="K1320" s="113">
        <v>-16.100000000000001</v>
      </c>
      <c r="L1320" s="185"/>
      <c r="M1320" s="16">
        <v>1317</v>
      </c>
      <c r="N1320" s="16">
        <f t="shared" si="147"/>
        <v>2.4555018145723428E-2</v>
      </c>
      <c r="O1320" s="16">
        <v>4</v>
      </c>
      <c r="P1320" s="16">
        <f t="shared" si="143"/>
        <v>9.1833785004516724</v>
      </c>
      <c r="Q1320" s="16">
        <f t="shared" si="148"/>
        <v>40.724873183372615</v>
      </c>
      <c r="R1320" s="113">
        <f t="shared" si="144"/>
        <v>329.49099999999999</v>
      </c>
      <c r="S1320" s="16">
        <f>IF(S1319=15800,15800,ROUND((((Q1320*60)/'Gearing Calculator'!$C$14)*'Track Data'!P1320),-2))</f>
        <v>11300</v>
      </c>
      <c r="T1320" s="16">
        <f t="shared" si="146"/>
        <v>-14.71670186282954</v>
      </c>
      <c r="U1320" s="16">
        <f>IF(AC1320=100,Braking!$AG$2354,IF(AC1320=50,Braking!$AG$1179,IF(AC1320=75,Braking!$AG$1767,0)))</f>
        <v>-14.71670186282954</v>
      </c>
      <c r="V1320" s="16">
        <f>0.5*'Gearing Calculator'!$C$15*'Gearing Calculator'!$C$20*'Gearing Calculator'!$W$20*('Track Data'!Q1320^2)</f>
        <v>175.5372589076606</v>
      </c>
      <c r="W1320" s="16">
        <f>('Gearing Calculator'!$U$9*'Track Data'!T1320)+'Track Data'!V1320</f>
        <v>-3742.0487769775627</v>
      </c>
      <c r="X1320" s="16">
        <f>('Gearing Calculator'!$U$9*9.81)*('Gearing Calculator'!$U$16/'Gearing Calculator'!$C$7)-(('Track Data'!W1320)*('Gearing Calculator'!$U$17/'Gearing Calculator'!$C$7))</f>
        <v>3440.8344419333416</v>
      </c>
      <c r="Y1320" s="16">
        <f>('Gearing Calculator'!$U$9*9.81)*(('Gearing Calculator'!$C$7-'Gearing Calculator'!$U$16)/'Gearing Calculator'!$C$7)+(('Track Data'!W1320)*('Gearing Calculator'!$U$17/'Gearing Calculator'!$C$7))</f>
        <v>-829.4124419333416</v>
      </c>
      <c r="Z1320" s="16">
        <f>((X1320*COS('Gearing Calculator'!$C$21))/'Gearing Calculator'!$C$22)/2</f>
        <v>106.37971851240779</v>
      </c>
      <c r="AA1320" s="16">
        <f>Y1320/'Gearing Calculator'!$C$24</f>
        <v>-11.581379577029235</v>
      </c>
      <c r="AB1320" s="16">
        <f t="shared" si="142"/>
        <v>116.67045145634245</v>
      </c>
      <c r="AC1320" s="16">
        <v>100</v>
      </c>
      <c r="AD1320" s="16">
        <v>0</v>
      </c>
      <c r="AE1320" s="16">
        <v>1317</v>
      </c>
      <c r="AF1320" s="16">
        <f>IF(AC1320=0,IF(O1320=6,INDEX(Acceleration!$V$4:$V$110,MATCH('Track Data'!S1320,Acceleration!$K$4:$K$110,0)),IF('Track Data'!O1320=5,INDEX(Acceleration!$U$4:$U$110,MATCH('Track Data'!S1320,Acceleration!$K$4:$K$110,0)),1)),U1320)</f>
        <v>-14.71670186282954</v>
      </c>
      <c r="AG1320" s="16">
        <f>IF(AC1320=0,IF(O1320=4,INDEX(Acceleration!$T$4:$T$110,MATCH('Track Data'!S1320,Acceleration!$K$4:$K$110,0)),IF('Track Data'!O1320=3,INDEX(Acceleration!$S$4:$S$110,MATCH('Track Data'!S1320,Acceleration!$K$4:$K$110,0)),'Track Data'!AF1320)),'Track Data'!U1320)</f>
        <v>-14.71670186282954</v>
      </c>
      <c r="AH1320" s="16">
        <f>IF(AC1320=0,IF(O1320=2,INDEX(Acceleration!$R$4:$R$110,MATCH('Track Data'!S1320,Acceleration!$K$4:$K$110,0)),IF('Track Data'!O1320=1,INDEX(Acceleration!$Q$4:$Q$110,MATCH('Track Data'!S1320,Acceleration!$K$4:$K$110,0)),'Track Data'!AG1320)),'Track Data'!U1320)</f>
        <v>-14.71670186282954</v>
      </c>
    </row>
    <row r="1321" spans="2:34" x14ac:dyDescent="0.25">
      <c r="B1321" s="16">
        <v>232.31899999999999</v>
      </c>
      <c r="C1321" s="16">
        <v>8591</v>
      </c>
      <c r="D1321" s="16">
        <v>1318</v>
      </c>
      <c r="E1321" s="113">
        <v>119</v>
      </c>
      <c r="F1321" s="113">
        <v>130.5</v>
      </c>
      <c r="G1321" s="113">
        <v>137.19999999999999</v>
      </c>
      <c r="H1321" s="113">
        <f t="shared" si="145"/>
        <v>38.111111111111107</v>
      </c>
      <c r="I1321" s="113">
        <v>-1.2</v>
      </c>
      <c r="J1321" s="113">
        <v>92.99</v>
      </c>
      <c r="K1321" s="113">
        <v>-18.7</v>
      </c>
      <c r="L1321" s="185"/>
      <c r="M1321" s="16">
        <v>1318</v>
      </c>
      <c r="N1321" s="16">
        <f t="shared" si="147"/>
        <v>2.4775848791358461E-2</v>
      </c>
      <c r="O1321" s="16">
        <v>4</v>
      </c>
      <c r="P1321" s="16">
        <f t="shared" si="143"/>
        <v>9.1833785004516724</v>
      </c>
      <c r="Q1321" s="16">
        <f t="shared" si="148"/>
        <v>40.361886626818162</v>
      </c>
      <c r="R1321" s="113">
        <f t="shared" si="144"/>
        <v>329.49099999999999</v>
      </c>
      <c r="S1321" s="16">
        <f>IF(S1320=15800,15800,ROUND((((Q1321*60)/'Gearing Calculator'!$C$14)*'Track Data'!P1321),-2))</f>
        <v>11200</v>
      </c>
      <c r="T1321" s="16">
        <f t="shared" si="146"/>
        <v>-14.71670186282954</v>
      </c>
      <c r="U1321" s="16">
        <f>IF(AC1321=100,Braking!$AG$2354,IF(AC1321=50,Braking!$AG$1179,IF(AC1321=75,Braking!$AG$1767,0)))</f>
        <v>-14.71670186282954</v>
      </c>
      <c r="V1321" s="16">
        <f>0.5*'Gearing Calculator'!$C$15*'Gearing Calculator'!$C$20*'Gearing Calculator'!$W$20*('Track Data'!Q1321^2)</f>
        <v>172.42202745733681</v>
      </c>
      <c r="W1321" s="16">
        <f>('Gearing Calculator'!$U$9*'Track Data'!T1321)+'Track Data'!V1321</f>
        <v>-3745.1640084278865</v>
      </c>
      <c r="X1321" s="16">
        <f>('Gearing Calculator'!$U$9*9.81)*('Gearing Calculator'!$U$16/'Gearing Calculator'!$C$7)-(('Track Data'!W1321)*('Gearing Calculator'!$U$17/'Gearing Calculator'!$C$7))</f>
        <v>3442.5324558245534</v>
      </c>
      <c r="Y1321" s="16">
        <f>('Gearing Calculator'!$U$9*9.81)*(('Gearing Calculator'!$C$7-'Gearing Calculator'!$U$16)/'Gearing Calculator'!$C$7)+(('Track Data'!W1321)*('Gearing Calculator'!$U$17/'Gearing Calculator'!$C$7))</f>
        <v>-831.11045582455336</v>
      </c>
      <c r="Z1321" s="16">
        <f>((X1321*COS('Gearing Calculator'!$C$21))/'Gearing Calculator'!$C$22)/2</f>
        <v>106.43221573156367</v>
      </c>
      <c r="AA1321" s="16">
        <f>Y1321/'Gearing Calculator'!$C$24</f>
        <v>-11.605089546167573</v>
      </c>
      <c r="AB1321" s="16">
        <f t="shared" si="142"/>
        <v>113.55522000601866</v>
      </c>
      <c r="AC1321" s="16">
        <v>100</v>
      </c>
      <c r="AD1321" s="16">
        <v>0</v>
      </c>
      <c r="AE1321" s="16">
        <v>1318</v>
      </c>
      <c r="AF1321" s="16">
        <f>IF(AC1321=0,IF(O1321=6,INDEX(Acceleration!$V$4:$V$110,MATCH('Track Data'!S1321,Acceleration!$K$4:$K$110,0)),IF('Track Data'!O1321=5,INDEX(Acceleration!$U$4:$U$110,MATCH('Track Data'!S1321,Acceleration!$K$4:$K$110,0)),1)),U1321)</f>
        <v>-14.71670186282954</v>
      </c>
      <c r="AG1321" s="16">
        <f>IF(AC1321=0,IF(O1321=4,INDEX(Acceleration!$T$4:$T$110,MATCH('Track Data'!S1321,Acceleration!$K$4:$K$110,0)),IF('Track Data'!O1321=3,INDEX(Acceleration!$S$4:$S$110,MATCH('Track Data'!S1321,Acceleration!$K$4:$K$110,0)),'Track Data'!AF1321)),'Track Data'!U1321)</f>
        <v>-14.71670186282954</v>
      </c>
      <c r="AH1321" s="16">
        <f>IF(AC1321=0,IF(O1321=2,INDEX(Acceleration!$R$4:$R$110,MATCH('Track Data'!S1321,Acceleration!$K$4:$K$110,0)),IF('Track Data'!O1321=1,INDEX(Acceleration!$Q$4:$Q$110,MATCH('Track Data'!S1321,Acceleration!$K$4:$K$110,0)),'Track Data'!AG1321)),'Track Data'!U1321)</f>
        <v>-14.71670186282954</v>
      </c>
    </row>
    <row r="1322" spans="2:34" x14ac:dyDescent="0.25">
      <c r="B1322" s="16">
        <v>232.346</v>
      </c>
      <c r="C1322" s="16">
        <v>8592</v>
      </c>
      <c r="D1322" s="16">
        <v>1319</v>
      </c>
      <c r="E1322" s="113">
        <v>117</v>
      </c>
      <c r="F1322" s="113">
        <v>129.4</v>
      </c>
      <c r="G1322" s="113">
        <v>136.4</v>
      </c>
      <c r="H1322" s="113">
        <f t="shared" si="145"/>
        <v>37.888888888888893</v>
      </c>
      <c r="I1322" s="113">
        <v>-1</v>
      </c>
      <c r="J1322" s="113">
        <v>93</v>
      </c>
      <c r="K1322" s="113">
        <v>-14.8</v>
      </c>
      <c r="L1322" s="185"/>
      <c r="M1322" s="16">
        <v>1319</v>
      </c>
      <c r="N1322" s="16">
        <f t="shared" si="147"/>
        <v>2.5002746637336704E-2</v>
      </c>
      <c r="O1322" s="16">
        <v>4</v>
      </c>
      <c r="P1322" s="16">
        <f t="shared" si="143"/>
        <v>9.1833785004516724</v>
      </c>
      <c r="Q1322" s="16">
        <f t="shared" si="148"/>
        <v>39.995605863025304</v>
      </c>
      <c r="R1322" s="113">
        <f t="shared" si="144"/>
        <v>329.49099999999999</v>
      </c>
      <c r="S1322" s="16">
        <f>IF(S1321=15800,15800,ROUND((((Q1322*60)/'Gearing Calculator'!$C$14)*'Track Data'!P1322),-2))</f>
        <v>11100</v>
      </c>
      <c r="T1322" s="16">
        <f t="shared" si="146"/>
        <v>-14.71670186282954</v>
      </c>
      <c r="U1322" s="16">
        <f>IF(AC1322=100,Braking!$AG$2354,IF(AC1322=50,Braking!$AG$1179,IF(AC1322=75,Braking!$AG$1767,0)))</f>
        <v>-14.71670186282954</v>
      </c>
      <c r="V1322" s="16">
        <f>0.5*'Gearing Calculator'!$C$15*'Gearing Calculator'!$C$20*'Gearing Calculator'!$W$20*('Track Data'!Q1322^2)</f>
        <v>169.30679600701311</v>
      </c>
      <c r="W1322" s="16">
        <f>('Gearing Calculator'!$U$9*'Track Data'!T1322)+'Track Data'!V1322</f>
        <v>-3748.2792398782103</v>
      </c>
      <c r="X1322" s="16">
        <f>('Gearing Calculator'!$U$9*9.81)*('Gearing Calculator'!$U$16/'Gearing Calculator'!$C$7)-(('Track Data'!W1322)*('Gearing Calculator'!$U$17/'Gearing Calculator'!$C$7))</f>
        <v>3444.2304697157651</v>
      </c>
      <c r="Y1322" s="16">
        <f>('Gearing Calculator'!$U$9*9.81)*(('Gearing Calculator'!$C$7-'Gearing Calculator'!$U$16)/'Gearing Calculator'!$C$7)+(('Track Data'!W1322)*('Gearing Calculator'!$U$17/'Gearing Calculator'!$C$7))</f>
        <v>-832.80846971576534</v>
      </c>
      <c r="Z1322" s="16">
        <f>((X1322*COS('Gearing Calculator'!$C$21))/'Gearing Calculator'!$C$22)/2</f>
        <v>106.48471295071954</v>
      </c>
      <c r="AA1322" s="16">
        <f>Y1322/'Gearing Calculator'!$C$24</f>
        <v>-11.628799515305912</v>
      </c>
      <c r="AB1322" s="16">
        <f t="shared" si="142"/>
        <v>110.43998855569495</v>
      </c>
      <c r="AC1322" s="16">
        <v>100</v>
      </c>
      <c r="AD1322" s="16">
        <v>0</v>
      </c>
      <c r="AE1322" s="16">
        <v>1319</v>
      </c>
      <c r="AF1322" s="16">
        <f>IF(AC1322=0,IF(O1322=6,INDEX(Acceleration!$V$4:$V$110,MATCH('Track Data'!S1322,Acceleration!$K$4:$K$110,0)),IF('Track Data'!O1322=5,INDEX(Acceleration!$U$4:$U$110,MATCH('Track Data'!S1322,Acceleration!$K$4:$K$110,0)),1)),U1322)</f>
        <v>-14.71670186282954</v>
      </c>
      <c r="AG1322" s="16">
        <f>IF(AC1322=0,IF(O1322=4,INDEX(Acceleration!$T$4:$T$110,MATCH('Track Data'!S1322,Acceleration!$K$4:$K$110,0)),IF('Track Data'!O1322=3,INDEX(Acceleration!$S$4:$S$110,MATCH('Track Data'!S1322,Acceleration!$K$4:$K$110,0)),'Track Data'!AF1322)),'Track Data'!U1322)</f>
        <v>-14.71670186282954</v>
      </c>
      <c r="AH1322" s="16">
        <f>IF(AC1322=0,IF(O1322=2,INDEX(Acceleration!$R$4:$R$110,MATCH('Track Data'!S1322,Acceleration!$K$4:$K$110,0)),IF('Track Data'!O1322=1,INDEX(Acceleration!$Q$4:$Q$110,MATCH('Track Data'!S1322,Acceleration!$K$4:$K$110,0)),'Track Data'!AG1322)),'Track Data'!U1322)</f>
        <v>-14.71670186282954</v>
      </c>
    </row>
    <row r="1323" spans="2:34" x14ac:dyDescent="0.25">
      <c r="B1323" s="16">
        <v>232.374</v>
      </c>
      <c r="C1323" s="16">
        <v>8593</v>
      </c>
      <c r="D1323" s="16">
        <v>1320</v>
      </c>
      <c r="E1323" s="113">
        <v>116</v>
      </c>
      <c r="F1323" s="113">
        <v>128.80000000000001</v>
      </c>
      <c r="G1323" s="113">
        <v>135.5</v>
      </c>
      <c r="H1323" s="113">
        <f t="shared" si="145"/>
        <v>37.638888888888886</v>
      </c>
      <c r="I1323" s="113">
        <v>-0.8</v>
      </c>
      <c r="J1323" s="113">
        <v>92.17</v>
      </c>
      <c r="K1323" s="113">
        <v>-8.9</v>
      </c>
      <c r="L1323" s="185"/>
      <c r="M1323" s="16">
        <v>1320</v>
      </c>
      <c r="N1323" s="16">
        <f t="shared" si="147"/>
        <v>2.5235994693016874E-2</v>
      </c>
      <c r="O1323" s="16">
        <v>4</v>
      </c>
      <c r="P1323" s="16">
        <f t="shared" si="143"/>
        <v>9.1833785004516724</v>
      </c>
      <c r="Q1323" s="16">
        <f t="shared" si="148"/>
        <v>39.625939542486627</v>
      </c>
      <c r="R1323" s="113">
        <f t="shared" si="144"/>
        <v>329.49099999999999</v>
      </c>
      <c r="S1323" s="16">
        <f>IF(S1322=15800,15800,ROUND((((Q1323*60)/'Gearing Calculator'!$C$14)*'Track Data'!P1323),-2))</f>
        <v>11000</v>
      </c>
      <c r="T1323" s="16">
        <f t="shared" si="146"/>
        <v>-14.71670186282954</v>
      </c>
      <c r="U1323" s="16">
        <f>IF(AC1323=100,Braking!$AG$2354,IF(AC1323=50,Braking!$AG$1179,IF(AC1323=75,Braking!$AG$1767,0)))</f>
        <v>-14.71670186282954</v>
      </c>
      <c r="V1323" s="16">
        <f>0.5*'Gearing Calculator'!$C$15*'Gearing Calculator'!$C$20*'Gearing Calculator'!$W$20*('Track Data'!Q1323^2)</f>
        <v>166.19156455668937</v>
      </c>
      <c r="W1323" s="16">
        <f>('Gearing Calculator'!$U$9*'Track Data'!T1323)+'Track Data'!V1323</f>
        <v>-3751.3944713285341</v>
      </c>
      <c r="X1323" s="16">
        <f>('Gearing Calculator'!$U$9*9.81)*('Gearing Calculator'!$U$16/'Gearing Calculator'!$C$7)-(('Track Data'!W1323)*('Gearing Calculator'!$U$17/'Gearing Calculator'!$C$7))</f>
        <v>3445.9284836069774</v>
      </c>
      <c r="Y1323" s="16">
        <f>('Gearing Calculator'!$U$9*9.81)*(('Gearing Calculator'!$C$7-'Gearing Calculator'!$U$16)/'Gearing Calculator'!$C$7)+(('Track Data'!W1323)*('Gearing Calculator'!$U$17/'Gearing Calculator'!$C$7))</f>
        <v>-834.5064836069771</v>
      </c>
      <c r="Z1323" s="16">
        <f>((X1323*COS('Gearing Calculator'!$C$21))/'Gearing Calculator'!$C$22)/2</f>
        <v>106.53721016987542</v>
      </c>
      <c r="AA1323" s="16">
        <f>Y1323/'Gearing Calculator'!$C$24</f>
        <v>-11.652509484444248</v>
      </c>
      <c r="AB1323" s="16">
        <f t="shared" si="142"/>
        <v>107.32475710537122</v>
      </c>
      <c r="AC1323" s="16">
        <v>100</v>
      </c>
      <c r="AD1323" s="16">
        <v>0</v>
      </c>
      <c r="AE1323" s="16">
        <v>1320</v>
      </c>
      <c r="AF1323" s="16">
        <f>IF(AC1323=0,IF(O1323=6,INDEX(Acceleration!$V$4:$V$110,MATCH('Track Data'!S1323,Acceleration!$K$4:$K$110,0)),IF('Track Data'!O1323=5,INDEX(Acceleration!$U$4:$U$110,MATCH('Track Data'!S1323,Acceleration!$K$4:$K$110,0)),1)),U1323)</f>
        <v>-14.71670186282954</v>
      </c>
      <c r="AG1323" s="16">
        <f>IF(AC1323=0,IF(O1323=4,INDEX(Acceleration!$T$4:$T$110,MATCH('Track Data'!S1323,Acceleration!$K$4:$K$110,0)),IF('Track Data'!O1323=3,INDEX(Acceleration!$S$4:$S$110,MATCH('Track Data'!S1323,Acceleration!$K$4:$K$110,0)),'Track Data'!AF1323)),'Track Data'!U1323)</f>
        <v>-14.71670186282954</v>
      </c>
      <c r="AH1323" s="16">
        <f>IF(AC1323=0,IF(O1323=2,INDEX(Acceleration!$R$4:$R$110,MATCH('Track Data'!S1323,Acceleration!$K$4:$K$110,0)),IF('Track Data'!O1323=1,INDEX(Acceleration!$Q$4:$Q$110,MATCH('Track Data'!S1323,Acceleration!$K$4:$K$110,0)),'Track Data'!AG1323)),'Track Data'!U1323)</f>
        <v>-14.71670186282954</v>
      </c>
    </row>
    <row r="1324" spans="2:34" x14ac:dyDescent="0.25">
      <c r="B1324" s="16">
        <v>232.40199999999999</v>
      </c>
      <c r="C1324" s="16">
        <v>8594</v>
      </c>
      <c r="D1324" s="16">
        <v>1321</v>
      </c>
      <c r="E1324" s="113">
        <v>117</v>
      </c>
      <c r="F1324" s="113">
        <v>128.30000000000001</v>
      </c>
      <c r="G1324" s="113">
        <v>134.6</v>
      </c>
      <c r="H1324" s="113">
        <f t="shared" si="145"/>
        <v>37.388888888888886</v>
      </c>
      <c r="I1324" s="113">
        <v>-1.3</v>
      </c>
      <c r="J1324" s="113">
        <v>92.65</v>
      </c>
      <c r="K1324" s="113">
        <v>-3.1</v>
      </c>
      <c r="L1324" s="185"/>
      <c r="M1324" s="16">
        <v>1321</v>
      </c>
      <c r="N1324" s="16">
        <f t="shared" si="147"/>
        <v>2.5475894801108123E-2</v>
      </c>
      <c r="O1324" s="16">
        <v>4</v>
      </c>
      <c r="P1324" s="16">
        <f t="shared" si="143"/>
        <v>9.1833785004516724</v>
      </c>
      <c r="Q1324" s="16">
        <f t="shared" si="148"/>
        <v>39.252792014061193</v>
      </c>
      <c r="R1324" s="113">
        <f t="shared" si="144"/>
        <v>329.49099999999999</v>
      </c>
      <c r="S1324" s="16">
        <f>IF(S1323=15800,15800,ROUND((((Q1324*60)/'Gearing Calculator'!$C$14)*'Track Data'!P1324),-2))</f>
        <v>10900</v>
      </c>
      <c r="T1324" s="16">
        <f t="shared" si="146"/>
        <v>-14.71670186282954</v>
      </c>
      <c r="U1324" s="16">
        <f>IF(AC1324=100,Braking!$AG$2354,IF(AC1324=50,Braking!$AG$1179,IF(AC1324=75,Braking!$AG$1767,0)))</f>
        <v>-14.71670186282954</v>
      </c>
      <c r="V1324" s="16">
        <f>0.5*'Gearing Calculator'!$C$15*'Gearing Calculator'!$C$20*'Gearing Calculator'!$W$20*('Track Data'!Q1324^2)</f>
        <v>163.07633310636561</v>
      </c>
      <c r="W1324" s="16">
        <f>('Gearing Calculator'!$U$9*'Track Data'!T1324)+'Track Data'!V1324</f>
        <v>-3754.5097027788579</v>
      </c>
      <c r="X1324" s="16">
        <f>('Gearing Calculator'!$U$9*9.81)*('Gearing Calculator'!$U$16/'Gearing Calculator'!$C$7)-(('Track Data'!W1324)*('Gearing Calculator'!$U$17/'Gearing Calculator'!$C$7))</f>
        <v>3447.6264974981887</v>
      </c>
      <c r="Y1324" s="16">
        <f>('Gearing Calculator'!$U$9*9.81)*(('Gearing Calculator'!$C$7-'Gearing Calculator'!$U$16)/'Gearing Calculator'!$C$7)+(('Track Data'!W1324)*('Gearing Calculator'!$U$17/'Gearing Calculator'!$C$7))</f>
        <v>-836.20449749818886</v>
      </c>
      <c r="Z1324" s="16">
        <f>((X1324*COS('Gearing Calculator'!$C$21))/'Gearing Calculator'!$C$22)/2</f>
        <v>106.58970738903129</v>
      </c>
      <c r="AA1324" s="16">
        <f>Y1324/'Gearing Calculator'!$C$24</f>
        <v>-11.676219453582585</v>
      </c>
      <c r="AB1324" s="16">
        <f t="shared" si="142"/>
        <v>104.20952565504746</v>
      </c>
      <c r="AC1324" s="16">
        <v>100</v>
      </c>
      <c r="AD1324" s="16">
        <v>0</v>
      </c>
      <c r="AE1324" s="16">
        <v>1321</v>
      </c>
      <c r="AF1324" s="16">
        <f>IF(AC1324=0,IF(O1324=6,INDEX(Acceleration!$V$4:$V$110,MATCH('Track Data'!S1324,Acceleration!$K$4:$K$110,0)),IF('Track Data'!O1324=5,INDEX(Acceleration!$U$4:$U$110,MATCH('Track Data'!S1324,Acceleration!$K$4:$K$110,0)),1)),U1324)</f>
        <v>-14.71670186282954</v>
      </c>
      <c r="AG1324" s="16">
        <f>IF(AC1324=0,IF(O1324=4,INDEX(Acceleration!$T$4:$T$110,MATCH('Track Data'!S1324,Acceleration!$K$4:$K$110,0)),IF('Track Data'!O1324=3,INDEX(Acceleration!$S$4:$S$110,MATCH('Track Data'!S1324,Acceleration!$K$4:$K$110,0)),'Track Data'!AF1324)),'Track Data'!U1324)</f>
        <v>-14.71670186282954</v>
      </c>
      <c r="AH1324" s="16">
        <f>IF(AC1324=0,IF(O1324=2,INDEX(Acceleration!$R$4:$R$110,MATCH('Track Data'!S1324,Acceleration!$K$4:$K$110,0)),IF('Track Data'!O1324=1,INDEX(Acceleration!$Q$4:$Q$110,MATCH('Track Data'!S1324,Acceleration!$K$4:$K$110,0)),'Track Data'!AG1324)),'Track Data'!U1324)</f>
        <v>-14.71670186282954</v>
      </c>
    </row>
    <row r="1325" spans="2:34" x14ac:dyDescent="0.25">
      <c r="B1325" s="16">
        <v>232.429</v>
      </c>
      <c r="C1325" s="16">
        <v>8595</v>
      </c>
      <c r="D1325" s="16">
        <v>1322</v>
      </c>
      <c r="E1325" s="113">
        <v>116</v>
      </c>
      <c r="F1325" s="113">
        <v>126.9</v>
      </c>
      <c r="G1325" s="113">
        <v>134</v>
      </c>
      <c r="H1325" s="113">
        <f t="shared" si="145"/>
        <v>37.222222222222221</v>
      </c>
      <c r="I1325" s="113">
        <v>-2</v>
      </c>
      <c r="J1325" s="113">
        <v>92.54</v>
      </c>
      <c r="K1325" s="113">
        <v>0</v>
      </c>
      <c r="L1325" s="185"/>
      <c r="M1325" s="16">
        <v>1322</v>
      </c>
      <c r="N1325" s="16">
        <f t="shared" si="147"/>
        <v>2.572276928031059E-2</v>
      </c>
      <c r="O1325" s="16">
        <v>4</v>
      </c>
      <c r="P1325" s="16">
        <f t="shared" si="143"/>
        <v>9.1833785004516724</v>
      </c>
      <c r="Q1325" s="16">
        <f t="shared" si="148"/>
        <v>38.87606303592851</v>
      </c>
      <c r="R1325" s="113">
        <f t="shared" si="144"/>
        <v>329.49099999999999</v>
      </c>
      <c r="S1325" s="16">
        <f>IF(S1324=15800,15800,ROUND((((Q1325*60)/'Gearing Calculator'!$C$14)*'Track Data'!P1325),-2))</f>
        <v>10800</v>
      </c>
      <c r="T1325" s="16">
        <f t="shared" si="146"/>
        <v>-14.71670186282954</v>
      </c>
      <c r="U1325" s="16">
        <f>IF(AC1325=100,Braking!$AG$2354,IF(AC1325=50,Braking!$AG$1179,IF(AC1325=75,Braking!$AG$1767,0)))</f>
        <v>-14.71670186282954</v>
      </c>
      <c r="V1325" s="16">
        <f>0.5*'Gearing Calculator'!$C$15*'Gearing Calculator'!$C$20*'Gearing Calculator'!$W$20*('Track Data'!Q1325^2)</f>
        <v>159.96110165604185</v>
      </c>
      <c r="W1325" s="16">
        <f>('Gearing Calculator'!$U$9*'Track Data'!T1325)+'Track Data'!V1325</f>
        <v>-3757.6249342291812</v>
      </c>
      <c r="X1325" s="16">
        <f>('Gearing Calculator'!$U$9*9.81)*('Gearing Calculator'!$U$16/'Gearing Calculator'!$C$7)-(('Track Data'!W1325)*('Gearing Calculator'!$U$17/'Gearing Calculator'!$C$7))</f>
        <v>3449.3245113894009</v>
      </c>
      <c r="Y1325" s="16">
        <f>('Gearing Calculator'!$U$9*9.81)*(('Gearing Calculator'!$C$7-'Gearing Calculator'!$U$16)/'Gearing Calculator'!$C$7)+(('Track Data'!W1325)*('Gearing Calculator'!$U$17/'Gearing Calculator'!$C$7))</f>
        <v>-837.90251138940062</v>
      </c>
      <c r="Z1325" s="16">
        <f>((X1325*COS('Gearing Calculator'!$C$21))/'Gearing Calculator'!$C$22)/2</f>
        <v>106.64220460818719</v>
      </c>
      <c r="AA1325" s="16">
        <f>Y1325/'Gearing Calculator'!$C$24</f>
        <v>-11.699929422720921</v>
      </c>
      <c r="AB1325" s="16">
        <f t="shared" si="142"/>
        <v>101.0942942047237</v>
      </c>
      <c r="AC1325" s="16">
        <v>100</v>
      </c>
      <c r="AD1325" s="16">
        <v>0</v>
      </c>
      <c r="AE1325" s="16">
        <v>1322</v>
      </c>
      <c r="AF1325" s="16">
        <f>IF(AC1325=0,IF(O1325=6,INDEX(Acceleration!$V$4:$V$110,MATCH('Track Data'!S1325,Acceleration!$K$4:$K$110,0)),IF('Track Data'!O1325=5,INDEX(Acceleration!$U$4:$U$110,MATCH('Track Data'!S1325,Acceleration!$K$4:$K$110,0)),1)),U1325)</f>
        <v>-14.71670186282954</v>
      </c>
      <c r="AG1325" s="16">
        <f>IF(AC1325=0,IF(O1325=4,INDEX(Acceleration!$T$4:$T$110,MATCH('Track Data'!S1325,Acceleration!$K$4:$K$110,0)),IF('Track Data'!O1325=3,INDEX(Acceleration!$S$4:$S$110,MATCH('Track Data'!S1325,Acceleration!$K$4:$K$110,0)),'Track Data'!AF1325)),'Track Data'!U1325)</f>
        <v>-14.71670186282954</v>
      </c>
      <c r="AH1325" s="16">
        <f>IF(AC1325=0,IF(O1325=2,INDEX(Acceleration!$R$4:$R$110,MATCH('Track Data'!S1325,Acceleration!$K$4:$K$110,0)),IF('Track Data'!O1325=1,INDEX(Acceleration!$Q$4:$Q$110,MATCH('Track Data'!S1325,Acceleration!$K$4:$K$110,0)),'Track Data'!AG1325)),'Track Data'!U1325)</f>
        <v>-14.71670186282954</v>
      </c>
    </row>
    <row r="1326" spans="2:34" x14ac:dyDescent="0.25">
      <c r="B1326" s="16">
        <v>232.458</v>
      </c>
      <c r="C1326" s="16">
        <v>8596</v>
      </c>
      <c r="D1326" s="16">
        <v>1323</v>
      </c>
      <c r="E1326" s="113">
        <v>115</v>
      </c>
      <c r="F1326" s="113">
        <v>125.7</v>
      </c>
      <c r="G1326" s="113">
        <v>133</v>
      </c>
      <c r="H1326" s="113">
        <f t="shared" si="145"/>
        <v>36.944444444444443</v>
      </c>
      <c r="I1326" s="113">
        <v>-1.4</v>
      </c>
      <c r="J1326" s="113">
        <v>92.1</v>
      </c>
      <c r="K1326" s="113">
        <v>4.7</v>
      </c>
      <c r="L1326" s="185"/>
      <c r="M1326" s="16">
        <v>1323</v>
      </c>
      <c r="N1326" s="16">
        <f t="shared" si="147"/>
        <v>2.5976962746528651E-2</v>
      </c>
      <c r="O1326" s="16">
        <v>4</v>
      </c>
      <c r="P1326" s="16">
        <f t="shared" si="143"/>
        <v>9.1833785004516724</v>
      </c>
      <c r="Q1326" s="16">
        <f t="shared" si="148"/>
        <v>38.495647461080949</v>
      </c>
      <c r="R1326" s="113">
        <f t="shared" si="144"/>
        <v>329.49099999999999</v>
      </c>
      <c r="S1326" s="16">
        <f>IF(S1325=15800,15800,ROUND((((Q1326*60)/'Gearing Calculator'!$C$14)*'Track Data'!P1326),-2))</f>
        <v>10700</v>
      </c>
      <c r="T1326" s="16">
        <f t="shared" si="146"/>
        <v>-14.71670186282954</v>
      </c>
      <c r="U1326" s="16">
        <f>IF(AC1326=100,Braking!$AG$2354,IF(AC1326=50,Braking!$AG$1179,IF(AC1326=75,Braking!$AG$1767,0)))</f>
        <v>-14.71670186282954</v>
      </c>
      <c r="V1326" s="16">
        <f>0.5*'Gearing Calculator'!$C$15*'Gearing Calculator'!$C$20*'Gearing Calculator'!$W$20*('Track Data'!Q1326^2)</f>
        <v>156.84587020571811</v>
      </c>
      <c r="W1326" s="16">
        <f>('Gearing Calculator'!$U$9*'Track Data'!T1326)+'Track Data'!V1326</f>
        <v>-3760.740165679505</v>
      </c>
      <c r="X1326" s="16">
        <f>('Gearing Calculator'!$U$9*9.81)*('Gearing Calculator'!$U$16/'Gearing Calculator'!$C$7)-(('Track Data'!W1326)*('Gearing Calculator'!$U$17/'Gearing Calculator'!$C$7))</f>
        <v>3451.0225252806122</v>
      </c>
      <c r="Y1326" s="16">
        <f>('Gearing Calculator'!$U$9*9.81)*(('Gearing Calculator'!$C$7-'Gearing Calculator'!$U$16)/'Gearing Calculator'!$C$7)+(('Track Data'!W1326)*('Gearing Calculator'!$U$17/'Gearing Calculator'!$C$7))</f>
        <v>-839.60052528061237</v>
      </c>
      <c r="Z1326" s="16">
        <f>((X1326*COS('Gearing Calculator'!$C$21))/'Gearing Calculator'!$C$22)/2</f>
        <v>106.69470182734305</v>
      </c>
      <c r="AA1326" s="16">
        <f>Y1326/'Gearing Calculator'!$C$24</f>
        <v>-11.723639391859258</v>
      </c>
      <c r="AB1326" s="16">
        <f t="shared" si="142"/>
        <v>97.979062754399962</v>
      </c>
      <c r="AC1326" s="16">
        <v>100</v>
      </c>
      <c r="AD1326" s="16">
        <v>0</v>
      </c>
      <c r="AE1326" s="16">
        <v>1323</v>
      </c>
      <c r="AF1326" s="16">
        <f>IF(AC1326=0,IF(O1326=6,INDEX(Acceleration!$V$4:$V$110,MATCH('Track Data'!S1326,Acceleration!$K$4:$K$110,0)),IF('Track Data'!O1326=5,INDEX(Acceleration!$U$4:$U$110,MATCH('Track Data'!S1326,Acceleration!$K$4:$K$110,0)),1)),U1326)</f>
        <v>-14.71670186282954</v>
      </c>
      <c r="AG1326" s="16">
        <f>IF(AC1326=0,IF(O1326=4,INDEX(Acceleration!$T$4:$T$110,MATCH('Track Data'!S1326,Acceleration!$K$4:$K$110,0)),IF('Track Data'!O1326=3,INDEX(Acceleration!$S$4:$S$110,MATCH('Track Data'!S1326,Acceleration!$K$4:$K$110,0)),'Track Data'!AF1326)),'Track Data'!U1326)</f>
        <v>-14.71670186282954</v>
      </c>
      <c r="AH1326" s="16">
        <f>IF(AC1326=0,IF(O1326=2,INDEX(Acceleration!$R$4:$R$110,MATCH('Track Data'!S1326,Acceleration!$K$4:$K$110,0)),IF('Track Data'!O1326=1,INDEX(Acceleration!$Q$4:$Q$110,MATCH('Track Data'!S1326,Acceleration!$K$4:$K$110,0)),'Track Data'!AG1326)),'Track Data'!U1326)</f>
        <v>-14.71670186282954</v>
      </c>
    </row>
    <row r="1327" spans="2:34" x14ac:dyDescent="0.25">
      <c r="B1327" s="16">
        <v>232.48599999999999</v>
      </c>
      <c r="C1327" s="16">
        <v>8597</v>
      </c>
      <c r="D1327" s="16">
        <v>1324</v>
      </c>
      <c r="E1327" s="113">
        <v>114</v>
      </c>
      <c r="F1327" s="113">
        <v>125.4</v>
      </c>
      <c r="G1327" s="113">
        <v>131.9</v>
      </c>
      <c r="H1327" s="113">
        <f t="shared" si="145"/>
        <v>36.638888888888893</v>
      </c>
      <c r="I1327" s="113">
        <v>-1.2</v>
      </c>
      <c r="J1327" s="113">
        <v>92.29</v>
      </c>
      <c r="K1327" s="113">
        <v>8.4</v>
      </c>
      <c r="L1327" s="185"/>
      <c r="M1327" s="16">
        <v>1324</v>
      </c>
      <c r="N1327" s="16">
        <f t="shared" si="147"/>
        <v>2.6238844136062152E-2</v>
      </c>
      <c r="O1327" s="16">
        <v>4</v>
      </c>
      <c r="P1327" s="16">
        <f t="shared" si="143"/>
        <v>9.1833785004516724</v>
      </c>
      <c r="Q1327" s="16">
        <f t="shared" si="148"/>
        <v>38.111434894558471</v>
      </c>
      <c r="R1327" s="113">
        <f t="shared" si="144"/>
        <v>329.49099999999999</v>
      </c>
      <c r="S1327" s="16">
        <f>IF(S1326=15800,15800,ROUND((((Q1327*60)/'Gearing Calculator'!$C$14)*'Track Data'!P1327),-2))</f>
        <v>10600</v>
      </c>
      <c r="T1327" s="16">
        <f t="shared" si="146"/>
        <v>-14.71670186282954</v>
      </c>
      <c r="U1327" s="16">
        <f>IF(AC1327=100,Braking!$AG$2354,IF(AC1327=50,Braking!$AG$1179,IF(AC1327=75,Braking!$AG$1767,0)))</f>
        <v>-14.71670186282954</v>
      </c>
      <c r="V1327" s="16">
        <f>0.5*'Gearing Calculator'!$C$15*'Gearing Calculator'!$C$20*'Gearing Calculator'!$W$20*('Track Data'!Q1327^2)</f>
        <v>153.73063875539435</v>
      </c>
      <c r="W1327" s="16">
        <f>('Gearing Calculator'!$U$9*'Track Data'!T1327)+'Track Data'!V1327</f>
        <v>-3763.8553971298288</v>
      </c>
      <c r="X1327" s="16">
        <f>('Gearing Calculator'!$U$9*9.81)*('Gearing Calculator'!$U$16/'Gearing Calculator'!$C$7)-(('Track Data'!W1327)*('Gearing Calculator'!$U$17/'Gearing Calculator'!$C$7))</f>
        <v>3452.7205391718244</v>
      </c>
      <c r="Y1327" s="16">
        <f>('Gearing Calculator'!$U$9*9.81)*(('Gearing Calculator'!$C$7-'Gearing Calculator'!$U$16)/'Gearing Calculator'!$C$7)+(('Track Data'!W1327)*('Gearing Calculator'!$U$17/'Gearing Calculator'!$C$7))</f>
        <v>-841.29853917182413</v>
      </c>
      <c r="Z1327" s="16">
        <f>((X1327*COS('Gearing Calculator'!$C$21))/'Gearing Calculator'!$C$22)/2</f>
        <v>106.74719904649895</v>
      </c>
      <c r="AA1327" s="16">
        <f>Y1327/'Gearing Calculator'!$C$24</f>
        <v>-11.747349360997594</v>
      </c>
      <c r="AB1327" s="16">
        <f t="shared" si="142"/>
        <v>94.8638313040762</v>
      </c>
      <c r="AC1327" s="16">
        <v>100</v>
      </c>
      <c r="AD1327" s="16">
        <v>0</v>
      </c>
      <c r="AE1327" s="16">
        <v>1324</v>
      </c>
      <c r="AF1327" s="16">
        <f>IF(AC1327=0,IF(O1327=6,INDEX(Acceleration!$V$4:$V$110,MATCH('Track Data'!S1327,Acceleration!$K$4:$K$110,0)),IF('Track Data'!O1327=5,INDEX(Acceleration!$U$4:$U$110,MATCH('Track Data'!S1327,Acceleration!$K$4:$K$110,0)),1)),U1327)</f>
        <v>-14.71670186282954</v>
      </c>
      <c r="AG1327" s="16">
        <f>IF(AC1327=0,IF(O1327=4,INDEX(Acceleration!$T$4:$T$110,MATCH('Track Data'!S1327,Acceleration!$K$4:$K$110,0)),IF('Track Data'!O1327=3,INDEX(Acceleration!$S$4:$S$110,MATCH('Track Data'!S1327,Acceleration!$K$4:$K$110,0)),'Track Data'!AF1327)),'Track Data'!U1327)</f>
        <v>-14.71670186282954</v>
      </c>
      <c r="AH1327" s="16">
        <f>IF(AC1327=0,IF(O1327=2,INDEX(Acceleration!$R$4:$R$110,MATCH('Track Data'!S1327,Acceleration!$K$4:$K$110,0)),IF('Track Data'!O1327=1,INDEX(Acceleration!$Q$4:$Q$110,MATCH('Track Data'!S1327,Acceleration!$K$4:$K$110,0)),'Track Data'!AG1327)),'Track Data'!U1327)</f>
        <v>-14.71670186282954</v>
      </c>
    </row>
    <row r="1328" spans="2:34" x14ac:dyDescent="0.25">
      <c r="B1328" s="16">
        <v>232.51499999999999</v>
      </c>
      <c r="C1328" s="16">
        <v>8598</v>
      </c>
      <c r="D1328" s="16">
        <v>1325</v>
      </c>
      <c r="E1328" s="113">
        <v>113</v>
      </c>
      <c r="F1328" s="113">
        <v>123.3</v>
      </c>
      <c r="G1328" s="113">
        <v>130.9</v>
      </c>
      <c r="H1328" s="113">
        <f t="shared" si="145"/>
        <v>36.361111111111114</v>
      </c>
      <c r="I1328" s="113">
        <v>-1.8</v>
      </c>
      <c r="J1328" s="113">
        <v>93.06</v>
      </c>
      <c r="K1328" s="113">
        <v>5.0999999999999996</v>
      </c>
      <c r="L1328" s="185"/>
      <c r="M1328" s="16">
        <v>1325</v>
      </c>
      <c r="N1328" s="16">
        <f t="shared" si="147"/>
        <v>2.6508808957793659E-2</v>
      </c>
      <c r="O1328" s="16">
        <v>4</v>
      </c>
      <c r="P1328" s="16">
        <f t="shared" si="143"/>
        <v>9.1833785004516724</v>
      </c>
      <c r="Q1328" s="16">
        <f t="shared" si="148"/>
        <v>37.723309319259229</v>
      </c>
      <c r="R1328" s="113">
        <f t="shared" si="144"/>
        <v>329.49099999999999</v>
      </c>
      <c r="S1328" s="16">
        <f>IF(S1327=15800,15800,ROUND((((Q1328*60)/'Gearing Calculator'!$C$14)*'Track Data'!P1328),-2))</f>
        <v>10500</v>
      </c>
      <c r="T1328" s="16">
        <f t="shared" si="146"/>
        <v>-14.71670186282954</v>
      </c>
      <c r="U1328" s="16">
        <f>IF(AC1328=100,Braking!$AG$2354,IF(AC1328=50,Braking!$AG$1179,IF(AC1328=75,Braking!$AG$1767,0)))</f>
        <v>-14.71670186282954</v>
      </c>
      <c r="V1328" s="16">
        <f>0.5*'Gearing Calculator'!$C$15*'Gearing Calculator'!$C$20*'Gearing Calculator'!$W$20*('Track Data'!Q1328^2)</f>
        <v>150.61540730507062</v>
      </c>
      <c r="W1328" s="16">
        <f>('Gearing Calculator'!$U$9*'Track Data'!T1328)+'Track Data'!V1328</f>
        <v>-3766.9706285801526</v>
      </c>
      <c r="X1328" s="16">
        <f>('Gearing Calculator'!$U$9*9.81)*('Gearing Calculator'!$U$16/'Gearing Calculator'!$C$7)-(('Track Data'!W1328)*('Gearing Calculator'!$U$17/'Gearing Calculator'!$C$7))</f>
        <v>3454.4185530630357</v>
      </c>
      <c r="Y1328" s="16">
        <f>('Gearing Calculator'!$U$9*9.81)*(('Gearing Calculator'!$C$7-'Gearing Calculator'!$U$16)/'Gearing Calculator'!$C$7)+(('Track Data'!W1328)*('Gearing Calculator'!$U$17/'Gearing Calculator'!$C$7))</f>
        <v>-842.99655306303589</v>
      </c>
      <c r="Z1328" s="16">
        <f>((X1328*COS('Gearing Calculator'!$C$21))/'Gearing Calculator'!$C$22)/2</f>
        <v>106.7996962656548</v>
      </c>
      <c r="AA1328" s="16">
        <f>Y1328/'Gearing Calculator'!$C$24</f>
        <v>-11.77105933013593</v>
      </c>
      <c r="AB1328" s="16">
        <f t="shared" si="142"/>
        <v>91.748599853752467</v>
      </c>
      <c r="AC1328" s="16">
        <v>100</v>
      </c>
      <c r="AD1328" s="16">
        <v>0</v>
      </c>
      <c r="AE1328" s="16">
        <v>1325</v>
      </c>
      <c r="AF1328" s="16">
        <f>IF(AC1328=0,IF(O1328=6,INDEX(Acceleration!$V$4:$V$110,MATCH('Track Data'!S1328,Acceleration!$K$4:$K$110,0)),IF('Track Data'!O1328=5,INDEX(Acceleration!$U$4:$U$110,MATCH('Track Data'!S1328,Acceleration!$K$4:$K$110,0)),1)),U1328)</f>
        <v>-14.71670186282954</v>
      </c>
      <c r="AG1328" s="16">
        <f>IF(AC1328=0,IF(O1328=4,INDEX(Acceleration!$T$4:$T$110,MATCH('Track Data'!S1328,Acceleration!$K$4:$K$110,0)),IF('Track Data'!O1328=3,INDEX(Acceleration!$S$4:$S$110,MATCH('Track Data'!S1328,Acceleration!$K$4:$K$110,0)),'Track Data'!AF1328)),'Track Data'!U1328)</f>
        <v>-14.71670186282954</v>
      </c>
      <c r="AH1328" s="16">
        <f>IF(AC1328=0,IF(O1328=2,INDEX(Acceleration!$R$4:$R$110,MATCH('Track Data'!S1328,Acceleration!$K$4:$K$110,0)),IF('Track Data'!O1328=1,INDEX(Acceleration!$Q$4:$Q$110,MATCH('Track Data'!S1328,Acceleration!$K$4:$K$110,0)),'Track Data'!AG1328)),'Track Data'!U1328)</f>
        <v>-14.71670186282954</v>
      </c>
    </row>
    <row r="1329" spans="2:34" x14ac:dyDescent="0.25">
      <c r="B1329" s="16">
        <v>232.54400000000001</v>
      </c>
      <c r="C1329" s="16">
        <v>8599</v>
      </c>
      <c r="D1329" s="16">
        <v>1326</v>
      </c>
      <c r="E1329" s="113">
        <v>112</v>
      </c>
      <c r="F1329" s="113">
        <v>122.7</v>
      </c>
      <c r="G1329" s="113">
        <v>129.80000000000001</v>
      </c>
      <c r="H1329" s="113">
        <f t="shared" si="145"/>
        <v>36.055555555555557</v>
      </c>
      <c r="I1329" s="113">
        <v>-1.9</v>
      </c>
      <c r="J1329" s="113">
        <v>92.73</v>
      </c>
      <c r="K1329" s="113">
        <v>1.8</v>
      </c>
      <c r="L1329" s="185"/>
      <c r="M1329" s="16">
        <v>1326</v>
      </c>
      <c r="N1329" s="16">
        <f t="shared" si="147"/>
        <v>2.6787281805647423E-2</v>
      </c>
      <c r="O1329" s="16">
        <v>4</v>
      </c>
      <c r="P1329" s="16">
        <f t="shared" si="143"/>
        <v>9.1833785004516724</v>
      </c>
      <c r="Q1329" s="16">
        <f t="shared" si="148"/>
        <v>37.331148686731446</v>
      </c>
      <c r="R1329" s="113">
        <f t="shared" si="144"/>
        <v>329.49099999999999</v>
      </c>
      <c r="S1329" s="16">
        <f>IF(S1328=15800,15800,ROUND((((Q1329*60)/'Gearing Calculator'!$C$14)*'Track Data'!P1329),-2))</f>
        <v>10400</v>
      </c>
      <c r="T1329" s="16">
        <f t="shared" si="146"/>
        <v>-14.71670186282954</v>
      </c>
      <c r="U1329" s="16">
        <f>IF(AC1329=100,Braking!$AG$2354,IF(AC1329=50,Braking!$AG$1179,IF(AC1329=75,Braking!$AG$1767,0)))</f>
        <v>-14.71670186282954</v>
      </c>
      <c r="V1329" s="16">
        <f>0.5*'Gearing Calculator'!$C$15*'Gearing Calculator'!$C$20*'Gearing Calculator'!$W$20*('Track Data'!Q1329^2)</f>
        <v>147.50017585474686</v>
      </c>
      <c r="W1329" s="16">
        <f>('Gearing Calculator'!$U$9*'Track Data'!T1329)+'Track Data'!V1329</f>
        <v>-3770.0858600304764</v>
      </c>
      <c r="X1329" s="16">
        <f>('Gearing Calculator'!$U$9*9.81)*('Gearing Calculator'!$U$16/'Gearing Calculator'!$C$7)-(('Track Data'!W1329)*('Gearing Calculator'!$U$17/'Gearing Calculator'!$C$7))</f>
        <v>3456.1165669542479</v>
      </c>
      <c r="Y1329" s="16">
        <f>('Gearing Calculator'!$U$9*9.81)*(('Gearing Calculator'!$C$7-'Gearing Calculator'!$U$16)/'Gearing Calculator'!$C$7)+(('Track Data'!W1329)*('Gearing Calculator'!$U$17/'Gearing Calculator'!$C$7))</f>
        <v>-844.69456695424765</v>
      </c>
      <c r="Z1329" s="16">
        <f>((X1329*COS('Gearing Calculator'!$C$21))/'Gearing Calculator'!$C$22)/2</f>
        <v>106.8521934848107</v>
      </c>
      <c r="AA1329" s="16">
        <f>Y1329/'Gearing Calculator'!$C$24</f>
        <v>-11.794769299274266</v>
      </c>
      <c r="AB1329" s="16">
        <f t="shared" si="142"/>
        <v>88.633368403428705</v>
      </c>
      <c r="AC1329" s="16">
        <v>100</v>
      </c>
      <c r="AD1329" s="16">
        <v>0</v>
      </c>
      <c r="AE1329" s="16">
        <v>1326</v>
      </c>
      <c r="AF1329" s="16">
        <f>IF(AC1329=0,IF(O1329=6,INDEX(Acceleration!$V$4:$V$110,MATCH('Track Data'!S1329,Acceleration!$K$4:$K$110,0)),IF('Track Data'!O1329=5,INDEX(Acceleration!$U$4:$U$110,MATCH('Track Data'!S1329,Acceleration!$K$4:$K$110,0)),1)),U1329)</f>
        <v>-14.71670186282954</v>
      </c>
      <c r="AG1329" s="16">
        <f>IF(AC1329=0,IF(O1329=4,INDEX(Acceleration!$T$4:$T$110,MATCH('Track Data'!S1329,Acceleration!$K$4:$K$110,0)),IF('Track Data'!O1329=3,INDEX(Acceleration!$S$4:$S$110,MATCH('Track Data'!S1329,Acceleration!$K$4:$K$110,0)),'Track Data'!AF1329)),'Track Data'!U1329)</f>
        <v>-14.71670186282954</v>
      </c>
      <c r="AH1329" s="16">
        <f>IF(AC1329=0,IF(O1329=2,INDEX(Acceleration!$R$4:$R$110,MATCH('Track Data'!S1329,Acceleration!$K$4:$K$110,0)),IF('Track Data'!O1329=1,INDEX(Acceleration!$Q$4:$Q$110,MATCH('Track Data'!S1329,Acceleration!$K$4:$K$110,0)),'Track Data'!AG1329)),'Track Data'!U1329)</f>
        <v>-14.71670186282954</v>
      </c>
    </row>
    <row r="1330" spans="2:34" x14ac:dyDescent="0.25">
      <c r="B1330" s="16">
        <v>232.57300000000001</v>
      </c>
      <c r="C1330" s="16">
        <v>8600</v>
      </c>
      <c r="D1330" s="16">
        <v>1327</v>
      </c>
      <c r="E1330" s="113">
        <v>111</v>
      </c>
      <c r="F1330" s="113">
        <v>121.9</v>
      </c>
      <c r="G1330" s="113">
        <v>128.5</v>
      </c>
      <c r="H1330" s="113">
        <f t="shared" si="145"/>
        <v>35.694444444444443</v>
      </c>
      <c r="I1330" s="113">
        <v>-2.4</v>
      </c>
      <c r="J1330" s="113">
        <v>92.76</v>
      </c>
      <c r="K1330" s="113">
        <v>0</v>
      </c>
      <c r="L1330" s="185"/>
      <c r="M1330" s="16">
        <v>1327</v>
      </c>
      <c r="N1330" s="16">
        <f t="shared" si="147"/>
        <v>2.7074719167630525E-2</v>
      </c>
      <c r="O1330" s="16">
        <v>4</v>
      </c>
      <c r="P1330" s="16">
        <f t="shared" si="143"/>
        <v>9.1833785004516724</v>
      </c>
      <c r="Q1330" s="16">
        <f t="shared" si="148"/>
        <v>36.934824468855837</v>
      </c>
      <c r="R1330" s="113">
        <f t="shared" si="144"/>
        <v>329.49099999999999</v>
      </c>
      <c r="S1330" s="16">
        <f>IF(S1329=15800,15800,ROUND((((Q1330*60)/'Gearing Calculator'!$C$14)*'Track Data'!P1330),-2))</f>
        <v>10300</v>
      </c>
      <c r="T1330" s="16">
        <f t="shared" si="146"/>
        <v>-14.71670186282954</v>
      </c>
      <c r="U1330" s="16">
        <f>IF(AC1330=100,Braking!$AG$2354,IF(AC1330=50,Braking!$AG$1179,IF(AC1330=75,Braking!$AG$1767,0)))</f>
        <v>-14.71670186282954</v>
      </c>
      <c r="V1330" s="16">
        <f>0.5*'Gearing Calculator'!$C$15*'Gearing Calculator'!$C$20*'Gearing Calculator'!$W$20*('Track Data'!Q1330^2)</f>
        <v>144.38494440442309</v>
      </c>
      <c r="W1330" s="16">
        <f>('Gearing Calculator'!$U$9*'Track Data'!T1330)+'Track Data'!V1330</f>
        <v>-3773.2010914808002</v>
      </c>
      <c r="X1330" s="16">
        <f>('Gearing Calculator'!$U$9*9.81)*('Gearing Calculator'!$U$16/'Gearing Calculator'!$C$7)-(('Track Data'!W1330)*('Gearing Calculator'!$U$17/'Gearing Calculator'!$C$7))</f>
        <v>3457.8145808454592</v>
      </c>
      <c r="Y1330" s="16">
        <f>('Gearing Calculator'!$U$9*9.81)*(('Gearing Calculator'!$C$7-'Gearing Calculator'!$U$16)/'Gearing Calculator'!$C$7)+(('Track Data'!W1330)*('Gearing Calculator'!$U$17/'Gearing Calculator'!$C$7))</f>
        <v>-846.39258084545941</v>
      </c>
      <c r="Z1330" s="16">
        <f>((X1330*COS('Gearing Calculator'!$C$21))/'Gearing Calculator'!$C$22)/2</f>
        <v>106.90469070396655</v>
      </c>
      <c r="AA1330" s="16">
        <f>Y1330/'Gearing Calculator'!$C$24</f>
        <v>-11.818479268412604</v>
      </c>
      <c r="AB1330" s="16">
        <f t="shared" si="142"/>
        <v>85.518136953104943</v>
      </c>
      <c r="AC1330" s="16">
        <v>100</v>
      </c>
      <c r="AD1330" s="16">
        <v>0</v>
      </c>
      <c r="AE1330" s="16">
        <v>1327</v>
      </c>
      <c r="AF1330" s="16">
        <f>IF(AC1330=0,IF(O1330=6,INDEX(Acceleration!$V$4:$V$110,MATCH('Track Data'!S1330,Acceleration!$K$4:$K$110,0)),IF('Track Data'!O1330=5,INDEX(Acceleration!$U$4:$U$110,MATCH('Track Data'!S1330,Acceleration!$K$4:$K$110,0)),1)),U1330)</f>
        <v>-14.71670186282954</v>
      </c>
      <c r="AG1330" s="16">
        <f>IF(AC1330=0,IF(O1330=4,INDEX(Acceleration!$T$4:$T$110,MATCH('Track Data'!S1330,Acceleration!$K$4:$K$110,0)),IF('Track Data'!O1330=3,INDEX(Acceleration!$S$4:$S$110,MATCH('Track Data'!S1330,Acceleration!$K$4:$K$110,0)),'Track Data'!AF1330)),'Track Data'!U1330)</f>
        <v>-14.71670186282954</v>
      </c>
      <c r="AH1330" s="16">
        <f>IF(AC1330=0,IF(O1330=2,INDEX(Acceleration!$R$4:$R$110,MATCH('Track Data'!S1330,Acceleration!$K$4:$K$110,0)),IF('Track Data'!O1330=1,INDEX(Acceleration!$Q$4:$Q$110,MATCH('Track Data'!S1330,Acceleration!$K$4:$K$110,0)),'Track Data'!AG1330)),'Track Data'!U1330)</f>
        <v>-14.71670186282954</v>
      </c>
    </row>
    <row r="1331" spans="2:34" x14ac:dyDescent="0.25">
      <c r="B1331" s="16">
        <v>232.602</v>
      </c>
      <c r="C1331" s="16">
        <v>8601</v>
      </c>
      <c r="D1331" s="16">
        <v>1328</v>
      </c>
      <c r="E1331" s="113">
        <v>110</v>
      </c>
      <c r="F1331" s="113">
        <v>120.4</v>
      </c>
      <c r="G1331" s="113">
        <v>127.3</v>
      </c>
      <c r="H1331" s="113">
        <f t="shared" si="145"/>
        <v>35.361111111111107</v>
      </c>
      <c r="I1331" s="113">
        <v>-2.4</v>
      </c>
      <c r="J1331" s="113">
        <v>92.96</v>
      </c>
      <c r="K1331" s="113">
        <v>0</v>
      </c>
      <c r="L1331" s="185"/>
      <c r="M1331" s="16">
        <v>1328</v>
      </c>
      <c r="N1331" s="16">
        <f t="shared" si="147"/>
        <v>2.7371612573739844E-2</v>
      </c>
      <c r="O1331" s="16">
        <v>4</v>
      </c>
      <c r="P1331" s="16">
        <f t="shared" si="143"/>
        <v>9.1833785004516724</v>
      </c>
      <c r="Q1331" s="16">
        <f t="shared" si="148"/>
        <v>36.534201165750602</v>
      </c>
      <c r="R1331" s="113">
        <f t="shared" si="144"/>
        <v>329.49099999999999</v>
      </c>
      <c r="S1331" s="16">
        <f>IF(S1330=15800,15800,ROUND((((Q1331*60)/'Gearing Calculator'!$C$14)*'Track Data'!P1331),-2))</f>
        <v>10200</v>
      </c>
      <c r="T1331" s="16">
        <f t="shared" si="146"/>
        <v>-14.71670186282954</v>
      </c>
      <c r="U1331" s="16">
        <f>IF(AC1331=100,Braking!$AG$2354,IF(AC1331=50,Braking!$AG$1179,IF(AC1331=75,Braking!$AG$1767,0)))</f>
        <v>-14.71670186282954</v>
      </c>
      <c r="V1331" s="16">
        <f>0.5*'Gearing Calculator'!$C$15*'Gearing Calculator'!$C$20*'Gearing Calculator'!$W$20*('Track Data'!Q1331^2)</f>
        <v>141.26971295409933</v>
      </c>
      <c r="W1331" s="16">
        <f>('Gearing Calculator'!$U$9*'Track Data'!T1331)+'Track Data'!V1331</f>
        <v>-3776.316322931124</v>
      </c>
      <c r="X1331" s="16">
        <f>('Gearing Calculator'!$U$9*9.81)*('Gearing Calculator'!$U$16/'Gearing Calculator'!$C$7)-(('Track Data'!W1331)*('Gearing Calculator'!$U$17/'Gearing Calculator'!$C$7))</f>
        <v>3459.5125947366714</v>
      </c>
      <c r="Y1331" s="16">
        <f>('Gearing Calculator'!$U$9*9.81)*(('Gearing Calculator'!$C$7-'Gearing Calculator'!$U$16)/'Gearing Calculator'!$C$7)+(('Track Data'!W1331)*('Gearing Calculator'!$U$17/'Gearing Calculator'!$C$7))</f>
        <v>-848.09059473667116</v>
      </c>
      <c r="Z1331" s="16">
        <f>((X1331*COS('Gearing Calculator'!$C$21))/'Gearing Calculator'!$C$22)/2</f>
        <v>106.95718792312245</v>
      </c>
      <c r="AA1331" s="16">
        <f>Y1331/'Gearing Calculator'!$C$24</f>
        <v>-11.84218923755094</v>
      </c>
      <c r="AB1331" s="16">
        <f t="shared" si="142"/>
        <v>82.402905502781181</v>
      </c>
      <c r="AC1331" s="16">
        <v>100</v>
      </c>
      <c r="AD1331" s="16">
        <v>0</v>
      </c>
      <c r="AE1331" s="16">
        <v>1328</v>
      </c>
      <c r="AF1331" s="16">
        <f>IF(AC1331=0,IF(O1331=6,INDEX(Acceleration!$V$4:$V$110,MATCH('Track Data'!S1331,Acceleration!$K$4:$K$110,0)),IF('Track Data'!O1331=5,INDEX(Acceleration!$U$4:$U$110,MATCH('Track Data'!S1331,Acceleration!$K$4:$K$110,0)),1)),U1331)</f>
        <v>-14.71670186282954</v>
      </c>
      <c r="AG1331" s="16">
        <f>IF(AC1331=0,IF(O1331=4,INDEX(Acceleration!$T$4:$T$110,MATCH('Track Data'!S1331,Acceleration!$K$4:$K$110,0)),IF('Track Data'!O1331=3,INDEX(Acceleration!$S$4:$S$110,MATCH('Track Data'!S1331,Acceleration!$K$4:$K$110,0)),'Track Data'!AF1331)),'Track Data'!U1331)</f>
        <v>-14.71670186282954</v>
      </c>
      <c r="AH1331" s="16">
        <f>IF(AC1331=0,IF(O1331=2,INDEX(Acceleration!$R$4:$R$110,MATCH('Track Data'!S1331,Acceleration!$K$4:$K$110,0)),IF('Track Data'!O1331=1,INDEX(Acceleration!$Q$4:$Q$110,MATCH('Track Data'!S1331,Acceleration!$K$4:$K$110,0)),'Track Data'!AG1331)),'Track Data'!U1331)</f>
        <v>-14.71670186282954</v>
      </c>
    </row>
    <row r="1332" spans="2:34" x14ac:dyDescent="0.25">
      <c r="B1332" s="16">
        <v>232.63200000000001</v>
      </c>
      <c r="C1332" s="16">
        <v>8602</v>
      </c>
      <c r="D1332" s="16">
        <v>1329</v>
      </c>
      <c r="E1332" s="113">
        <v>109</v>
      </c>
      <c r="F1332" s="113">
        <v>119.4</v>
      </c>
      <c r="G1332" s="113">
        <v>126</v>
      </c>
      <c r="H1332" s="113">
        <f t="shared" si="145"/>
        <v>35</v>
      </c>
      <c r="I1332" s="113">
        <v>-2.6</v>
      </c>
      <c r="J1332" s="113">
        <v>92.61</v>
      </c>
      <c r="K1332" s="113">
        <v>0</v>
      </c>
      <c r="L1332" s="185"/>
      <c r="M1332" s="16">
        <v>1329</v>
      </c>
      <c r="N1332" s="16">
        <f t="shared" si="147"/>
        <v>2.7678492132130583E-2</v>
      </c>
      <c r="O1332" s="16">
        <v>4</v>
      </c>
      <c r="P1332" s="16">
        <f t="shared" si="143"/>
        <v>9.1833785004516724</v>
      </c>
      <c r="Q1332" s="16">
        <f t="shared" si="148"/>
        <v>36.129135764558136</v>
      </c>
      <c r="R1332" s="113">
        <f t="shared" si="144"/>
        <v>329.49099999999999</v>
      </c>
      <c r="S1332" s="16">
        <f>IF(S1331=15800,15800,ROUND((((Q1332*60)/'Gearing Calculator'!$C$14)*'Track Data'!P1332),-2))</f>
        <v>10100</v>
      </c>
      <c r="T1332" s="16">
        <f t="shared" si="146"/>
        <v>-14.71670186282954</v>
      </c>
      <c r="U1332" s="16">
        <f>IF(AC1332=100,Braking!$AG$2354,IF(AC1332=50,Braking!$AG$1179,IF(AC1332=75,Braking!$AG$1767,0)))</f>
        <v>-14.71670186282954</v>
      </c>
      <c r="V1332" s="16">
        <f>0.5*'Gearing Calculator'!$C$15*'Gearing Calculator'!$C$20*'Gearing Calculator'!$W$20*('Track Data'!Q1332^2)</f>
        <v>138.15448150377557</v>
      </c>
      <c r="W1332" s="16">
        <f>('Gearing Calculator'!$U$9*'Track Data'!T1332)+'Track Data'!V1332</f>
        <v>-3779.4315543814478</v>
      </c>
      <c r="X1332" s="16">
        <f>('Gearing Calculator'!$U$9*9.81)*('Gearing Calculator'!$U$16/'Gearing Calculator'!$C$7)-(('Track Data'!W1332)*('Gearing Calculator'!$U$17/'Gearing Calculator'!$C$7))</f>
        <v>3461.2106086278827</v>
      </c>
      <c r="Y1332" s="16">
        <f>('Gearing Calculator'!$U$9*9.81)*(('Gearing Calculator'!$C$7-'Gearing Calculator'!$U$16)/'Gearing Calculator'!$C$7)+(('Track Data'!W1332)*('Gearing Calculator'!$U$17/'Gearing Calculator'!$C$7))</f>
        <v>-849.78860862788292</v>
      </c>
      <c r="Z1332" s="16">
        <f>((X1332*COS('Gearing Calculator'!$C$21))/'Gearing Calculator'!$C$22)/2</f>
        <v>107.00968514227831</v>
      </c>
      <c r="AA1332" s="16">
        <f>Y1332/'Gearing Calculator'!$C$24</f>
        <v>-11.865899206689276</v>
      </c>
      <c r="AB1332" s="16">
        <f t="shared" si="142"/>
        <v>79.287674052457419</v>
      </c>
      <c r="AC1332" s="16">
        <v>100</v>
      </c>
      <c r="AD1332" s="16">
        <v>0</v>
      </c>
      <c r="AE1332" s="16">
        <v>1329</v>
      </c>
      <c r="AF1332" s="16">
        <f>IF(AC1332=0,IF(O1332=6,INDEX(Acceleration!$V$4:$V$110,MATCH('Track Data'!S1332,Acceleration!$K$4:$K$110,0)),IF('Track Data'!O1332=5,INDEX(Acceleration!$U$4:$U$110,MATCH('Track Data'!S1332,Acceleration!$K$4:$K$110,0)),1)),U1332)</f>
        <v>-14.71670186282954</v>
      </c>
      <c r="AG1332" s="16">
        <f>IF(AC1332=0,IF(O1332=4,INDEX(Acceleration!$T$4:$T$110,MATCH('Track Data'!S1332,Acceleration!$K$4:$K$110,0)),IF('Track Data'!O1332=3,INDEX(Acceleration!$S$4:$S$110,MATCH('Track Data'!S1332,Acceleration!$K$4:$K$110,0)),'Track Data'!AF1332)),'Track Data'!U1332)</f>
        <v>-14.71670186282954</v>
      </c>
      <c r="AH1332" s="16">
        <f>IF(AC1332=0,IF(O1332=2,INDEX(Acceleration!$R$4:$R$110,MATCH('Track Data'!S1332,Acceleration!$K$4:$K$110,0)),IF('Track Data'!O1332=1,INDEX(Acceleration!$Q$4:$Q$110,MATCH('Track Data'!S1332,Acceleration!$K$4:$K$110,0)),'Track Data'!AG1332)),'Track Data'!U1332)</f>
        <v>-14.71670186282954</v>
      </c>
    </row>
    <row r="1333" spans="2:34" x14ac:dyDescent="0.25">
      <c r="B1333" s="16">
        <v>232.66200000000001</v>
      </c>
      <c r="C1333" s="16">
        <v>8603</v>
      </c>
      <c r="D1333" s="16">
        <v>1330</v>
      </c>
      <c r="E1333" s="113">
        <v>108</v>
      </c>
      <c r="F1333" s="113">
        <v>118.8</v>
      </c>
      <c r="G1333" s="113">
        <v>124.5</v>
      </c>
      <c r="H1333" s="113">
        <f t="shared" si="145"/>
        <v>34.583333333333336</v>
      </c>
      <c r="I1333" s="113">
        <v>-2.5</v>
      </c>
      <c r="J1333" s="113">
        <v>92.49</v>
      </c>
      <c r="K1333" s="113">
        <v>-10.6</v>
      </c>
      <c r="L1333" s="185"/>
      <c r="M1333" s="16">
        <v>1330</v>
      </c>
      <c r="N1333" s="16">
        <f t="shared" si="147"/>
        <v>2.7995930511440777E-2</v>
      </c>
      <c r="O1333" s="16">
        <v>4</v>
      </c>
      <c r="P1333" s="16">
        <f t="shared" si="143"/>
        <v>9.1833785004516724</v>
      </c>
      <c r="Q1333" s="16">
        <f t="shared" si="148"/>
        <v>35.719477142984815</v>
      </c>
      <c r="R1333" s="113">
        <f t="shared" si="144"/>
        <v>329.49099999999999</v>
      </c>
      <c r="S1333" s="16">
        <f>IF(S1332=15800,15800,ROUND((((Q1333*60)/'Gearing Calculator'!$C$14)*'Track Data'!P1333),-2))</f>
        <v>9900</v>
      </c>
      <c r="T1333" s="16">
        <f t="shared" si="146"/>
        <v>-14.71670186282954</v>
      </c>
      <c r="U1333" s="16">
        <f>IF(AC1333=100,Braking!$AG$2354,IF(AC1333=50,Braking!$AG$1179,IF(AC1333=75,Braking!$AG$1767,0)))</f>
        <v>-14.71670186282954</v>
      </c>
      <c r="V1333" s="16">
        <f>0.5*'Gearing Calculator'!$C$15*'Gearing Calculator'!$C$20*'Gearing Calculator'!$W$20*('Track Data'!Q1333^2)</f>
        <v>135.03925005345184</v>
      </c>
      <c r="W1333" s="16">
        <f>('Gearing Calculator'!$U$9*'Track Data'!T1333)+'Track Data'!V1333</f>
        <v>-3782.5467858317716</v>
      </c>
      <c r="X1333" s="16">
        <f>('Gearing Calculator'!$U$9*9.81)*('Gearing Calculator'!$U$16/'Gearing Calculator'!$C$7)-(('Track Data'!W1333)*('Gearing Calculator'!$U$17/'Gearing Calculator'!$C$7))</f>
        <v>3462.9086225190949</v>
      </c>
      <c r="Y1333" s="16">
        <f>('Gearing Calculator'!$U$9*9.81)*(('Gearing Calculator'!$C$7-'Gearing Calculator'!$U$16)/'Gearing Calculator'!$C$7)+(('Track Data'!W1333)*('Gearing Calculator'!$U$17/'Gearing Calculator'!$C$7))</f>
        <v>-851.48662251909468</v>
      </c>
      <c r="Z1333" s="16">
        <f>((X1333*COS('Gearing Calculator'!$C$21))/'Gearing Calculator'!$C$22)/2</f>
        <v>107.06218236143421</v>
      </c>
      <c r="AA1333" s="16">
        <f>Y1333/'Gearing Calculator'!$C$24</f>
        <v>-11.889609175827612</v>
      </c>
      <c r="AB1333" s="16">
        <f t="shared" si="142"/>
        <v>76.172442602133685</v>
      </c>
      <c r="AC1333" s="16">
        <v>100</v>
      </c>
      <c r="AD1333" s="16">
        <v>0</v>
      </c>
      <c r="AE1333" s="16">
        <v>1330</v>
      </c>
      <c r="AF1333" s="16">
        <f>IF(AC1333=0,IF(O1333=6,INDEX(Acceleration!$V$4:$V$110,MATCH('Track Data'!S1333,Acceleration!$K$4:$K$110,0)),IF('Track Data'!O1333=5,INDEX(Acceleration!$U$4:$U$110,MATCH('Track Data'!S1333,Acceleration!$K$4:$K$110,0)),1)),U1333)</f>
        <v>-14.71670186282954</v>
      </c>
      <c r="AG1333" s="16">
        <f>IF(AC1333=0,IF(O1333=4,INDEX(Acceleration!$T$4:$T$110,MATCH('Track Data'!S1333,Acceleration!$K$4:$K$110,0)),IF('Track Data'!O1333=3,INDEX(Acceleration!$S$4:$S$110,MATCH('Track Data'!S1333,Acceleration!$K$4:$K$110,0)),'Track Data'!AF1333)),'Track Data'!U1333)</f>
        <v>-14.71670186282954</v>
      </c>
      <c r="AH1333" s="16">
        <f>IF(AC1333=0,IF(O1333=2,INDEX(Acceleration!$R$4:$R$110,MATCH('Track Data'!S1333,Acceleration!$K$4:$K$110,0)),IF('Track Data'!O1333=1,INDEX(Acceleration!$Q$4:$Q$110,MATCH('Track Data'!S1333,Acceleration!$K$4:$K$110,0)),'Track Data'!AG1333)),'Track Data'!U1333)</f>
        <v>-14.71670186282954</v>
      </c>
    </row>
    <row r="1334" spans="2:34" x14ac:dyDescent="0.25">
      <c r="B1334" s="16">
        <v>232.69200000000001</v>
      </c>
      <c r="C1334" s="16">
        <v>8604</v>
      </c>
      <c r="D1334" s="16">
        <v>1331</v>
      </c>
      <c r="E1334" s="113">
        <v>107</v>
      </c>
      <c r="F1334" s="113">
        <v>118.1</v>
      </c>
      <c r="G1334" s="113">
        <v>123.1</v>
      </c>
      <c r="H1334" s="113">
        <f t="shared" si="145"/>
        <v>34.194444444444443</v>
      </c>
      <c r="I1334" s="113">
        <v>-3.1</v>
      </c>
      <c r="J1334" s="113">
        <v>92.48</v>
      </c>
      <c r="K1334" s="113">
        <v>-24.1</v>
      </c>
      <c r="L1334" s="185"/>
      <c r="M1334" s="16">
        <v>1331</v>
      </c>
      <c r="N1334" s="16">
        <f t="shared" si="147"/>
        <v>2.8324547437361215E-2</v>
      </c>
      <c r="O1334" s="16">
        <v>4</v>
      </c>
      <c r="P1334" s="16">
        <f t="shared" si="143"/>
        <v>9.1833785004516724</v>
      </c>
      <c r="Q1334" s="16">
        <f t="shared" si="148"/>
        <v>35.305065410540678</v>
      </c>
      <c r="R1334" s="113">
        <f t="shared" si="144"/>
        <v>329.49099999999999</v>
      </c>
      <c r="S1334" s="16">
        <f>IF(S1333=15800,15800,ROUND((((Q1334*60)/'Gearing Calculator'!$C$14)*'Track Data'!P1334),-2))</f>
        <v>9800</v>
      </c>
      <c r="T1334" s="16">
        <f t="shared" si="146"/>
        <v>-14.71670186282954</v>
      </c>
      <c r="U1334" s="16">
        <f>IF(AC1334=100,Braking!$AG$2354,IF(AC1334=50,Braking!$AG$1179,IF(AC1334=75,Braking!$AG$1767,0)))</f>
        <v>-14.71670186282954</v>
      </c>
      <c r="V1334" s="16">
        <f>0.5*'Gearing Calculator'!$C$15*'Gearing Calculator'!$C$20*'Gearing Calculator'!$W$20*('Track Data'!Q1334^2)</f>
        <v>131.92401860312808</v>
      </c>
      <c r="W1334" s="16">
        <f>('Gearing Calculator'!$U$9*'Track Data'!T1334)+'Track Data'!V1334</f>
        <v>-3785.6620172820953</v>
      </c>
      <c r="X1334" s="16">
        <f>('Gearing Calculator'!$U$9*9.81)*('Gearing Calculator'!$U$16/'Gearing Calculator'!$C$7)-(('Track Data'!W1334)*('Gearing Calculator'!$U$17/'Gearing Calculator'!$C$7))</f>
        <v>3464.6066364103062</v>
      </c>
      <c r="Y1334" s="16">
        <f>('Gearing Calculator'!$U$9*9.81)*(('Gearing Calculator'!$C$7-'Gearing Calculator'!$U$16)/'Gearing Calculator'!$C$7)+(('Track Data'!W1334)*('Gearing Calculator'!$U$17/'Gearing Calculator'!$C$7))</f>
        <v>-853.18463641030644</v>
      </c>
      <c r="Z1334" s="16">
        <f>((X1334*COS('Gearing Calculator'!$C$21))/'Gearing Calculator'!$C$22)/2</f>
        <v>107.11467958059006</v>
      </c>
      <c r="AA1334" s="16">
        <f>Y1334/'Gearing Calculator'!$C$24</f>
        <v>-11.91331914496595</v>
      </c>
      <c r="AB1334" s="16">
        <f t="shared" ref="AB1334:AB1397" si="149">(T1334*O1334)+V1334</f>
        <v>73.057211151809923</v>
      </c>
      <c r="AC1334" s="16">
        <v>100</v>
      </c>
      <c r="AD1334" s="16">
        <v>0</v>
      </c>
      <c r="AE1334" s="16">
        <v>1331</v>
      </c>
      <c r="AF1334" s="16">
        <f>IF(AC1334=0,IF(O1334=6,INDEX(Acceleration!$V$4:$V$110,MATCH('Track Data'!S1334,Acceleration!$K$4:$K$110,0)),IF('Track Data'!O1334=5,INDEX(Acceleration!$U$4:$U$110,MATCH('Track Data'!S1334,Acceleration!$K$4:$K$110,0)),1)),U1334)</f>
        <v>-14.71670186282954</v>
      </c>
      <c r="AG1334" s="16">
        <f>IF(AC1334=0,IF(O1334=4,INDEX(Acceleration!$T$4:$T$110,MATCH('Track Data'!S1334,Acceleration!$K$4:$K$110,0)),IF('Track Data'!O1334=3,INDEX(Acceleration!$S$4:$S$110,MATCH('Track Data'!S1334,Acceleration!$K$4:$K$110,0)),'Track Data'!AF1334)),'Track Data'!U1334)</f>
        <v>-14.71670186282954</v>
      </c>
      <c r="AH1334" s="16">
        <f>IF(AC1334=0,IF(O1334=2,INDEX(Acceleration!$R$4:$R$110,MATCH('Track Data'!S1334,Acceleration!$K$4:$K$110,0)),IF('Track Data'!O1334=1,INDEX(Acceleration!$Q$4:$Q$110,MATCH('Track Data'!S1334,Acceleration!$K$4:$K$110,0)),'Track Data'!AG1334)),'Track Data'!U1334)</f>
        <v>-14.71670186282954</v>
      </c>
    </row>
    <row r="1335" spans="2:34" x14ac:dyDescent="0.25">
      <c r="B1335" s="16">
        <v>232.72300000000001</v>
      </c>
      <c r="C1335" s="16">
        <v>8605</v>
      </c>
      <c r="D1335" s="16">
        <v>1332</v>
      </c>
      <c r="E1335" s="113">
        <v>106</v>
      </c>
      <c r="F1335" s="113">
        <v>117.2</v>
      </c>
      <c r="G1335" s="113">
        <v>121.7</v>
      </c>
      <c r="H1335" s="113">
        <f t="shared" si="145"/>
        <v>33.805555555555557</v>
      </c>
      <c r="I1335" s="113">
        <v>-3.1</v>
      </c>
      <c r="J1335" s="113">
        <v>92.06</v>
      </c>
      <c r="K1335" s="113">
        <v>-35.4</v>
      </c>
      <c r="L1335" s="185"/>
      <c r="M1335" s="16">
        <v>1332</v>
      </c>
      <c r="N1335" s="16">
        <f t="shared" si="147"/>
        <v>2.8665014783818936E-2</v>
      </c>
      <c r="O1335" s="16">
        <v>4</v>
      </c>
      <c r="P1335" s="16">
        <f t="shared" si="143"/>
        <v>9.1833785004516724</v>
      </c>
      <c r="Q1335" s="16">
        <f t="shared" si="148"/>
        <v>34.885731179336013</v>
      </c>
      <c r="R1335" s="113">
        <f t="shared" si="144"/>
        <v>329.49099999999999</v>
      </c>
      <c r="S1335" s="16">
        <f>IF(S1334=15800,15800,ROUND((((Q1335*60)/'Gearing Calculator'!$C$14)*'Track Data'!P1335),-2))</f>
        <v>9700</v>
      </c>
      <c r="T1335" s="16">
        <f t="shared" si="146"/>
        <v>-14.71670186282954</v>
      </c>
      <c r="U1335" s="16">
        <f>IF(AC1335=100,Braking!$AG$2354,IF(AC1335=50,Braking!$AG$1179,IF(AC1335=75,Braking!$AG$1767,0)))</f>
        <v>-14.71670186282954</v>
      </c>
      <c r="V1335" s="16">
        <f>0.5*'Gearing Calculator'!$C$15*'Gearing Calculator'!$C$20*'Gearing Calculator'!$W$20*('Track Data'!Q1335^2)</f>
        <v>128.80878715280434</v>
      </c>
      <c r="W1335" s="16">
        <f>('Gearing Calculator'!$U$9*'Track Data'!T1335)+'Track Data'!V1335</f>
        <v>-3788.7772487324191</v>
      </c>
      <c r="X1335" s="16">
        <f>('Gearing Calculator'!$U$9*9.81)*('Gearing Calculator'!$U$16/'Gearing Calculator'!$C$7)-(('Track Data'!W1335)*('Gearing Calculator'!$U$17/'Gearing Calculator'!$C$7))</f>
        <v>3466.3046503015184</v>
      </c>
      <c r="Y1335" s="16">
        <f>('Gearing Calculator'!$U$9*9.81)*(('Gearing Calculator'!$C$7-'Gearing Calculator'!$U$16)/'Gearing Calculator'!$C$7)+(('Track Data'!W1335)*('Gearing Calculator'!$U$17/'Gearing Calculator'!$C$7))</f>
        <v>-854.88265030151865</v>
      </c>
      <c r="Z1335" s="16">
        <f>((X1335*COS('Gearing Calculator'!$C$21))/'Gearing Calculator'!$C$22)/2</f>
        <v>107.16717679974596</v>
      </c>
      <c r="AA1335" s="16">
        <f>Y1335/'Gearing Calculator'!$C$24</f>
        <v>-11.937029114104291</v>
      </c>
      <c r="AB1335" s="16">
        <f t="shared" si="149"/>
        <v>69.94197970148619</v>
      </c>
      <c r="AC1335" s="16">
        <v>100</v>
      </c>
      <c r="AD1335" s="16">
        <v>0</v>
      </c>
      <c r="AE1335" s="16">
        <v>1332</v>
      </c>
      <c r="AF1335" s="16">
        <f>IF(AC1335=0,IF(O1335=6,INDEX(Acceleration!$V$4:$V$110,MATCH('Track Data'!S1335,Acceleration!$K$4:$K$110,0)),IF('Track Data'!O1335=5,INDEX(Acceleration!$U$4:$U$110,MATCH('Track Data'!S1335,Acceleration!$K$4:$K$110,0)),1)),U1335)</f>
        <v>-14.71670186282954</v>
      </c>
      <c r="AG1335" s="16">
        <f>IF(AC1335=0,IF(O1335=4,INDEX(Acceleration!$T$4:$T$110,MATCH('Track Data'!S1335,Acceleration!$K$4:$K$110,0)),IF('Track Data'!O1335=3,INDEX(Acceleration!$S$4:$S$110,MATCH('Track Data'!S1335,Acceleration!$K$4:$K$110,0)),'Track Data'!AF1335)),'Track Data'!U1335)</f>
        <v>-14.71670186282954</v>
      </c>
      <c r="AH1335" s="16">
        <f>IF(AC1335=0,IF(O1335=2,INDEX(Acceleration!$R$4:$R$110,MATCH('Track Data'!S1335,Acceleration!$K$4:$K$110,0)),IF('Track Data'!O1335=1,INDEX(Acceleration!$Q$4:$Q$110,MATCH('Track Data'!S1335,Acceleration!$K$4:$K$110,0)),'Track Data'!AG1335)),'Track Data'!U1335)</f>
        <v>-14.71670186282954</v>
      </c>
    </row>
    <row r="1336" spans="2:34" x14ac:dyDescent="0.25">
      <c r="B1336" s="16">
        <v>232.75399999999999</v>
      </c>
      <c r="C1336" s="16">
        <v>8606</v>
      </c>
      <c r="D1336" s="16">
        <v>1333</v>
      </c>
      <c r="E1336" s="113">
        <v>104</v>
      </c>
      <c r="F1336" s="113">
        <v>116.9</v>
      </c>
      <c r="G1336" s="113">
        <v>120.2</v>
      </c>
      <c r="H1336" s="113">
        <f t="shared" si="145"/>
        <v>33.388888888888886</v>
      </c>
      <c r="I1336" s="113">
        <v>-3.1</v>
      </c>
      <c r="J1336" s="113">
        <v>91.67</v>
      </c>
      <c r="K1336" s="113">
        <v>-32.4</v>
      </c>
      <c r="L1336" s="185"/>
      <c r="M1336" s="16">
        <v>1333</v>
      </c>
      <c r="N1336" s="16">
        <f t="shared" si="147"/>
        <v>2.9018062353992246E-2</v>
      </c>
      <c r="O1336" s="16">
        <v>4</v>
      </c>
      <c r="P1336" s="16">
        <f t="shared" si="143"/>
        <v>9.1833785004516724</v>
      </c>
      <c r="Q1336" s="16">
        <f t="shared" si="148"/>
        <v>34.461294755003586</v>
      </c>
      <c r="R1336" s="113">
        <f t="shared" si="144"/>
        <v>329.49099999999999</v>
      </c>
      <c r="S1336" s="16">
        <f>IF(S1335=15800,15800,ROUND((((Q1336*60)/'Gearing Calculator'!$C$14)*'Track Data'!P1336),-2))</f>
        <v>9600</v>
      </c>
      <c r="T1336" s="16">
        <f t="shared" si="146"/>
        <v>-14.71670186282954</v>
      </c>
      <c r="U1336" s="16">
        <f>IF(AC1336=100,Braking!$AG$2354,IF(AC1336=50,Braking!$AG$1179,IF(AC1336=75,Braking!$AG$1767,0)))</f>
        <v>-14.71670186282954</v>
      </c>
      <c r="V1336" s="16">
        <f>0.5*'Gearing Calculator'!$C$15*'Gearing Calculator'!$C$20*'Gearing Calculator'!$W$20*('Track Data'!Q1336^2)</f>
        <v>125.69355570248059</v>
      </c>
      <c r="W1336" s="16">
        <f>('Gearing Calculator'!$U$9*'Track Data'!T1336)+'Track Data'!V1336</f>
        <v>-3791.8924801827425</v>
      </c>
      <c r="X1336" s="16">
        <f>('Gearing Calculator'!$U$9*9.81)*('Gearing Calculator'!$U$16/'Gearing Calculator'!$C$7)-(('Track Data'!W1336)*('Gearing Calculator'!$U$17/'Gearing Calculator'!$C$7))</f>
        <v>3468.0026641927298</v>
      </c>
      <c r="Y1336" s="16">
        <f>('Gearing Calculator'!$U$9*9.81)*(('Gearing Calculator'!$C$7-'Gearing Calculator'!$U$16)/'Gearing Calculator'!$C$7)+(('Track Data'!W1336)*('Gearing Calculator'!$U$17/'Gearing Calculator'!$C$7))</f>
        <v>-856.58066419272996</v>
      </c>
      <c r="Z1336" s="16">
        <f>((X1336*COS('Gearing Calculator'!$C$21))/'Gearing Calculator'!$C$22)/2</f>
        <v>107.21967401890181</v>
      </c>
      <c r="AA1336" s="16">
        <f>Y1336/'Gearing Calculator'!$C$24</f>
        <v>-11.960739083242622</v>
      </c>
      <c r="AB1336" s="16">
        <f t="shared" si="149"/>
        <v>66.826748251162428</v>
      </c>
      <c r="AC1336" s="16">
        <v>100</v>
      </c>
      <c r="AD1336" s="16">
        <v>0</v>
      </c>
      <c r="AE1336" s="16">
        <v>1333</v>
      </c>
      <c r="AF1336" s="16">
        <f>IF(AC1336=0,IF(O1336=6,INDEX(Acceleration!$V$4:$V$110,MATCH('Track Data'!S1336,Acceleration!$K$4:$K$110,0)),IF('Track Data'!O1336=5,INDEX(Acceleration!$U$4:$U$110,MATCH('Track Data'!S1336,Acceleration!$K$4:$K$110,0)),1)),U1336)</f>
        <v>-14.71670186282954</v>
      </c>
      <c r="AG1336" s="16">
        <f>IF(AC1336=0,IF(O1336=4,INDEX(Acceleration!$T$4:$T$110,MATCH('Track Data'!S1336,Acceleration!$K$4:$K$110,0)),IF('Track Data'!O1336=3,INDEX(Acceleration!$S$4:$S$110,MATCH('Track Data'!S1336,Acceleration!$K$4:$K$110,0)),'Track Data'!AF1336)),'Track Data'!U1336)</f>
        <v>-14.71670186282954</v>
      </c>
      <c r="AH1336" s="16">
        <f>IF(AC1336=0,IF(O1336=2,INDEX(Acceleration!$R$4:$R$110,MATCH('Track Data'!S1336,Acceleration!$K$4:$K$110,0)),IF('Track Data'!O1336=1,INDEX(Acceleration!$Q$4:$Q$110,MATCH('Track Data'!S1336,Acceleration!$K$4:$K$110,0)),'Track Data'!AG1336)),'Track Data'!U1336)</f>
        <v>-14.71670186282954</v>
      </c>
    </row>
    <row r="1337" spans="2:34" x14ac:dyDescent="0.25">
      <c r="B1337" s="16">
        <v>232.78399999999999</v>
      </c>
      <c r="C1337" s="16">
        <v>8607</v>
      </c>
      <c r="D1337" s="16">
        <v>1334</v>
      </c>
      <c r="E1337" s="113">
        <v>103</v>
      </c>
      <c r="F1337" s="113">
        <v>116.4</v>
      </c>
      <c r="G1337" s="113">
        <v>118.8</v>
      </c>
      <c r="H1337" s="113">
        <f t="shared" si="145"/>
        <v>33</v>
      </c>
      <c r="I1337" s="113">
        <v>-3.1</v>
      </c>
      <c r="J1337" s="113">
        <v>91.82</v>
      </c>
      <c r="K1337" s="113">
        <v>-29.3</v>
      </c>
      <c r="L1337" s="185"/>
      <c r="M1337" s="16">
        <v>1334</v>
      </c>
      <c r="N1337" s="16">
        <f t="shared" si="147"/>
        <v>2.9384484464413663E-2</v>
      </c>
      <c r="O1337" s="16">
        <v>4</v>
      </c>
      <c r="P1337" s="16">
        <f t="shared" si="143"/>
        <v>9.1833785004516724</v>
      </c>
      <c r="Q1337" s="16">
        <f t="shared" si="148"/>
        <v>34.031565236785376</v>
      </c>
      <c r="R1337" s="113">
        <f t="shared" si="144"/>
        <v>329.49099999999999</v>
      </c>
      <c r="S1337" s="16">
        <f>IF(S1336=15800,15800,ROUND((((Q1337*60)/'Gearing Calculator'!$C$14)*'Track Data'!P1337),-2))</f>
        <v>9500</v>
      </c>
      <c r="T1337" s="16">
        <f t="shared" si="146"/>
        <v>-14.71670186282954</v>
      </c>
      <c r="U1337" s="16">
        <f>IF(AC1337=100,Braking!$AG$2354,IF(AC1337=50,Braking!$AG$1179,IF(AC1337=75,Braking!$AG$1767,0)))</f>
        <v>-14.71670186282954</v>
      </c>
      <c r="V1337" s="16">
        <f>0.5*'Gearing Calculator'!$C$15*'Gearing Calculator'!$C$20*'Gearing Calculator'!$W$20*('Track Data'!Q1337^2)</f>
        <v>122.57832425215686</v>
      </c>
      <c r="W1337" s="16">
        <f>('Gearing Calculator'!$U$9*'Track Data'!T1337)+'Track Data'!V1337</f>
        <v>-3795.0077116330663</v>
      </c>
      <c r="X1337" s="16">
        <f>('Gearing Calculator'!$U$9*9.81)*('Gearing Calculator'!$U$16/'Gearing Calculator'!$C$7)-(('Track Data'!W1337)*('Gearing Calculator'!$U$17/'Gearing Calculator'!$C$7))</f>
        <v>3469.700678083942</v>
      </c>
      <c r="Y1337" s="16">
        <f>('Gearing Calculator'!$U$9*9.81)*(('Gearing Calculator'!$C$7-'Gearing Calculator'!$U$16)/'Gearing Calculator'!$C$7)+(('Track Data'!W1337)*('Gearing Calculator'!$U$17/'Gearing Calculator'!$C$7))</f>
        <v>-858.27867808394171</v>
      </c>
      <c r="Z1337" s="16">
        <f>((X1337*COS('Gearing Calculator'!$C$21))/'Gearing Calculator'!$C$22)/2</f>
        <v>107.27217123805771</v>
      </c>
      <c r="AA1337" s="16">
        <f>Y1337/'Gearing Calculator'!$C$24</f>
        <v>-11.984449052380958</v>
      </c>
      <c r="AB1337" s="16">
        <f t="shared" si="149"/>
        <v>63.711516800838702</v>
      </c>
      <c r="AC1337" s="16">
        <v>100</v>
      </c>
      <c r="AD1337" s="16">
        <v>0</v>
      </c>
      <c r="AE1337" s="16">
        <v>1334</v>
      </c>
      <c r="AF1337" s="16">
        <f>IF(AC1337=0,IF(O1337=6,INDEX(Acceleration!$V$4:$V$110,MATCH('Track Data'!S1337,Acceleration!$K$4:$K$110,0)),IF('Track Data'!O1337=5,INDEX(Acceleration!$U$4:$U$110,MATCH('Track Data'!S1337,Acceleration!$K$4:$K$110,0)),1)),U1337)</f>
        <v>-14.71670186282954</v>
      </c>
      <c r="AG1337" s="16">
        <f>IF(AC1337=0,IF(O1337=4,INDEX(Acceleration!$T$4:$T$110,MATCH('Track Data'!S1337,Acceleration!$K$4:$K$110,0)),IF('Track Data'!O1337=3,INDEX(Acceleration!$S$4:$S$110,MATCH('Track Data'!S1337,Acceleration!$K$4:$K$110,0)),'Track Data'!AF1337)),'Track Data'!U1337)</f>
        <v>-14.71670186282954</v>
      </c>
      <c r="AH1337" s="16">
        <f>IF(AC1337=0,IF(O1337=2,INDEX(Acceleration!$R$4:$R$110,MATCH('Track Data'!S1337,Acceleration!$K$4:$K$110,0)),IF('Track Data'!O1337=1,INDEX(Acceleration!$Q$4:$Q$110,MATCH('Track Data'!S1337,Acceleration!$K$4:$K$110,0)),'Track Data'!AG1337)),'Track Data'!U1337)</f>
        <v>-14.71670186282954</v>
      </c>
    </row>
    <row r="1338" spans="2:34" x14ac:dyDescent="0.25">
      <c r="B1338" s="16">
        <v>232.815</v>
      </c>
      <c r="C1338" s="16">
        <v>8608</v>
      </c>
      <c r="D1338" s="16">
        <v>1335</v>
      </c>
      <c r="E1338" s="113">
        <v>103</v>
      </c>
      <c r="F1338" s="113">
        <v>115.4</v>
      </c>
      <c r="G1338" s="113">
        <v>117.3</v>
      </c>
      <c r="H1338" s="113">
        <f t="shared" si="145"/>
        <v>32.583333333333329</v>
      </c>
      <c r="I1338" s="113">
        <v>-2.4</v>
      </c>
      <c r="J1338" s="113">
        <v>91.8</v>
      </c>
      <c r="K1338" s="113">
        <v>-28.2</v>
      </c>
      <c r="L1338" s="185"/>
      <c r="M1338" s="16">
        <v>1335</v>
      </c>
      <c r="N1338" s="16">
        <f t="shared" si="147"/>
        <v>2.9765147467428844E-2</v>
      </c>
      <c r="O1338" s="16">
        <v>4</v>
      </c>
      <c r="P1338" s="16">
        <f t="shared" si="143"/>
        <v>9.1833785004516724</v>
      </c>
      <c r="Q1338" s="16">
        <f t="shared" si="148"/>
        <v>33.596339513999439</v>
      </c>
      <c r="R1338" s="113">
        <f t="shared" si="144"/>
        <v>329.49099999999999</v>
      </c>
      <c r="S1338" s="16">
        <f>IF(S1337=15800,15800,ROUND((((Q1338*60)/'Gearing Calculator'!$C$14)*'Track Data'!P1338),-2))</f>
        <v>9400</v>
      </c>
      <c r="T1338" s="16">
        <f t="shared" si="146"/>
        <v>-14.71670186282954</v>
      </c>
      <c r="U1338" s="16">
        <f>IF(AC1338=100,Braking!$AG$2354,IF(AC1338=50,Braking!$AG$1179,IF(AC1338=75,Braking!$AG$1767,0)))</f>
        <v>-14.71670186282954</v>
      </c>
      <c r="V1338" s="16">
        <f>0.5*'Gearing Calculator'!$C$15*'Gearing Calculator'!$C$20*'Gearing Calculator'!$W$20*('Track Data'!Q1338^2)</f>
        <v>119.46309280183311</v>
      </c>
      <c r="W1338" s="16">
        <f>('Gearing Calculator'!$U$9*'Track Data'!T1338)+'Track Data'!V1338</f>
        <v>-3798.1229430833901</v>
      </c>
      <c r="X1338" s="16">
        <f>('Gearing Calculator'!$U$9*9.81)*('Gearing Calculator'!$U$16/'Gearing Calculator'!$C$7)-(('Track Data'!W1338)*('Gearing Calculator'!$U$17/'Gearing Calculator'!$C$7))</f>
        <v>3471.3986919751533</v>
      </c>
      <c r="Y1338" s="16">
        <f>('Gearing Calculator'!$U$9*9.81)*(('Gearing Calculator'!$C$7-'Gearing Calculator'!$U$16)/'Gearing Calculator'!$C$7)+(('Track Data'!W1338)*('Gearing Calculator'!$U$17/'Gearing Calculator'!$C$7))</f>
        <v>-859.97669197515347</v>
      </c>
      <c r="Z1338" s="16">
        <f>((X1338*COS('Gearing Calculator'!$C$21))/'Gearing Calculator'!$C$22)/2</f>
        <v>107.32466845721358</v>
      </c>
      <c r="AA1338" s="16">
        <f>Y1338/'Gearing Calculator'!$C$24</f>
        <v>-12.008159021519296</v>
      </c>
      <c r="AB1338" s="16">
        <f t="shared" si="149"/>
        <v>60.596285350514954</v>
      </c>
      <c r="AC1338" s="16">
        <v>100</v>
      </c>
      <c r="AD1338" s="16">
        <v>0</v>
      </c>
      <c r="AE1338" s="16">
        <v>1335</v>
      </c>
      <c r="AF1338" s="16">
        <f>IF(AC1338=0,IF(O1338=6,INDEX(Acceleration!$V$4:$V$110,MATCH('Track Data'!S1338,Acceleration!$K$4:$K$110,0)),IF('Track Data'!O1338=5,INDEX(Acceleration!$U$4:$U$110,MATCH('Track Data'!S1338,Acceleration!$K$4:$K$110,0)),1)),U1338)</f>
        <v>-14.71670186282954</v>
      </c>
      <c r="AG1338" s="16">
        <f>IF(AC1338=0,IF(O1338=4,INDEX(Acceleration!$T$4:$T$110,MATCH('Track Data'!S1338,Acceleration!$K$4:$K$110,0)),IF('Track Data'!O1338=3,INDEX(Acceleration!$S$4:$S$110,MATCH('Track Data'!S1338,Acceleration!$K$4:$K$110,0)),'Track Data'!AF1338)),'Track Data'!U1338)</f>
        <v>-14.71670186282954</v>
      </c>
      <c r="AH1338" s="16">
        <f>IF(AC1338=0,IF(O1338=2,INDEX(Acceleration!$R$4:$R$110,MATCH('Track Data'!S1338,Acceleration!$K$4:$K$110,0)),IF('Track Data'!O1338=1,INDEX(Acceleration!$Q$4:$Q$110,MATCH('Track Data'!S1338,Acceleration!$K$4:$K$110,0)),'Track Data'!AG1338)),'Track Data'!U1338)</f>
        <v>-14.71670186282954</v>
      </c>
    </row>
    <row r="1339" spans="2:34" x14ac:dyDescent="0.25">
      <c r="B1339" s="16">
        <v>232.846</v>
      </c>
      <c r="C1339" s="16">
        <v>8609</v>
      </c>
      <c r="D1339" s="16">
        <v>1336</v>
      </c>
      <c r="E1339" s="113">
        <v>102</v>
      </c>
      <c r="F1339" s="113">
        <v>114.2</v>
      </c>
      <c r="G1339" s="113">
        <v>116</v>
      </c>
      <c r="H1339" s="113">
        <f t="shared" si="145"/>
        <v>32.222222222222221</v>
      </c>
      <c r="I1339" s="113">
        <v>-1.8</v>
      </c>
      <c r="J1339" s="113">
        <v>91.78</v>
      </c>
      <c r="K1339" s="113">
        <v>-29.3</v>
      </c>
      <c r="L1339" s="185"/>
      <c r="M1339" s="16">
        <v>1336</v>
      </c>
      <c r="N1339" s="16">
        <f t="shared" si="147"/>
        <v>3.0160998374268645E-2</v>
      </c>
      <c r="O1339" s="16">
        <v>4</v>
      </c>
      <c r="P1339" s="16">
        <f t="shared" si="143"/>
        <v>9.1833785004516724</v>
      </c>
      <c r="Q1339" s="16">
        <f t="shared" si="148"/>
        <v>33.155401143920137</v>
      </c>
      <c r="R1339" s="113">
        <f t="shared" si="144"/>
        <v>329.49099999999999</v>
      </c>
      <c r="S1339" s="16">
        <f>IF(S1338=15800,15800,ROUND((((Q1339*60)/'Gearing Calculator'!$C$14)*'Track Data'!P1339),-2))</f>
        <v>9200</v>
      </c>
      <c r="T1339" s="16">
        <f t="shared" si="146"/>
        <v>-14.71670186282954</v>
      </c>
      <c r="U1339" s="16">
        <f>IF(AC1339=100,Braking!$AG$2354,IF(AC1339=50,Braking!$AG$1179,IF(AC1339=75,Braking!$AG$1767,0)))</f>
        <v>-14.71670186282954</v>
      </c>
      <c r="V1339" s="16">
        <f>0.5*'Gearing Calculator'!$C$15*'Gearing Calculator'!$C$20*'Gearing Calculator'!$W$20*('Track Data'!Q1339^2)</f>
        <v>116.34786135150935</v>
      </c>
      <c r="W1339" s="16">
        <f>('Gearing Calculator'!$U$9*'Track Data'!T1339)+'Track Data'!V1339</f>
        <v>-3801.2381745337138</v>
      </c>
      <c r="X1339" s="16">
        <f>('Gearing Calculator'!$U$9*9.81)*('Gearing Calculator'!$U$16/'Gearing Calculator'!$C$7)-(('Track Data'!W1339)*('Gearing Calculator'!$U$17/'Gearing Calculator'!$C$7))</f>
        <v>3473.0967058663655</v>
      </c>
      <c r="Y1339" s="16">
        <f>('Gearing Calculator'!$U$9*9.81)*(('Gearing Calculator'!$C$7-'Gearing Calculator'!$U$16)/'Gearing Calculator'!$C$7)+(('Track Data'!W1339)*('Gearing Calculator'!$U$17/'Gearing Calculator'!$C$7))</f>
        <v>-861.67470586636523</v>
      </c>
      <c r="Z1339" s="16">
        <f>((X1339*COS('Gearing Calculator'!$C$21))/'Gearing Calculator'!$C$22)/2</f>
        <v>107.37716567636947</v>
      </c>
      <c r="AA1339" s="16">
        <f>Y1339/'Gearing Calculator'!$C$24</f>
        <v>-12.031868990657632</v>
      </c>
      <c r="AB1339" s="16">
        <f t="shared" si="149"/>
        <v>57.481053900191192</v>
      </c>
      <c r="AC1339" s="16">
        <v>100</v>
      </c>
      <c r="AD1339" s="16">
        <v>0</v>
      </c>
      <c r="AE1339" s="16">
        <v>1336</v>
      </c>
      <c r="AF1339" s="16">
        <f>IF(AC1339=0,IF(O1339=6,INDEX(Acceleration!$V$4:$V$110,MATCH('Track Data'!S1339,Acceleration!$K$4:$K$110,0)),IF('Track Data'!O1339=5,INDEX(Acceleration!$U$4:$U$110,MATCH('Track Data'!S1339,Acceleration!$K$4:$K$110,0)),1)),U1339)</f>
        <v>-14.71670186282954</v>
      </c>
      <c r="AG1339" s="16">
        <f>IF(AC1339=0,IF(O1339=4,INDEX(Acceleration!$T$4:$T$110,MATCH('Track Data'!S1339,Acceleration!$K$4:$K$110,0)),IF('Track Data'!O1339=3,INDEX(Acceleration!$S$4:$S$110,MATCH('Track Data'!S1339,Acceleration!$K$4:$K$110,0)),'Track Data'!AF1339)),'Track Data'!U1339)</f>
        <v>-14.71670186282954</v>
      </c>
      <c r="AH1339" s="16">
        <f>IF(AC1339=0,IF(O1339=2,INDEX(Acceleration!$R$4:$R$110,MATCH('Track Data'!S1339,Acceleration!$K$4:$K$110,0)),IF('Track Data'!O1339=1,INDEX(Acceleration!$Q$4:$Q$110,MATCH('Track Data'!S1339,Acceleration!$K$4:$K$110,0)),'Track Data'!AG1339)),'Track Data'!U1339)</f>
        <v>-14.71670186282954</v>
      </c>
    </row>
    <row r="1340" spans="2:34" x14ac:dyDescent="0.25">
      <c r="B1340" s="16">
        <v>232.87700000000001</v>
      </c>
      <c r="C1340" s="16">
        <v>8610</v>
      </c>
      <c r="D1340" s="16">
        <v>1337</v>
      </c>
      <c r="E1340" s="113">
        <v>102</v>
      </c>
      <c r="F1340" s="113">
        <v>113.5</v>
      </c>
      <c r="G1340" s="113">
        <v>114.8</v>
      </c>
      <c r="H1340" s="113">
        <f t="shared" si="145"/>
        <v>31.888888888888886</v>
      </c>
      <c r="I1340" s="113">
        <v>-1.1000000000000001</v>
      </c>
      <c r="J1340" s="113">
        <v>91.76</v>
      </c>
      <c r="K1340" s="113">
        <v>-30.3</v>
      </c>
      <c r="L1340" s="185"/>
      <c r="M1340" s="16">
        <v>1337</v>
      </c>
      <c r="N1340" s="16">
        <f t="shared" si="147"/>
        <v>3.0573074774250791E-2</v>
      </c>
      <c r="O1340" s="16">
        <v>4</v>
      </c>
      <c r="P1340" s="16">
        <f t="shared" si="143"/>
        <v>9.1833785004516724</v>
      </c>
      <c r="Q1340" s="16">
        <f t="shared" si="148"/>
        <v>32.708519093480859</v>
      </c>
      <c r="R1340" s="113">
        <f t="shared" si="144"/>
        <v>329.49099999999999</v>
      </c>
      <c r="S1340" s="16">
        <f>IF(S1339=15800,15800,ROUND((((Q1340*60)/'Gearing Calculator'!$C$14)*'Track Data'!P1340),-2))</f>
        <v>9100</v>
      </c>
      <c r="T1340" s="16">
        <f t="shared" si="146"/>
        <v>-14.71670186282954</v>
      </c>
      <c r="U1340" s="16">
        <f>IF(AC1340=100,Braking!$AG$2354,IF(AC1340=50,Braking!$AG$1179,IF(AC1340=75,Braking!$AG$1767,0)))</f>
        <v>-14.71670186282954</v>
      </c>
      <c r="V1340" s="16">
        <f>0.5*'Gearing Calculator'!$C$15*'Gearing Calculator'!$C$20*'Gearing Calculator'!$W$20*('Track Data'!Q1340^2)</f>
        <v>113.23262990118562</v>
      </c>
      <c r="W1340" s="16">
        <f>('Gearing Calculator'!$U$9*'Track Data'!T1340)+'Track Data'!V1340</f>
        <v>-3804.3534059840376</v>
      </c>
      <c r="X1340" s="16">
        <f>('Gearing Calculator'!$U$9*9.81)*('Gearing Calculator'!$U$16/'Gearing Calculator'!$C$7)-(('Track Data'!W1340)*('Gearing Calculator'!$U$17/'Gearing Calculator'!$C$7))</f>
        <v>3474.7947197575768</v>
      </c>
      <c r="Y1340" s="16">
        <f>('Gearing Calculator'!$U$9*9.81)*(('Gearing Calculator'!$C$7-'Gearing Calculator'!$U$16)/'Gearing Calculator'!$C$7)+(('Track Data'!W1340)*('Gearing Calculator'!$U$17/'Gearing Calculator'!$C$7))</f>
        <v>-863.37271975757699</v>
      </c>
      <c r="Z1340" s="16">
        <f>((X1340*COS('Gearing Calculator'!$C$21))/'Gearing Calculator'!$C$22)/2</f>
        <v>107.42966289552533</v>
      </c>
      <c r="AA1340" s="16">
        <f>Y1340/'Gearing Calculator'!$C$24</f>
        <v>-12.055578959795968</v>
      </c>
      <c r="AB1340" s="16">
        <f t="shared" si="149"/>
        <v>54.365822449867458</v>
      </c>
      <c r="AC1340" s="16">
        <v>100</v>
      </c>
      <c r="AD1340" s="16">
        <v>0</v>
      </c>
      <c r="AE1340" s="16">
        <v>1337</v>
      </c>
      <c r="AF1340" s="16">
        <f>IF(AC1340=0,IF(O1340=6,INDEX(Acceleration!$V$4:$V$110,MATCH('Track Data'!S1340,Acceleration!$K$4:$K$110,0)),IF('Track Data'!O1340=5,INDEX(Acceleration!$U$4:$U$110,MATCH('Track Data'!S1340,Acceleration!$K$4:$K$110,0)),1)),U1340)</f>
        <v>-14.71670186282954</v>
      </c>
      <c r="AG1340" s="16">
        <f>IF(AC1340=0,IF(O1340=4,INDEX(Acceleration!$T$4:$T$110,MATCH('Track Data'!S1340,Acceleration!$K$4:$K$110,0)),IF('Track Data'!O1340=3,INDEX(Acceleration!$S$4:$S$110,MATCH('Track Data'!S1340,Acceleration!$K$4:$K$110,0)),'Track Data'!AF1340)),'Track Data'!U1340)</f>
        <v>-14.71670186282954</v>
      </c>
      <c r="AH1340" s="16">
        <f>IF(AC1340=0,IF(O1340=2,INDEX(Acceleration!$R$4:$R$110,MATCH('Track Data'!S1340,Acceleration!$K$4:$K$110,0)),IF('Track Data'!O1340=1,INDEX(Acceleration!$Q$4:$Q$110,MATCH('Track Data'!S1340,Acceleration!$K$4:$K$110,0)),'Track Data'!AG1340)),'Track Data'!U1340)</f>
        <v>-14.71670186282954</v>
      </c>
    </row>
    <row r="1341" spans="2:34" x14ac:dyDescent="0.25">
      <c r="B1341" s="16">
        <v>232.90899999999999</v>
      </c>
      <c r="C1341" s="16">
        <v>8611</v>
      </c>
      <c r="D1341" s="16">
        <v>1338</v>
      </c>
      <c r="E1341" s="113">
        <v>101</v>
      </c>
      <c r="F1341" s="113">
        <v>112.2</v>
      </c>
      <c r="G1341" s="113">
        <v>113.6</v>
      </c>
      <c r="H1341" s="113">
        <f t="shared" si="145"/>
        <v>31.555555555555554</v>
      </c>
      <c r="I1341" s="113">
        <v>-1.1000000000000001</v>
      </c>
      <c r="J1341" s="113">
        <v>91.93</v>
      </c>
      <c r="K1341" s="113">
        <v>-30.3</v>
      </c>
      <c r="L1341" s="185"/>
      <c r="M1341" s="16">
        <v>1338</v>
      </c>
      <c r="N1341" s="16">
        <f t="shared" si="147"/>
        <v>3.1002516286830577E-2</v>
      </c>
      <c r="O1341" s="16">
        <v>4</v>
      </c>
      <c r="P1341" s="16">
        <f t="shared" si="143"/>
        <v>9.1833785004516724</v>
      </c>
      <c r="Q1341" s="16">
        <f t="shared" si="148"/>
        <v>32.255446324038722</v>
      </c>
      <c r="R1341" s="113">
        <f t="shared" si="144"/>
        <v>329.49099999999999</v>
      </c>
      <c r="S1341" s="16">
        <f>IF(S1340=15800,15800,ROUND((((Q1341*60)/'Gearing Calculator'!$C$14)*'Track Data'!P1341),-2))</f>
        <v>9000</v>
      </c>
      <c r="T1341" s="16">
        <f t="shared" si="146"/>
        <v>-14.71670186282954</v>
      </c>
      <c r="U1341" s="16">
        <f>IF(AC1341=100,Braking!$AG$2354,IF(AC1341=50,Braking!$AG$1179,IF(AC1341=75,Braking!$AG$1767,0)))</f>
        <v>-14.71670186282954</v>
      </c>
      <c r="V1341" s="16">
        <f>0.5*'Gearing Calculator'!$C$15*'Gearing Calculator'!$C$20*'Gearing Calculator'!$W$20*('Track Data'!Q1341^2)</f>
        <v>110.1173984508619</v>
      </c>
      <c r="W1341" s="16">
        <f>('Gearing Calculator'!$U$9*'Track Data'!T1341)+'Track Data'!V1341</f>
        <v>-3807.4686374343614</v>
      </c>
      <c r="X1341" s="16">
        <f>('Gearing Calculator'!$U$9*9.81)*('Gearing Calculator'!$U$16/'Gearing Calculator'!$C$7)-(('Track Data'!W1341)*('Gearing Calculator'!$U$17/'Gearing Calculator'!$C$7))</f>
        <v>3476.492733648789</v>
      </c>
      <c r="Y1341" s="16">
        <f>('Gearing Calculator'!$U$9*9.81)*(('Gearing Calculator'!$C$7-'Gearing Calculator'!$U$16)/'Gearing Calculator'!$C$7)+(('Track Data'!W1341)*('Gearing Calculator'!$U$17/'Gearing Calculator'!$C$7))</f>
        <v>-865.0707336487892</v>
      </c>
      <c r="Z1341" s="16">
        <f>((X1341*COS('Gearing Calculator'!$C$21))/'Gearing Calculator'!$C$22)/2</f>
        <v>107.48216011468122</v>
      </c>
      <c r="AA1341" s="16">
        <f>Y1341/'Gearing Calculator'!$C$24</f>
        <v>-12.079288928934311</v>
      </c>
      <c r="AB1341" s="16">
        <f t="shared" si="149"/>
        <v>51.250590999543739</v>
      </c>
      <c r="AC1341" s="16">
        <v>100</v>
      </c>
      <c r="AD1341" s="16">
        <v>0</v>
      </c>
      <c r="AE1341" s="16">
        <v>1338</v>
      </c>
      <c r="AF1341" s="16">
        <f>IF(AC1341=0,IF(O1341=6,INDEX(Acceleration!$V$4:$V$110,MATCH('Track Data'!S1341,Acceleration!$K$4:$K$110,0)),IF('Track Data'!O1341=5,INDEX(Acceleration!$U$4:$U$110,MATCH('Track Data'!S1341,Acceleration!$K$4:$K$110,0)),1)),U1341)</f>
        <v>-14.71670186282954</v>
      </c>
      <c r="AG1341" s="16">
        <f>IF(AC1341=0,IF(O1341=4,INDEX(Acceleration!$T$4:$T$110,MATCH('Track Data'!S1341,Acceleration!$K$4:$K$110,0)),IF('Track Data'!O1341=3,INDEX(Acceleration!$S$4:$S$110,MATCH('Track Data'!S1341,Acceleration!$K$4:$K$110,0)),'Track Data'!AF1341)),'Track Data'!U1341)</f>
        <v>-14.71670186282954</v>
      </c>
      <c r="AH1341" s="16">
        <f>IF(AC1341=0,IF(O1341=2,INDEX(Acceleration!$R$4:$R$110,MATCH('Track Data'!S1341,Acceleration!$K$4:$K$110,0)),IF('Track Data'!O1341=1,INDEX(Acceleration!$Q$4:$Q$110,MATCH('Track Data'!S1341,Acceleration!$K$4:$K$110,0)),'Track Data'!AG1341)),'Track Data'!U1341)</f>
        <v>-14.71670186282954</v>
      </c>
    </row>
    <row r="1342" spans="2:34" x14ac:dyDescent="0.25">
      <c r="B1342" s="16">
        <v>232.941</v>
      </c>
      <c r="C1342" s="16">
        <v>8612</v>
      </c>
      <c r="D1342" s="16">
        <v>1339</v>
      </c>
      <c r="E1342" s="113">
        <v>101</v>
      </c>
      <c r="F1342" s="113">
        <v>111</v>
      </c>
      <c r="G1342" s="113">
        <v>112</v>
      </c>
      <c r="H1342" s="113">
        <f t="shared" si="145"/>
        <v>31.111111111111111</v>
      </c>
      <c r="I1342" s="113">
        <v>-0.9</v>
      </c>
      <c r="J1342" s="113">
        <v>91.69</v>
      </c>
      <c r="K1342" s="113">
        <v>-29.9</v>
      </c>
      <c r="L1342" s="185"/>
      <c r="M1342" s="16">
        <v>1339</v>
      </c>
      <c r="N1342" s="16">
        <f t="shared" si="147"/>
        <v>3.1450577834548479E-2</v>
      </c>
      <c r="O1342" s="16">
        <v>4</v>
      </c>
      <c r="P1342" s="16">
        <f t="shared" si="143"/>
        <v>9.1833785004516724</v>
      </c>
      <c r="Q1342" s="16">
        <f t="shared" si="148"/>
        <v>31.795918194593533</v>
      </c>
      <c r="R1342" s="113">
        <f t="shared" si="144"/>
        <v>329.49099999999999</v>
      </c>
      <c r="S1342" s="16">
        <f>IF(S1341=15800,15800,ROUND((((Q1342*60)/'Gearing Calculator'!$C$14)*'Track Data'!P1342),-2))</f>
        <v>8900</v>
      </c>
      <c r="T1342" s="16">
        <f t="shared" si="146"/>
        <v>-14.71670186282954</v>
      </c>
      <c r="U1342" s="16">
        <f>IF(AC1342=100,Braking!$AG$2354,IF(AC1342=50,Braking!$AG$1179,IF(AC1342=75,Braking!$AG$1767,0)))</f>
        <v>-14.71670186282954</v>
      </c>
      <c r="V1342" s="16">
        <f>0.5*'Gearing Calculator'!$C$15*'Gearing Calculator'!$C$20*'Gearing Calculator'!$W$20*('Track Data'!Q1342^2)</f>
        <v>107.00216700053812</v>
      </c>
      <c r="W1342" s="16">
        <f>('Gearing Calculator'!$U$9*'Track Data'!T1342)+'Track Data'!V1342</f>
        <v>-3810.5838688846852</v>
      </c>
      <c r="X1342" s="16">
        <f>('Gearing Calculator'!$U$9*9.81)*('Gearing Calculator'!$U$16/'Gearing Calculator'!$C$7)-(('Track Data'!W1342)*('Gearing Calculator'!$U$17/'Gearing Calculator'!$C$7))</f>
        <v>3478.1907475400012</v>
      </c>
      <c r="Y1342" s="16">
        <f>('Gearing Calculator'!$U$9*9.81)*(('Gearing Calculator'!$C$7-'Gearing Calculator'!$U$16)/'Gearing Calculator'!$C$7)+(('Track Data'!W1342)*('Gearing Calculator'!$U$17/'Gearing Calculator'!$C$7))</f>
        <v>-866.76874754000096</v>
      </c>
      <c r="Z1342" s="16">
        <f>((X1342*COS('Gearing Calculator'!$C$21))/'Gearing Calculator'!$C$22)/2</f>
        <v>107.53465733383712</v>
      </c>
      <c r="AA1342" s="16">
        <f>Y1342/'Gearing Calculator'!$C$24</f>
        <v>-12.102998898072647</v>
      </c>
      <c r="AB1342" s="16">
        <f t="shared" si="149"/>
        <v>48.135359549219963</v>
      </c>
      <c r="AC1342" s="16">
        <v>100</v>
      </c>
      <c r="AD1342" s="16">
        <v>0</v>
      </c>
      <c r="AE1342" s="16">
        <v>1339</v>
      </c>
      <c r="AF1342" s="16">
        <f>IF(AC1342=0,IF(O1342=6,INDEX(Acceleration!$V$4:$V$110,MATCH('Track Data'!S1342,Acceleration!$K$4:$K$110,0)),IF('Track Data'!O1342=5,INDEX(Acceleration!$U$4:$U$110,MATCH('Track Data'!S1342,Acceleration!$K$4:$K$110,0)),1)),U1342)</f>
        <v>-14.71670186282954</v>
      </c>
      <c r="AG1342" s="16">
        <f>IF(AC1342=0,IF(O1342=4,INDEX(Acceleration!$T$4:$T$110,MATCH('Track Data'!S1342,Acceleration!$K$4:$K$110,0)),IF('Track Data'!O1342=3,INDEX(Acceleration!$S$4:$S$110,MATCH('Track Data'!S1342,Acceleration!$K$4:$K$110,0)),'Track Data'!AF1342)),'Track Data'!U1342)</f>
        <v>-14.71670186282954</v>
      </c>
      <c r="AH1342" s="16">
        <f>IF(AC1342=0,IF(O1342=2,INDEX(Acceleration!$R$4:$R$110,MATCH('Track Data'!S1342,Acceleration!$K$4:$K$110,0)),IF('Track Data'!O1342=1,INDEX(Acceleration!$Q$4:$Q$110,MATCH('Track Data'!S1342,Acceleration!$K$4:$K$110,0)),'Track Data'!AG1342)),'Track Data'!U1342)</f>
        <v>-14.71670186282954</v>
      </c>
    </row>
    <row r="1343" spans="2:34" x14ac:dyDescent="0.25">
      <c r="B1343" s="16">
        <v>232.97399999999999</v>
      </c>
      <c r="C1343" s="16">
        <v>8613</v>
      </c>
      <c r="D1343" s="16">
        <v>1340</v>
      </c>
      <c r="E1343" s="113">
        <v>101</v>
      </c>
      <c r="F1343" s="113">
        <v>110.4</v>
      </c>
      <c r="G1343" s="113">
        <v>110.9</v>
      </c>
      <c r="H1343" s="113">
        <f t="shared" si="145"/>
        <v>30.805555555555557</v>
      </c>
      <c r="I1343" s="113">
        <v>-1</v>
      </c>
      <c r="J1343" s="113">
        <v>91.67</v>
      </c>
      <c r="K1343" s="113">
        <v>-29.7</v>
      </c>
      <c r="L1343" s="185"/>
      <c r="M1343" s="16">
        <v>1340</v>
      </c>
      <c r="N1343" s="16">
        <f t="shared" si="147"/>
        <v>3.1918645089241068E-2</v>
      </c>
      <c r="O1343" s="16">
        <v>4</v>
      </c>
      <c r="P1343" s="16">
        <f t="shared" si="143"/>
        <v>9.1833785004516724</v>
      </c>
      <c r="Q1343" s="16">
        <f t="shared" si="148"/>
        <v>31.329650654158673</v>
      </c>
      <c r="R1343" s="113">
        <f t="shared" si="144"/>
        <v>329.49099999999999</v>
      </c>
      <c r="S1343" s="16">
        <f>IF(S1342=15800,15800,ROUND((((Q1343*60)/'Gearing Calculator'!$C$14)*'Track Data'!P1343),-2))</f>
        <v>8700</v>
      </c>
      <c r="T1343" s="16">
        <f t="shared" si="146"/>
        <v>-14.71670186282954</v>
      </c>
      <c r="U1343" s="16">
        <f>IF(AC1343=100,Braking!$AG$2354,IF(AC1343=50,Braking!$AG$1179,IF(AC1343=75,Braking!$AG$1767,0)))</f>
        <v>-14.71670186282954</v>
      </c>
      <c r="V1343" s="16">
        <f>0.5*'Gearing Calculator'!$C$15*'Gearing Calculator'!$C$20*'Gearing Calculator'!$W$20*('Track Data'!Q1343^2)</f>
        <v>103.88693555021437</v>
      </c>
      <c r="W1343" s="16">
        <f>('Gearing Calculator'!$U$9*'Track Data'!T1343)+'Track Data'!V1343</f>
        <v>-3813.699100335009</v>
      </c>
      <c r="X1343" s="16">
        <f>('Gearing Calculator'!$U$9*9.81)*('Gearing Calculator'!$U$16/'Gearing Calculator'!$C$7)-(('Track Data'!W1343)*('Gearing Calculator'!$U$17/'Gearing Calculator'!$C$7))</f>
        <v>3479.8887614312125</v>
      </c>
      <c r="Y1343" s="16">
        <f>('Gearing Calculator'!$U$9*9.81)*(('Gearing Calculator'!$C$7-'Gearing Calculator'!$U$16)/'Gearing Calculator'!$C$7)+(('Track Data'!W1343)*('Gearing Calculator'!$U$17/'Gearing Calculator'!$C$7))</f>
        <v>-868.46676143121272</v>
      </c>
      <c r="Z1343" s="16">
        <f>((X1343*COS('Gearing Calculator'!$C$21))/'Gearing Calculator'!$C$22)/2</f>
        <v>107.58715455299297</v>
      </c>
      <c r="AA1343" s="16">
        <f>Y1343/'Gearing Calculator'!$C$24</f>
        <v>-12.126708867210983</v>
      </c>
      <c r="AB1343" s="16">
        <f t="shared" si="149"/>
        <v>45.020128098896215</v>
      </c>
      <c r="AC1343" s="16">
        <v>100</v>
      </c>
      <c r="AD1343" s="16">
        <v>0</v>
      </c>
      <c r="AE1343" s="16">
        <v>1340</v>
      </c>
      <c r="AF1343" s="16">
        <f>IF(AC1343=0,IF(O1343=6,INDEX(Acceleration!$V$4:$V$110,MATCH('Track Data'!S1343,Acceleration!$K$4:$K$110,0)),IF('Track Data'!O1343=5,INDEX(Acceleration!$U$4:$U$110,MATCH('Track Data'!S1343,Acceleration!$K$4:$K$110,0)),1)),U1343)</f>
        <v>-14.71670186282954</v>
      </c>
      <c r="AG1343" s="16">
        <f>IF(AC1343=0,IF(O1343=4,INDEX(Acceleration!$T$4:$T$110,MATCH('Track Data'!S1343,Acceleration!$K$4:$K$110,0)),IF('Track Data'!O1343=3,INDEX(Acceleration!$S$4:$S$110,MATCH('Track Data'!S1343,Acceleration!$K$4:$K$110,0)),'Track Data'!AF1343)),'Track Data'!U1343)</f>
        <v>-14.71670186282954</v>
      </c>
      <c r="AH1343" s="16">
        <f>IF(AC1343=0,IF(O1343=2,INDEX(Acceleration!$R$4:$R$110,MATCH('Track Data'!S1343,Acceleration!$K$4:$K$110,0)),IF('Track Data'!O1343=1,INDEX(Acceleration!$Q$4:$Q$110,MATCH('Track Data'!S1343,Acceleration!$K$4:$K$110,0)),'Track Data'!AG1343)),'Track Data'!U1343)</f>
        <v>-14.71670186282954</v>
      </c>
    </row>
    <row r="1344" spans="2:34" x14ac:dyDescent="0.25">
      <c r="B1344" s="16">
        <v>233.006</v>
      </c>
      <c r="C1344" s="16">
        <v>8614</v>
      </c>
      <c r="D1344" s="16">
        <v>1341</v>
      </c>
      <c r="E1344" s="113">
        <v>100</v>
      </c>
      <c r="F1344" s="113">
        <v>109.8</v>
      </c>
      <c r="G1344" s="113">
        <v>109.7</v>
      </c>
      <c r="H1344" s="113">
        <f t="shared" si="145"/>
        <v>30.472222222222221</v>
      </c>
      <c r="I1344" s="113">
        <v>-1.2</v>
      </c>
      <c r="J1344" s="113">
        <v>91.65</v>
      </c>
      <c r="K1344" s="113">
        <v>-29.7</v>
      </c>
      <c r="L1344" s="185"/>
      <c r="M1344" s="16">
        <v>1341</v>
      </c>
      <c r="N1344" s="16">
        <f t="shared" si="147"/>
        <v>3.2408252524976672E-2</v>
      </c>
      <c r="O1344" s="16">
        <v>4</v>
      </c>
      <c r="P1344" s="16">
        <f t="shared" si="143"/>
        <v>9.1833785004516724</v>
      </c>
      <c r="Q1344" s="16">
        <f t="shared" si="148"/>
        <v>30.856338188222626</v>
      </c>
      <c r="R1344" s="113">
        <f t="shared" si="144"/>
        <v>329.49099999999999</v>
      </c>
      <c r="S1344" s="16">
        <f>IF(S1343=15800,15800,ROUND((((Q1344*60)/'Gearing Calculator'!$C$14)*'Track Data'!P1344),-2))</f>
        <v>8600</v>
      </c>
      <c r="T1344" s="16">
        <f t="shared" si="146"/>
        <v>-14.71670186282954</v>
      </c>
      <c r="U1344" s="16">
        <f>IF(AC1344=100,Braking!$AG$2354,IF(AC1344=50,Braking!$AG$1179,IF(AC1344=75,Braking!$AG$1767,0)))</f>
        <v>-14.71670186282954</v>
      </c>
      <c r="V1344" s="16">
        <f>0.5*'Gearing Calculator'!$C$15*'Gearing Calculator'!$C$20*'Gearing Calculator'!$W$20*('Track Data'!Q1344^2)</f>
        <v>100.77170409989063</v>
      </c>
      <c r="W1344" s="16">
        <f>('Gearing Calculator'!$U$9*'Track Data'!T1344)+'Track Data'!V1344</f>
        <v>-3816.8143317853328</v>
      </c>
      <c r="X1344" s="16">
        <f>('Gearing Calculator'!$U$9*9.81)*('Gearing Calculator'!$U$16/'Gearing Calculator'!$C$7)-(('Track Data'!W1344)*('Gearing Calculator'!$U$17/'Gearing Calculator'!$C$7))</f>
        <v>3481.5867753224247</v>
      </c>
      <c r="Y1344" s="16">
        <f>('Gearing Calculator'!$U$9*9.81)*(('Gearing Calculator'!$C$7-'Gearing Calculator'!$U$16)/'Gearing Calculator'!$C$7)+(('Track Data'!W1344)*('Gearing Calculator'!$U$17/'Gearing Calculator'!$C$7))</f>
        <v>-870.16477532242448</v>
      </c>
      <c r="Z1344" s="16">
        <f>((X1344*COS('Gearing Calculator'!$C$21))/'Gearing Calculator'!$C$22)/2</f>
        <v>107.63965177214887</v>
      </c>
      <c r="AA1344" s="16">
        <f>Y1344/'Gearing Calculator'!$C$24</f>
        <v>-12.150418836349321</v>
      </c>
      <c r="AB1344" s="16">
        <f t="shared" si="149"/>
        <v>41.904896648572468</v>
      </c>
      <c r="AC1344" s="16">
        <v>100</v>
      </c>
      <c r="AD1344" s="16">
        <v>0</v>
      </c>
      <c r="AE1344" s="16">
        <v>1341</v>
      </c>
      <c r="AF1344" s="16">
        <f>IF(AC1344=0,IF(O1344=6,INDEX(Acceleration!$V$4:$V$110,MATCH('Track Data'!S1344,Acceleration!$K$4:$K$110,0)),IF('Track Data'!O1344=5,INDEX(Acceleration!$U$4:$U$110,MATCH('Track Data'!S1344,Acceleration!$K$4:$K$110,0)),1)),U1344)</f>
        <v>-14.71670186282954</v>
      </c>
      <c r="AG1344" s="16">
        <f>IF(AC1344=0,IF(O1344=4,INDEX(Acceleration!$T$4:$T$110,MATCH('Track Data'!S1344,Acceleration!$K$4:$K$110,0)),IF('Track Data'!O1344=3,INDEX(Acceleration!$S$4:$S$110,MATCH('Track Data'!S1344,Acceleration!$K$4:$K$110,0)),'Track Data'!AF1344)),'Track Data'!U1344)</f>
        <v>-14.71670186282954</v>
      </c>
      <c r="AH1344" s="16">
        <f>IF(AC1344=0,IF(O1344=2,INDEX(Acceleration!$R$4:$R$110,MATCH('Track Data'!S1344,Acceleration!$K$4:$K$110,0)),IF('Track Data'!O1344=1,INDEX(Acceleration!$Q$4:$Q$110,MATCH('Track Data'!S1344,Acceleration!$K$4:$K$110,0)),'Track Data'!AG1344)),'Track Data'!U1344)</f>
        <v>-14.71670186282954</v>
      </c>
    </row>
    <row r="1345" spans="2:34" x14ac:dyDescent="0.25">
      <c r="B1345" s="16">
        <v>233.03899999999999</v>
      </c>
      <c r="C1345" s="16">
        <v>8615</v>
      </c>
      <c r="D1345" s="16">
        <v>1342</v>
      </c>
      <c r="E1345" s="113">
        <v>99</v>
      </c>
      <c r="F1345" s="113">
        <v>109.4</v>
      </c>
      <c r="G1345" s="113">
        <v>108.6</v>
      </c>
      <c r="H1345" s="113">
        <f t="shared" si="145"/>
        <v>30.166666666666664</v>
      </c>
      <c r="I1345" s="113">
        <v>-1.6</v>
      </c>
      <c r="J1345" s="113">
        <v>91.1</v>
      </c>
      <c r="K1345" s="113">
        <v>-29.7</v>
      </c>
      <c r="L1345" s="185"/>
      <c r="M1345" s="16">
        <v>1342</v>
      </c>
      <c r="N1345" s="16">
        <f t="shared" si="147"/>
        <v>3.2921104614094525E-2</v>
      </c>
      <c r="O1345" s="16">
        <v>4</v>
      </c>
      <c r="P1345" s="16">
        <f t="shared" si="143"/>
        <v>9.1833785004516724</v>
      </c>
      <c r="Q1345" s="16">
        <f t="shared" si="148"/>
        <v>30.3756514771339</v>
      </c>
      <c r="R1345" s="113">
        <f t="shared" si="144"/>
        <v>329.49099999999999</v>
      </c>
      <c r="S1345" s="16">
        <f>IF(S1344=15800,15800,ROUND((((Q1345*60)/'Gearing Calculator'!$C$14)*'Track Data'!P1345),-2))</f>
        <v>8500</v>
      </c>
      <c r="T1345" s="16">
        <f t="shared" si="146"/>
        <v>-14.71670186282954</v>
      </c>
      <c r="U1345" s="16">
        <f>IF(AC1345=100,Braking!$AG$2354,IF(AC1345=50,Braking!$AG$1179,IF(AC1345=75,Braking!$AG$1767,0)))</f>
        <v>-14.71670186282954</v>
      </c>
      <c r="V1345" s="16">
        <f>0.5*'Gearing Calculator'!$C$15*'Gearing Calculator'!$C$20*'Gearing Calculator'!$W$20*('Track Data'!Q1345^2)</f>
        <v>97.656472649566879</v>
      </c>
      <c r="W1345" s="16">
        <f>('Gearing Calculator'!$U$9*'Track Data'!T1345)+'Track Data'!V1345</f>
        <v>-3819.9295632356566</v>
      </c>
      <c r="X1345" s="16">
        <f>('Gearing Calculator'!$U$9*9.81)*('Gearing Calculator'!$U$16/'Gearing Calculator'!$C$7)-(('Track Data'!W1345)*('Gearing Calculator'!$U$17/'Gearing Calculator'!$C$7))</f>
        <v>3483.284789213636</v>
      </c>
      <c r="Y1345" s="16">
        <f>('Gearing Calculator'!$U$9*9.81)*(('Gearing Calculator'!$C$7-'Gearing Calculator'!$U$16)/'Gearing Calculator'!$C$7)+(('Track Data'!W1345)*('Gearing Calculator'!$U$17/'Gearing Calculator'!$C$7))</f>
        <v>-871.86278921363623</v>
      </c>
      <c r="Z1345" s="16">
        <f>((X1345*COS('Gearing Calculator'!$C$21))/'Gearing Calculator'!$C$22)/2</f>
        <v>107.69214899130472</v>
      </c>
      <c r="AA1345" s="16">
        <f>Y1345/'Gearing Calculator'!$C$24</f>
        <v>-12.174128805487657</v>
      </c>
      <c r="AB1345" s="16">
        <f t="shared" si="149"/>
        <v>38.78966519824872</v>
      </c>
      <c r="AC1345" s="16">
        <v>100</v>
      </c>
      <c r="AD1345" s="16">
        <v>0</v>
      </c>
      <c r="AE1345" s="16">
        <v>1342</v>
      </c>
      <c r="AF1345" s="16">
        <f>IF(AC1345=0,IF(O1345=6,INDEX(Acceleration!$V$4:$V$110,MATCH('Track Data'!S1345,Acceleration!$K$4:$K$110,0)),IF('Track Data'!O1345=5,INDEX(Acceleration!$U$4:$U$110,MATCH('Track Data'!S1345,Acceleration!$K$4:$K$110,0)),1)),U1345)</f>
        <v>-14.71670186282954</v>
      </c>
      <c r="AG1345" s="16">
        <f>IF(AC1345=0,IF(O1345=4,INDEX(Acceleration!$T$4:$T$110,MATCH('Track Data'!S1345,Acceleration!$K$4:$K$110,0)),IF('Track Data'!O1345=3,INDEX(Acceleration!$S$4:$S$110,MATCH('Track Data'!S1345,Acceleration!$K$4:$K$110,0)),'Track Data'!AF1345)),'Track Data'!U1345)</f>
        <v>-14.71670186282954</v>
      </c>
      <c r="AH1345" s="16">
        <f>IF(AC1345=0,IF(O1345=2,INDEX(Acceleration!$R$4:$R$110,MATCH('Track Data'!S1345,Acceleration!$K$4:$K$110,0)),IF('Track Data'!O1345=1,INDEX(Acceleration!$Q$4:$Q$110,MATCH('Track Data'!S1345,Acceleration!$K$4:$K$110,0)),'Track Data'!AG1345)),'Track Data'!U1345)</f>
        <v>-14.71670186282954</v>
      </c>
    </row>
    <row r="1346" spans="2:34" x14ac:dyDescent="0.25">
      <c r="B1346" s="16">
        <v>233.071</v>
      </c>
      <c r="C1346" s="16">
        <v>8616</v>
      </c>
      <c r="D1346" s="16">
        <v>1343</v>
      </c>
      <c r="E1346" s="113">
        <v>99</v>
      </c>
      <c r="F1346" s="113">
        <v>108.7</v>
      </c>
      <c r="G1346" s="113">
        <v>107.2</v>
      </c>
      <c r="H1346" s="113">
        <f t="shared" si="145"/>
        <v>29.777777777777779</v>
      </c>
      <c r="I1346" s="113">
        <v>-0.9</v>
      </c>
      <c r="J1346" s="113">
        <v>90.22</v>
      </c>
      <c r="K1346" s="113">
        <v>-29.9</v>
      </c>
      <c r="L1346" s="185"/>
      <c r="M1346" s="16">
        <v>1343</v>
      </c>
      <c r="N1346" s="16">
        <f t="shared" si="147"/>
        <v>3.3459100834244714E-2</v>
      </c>
      <c r="O1346" s="16">
        <v>4</v>
      </c>
      <c r="P1346" s="16">
        <f t="shared" si="143"/>
        <v>9.1833785004516724</v>
      </c>
      <c r="Q1346" s="16">
        <f t="shared" si="148"/>
        <v>29.887234715420693</v>
      </c>
      <c r="R1346" s="113">
        <f t="shared" si="144"/>
        <v>329.49099999999999</v>
      </c>
      <c r="S1346" s="16">
        <f>IF(S1345=15800,15800,ROUND((((Q1346*60)/'Gearing Calculator'!$C$14)*'Track Data'!P1346),-2))</f>
        <v>8300</v>
      </c>
      <c r="T1346" s="16">
        <f t="shared" si="146"/>
        <v>-14.71670186282954</v>
      </c>
      <c r="U1346" s="16">
        <f>IF(AC1346=100,Braking!$AG$2354,IF(AC1346=50,Braking!$AG$1179,IF(AC1346=75,Braking!$AG$1767,0)))</f>
        <v>-14.71670186282954</v>
      </c>
      <c r="V1346" s="16">
        <f>0.5*'Gearing Calculator'!$C$15*'Gearing Calculator'!$C$20*'Gearing Calculator'!$W$20*('Track Data'!Q1346^2)</f>
        <v>94.541241199243117</v>
      </c>
      <c r="W1346" s="16">
        <f>('Gearing Calculator'!$U$9*'Track Data'!T1346)+'Track Data'!V1346</f>
        <v>-3823.0447946859804</v>
      </c>
      <c r="X1346" s="16">
        <f>('Gearing Calculator'!$U$9*9.81)*('Gearing Calculator'!$U$16/'Gearing Calculator'!$C$7)-(('Track Data'!W1346)*('Gearing Calculator'!$U$17/'Gearing Calculator'!$C$7))</f>
        <v>3484.9828031048482</v>
      </c>
      <c r="Y1346" s="16">
        <f>('Gearing Calculator'!$U$9*9.81)*(('Gearing Calculator'!$C$7-'Gearing Calculator'!$U$16)/'Gearing Calculator'!$C$7)+(('Track Data'!W1346)*('Gearing Calculator'!$U$17/'Gearing Calculator'!$C$7))</f>
        <v>-873.56080310484799</v>
      </c>
      <c r="Z1346" s="16">
        <f>((X1346*COS('Gearing Calculator'!$C$21))/'Gearing Calculator'!$C$22)/2</f>
        <v>107.74464621046062</v>
      </c>
      <c r="AA1346" s="16">
        <f>Y1346/'Gearing Calculator'!$C$24</f>
        <v>-12.197838774625993</v>
      </c>
      <c r="AB1346" s="16">
        <f t="shared" si="149"/>
        <v>35.674433747924958</v>
      </c>
      <c r="AC1346" s="16">
        <v>100</v>
      </c>
      <c r="AD1346" s="16">
        <v>0</v>
      </c>
      <c r="AE1346" s="16">
        <v>1343</v>
      </c>
      <c r="AF1346" s="16">
        <f>IF(AC1346=0,IF(O1346=6,INDEX(Acceleration!$V$4:$V$110,MATCH('Track Data'!S1346,Acceleration!$K$4:$K$110,0)),IF('Track Data'!O1346=5,INDEX(Acceleration!$U$4:$U$110,MATCH('Track Data'!S1346,Acceleration!$K$4:$K$110,0)),1)),U1346)</f>
        <v>-14.71670186282954</v>
      </c>
      <c r="AG1346" s="16">
        <f>IF(AC1346=0,IF(O1346=4,INDEX(Acceleration!$T$4:$T$110,MATCH('Track Data'!S1346,Acceleration!$K$4:$K$110,0)),IF('Track Data'!O1346=3,INDEX(Acceleration!$S$4:$S$110,MATCH('Track Data'!S1346,Acceleration!$K$4:$K$110,0)),'Track Data'!AF1346)),'Track Data'!U1346)</f>
        <v>-14.71670186282954</v>
      </c>
      <c r="AH1346" s="16">
        <f>IF(AC1346=0,IF(O1346=2,INDEX(Acceleration!$R$4:$R$110,MATCH('Track Data'!S1346,Acceleration!$K$4:$K$110,0)),IF('Track Data'!O1346=1,INDEX(Acceleration!$Q$4:$Q$110,MATCH('Track Data'!S1346,Acceleration!$K$4:$K$110,0)),'Track Data'!AG1346)),'Track Data'!U1346)</f>
        <v>-14.71670186282954</v>
      </c>
    </row>
    <row r="1347" spans="2:34" x14ac:dyDescent="0.25">
      <c r="B1347" s="16">
        <v>233.10400000000001</v>
      </c>
      <c r="C1347" s="16">
        <v>8617</v>
      </c>
      <c r="D1347" s="16">
        <v>1344</v>
      </c>
      <c r="E1347" s="113">
        <v>98</v>
      </c>
      <c r="F1347" s="113">
        <v>107.7</v>
      </c>
      <c r="G1347" s="113">
        <v>106.1</v>
      </c>
      <c r="H1347" s="113">
        <f t="shared" si="145"/>
        <v>29.472222222222221</v>
      </c>
      <c r="I1347" s="113">
        <v>-0.5</v>
      </c>
      <c r="J1347" s="113">
        <v>90.06</v>
      </c>
      <c r="K1347" s="113">
        <v>-30.1</v>
      </c>
      <c r="L1347" s="185"/>
      <c r="M1347" s="16">
        <v>1344</v>
      </c>
      <c r="N1347" s="16">
        <f t="shared" si="147"/>
        <v>3.4024365323628729E-2</v>
      </c>
      <c r="O1347" s="16">
        <v>4</v>
      </c>
      <c r="P1347" s="16">
        <f t="shared" si="143"/>
        <v>9.1833785004516724</v>
      </c>
      <c r="Q1347" s="16">
        <f t="shared" si="148"/>
        <v>29.390702530034709</v>
      </c>
      <c r="R1347" s="113">
        <f t="shared" si="144"/>
        <v>329.49099999999999</v>
      </c>
      <c r="S1347" s="16">
        <f>IF(S1346=15800,15800,ROUND((((Q1347*60)/'Gearing Calculator'!$C$14)*'Track Data'!P1347),-2))</f>
        <v>8200</v>
      </c>
      <c r="T1347" s="16">
        <f t="shared" si="146"/>
        <v>-14.71670186282954</v>
      </c>
      <c r="U1347" s="16">
        <f>IF(AC1347=100,Braking!$AG$2354,IF(AC1347=50,Braking!$AG$1179,IF(AC1347=75,Braking!$AG$1767,0)))</f>
        <v>-14.71670186282954</v>
      </c>
      <c r="V1347" s="16">
        <f>0.5*'Gearing Calculator'!$C$15*'Gearing Calculator'!$C$20*'Gearing Calculator'!$W$20*('Track Data'!Q1347^2)</f>
        <v>91.426009748919341</v>
      </c>
      <c r="W1347" s="16">
        <f>('Gearing Calculator'!$U$9*'Track Data'!T1347)+'Track Data'!V1347</f>
        <v>-3826.1600261363037</v>
      </c>
      <c r="X1347" s="16">
        <f>('Gearing Calculator'!$U$9*9.81)*('Gearing Calculator'!$U$16/'Gearing Calculator'!$C$7)-(('Track Data'!W1347)*('Gearing Calculator'!$U$17/'Gearing Calculator'!$C$7))</f>
        <v>3486.6808169960595</v>
      </c>
      <c r="Y1347" s="16">
        <f>('Gearing Calculator'!$U$9*9.81)*(('Gearing Calculator'!$C$7-'Gearing Calculator'!$U$16)/'Gearing Calculator'!$C$7)+(('Track Data'!W1347)*('Gearing Calculator'!$U$17/'Gearing Calculator'!$C$7))</f>
        <v>-875.25881699605975</v>
      </c>
      <c r="Z1347" s="16">
        <f>((X1347*COS('Gearing Calculator'!$C$21))/'Gearing Calculator'!$C$22)/2</f>
        <v>107.79714342961648</v>
      </c>
      <c r="AA1347" s="16">
        <f>Y1347/'Gearing Calculator'!$C$24</f>
        <v>-12.221548743764329</v>
      </c>
      <c r="AB1347" s="16">
        <f t="shared" si="149"/>
        <v>32.559202297601182</v>
      </c>
      <c r="AC1347" s="16">
        <v>100</v>
      </c>
      <c r="AD1347" s="16">
        <v>0</v>
      </c>
      <c r="AE1347" s="16">
        <v>1344</v>
      </c>
      <c r="AF1347" s="16">
        <f>IF(AC1347=0,IF(O1347=6,INDEX(Acceleration!$V$4:$V$110,MATCH('Track Data'!S1347,Acceleration!$K$4:$K$110,0)),IF('Track Data'!O1347=5,INDEX(Acceleration!$U$4:$U$110,MATCH('Track Data'!S1347,Acceleration!$K$4:$K$110,0)),1)),U1347)</f>
        <v>-14.71670186282954</v>
      </c>
      <c r="AG1347" s="16">
        <f>IF(AC1347=0,IF(O1347=4,INDEX(Acceleration!$T$4:$T$110,MATCH('Track Data'!S1347,Acceleration!$K$4:$K$110,0)),IF('Track Data'!O1347=3,INDEX(Acceleration!$S$4:$S$110,MATCH('Track Data'!S1347,Acceleration!$K$4:$K$110,0)),'Track Data'!AF1347)),'Track Data'!U1347)</f>
        <v>-14.71670186282954</v>
      </c>
      <c r="AH1347" s="16">
        <f>IF(AC1347=0,IF(O1347=2,INDEX(Acceleration!$R$4:$R$110,MATCH('Track Data'!S1347,Acceleration!$K$4:$K$110,0)),IF('Track Data'!O1347=1,INDEX(Acceleration!$Q$4:$Q$110,MATCH('Track Data'!S1347,Acceleration!$K$4:$K$110,0)),'Track Data'!AG1347)),'Track Data'!U1347)</f>
        <v>-14.71670186282954</v>
      </c>
    </row>
    <row r="1348" spans="2:34" ht="15.75" thickBot="1" x14ac:dyDescent="0.3">
      <c r="B1348" s="16">
        <v>233.137</v>
      </c>
      <c r="C1348" s="16">
        <v>8618</v>
      </c>
      <c r="D1348" s="16">
        <v>1345</v>
      </c>
      <c r="E1348" s="113">
        <v>98</v>
      </c>
      <c r="F1348" s="113">
        <v>106.8</v>
      </c>
      <c r="G1348" s="113">
        <v>105.1</v>
      </c>
      <c r="H1348" s="113">
        <f t="shared" si="145"/>
        <v>29.194444444444443</v>
      </c>
      <c r="I1348" s="113">
        <v>0.2</v>
      </c>
      <c r="J1348" s="113">
        <v>89.03</v>
      </c>
      <c r="K1348" s="113">
        <v>-27.3</v>
      </c>
      <c r="L1348" s="186"/>
      <c r="M1348" s="16">
        <v>1345</v>
      </c>
      <c r="N1348" s="16">
        <f t="shared" si="147"/>
        <v>3.4619282241285375E-2</v>
      </c>
      <c r="O1348" s="16">
        <v>4</v>
      </c>
      <c r="P1348" s="16">
        <f t="shared" ref="P1348:P1411" si="150">VLOOKUP(O1348,$AJ$5:$AK$10,2,FALSE)</f>
        <v>9.1833785004516724</v>
      </c>
      <c r="Q1348" s="16">
        <f t="shared" si="148"/>
        <v>28.885636421642669</v>
      </c>
      <c r="R1348" s="113">
        <f t="shared" ref="R1348:R1411" si="151">VLOOKUP(O1348,$AJ$5:$AL$10,3,FALSE)</f>
        <v>329.49099999999999</v>
      </c>
      <c r="S1348" s="16">
        <f>IF(S1347=15800,15800,ROUND((((Q1348*60)/'Gearing Calculator'!$C$14)*'Track Data'!P1348),-2))</f>
        <v>8000</v>
      </c>
      <c r="T1348" s="16">
        <f t="shared" si="146"/>
        <v>-14.71670186282954</v>
      </c>
      <c r="U1348" s="16">
        <f>IF(AC1348=100,Braking!$AG$2354,IF(AC1348=50,Braking!$AG$1179,IF(AC1348=75,Braking!$AG$1767,0)))</f>
        <v>-14.71670186282954</v>
      </c>
      <c r="V1348" s="16">
        <f>0.5*'Gearing Calculator'!$C$15*'Gearing Calculator'!$C$20*'Gearing Calculator'!$W$20*('Track Data'!Q1348^2)</f>
        <v>88.310778298595579</v>
      </c>
      <c r="W1348" s="16">
        <f>('Gearing Calculator'!$U$9*'Track Data'!T1348)+'Track Data'!V1348</f>
        <v>-3829.2752575866275</v>
      </c>
      <c r="X1348" s="16">
        <f>('Gearing Calculator'!$U$9*9.81)*('Gearing Calculator'!$U$16/'Gearing Calculator'!$C$7)-(('Track Data'!W1348)*('Gearing Calculator'!$U$17/'Gearing Calculator'!$C$7))</f>
        <v>3488.3788308872718</v>
      </c>
      <c r="Y1348" s="16">
        <f>('Gearing Calculator'!$U$9*9.81)*(('Gearing Calculator'!$C$7-'Gearing Calculator'!$U$16)/'Gearing Calculator'!$C$7)+(('Track Data'!W1348)*('Gearing Calculator'!$U$17/'Gearing Calculator'!$C$7))</f>
        <v>-876.95683088727151</v>
      </c>
      <c r="Z1348" s="16">
        <f>((X1348*COS('Gearing Calculator'!$C$21))/'Gearing Calculator'!$C$22)/2</f>
        <v>107.84964064877238</v>
      </c>
      <c r="AA1348" s="16">
        <f>Y1348/'Gearing Calculator'!$C$24</f>
        <v>-12.245258712902666</v>
      </c>
      <c r="AB1348" s="16">
        <f t="shared" si="149"/>
        <v>29.44397084727742</v>
      </c>
      <c r="AC1348" s="16">
        <v>100</v>
      </c>
      <c r="AD1348" s="16">
        <v>0</v>
      </c>
      <c r="AE1348" s="16">
        <v>1345</v>
      </c>
      <c r="AF1348" s="16">
        <f>IF(AC1348=0,IF(O1348=6,INDEX(Acceleration!$V$4:$V$110,MATCH('Track Data'!S1348,Acceleration!$K$4:$K$110,0)),IF('Track Data'!O1348=5,INDEX(Acceleration!$U$4:$U$110,MATCH('Track Data'!S1348,Acceleration!$K$4:$K$110,0)),1)),U1348)</f>
        <v>-14.71670186282954</v>
      </c>
      <c r="AG1348" s="16">
        <f>IF(AC1348=0,IF(O1348=4,INDEX(Acceleration!$T$4:$T$110,MATCH('Track Data'!S1348,Acceleration!$K$4:$K$110,0)),IF('Track Data'!O1348=3,INDEX(Acceleration!$S$4:$S$110,MATCH('Track Data'!S1348,Acceleration!$K$4:$K$110,0)),'Track Data'!AF1348)),'Track Data'!U1348)</f>
        <v>-14.71670186282954</v>
      </c>
      <c r="AH1348" s="16">
        <f>IF(AC1348=0,IF(O1348=2,INDEX(Acceleration!$R$4:$R$110,MATCH('Track Data'!S1348,Acceleration!$K$4:$K$110,0)),IF('Track Data'!O1348=1,INDEX(Acceleration!$Q$4:$Q$110,MATCH('Track Data'!S1348,Acceleration!$K$4:$K$110,0)),'Track Data'!AG1348)),'Track Data'!U1348)</f>
        <v>-14.71670186282954</v>
      </c>
    </row>
    <row r="1349" spans="2:34" x14ac:dyDescent="0.25">
      <c r="B1349" s="16">
        <v>233.17099999999999</v>
      </c>
      <c r="C1349" s="16">
        <v>8619</v>
      </c>
      <c r="D1349" s="16">
        <v>1346</v>
      </c>
      <c r="E1349" s="113">
        <v>99</v>
      </c>
      <c r="F1349" s="113">
        <v>106.1</v>
      </c>
      <c r="G1349" s="113">
        <v>103.8</v>
      </c>
      <c r="H1349" s="113">
        <f t="shared" ref="H1349:H1412" si="152">G1349/3.6</f>
        <v>28.833333333333332</v>
      </c>
      <c r="I1349" s="113">
        <v>0.6</v>
      </c>
      <c r="J1349" s="113">
        <v>87.8</v>
      </c>
      <c r="K1349" s="113">
        <v>-18.7</v>
      </c>
      <c r="L1349" s="182" t="s">
        <v>194</v>
      </c>
      <c r="M1349" s="16">
        <v>1346</v>
      </c>
      <c r="N1349" s="16">
        <f t="shared" si="147"/>
        <v>3.5246538176591118E-2</v>
      </c>
      <c r="O1349" s="16">
        <v>3</v>
      </c>
      <c r="P1349" s="16">
        <f t="shared" si="150"/>
        <v>10.596205962059623</v>
      </c>
      <c r="Q1349" s="134">
        <f t="shared" si="148"/>
        <v>28.371580635517478</v>
      </c>
      <c r="R1349" s="113">
        <f t="shared" si="151"/>
        <v>345.36</v>
      </c>
      <c r="S1349" s="16">
        <f>IF(S1348=15800,15800,ROUND((((Q1349*60)/'Gearing Calculator'!$C$14)*'Track Data'!P1349),-2))</f>
        <v>9100</v>
      </c>
      <c r="T1349" s="16">
        <f t="shared" ref="T1349:T1412" si="153">AH1349</f>
        <v>4.5235291559310618</v>
      </c>
      <c r="U1349" s="16">
        <f>IF(AC1349=100,Braking!$AG$2354,IF(AC1349=50,Braking!$AG$1179,IF(AC1349=75,Braking!$AG$1767,0)))</f>
        <v>0</v>
      </c>
      <c r="V1349" s="16">
        <f>0.5*'Gearing Calculator'!$C$15*'Gearing Calculator'!$C$20*'Gearing Calculator'!$W$20*('Track Data'!Q1349^2)</f>
        <v>85.195546848271832</v>
      </c>
      <c r="W1349" s="16">
        <f>('Gearing Calculator'!$U$9*'Track Data'!T1349)+'Track Data'!V1349</f>
        <v>1289.3590081571203</v>
      </c>
      <c r="X1349" s="16">
        <f>('Gearing Calculator'!$U$9*9.81)*('Gearing Calculator'!$U$16/'Gearing Calculator'!$C$7)-(('Track Data'!W1349)*('Gearing Calculator'!$U$17/'Gearing Calculator'!$C$7))</f>
        <v>698.37358541434548</v>
      </c>
      <c r="Y1349" s="16">
        <f>('Gearing Calculator'!$U$9*9.81)*(('Gearing Calculator'!$C$7-'Gearing Calculator'!$U$16)/'Gearing Calculator'!$C$7)+(('Track Data'!W1349)*('Gearing Calculator'!$U$17/'Gearing Calculator'!$C$7))</f>
        <v>1913.0484145856544</v>
      </c>
      <c r="Z1349" s="16">
        <f>((X1349*COS('Gearing Calculator'!$C$21))/'Gearing Calculator'!$C$22)/2</f>
        <v>21.591502493544937</v>
      </c>
      <c r="AA1349" s="16">
        <f>Y1349/'Gearing Calculator'!$C$24</f>
        <v>26.712572320359616</v>
      </c>
      <c r="AB1349" s="16">
        <f t="shared" si="149"/>
        <v>98.76613431606502</v>
      </c>
      <c r="AC1349" s="16">
        <v>0</v>
      </c>
      <c r="AD1349" s="16">
        <v>-46.712096975939801</v>
      </c>
      <c r="AE1349" s="16">
        <v>1346</v>
      </c>
      <c r="AF1349" s="16">
        <f>IF(AC1349=0,IF(O1349=6,INDEX(Acceleration!$V$4:$V$110,MATCH('Track Data'!S1349,Acceleration!$K$4:$K$110,0)),IF('Track Data'!O1349=5,INDEX(Acceleration!$U$4:$U$110,MATCH('Track Data'!S1349,Acceleration!$K$4:$K$110,0)),1)),U1349)</f>
        <v>1</v>
      </c>
      <c r="AG1349" s="16">
        <f>IF(AC1349=0,IF(O1349=4,INDEX(Acceleration!$T$4:$T$110,MATCH('Track Data'!S1349,Acceleration!$K$4:$K$110,0)),IF('Track Data'!O1349=3,INDEX(Acceleration!$S$4:$S$110,MATCH('Track Data'!S1349,Acceleration!$K$4:$K$110,0)),'Track Data'!AF1349)),'Track Data'!U1349)</f>
        <v>4.5235291559310618</v>
      </c>
      <c r="AH1349" s="16">
        <f>IF(AC1349=0,IF(O1349=2,INDEX(Acceleration!$R$4:$R$110,MATCH('Track Data'!S1349,Acceleration!$K$4:$K$110,0)),IF('Track Data'!O1349=1,INDEX(Acceleration!$Q$4:$Q$110,MATCH('Track Data'!S1349,Acceleration!$K$4:$K$110,0)),'Track Data'!AG1349)),'Track Data'!U1349)</f>
        <v>4.5235291559310618</v>
      </c>
    </row>
    <row r="1350" spans="2:34" x14ac:dyDescent="0.25">
      <c r="B1350" s="16">
        <v>233.20500000000001</v>
      </c>
      <c r="C1350" s="16">
        <v>8620</v>
      </c>
      <c r="D1350" s="16">
        <v>1347</v>
      </c>
      <c r="E1350" s="113">
        <v>98</v>
      </c>
      <c r="F1350" s="113">
        <v>105.6</v>
      </c>
      <c r="G1350" s="113">
        <v>102.8</v>
      </c>
      <c r="H1350" s="113">
        <f t="shared" si="152"/>
        <v>28.555555555555554</v>
      </c>
      <c r="I1350" s="113">
        <v>0.6</v>
      </c>
      <c r="J1350" s="113">
        <v>86.5</v>
      </c>
      <c r="K1350" s="113">
        <v>-14.2</v>
      </c>
      <c r="L1350" s="183"/>
      <c r="M1350" s="16">
        <v>1347</v>
      </c>
      <c r="N1350" s="16">
        <f t="shared" ref="N1350:N1413" si="154">1/Q1350</f>
        <v>3.5246538176591118E-2</v>
      </c>
      <c r="O1350" s="16">
        <v>3</v>
      </c>
      <c r="P1350" s="16">
        <f t="shared" si="150"/>
        <v>10.596205962059623</v>
      </c>
      <c r="Q1350" s="16">
        <f t="shared" ref="Q1350:Q1413" si="155">IF(AD1349=0,SQRT(Q1349^2+(2*T1349)),Q1349)</f>
        <v>28.371580635517478</v>
      </c>
      <c r="R1350" s="113">
        <f t="shared" si="151"/>
        <v>345.36</v>
      </c>
      <c r="S1350" s="16">
        <f>IF(S1349=15800,15800,ROUND((((Q1350*60)/'Gearing Calculator'!$C$14)*'Track Data'!P1350),-2))</f>
        <v>9100</v>
      </c>
      <c r="T1350" s="16">
        <f t="shared" si="153"/>
        <v>4.5235291559310618</v>
      </c>
      <c r="U1350" s="16">
        <f>IF(AC1350=100,Braking!$AG$2354,IF(AC1350=50,Braking!$AG$1179,IF(AC1350=75,Braking!$AG$1767,0)))</f>
        <v>0</v>
      </c>
      <c r="V1350" s="16">
        <f>0.5*'Gearing Calculator'!$C$15*'Gearing Calculator'!$C$20*'Gearing Calculator'!$W$20*('Track Data'!Q1350^2)</f>
        <v>85.195546848271832</v>
      </c>
      <c r="W1350" s="16">
        <f>('Gearing Calculator'!$U$9*'Track Data'!T1350)+'Track Data'!V1350</f>
        <v>1289.3590081571203</v>
      </c>
      <c r="X1350" s="16">
        <f>('Gearing Calculator'!$U$9*9.81)*('Gearing Calculator'!$U$16/'Gearing Calculator'!$C$7)-(('Track Data'!W1350)*('Gearing Calculator'!$U$17/'Gearing Calculator'!$C$7))</f>
        <v>698.37358541434548</v>
      </c>
      <c r="Y1350" s="16">
        <f>('Gearing Calculator'!$U$9*9.81)*(('Gearing Calculator'!$C$7-'Gearing Calculator'!$U$16)/'Gearing Calculator'!$C$7)+(('Track Data'!W1350)*('Gearing Calculator'!$U$17/'Gearing Calculator'!$C$7))</f>
        <v>1913.0484145856544</v>
      </c>
      <c r="Z1350" s="16">
        <f>((X1350*COS('Gearing Calculator'!$C$21))/'Gearing Calculator'!$C$22)/2</f>
        <v>21.591502493544937</v>
      </c>
      <c r="AA1350" s="16">
        <f>Y1350/'Gearing Calculator'!$C$24</f>
        <v>26.712572320359616</v>
      </c>
      <c r="AB1350" s="16">
        <f t="shared" si="149"/>
        <v>98.76613431606502</v>
      </c>
      <c r="AC1350" s="16">
        <v>0</v>
      </c>
      <c r="AD1350" s="16">
        <v>-46.712096975939801</v>
      </c>
      <c r="AE1350" s="16">
        <v>1347</v>
      </c>
      <c r="AF1350" s="16">
        <f>IF(AC1350=0,IF(O1350=6,INDEX(Acceleration!$V$4:$V$110,MATCH('Track Data'!S1350,Acceleration!$K$4:$K$110,0)),IF('Track Data'!O1350=5,INDEX(Acceleration!$U$4:$U$110,MATCH('Track Data'!S1350,Acceleration!$K$4:$K$110,0)),1)),U1350)</f>
        <v>1</v>
      </c>
      <c r="AG1350" s="16">
        <f>IF(AC1350=0,IF(O1350=4,INDEX(Acceleration!$T$4:$T$110,MATCH('Track Data'!S1350,Acceleration!$K$4:$K$110,0)),IF('Track Data'!O1350=3,INDEX(Acceleration!$S$4:$S$110,MATCH('Track Data'!S1350,Acceleration!$K$4:$K$110,0)),'Track Data'!AF1350)),'Track Data'!U1350)</f>
        <v>4.5235291559310618</v>
      </c>
      <c r="AH1350" s="16">
        <f>IF(AC1350=0,IF(O1350=2,INDEX(Acceleration!$R$4:$R$110,MATCH('Track Data'!S1350,Acceleration!$K$4:$K$110,0)),IF('Track Data'!O1350=1,INDEX(Acceleration!$Q$4:$Q$110,MATCH('Track Data'!S1350,Acceleration!$K$4:$K$110,0)),'Track Data'!AG1350)),'Track Data'!U1350)</f>
        <v>4.5235291559310618</v>
      </c>
    </row>
    <row r="1351" spans="2:34" x14ac:dyDescent="0.25">
      <c r="B1351" s="16">
        <v>233.239</v>
      </c>
      <c r="C1351" s="16">
        <v>8621</v>
      </c>
      <c r="D1351" s="16">
        <v>1348</v>
      </c>
      <c r="E1351" s="113">
        <v>98</v>
      </c>
      <c r="F1351" s="113">
        <v>105.8</v>
      </c>
      <c r="G1351" s="113">
        <v>101.9</v>
      </c>
      <c r="H1351" s="113">
        <f t="shared" si="152"/>
        <v>28.305555555555557</v>
      </c>
      <c r="I1351" s="113">
        <v>0.7</v>
      </c>
      <c r="J1351" s="113">
        <v>86.18</v>
      </c>
      <c r="K1351" s="113">
        <v>-23.5</v>
      </c>
      <c r="L1351" s="183"/>
      <c r="M1351" s="16">
        <v>1348</v>
      </c>
      <c r="N1351" s="16">
        <f t="shared" si="154"/>
        <v>3.5246538176591118E-2</v>
      </c>
      <c r="O1351" s="16">
        <v>3</v>
      </c>
      <c r="P1351" s="16">
        <f t="shared" si="150"/>
        <v>10.596205962059623</v>
      </c>
      <c r="Q1351" s="16">
        <f t="shared" si="155"/>
        <v>28.371580635517478</v>
      </c>
      <c r="R1351" s="113">
        <f t="shared" si="151"/>
        <v>345.36</v>
      </c>
      <c r="S1351" s="16">
        <f>IF(S1350=15800,15800,ROUND((((Q1351*60)/'Gearing Calculator'!$C$14)*'Track Data'!P1351),-2))</f>
        <v>9100</v>
      </c>
      <c r="T1351" s="16">
        <f t="shared" si="153"/>
        <v>4.5235291559310618</v>
      </c>
      <c r="U1351" s="16">
        <f>IF(AC1351=100,Braking!$AG$2354,IF(AC1351=50,Braking!$AG$1179,IF(AC1351=75,Braking!$AG$1767,0)))</f>
        <v>0</v>
      </c>
      <c r="V1351" s="16">
        <f>0.5*'Gearing Calculator'!$C$15*'Gearing Calculator'!$C$20*'Gearing Calculator'!$W$20*('Track Data'!Q1351^2)</f>
        <v>85.195546848271832</v>
      </c>
      <c r="W1351" s="16">
        <f>('Gearing Calculator'!$U$9*'Track Data'!T1351)+'Track Data'!V1351</f>
        <v>1289.3590081571203</v>
      </c>
      <c r="X1351" s="16">
        <f>('Gearing Calculator'!$U$9*9.81)*('Gearing Calculator'!$U$16/'Gearing Calculator'!$C$7)-(('Track Data'!W1351)*('Gearing Calculator'!$U$17/'Gearing Calculator'!$C$7))</f>
        <v>698.37358541434548</v>
      </c>
      <c r="Y1351" s="16">
        <f>('Gearing Calculator'!$U$9*9.81)*(('Gearing Calculator'!$C$7-'Gearing Calculator'!$U$16)/'Gearing Calculator'!$C$7)+(('Track Data'!W1351)*('Gearing Calculator'!$U$17/'Gearing Calculator'!$C$7))</f>
        <v>1913.0484145856544</v>
      </c>
      <c r="Z1351" s="16">
        <f>((X1351*COS('Gearing Calculator'!$C$21))/'Gearing Calculator'!$C$22)/2</f>
        <v>21.591502493544937</v>
      </c>
      <c r="AA1351" s="16">
        <f>Y1351/'Gearing Calculator'!$C$24</f>
        <v>26.712572320359616</v>
      </c>
      <c r="AB1351" s="16">
        <f t="shared" si="149"/>
        <v>98.76613431606502</v>
      </c>
      <c r="AC1351" s="16">
        <v>0</v>
      </c>
      <c r="AD1351" s="16">
        <v>-46.712096975939801</v>
      </c>
      <c r="AE1351" s="16">
        <v>1348</v>
      </c>
      <c r="AF1351" s="16">
        <f>IF(AC1351=0,IF(O1351=6,INDEX(Acceleration!$V$4:$V$110,MATCH('Track Data'!S1351,Acceleration!$K$4:$K$110,0)),IF('Track Data'!O1351=5,INDEX(Acceleration!$U$4:$U$110,MATCH('Track Data'!S1351,Acceleration!$K$4:$K$110,0)),1)),U1351)</f>
        <v>1</v>
      </c>
      <c r="AG1351" s="16">
        <f>IF(AC1351=0,IF(O1351=4,INDEX(Acceleration!$T$4:$T$110,MATCH('Track Data'!S1351,Acceleration!$K$4:$K$110,0)),IF('Track Data'!O1351=3,INDEX(Acceleration!$S$4:$S$110,MATCH('Track Data'!S1351,Acceleration!$K$4:$K$110,0)),'Track Data'!AF1351)),'Track Data'!U1351)</f>
        <v>4.5235291559310618</v>
      </c>
      <c r="AH1351" s="16">
        <f>IF(AC1351=0,IF(O1351=2,INDEX(Acceleration!$R$4:$R$110,MATCH('Track Data'!S1351,Acceleration!$K$4:$K$110,0)),IF('Track Data'!O1351=1,INDEX(Acceleration!$Q$4:$Q$110,MATCH('Track Data'!S1351,Acceleration!$K$4:$K$110,0)),'Track Data'!AG1351)),'Track Data'!U1351)</f>
        <v>4.5235291559310618</v>
      </c>
    </row>
    <row r="1352" spans="2:34" x14ac:dyDescent="0.25">
      <c r="B1352" s="16">
        <v>233.273</v>
      </c>
      <c r="C1352" s="16">
        <v>8622</v>
      </c>
      <c r="D1352" s="16">
        <v>1349</v>
      </c>
      <c r="E1352" s="113">
        <v>98</v>
      </c>
      <c r="F1352" s="113">
        <v>105.2</v>
      </c>
      <c r="G1352" s="113">
        <v>100.5</v>
      </c>
      <c r="H1352" s="113">
        <f t="shared" si="152"/>
        <v>27.916666666666664</v>
      </c>
      <c r="I1352" s="113">
        <v>1.7</v>
      </c>
      <c r="J1352" s="113">
        <v>86.39</v>
      </c>
      <c r="K1352" s="113">
        <v>-36.1</v>
      </c>
      <c r="L1352" s="183"/>
      <c r="M1352" s="16">
        <v>1349</v>
      </c>
      <c r="N1352" s="16">
        <f t="shared" si="154"/>
        <v>3.5246538176591118E-2</v>
      </c>
      <c r="O1352" s="16">
        <v>3</v>
      </c>
      <c r="P1352" s="16">
        <f t="shared" si="150"/>
        <v>10.596205962059623</v>
      </c>
      <c r="Q1352" s="16">
        <f t="shared" si="155"/>
        <v>28.371580635517478</v>
      </c>
      <c r="R1352" s="113">
        <f t="shared" si="151"/>
        <v>345.36</v>
      </c>
      <c r="S1352" s="16">
        <f>IF(S1351=15800,15800,ROUND((((Q1352*60)/'Gearing Calculator'!$C$14)*'Track Data'!P1352),-2))</f>
        <v>9100</v>
      </c>
      <c r="T1352" s="16">
        <f t="shared" si="153"/>
        <v>4.5235291559310618</v>
      </c>
      <c r="U1352" s="16">
        <f>IF(AC1352=100,Braking!$AG$2354,IF(AC1352=50,Braking!$AG$1179,IF(AC1352=75,Braking!$AG$1767,0)))</f>
        <v>0</v>
      </c>
      <c r="V1352" s="16">
        <f>0.5*'Gearing Calculator'!$C$15*'Gearing Calculator'!$C$20*'Gearing Calculator'!$W$20*('Track Data'!Q1352^2)</f>
        <v>85.195546848271832</v>
      </c>
      <c r="W1352" s="16">
        <f>('Gearing Calculator'!$U$9*'Track Data'!T1352)+'Track Data'!V1352</f>
        <v>1289.3590081571203</v>
      </c>
      <c r="X1352" s="16">
        <f>('Gearing Calculator'!$U$9*9.81)*('Gearing Calculator'!$U$16/'Gearing Calculator'!$C$7)-(('Track Data'!W1352)*('Gearing Calculator'!$U$17/'Gearing Calculator'!$C$7))</f>
        <v>698.37358541434548</v>
      </c>
      <c r="Y1352" s="16">
        <f>('Gearing Calculator'!$U$9*9.81)*(('Gearing Calculator'!$C$7-'Gearing Calculator'!$U$16)/'Gearing Calculator'!$C$7)+(('Track Data'!W1352)*('Gearing Calculator'!$U$17/'Gearing Calculator'!$C$7))</f>
        <v>1913.0484145856544</v>
      </c>
      <c r="Z1352" s="16">
        <f>((X1352*COS('Gearing Calculator'!$C$21))/'Gearing Calculator'!$C$22)/2</f>
        <v>21.591502493544937</v>
      </c>
      <c r="AA1352" s="16">
        <f>Y1352/'Gearing Calculator'!$C$24</f>
        <v>26.712572320359616</v>
      </c>
      <c r="AB1352" s="16">
        <f t="shared" si="149"/>
        <v>98.76613431606502</v>
      </c>
      <c r="AC1352" s="16">
        <v>0</v>
      </c>
      <c r="AD1352" s="16">
        <v>-46.712096975939801</v>
      </c>
      <c r="AE1352" s="16">
        <v>1349</v>
      </c>
      <c r="AF1352" s="16">
        <f>IF(AC1352=0,IF(O1352=6,INDEX(Acceleration!$V$4:$V$110,MATCH('Track Data'!S1352,Acceleration!$K$4:$K$110,0)),IF('Track Data'!O1352=5,INDEX(Acceleration!$U$4:$U$110,MATCH('Track Data'!S1352,Acceleration!$K$4:$K$110,0)),1)),U1352)</f>
        <v>1</v>
      </c>
      <c r="AG1352" s="16">
        <f>IF(AC1352=0,IF(O1352=4,INDEX(Acceleration!$T$4:$T$110,MATCH('Track Data'!S1352,Acceleration!$K$4:$K$110,0)),IF('Track Data'!O1352=3,INDEX(Acceleration!$S$4:$S$110,MATCH('Track Data'!S1352,Acceleration!$K$4:$K$110,0)),'Track Data'!AF1352)),'Track Data'!U1352)</f>
        <v>4.5235291559310618</v>
      </c>
      <c r="AH1352" s="16">
        <f>IF(AC1352=0,IF(O1352=2,INDEX(Acceleration!$R$4:$R$110,MATCH('Track Data'!S1352,Acceleration!$K$4:$K$110,0)),IF('Track Data'!O1352=1,INDEX(Acceleration!$Q$4:$Q$110,MATCH('Track Data'!S1352,Acceleration!$K$4:$K$110,0)),'Track Data'!AG1352)),'Track Data'!U1352)</f>
        <v>4.5235291559310618</v>
      </c>
    </row>
    <row r="1353" spans="2:34" x14ac:dyDescent="0.25">
      <c r="B1353" s="16">
        <v>233.30699999999999</v>
      </c>
      <c r="C1353" s="16">
        <v>8623</v>
      </c>
      <c r="D1353" s="16">
        <v>1350</v>
      </c>
      <c r="E1353" s="113">
        <v>99</v>
      </c>
      <c r="F1353" s="113">
        <v>104.5</v>
      </c>
      <c r="G1353" s="113">
        <v>99.5</v>
      </c>
      <c r="H1353" s="113">
        <f t="shared" si="152"/>
        <v>27.638888888888889</v>
      </c>
      <c r="I1353" s="113">
        <v>3.7</v>
      </c>
      <c r="J1353" s="113">
        <v>86.91</v>
      </c>
      <c r="K1353" s="113">
        <v>-36.700000000000003</v>
      </c>
      <c r="L1353" s="183"/>
      <c r="M1353" s="16">
        <v>1350</v>
      </c>
      <c r="N1353" s="16">
        <f t="shared" si="154"/>
        <v>3.5246538176591118E-2</v>
      </c>
      <c r="O1353" s="16">
        <v>3</v>
      </c>
      <c r="P1353" s="16">
        <f t="shared" si="150"/>
        <v>10.596205962059623</v>
      </c>
      <c r="Q1353" s="16">
        <f t="shared" si="155"/>
        <v>28.371580635517478</v>
      </c>
      <c r="R1353" s="113">
        <f t="shared" si="151"/>
        <v>345.36</v>
      </c>
      <c r="S1353" s="16">
        <f>IF(S1352=15800,15800,ROUND((((Q1353*60)/'Gearing Calculator'!$C$14)*'Track Data'!P1353),-2))</f>
        <v>9100</v>
      </c>
      <c r="T1353" s="16">
        <f t="shared" si="153"/>
        <v>4.5235291559310618</v>
      </c>
      <c r="U1353" s="16">
        <f>IF(AC1353=100,Braking!$AG$2354,IF(AC1353=50,Braking!$AG$1179,IF(AC1353=75,Braking!$AG$1767,0)))</f>
        <v>0</v>
      </c>
      <c r="V1353" s="16">
        <f>0.5*'Gearing Calculator'!$C$15*'Gearing Calculator'!$C$20*'Gearing Calculator'!$W$20*('Track Data'!Q1353^2)</f>
        <v>85.195546848271832</v>
      </c>
      <c r="W1353" s="16">
        <f>('Gearing Calculator'!$U$9*'Track Data'!T1353)+'Track Data'!V1353</f>
        <v>1289.3590081571203</v>
      </c>
      <c r="X1353" s="16">
        <f>('Gearing Calculator'!$U$9*9.81)*('Gearing Calculator'!$U$16/'Gearing Calculator'!$C$7)-(('Track Data'!W1353)*('Gearing Calculator'!$U$17/'Gearing Calculator'!$C$7))</f>
        <v>698.37358541434548</v>
      </c>
      <c r="Y1353" s="16">
        <f>('Gearing Calculator'!$U$9*9.81)*(('Gearing Calculator'!$C$7-'Gearing Calculator'!$U$16)/'Gearing Calculator'!$C$7)+(('Track Data'!W1353)*('Gearing Calculator'!$U$17/'Gearing Calculator'!$C$7))</f>
        <v>1913.0484145856544</v>
      </c>
      <c r="Z1353" s="16">
        <f>((X1353*COS('Gearing Calculator'!$C$21))/'Gearing Calculator'!$C$22)/2</f>
        <v>21.591502493544937</v>
      </c>
      <c r="AA1353" s="16">
        <f>Y1353/'Gearing Calculator'!$C$24</f>
        <v>26.712572320359616</v>
      </c>
      <c r="AB1353" s="16">
        <f t="shared" si="149"/>
        <v>98.76613431606502</v>
      </c>
      <c r="AC1353" s="16">
        <v>0</v>
      </c>
      <c r="AD1353" s="16">
        <v>-46.712096975939801</v>
      </c>
      <c r="AE1353" s="16">
        <v>1350</v>
      </c>
      <c r="AF1353" s="16">
        <f>IF(AC1353=0,IF(O1353=6,INDEX(Acceleration!$V$4:$V$110,MATCH('Track Data'!S1353,Acceleration!$K$4:$K$110,0)),IF('Track Data'!O1353=5,INDEX(Acceleration!$U$4:$U$110,MATCH('Track Data'!S1353,Acceleration!$K$4:$K$110,0)),1)),U1353)</f>
        <v>1</v>
      </c>
      <c r="AG1353" s="16">
        <f>IF(AC1353=0,IF(O1353=4,INDEX(Acceleration!$T$4:$T$110,MATCH('Track Data'!S1353,Acceleration!$K$4:$K$110,0)),IF('Track Data'!O1353=3,INDEX(Acceleration!$S$4:$S$110,MATCH('Track Data'!S1353,Acceleration!$K$4:$K$110,0)),'Track Data'!AF1353)),'Track Data'!U1353)</f>
        <v>4.5235291559310618</v>
      </c>
      <c r="AH1353" s="16">
        <f>IF(AC1353=0,IF(O1353=2,INDEX(Acceleration!$R$4:$R$110,MATCH('Track Data'!S1353,Acceleration!$K$4:$K$110,0)),IF('Track Data'!O1353=1,INDEX(Acceleration!$Q$4:$Q$110,MATCH('Track Data'!S1353,Acceleration!$K$4:$K$110,0)),'Track Data'!AG1353)),'Track Data'!U1353)</f>
        <v>4.5235291559310618</v>
      </c>
    </row>
    <row r="1354" spans="2:34" x14ac:dyDescent="0.25">
      <c r="B1354" s="16">
        <v>233.34100000000001</v>
      </c>
      <c r="C1354" s="16">
        <v>8624</v>
      </c>
      <c r="D1354" s="16">
        <v>1351</v>
      </c>
      <c r="E1354" s="113">
        <v>100</v>
      </c>
      <c r="F1354" s="113">
        <v>103.8</v>
      </c>
      <c r="G1354" s="113">
        <v>98.3</v>
      </c>
      <c r="H1354" s="113">
        <f t="shared" si="152"/>
        <v>27.305555555555554</v>
      </c>
      <c r="I1354" s="113">
        <v>5.4</v>
      </c>
      <c r="J1354" s="113">
        <v>86.96</v>
      </c>
      <c r="K1354" s="113">
        <v>-34.5</v>
      </c>
      <c r="L1354" s="183"/>
      <c r="M1354" s="16">
        <v>1351</v>
      </c>
      <c r="N1354" s="16">
        <f t="shared" si="154"/>
        <v>3.5246538176591118E-2</v>
      </c>
      <c r="O1354" s="16">
        <v>3</v>
      </c>
      <c r="P1354" s="16">
        <f t="shared" si="150"/>
        <v>10.596205962059623</v>
      </c>
      <c r="Q1354" s="16">
        <f t="shared" si="155"/>
        <v>28.371580635517478</v>
      </c>
      <c r="R1354" s="113">
        <f t="shared" si="151"/>
        <v>345.36</v>
      </c>
      <c r="S1354" s="16">
        <f>IF(S1353=15800,15800,ROUND((((Q1354*60)/'Gearing Calculator'!$C$14)*'Track Data'!P1354),-2))</f>
        <v>9100</v>
      </c>
      <c r="T1354" s="16">
        <f t="shared" si="153"/>
        <v>4.5235291559310618</v>
      </c>
      <c r="U1354" s="16">
        <f>IF(AC1354=100,Braking!$AG$2354,IF(AC1354=50,Braking!$AG$1179,IF(AC1354=75,Braking!$AG$1767,0)))</f>
        <v>0</v>
      </c>
      <c r="V1354" s="16">
        <f>0.5*'Gearing Calculator'!$C$15*'Gearing Calculator'!$C$20*'Gearing Calculator'!$W$20*('Track Data'!Q1354^2)</f>
        <v>85.195546848271832</v>
      </c>
      <c r="W1354" s="16">
        <f>('Gearing Calculator'!$U$9*'Track Data'!T1354)+'Track Data'!V1354</f>
        <v>1289.3590081571203</v>
      </c>
      <c r="X1354" s="16">
        <f>('Gearing Calculator'!$U$9*9.81)*('Gearing Calculator'!$U$16/'Gearing Calculator'!$C$7)-(('Track Data'!W1354)*('Gearing Calculator'!$U$17/'Gearing Calculator'!$C$7))</f>
        <v>698.37358541434548</v>
      </c>
      <c r="Y1354" s="16">
        <f>('Gearing Calculator'!$U$9*9.81)*(('Gearing Calculator'!$C$7-'Gearing Calculator'!$U$16)/'Gearing Calculator'!$C$7)+(('Track Data'!W1354)*('Gearing Calculator'!$U$17/'Gearing Calculator'!$C$7))</f>
        <v>1913.0484145856544</v>
      </c>
      <c r="Z1354" s="16">
        <f>((X1354*COS('Gearing Calculator'!$C$21))/'Gearing Calculator'!$C$22)/2</f>
        <v>21.591502493544937</v>
      </c>
      <c r="AA1354" s="16">
        <f>Y1354/'Gearing Calculator'!$C$24</f>
        <v>26.712572320359616</v>
      </c>
      <c r="AB1354" s="16">
        <f t="shared" si="149"/>
        <v>98.76613431606502</v>
      </c>
      <c r="AC1354" s="16">
        <v>0</v>
      </c>
      <c r="AD1354" s="16">
        <v>-46.712096975939801</v>
      </c>
      <c r="AE1354" s="16">
        <v>1351</v>
      </c>
      <c r="AF1354" s="16">
        <f>IF(AC1354=0,IF(O1354=6,INDEX(Acceleration!$V$4:$V$110,MATCH('Track Data'!S1354,Acceleration!$K$4:$K$110,0)),IF('Track Data'!O1354=5,INDEX(Acceleration!$U$4:$U$110,MATCH('Track Data'!S1354,Acceleration!$K$4:$K$110,0)),1)),U1354)</f>
        <v>1</v>
      </c>
      <c r="AG1354" s="16">
        <f>IF(AC1354=0,IF(O1354=4,INDEX(Acceleration!$T$4:$T$110,MATCH('Track Data'!S1354,Acceleration!$K$4:$K$110,0)),IF('Track Data'!O1354=3,INDEX(Acceleration!$S$4:$S$110,MATCH('Track Data'!S1354,Acceleration!$K$4:$K$110,0)),'Track Data'!AF1354)),'Track Data'!U1354)</f>
        <v>4.5235291559310618</v>
      </c>
      <c r="AH1354" s="16">
        <f>IF(AC1354=0,IF(O1354=2,INDEX(Acceleration!$R$4:$R$110,MATCH('Track Data'!S1354,Acceleration!$K$4:$K$110,0)),IF('Track Data'!O1354=1,INDEX(Acceleration!$Q$4:$Q$110,MATCH('Track Data'!S1354,Acceleration!$K$4:$K$110,0)),'Track Data'!AG1354)),'Track Data'!U1354)</f>
        <v>4.5235291559310618</v>
      </c>
    </row>
    <row r="1355" spans="2:34" x14ac:dyDescent="0.25">
      <c r="B1355" s="16">
        <v>233.376</v>
      </c>
      <c r="C1355" s="16">
        <v>8625</v>
      </c>
      <c r="D1355" s="16">
        <v>1352</v>
      </c>
      <c r="E1355" s="113">
        <v>100</v>
      </c>
      <c r="F1355" s="113">
        <v>103.2</v>
      </c>
      <c r="G1355" s="113">
        <v>97.5</v>
      </c>
      <c r="H1355" s="113">
        <f t="shared" si="152"/>
        <v>27.083333333333332</v>
      </c>
      <c r="I1355" s="113">
        <v>6.1</v>
      </c>
      <c r="J1355" s="113">
        <v>86.73</v>
      </c>
      <c r="K1355" s="113">
        <v>-33.6</v>
      </c>
      <c r="L1355" s="183"/>
      <c r="M1355" s="16">
        <v>1352</v>
      </c>
      <c r="N1355" s="16">
        <f t="shared" si="154"/>
        <v>3.5246538176591118E-2</v>
      </c>
      <c r="O1355" s="16">
        <v>3</v>
      </c>
      <c r="P1355" s="16">
        <f t="shared" si="150"/>
        <v>10.596205962059623</v>
      </c>
      <c r="Q1355" s="16">
        <f t="shared" si="155"/>
        <v>28.371580635517478</v>
      </c>
      <c r="R1355" s="113">
        <f t="shared" si="151"/>
        <v>345.36</v>
      </c>
      <c r="S1355" s="16">
        <f>IF(S1354=15800,15800,ROUND((((Q1355*60)/'Gearing Calculator'!$C$14)*'Track Data'!P1355),-2))</f>
        <v>9100</v>
      </c>
      <c r="T1355" s="16">
        <f t="shared" si="153"/>
        <v>4.5235291559310618</v>
      </c>
      <c r="U1355" s="16">
        <f>IF(AC1355=100,Braking!$AG$2354,IF(AC1355=50,Braking!$AG$1179,IF(AC1355=75,Braking!$AG$1767,0)))</f>
        <v>0</v>
      </c>
      <c r="V1355" s="16">
        <f>0.5*'Gearing Calculator'!$C$15*'Gearing Calculator'!$C$20*'Gearing Calculator'!$W$20*('Track Data'!Q1355^2)</f>
        <v>85.195546848271832</v>
      </c>
      <c r="W1355" s="16">
        <f>('Gearing Calculator'!$U$9*'Track Data'!T1355)+'Track Data'!V1355</f>
        <v>1289.3590081571203</v>
      </c>
      <c r="X1355" s="16">
        <f>('Gearing Calculator'!$U$9*9.81)*('Gearing Calculator'!$U$16/'Gearing Calculator'!$C$7)-(('Track Data'!W1355)*('Gearing Calculator'!$U$17/'Gearing Calculator'!$C$7))</f>
        <v>698.37358541434548</v>
      </c>
      <c r="Y1355" s="16">
        <f>('Gearing Calculator'!$U$9*9.81)*(('Gearing Calculator'!$C$7-'Gearing Calculator'!$U$16)/'Gearing Calculator'!$C$7)+(('Track Data'!W1355)*('Gearing Calculator'!$U$17/'Gearing Calculator'!$C$7))</f>
        <v>1913.0484145856544</v>
      </c>
      <c r="Z1355" s="16">
        <f>((X1355*COS('Gearing Calculator'!$C$21))/'Gearing Calculator'!$C$22)/2</f>
        <v>21.591502493544937</v>
      </c>
      <c r="AA1355" s="16">
        <f>Y1355/'Gearing Calculator'!$C$24</f>
        <v>26.712572320359616</v>
      </c>
      <c r="AB1355" s="16">
        <f t="shared" si="149"/>
        <v>98.76613431606502</v>
      </c>
      <c r="AC1355" s="16">
        <v>0</v>
      </c>
      <c r="AD1355" s="16">
        <v>-46.712096975939801</v>
      </c>
      <c r="AE1355" s="16">
        <v>1352</v>
      </c>
      <c r="AF1355" s="16">
        <f>IF(AC1355=0,IF(O1355=6,INDEX(Acceleration!$V$4:$V$110,MATCH('Track Data'!S1355,Acceleration!$K$4:$K$110,0)),IF('Track Data'!O1355=5,INDEX(Acceleration!$U$4:$U$110,MATCH('Track Data'!S1355,Acceleration!$K$4:$K$110,0)),1)),U1355)</f>
        <v>1</v>
      </c>
      <c r="AG1355" s="16">
        <f>IF(AC1355=0,IF(O1355=4,INDEX(Acceleration!$T$4:$T$110,MATCH('Track Data'!S1355,Acceleration!$K$4:$K$110,0)),IF('Track Data'!O1355=3,INDEX(Acceleration!$S$4:$S$110,MATCH('Track Data'!S1355,Acceleration!$K$4:$K$110,0)),'Track Data'!AF1355)),'Track Data'!U1355)</f>
        <v>4.5235291559310618</v>
      </c>
      <c r="AH1355" s="16">
        <f>IF(AC1355=0,IF(O1355=2,INDEX(Acceleration!$R$4:$R$110,MATCH('Track Data'!S1355,Acceleration!$K$4:$K$110,0)),IF('Track Data'!O1355=1,INDEX(Acceleration!$Q$4:$Q$110,MATCH('Track Data'!S1355,Acceleration!$K$4:$K$110,0)),'Track Data'!AG1355)),'Track Data'!U1355)</f>
        <v>4.5235291559310618</v>
      </c>
    </row>
    <row r="1356" spans="2:34" x14ac:dyDescent="0.25">
      <c r="B1356" s="16">
        <v>233.411</v>
      </c>
      <c r="C1356" s="16">
        <v>8626</v>
      </c>
      <c r="D1356" s="16">
        <v>1353</v>
      </c>
      <c r="E1356" s="113">
        <v>101</v>
      </c>
      <c r="F1356" s="113">
        <v>102.9</v>
      </c>
      <c r="G1356" s="113">
        <v>96.4</v>
      </c>
      <c r="H1356" s="113">
        <f t="shared" si="152"/>
        <v>26.777777777777779</v>
      </c>
      <c r="I1356" s="113">
        <v>6.7</v>
      </c>
      <c r="J1356" s="113">
        <v>86.01</v>
      </c>
      <c r="K1356" s="113">
        <v>-33.6</v>
      </c>
      <c r="L1356" s="183"/>
      <c r="M1356" s="16">
        <v>1353</v>
      </c>
      <c r="N1356" s="16">
        <f t="shared" si="154"/>
        <v>3.5246538176591118E-2</v>
      </c>
      <c r="O1356" s="16">
        <v>3</v>
      </c>
      <c r="P1356" s="16">
        <f t="shared" si="150"/>
        <v>10.596205962059623</v>
      </c>
      <c r="Q1356" s="16">
        <f t="shared" si="155"/>
        <v>28.371580635517478</v>
      </c>
      <c r="R1356" s="113">
        <f t="shared" si="151"/>
        <v>345.36</v>
      </c>
      <c r="S1356" s="16">
        <f>IF(S1355=15800,15800,ROUND((((Q1356*60)/'Gearing Calculator'!$C$14)*'Track Data'!P1356),-2))</f>
        <v>9100</v>
      </c>
      <c r="T1356" s="16">
        <f t="shared" si="153"/>
        <v>4.5235291559310618</v>
      </c>
      <c r="U1356" s="16">
        <f>IF(AC1356=100,Braking!$AG$2354,IF(AC1356=50,Braking!$AG$1179,IF(AC1356=75,Braking!$AG$1767,0)))</f>
        <v>0</v>
      </c>
      <c r="V1356" s="16">
        <f>0.5*'Gearing Calculator'!$C$15*'Gearing Calculator'!$C$20*'Gearing Calculator'!$W$20*('Track Data'!Q1356^2)</f>
        <v>85.195546848271832</v>
      </c>
      <c r="W1356" s="16">
        <f>('Gearing Calculator'!$U$9*'Track Data'!T1356)+'Track Data'!V1356</f>
        <v>1289.3590081571203</v>
      </c>
      <c r="X1356" s="16">
        <f>('Gearing Calculator'!$U$9*9.81)*('Gearing Calculator'!$U$16/'Gearing Calculator'!$C$7)-(('Track Data'!W1356)*('Gearing Calculator'!$U$17/'Gearing Calculator'!$C$7))</f>
        <v>698.37358541434548</v>
      </c>
      <c r="Y1356" s="16">
        <f>('Gearing Calculator'!$U$9*9.81)*(('Gearing Calculator'!$C$7-'Gearing Calculator'!$U$16)/'Gearing Calculator'!$C$7)+(('Track Data'!W1356)*('Gearing Calculator'!$U$17/'Gearing Calculator'!$C$7))</f>
        <v>1913.0484145856544</v>
      </c>
      <c r="Z1356" s="16">
        <f>((X1356*COS('Gearing Calculator'!$C$21))/'Gearing Calculator'!$C$22)/2</f>
        <v>21.591502493544937</v>
      </c>
      <c r="AA1356" s="16">
        <f>Y1356/'Gearing Calculator'!$C$24</f>
        <v>26.712572320359616</v>
      </c>
      <c r="AB1356" s="16">
        <f t="shared" si="149"/>
        <v>98.76613431606502</v>
      </c>
      <c r="AC1356" s="16">
        <v>0</v>
      </c>
      <c r="AD1356" s="16">
        <v>-46.712096975939801</v>
      </c>
      <c r="AE1356" s="16">
        <v>1353</v>
      </c>
      <c r="AF1356" s="16">
        <f>IF(AC1356=0,IF(O1356=6,INDEX(Acceleration!$V$4:$V$110,MATCH('Track Data'!S1356,Acceleration!$K$4:$K$110,0)),IF('Track Data'!O1356=5,INDEX(Acceleration!$U$4:$U$110,MATCH('Track Data'!S1356,Acceleration!$K$4:$K$110,0)),1)),U1356)</f>
        <v>1</v>
      </c>
      <c r="AG1356" s="16">
        <f>IF(AC1356=0,IF(O1356=4,INDEX(Acceleration!$T$4:$T$110,MATCH('Track Data'!S1356,Acceleration!$K$4:$K$110,0)),IF('Track Data'!O1356=3,INDEX(Acceleration!$S$4:$S$110,MATCH('Track Data'!S1356,Acceleration!$K$4:$K$110,0)),'Track Data'!AF1356)),'Track Data'!U1356)</f>
        <v>4.5235291559310618</v>
      </c>
      <c r="AH1356" s="16">
        <f>IF(AC1356=0,IF(O1356=2,INDEX(Acceleration!$R$4:$R$110,MATCH('Track Data'!S1356,Acceleration!$K$4:$K$110,0)),IF('Track Data'!O1356=1,INDEX(Acceleration!$Q$4:$Q$110,MATCH('Track Data'!S1356,Acceleration!$K$4:$K$110,0)),'Track Data'!AG1356)),'Track Data'!U1356)</f>
        <v>4.5235291559310618</v>
      </c>
    </row>
    <row r="1357" spans="2:34" x14ac:dyDescent="0.25">
      <c r="B1357" s="16">
        <v>233.446</v>
      </c>
      <c r="C1357" s="16">
        <v>8627</v>
      </c>
      <c r="D1357" s="16">
        <v>1354</v>
      </c>
      <c r="E1357" s="113">
        <v>101</v>
      </c>
      <c r="F1357" s="113">
        <v>102.7</v>
      </c>
      <c r="G1357" s="113">
        <v>95.7</v>
      </c>
      <c r="H1357" s="113">
        <f t="shared" si="152"/>
        <v>26.583333333333332</v>
      </c>
      <c r="I1357" s="113">
        <v>7.6</v>
      </c>
      <c r="J1357" s="113">
        <v>83.52</v>
      </c>
      <c r="K1357" s="113">
        <v>-34</v>
      </c>
      <c r="L1357" s="183"/>
      <c r="M1357" s="16">
        <v>1354</v>
      </c>
      <c r="N1357" s="16">
        <f t="shared" si="154"/>
        <v>3.5246538176591118E-2</v>
      </c>
      <c r="O1357" s="16">
        <v>3</v>
      </c>
      <c r="P1357" s="16">
        <f t="shared" si="150"/>
        <v>10.596205962059623</v>
      </c>
      <c r="Q1357" s="16">
        <f t="shared" si="155"/>
        <v>28.371580635517478</v>
      </c>
      <c r="R1357" s="113">
        <f t="shared" si="151"/>
        <v>345.36</v>
      </c>
      <c r="S1357" s="16">
        <f>IF(S1356=15800,15800,ROUND((((Q1357*60)/'Gearing Calculator'!$C$14)*'Track Data'!P1357),-2))</f>
        <v>9100</v>
      </c>
      <c r="T1357" s="16">
        <f t="shared" si="153"/>
        <v>4.5235291559310618</v>
      </c>
      <c r="U1357" s="16">
        <f>IF(AC1357=100,Braking!$AG$2354,IF(AC1357=50,Braking!$AG$1179,IF(AC1357=75,Braking!$AG$1767,0)))</f>
        <v>0</v>
      </c>
      <c r="V1357" s="16">
        <f>0.5*'Gearing Calculator'!$C$15*'Gearing Calculator'!$C$20*'Gearing Calculator'!$W$20*('Track Data'!Q1357^2)</f>
        <v>85.195546848271832</v>
      </c>
      <c r="W1357" s="16">
        <f>('Gearing Calculator'!$U$9*'Track Data'!T1357)+'Track Data'!V1357</f>
        <v>1289.3590081571203</v>
      </c>
      <c r="X1357" s="16">
        <f>('Gearing Calculator'!$U$9*9.81)*('Gearing Calculator'!$U$16/'Gearing Calculator'!$C$7)-(('Track Data'!W1357)*('Gearing Calculator'!$U$17/'Gearing Calculator'!$C$7))</f>
        <v>698.37358541434548</v>
      </c>
      <c r="Y1357" s="16">
        <f>('Gearing Calculator'!$U$9*9.81)*(('Gearing Calculator'!$C$7-'Gearing Calculator'!$U$16)/'Gearing Calculator'!$C$7)+(('Track Data'!W1357)*('Gearing Calculator'!$U$17/'Gearing Calculator'!$C$7))</f>
        <v>1913.0484145856544</v>
      </c>
      <c r="Z1357" s="16">
        <f>((X1357*COS('Gearing Calculator'!$C$21))/'Gearing Calculator'!$C$22)/2</f>
        <v>21.591502493544937</v>
      </c>
      <c r="AA1357" s="16">
        <f>Y1357/'Gearing Calculator'!$C$24</f>
        <v>26.712572320359616</v>
      </c>
      <c r="AB1357" s="16">
        <f t="shared" si="149"/>
        <v>98.76613431606502</v>
      </c>
      <c r="AC1357" s="16">
        <v>0</v>
      </c>
      <c r="AD1357" s="16">
        <v>-46.712096975939801</v>
      </c>
      <c r="AE1357" s="16">
        <v>1354</v>
      </c>
      <c r="AF1357" s="16">
        <f>IF(AC1357=0,IF(O1357=6,INDEX(Acceleration!$V$4:$V$110,MATCH('Track Data'!S1357,Acceleration!$K$4:$K$110,0)),IF('Track Data'!O1357=5,INDEX(Acceleration!$U$4:$U$110,MATCH('Track Data'!S1357,Acceleration!$K$4:$K$110,0)),1)),U1357)</f>
        <v>1</v>
      </c>
      <c r="AG1357" s="16">
        <f>IF(AC1357=0,IF(O1357=4,INDEX(Acceleration!$T$4:$T$110,MATCH('Track Data'!S1357,Acceleration!$K$4:$K$110,0)),IF('Track Data'!O1357=3,INDEX(Acceleration!$S$4:$S$110,MATCH('Track Data'!S1357,Acceleration!$K$4:$K$110,0)),'Track Data'!AF1357)),'Track Data'!U1357)</f>
        <v>4.5235291559310618</v>
      </c>
      <c r="AH1357" s="16">
        <f>IF(AC1357=0,IF(O1357=2,INDEX(Acceleration!$R$4:$R$110,MATCH('Track Data'!S1357,Acceleration!$K$4:$K$110,0)),IF('Track Data'!O1357=1,INDEX(Acceleration!$Q$4:$Q$110,MATCH('Track Data'!S1357,Acceleration!$K$4:$K$110,0)),'Track Data'!AG1357)),'Track Data'!U1357)</f>
        <v>4.5235291559310618</v>
      </c>
    </row>
    <row r="1358" spans="2:34" x14ac:dyDescent="0.25">
      <c r="B1358" s="16">
        <v>233.48099999999999</v>
      </c>
      <c r="C1358" s="16">
        <v>8628</v>
      </c>
      <c r="D1358" s="16">
        <v>1355</v>
      </c>
      <c r="E1358" s="113">
        <v>100</v>
      </c>
      <c r="F1358" s="113">
        <v>102.9</v>
      </c>
      <c r="G1358" s="113">
        <v>94.9</v>
      </c>
      <c r="H1358" s="113">
        <f t="shared" si="152"/>
        <v>26.361111111111111</v>
      </c>
      <c r="I1358" s="113">
        <v>8.1999999999999993</v>
      </c>
      <c r="J1358" s="113">
        <v>80.37</v>
      </c>
      <c r="K1358" s="113">
        <v>-38.299999999999997</v>
      </c>
      <c r="L1358" s="183"/>
      <c r="M1358" s="16">
        <v>1355</v>
      </c>
      <c r="N1358" s="16">
        <f t="shared" si="154"/>
        <v>3.5246538176591118E-2</v>
      </c>
      <c r="O1358" s="16">
        <v>3</v>
      </c>
      <c r="P1358" s="16">
        <f t="shared" si="150"/>
        <v>10.596205962059623</v>
      </c>
      <c r="Q1358" s="16">
        <f t="shared" si="155"/>
        <v>28.371580635517478</v>
      </c>
      <c r="R1358" s="113">
        <f t="shared" si="151"/>
        <v>345.36</v>
      </c>
      <c r="S1358" s="16">
        <f>IF(S1357=15800,15800,ROUND((((Q1358*60)/'Gearing Calculator'!$C$14)*'Track Data'!P1358),-2))</f>
        <v>9100</v>
      </c>
      <c r="T1358" s="16">
        <f t="shared" si="153"/>
        <v>4.5235291559310618</v>
      </c>
      <c r="U1358" s="16">
        <f>IF(AC1358=100,Braking!$AG$2354,IF(AC1358=50,Braking!$AG$1179,IF(AC1358=75,Braking!$AG$1767,0)))</f>
        <v>0</v>
      </c>
      <c r="V1358" s="16">
        <f>0.5*'Gearing Calculator'!$C$15*'Gearing Calculator'!$C$20*'Gearing Calculator'!$W$20*('Track Data'!Q1358^2)</f>
        <v>85.195546848271832</v>
      </c>
      <c r="W1358" s="16">
        <f>('Gearing Calculator'!$U$9*'Track Data'!T1358)+'Track Data'!V1358</f>
        <v>1289.3590081571203</v>
      </c>
      <c r="X1358" s="16">
        <f>('Gearing Calculator'!$U$9*9.81)*('Gearing Calculator'!$U$16/'Gearing Calculator'!$C$7)-(('Track Data'!W1358)*('Gearing Calculator'!$U$17/'Gearing Calculator'!$C$7))</f>
        <v>698.37358541434548</v>
      </c>
      <c r="Y1358" s="16">
        <f>('Gearing Calculator'!$U$9*9.81)*(('Gearing Calculator'!$C$7-'Gearing Calculator'!$U$16)/'Gearing Calculator'!$C$7)+(('Track Data'!W1358)*('Gearing Calculator'!$U$17/'Gearing Calculator'!$C$7))</f>
        <v>1913.0484145856544</v>
      </c>
      <c r="Z1358" s="16">
        <f>((X1358*COS('Gearing Calculator'!$C$21))/'Gearing Calculator'!$C$22)/2</f>
        <v>21.591502493544937</v>
      </c>
      <c r="AA1358" s="16">
        <f>Y1358/'Gearing Calculator'!$C$24</f>
        <v>26.712572320359616</v>
      </c>
      <c r="AB1358" s="16">
        <f t="shared" si="149"/>
        <v>98.76613431606502</v>
      </c>
      <c r="AC1358" s="16">
        <v>0</v>
      </c>
      <c r="AD1358" s="16">
        <v>-46.712096975939801</v>
      </c>
      <c r="AE1358" s="16">
        <v>1355</v>
      </c>
      <c r="AF1358" s="16">
        <f>IF(AC1358=0,IF(O1358=6,INDEX(Acceleration!$V$4:$V$110,MATCH('Track Data'!S1358,Acceleration!$K$4:$K$110,0)),IF('Track Data'!O1358=5,INDEX(Acceleration!$U$4:$U$110,MATCH('Track Data'!S1358,Acceleration!$K$4:$K$110,0)),1)),U1358)</f>
        <v>1</v>
      </c>
      <c r="AG1358" s="16">
        <f>IF(AC1358=0,IF(O1358=4,INDEX(Acceleration!$T$4:$T$110,MATCH('Track Data'!S1358,Acceleration!$K$4:$K$110,0)),IF('Track Data'!O1358=3,INDEX(Acceleration!$S$4:$S$110,MATCH('Track Data'!S1358,Acceleration!$K$4:$K$110,0)),'Track Data'!AF1358)),'Track Data'!U1358)</f>
        <v>4.5235291559310618</v>
      </c>
      <c r="AH1358" s="16">
        <f>IF(AC1358=0,IF(O1358=2,INDEX(Acceleration!$R$4:$R$110,MATCH('Track Data'!S1358,Acceleration!$K$4:$K$110,0)),IF('Track Data'!O1358=1,INDEX(Acceleration!$Q$4:$Q$110,MATCH('Track Data'!S1358,Acceleration!$K$4:$K$110,0)),'Track Data'!AG1358)),'Track Data'!U1358)</f>
        <v>4.5235291559310618</v>
      </c>
    </row>
    <row r="1359" spans="2:34" x14ac:dyDescent="0.25">
      <c r="B1359" s="16">
        <v>233.51599999999999</v>
      </c>
      <c r="C1359" s="16">
        <v>8629</v>
      </c>
      <c r="D1359" s="16">
        <v>1356</v>
      </c>
      <c r="E1359" s="113">
        <v>101</v>
      </c>
      <c r="F1359" s="113">
        <v>102.5</v>
      </c>
      <c r="G1359" s="113">
        <v>94.3</v>
      </c>
      <c r="H1359" s="113">
        <f t="shared" si="152"/>
        <v>26.194444444444443</v>
      </c>
      <c r="I1359" s="113">
        <v>8</v>
      </c>
      <c r="J1359" s="113">
        <v>78.33</v>
      </c>
      <c r="K1359" s="113">
        <v>-41.4</v>
      </c>
      <c r="L1359" s="183"/>
      <c r="M1359" s="16">
        <v>1356</v>
      </c>
      <c r="N1359" s="16">
        <f t="shared" si="154"/>
        <v>3.5246538176591118E-2</v>
      </c>
      <c r="O1359" s="16">
        <v>3</v>
      </c>
      <c r="P1359" s="16">
        <f t="shared" si="150"/>
        <v>10.596205962059623</v>
      </c>
      <c r="Q1359" s="16">
        <f t="shared" si="155"/>
        <v>28.371580635517478</v>
      </c>
      <c r="R1359" s="113">
        <f t="shared" si="151"/>
        <v>345.36</v>
      </c>
      <c r="S1359" s="16">
        <f>IF(S1358=15800,15800,ROUND((((Q1359*60)/'Gearing Calculator'!$C$14)*'Track Data'!P1359),-2))</f>
        <v>9100</v>
      </c>
      <c r="T1359" s="16">
        <f t="shared" si="153"/>
        <v>4.5235291559310618</v>
      </c>
      <c r="U1359" s="16">
        <f>IF(AC1359=100,Braking!$AG$2354,IF(AC1359=50,Braking!$AG$1179,IF(AC1359=75,Braking!$AG$1767,0)))</f>
        <v>0</v>
      </c>
      <c r="V1359" s="16">
        <f>0.5*'Gearing Calculator'!$C$15*'Gearing Calculator'!$C$20*'Gearing Calculator'!$W$20*('Track Data'!Q1359^2)</f>
        <v>85.195546848271832</v>
      </c>
      <c r="W1359" s="16">
        <f>('Gearing Calculator'!$U$9*'Track Data'!T1359)+'Track Data'!V1359</f>
        <v>1289.3590081571203</v>
      </c>
      <c r="X1359" s="16">
        <f>('Gearing Calculator'!$U$9*9.81)*('Gearing Calculator'!$U$16/'Gearing Calculator'!$C$7)-(('Track Data'!W1359)*('Gearing Calculator'!$U$17/'Gearing Calculator'!$C$7))</f>
        <v>698.37358541434548</v>
      </c>
      <c r="Y1359" s="16">
        <f>('Gearing Calculator'!$U$9*9.81)*(('Gearing Calculator'!$C$7-'Gearing Calculator'!$U$16)/'Gearing Calculator'!$C$7)+(('Track Data'!W1359)*('Gearing Calculator'!$U$17/'Gearing Calculator'!$C$7))</f>
        <v>1913.0484145856544</v>
      </c>
      <c r="Z1359" s="16">
        <f>((X1359*COS('Gearing Calculator'!$C$21))/'Gearing Calculator'!$C$22)/2</f>
        <v>21.591502493544937</v>
      </c>
      <c r="AA1359" s="16">
        <f>Y1359/'Gearing Calculator'!$C$24</f>
        <v>26.712572320359616</v>
      </c>
      <c r="AB1359" s="16">
        <f t="shared" si="149"/>
        <v>98.76613431606502</v>
      </c>
      <c r="AC1359" s="16">
        <v>0</v>
      </c>
      <c r="AD1359" s="16">
        <v>-46.712096975939801</v>
      </c>
      <c r="AE1359" s="16">
        <v>1356</v>
      </c>
      <c r="AF1359" s="16">
        <f>IF(AC1359=0,IF(O1359=6,INDEX(Acceleration!$V$4:$V$110,MATCH('Track Data'!S1359,Acceleration!$K$4:$K$110,0)),IF('Track Data'!O1359=5,INDEX(Acceleration!$U$4:$U$110,MATCH('Track Data'!S1359,Acceleration!$K$4:$K$110,0)),1)),U1359)</f>
        <v>1</v>
      </c>
      <c r="AG1359" s="16">
        <f>IF(AC1359=0,IF(O1359=4,INDEX(Acceleration!$T$4:$T$110,MATCH('Track Data'!S1359,Acceleration!$K$4:$K$110,0)),IF('Track Data'!O1359=3,INDEX(Acceleration!$S$4:$S$110,MATCH('Track Data'!S1359,Acceleration!$K$4:$K$110,0)),'Track Data'!AF1359)),'Track Data'!U1359)</f>
        <v>4.5235291559310618</v>
      </c>
      <c r="AH1359" s="16">
        <f>IF(AC1359=0,IF(O1359=2,INDEX(Acceleration!$R$4:$R$110,MATCH('Track Data'!S1359,Acceleration!$K$4:$K$110,0)),IF('Track Data'!O1359=1,INDEX(Acceleration!$Q$4:$Q$110,MATCH('Track Data'!S1359,Acceleration!$K$4:$K$110,0)),'Track Data'!AG1359)),'Track Data'!U1359)</f>
        <v>4.5235291559310618</v>
      </c>
    </row>
    <row r="1360" spans="2:34" x14ac:dyDescent="0.25">
      <c r="B1360" s="16">
        <v>233.55099999999999</v>
      </c>
      <c r="C1360" s="16">
        <v>8630</v>
      </c>
      <c r="D1360" s="16">
        <v>1357</v>
      </c>
      <c r="E1360" s="113">
        <v>100</v>
      </c>
      <c r="F1360" s="113">
        <v>102.2</v>
      </c>
      <c r="G1360" s="113">
        <v>93.5</v>
      </c>
      <c r="H1360" s="113">
        <f t="shared" si="152"/>
        <v>25.972222222222221</v>
      </c>
      <c r="I1360" s="113">
        <v>8.3000000000000007</v>
      </c>
      <c r="J1360" s="113">
        <v>70.91</v>
      </c>
      <c r="K1360" s="113">
        <v>-42</v>
      </c>
      <c r="L1360" s="183"/>
      <c r="M1360" s="16">
        <v>1357</v>
      </c>
      <c r="N1360" s="16">
        <f t="shared" si="154"/>
        <v>3.5246538176591118E-2</v>
      </c>
      <c r="O1360" s="16">
        <v>3</v>
      </c>
      <c r="P1360" s="16">
        <f t="shared" si="150"/>
        <v>10.596205962059623</v>
      </c>
      <c r="Q1360" s="16">
        <f t="shared" si="155"/>
        <v>28.371580635517478</v>
      </c>
      <c r="R1360" s="113">
        <f t="shared" si="151"/>
        <v>345.36</v>
      </c>
      <c r="S1360" s="16">
        <f>IF(S1359=15800,15800,ROUND((((Q1360*60)/'Gearing Calculator'!$C$14)*'Track Data'!P1360),-2))</f>
        <v>9100</v>
      </c>
      <c r="T1360" s="16">
        <f t="shared" si="153"/>
        <v>4.5235291559310618</v>
      </c>
      <c r="U1360" s="16">
        <f>IF(AC1360=100,Braking!$AG$2354,IF(AC1360=50,Braking!$AG$1179,IF(AC1360=75,Braking!$AG$1767,0)))</f>
        <v>0</v>
      </c>
      <c r="V1360" s="16">
        <f>0.5*'Gearing Calculator'!$C$15*'Gearing Calculator'!$C$20*'Gearing Calculator'!$W$20*('Track Data'!Q1360^2)</f>
        <v>85.195546848271832</v>
      </c>
      <c r="W1360" s="16">
        <f>('Gearing Calculator'!$U$9*'Track Data'!T1360)+'Track Data'!V1360</f>
        <v>1289.3590081571203</v>
      </c>
      <c r="X1360" s="16">
        <f>('Gearing Calculator'!$U$9*9.81)*('Gearing Calculator'!$U$16/'Gearing Calculator'!$C$7)-(('Track Data'!W1360)*('Gearing Calculator'!$U$17/'Gearing Calculator'!$C$7))</f>
        <v>698.37358541434548</v>
      </c>
      <c r="Y1360" s="16">
        <f>('Gearing Calculator'!$U$9*9.81)*(('Gearing Calculator'!$C$7-'Gearing Calculator'!$U$16)/'Gearing Calculator'!$C$7)+(('Track Data'!W1360)*('Gearing Calculator'!$U$17/'Gearing Calculator'!$C$7))</f>
        <v>1913.0484145856544</v>
      </c>
      <c r="Z1360" s="16">
        <f>((X1360*COS('Gearing Calculator'!$C$21))/'Gearing Calculator'!$C$22)/2</f>
        <v>21.591502493544937</v>
      </c>
      <c r="AA1360" s="16">
        <f>Y1360/'Gearing Calculator'!$C$24</f>
        <v>26.712572320359616</v>
      </c>
      <c r="AB1360" s="16">
        <f t="shared" si="149"/>
        <v>98.76613431606502</v>
      </c>
      <c r="AC1360" s="16">
        <v>0</v>
      </c>
      <c r="AD1360" s="16">
        <v>-46.712096975939801</v>
      </c>
      <c r="AE1360" s="16">
        <v>1357</v>
      </c>
      <c r="AF1360" s="16">
        <f>IF(AC1360=0,IF(O1360=6,INDEX(Acceleration!$V$4:$V$110,MATCH('Track Data'!S1360,Acceleration!$K$4:$K$110,0)),IF('Track Data'!O1360=5,INDEX(Acceleration!$U$4:$U$110,MATCH('Track Data'!S1360,Acceleration!$K$4:$K$110,0)),1)),U1360)</f>
        <v>1</v>
      </c>
      <c r="AG1360" s="16">
        <f>IF(AC1360=0,IF(O1360=4,INDEX(Acceleration!$T$4:$T$110,MATCH('Track Data'!S1360,Acceleration!$K$4:$K$110,0)),IF('Track Data'!O1360=3,INDEX(Acceleration!$S$4:$S$110,MATCH('Track Data'!S1360,Acceleration!$K$4:$K$110,0)),'Track Data'!AF1360)),'Track Data'!U1360)</f>
        <v>4.5235291559310618</v>
      </c>
      <c r="AH1360" s="16">
        <f>IF(AC1360=0,IF(O1360=2,INDEX(Acceleration!$R$4:$R$110,MATCH('Track Data'!S1360,Acceleration!$K$4:$K$110,0)),IF('Track Data'!O1360=1,INDEX(Acceleration!$Q$4:$Q$110,MATCH('Track Data'!S1360,Acceleration!$K$4:$K$110,0)),'Track Data'!AG1360)),'Track Data'!U1360)</f>
        <v>4.5235291559310618</v>
      </c>
    </row>
    <row r="1361" spans="2:34" x14ac:dyDescent="0.25">
      <c r="B1361" s="16">
        <v>233.58600000000001</v>
      </c>
      <c r="C1361" s="16">
        <v>8631</v>
      </c>
      <c r="D1361" s="16">
        <v>1358</v>
      </c>
      <c r="E1361" s="113">
        <v>100</v>
      </c>
      <c r="F1361" s="113">
        <v>101.7</v>
      </c>
      <c r="G1361" s="113">
        <v>93</v>
      </c>
      <c r="H1361" s="113">
        <f t="shared" si="152"/>
        <v>25.833333333333332</v>
      </c>
      <c r="I1361" s="113">
        <v>8.1999999999999993</v>
      </c>
      <c r="J1361" s="113">
        <v>69.61</v>
      </c>
      <c r="K1361" s="113">
        <v>-41.9</v>
      </c>
      <c r="L1361" s="183"/>
      <c r="M1361" s="16">
        <v>1358</v>
      </c>
      <c r="N1361" s="16">
        <f t="shared" si="154"/>
        <v>3.5246538176591118E-2</v>
      </c>
      <c r="O1361" s="16">
        <v>3</v>
      </c>
      <c r="P1361" s="16">
        <f t="shared" si="150"/>
        <v>10.596205962059623</v>
      </c>
      <c r="Q1361" s="16">
        <f t="shared" si="155"/>
        <v>28.371580635517478</v>
      </c>
      <c r="R1361" s="113">
        <f t="shared" si="151"/>
        <v>345.36</v>
      </c>
      <c r="S1361" s="16">
        <f>IF(S1360=15800,15800,ROUND((((Q1361*60)/'Gearing Calculator'!$C$14)*'Track Data'!P1361),-2))</f>
        <v>9100</v>
      </c>
      <c r="T1361" s="16">
        <f t="shared" si="153"/>
        <v>4.5235291559310618</v>
      </c>
      <c r="U1361" s="16">
        <f>IF(AC1361=100,Braking!$AG$2354,IF(AC1361=50,Braking!$AG$1179,IF(AC1361=75,Braking!$AG$1767,0)))</f>
        <v>0</v>
      </c>
      <c r="V1361" s="16">
        <f>0.5*'Gearing Calculator'!$C$15*'Gearing Calculator'!$C$20*'Gearing Calculator'!$W$20*('Track Data'!Q1361^2)</f>
        <v>85.195546848271832</v>
      </c>
      <c r="W1361" s="16">
        <f>('Gearing Calculator'!$U$9*'Track Data'!T1361)+'Track Data'!V1361</f>
        <v>1289.3590081571203</v>
      </c>
      <c r="X1361" s="16">
        <f>('Gearing Calculator'!$U$9*9.81)*('Gearing Calculator'!$U$16/'Gearing Calculator'!$C$7)-(('Track Data'!W1361)*('Gearing Calculator'!$U$17/'Gearing Calculator'!$C$7))</f>
        <v>698.37358541434548</v>
      </c>
      <c r="Y1361" s="16">
        <f>('Gearing Calculator'!$U$9*9.81)*(('Gearing Calculator'!$C$7-'Gearing Calculator'!$U$16)/'Gearing Calculator'!$C$7)+(('Track Data'!W1361)*('Gearing Calculator'!$U$17/'Gearing Calculator'!$C$7))</f>
        <v>1913.0484145856544</v>
      </c>
      <c r="Z1361" s="16">
        <f>((X1361*COS('Gearing Calculator'!$C$21))/'Gearing Calculator'!$C$22)/2</f>
        <v>21.591502493544937</v>
      </c>
      <c r="AA1361" s="16">
        <f>Y1361/'Gearing Calculator'!$C$24</f>
        <v>26.712572320359616</v>
      </c>
      <c r="AB1361" s="16">
        <f t="shared" si="149"/>
        <v>98.76613431606502</v>
      </c>
      <c r="AC1361" s="16">
        <v>0</v>
      </c>
      <c r="AD1361" s="16">
        <v>-46.712096975939801</v>
      </c>
      <c r="AE1361" s="16">
        <v>1358</v>
      </c>
      <c r="AF1361" s="16">
        <f>IF(AC1361=0,IF(O1361=6,INDEX(Acceleration!$V$4:$V$110,MATCH('Track Data'!S1361,Acceleration!$K$4:$K$110,0)),IF('Track Data'!O1361=5,INDEX(Acceleration!$U$4:$U$110,MATCH('Track Data'!S1361,Acceleration!$K$4:$K$110,0)),1)),U1361)</f>
        <v>1</v>
      </c>
      <c r="AG1361" s="16">
        <f>IF(AC1361=0,IF(O1361=4,INDEX(Acceleration!$T$4:$T$110,MATCH('Track Data'!S1361,Acceleration!$K$4:$K$110,0)),IF('Track Data'!O1361=3,INDEX(Acceleration!$S$4:$S$110,MATCH('Track Data'!S1361,Acceleration!$K$4:$K$110,0)),'Track Data'!AF1361)),'Track Data'!U1361)</f>
        <v>4.5235291559310618</v>
      </c>
      <c r="AH1361" s="16">
        <f>IF(AC1361=0,IF(O1361=2,INDEX(Acceleration!$R$4:$R$110,MATCH('Track Data'!S1361,Acceleration!$K$4:$K$110,0)),IF('Track Data'!O1361=1,INDEX(Acceleration!$Q$4:$Q$110,MATCH('Track Data'!S1361,Acceleration!$K$4:$K$110,0)),'Track Data'!AG1361)),'Track Data'!U1361)</f>
        <v>4.5235291559310618</v>
      </c>
    </row>
    <row r="1362" spans="2:34" x14ac:dyDescent="0.25">
      <c r="B1362" s="16">
        <v>233.62100000000001</v>
      </c>
      <c r="C1362" s="16">
        <v>8632</v>
      </c>
      <c r="D1362" s="16">
        <v>1359</v>
      </c>
      <c r="E1362" s="113">
        <v>100</v>
      </c>
      <c r="F1362" s="113">
        <v>101.4</v>
      </c>
      <c r="G1362" s="113">
        <v>92.3</v>
      </c>
      <c r="H1362" s="113">
        <f t="shared" si="152"/>
        <v>25.638888888888886</v>
      </c>
      <c r="I1362" s="113">
        <v>8.1999999999999993</v>
      </c>
      <c r="J1362" s="113">
        <v>65.930000000000007</v>
      </c>
      <c r="K1362" s="113">
        <v>-41.7</v>
      </c>
      <c r="L1362" s="183"/>
      <c r="M1362" s="16">
        <v>1359</v>
      </c>
      <c r="N1362" s="16">
        <f t="shared" si="154"/>
        <v>3.5246538176591118E-2</v>
      </c>
      <c r="O1362" s="16">
        <v>3</v>
      </c>
      <c r="P1362" s="16">
        <f t="shared" si="150"/>
        <v>10.596205962059623</v>
      </c>
      <c r="Q1362" s="16">
        <f t="shared" si="155"/>
        <v>28.371580635517478</v>
      </c>
      <c r="R1362" s="113">
        <f t="shared" si="151"/>
        <v>345.36</v>
      </c>
      <c r="S1362" s="16">
        <f>IF(S1361=15800,15800,ROUND((((Q1362*60)/'Gearing Calculator'!$C$14)*'Track Data'!P1362),-2))</f>
        <v>9100</v>
      </c>
      <c r="T1362" s="16">
        <f t="shared" si="153"/>
        <v>4.5235291559310618</v>
      </c>
      <c r="U1362" s="16">
        <f>IF(AC1362=100,Braking!$AG$2354,IF(AC1362=50,Braking!$AG$1179,IF(AC1362=75,Braking!$AG$1767,0)))</f>
        <v>0</v>
      </c>
      <c r="V1362" s="16">
        <f>0.5*'Gearing Calculator'!$C$15*'Gearing Calculator'!$C$20*'Gearing Calculator'!$W$20*('Track Data'!Q1362^2)</f>
        <v>85.195546848271832</v>
      </c>
      <c r="W1362" s="16">
        <f>('Gearing Calculator'!$U$9*'Track Data'!T1362)+'Track Data'!V1362</f>
        <v>1289.3590081571203</v>
      </c>
      <c r="X1362" s="16">
        <f>('Gearing Calculator'!$U$9*9.81)*('Gearing Calculator'!$U$16/'Gearing Calculator'!$C$7)-(('Track Data'!W1362)*('Gearing Calculator'!$U$17/'Gearing Calculator'!$C$7))</f>
        <v>698.37358541434548</v>
      </c>
      <c r="Y1362" s="16">
        <f>('Gearing Calculator'!$U$9*9.81)*(('Gearing Calculator'!$C$7-'Gearing Calculator'!$U$16)/'Gearing Calculator'!$C$7)+(('Track Data'!W1362)*('Gearing Calculator'!$U$17/'Gearing Calculator'!$C$7))</f>
        <v>1913.0484145856544</v>
      </c>
      <c r="Z1362" s="16">
        <f>((X1362*COS('Gearing Calculator'!$C$21))/'Gearing Calculator'!$C$22)/2</f>
        <v>21.591502493544937</v>
      </c>
      <c r="AA1362" s="16">
        <f>Y1362/'Gearing Calculator'!$C$24</f>
        <v>26.712572320359616</v>
      </c>
      <c r="AB1362" s="16">
        <f t="shared" si="149"/>
        <v>98.76613431606502</v>
      </c>
      <c r="AC1362" s="16">
        <v>0</v>
      </c>
      <c r="AD1362" s="16">
        <v>-46.712096975939801</v>
      </c>
      <c r="AE1362" s="16">
        <v>1359</v>
      </c>
      <c r="AF1362" s="16">
        <f>IF(AC1362=0,IF(O1362=6,INDEX(Acceleration!$V$4:$V$110,MATCH('Track Data'!S1362,Acceleration!$K$4:$K$110,0)),IF('Track Data'!O1362=5,INDEX(Acceleration!$U$4:$U$110,MATCH('Track Data'!S1362,Acceleration!$K$4:$K$110,0)),1)),U1362)</f>
        <v>1</v>
      </c>
      <c r="AG1362" s="16">
        <f>IF(AC1362=0,IF(O1362=4,INDEX(Acceleration!$T$4:$T$110,MATCH('Track Data'!S1362,Acceleration!$K$4:$K$110,0)),IF('Track Data'!O1362=3,INDEX(Acceleration!$S$4:$S$110,MATCH('Track Data'!S1362,Acceleration!$K$4:$K$110,0)),'Track Data'!AF1362)),'Track Data'!U1362)</f>
        <v>4.5235291559310618</v>
      </c>
      <c r="AH1362" s="16">
        <f>IF(AC1362=0,IF(O1362=2,INDEX(Acceleration!$R$4:$R$110,MATCH('Track Data'!S1362,Acceleration!$K$4:$K$110,0)),IF('Track Data'!O1362=1,INDEX(Acceleration!$Q$4:$Q$110,MATCH('Track Data'!S1362,Acceleration!$K$4:$K$110,0)),'Track Data'!AG1362)),'Track Data'!U1362)</f>
        <v>4.5235291559310618</v>
      </c>
    </row>
    <row r="1363" spans="2:34" x14ac:dyDescent="0.25">
      <c r="B1363" s="16">
        <v>233.65600000000001</v>
      </c>
      <c r="C1363" s="16">
        <v>8633</v>
      </c>
      <c r="D1363" s="16">
        <v>1360</v>
      </c>
      <c r="E1363" s="113">
        <v>100</v>
      </c>
      <c r="F1363" s="113">
        <v>101.1</v>
      </c>
      <c r="G1363" s="113">
        <v>91.8</v>
      </c>
      <c r="H1363" s="113">
        <f t="shared" si="152"/>
        <v>25.5</v>
      </c>
      <c r="I1363" s="113">
        <v>8.1999999999999993</v>
      </c>
      <c r="J1363" s="113">
        <v>66.010000000000005</v>
      </c>
      <c r="K1363" s="113">
        <v>-41.5</v>
      </c>
      <c r="L1363" s="183"/>
      <c r="M1363" s="16">
        <v>1360</v>
      </c>
      <c r="N1363" s="16">
        <f t="shared" si="154"/>
        <v>3.5246538176591118E-2</v>
      </c>
      <c r="O1363" s="16">
        <v>3</v>
      </c>
      <c r="P1363" s="16">
        <f t="shared" si="150"/>
        <v>10.596205962059623</v>
      </c>
      <c r="Q1363" s="16">
        <f t="shared" si="155"/>
        <v>28.371580635517478</v>
      </c>
      <c r="R1363" s="113">
        <f t="shared" si="151"/>
        <v>345.36</v>
      </c>
      <c r="S1363" s="16">
        <f>IF(S1362=15800,15800,ROUND((((Q1363*60)/'Gearing Calculator'!$C$14)*'Track Data'!P1363),-2))</f>
        <v>9100</v>
      </c>
      <c r="T1363" s="16">
        <f t="shared" si="153"/>
        <v>4.5235291559310618</v>
      </c>
      <c r="U1363" s="16">
        <f>IF(AC1363=100,Braking!$AG$2354,IF(AC1363=50,Braking!$AG$1179,IF(AC1363=75,Braking!$AG$1767,0)))</f>
        <v>0</v>
      </c>
      <c r="V1363" s="16">
        <f>0.5*'Gearing Calculator'!$C$15*'Gearing Calculator'!$C$20*'Gearing Calculator'!$W$20*('Track Data'!Q1363^2)</f>
        <v>85.195546848271832</v>
      </c>
      <c r="W1363" s="16">
        <f>('Gearing Calculator'!$U$9*'Track Data'!T1363)+'Track Data'!V1363</f>
        <v>1289.3590081571203</v>
      </c>
      <c r="X1363" s="16">
        <f>('Gearing Calculator'!$U$9*9.81)*('Gearing Calculator'!$U$16/'Gearing Calculator'!$C$7)-(('Track Data'!W1363)*('Gearing Calculator'!$U$17/'Gearing Calculator'!$C$7))</f>
        <v>698.37358541434548</v>
      </c>
      <c r="Y1363" s="16">
        <f>('Gearing Calculator'!$U$9*9.81)*(('Gearing Calculator'!$C$7-'Gearing Calculator'!$U$16)/'Gearing Calculator'!$C$7)+(('Track Data'!W1363)*('Gearing Calculator'!$U$17/'Gearing Calculator'!$C$7))</f>
        <v>1913.0484145856544</v>
      </c>
      <c r="Z1363" s="16">
        <f>((X1363*COS('Gearing Calculator'!$C$21))/'Gearing Calculator'!$C$22)/2</f>
        <v>21.591502493544937</v>
      </c>
      <c r="AA1363" s="16">
        <f>Y1363/'Gearing Calculator'!$C$24</f>
        <v>26.712572320359616</v>
      </c>
      <c r="AB1363" s="16">
        <f t="shared" si="149"/>
        <v>98.76613431606502</v>
      </c>
      <c r="AC1363" s="16">
        <v>0</v>
      </c>
      <c r="AD1363" s="16">
        <v>-46.712096975939801</v>
      </c>
      <c r="AE1363" s="16">
        <v>1360</v>
      </c>
      <c r="AF1363" s="16">
        <f>IF(AC1363=0,IF(O1363=6,INDEX(Acceleration!$V$4:$V$110,MATCH('Track Data'!S1363,Acceleration!$K$4:$K$110,0)),IF('Track Data'!O1363=5,INDEX(Acceleration!$U$4:$U$110,MATCH('Track Data'!S1363,Acceleration!$K$4:$K$110,0)),1)),U1363)</f>
        <v>1</v>
      </c>
      <c r="AG1363" s="16">
        <f>IF(AC1363=0,IF(O1363=4,INDEX(Acceleration!$T$4:$T$110,MATCH('Track Data'!S1363,Acceleration!$K$4:$K$110,0)),IF('Track Data'!O1363=3,INDEX(Acceleration!$S$4:$S$110,MATCH('Track Data'!S1363,Acceleration!$K$4:$K$110,0)),'Track Data'!AF1363)),'Track Data'!U1363)</f>
        <v>4.5235291559310618</v>
      </c>
      <c r="AH1363" s="16">
        <f>IF(AC1363=0,IF(O1363=2,INDEX(Acceleration!$R$4:$R$110,MATCH('Track Data'!S1363,Acceleration!$K$4:$K$110,0)),IF('Track Data'!O1363=1,INDEX(Acceleration!$Q$4:$Q$110,MATCH('Track Data'!S1363,Acceleration!$K$4:$K$110,0)),'Track Data'!AG1363)),'Track Data'!U1363)</f>
        <v>4.5235291559310618</v>
      </c>
    </row>
    <row r="1364" spans="2:34" x14ac:dyDescent="0.25">
      <c r="B1364" s="16">
        <v>233.69200000000001</v>
      </c>
      <c r="C1364" s="16">
        <v>8634</v>
      </c>
      <c r="D1364" s="16">
        <v>1361</v>
      </c>
      <c r="E1364" s="113">
        <v>100</v>
      </c>
      <c r="F1364" s="113">
        <v>100.7</v>
      </c>
      <c r="G1364" s="113">
        <v>91.2</v>
      </c>
      <c r="H1364" s="113">
        <f t="shared" si="152"/>
        <v>25.333333333333332</v>
      </c>
      <c r="I1364" s="113">
        <v>8.6999999999999993</v>
      </c>
      <c r="J1364" s="113">
        <v>65.19</v>
      </c>
      <c r="K1364" s="113">
        <v>-40.799999999999997</v>
      </c>
      <c r="L1364" s="183"/>
      <c r="M1364" s="16">
        <v>1361</v>
      </c>
      <c r="N1364" s="16">
        <f t="shared" si="154"/>
        <v>3.5246538176591118E-2</v>
      </c>
      <c r="O1364" s="16">
        <v>3</v>
      </c>
      <c r="P1364" s="16">
        <f t="shared" si="150"/>
        <v>10.596205962059623</v>
      </c>
      <c r="Q1364" s="16">
        <f t="shared" si="155"/>
        <v>28.371580635517478</v>
      </c>
      <c r="R1364" s="113">
        <f t="shared" si="151"/>
        <v>345.36</v>
      </c>
      <c r="S1364" s="16">
        <f>IF(S1363=15800,15800,ROUND((((Q1364*60)/'Gearing Calculator'!$C$14)*'Track Data'!P1364),-2))</f>
        <v>9100</v>
      </c>
      <c r="T1364" s="16">
        <f t="shared" si="153"/>
        <v>4.5235291559310618</v>
      </c>
      <c r="U1364" s="16">
        <f>IF(AC1364=100,Braking!$AG$2354,IF(AC1364=50,Braking!$AG$1179,IF(AC1364=75,Braking!$AG$1767,0)))</f>
        <v>0</v>
      </c>
      <c r="V1364" s="16">
        <f>0.5*'Gearing Calculator'!$C$15*'Gearing Calculator'!$C$20*'Gearing Calculator'!$W$20*('Track Data'!Q1364^2)</f>
        <v>85.195546848271832</v>
      </c>
      <c r="W1364" s="16">
        <f>('Gearing Calculator'!$U$9*'Track Data'!T1364)+'Track Data'!V1364</f>
        <v>1289.3590081571203</v>
      </c>
      <c r="X1364" s="16">
        <f>('Gearing Calculator'!$U$9*9.81)*('Gearing Calculator'!$U$16/'Gearing Calculator'!$C$7)-(('Track Data'!W1364)*('Gearing Calculator'!$U$17/'Gearing Calculator'!$C$7))</f>
        <v>698.37358541434548</v>
      </c>
      <c r="Y1364" s="16">
        <f>('Gearing Calculator'!$U$9*9.81)*(('Gearing Calculator'!$C$7-'Gearing Calculator'!$U$16)/'Gearing Calculator'!$C$7)+(('Track Data'!W1364)*('Gearing Calculator'!$U$17/'Gearing Calculator'!$C$7))</f>
        <v>1913.0484145856544</v>
      </c>
      <c r="Z1364" s="16">
        <f>((X1364*COS('Gearing Calculator'!$C$21))/'Gearing Calculator'!$C$22)/2</f>
        <v>21.591502493544937</v>
      </c>
      <c r="AA1364" s="16">
        <f>Y1364/'Gearing Calculator'!$C$24</f>
        <v>26.712572320359616</v>
      </c>
      <c r="AB1364" s="16">
        <f t="shared" si="149"/>
        <v>98.76613431606502</v>
      </c>
      <c r="AC1364" s="16">
        <v>0</v>
      </c>
      <c r="AD1364" s="16">
        <v>-46.712096975939801</v>
      </c>
      <c r="AE1364" s="16">
        <v>1361</v>
      </c>
      <c r="AF1364" s="16">
        <f>IF(AC1364=0,IF(O1364=6,INDEX(Acceleration!$V$4:$V$110,MATCH('Track Data'!S1364,Acceleration!$K$4:$K$110,0)),IF('Track Data'!O1364=5,INDEX(Acceleration!$U$4:$U$110,MATCH('Track Data'!S1364,Acceleration!$K$4:$K$110,0)),1)),U1364)</f>
        <v>1</v>
      </c>
      <c r="AG1364" s="16">
        <f>IF(AC1364=0,IF(O1364=4,INDEX(Acceleration!$T$4:$T$110,MATCH('Track Data'!S1364,Acceleration!$K$4:$K$110,0)),IF('Track Data'!O1364=3,INDEX(Acceleration!$S$4:$S$110,MATCH('Track Data'!S1364,Acceleration!$K$4:$K$110,0)),'Track Data'!AF1364)),'Track Data'!U1364)</f>
        <v>4.5235291559310618</v>
      </c>
      <c r="AH1364" s="16">
        <f>IF(AC1364=0,IF(O1364=2,INDEX(Acceleration!$R$4:$R$110,MATCH('Track Data'!S1364,Acceleration!$K$4:$K$110,0)),IF('Track Data'!O1364=1,INDEX(Acceleration!$Q$4:$Q$110,MATCH('Track Data'!S1364,Acceleration!$K$4:$K$110,0)),'Track Data'!AG1364)),'Track Data'!U1364)</f>
        <v>4.5235291559310618</v>
      </c>
    </row>
    <row r="1365" spans="2:34" x14ac:dyDescent="0.25">
      <c r="B1365" s="16">
        <v>233.727</v>
      </c>
      <c r="C1365" s="16">
        <v>8635</v>
      </c>
      <c r="D1365" s="16">
        <v>1362</v>
      </c>
      <c r="E1365" s="113">
        <v>100</v>
      </c>
      <c r="F1365" s="113">
        <v>100.4</v>
      </c>
      <c r="G1365" s="113">
        <v>90.8</v>
      </c>
      <c r="H1365" s="113">
        <f t="shared" si="152"/>
        <v>25.222222222222221</v>
      </c>
      <c r="I1365" s="113">
        <v>9.1</v>
      </c>
      <c r="J1365" s="113">
        <v>67.37</v>
      </c>
      <c r="K1365" s="113">
        <v>-39.700000000000003</v>
      </c>
      <c r="L1365" s="183"/>
      <c r="M1365" s="16">
        <v>1362</v>
      </c>
      <c r="N1365" s="16">
        <f t="shared" si="154"/>
        <v>3.5246538176591118E-2</v>
      </c>
      <c r="O1365" s="16">
        <v>3</v>
      </c>
      <c r="P1365" s="16">
        <f t="shared" si="150"/>
        <v>10.596205962059623</v>
      </c>
      <c r="Q1365" s="16">
        <f t="shared" si="155"/>
        <v>28.371580635517478</v>
      </c>
      <c r="R1365" s="113">
        <f t="shared" si="151"/>
        <v>345.36</v>
      </c>
      <c r="S1365" s="16">
        <f>IF(S1364=15800,15800,ROUND((((Q1365*60)/'Gearing Calculator'!$C$14)*'Track Data'!P1365),-2))</f>
        <v>9100</v>
      </c>
      <c r="T1365" s="16">
        <f t="shared" si="153"/>
        <v>4.5235291559310618</v>
      </c>
      <c r="U1365" s="16">
        <f>IF(AC1365=100,Braking!$AG$2354,IF(AC1365=50,Braking!$AG$1179,IF(AC1365=75,Braking!$AG$1767,0)))</f>
        <v>0</v>
      </c>
      <c r="V1365" s="16">
        <f>0.5*'Gearing Calculator'!$C$15*'Gearing Calculator'!$C$20*'Gearing Calculator'!$W$20*('Track Data'!Q1365^2)</f>
        <v>85.195546848271832</v>
      </c>
      <c r="W1365" s="16">
        <f>('Gearing Calculator'!$U$9*'Track Data'!T1365)+'Track Data'!V1365</f>
        <v>1289.3590081571203</v>
      </c>
      <c r="X1365" s="16">
        <f>('Gearing Calculator'!$U$9*9.81)*('Gearing Calculator'!$U$16/'Gearing Calculator'!$C$7)-(('Track Data'!W1365)*('Gearing Calculator'!$U$17/'Gearing Calculator'!$C$7))</f>
        <v>698.37358541434548</v>
      </c>
      <c r="Y1365" s="16">
        <f>('Gearing Calculator'!$U$9*9.81)*(('Gearing Calculator'!$C$7-'Gearing Calculator'!$U$16)/'Gearing Calculator'!$C$7)+(('Track Data'!W1365)*('Gearing Calculator'!$U$17/'Gearing Calculator'!$C$7))</f>
        <v>1913.0484145856544</v>
      </c>
      <c r="Z1365" s="16">
        <f>((X1365*COS('Gearing Calculator'!$C$21))/'Gearing Calculator'!$C$22)/2</f>
        <v>21.591502493544937</v>
      </c>
      <c r="AA1365" s="16">
        <f>Y1365/'Gearing Calculator'!$C$24</f>
        <v>26.712572320359616</v>
      </c>
      <c r="AB1365" s="16">
        <f t="shared" si="149"/>
        <v>98.76613431606502</v>
      </c>
      <c r="AC1365" s="16">
        <v>0</v>
      </c>
      <c r="AD1365" s="16">
        <v>-46.712096975939801</v>
      </c>
      <c r="AE1365" s="16">
        <v>1362</v>
      </c>
      <c r="AF1365" s="16">
        <f>IF(AC1365=0,IF(O1365=6,INDEX(Acceleration!$V$4:$V$110,MATCH('Track Data'!S1365,Acceleration!$K$4:$K$110,0)),IF('Track Data'!O1365=5,INDEX(Acceleration!$U$4:$U$110,MATCH('Track Data'!S1365,Acceleration!$K$4:$K$110,0)),1)),U1365)</f>
        <v>1</v>
      </c>
      <c r="AG1365" s="16">
        <f>IF(AC1365=0,IF(O1365=4,INDEX(Acceleration!$T$4:$T$110,MATCH('Track Data'!S1365,Acceleration!$K$4:$K$110,0)),IF('Track Data'!O1365=3,INDEX(Acceleration!$S$4:$S$110,MATCH('Track Data'!S1365,Acceleration!$K$4:$K$110,0)),'Track Data'!AF1365)),'Track Data'!U1365)</f>
        <v>4.5235291559310618</v>
      </c>
      <c r="AH1365" s="16">
        <f>IF(AC1365=0,IF(O1365=2,INDEX(Acceleration!$R$4:$R$110,MATCH('Track Data'!S1365,Acceleration!$K$4:$K$110,0)),IF('Track Data'!O1365=1,INDEX(Acceleration!$Q$4:$Q$110,MATCH('Track Data'!S1365,Acceleration!$K$4:$K$110,0)),'Track Data'!AG1365)),'Track Data'!U1365)</f>
        <v>4.5235291559310618</v>
      </c>
    </row>
    <row r="1366" spans="2:34" x14ac:dyDescent="0.25">
      <c r="B1366" s="16">
        <v>233.76300000000001</v>
      </c>
      <c r="C1366" s="16">
        <v>8636</v>
      </c>
      <c r="D1366" s="16">
        <v>1363</v>
      </c>
      <c r="E1366" s="113">
        <v>99</v>
      </c>
      <c r="F1366" s="113">
        <v>99.9</v>
      </c>
      <c r="G1366" s="113">
        <v>90.3</v>
      </c>
      <c r="H1366" s="113">
        <f t="shared" si="152"/>
        <v>25.083333333333332</v>
      </c>
      <c r="I1366" s="113">
        <v>11.5</v>
      </c>
      <c r="J1366" s="113">
        <v>69.599999999999994</v>
      </c>
      <c r="K1366" s="113">
        <v>-38.5</v>
      </c>
      <c r="L1366" s="183"/>
      <c r="M1366" s="16">
        <v>1363</v>
      </c>
      <c r="N1366" s="16">
        <f t="shared" si="154"/>
        <v>3.5246538176591118E-2</v>
      </c>
      <c r="O1366" s="16">
        <v>3</v>
      </c>
      <c r="P1366" s="16">
        <f t="shared" si="150"/>
        <v>10.596205962059623</v>
      </c>
      <c r="Q1366" s="16">
        <f t="shared" si="155"/>
        <v>28.371580635517478</v>
      </c>
      <c r="R1366" s="113">
        <f t="shared" si="151"/>
        <v>345.36</v>
      </c>
      <c r="S1366" s="16">
        <f>IF(S1365=15800,15800,ROUND((((Q1366*60)/'Gearing Calculator'!$C$14)*'Track Data'!P1366),-2))</f>
        <v>9100</v>
      </c>
      <c r="T1366" s="16">
        <f t="shared" si="153"/>
        <v>4.5235291559310618</v>
      </c>
      <c r="U1366" s="16">
        <f>IF(AC1366=100,Braking!$AG$2354,IF(AC1366=50,Braking!$AG$1179,IF(AC1366=75,Braking!$AG$1767,0)))</f>
        <v>0</v>
      </c>
      <c r="V1366" s="16">
        <f>0.5*'Gearing Calculator'!$C$15*'Gearing Calculator'!$C$20*'Gearing Calculator'!$W$20*('Track Data'!Q1366^2)</f>
        <v>85.195546848271832</v>
      </c>
      <c r="W1366" s="16">
        <f>('Gearing Calculator'!$U$9*'Track Data'!T1366)+'Track Data'!V1366</f>
        <v>1289.3590081571203</v>
      </c>
      <c r="X1366" s="16">
        <f>('Gearing Calculator'!$U$9*9.81)*('Gearing Calculator'!$U$16/'Gearing Calculator'!$C$7)-(('Track Data'!W1366)*('Gearing Calculator'!$U$17/'Gearing Calculator'!$C$7))</f>
        <v>698.37358541434548</v>
      </c>
      <c r="Y1366" s="16">
        <f>('Gearing Calculator'!$U$9*9.81)*(('Gearing Calculator'!$C$7-'Gearing Calculator'!$U$16)/'Gearing Calculator'!$C$7)+(('Track Data'!W1366)*('Gearing Calculator'!$U$17/'Gearing Calculator'!$C$7))</f>
        <v>1913.0484145856544</v>
      </c>
      <c r="Z1366" s="16">
        <f>((X1366*COS('Gearing Calculator'!$C$21))/'Gearing Calculator'!$C$22)/2</f>
        <v>21.591502493544937</v>
      </c>
      <c r="AA1366" s="16">
        <f>Y1366/'Gearing Calculator'!$C$24</f>
        <v>26.712572320359616</v>
      </c>
      <c r="AB1366" s="16">
        <f t="shared" si="149"/>
        <v>98.76613431606502</v>
      </c>
      <c r="AC1366" s="16">
        <v>0</v>
      </c>
      <c r="AD1366" s="16">
        <v>-46.712096975939801</v>
      </c>
      <c r="AE1366" s="16">
        <v>1363</v>
      </c>
      <c r="AF1366" s="16">
        <f>IF(AC1366=0,IF(O1366=6,INDEX(Acceleration!$V$4:$V$110,MATCH('Track Data'!S1366,Acceleration!$K$4:$K$110,0)),IF('Track Data'!O1366=5,INDEX(Acceleration!$U$4:$U$110,MATCH('Track Data'!S1366,Acceleration!$K$4:$K$110,0)),1)),U1366)</f>
        <v>1</v>
      </c>
      <c r="AG1366" s="16">
        <f>IF(AC1366=0,IF(O1366=4,INDEX(Acceleration!$T$4:$T$110,MATCH('Track Data'!S1366,Acceleration!$K$4:$K$110,0)),IF('Track Data'!O1366=3,INDEX(Acceleration!$S$4:$S$110,MATCH('Track Data'!S1366,Acceleration!$K$4:$K$110,0)),'Track Data'!AF1366)),'Track Data'!U1366)</f>
        <v>4.5235291559310618</v>
      </c>
      <c r="AH1366" s="16">
        <f>IF(AC1366=0,IF(O1366=2,INDEX(Acceleration!$R$4:$R$110,MATCH('Track Data'!S1366,Acceleration!$K$4:$K$110,0)),IF('Track Data'!O1366=1,INDEX(Acceleration!$Q$4:$Q$110,MATCH('Track Data'!S1366,Acceleration!$K$4:$K$110,0)),'Track Data'!AG1366)),'Track Data'!U1366)</f>
        <v>4.5235291559310618</v>
      </c>
    </row>
    <row r="1367" spans="2:34" x14ac:dyDescent="0.25">
      <c r="B1367" s="16">
        <v>233.79900000000001</v>
      </c>
      <c r="C1367" s="16">
        <v>8637</v>
      </c>
      <c r="D1367" s="16">
        <v>1364</v>
      </c>
      <c r="E1367" s="113">
        <v>99</v>
      </c>
      <c r="F1367" s="113">
        <v>99.4</v>
      </c>
      <c r="G1367" s="113">
        <v>89.8</v>
      </c>
      <c r="H1367" s="113">
        <f t="shared" si="152"/>
        <v>24.944444444444443</v>
      </c>
      <c r="I1367" s="113">
        <v>12.4</v>
      </c>
      <c r="J1367" s="113">
        <v>73.3</v>
      </c>
      <c r="K1367" s="113">
        <v>-38.5</v>
      </c>
      <c r="L1367" s="183"/>
      <c r="M1367" s="16">
        <v>1364</v>
      </c>
      <c r="N1367" s="16">
        <f t="shared" si="154"/>
        <v>3.5246538176591118E-2</v>
      </c>
      <c r="O1367" s="16">
        <v>3</v>
      </c>
      <c r="P1367" s="16">
        <f t="shared" si="150"/>
        <v>10.596205962059623</v>
      </c>
      <c r="Q1367" s="16">
        <f t="shared" si="155"/>
        <v>28.371580635517478</v>
      </c>
      <c r="R1367" s="113">
        <f t="shared" si="151"/>
        <v>345.36</v>
      </c>
      <c r="S1367" s="16">
        <f>IF(S1366=15800,15800,ROUND((((Q1367*60)/'Gearing Calculator'!$C$14)*'Track Data'!P1367),-2))</f>
        <v>9100</v>
      </c>
      <c r="T1367" s="16">
        <f t="shared" si="153"/>
        <v>4.5235291559310618</v>
      </c>
      <c r="U1367" s="16">
        <f>IF(AC1367=100,Braking!$AG$2354,IF(AC1367=50,Braking!$AG$1179,IF(AC1367=75,Braking!$AG$1767,0)))</f>
        <v>0</v>
      </c>
      <c r="V1367" s="16">
        <f>0.5*'Gearing Calculator'!$C$15*'Gearing Calculator'!$C$20*'Gearing Calculator'!$W$20*('Track Data'!Q1367^2)</f>
        <v>85.195546848271832</v>
      </c>
      <c r="W1367" s="16">
        <f>('Gearing Calculator'!$U$9*'Track Data'!T1367)+'Track Data'!V1367</f>
        <v>1289.3590081571203</v>
      </c>
      <c r="X1367" s="16">
        <f>('Gearing Calculator'!$U$9*9.81)*('Gearing Calculator'!$U$16/'Gearing Calculator'!$C$7)-(('Track Data'!W1367)*('Gearing Calculator'!$U$17/'Gearing Calculator'!$C$7))</f>
        <v>698.37358541434548</v>
      </c>
      <c r="Y1367" s="16">
        <f>('Gearing Calculator'!$U$9*9.81)*(('Gearing Calculator'!$C$7-'Gearing Calculator'!$U$16)/'Gearing Calculator'!$C$7)+(('Track Data'!W1367)*('Gearing Calculator'!$U$17/'Gearing Calculator'!$C$7))</f>
        <v>1913.0484145856544</v>
      </c>
      <c r="Z1367" s="16">
        <f>((X1367*COS('Gearing Calculator'!$C$21))/'Gearing Calculator'!$C$22)/2</f>
        <v>21.591502493544937</v>
      </c>
      <c r="AA1367" s="16">
        <f>Y1367/'Gearing Calculator'!$C$24</f>
        <v>26.712572320359616</v>
      </c>
      <c r="AB1367" s="16">
        <f t="shared" si="149"/>
        <v>98.76613431606502</v>
      </c>
      <c r="AC1367" s="16">
        <v>0</v>
      </c>
      <c r="AD1367" s="16">
        <v>-46.712096975939801</v>
      </c>
      <c r="AE1367" s="16">
        <v>1364</v>
      </c>
      <c r="AF1367" s="16">
        <f>IF(AC1367=0,IF(O1367=6,INDEX(Acceleration!$V$4:$V$110,MATCH('Track Data'!S1367,Acceleration!$K$4:$K$110,0)),IF('Track Data'!O1367=5,INDEX(Acceleration!$U$4:$U$110,MATCH('Track Data'!S1367,Acceleration!$K$4:$K$110,0)),1)),U1367)</f>
        <v>1</v>
      </c>
      <c r="AG1367" s="16">
        <f>IF(AC1367=0,IF(O1367=4,INDEX(Acceleration!$T$4:$T$110,MATCH('Track Data'!S1367,Acceleration!$K$4:$K$110,0)),IF('Track Data'!O1367=3,INDEX(Acceleration!$S$4:$S$110,MATCH('Track Data'!S1367,Acceleration!$K$4:$K$110,0)),'Track Data'!AF1367)),'Track Data'!U1367)</f>
        <v>4.5235291559310618</v>
      </c>
      <c r="AH1367" s="16">
        <f>IF(AC1367=0,IF(O1367=2,INDEX(Acceleration!$R$4:$R$110,MATCH('Track Data'!S1367,Acceleration!$K$4:$K$110,0)),IF('Track Data'!O1367=1,INDEX(Acceleration!$Q$4:$Q$110,MATCH('Track Data'!S1367,Acceleration!$K$4:$K$110,0)),'Track Data'!AG1367)),'Track Data'!U1367)</f>
        <v>4.5235291559310618</v>
      </c>
    </row>
    <row r="1368" spans="2:34" x14ac:dyDescent="0.25">
      <c r="B1368" s="16">
        <v>233.83600000000001</v>
      </c>
      <c r="C1368" s="16">
        <v>8638</v>
      </c>
      <c r="D1368" s="16">
        <v>1365</v>
      </c>
      <c r="E1368" s="113">
        <v>98</v>
      </c>
      <c r="F1368" s="113">
        <v>99</v>
      </c>
      <c r="G1368" s="113">
        <v>89.3</v>
      </c>
      <c r="H1368" s="113">
        <f t="shared" si="152"/>
        <v>24.805555555555554</v>
      </c>
      <c r="I1368" s="113">
        <v>15.6</v>
      </c>
      <c r="J1368" s="113">
        <v>73.680000000000007</v>
      </c>
      <c r="K1368" s="113">
        <v>-38.5</v>
      </c>
      <c r="L1368" s="183"/>
      <c r="M1368" s="16">
        <v>1365</v>
      </c>
      <c r="N1368" s="16">
        <f t="shared" si="154"/>
        <v>3.5246538176591118E-2</v>
      </c>
      <c r="O1368" s="16">
        <v>3</v>
      </c>
      <c r="P1368" s="16">
        <f t="shared" si="150"/>
        <v>10.596205962059623</v>
      </c>
      <c r="Q1368" s="16">
        <f t="shared" si="155"/>
        <v>28.371580635517478</v>
      </c>
      <c r="R1368" s="113">
        <f t="shared" si="151"/>
        <v>345.36</v>
      </c>
      <c r="S1368" s="16">
        <f>IF(S1367=15800,15800,ROUND((((Q1368*60)/'Gearing Calculator'!$C$14)*'Track Data'!P1368),-2))</f>
        <v>9100</v>
      </c>
      <c r="T1368" s="16">
        <f t="shared" si="153"/>
        <v>4.5235291559310618</v>
      </c>
      <c r="U1368" s="16">
        <f>IF(AC1368=100,Braking!$AG$2354,IF(AC1368=50,Braking!$AG$1179,IF(AC1368=75,Braking!$AG$1767,0)))</f>
        <v>0</v>
      </c>
      <c r="V1368" s="16">
        <f>0.5*'Gearing Calculator'!$C$15*'Gearing Calculator'!$C$20*'Gearing Calculator'!$W$20*('Track Data'!Q1368^2)</f>
        <v>85.195546848271832</v>
      </c>
      <c r="W1368" s="16">
        <f>('Gearing Calculator'!$U$9*'Track Data'!T1368)+'Track Data'!V1368</f>
        <v>1289.3590081571203</v>
      </c>
      <c r="X1368" s="16">
        <f>('Gearing Calculator'!$U$9*9.81)*('Gearing Calculator'!$U$16/'Gearing Calculator'!$C$7)-(('Track Data'!W1368)*('Gearing Calculator'!$U$17/'Gearing Calculator'!$C$7))</f>
        <v>698.37358541434548</v>
      </c>
      <c r="Y1368" s="16">
        <f>('Gearing Calculator'!$U$9*9.81)*(('Gearing Calculator'!$C$7-'Gearing Calculator'!$U$16)/'Gearing Calculator'!$C$7)+(('Track Data'!W1368)*('Gearing Calculator'!$U$17/'Gearing Calculator'!$C$7))</f>
        <v>1913.0484145856544</v>
      </c>
      <c r="Z1368" s="16">
        <f>((X1368*COS('Gearing Calculator'!$C$21))/'Gearing Calculator'!$C$22)/2</f>
        <v>21.591502493544937</v>
      </c>
      <c r="AA1368" s="16">
        <f>Y1368/'Gearing Calculator'!$C$24</f>
        <v>26.712572320359616</v>
      </c>
      <c r="AB1368" s="16">
        <f t="shared" si="149"/>
        <v>98.76613431606502</v>
      </c>
      <c r="AC1368" s="16">
        <v>0</v>
      </c>
      <c r="AD1368" s="16">
        <v>-46.712096975939801</v>
      </c>
      <c r="AE1368" s="16">
        <v>1365</v>
      </c>
      <c r="AF1368" s="16">
        <f>IF(AC1368=0,IF(O1368=6,INDEX(Acceleration!$V$4:$V$110,MATCH('Track Data'!S1368,Acceleration!$K$4:$K$110,0)),IF('Track Data'!O1368=5,INDEX(Acceleration!$U$4:$U$110,MATCH('Track Data'!S1368,Acceleration!$K$4:$K$110,0)),1)),U1368)</f>
        <v>1</v>
      </c>
      <c r="AG1368" s="16">
        <f>IF(AC1368=0,IF(O1368=4,INDEX(Acceleration!$T$4:$T$110,MATCH('Track Data'!S1368,Acceleration!$K$4:$K$110,0)),IF('Track Data'!O1368=3,INDEX(Acceleration!$S$4:$S$110,MATCH('Track Data'!S1368,Acceleration!$K$4:$K$110,0)),'Track Data'!AF1368)),'Track Data'!U1368)</f>
        <v>4.5235291559310618</v>
      </c>
      <c r="AH1368" s="16">
        <f>IF(AC1368=0,IF(O1368=2,INDEX(Acceleration!$R$4:$R$110,MATCH('Track Data'!S1368,Acceleration!$K$4:$K$110,0)),IF('Track Data'!O1368=1,INDEX(Acceleration!$Q$4:$Q$110,MATCH('Track Data'!S1368,Acceleration!$K$4:$K$110,0)),'Track Data'!AG1368)),'Track Data'!U1368)</f>
        <v>4.5235291559310618</v>
      </c>
    </row>
    <row r="1369" spans="2:34" x14ac:dyDescent="0.25">
      <c r="B1369" s="16">
        <v>233.87200000000001</v>
      </c>
      <c r="C1369" s="16">
        <v>8639</v>
      </c>
      <c r="D1369" s="16">
        <v>1366</v>
      </c>
      <c r="E1369" s="113">
        <v>98</v>
      </c>
      <c r="F1369" s="113">
        <v>98.3</v>
      </c>
      <c r="G1369" s="113">
        <v>88.9</v>
      </c>
      <c r="H1369" s="113">
        <f t="shared" si="152"/>
        <v>24.694444444444446</v>
      </c>
      <c r="I1369" s="113">
        <v>16.2</v>
      </c>
      <c r="J1369" s="113">
        <v>74.260000000000005</v>
      </c>
      <c r="K1369" s="113">
        <v>-42</v>
      </c>
      <c r="L1369" s="183"/>
      <c r="M1369" s="16">
        <v>1366</v>
      </c>
      <c r="N1369" s="16">
        <f t="shared" si="154"/>
        <v>3.5246538176591118E-2</v>
      </c>
      <c r="O1369" s="16">
        <v>3</v>
      </c>
      <c r="P1369" s="16">
        <f t="shared" si="150"/>
        <v>10.596205962059623</v>
      </c>
      <c r="Q1369" s="16">
        <f t="shared" si="155"/>
        <v>28.371580635517478</v>
      </c>
      <c r="R1369" s="113">
        <f t="shared" si="151"/>
        <v>345.36</v>
      </c>
      <c r="S1369" s="16">
        <f>IF(S1368=15800,15800,ROUND((((Q1369*60)/'Gearing Calculator'!$C$14)*'Track Data'!P1369),-2))</f>
        <v>9100</v>
      </c>
      <c r="T1369" s="16">
        <f t="shared" si="153"/>
        <v>4.5235291559310618</v>
      </c>
      <c r="U1369" s="16">
        <f>IF(AC1369=100,Braking!$AG$2354,IF(AC1369=50,Braking!$AG$1179,IF(AC1369=75,Braking!$AG$1767,0)))</f>
        <v>0</v>
      </c>
      <c r="V1369" s="16">
        <f>0.5*'Gearing Calculator'!$C$15*'Gearing Calculator'!$C$20*'Gearing Calculator'!$W$20*('Track Data'!Q1369^2)</f>
        <v>85.195546848271832</v>
      </c>
      <c r="W1369" s="16">
        <f>('Gearing Calculator'!$U$9*'Track Data'!T1369)+'Track Data'!V1369</f>
        <v>1289.3590081571203</v>
      </c>
      <c r="X1369" s="16">
        <f>('Gearing Calculator'!$U$9*9.81)*('Gearing Calculator'!$U$16/'Gearing Calculator'!$C$7)-(('Track Data'!W1369)*('Gearing Calculator'!$U$17/'Gearing Calculator'!$C$7))</f>
        <v>698.37358541434548</v>
      </c>
      <c r="Y1369" s="16">
        <f>('Gearing Calculator'!$U$9*9.81)*(('Gearing Calculator'!$C$7-'Gearing Calculator'!$U$16)/'Gearing Calculator'!$C$7)+(('Track Data'!W1369)*('Gearing Calculator'!$U$17/'Gearing Calculator'!$C$7))</f>
        <v>1913.0484145856544</v>
      </c>
      <c r="Z1369" s="16">
        <f>((X1369*COS('Gearing Calculator'!$C$21))/'Gearing Calculator'!$C$22)/2</f>
        <v>21.591502493544937</v>
      </c>
      <c r="AA1369" s="16">
        <f>Y1369/'Gearing Calculator'!$C$24</f>
        <v>26.712572320359616</v>
      </c>
      <c r="AB1369" s="16">
        <f t="shared" si="149"/>
        <v>98.76613431606502</v>
      </c>
      <c r="AC1369" s="16">
        <v>0</v>
      </c>
      <c r="AD1369" s="16">
        <v>-46.712096975939801</v>
      </c>
      <c r="AE1369" s="16">
        <v>1366</v>
      </c>
      <c r="AF1369" s="16">
        <f>IF(AC1369=0,IF(O1369=6,INDEX(Acceleration!$V$4:$V$110,MATCH('Track Data'!S1369,Acceleration!$K$4:$K$110,0)),IF('Track Data'!O1369=5,INDEX(Acceleration!$U$4:$U$110,MATCH('Track Data'!S1369,Acceleration!$K$4:$K$110,0)),1)),U1369)</f>
        <v>1</v>
      </c>
      <c r="AG1369" s="16">
        <f>IF(AC1369=0,IF(O1369=4,INDEX(Acceleration!$T$4:$T$110,MATCH('Track Data'!S1369,Acceleration!$K$4:$K$110,0)),IF('Track Data'!O1369=3,INDEX(Acceleration!$S$4:$S$110,MATCH('Track Data'!S1369,Acceleration!$K$4:$K$110,0)),'Track Data'!AF1369)),'Track Data'!U1369)</f>
        <v>4.5235291559310618</v>
      </c>
      <c r="AH1369" s="16">
        <f>IF(AC1369=0,IF(O1369=2,INDEX(Acceleration!$R$4:$R$110,MATCH('Track Data'!S1369,Acceleration!$K$4:$K$110,0)),IF('Track Data'!O1369=1,INDEX(Acceleration!$Q$4:$Q$110,MATCH('Track Data'!S1369,Acceleration!$K$4:$K$110,0)),'Track Data'!AG1369)),'Track Data'!U1369)</f>
        <v>4.5235291559310618</v>
      </c>
    </row>
    <row r="1370" spans="2:34" x14ac:dyDescent="0.25">
      <c r="B1370" s="16">
        <v>233.90799999999999</v>
      </c>
      <c r="C1370" s="16">
        <v>8640</v>
      </c>
      <c r="D1370" s="16">
        <v>1367</v>
      </c>
      <c r="E1370" s="113">
        <v>98</v>
      </c>
      <c r="F1370" s="113">
        <v>98.2</v>
      </c>
      <c r="G1370" s="113">
        <v>88.7</v>
      </c>
      <c r="H1370" s="113">
        <f t="shared" si="152"/>
        <v>24.638888888888889</v>
      </c>
      <c r="I1370" s="113">
        <v>16</v>
      </c>
      <c r="J1370" s="113">
        <v>72.12</v>
      </c>
      <c r="K1370" s="113">
        <v>-45.1</v>
      </c>
      <c r="L1370" s="183"/>
      <c r="M1370" s="16">
        <v>1367</v>
      </c>
      <c r="N1370" s="16">
        <f t="shared" si="154"/>
        <v>3.5246538176591118E-2</v>
      </c>
      <c r="O1370" s="16">
        <v>3</v>
      </c>
      <c r="P1370" s="16">
        <f t="shared" si="150"/>
        <v>10.596205962059623</v>
      </c>
      <c r="Q1370" s="16">
        <f t="shared" si="155"/>
        <v>28.371580635517478</v>
      </c>
      <c r="R1370" s="113">
        <f t="shared" si="151"/>
        <v>345.36</v>
      </c>
      <c r="S1370" s="16">
        <f>IF(S1369=15800,15800,ROUND((((Q1370*60)/'Gearing Calculator'!$C$14)*'Track Data'!P1370),-2))</f>
        <v>9100</v>
      </c>
      <c r="T1370" s="16">
        <f t="shared" si="153"/>
        <v>4.5235291559310618</v>
      </c>
      <c r="U1370" s="16">
        <f>IF(AC1370=100,Braking!$AG$2354,IF(AC1370=50,Braking!$AG$1179,IF(AC1370=75,Braking!$AG$1767,0)))</f>
        <v>0</v>
      </c>
      <c r="V1370" s="16">
        <f>0.5*'Gearing Calculator'!$C$15*'Gearing Calculator'!$C$20*'Gearing Calculator'!$W$20*('Track Data'!Q1370^2)</f>
        <v>85.195546848271832</v>
      </c>
      <c r="W1370" s="16">
        <f>('Gearing Calculator'!$U$9*'Track Data'!T1370)+'Track Data'!V1370</f>
        <v>1289.3590081571203</v>
      </c>
      <c r="X1370" s="16">
        <f>('Gearing Calculator'!$U$9*9.81)*('Gearing Calculator'!$U$16/'Gearing Calculator'!$C$7)-(('Track Data'!W1370)*('Gearing Calculator'!$U$17/'Gearing Calculator'!$C$7))</f>
        <v>698.37358541434548</v>
      </c>
      <c r="Y1370" s="16">
        <f>('Gearing Calculator'!$U$9*9.81)*(('Gearing Calculator'!$C$7-'Gearing Calculator'!$U$16)/'Gearing Calculator'!$C$7)+(('Track Data'!W1370)*('Gearing Calculator'!$U$17/'Gearing Calculator'!$C$7))</f>
        <v>1913.0484145856544</v>
      </c>
      <c r="Z1370" s="16">
        <f>((X1370*COS('Gearing Calculator'!$C$21))/'Gearing Calculator'!$C$22)/2</f>
        <v>21.591502493544937</v>
      </c>
      <c r="AA1370" s="16">
        <f>Y1370/'Gearing Calculator'!$C$24</f>
        <v>26.712572320359616</v>
      </c>
      <c r="AB1370" s="16">
        <f t="shared" si="149"/>
        <v>98.76613431606502</v>
      </c>
      <c r="AC1370" s="16">
        <v>0</v>
      </c>
      <c r="AD1370" s="16">
        <v>-46.712096975939801</v>
      </c>
      <c r="AE1370" s="16">
        <v>1367</v>
      </c>
      <c r="AF1370" s="16">
        <f>IF(AC1370=0,IF(O1370=6,INDEX(Acceleration!$V$4:$V$110,MATCH('Track Data'!S1370,Acceleration!$K$4:$K$110,0)),IF('Track Data'!O1370=5,INDEX(Acceleration!$U$4:$U$110,MATCH('Track Data'!S1370,Acceleration!$K$4:$K$110,0)),1)),U1370)</f>
        <v>1</v>
      </c>
      <c r="AG1370" s="16">
        <f>IF(AC1370=0,IF(O1370=4,INDEX(Acceleration!$T$4:$T$110,MATCH('Track Data'!S1370,Acceleration!$K$4:$K$110,0)),IF('Track Data'!O1370=3,INDEX(Acceleration!$S$4:$S$110,MATCH('Track Data'!S1370,Acceleration!$K$4:$K$110,0)),'Track Data'!AF1370)),'Track Data'!U1370)</f>
        <v>4.5235291559310618</v>
      </c>
      <c r="AH1370" s="16">
        <f>IF(AC1370=0,IF(O1370=2,INDEX(Acceleration!$R$4:$R$110,MATCH('Track Data'!S1370,Acceleration!$K$4:$K$110,0)),IF('Track Data'!O1370=1,INDEX(Acceleration!$Q$4:$Q$110,MATCH('Track Data'!S1370,Acceleration!$K$4:$K$110,0)),'Track Data'!AG1370)),'Track Data'!U1370)</f>
        <v>4.5235291559310618</v>
      </c>
    </row>
    <row r="1371" spans="2:34" x14ac:dyDescent="0.25">
      <c r="B1371" s="16">
        <v>233.94399999999999</v>
      </c>
      <c r="C1371" s="16">
        <v>8641</v>
      </c>
      <c r="D1371" s="16">
        <v>1368</v>
      </c>
      <c r="E1371" s="113">
        <v>98</v>
      </c>
      <c r="F1371" s="113">
        <v>98.1</v>
      </c>
      <c r="G1371" s="113">
        <v>88.3</v>
      </c>
      <c r="H1371" s="113">
        <f t="shared" si="152"/>
        <v>24.527777777777775</v>
      </c>
      <c r="I1371" s="113">
        <v>14.3</v>
      </c>
      <c r="J1371" s="113">
        <v>71.83</v>
      </c>
      <c r="K1371" s="113">
        <v>-47.2</v>
      </c>
      <c r="L1371" s="183"/>
      <c r="M1371" s="16">
        <v>1368</v>
      </c>
      <c r="N1371" s="16">
        <f t="shared" si="154"/>
        <v>3.5246538176591118E-2</v>
      </c>
      <c r="O1371" s="16">
        <v>3</v>
      </c>
      <c r="P1371" s="16">
        <f t="shared" si="150"/>
        <v>10.596205962059623</v>
      </c>
      <c r="Q1371" s="16">
        <f t="shared" si="155"/>
        <v>28.371580635517478</v>
      </c>
      <c r="R1371" s="113">
        <f t="shared" si="151"/>
        <v>345.36</v>
      </c>
      <c r="S1371" s="16">
        <f>IF(S1370=15800,15800,ROUND((((Q1371*60)/'Gearing Calculator'!$C$14)*'Track Data'!P1371),-2))</f>
        <v>9100</v>
      </c>
      <c r="T1371" s="16">
        <f t="shared" si="153"/>
        <v>4.5235291559310618</v>
      </c>
      <c r="U1371" s="16">
        <f>IF(AC1371=100,Braking!$AG$2354,IF(AC1371=50,Braking!$AG$1179,IF(AC1371=75,Braking!$AG$1767,0)))</f>
        <v>0</v>
      </c>
      <c r="V1371" s="16">
        <f>0.5*'Gearing Calculator'!$C$15*'Gearing Calculator'!$C$20*'Gearing Calculator'!$W$20*('Track Data'!Q1371^2)</f>
        <v>85.195546848271832</v>
      </c>
      <c r="W1371" s="16">
        <f>('Gearing Calculator'!$U$9*'Track Data'!T1371)+'Track Data'!V1371</f>
        <v>1289.3590081571203</v>
      </c>
      <c r="X1371" s="16">
        <f>('Gearing Calculator'!$U$9*9.81)*('Gearing Calculator'!$U$16/'Gearing Calculator'!$C$7)-(('Track Data'!W1371)*('Gearing Calculator'!$U$17/'Gearing Calculator'!$C$7))</f>
        <v>698.37358541434548</v>
      </c>
      <c r="Y1371" s="16">
        <f>('Gearing Calculator'!$U$9*9.81)*(('Gearing Calculator'!$C$7-'Gearing Calculator'!$U$16)/'Gearing Calculator'!$C$7)+(('Track Data'!W1371)*('Gearing Calculator'!$U$17/'Gearing Calculator'!$C$7))</f>
        <v>1913.0484145856544</v>
      </c>
      <c r="Z1371" s="16">
        <f>((X1371*COS('Gearing Calculator'!$C$21))/'Gearing Calculator'!$C$22)/2</f>
        <v>21.591502493544937</v>
      </c>
      <c r="AA1371" s="16">
        <f>Y1371/'Gearing Calculator'!$C$24</f>
        <v>26.712572320359616</v>
      </c>
      <c r="AB1371" s="16">
        <f t="shared" si="149"/>
        <v>98.76613431606502</v>
      </c>
      <c r="AC1371" s="16">
        <v>0</v>
      </c>
      <c r="AD1371" s="16">
        <v>-46.712096975939801</v>
      </c>
      <c r="AE1371" s="16">
        <v>1368</v>
      </c>
      <c r="AF1371" s="16">
        <f>IF(AC1371=0,IF(O1371=6,INDEX(Acceleration!$V$4:$V$110,MATCH('Track Data'!S1371,Acceleration!$K$4:$K$110,0)),IF('Track Data'!O1371=5,INDEX(Acceleration!$U$4:$U$110,MATCH('Track Data'!S1371,Acceleration!$K$4:$K$110,0)),1)),U1371)</f>
        <v>1</v>
      </c>
      <c r="AG1371" s="16">
        <f>IF(AC1371=0,IF(O1371=4,INDEX(Acceleration!$T$4:$T$110,MATCH('Track Data'!S1371,Acceleration!$K$4:$K$110,0)),IF('Track Data'!O1371=3,INDEX(Acceleration!$S$4:$S$110,MATCH('Track Data'!S1371,Acceleration!$K$4:$K$110,0)),'Track Data'!AF1371)),'Track Data'!U1371)</f>
        <v>4.5235291559310618</v>
      </c>
      <c r="AH1371" s="16">
        <f>IF(AC1371=0,IF(O1371=2,INDEX(Acceleration!$R$4:$R$110,MATCH('Track Data'!S1371,Acceleration!$K$4:$K$110,0)),IF('Track Data'!O1371=1,INDEX(Acceleration!$Q$4:$Q$110,MATCH('Track Data'!S1371,Acceleration!$K$4:$K$110,0)),'Track Data'!AG1371)),'Track Data'!U1371)</f>
        <v>4.5235291559310618</v>
      </c>
    </row>
    <row r="1372" spans="2:34" x14ac:dyDescent="0.25">
      <c r="B1372" s="16">
        <v>233.98099999999999</v>
      </c>
      <c r="C1372" s="16">
        <v>8642</v>
      </c>
      <c r="D1372" s="16">
        <v>1369</v>
      </c>
      <c r="E1372" s="113">
        <v>97</v>
      </c>
      <c r="F1372" s="113">
        <v>97.7</v>
      </c>
      <c r="G1372" s="113">
        <v>88.1</v>
      </c>
      <c r="H1372" s="113">
        <f t="shared" si="152"/>
        <v>24.472222222222221</v>
      </c>
      <c r="I1372" s="113">
        <v>13.8</v>
      </c>
      <c r="J1372" s="113">
        <v>71.52</v>
      </c>
      <c r="K1372" s="113">
        <v>-47.9</v>
      </c>
      <c r="L1372" s="183"/>
      <c r="M1372" s="16">
        <v>1369</v>
      </c>
      <c r="N1372" s="16">
        <f t="shared" si="154"/>
        <v>3.5246538176591118E-2</v>
      </c>
      <c r="O1372" s="16">
        <v>3</v>
      </c>
      <c r="P1372" s="16">
        <f t="shared" si="150"/>
        <v>10.596205962059623</v>
      </c>
      <c r="Q1372" s="16">
        <f t="shared" si="155"/>
        <v>28.371580635517478</v>
      </c>
      <c r="R1372" s="113">
        <f t="shared" si="151"/>
        <v>345.36</v>
      </c>
      <c r="S1372" s="16">
        <f>IF(S1371=15800,15800,ROUND((((Q1372*60)/'Gearing Calculator'!$C$14)*'Track Data'!P1372),-2))</f>
        <v>9100</v>
      </c>
      <c r="T1372" s="16">
        <f t="shared" si="153"/>
        <v>4.5235291559310618</v>
      </c>
      <c r="U1372" s="16">
        <f>IF(AC1372=100,Braking!$AG$2354,IF(AC1372=50,Braking!$AG$1179,IF(AC1372=75,Braking!$AG$1767,0)))</f>
        <v>0</v>
      </c>
      <c r="V1372" s="16">
        <f>0.5*'Gearing Calculator'!$C$15*'Gearing Calculator'!$C$20*'Gearing Calculator'!$W$20*('Track Data'!Q1372^2)</f>
        <v>85.195546848271832</v>
      </c>
      <c r="W1372" s="16">
        <f>('Gearing Calculator'!$U$9*'Track Data'!T1372)+'Track Data'!V1372</f>
        <v>1289.3590081571203</v>
      </c>
      <c r="X1372" s="16">
        <f>('Gearing Calculator'!$U$9*9.81)*('Gearing Calculator'!$U$16/'Gearing Calculator'!$C$7)-(('Track Data'!W1372)*('Gearing Calculator'!$U$17/'Gearing Calculator'!$C$7))</f>
        <v>698.37358541434548</v>
      </c>
      <c r="Y1372" s="16">
        <f>('Gearing Calculator'!$U$9*9.81)*(('Gearing Calculator'!$C$7-'Gearing Calculator'!$U$16)/'Gearing Calculator'!$C$7)+(('Track Data'!W1372)*('Gearing Calculator'!$U$17/'Gearing Calculator'!$C$7))</f>
        <v>1913.0484145856544</v>
      </c>
      <c r="Z1372" s="16">
        <f>((X1372*COS('Gearing Calculator'!$C$21))/'Gearing Calculator'!$C$22)/2</f>
        <v>21.591502493544937</v>
      </c>
      <c r="AA1372" s="16">
        <f>Y1372/'Gearing Calculator'!$C$24</f>
        <v>26.712572320359616</v>
      </c>
      <c r="AB1372" s="16">
        <f t="shared" si="149"/>
        <v>98.76613431606502</v>
      </c>
      <c r="AC1372" s="16">
        <v>0</v>
      </c>
      <c r="AD1372" s="16">
        <v>-46.712096975939801</v>
      </c>
      <c r="AE1372" s="16">
        <v>1369</v>
      </c>
      <c r="AF1372" s="16">
        <f>IF(AC1372=0,IF(O1372=6,INDEX(Acceleration!$V$4:$V$110,MATCH('Track Data'!S1372,Acceleration!$K$4:$K$110,0)),IF('Track Data'!O1372=5,INDEX(Acceleration!$U$4:$U$110,MATCH('Track Data'!S1372,Acceleration!$K$4:$K$110,0)),1)),U1372)</f>
        <v>1</v>
      </c>
      <c r="AG1372" s="16">
        <f>IF(AC1372=0,IF(O1372=4,INDEX(Acceleration!$T$4:$T$110,MATCH('Track Data'!S1372,Acceleration!$K$4:$K$110,0)),IF('Track Data'!O1372=3,INDEX(Acceleration!$S$4:$S$110,MATCH('Track Data'!S1372,Acceleration!$K$4:$K$110,0)),'Track Data'!AF1372)),'Track Data'!U1372)</f>
        <v>4.5235291559310618</v>
      </c>
      <c r="AH1372" s="16">
        <f>IF(AC1372=0,IF(O1372=2,INDEX(Acceleration!$R$4:$R$110,MATCH('Track Data'!S1372,Acceleration!$K$4:$K$110,0)),IF('Track Data'!O1372=1,INDEX(Acceleration!$Q$4:$Q$110,MATCH('Track Data'!S1372,Acceleration!$K$4:$K$110,0)),'Track Data'!AG1372)),'Track Data'!U1372)</f>
        <v>4.5235291559310618</v>
      </c>
    </row>
    <row r="1373" spans="2:34" x14ac:dyDescent="0.25">
      <c r="B1373" s="16">
        <v>234.018</v>
      </c>
      <c r="C1373" s="16">
        <v>8643</v>
      </c>
      <c r="D1373" s="16">
        <v>1370</v>
      </c>
      <c r="E1373" s="113">
        <v>97</v>
      </c>
      <c r="F1373" s="113">
        <v>97.3</v>
      </c>
      <c r="G1373" s="113">
        <v>87.9</v>
      </c>
      <c r="H1373" s="113">
        <f t="shared" si="152"/>
        <v>24.416666666666668</v>
      </c>
      <c r="I1373" s="113">
        <v>13.7</v>
      </c>
      <c r="J1373" s="113">
        <v>72.05</v>
      </c>
      <c r="K1373" s="113">
        <v>-48</v>
      </c>
      <c r="L1373" s="183"/>
      <c r="M1373" s="16">
        <v>1370</v>
      </c>
      <c r="N1373" s="16">
        <f t="shared" si="154"/>
        <v>3.5246538176591118E-2</v>
      </c>
      <c r="O1373" s="16">
        <v>3</v>
      </c>
      <c r="P1373" s="16">
        <f t="shared" si="150"/>
        <v>10.596205962059623</v>
      </c>
      <c r="Q1373" s="16">
        <f t="shared" si="155"/>
        <v>28.371580635517478</v>
      </c>
      <c r="R1373" s="113">
        <f t="shared" si="151"/>
        <v>345.36</v>
      </c>
      <c r="S1373" s="16">
        <f>IF(S1372=15800,15800,ROUND((((Q1373*60)/'Gearing Calculator'!$C$14)*'Track Data'!P1373),-2))</f>
        <v>9100</v>
      </c>
      <c r="T1373" s="16">
        <f t="shared" si="153"/>
        <v>4.5235291559310618</v>
      </c>
      <c r="U1373" s="16">
        <f>IF(AC1373=100,Braking!$AG$2354,IF(AC1373=50,Braking!$AG$1179,IF(AC1373=75,Braking!$AG$1767,0)))</f>
        <v>0</v>
      </c>
      <c r="V1373" s="16">
        <f>0.5*'Gearing Calculator'!$C$15*'Gearing Calculator'!$C$20*'Gearing Calculator'!$W$20*('Track Data'!Q1373^2)</f>
        <v>85.195546848271832</v>
      </c>
      <c r="W1373" s="16">
        <f>('Gearing Calculator'!$U$9*'Track Data'!T1373)+'Track Data'!V1373</f>
        <v>1289.3590081571203</v>
      </c>
      <c r="X1373" s="16">
        <f>('Gearing Calculator'!$U$9*9.81)*('Gearing Calculator'!$U$16/'Gearing Calculator'!$C$7)-(('Track Data'!W1373)*('Gearing Calculator'!$U$17/'Gearing Calculator'!$C$7))</f>
        <v>698.37358541434548</v>
      </c>
      <c r="Y1373" s="16">
        <f>('Gearing Calculator'!$U$9*9.81)*(('Gearing Calculator'!$C$7-'Gearing Calculator'!$U$16)/'Gearing Calculator'!$C$7)+(('Track Data'!W1373)*('Gearing Calculator'!$U$17/'Gearing Calculator'!$C$7))</f>
        <v>1913.0484145856544</v>
      </c>
      <c r="Z1373" s="16">
        <f>((X1373*COS('Gearing Calculator'!$C$21))/'Gearing Calculator'!$C$22)/2</f>
        <v>21.591502493544937</v>
      </c>
      <c r="AA1373" s="16">
        <f>Y1373/'Gearing Calculator'!$C$24</f>
        <v>26.712572320359616</v>
      </c>
      <c r="AB1373" s="16">
        <f t="shared" si="149"/>
        <v>98.76613431606502</v>
      </c>
      <c r="AC1373" s="16">
        <v>0</v>
      </c>
      <c r="AD1373" s="16">
        <v>-46.712096975939801</v>
      </c>
      <c r="AE1373" s="16">
        <v>1370</v>
      </c>
      <c r="AF1373" s="16">
        <f>IF(AC1373=0,IF(O1373=6,INDEX(Acceleration!$V$4:$V$110,MATCH('Track Data'!S1373,Acceleration!$K$4:$K$110,0)),IF('Track Data'!O1373=5,INDEX(Acceleration!$U$4:$U$110,MATCH('Track Data'!S1373,Acceleration!$K$4:$K$110,0)),1)),U1373)</f>
        <v>1</v>
      </c>
      <c r="AG1373" s="16">
        <f>IF(AC1373=0,IF(O1373=4,INDEX(Acceleration!$T$4:$T$110,MATCH('Track Data'!S1373,Acceleration!$K$4:$K$110,0)),IF('Track Data'!O1373=3,INDEX(Acceleration!$S$4:$S$110,MATCH('Track Data'!S1373,Acceleration!$K$4:$K$110,0)),'Track Data'!AF1373)),'Track Data'!U1373)</f>
        <v>4.5235291559310618</v>
      </c>
      <c r="AH1373" s="16">
        <f>IF(AC1373=0,IF(O1373=2,INDEX(Acceleration!$R$4:$R$110,MATCH('Track Data'!S1373,Acceleration!$K$4:$K$110,0)),IF('Track Data'!O1373=1,INDEX(Acceleration!$Q$4:$Q$110,MATCH('Track Data'!S1373,Acceleration!$K$4:$K$110,0)),'Track Data'!AG1373)),'Track Data'!U1373)</f>
        <v>4.5235291559310618</v>
      </c>
    </row>
    <row r="1374" spans="2:34" x14ac:dyDescent="0.25">
      <c r="B1374" s="16">
        <v>234.05500000000001</v>
      </c>
      <c r="C1374" s="16">
        <v>8644</v>
      </c>
      <c r="D1374" s="16">
        <v>1371</v>
      </c>
      <c r="E1374" s="113">
        <v>97</v>
      </c>
      <c r="F1374" s="113">
        <v>97</v>
      </c>
      <c r="G1374" s="113">
        <v>87.8</v>
      </c>
      <c r="H1374" s="113">
        <f t="shared" si="152"/>
        <v>24.388888888888886</v>
      </c>
      <c r="I1374" s="113">
        <v>13.6</v>
      </c>
      <c r="J1374" s="113">
        <v>72.63</v>
      </c>
      <c r="K1374" s="113">
        <v>-47.5</v>
      </c>
      <c r="L1374" s="183"/>
      <c r="M1374" s="16">
        <v>1371</v>
      </c>
      <c r="N1374" s="16">
        <f t="shared" si="154"/>
        <v>3.5246538176591118E-2</v>
      </c>
      <c r="O1374" s="16">
        <v>3</v>
      </c>
      <c r="P1374" s="16">
        <f t="shared" si="150"/>
        <v>10.596205962059623</v>
      </c>
      <c r="Q1374" s="16">
        <f t="shared" si="155"/>
        <v>28.371580635517478</v>
      </c>
      <c r="R1374" s="113">
        <f t="shared" si="151"/>
        <v>345.36</v>
      </c>
      <c r="S1374" s="16">
        <f>IF(S1373=15800,15800,ROUND((((Q1374*60)/'Gearing Calculator'!$C$14)*'Track Data'!P1374),-2))</f>
        <v>9100</v>
      </c>
      <c r="T1374" s="16">
        <f t="shared" si="153"/>
        <v>4.5235291559310618</v>
      </c>
      <c r="U1374" s="16">
        <f>IF(AC1374=100,Braking!$AG$2354,IF(AC1374=50,Braking!$AG$1179,IF(AC1374=75,Braking!$AG$1767,0)))</f>
        <v>0</v>
      </c>
      <c r="V1374" s="16">
        <f>0.5*'Gearing Calculator'!$C$15*'Gearing Calculator'!$C$20*'Gearing Calculator'!$W$20*('Track Data'!Q1374^2)</f>
        <v>85.195546848271832</v>
      </c>
      <c r="W1374" s="16">
        <f>('Gearing Calculator'!$U$9*'Track Data'!T1374)+'Track Data'!V1374</f>
        <v>1289.3590081571203</v>
      </c>
      <c r="X1374" s="16">
        <f>('Gearing Calculator'!$U$9*9.81)*('Gearing Calculator'!$U$16/'Gearing Calculator'!$C$7)-(('Track Data'!W1374)*('Gearing Calculator'!$U$17/'Gearing Calculator'!$C$7))</f>
        <v>698.37358541434548</v>
      </c>
      <c r="Y1374" s="16">
        <f>('Gearing Calculator'!$U$9*9.81)*(('Gearing Calculator'!$C$7-'Gearing Calculator'!$U$16)/'Gearing Calculator'!$C$7)+(('Track Data'!W1374)*('Gearing Calculator'!$U$17/'Gearing Calculator'!$C$7))</f>
        <v>1913.0484145856544</v>
      </c>
      <c r="Z1374" s="16">
        <f>((X1374*COS('Gearing Calculator'!$C$21))/'Gearing Calculator'!$C$22)/2</f>
        <v>21.591502493544937</v>
      </c>
      <c r="AA1374" s="16">
        <f>Y1374/'Gearing Calculator'!$C$24</f>
        <v>26.712572320359616</v>
      </c>
      <c r="AB1374" s="16">
        <f t="shared" si="149"/>
        <v>98.76613431606502</v>
      </c>
      <c r="AC1374" s="16">
        <v>0</v>
      </c>
      <c r="AD1374" s="16">
        <v>-46.712096975939801</v>
      </c>
      <c r="AE1374" s="16">
        <v>1371</v>
      </c>
      <c r="AF1374" s="16">
        <f>IF(AC1374=0,IF(O1374=6,INDEX(Acceleration!$V$4:$V$110,MATCH('Track Data'!S1374,Acceleration!$K$4:$K$110,0)),IF('Track Data'!O1374=5,INDEX(Acceleration!$U$4:$U$110,MATCH('Track Data'!S1374,Acceleration!$K$4:$K$110,0)),1)),U1374)</f>
        <v>1</v>
      </c>
      <c r="AG1374" s="16">
        <f>IF(AC1374=0,IF(O1374=4,INDEX(Acceleration!$T$4:$T$110,MATCH('Track Data'!S1374,Acceleration!$K$4:$K$110,0)),IF('Track Data'!O1374=3,INDEX(Acceleration!$S$4:$S$110,MATCH('Track Data'!S1374,Acceleration!$K$4:$K$110,0)),'Track Data'!AF1374)),'Track Data'!U1374)</f>
        <v>4.5235291559310618</v>
      </c>
      <c r="AH1374" s="16">
        <f>IF(AC1374=0,IF(O1374=2,INDEX(Acceleration!$R$4:$R$110,MATCH('Track Data'!S1374,Acceleration!$K$4:$K$110,0)),IF('Track Data'!O1374=1,INDEX(Acceleration!$Q$4:$Q$110,MATCH('Track Data'!S1374,Acceleration!$K$4:$K$110,0)),'Track Data'!AG1374)),'Track Data'!U1374)</f>
        <v>4.5235291559310618</v>
      </c>
    </row>
    <row r="1375" spans="2:34" x14ac:dyDescent="0.25">
      <c r="B1375" s="16">
        <v>234.09200000000001</v>
      </c>
      <c r="C1375" s="16">
        <v>8645</v>
      </c>
      <c r="D1375" s="16">
        <v>1372</v>
      </c>
      <c r="E1375" s="113">
        <v>96</v>
      </c>
      <c r="F1375" s="113">
        <v>96.8</v>
      </c>
      <c r="G1375" s="113">
        <v>87.8</v>
      </c>
      <c r="H1375" s="113">
        <f t="shared" si="152"/>
        <v>24.388888888888886</v>
      </c>
      <c r="I1375" s="113">
        <v>13.2</v>
      </c>
      <c r="J1375" s="113">
        <v>72.27</v>
      </c>
      <c r="K1375" s="113">
        <v>-41.1</v>
      </c>
      <c r="L1375" s="183"/>
      <c r="M1375" s="16">
        <v>1372</v>
      </c>
      <c r="N1375" s="16">
        <f t="shared" si="154"/>
        <v>3.5246538176591118E-2</v>
      </c>
      <c r="O1375" s="16">
        <v>3</v>
      </c>
      <c r="P1375" s="16">
        <f t="shared" si="150"/>
        <v>10.596205962059623</v>
      </c>
      <c r="Q1375" s="16">
        <f t="shared" si="155"/>
        <v>28.371580635517478</v>
      </c>
      <c r="R1375" s="113">
        <f t="shared" si="151"/>
        <v>345.36</v>
      </c>
      <c r="S1375" s="16">
        <f>IF(S1374=15800,15800,ROUND((((Q1375*60)/'Gearing Calculator'!$C$14)*'Track Data'!P1375),-2))</f>
        <v>9100</v>
      </c>
      <c r="T1375" s="16">
        <f t="shared" si="153"/>
        <v>4.5235291559310618</v>
      </c>
      <c r="U1375" s="16">
        <f>IF(AC1375=100,Braking!$AG$2354,IF(AC1375=50,Braking!$AG$1179,IF(AC1375=75,Braking!$AG$1767,0)))</f>
        <v>0</v>
      </c>
      <c r="V1375" s="16">
        <f>0.5*'Gearing Calculator'!$C$15*'Gearing Calculator'!$C$20*'Gearing Calculator'!$W$20*('Track Data'!Q1375^2)</f>
        <v>85.195546848271832</v>
      </c>
      <c r="W1375" s="16">
        <f>('Gearing Calculator'!$U$9*'Track Data'!T1375)+'Track Data'!V1375</f>
        <v>1289.3590081571203</v>
      </c>
      <c r="X1375" s="16">
        <f>('Gearing Calculator'!$U$9*9.81)*('Gearing Calculator'!$U$16/'Gearing Calculator'!$C$7)-(('Track Data'!W1375)*('Gearing Calculator'!$U$17/'Gearing Calculator'!$C$7))</f>
        <v>698.37358541434548</v>
      </c>
      <c r="Y1375" s="16">
        <f>('Gearing Calculator'!$U$9*9.81)*(('Gearing Calculator'!$C$7-'Gearing Calculator'!$U$16)/'Gearing Calculator'!$C$7)+(('Track Data'!W1375)*('Gearing Calculator'!$U$17/'Gearing Calculator'!$C$7))</f>
        <v>1913.0484145856544</v>
      </c>
      <c r="Z1375" s="16">
        <f>((X1375*COS('Gearing Calculator'!$C$21))/'Gearing Calculator'!$C$22)/2</f>
        <v>21.591502493544937</v>
      </c>
      <c r="AA1375" s="16">
        <f>Y1375/'Gearing Calculator'!$C$24</f>
        <v>26.712572320359616</v>
      </c>
      <c r="AB1375" s="16">
        <f t="shared" si="149"/>
        <v>98.76613431606502</v>
      </c>
      <c r="AC1375" s="16">
        <v>0</v>
      </c>
      <c r="AD1375" s="16">
        <v>-46.712096975939801</v>
      </c>
      <c r="AE1375" s="16">
        <v>1372</v>
      </c>
      <c r="AF1375" s="16">
        <f>IF(AC1375=0,IF(O1375=6,INDEX(Acceleration!$V$4:$V$110,MATCH('Track Data'!S1375,Acceleration!$K$4:$K$110,0)),IF('Track Data'!O1375=5,INDEX(Acceleration!$U$4:$U$110,MATCH('Track Data'!S1375,Acceleration!$K$4:$K$110,0)),1)),U1375)</f>
        <v>1</v>
      </c>
      <c r="AG1375" s="16">
        <f>IF(AC1375=0,IF(O1375=4,INDEX(Acceleration!$T$4:$T$110,MATCH('Track Data'!S1375,Acceleration!$K$4:$K$110,0)),IF('Track Data'!O1375=3,INDEX(Acceleration!$S$4:$S$110,MATCH('Track Data'!S1375,Acceleration!$K$4:$K$110,0)),'Track Data'!AF1375)),'Track Data'!U1375)</f>
        <v>4.5235291559310618</v>
      </c>
      <c r="AH1375" s="16">
        <f>IF(AC1375=0,IF(O1375=2,INDEX(Acceleration!$R$4:$R$110,MATCH('Track Data'!S1375,Acceleration!$K$4:$K$110,0)),IF('Track Data'!O1375=1,INDEX(Acceleration!$Q$4:$Q$110,MATCH('Track Data'!S1375,Acceleration!$K$4:$K$110,0)),'Track Data'!AG1375)),'Track Data'!U1375)</f>
        <v>4.5235291559310618</v>
      </c>
    </row>
    <row r="1376" spans="2:34" x14ac:dyDescent="0.25">
      <c r="B1376" s="16">
        <v>234.12899999999999</v>
      </c>
      <c r="C1376" s="16">
        <v>8646</v>
      </c>
      <c r="D1376" s="16">
        <v>1373</v>
      </c>
      <c r="E1376" s="113">
        <v>96</v>
      </c>
      <c r="F1376" s="113">
        <v>96.1</v>
      </c>
      <c r="G1376" s="113">
        <v>87.7</v>
      </c>
      <c r="H1376" s="113">
        <f t="shared" si="152"/>
        <v>24.361111111111111</v>
      </c>
      <c r="I1376" s="113">
        <v>16.3</v>
      </c>
      <c r="J1376" s="113">
        <v>74.42</v>
      </c>
      <c r="K1376" s="113">
        <v>-28.1</v>
      </c>
      <c r="L1376" s="183"/>
      <c r="M1376" s="16">
        <v>1373</v>
      </c>
      <c r="N1376" s="16">
        <f t="shared" si="154"/>
        <v>3.5246538176591118E-2</v>
      </c>
      <c r="O1376" s="16">
        <v>3</v>
      </c>
      <c r="P1376" s="16">
        <f t="shared" si="150"/>
        <v>10.596205962059623</v>
      </c>
      <c r="Q1376" s="16">
        <f t="shared" si="155"/>
        <v>28.371580635517478</v>
      </c>
      <c r="R1376" s="113">
        <f t="shared" si="151"/>
        <v>345.36</v>
      </c>
      <c r="S1376" s="16">
        <f>IF(S1375=15800,15800,ROUND((((Q1376*60)/'Gearing Calculator'!$C$14)*'Track Data'!P1376),-2))</f>
        <v>9100</v>
      </c>
      <c r="T1376" s="16">
        <f t="shared" si="153"/>
        <v>4.5235291559310618</v>
      </c>
      <c r="U1376" s="16">
        <f>IF(AC1376=100,Braking!$AG$2354,IF(AC1376=50,Braking!$AG$1179,IF(AC1376=75,Braking!$AG$1767,0)))</f>
        <v>0</v>
      </c>
      <c r="V1376" s="16">
        <f>0.5*'Gearing Calculator'!$C$15*'Gearing Calculator'!$C$20*'Gearing Calculator'!$W$20*('Track Data'!Q1376^2)</f>
        <v>85.195546848271832</v>
      </c>
      <c r="W1376" s="16">
        <f>('Gearing Calculator'!$U$9*'Track Data'!T1376)+'Track Data'!V1376</f>
        <v>1289.3590081571203</v>
      </c>
      <c r="X1376" s="16">
        <f>('Gearing Calculator'!$U$9*9.81)*('Gearing Calculator'!$U$16/'Gearing Calculator'!$C$7)-(('Track Data'!W1376)*('Gearing Calculator'!$U$17/'Gearing Calculator'!$C$7))</f>
        <v>698.37358541434548</v>
      </c>
      <c r="Y1376" s="16">
        <f>('Gearing Calculator'!$U$9*9.81)*(('Gearing Calculator'!$C$7-'Gearing Calculator'!$U$16)/'Gearing Calculator'!$C$7)+(('Track Data'!W1376)*('Gearing Calculator'!$U$17/'Gearing Calculator'!$C$7))</f>
        <v>1913.0484145856544</v>
      </c>
      <c r="Z1376" s="16">
        <f>((X1376*COS('Gearing Calculator'!$C$21))/'Gearing Calculator'!$C$22)/2</f>
        <v>21.591502493544937</v>
      </c>
      <c r="AA1376" s="16">
        <f>Y1376/'Gearing Calculator'!$C$24</f>
        <v>26.712572320359616</v>
      </c>
      <c r="AB1376" s="16">
        <f t="shared" si="149"/>
        <v>98.76613431606502</v>
      </c>
      <c r="AC1376" s="16">
        <v>0</v>
      </c>
      <c r="AD1376" s="16">
        <v>-46.712096975939801</v>
      </c>
      <c r="AE1376" s="16">
        <v>1373</v>
      </c>
      <c r="AF1376" s="16">
        <f>IF(AC1376=0,IF(O1376=6,INDEX(Acceleration!$V$4:$V$110,MATCH('Track Data'!S1376,Acceleration!$K$4:$K$110,0)),IF('Track Data'!O1376=5,INDEX(Acceleration!$U$4:$U$110,MATCH('Track Data'!S1376,Acceleration!$K$4:$K$110,0)),1)),U1376)</f>
        <v>1</v>
      </c>
      <c r="AG1376" s="16">
        <f>IF(AC1376=0,IF(O1376=4,INDEX(Acceleration!$T$4:$T$110,MATCH('Track Data'!S1376,Acceleration!$K$4:$K$110,0)),IF('Track Data'!O1376=3,INDEX(Acceleration!$S$4:$S$110,MATCH('Track Data'!S1376,Acceleration!$K$4:$K$110,0)),'Track Data'!AF1376)),'Track Data'!U1376)</f>
        <v>4.5235291559310618</v>
      </c>
      <c r="AH1376" s="16">
        <f>IF(AC1376=0,IF(O1376=2,INDEX(Acceleration!$R$4:$R$110,MATCH('Track Data'!S1376,Acceleration!$K$4:$K$110,0)),IF('Track Data'!O1376=1,INDEX(Acceleration!$Q$4:$Q$110,MATCH('Track Data'!S1376,Acceleration!$K$4:$K$110,0)),'Track Data'!AG1376)),'Track Data'!U1376)</f>
        <v>4.5235291559310618</v>
      </c>
    </row>
    <row r="1377" spans="2:34" x14ac:dyDescent="0.25">
      <c r="B1377" s="16">
        <v>234.166</v>
      </c>
      <c r="C1377" s="16">
        <v>8647</v>
      </c>
      <c r="D1377" s="16">
        <v>1374</v>
      </c>
      <c r="E1377" s="113">
        <v>96</v>
      </c>
      <c r="F1377" s="113">
        <v>95.6</v>
      </c>
      <c r="G1377" s="113">
        <v>87.5</v>
      </c>
      <c r="H1377" s="113">
        <f t="shared" si="152"/>
        <v>24.305555555555554</v>
      </c>
      <c r="I1377" s="113">
        <v>16.2</v>
      </c>
      <c r="J1377" s="113">
        <v>77.650000000000006</v>
      </c>
      <c r="K1377" s="113">
        <v>-12.4</v>
      </c>
      <c r="L1377" s="183"/>
      <c r="M1377" s="16">
        <v>1374</v>
      </c>
      <c r="N1377" s="16">
        <f t="shared" si="154"/>
        <v>3.5246538176591118E-2</v>
      </c>
      <c r="O1377" s="16">
        <v>3</v>
      </c>
      <c r="P1377" s="16">
        <f t="shared" si="150"/>
        <v>10.596205962059623</v>
      </c>
      <c r="Q1377" s="16">
        <f t="shared" si="155"/>
        <v>28.371580635517478</v>
      </c>
      <c r="R1377" s="113">
        <f t="shared" si="151"/>
        <v>345.36</v>
      </c>
      <c r="S1377" s="16">
        <f>IF(S1376=15800,15800,ROUND((((Q1377*60)/'Gearing Calculator'!$C$14)*'Track Data'!P1377),-2))</f>
        <v>9100</v>
      </c>
      <c r="T1377" s="16">
        <f t="shared" si="153"/>
        <v>4.5235291559310618</v>
      </c>
      <c r="U1377" s="16">
        <f>IF(AC1377=100,Braking!$AG$2354,IF(AC1377=50,Braking!$AG$1179,IF(AC1377=75,Braking!$AG$1767,0)))</f>
        <v>0</v>
      </c>
      <c r="V1377" s="16">
        <f>0.5*'Gearing Calculator'!$C$15*'Gearing Calculator'!$C$20*'Gearing Calculator'!$W$20*('Track Data'!Q1377^2)</f>
        <v>85.195546848271832</v>
      </c>
      <c r="W1377" s="16">
        <f>('Gearing Calculator'!$U$9*'Track Data'!T1377)+'Track Data'!V1377</f>
        <v>1289.3590081571203</v>
      </c>
      <c r="X1377" s="16">
        <f>('Gearing Calculator'!$U$9*9.81)*('Gearing Calculator'!$U$16/'Gearing Calculator'!$C$7)-(('Track Data'!W1377)*('Gearing Calculator'!$U$17/'Gearing Calculator'!$C$7))</f>
        <v>698.37358541434548</v>
      </c>
      <c r="Y1377" s="16">
        <f>('Gearing Calculator'!$U$9*9.81)*(('Gearing Calculator'!$C$7-'Gearing Calculator'!$U$16)/'Gearing Calculator'!$C$7)+(('Track Data'!W1377)*('Gearing Calculator'!$U$17/'Gearing Calculator'!$C$7))</f>
        <v>1913.0484145856544</v>
      </c>
      <c r="Z1377" s="16">
        <f>((X1377*COS('Gearing Calculator'!$C$21))/'Gearing Calculator'!$C$22)/2</f>
        <v>21.591502493544937</v>
      </c>
      <c r="AA1377" s="16">
        <f>Y1377/'Gearing Calculator'!$C$24</f>
        <v>26.712572320359616</v>
      </c>
      <c r="AB1377" s="16">
        <f t="shared" si="149"/>
        <v>98.76613431606502</v>
      </c>
      <c r="AC1377" s="16">
        <v>0</v>
      </c>
      <c r="AD1377" s="16">
        <v>-46.712096975939801</v>
      </c>
      <c r="AE1377" s="16">
        <v>1374</v>
      </c>
      <c r="AF1377" s="16">
        <f>IF(AC1377=0,IF(O1377=6,INDEX(Acceleration!$V$4:$V$110,MATCH('Track Data'!S1377,Acceleration!$K$4:$K$110,0)),IF('Track Data'!O1377=5,INDEX(Acceleration!$U$4:$U$110,MATCH('Track Data'!S1377,Acceleration!$K$4:$K$110,0)),1)),U1377)</f>
        <v>1</v>
      </c>
      <c r="AG1377" s="16">
        <f>IF(AC1377=0,IF(O1377=4,INDEX(Acceleration!$T$4:$T$110,MATCH('Track Data'!S1377,Acceleration!$K$4:$K$110,0)),IF('Track Data'!O1377=3,INDEX(Acceleration!$S$4:$S$110,MATCH('Track Data'!S1377,Acceleration!$K$4:$K$110,0)),'Track Data'!AF1377)),'Track Data'!U1377)</f>
        <v>4.5235291559310618</v>
      </c>
      <c r="AH1377" s="16">
        <f>IF(AC1377=0,IF(O1377=2,INDEX(Acceleration!$R$4:$R$110,MATCH('Track Data'!S1377,Acceleration!$K$4:$K$110,0)),IF('Track Data'!O1377=1,INDEX(Acceleration!$Q$4:$Q$110,MATCH('Track Data'!S1377,Acceleration!$K$4:$K$110,0)),'Track Data'!AG1377)),'Track Data'!U1377)</f>
        <v>4.5235291559310618</v>
      </c>
    </row>
    <row r="1378" spans="2:34" x14ac:dyDescent="0.25">
      <c r="B1378" s="16">
        <v>234.20400000000001</v>
      </c>
      <c r="C1378" s="16">
        <v>8648</v>
      </c>
      <c r="D1378" s="16">
        <v>1375</v>
      </c>
      <c r="E1378" s="113">
        <v>95</v>
      </c>
      <c r="F1378" s="113">
        <v>95</v>
      </c>
      <c r="G1378" s="113">
        <v>87.2</v>
      </c>
      <c r="H1378" s="113">
        <f t="shared" si="152"/>
        <v>24.222222222222221</v>
      </c>
      <c r="I1378" s="113">
        <v>17.899999999999999</v>
      </c>
      <c r="J1378" s="113">
        <v>75.94</v>
      </c>
      <c r="K1378" s="113">
        <v>-12.4</v>
      </c>
      <c r="L1378" s="183"/>
      <c r="M1378" s="16">
        <v>1375</v>
      </c>
      <c r="N1378" s="16">
        <f t="shared" si="154"/>
        <v>3.5246538176591118E-2</v>
      </c>
      <c r="O1378" s="16">
        <v>3</v>
      </c>
      <c r="P1378" s="16">
        <f t="shared" si="150"/>
        <v>10.596205962059623</v>
      </c>
      <c r="Q1378" s="16">
        <f t="shared" si="155"/>
        <v>28.371580635517478</v>
      </c>
      <c r="R1378" s="113">
        <f t="shared" si="151"/>
        <v>345.36</v>
      </c>
      <c r="S1378" s="16">
        <f>IF(S1377=15800,15800,ROUND((((Q1378*60)/'Gearing Calculator'!$C$14)*'Track Data'!P1378),-2))</f>
        <v>9100</v>
      </c>
      <c r="T1378" s="16">
        <f t="shared" si="153"/>
        <v>4.5235291559310618</v>
      </c>
      <c r="U1378" s="16">
        <f>IF(AC1378=100,Braking!$AG$2354,IF(AC1378=50,Braking!$AG$1179,IF(AC1378=75,Braking!$AG$1767,0)))</f>
        <v>0</v>
      </c>
      <c r="V1378" s="16">
        <f>0.5*'Gearing Calculator'!$C$15*'Gearing Calculator'!$C$20*'Gearing Calculator'!$W$20*('Track Data'!Q1378^2)</f>
        <v>85.195546848271832</v>
      </c>
      <c r="W1378" s="16">
        <f>('Gearing Calculator'!$U$9*'Track Data'!T1378)+'Track Data'!V1378</f>
        <v>1289.3590081571203</v>
      </c>
      <c r="X1378" s="16">
        <f>('Gearing Calculator'!$U$9*9.81)*('Gearing Calculator'!$U$16/'Gearing Calculator'!$C$7)-(('Track Data'!W1378)*('Gearing Calculator'!$U$17/'Gearing Calculator'!$C$7))</f>
        <v>698.37358541434548</v>
      </c>
      <c r="Y1378" s="16">
        <f>('Gearing Calculator'!$U$9*9.81)*(('Gearing Calculator'!$C$7-'Gearing Calculator'!$U$16)/'Gearing Calculator'!$C$7)+(('Track Data'!W1378)*('Gearing Calculator'!$U$17/'Gearing Calculator'!$C$7))</f>
        <v>1913.0484145856544</v>
      </c>
      <c r="Z1378" s="16">
        <f>((X1378*COS('Gearing Calculator'!$C$21))/'Gearing Calculator'!$C$22)/2</f>
        <v>21.591502493544937</v>
      </c>
      <c r="AA1378" s="16">
        <f>Y1378/'Gearing Calculator'!$C$24</f>
        <v>26.712572320359616</v>
      </c>
      <c r="AB1378" s="16">
        <f t="shared" si="149"/>
        <v>98.76613431606502</v>
      </c>
      <c r="AC1378" s="16">
        <v>0</v>
      </c>
      <c r="AD1378" s="16">
        <v>-46.712096975939801</v>
      </c>
      <c r="AE1378" s="16">
        <v>1375</v>
      </c>
      <c r="AF1378" s="16">
        <f>IF(AC1378=0,IF(O1378=6,INDEX(Acceleration!$V$4:$V$110,MATCH('Track Data'!S1378,Acceleration!$K$4:$K$110,0)),IF('Track Data'!O1378=5,INDEX(Acceleration!$U$4:$U$110,MATCH('Track Data'!S1378,Acceleration!$K$4:$K$110,0)),1)),U1378)</f>
        <v>1</v>
      </c>
      <c r="AG1378" s="16">
        <f>IF(AC1378=0,IF(O1378=4,INDEX(Acceleration!$T$4:$T$110,MATCH('Track Data'!S1378,Acceleration!$K$4:$K$110,0)),IF('Track Data'!O1378=3,INDEX(Acceleration!$S$4:$S$110,MATCH('Track Data'!S1378,Acceleration!$K$4:$K$110,0)),'Track Data'!AF1378)),'Track Data'!U1378)</f>
        <v>4.5235291559310618</v>
      </c>
      <c r="AH1378" s="16">
        <f>IF(AC1378=0,IF(O1378=2,INDEX(Acceleration!$R$4:$R$110,MATCH('Track Data'!S1378,Acceleration!$K$4:$K$110,0)),IF('Track Data'!O1378=1,INDEX(Acceleration!$Q$4:$Q$110,MATCH('Track Data'!S1378,Acceleration!$K$4:$K$110,0)),'Track Data'!AG1378)),'Track Data'!U1378)</f>
        <v>4.5235291559310618</v>
      </c>
    </row>
    <row r="1379" spans="2:34" x14ac:dyDescent="0.25">
      <c r="B1379" s="16">
        <v>234.24100000000001</v>
      </c>
      <c r="C1379" s="16">
        <v>8649</v>
      </c>
      <c r="D1379" s="16">
        <v>1376</v>
      </c>
      <c r="E1379" s="113">
        <v>95</v>
      </c>
      <c r="F1379" s="113">
        <v>94.2</v>
      </c>
      <c r="G1379" s="113">
        <v>86.9</v>
      </c>
      <c r="H1379" s="113">
        <f t="shared" si="152"/>
        <v>24.138888888888889</v>
      </c>
      <c r="I1379" s="113">
        <v>17.3</v>
      </c>
      <c r="J1379" s="113">
        <v>71.56</v>
      </c>
      <c r="K1379" s="113">
        <v>-13.3</v>
      </c>
      <c r="L1379" s="183"/>
      <c r="M1379" s="16">
        <v>1376</v>
      </c>
      <c r="N1379" s="16">
        <f t="shared" si="154"/>
        <v>3.5246538176591118E-2</v>
      </c>
      <c r="O1379" s="16">
        <v>3</v>
      </c>
      <c r="P1379" s="16">
        <f t="shared" si="150"/>
        <v>10.596205962059623</v>
      </c>
      <c r="Q1379" s="16">
        <f t="shared" si="155"/>
        <v>28.371580635517478</v>
      </c>
      <c r="R1379" s="113">
        <f t="shared" si="151"/>
        <v>345.36</v>
      </c>
      <c r="S1379" s="16">
        <f>IF(S1378=15800,15800,ROUND((((Q1379*60)/'Gearing Calculator'!$C$14)*'Track Data'!P1379),-2))</f>
        <v>9100</v>
      </c>
      <c r="T1379" s="16">
        <f t="shared" si="153"/>
        <v>4.5235291559310618</v>
      </c>
      <c r="U1379" s="16">
        <f>IF(AC1379=100,Braking!$AG$2354,IF(AC1379=50,Braking!$AG$1179,IF(AC1379=75,Braking!$AG$1767,0)))</f>
        <v>0</v>
      </c>
      <c r="V1379" s="16">
        <f>0.5*'Gearing Calculator'!$C$15*'Gearing Calculator'!$C$20*'Gearing Calculator'!$W$20*('Track Data'!Q1379^2)</f>
        <v>85.195546848271832</v>
      </c>
      <c r="W1379" s="16">
        <f>('Gearing Calculator'!$U$9*'Track Data'!T1379)+'Track Data'!V1379</f>
        <v>1289.3590081571203</v>
      </c>
      <c r="X1379" s="16">
        <f>('Gearing Calculator'!$U$9*9.81)*('Gearing Calculator'!$U$16/'Gearing Calculator'!$C$7)-(('Track Data'!W1379)*('Gearing Calculator'!$U$17/'Gearing Calculator'!$C$7))</f>
        <v>698.37358541434548</v>
      </c>
      <c r="Y1379" s="16">
        <f>('Gearing Calculator'!$U$9*9.81)*(('Gearing Calculator'!$C$7-'Gearing Calculator'!$U$16)/'Gearing Calculator'!$C$7)+(('Track Data'!W1379)*('Gearing Calculator'!$U$17/'Gearing Calculator'!$C$7))</f>
        <v>1913.0484145856544</v>
      </c>
      <c r="Z1379" s="16">
        <f>((X1379*COS('Gearing Calculator'!$C$21))/'Gearing Calculator'!$C$22)/2</f>
        <v>21.591502493544937</v>
      </c>
      <c r="AA1379" s="16">
        <f>Y1379/'Gearing Calculator'!$C$24</f>
        <v>26.712572320359616</v>
      </c>
      <c r="AB1379" s="16">
        <f t="shared" si="149"/>
        <v>98.76613431606502</v>
      </c>
      <c r="AC1379" s="16">
        <v>0</v>
      </c>
      <c r="AD1379" s="16">
        <v>-46.712096975939801</v>
      </c>
      <c r="AE1379" s="16">
        <v>1376</v>
      </c>
      <c r="AF1379" s="16">
        <f>IF(AC1379=0,IF(O1379=6,INDEX(Acceleration!$V$4:$V$110,MATCH('Track Data'!S1379,Acceleration!$K$4:$K$110,0)),IF('Track Data'!O1379=5,INDEX(Acceleration!$U$4:$U$110,MATCH('Track Data'!S1379,Acceleration!$K$4:$K$110,0)),1)),U1379)</f>
        <v>1</v>
      </c>
      <c r="AG1379" s="16">
        <f>IF(AC1379=0,IF(O1379=4,INDEX(Acceleration!$T$4:$T$110,MATCH('Track Data'!S1379,Acceleration!$K$4:$K$110,0)),IF('Track Data'!O1379=3,INDEX(Acceleration!$S$4:$S$110,MATCH('Track Data'!S1379,Acceleration!$K$4:$K$110,0)),'Track Data'!AF1379)),'Track Data'!U1379)</f>
        <v>4.5235291559310618</v>
      </c>
      <c r="AH1379" s="16">
        <f>IF(AC1379=0,IF(O1379=2,INDEX(Acceleration!$R$4:$R$110,MATCH('Track Data'!S1379,Acceleration!$K$4:$K$110,0)),IF('Track Data'!O1379=1,INDEX(Acceleration!$Q$4:$Q$110,MATCH('Track Data'!S1379,Acceleration!$K$4:$K$110,0)),'Track Data'!AG1379)),'Track Data'!U1379)</f>
        <v>4.5235291559310618</v>
      </c>
    </row>
    <row r="1380" spans="2:34" x14ac:dyDescent="0.25">
      <c r="B1380" s="16">
        <v>234.279</v>
      </c>
      <c r="C1380" s="16">
        <v>8649</v>
      </c>
      <c r="D1380" s="16">
        <v>1377</v>
      </c>
      <c r="E1380" s="113">
        <v>94</v>
      </c>
      <c r="F1380" s="113">
        <v>94</v>
      </c>
      <c r="G1380" s="113">
        <v>86.6</v>
      </c>
      <c r="H1380" s="113">
        <f t="shared" si="152"/>
        <v>24.055555555555554</v>
      </c>
      <c r="I1380" s="113">
        <v>15.2</v>
      </c>
      <c r="J1380" s="113">
        <v>68.37</v>
      </c>
      <c r="K1380" s="113">
        <v>-20.5</v>
      </c>
      <c r="L1380" s="183"/>
      <c r="M1380" s="16">
        <v>1377</v>
      </c>
      <c r="N1380" s="16">
        <f t="shared" si="154"/>
        <v>3.5246538176591118E-2</v>
      </c>
      <c r="O1380" s="16">
        <v>3</v>
      </c>
      <c r="P1380" s="16">
        <f t="shared" si="150"/>
        <v>10.596205962059623</v>
      </c>
      <c r="Q1380" s="16">
        <f t="shared" si="155"/>
        <v>28.371580635517478</v>
      </c>
      <c r="R1380" s="113">
        <f t="shared" si="151"/>
        <v>345.36</v>
      </c>
      <c r="S1380" s="16">
        <f>IF(S1379=15800,15800,ROUND((((Q1380*60)/'Gearing Calculator'!$C$14)*'Track Data'!P1380),-2))</f>
        <v>9100</v>
      </c>
      <c r="T1380" s="16">
        <f t="shared" si="153"/>
        <v>4.5235291559310618</v>
      </c>
      <c r="U1380" s="16">
        <f>IF(AC1380=100,Braking!$AG$2354,IF(AC1380=50,Braking!$AG$1179,IF(AC1380=75,Braking!$AG$1767,0)))</f>
        <v>0</v>
      </c>
      <c r="V1380" s="16">
        <f>0.5*'Gearing Calculator'!$C$15*'Gearing Calculator'!$C$20*'Gearing Calculator'!$W$20*('Track Data'!Q1380^2)</f>
        <v>85.195546848271832</v>
      </c>
      <c r="W1380" s="16">
        <f>('Gearing Calculator'!$U$9*'Track Data'!T1380)+'Track Data'!V1380</f>
        <v>1289.3590081571203</v>
      </c>
      <c r="X1380" s="16">
        <f>('Gearing Calculator'!$U$9*9.81)*('Gearing Calculator'!$U$16/'Gearing Calculator'!$C$7)-(('Track Data'!W1380)*('Gearing Calculator'!$U$17/'Gearing Calculator'!$C$7))</f>
        <v>698.37358541434548</v>
      </c>
      <c r="Y1380" s="16">
        <f>('Gearing Calculator'!$U$9*9.81)*(('Gearing Calculator'!$C$7-'Gearing Calculator'!$U$16)/'Gearing Calculator'!$C$7)+(('Track Data'!W1380)*('Gearing Calculator'!$U$17/'Gearing Calculator'!$C$7))</f>
        <v>1913.0484145856544</v>
      </c>
      <c r="Z1380" s="16">
        <f>((X1380*COS('Gearing Calculator'!$C$21))/'Gearing Calculator'!$C$22)/2</f>
        <v>21.591502493544937</v>
      </c>
      <c r="AA1380" s="16">
        <f>Y1380/'Gearing Calculator'!$C$24</f>
        <v>26.712572320359616</v>
      </c>
      <c r="AB1380" s="16">
        <f t="shared" si="149"/>
        <v>98.76613431606502</v>
      </c>
      <c r="AC1380" s="16">
        <v>0</v>
      </c>
      <c r="AD1380" s="16">
        <v>-46.712096975939801</v>
      </c>
      <c r="AE1380" s="16">
        <v>1377</v>
      </c>
      <c r="AF1380" s="16">
        <f>IF(AC1380=0,IF(O1380=6,INDEX(Acceleration!$V$4:$V$110,MATCH('Track Data'!S1380,Acceleration!$K$4:$K$110,0)),IF('Track Data'!O1380=5,INDEX(Acceleration!$U$4:$U$110,MATCH('Track Data'!S1380,Acceleration!$K$4:$K$110,0)),1)),U1380)</f>
        <v>1</v>
      </c>
      <c r="AG1380" s="16">
        <f>IF(AC1380=0,IF(O1380=4,INDEX(Acceleration!$T$4:$T$110,MATCH('Track Data'!S1380,Acceleration!$K$4:$K$110,0)),IF('Track Data'!O1380=3,INDEX(Acceleration!$S$4:$S$110,MATCH('Track Data'!S1380,Acceleration!$K$4:$K$110,0)),'Track Data'!AF1380)),'Track Data'!U1380)</f>
        <v>4.5235291559310618</v>
      </c>
      <c r="AH1380" s="16">
        <f>IF(AC1380=0,IF(O1380=2,INDEX(Acceleration!$R$4:$R$110,MATCH('Track Data'!S1380,Acceleration!$K$4:$K$110,0)),IF('Track Data'!O1380=1,INDEX(Acceleration!$Q$4:$Q$110,MATCH('Track Data'!S1380,Acceleration!$K$4:$K$110,0)),'Track Data'!AG1380)),'Track Data'!U1380)</f>
        <v>4.5235291559310618</v>
      </c>
    </row>
    <row r="1381" spans="2:34" x14ac:dyDescent="0.25">
      <c r="B1381" s="16">
        <v>234.31800000000001</v>
      </c>
      <c r="C1381" s="16">
        <v>8651</v>
      </c>
      <c r="D1381" s="16">
        <v>1378</v>
      </c>
      <c r="E1381" s="113">
        <v>94</v>
      </c>
      <c r="F1381" s="113">
        <v>93.9</v>
      </c>
      <c r="G1381" s="113">
        <v>86.3</v>
      </c>
      <c r="H1381" s="113">
        <f t="shared" si="152"/>
        <v>23.972222222222221</v>
      </c>
      <c r="I1381" s="113">
        <v>12.2</v>
      </c>
      <c r="J1381" s="113">
        <v>64.739999999999995</v>
      </c>
      <c r="K1381" s="113">
        <v>-30.1</v>
      </c>
      <c r="L1381" s="183"/>
      <c r="M1381" s="16">
        <v>1378</v>
      </c>
      <c r="N1381" s="16">
        <f t="shared" si="154"/>
        <v>3.5246538176591118E-2</v>
      </c>
      <c r="O1381" s="16">
        <v>3</v>
      </c>
      <c r="P1381" s="16">
        <f t="shared" si="150"/>
        <v>10.596205962059623</v>
      </c>
      <c r="Q1381" s="16">
        <f t="shared" si="155"/>
        <v>28.371580635517478</v>
      </c>
      <c r="R1381" s="113">
        <f t="shared" si="151"/>
        <v>345.36</v>
      </c>
      <c r="S1381" s="16">
        <f>IF(S1380=15800,15800,ROUND((((Q1381*60)/'Gearing Calculator'!$C$14)*'Track Data'!P1381),-2))</f>
        <v>9100</v>
      </c>
      <c r="T1381" s="16">
        <f t="shared" si="153"/>
        <v>4.5235291559310618</v>
      </c>
      <c r="U1381" s="16">
        <f>IF(AC1381=100,Braking!$AG$2354,IF(AC1381=50,Braking!$AG$1179,IF(AC1381=75,Braking!$AG$1767,0)))</f>
        <v>0</v>
      </c>
      <c r="V1381" s="16">
        <f>0.5*'Gearing Calculator'!$C$15*'Gearing Calculator'!$C$20*'Gearing Calculator'!$W$20*('Track Data'!Q1381^2)</f>
        <v>85.195546848271832</v>
      </c>
      <c r="W1381" s="16">
        <f>('Gearing Calculator'!$U$9*'Track Data'!T1381)+'Track Data'!V1381</f>
        <v>1289.3590081571203</v>
      </c>
      <c r="X1381" s="16">
        <f>('Gearing Calculator'!$U$9*9.81)*('Gearing Calculator'!$U$16/'Gearing Calculator'!$C$7)-(('Track Data'!W1381)*('Gearing Calculator'!$U$17/'Gearing Calculator'!$C$7))</f>
        <v>698.37358541434548</v>
      </c>
      <c r="Y1381" s="16">
        <f>('Gearing Calculator'!$U$9*9.81)*(('Gearing Calculator'!$C$7-'Gearing Calculator'!$U$16)/'Gearing Calculator'!$C$7)+(('Track Data'!W1381)*('Gearing Calculator'!$U$17/'Gearing Calculator'!$C$7))</f>
        <v>1913.0484145856544</v>
      </c>
      <c r="Z1381" s="16">
        <f>((X1381*COS('Gearing Calculator'!$C$21))/'Gearing Calculator'!$C$22)/2</f>
        <v>21.591502493544937</v>
      </c>
      <c r="AA1381" s="16">
        <f>Y1381/'Gearing Calculator'!$C$24</f>
        <v>26.712572320359616</v>
      </c>
      <c r="AB1381" s="16">
        <f t="shared" si="149"/>
        <v>98.76613431606502</v>
      </c>
      <c r="AC1381" s="16">
        <v>0</v>
      </c>
      <c r="AD1381" s="16">
        <v>-46.712096975939801</v>
      </c>
      <c r="AE1381" s="16">
        <v>1378</v>
      </c>
      <c r="AF1381" s="16">
        <f>IF(AC1381=0,IF(O1381=6,INDEX(Acceleration!$V$4:$V$110,MATCH('Track Data'!S1381,Acceleration!$K$4:$K$110,0)),IF('Track Data'!O1381=5,INDEX(Acceleration!$U$4:$U$110,MATCH('Track Data'!S1381,Acceleration!$K$4:$K$110,0)),1)),U1381)</f>
        <v>1</v>
      </c>
      <c r="AG1381" s="16">
        <f>IF(AC1381=0,IF(O1381=4,INDEX(Acceleration!$T$4:$T$110,MATCH('Track Data'!S1381,Acceleration!$K$4:$K$110,0)),IF('Track Data'!O1381=3,INDEX(Acceleration!$S$4:$S$110,MATCH('Track Data'!S1381,Acceleration!$K$4:$K$110,0)),'Track Data'!AF1381)),'Track Data'!U1381)</f>
        <v>4.5235291559310618</v>
      </c>
      <c r="AH1381" s="16">
        <f>IF(AC1381=0,IF(O1381=2,INDEX(Acceleration!$R$4:$R$110,MATCH('Track Data'!S1381,Acceleration!$K$4:$K$110,0)),IF('Track Data'!O1381=1,INDEX(Acceleration!$Q$4:$Q$110,MATCH('Track Data'!S1381,Acceleration!$K$4:$K$110,0)),'Track Data'!AG1381)),'Track Data'!U1381)</f>
        <v>4.5235291559310618</v>
      </c>
    </row>
    <row r="1382" spans="2:34" x14ac:dyDescent="0.25">
      <c r="B1382" s="16">
        <v>234.35599999999999</v>
      </c>
      <c r="C1382" s="16">
        <v>8652</v>
      </c>
      <c r="D1382" s="16">
        <v>1379</v>
      </c>
      <c r="E1382" s="113">
        <v>94</v>
      </c>
      <c r="F1382" s="113">
        <v>94</v>
      </c>
      <c r="G1382" s="113">
        <v>85.9</v>
      </c>
      <c r="H1382" s="113">
        <f t="shared" si="152"/>
        <v>23.861111111111111</v>
      </c>
      <c r="I1382" s="113">
        <v>11.3</v>
      </c>
      <c r="J1382" s="113">
        <v>66.400000000000006</v>
      </c>
      <c r="K1382" s="113">
        <v>-35.299999999999997</v>
      </c>
      <c r="L1382" s="183"/>
      <c r="M1382" s="16">
        <v>1379</v>
      </c>
      <c r="N1382" s="16">
        <f t="shared" si="154"/>
        <v>3.5246538176591118E-2</v>
      </c>
      <c r="O1382" s="16">
        <v>3</v>
      </c>
      <c r="P1382" s="16">
        <f t="shared" si="150"/>
        <v>10.596205962059623</v>
      </c>
      <c r="Q1382" s="16">
        <f t="shared" si="155"/>
        <v>28.371580635517478</v>
      </c>
      <c r="R1382" s="113">
        <f t="shared" si="151"/>
        <v>345.36</v>
      </c>
      <c r="S1382" s="16">
        <f>IF(S1381=15800,15800,ROUND((((Q1382*60)/'Gearing Calculator'!$C$14)*'Track Data'!P1382),-2))</f>
        <v>9100</v>
      </c>
      <c r="T1382" s="16">
        <f t="shared" si="153"/>
        <v>4.5235291559310618</v>
      </c>
      <c r="U1382" s="16">
        <f>IF(AC1382=100,Braking!$AG$2354,IF(AC1382=50,Braking!$AG$1179,IF(AC1382=75,Braking!$AG$1767,0)))</f>
        <v>0</v>
      </c>
      <c r="V1382" s="16">
        <f>0.5*'Gearing Calculator'!$C$15*'Gearing Calculator'!$C$20*'Gearing Calculator'!$W$20*('Track Data'!Q1382^2)</f>
        <v>85.195546848271832</v>
      </c>
      <c r="W1382" s="16">
        <f>('Gearing Calculator'!$U$9*'Track Data'!T1382)+'Track Data'!V1382</f>
        <v>1289.3590081571203</v>
      </c>
      <c r="X1382" s="16">
        <f>('Gearing Calculator'!$U$9*9.81)*('Gearing Calculator'!$U$16/'Gearing Calculator'!$C$7)-(('Track Data'!W1382)*('Gearing Calculator'!$U$17/'Gearing Calculator'!$C$7))</f>
        <v>698.37358541434548</v>
      </c>
      <c r="Y1382" s="16">
        <f>('Gearing Calculator'!$U$9*9.81)*(('Gearing Calculator'!$C$7-'Gearing Calculator'!$U$16)/'Gearing Calculator'!$C$7)+(('Track Data'!W1382)*('Gearing Calculator'!$U$17/'Gearing Calculator'!$C$7))</f>
        <v>1913.0484145856544</v>
      </c>
      <c r="Z1382" s="16">
        <f>((X1382*COS('Gearing Calculator'!$C$21))/'Gearing Calculator'!$C$22)/2</f>
        <v>21.591502493544937</v>
      </c>
      <c r="AA1382" s="16">
        <f>Y1382/'Gearing Calculator'!$C$24</f>
        <v>26.712572320359616</v>
      </c>
      <c r="AB1382" s="16">
        <f t="shared" si="149"/>
        <v>98.76613431606502</v>
      </c>
      <c r="AC1382" s="16">
        <v>0</v>
      </c>
      <c r="AD1382" s="16">
        <v>-46.712096975939801</v>
      </c>
      <c r="AE1382" s="16">
        <v>1379</v>
      </c>
      <c r="AF1382" s="16">
        <f>IF(AC1382=0,IF(O1382=6,INDEX(Acceleration!$V$4:$V$110,MATCH('Track Data'!S1382,Acceleration!$K$4:$K$110,0)),IF('Track Data'!O1382=5,INDEX(Acceleration!$U$4:$U$110,MATCH('Track Data'!S1382,Acceleration!$K$4:$K$110,0)),1)),U1382)</f>
        <v>1</v>
      </c>
      <c r="AG1382" s="16">
        <f>IF(AC1382=0,IF(O1382=4,INDEX(Acceleration!$T$4:$T$110,MATCH('Track Data'!S1382,Acceleration!$K$4:$K$110,0)),IF('Track Data'!O1382=3,INDEX(Acceleration!$S$4:$S$110,MATCH('Track Data'!S1382,Acceleration!$K$4:$K$110,0)),'Track Data'!AF1382)),'Track Data'!U1382)</f>
        <v>4.5235291559310618</v>
      </c>
      <c r="AH1382" s="16">
        <f>IF(AC1382=0,IF(O1382=2,INDEX(Acceleration!$R$4:$R$110,MATCH('Track Data'!S1382,Acceleration!$K$4:$K$110,0)),IF('Track Data'!O1382=1,INDEX(Acceleration!$Q$4:$Q$110,MATCH('Track Data'!S1382,Acceleration!$K$4:$K$110,0)),'Track Data'!AG1382)),'Track Data'!U1382)</f>
        <v>4.5235291559310618</v>
      </c>
    </row>
    <row r="1383" spans="2:34" x14ac:dyDescent="0.25">
      <c r="B1383" s="16">
        <v>234.39400000000001</v>
      </c>
      <c r="C1383" s="16">
        <v>8653</v>
      </c>
      <c r="D1383" s="16">
        <v>1380</v>
      </c>
      <c r="E1383" s="113">
        <v>94</v>
      </c>
      <c r="F1383" s="113">
        <v>93.9</v>
      </c>
      <c r="G1383" s="113">
        <v>85.5</v>
      </c>
      <c r="H1383" s="113">
        <f t="shared" si="152"/>
        <v>23.75</v>
      </c>
      <c r="I1383" s="113">
        <v>11.3</v>
      </c>
      <c r="J1383" s="113">
        <v>69.989999999999995</v>
      </c>
      <c r="K1383" s="113">
        <v>-39.799999999999997</v>
      </c>
      <c r="L1383" s="183"/>
      <c r="M1383" s="16">
        <v>1380</v>
      </c>
      <c r="N1383" s="16">
        <f t="shared" si="154"/>
        <v>3.5246538176591118E-2</v>
      </c>
      <c r="O1383" s="16">
        <v>3</v>
      </c>
      <c r="P1383" s="16">
        <f t="shared" si="150"/>
        <v>10.596205962059623</v>
      </c>
      <c r="Q1383" s="16">
        <f t="shared" si="155"/>
        <v>28.371580635517478</v>
      </c>
      <c r="R1383" s="113">
        <f t="shared" si="151"/>
        <v>345.36</v>
      </c>
      <c r="S1383" s="16">
        <f>IF(S1382=15800,15800,ROUND((((Q1383*60)/'Gearing Calculator'!$C$14)*'Track Data'!P1383),-2))</f>
        <v>9100</v>
      </c>
      <c r="T1383" s="16">
        <f t="shared" si="153"/>
        <v>4.5235291559310618</v>
      </c>
      <c r="U1383" s="16">
        <f>IF(AC1383=100,Braking!$AG$2354,IF(AC1383=50,Braking!$AG$1179,IF(AC1383=75,Braking!$AG$1767,0)))</f>
        <v>0</v>
      </c>
      <c r="V1383" s="16">
        <f>0.5*'Gearing Calculator'!$C$15*'Gearing Calculator'!$C$20*'Gearing Calculator'!$W$20*('Track Data'!Q1383^2)</f>
        <v>85.195546848271832</v>
      </c>
      <c r="W1383" s="16">
        <f>('Gearing Calculator'!$U$9*'Track Data'!T1383)+'Track Data'!V1383</f>
        <v>1289.3590081571203</v>
      </c>
      <c r="X1383" s="16">
        <f>('Gearing Calculator'!$U$9*9.81)*('Gearing Calculator'!$U$16/'Gearing Calculator'!$C$7)-(('Track Data'!W1383)*('Gearing Calculator'!$U$17/'Gearing Calculator'!$C$7))</f>
        <v>698.37358541434548</v>
      </c>
      <c r="Y1383" s="16">
        <f>('Gearing Calculator'!$U$9*9.81)*(('Gearing Calculator'!$C$7-'Gearing Calculator'!$U$16)/'Gearing Calculator'!$C$7)+(('Track Data'!W1383)*('Gearing Calculator'!$U$17/'Gearing Calculator'!$C$7))</f>
        <v>1913.0484145856544</v>
      </c>
      <c r="Z1383" s="16">
        <f>((X1383*COS('Gearing Calculator'!$C$21))/'Gearing Calculator'!$C$22)/2</f>
        <v>21.591502493544937</v>
      </c>
      <c r="AA1383" s="16">
        <f>Y1383/'Gearing Calculator'!$C$24</f>
        <v>26.712572320359616</v>
      </c>
      <c r="AB1383" s="16">
        <f t="shared" si="149"/>
        <v>98.76613431606502</v>
      </c>
      <c r="AC1383" s="16">
        <v>0</v>
      </c>
      <c r="AD1383" s="16">
        <v>-46.712096975939801</v>
      </c>
      <c r="AE1383" s="16">
        <v>1380</v>
      </c>
      <c r="AF1383" s="16">
        <f>IF(AC1383=0,IF(O1383=6,INDEX(Acceleration!$V$4:$V$110,MATCH('Track Data'!S1383,Acceleration!$K$4:$K$110,0)),IF('Track Data'!O1383=5,INDEX(Acceleration!$U$4:$U$110,MATCH('Track Data'!S1383,Acceleration!$K$4:$K$110,0)),1)),U1383)</f>
        <v>1</v>
      </c>
      <c r="AG1383" s="16">
        <f>IF(AC1383=0,IF(O1383=4,INDEX(Acceleration!$T$4:$T$110,MATCH('Track Data'!S1383,Acceleration!$K$4:$K$110,0)),IF('Track Data'!O1383=3,INDEX(Acceleration!$S$4:$S$110,MATCH('Track Data'!S1383,Acceleration!$K$4:$K$110,0)),'Track Data'!AF1383)),'Track Data'!U1383)</f>
        <v>4.5235291559310618</v>
      </c>
      <c r="AH1383" s="16">
        <f>IF(AC1383=0,IF(O1383=2,INDEX(Acceleration!$R$4:$R$110,MATCH('Track Data'!S1383,Acceleration!$K$4:$K$110,0)),IF('Track Data'!O1383=1,INDEX(Acceleration!$Q$4:$Q$110,MATCH('Track Data'!S1383,Acceleration!$K$4:$K$110,0)),'Track Data'!AG1383)),'Track Data'!U1383)</f>
        <v>4.5235291559310618</v>
      </c>
    </row>
    <row r="1384" spans="2:34" x14ac:dyDescent="0.25">
      <c r="B1384" s="16">
        <v>234.43299999999999</v>
      </c>
      <c r="C1384" s="16">
        <v>8654</v>
      </c>
      <c r="D1384" s="16">
        <v>1381</v>
      </c>
      <c r="E1384" s="113">
        <v>94</v>
      </c>
      <c r="F1384" s="113">
        <v>92.8</v>
      </c>
      <c r="G1384" s="113">
        <v>85</v>
      </c>
      <c r="H1384" s="113">
        <f t="shared" si="152"/>
        <v>23.611111111111111</v>
      </c>
      <c r="I1384" s="113">
        <v>13</v>
      </c>
      <c r="J1384" s="113">
        <v>69.2</v>
      </c>
      <c r="K1384" s="113">
        <v>-54.3</v>
      </c>
      <c r="L1384" s="183"/>
      <c r="M1384" s="16">
        <v>1381</v>
      </c>
      <c r="N1384" s="16">
        <f t="shared" si="154"/>
        <v>3.5246538176591118E-2</v>
      </c>
      <c r="O1384" s="16">
        <v>3</v>
      </c>
      <c r="P1384" s="16">
        <f t="shared" si="150"/>
        <v>10.596205962059623</v>
      </c>
      <c r="Q1384" s="16">
        <f t="shared" si="155"/>
        <v>28.371580635517478</v>
      </c>
      <c r="R1384" s="113">
        <f t="shared" si="151"/>
        <v>345.36</v>
      </c>
      <c r="S1384" s="16">
        <f>IF(S1383=15800,15800,ROUND((((Q1384*60)/'Gearing Calculator'!$C$14)*'Track Data'!P1384),-2))</f>
        <v>9100</v>
      </c>
      <c r="T1384" s="16">
        <f t="shared" si="153"/>
        <v>4.5235291559310618</v>
      </c>
      <c r="U1384" s="16">
        <f>IF(AC1384=100,Braking!$AG$2354,IF(AC1384=50,Braking!$AG$1179,IF(AC1384=75,Braking!$AG$1767,0)))</f>
        <v>0</v>
      </c>
      <c r="V1384" s="16">
        <f>0.5*'Gearing Calculator'!$C$15*'Gearing Calculator'!$C$20*'Gearing Calculator'!$W$20*('Track Data'!Q1384^2)</f>
        <v>85.195546848271832</v>
      </c>
      <c r="W1384" s="16">
        <f>('Gearing Calculator'!$U$9*'Track Data'!T1384)+'Track Data'!V1384</f>
        <v>1289.3590081571203</v>
      </c>
      <c r="X1384" s="16">
        <f>('Gearing Calculator'!$U$9*9.81)*('Gearing Calculator'!$U$16/'Gearing Calculator'!$C$7)-(('Track Data'!W1384)*('Gearing Calculator'!$U$17/'Gearing Calculator'!$C$7))</f>
        <v>698.37358541434548</v>
      </c>
      <c r="Y1384" s="16">
        <f>('Gearing Calculator'!$U$9*9.81)*(('Gearing Calculator'!$C$7-'Gearing Calculator'!$U$16)/'Gearing Calculator'!$C$7)+(('Track Data'!W1384)*('Gearing Calculator'!$U$17/'Gearing Calculator'!$C$7))</f>
        <v>1913.0484145856544</v>
      </c>
      <c r="Z1384" s="16">
        <f>((X1384*COS('Gearing Calculator'!$C$21))/'Gearing Calculator'!$C$22)/2</f>
        <v>21.591502493544937</v>
      </c>
      <c r="AA1384" s="16">
        <f>Y1384/'Gearing Calculator'!$C$24</f>
        <v>26.712572320359616</v>
      </c>
      <c r="AB1384" s="16">
        <f t="shared" si="149"/>
        <v>98.76613431606502</v>
      </c>
      <c r="AC1384" s="16">
        <v>0</v>
      </c>
      <c r="AD1384" s="16">
        <v>-46.712096975939801</v>
      </c>
      <c r="AE1384" s="16">
        <v>1381</v>
      </c>
      <c r="AF1384" s="16">
        <f>IF(AC1384=0,IF(O1384=6,INDEX(Acceleration!$V$4:$V$110,MATCH('Track Data'!S1384,Acceleration!$K$4:$K$110,0)),IF('Track Data'!O1384=5,INDEX(Acceleration!$U$4:$U$110,MATCH('Track Data'!S1384,Acceleration!$K$4:$K$110,0)),1)),U1384)</f>
        <v>1</v>
      </c>
      <c r="AG1384" s="16">
        <f>IF(AC1384=0,IF(O1384=4,INDEX(Acceleration!$T$4:$T$110,MATCH('Track Data'!S1384,Acceleration!$K$4:$K$110,0)),IF('Track Data'!O1384=3,INDEX(Acceleration!$S$4:$S$110,MATCH('Track Data'!S1384,Acceleration!$K$4:$K$110,0)),'Track Data'!AF1384)),'Track Data'!U1384)</f>
        <v>4.5235291559310618</v>
      </c>
      <c r="AH1384" s="16">
        <f>IF(AC1384=0,IF(O1384=2,INDEX(Acceleration!$R$4:$R$110,MATCH('Track Data'!S1384,Acceleration!$K$4:$K$110,0)),IF('Track Data'!O1384=1,INDEX(Acceleration!$Q$4:$Q$110,MATCH('Track Data'!S1384,Acceleration!$K$4:$K$110,0)),'Track Data'!AG1384)),'Track Data'!U1384)</f>
        <v>4.5235291559310618</v>
      </c>
    </row>
    <row r="1385" spans="2:34" x14ac:dyDescent="0.25">
      <c r="B1385" s="16">
        <v>234.471</v>
      </c>
      <c r="C1385" s="16">
        <v>8655</v>
      </c>
      <c r="D1385" s="16">
        <v>1382</v>
      </c>
      <c r="E1385" s="113">
        <v>95</v>
      </c>
      <c r="F1385" s="113">
        <v>93</v>
      </c>
      <c r="G1385" s="113">
        <v>84.6</v>
      </c>
      <c r="H1385" s="113">
        <f t="shared" si="152"/>
        <v>23.499999999999996</v>
      </c>
      <c r="I1385" s="113">
        <v>16.5</v>
      </c>
      <c r="J1385" s="113">
        <v>68.34</v>
      </c>
      <c r="K1385" s="113">
        <v>-70.5</v>
      </c>
      <c r="L1385" s="183"/>
      <c r="M1385" s="16">
        <v>1382</v>
      </c>
      <c r="N1385" s="16">
        <f t="shared" si="154"/>
        <v>3.5246538176591118E-2</v>
      </c>
      <c r="O1385" s="16">
        <v>3</v>
      </c>
      <c r="P1385" s="16">
        <f t="shared" si="150"/>
        <v>10.596205962059623</v>
      </c>
      <c r="Q1385" s="16">
        <f t="shared" si="155"/>
        <v>28.371580635517478</v>
      </c>
      <c r="R1385" s="113">
        <f t="shared" si="151"/>
        <v>345.36</v>
      </c>
      <c r="S1385" s="16">
        <f>IF(S1384=15800,15800,ROUND((((Q1385*60)/'Gearing Calculator'!$C$14)*'Track Data'!P1385),-2))</f>
        <v>9100</v>
      </c>
      <c r="T1385" s="16">
        <f t="shared" si="153"/>
        <v>4.5235291559310618</v>
      </c>
      <c r="U1385" s="16">
        <f>IF(AC1385=100,Braking!$AG$2354,IF(AC1385=50,Braking!$AG$1179,IF(AC1385=75,Braking!$AG$1767,0)))</f>
        <v>0</v>
      </c>
      <c r="V1385" s="16">
        <f>0.5*'Gearing Calculator'!$C$15*'Gearing Calculator'!$C$20*'Gearing Calculator'!$W$20*('Track Data'!Q1385^2)</f>
        <v>85.195546848271832</v>
      </c>
      <c r="W1385" s="16">
        <f>('Gearing Calculator'!$U$9*'Track Data'!T1385)+'Track Data'!V1385</f>
        <v>1289.3590081571203</v>
      </c>
      <c r="X1385" s="16">
        <f>('Gearing Calculator'!$U$9*9.81)*('Gearing Calculator'!$U$16/'Gearing Calculator'!$C$7)-(('Track Data'!W1385)*('Gearing Calculator'!$U$17/'Gearing Calculator'!$C$7))</f>
        <v>698.37358541434548</v>
      </c>
      <c r="Y1385" s="16">
        <f>('Gearing Calculator'!$U$9*9.81)*(('Gearing Calculator'!$C$7-'Gearing Calculator'!$U$16)/'Gearing Calculator'!$C$7)+(('Track Data'!W1385)*('Gearing Calculator'!$U$17/'Gearing Calculator'!$C$7))</f>
        <v>1913.0484145856544</v>
      </c>
      <c r="Z1385" s="16">
        <f>((X1385*COS('Gearing Calculator'!$C$21))/'Gearing Calculator'!$C$22)/2</f>
        <v>21.591502493544937</v>
      </c>
      <c r="AA1385" s="16">
        <f>Y1385/'Gearing Calculator'!$C$24</f>
        <v>26.712572320359616</v>
      </c>
      <c r="AB1385" s="16">
        <f t="shared" si="149"/>
        <v>98.76613431606502</v>
      </c>
      <c r="AC1385" s="16">
        <v>0</v>
      </c>
      <c r="AD1385" s="16">
        <v>-46.712096975939801</v>
      </c>
      <c r="AE1385" s="16">
        <v>1382</v>
      </c>
      <c r="AF1385" s="16">
        <f>IF(AC1385=0,IF(O1385=6,INDEX(Acceleration!$V$4:$V$110,MATCH('Track Data'!S1385,Acceleration!$K$4:$K$110,0)),IF('Track Data'!O1385=5,INDEX(Acceleration!$U$4:$U$110,MATCH('Track Data'!S1385,Acceleration!$K$4:$K$110,0)),1)),U1385)</f>
        <v>1</v>
      </c>
      <c r="AG1385" s="16">
        <f>IF(AC1385=0,IF(O1385=4,INDEX(Acceleration!$T$4:$T$110,MATCH('Track Data'!S1385,Acceleration!$K$4:$K$110,0)),IF('Track Data'!O1385=3,INDEX(Acceleration!$S$4:$S$110,MATCH('Track Data'!S1385,Acceleration!$K$4:$K$110,0)),'Track Data'!AF1385)),'Track Data'!U1385)</f>
        <v>4.5235291559310618</v>
      </c>
      <c r="AH1385" s="16">
        <f>IF(AC1385=0,IF(O1385=2,INDEX(Acceleration!$R$4:$R$110,MATCH('Track Data'!S1385,Acceleration!$K$4:$K$110,0)),IF('Track Data'!O1385=1,INDEX(Acceleration!$Q$4:$Q$110,MATCH('Track Data'!S1385,Acceleration!$K$4:$K$110,0)),'Track Data'!AG1385)),'Track Data'!U1385)</f>
        <v>4.5235291559310618</v>
      </c>
    </row>
    <row r="1386" spans="2:34" x14ac:dyDescent="0.25">
      <c r="B1386" s="16">
        <v>234.51</v>
      </c>
      <c r="C1386" s="16">
        <v>8656</v>
      </c>
      <c r="D1386" s="16">
        <v>1383</v>
      </c>
      <c r="E1386" s="113">
        <v>95</v>
      </c>
      <c r="F1386" s="113">
        <v>92.8</v>
      </c>
      <c r="G1386" s="113">
        <v>84.1</v>
      </c>
      <c r="H1386" s="113">
        <f t="shared" si="152"/>
        <v>23.361111111111111</v>
      </c>
      <c r="I1386" s="113">
        <v>15.6</v>
      </c>
      <c r="J1386" s="113">
        <v>65.52</v>
      </c>
      <c r="K1386" s="113">
        <v>-62.7</v>
      </c>
      <c r="L1386" s="183"/>
      <c r="M1386" s="16">
        <v>1383</v>
      </c>
      <c r="N1386" s="16">
        <f t="shared" si="154"/>
        <v>3.5246538176591118E-2</v>
      </c>
      <c r="O1386" s="16">
        <v>3</v>
      </c>
      <c r="P1386" s="16">
        <f t="shared" si="150"/>
        <v>10.596205962059623</v>
      </c>
      <c r="Q1386" s="16">
        <f t="shared" si="155"/>
        <v>28.371580635517478</v>
      </c>
      <c r="R1386" s="113">
        <f t="shared" si="151"/>
        <v>345.36</v>
      </c>
      <c r="S1386" s="16">
        <f>IF(S1385=15800,15800,ROUND((((Q1386*60)/'Gearing Calculator'!$C$14)*'Track Data'!P1386),-2))</f>
        <v>9100</v>
      </c>
      <c r="T1386" s="16">
        <f t="shared" si="153"/>
        <v>4.5235291559310618</v>
      </c>
      <c r="U1386" s="16">
        <f>IF(AC1386=100,Braking!$AG$2354,IF(AC1386=50,Braking!$AG$1179,IF(AC1386=75,Braking!$AG$1767,0)))</f>
        <v>0</v>
      </c>
      <c r="V1386" s="16">
        <f>0.5*'Gearing Calculator'!$C$15*'Gearing Calculator'!$C$20*'Gearing Calculator'!$W$20*('Track Data'!Q1386^2)</f>
        <v>85.195546848271832</v>
      </c>
      <c r="W1386" s="16">
        <f>('Gearing Calculator'!$U$9*'Track Data'!T1386)+'Track Data'!V1386</f>
        <v>1289.3590081571203</v>
      </c>
      <c r="X1386" s="16">
        <f>('Gearing Calculator'!$U$9*9.81)*('Gearing Calculator'!$U$16/'Gearing Calculator'!$C$7)-(('Track Data'!W1386)*('Gearing Calculator'!$U$17/'Gearing Calculator'!$C$7))</f>
        <v>698.37358541434548</v>
      </c>
      <c r="Y1386" s="16">
        <f>('Gearing Calculator'!$U$9*9.81)*(('Gearing Calculator'!$C$7-'Gearing Calculator'!$U$16)/'Gearing Calculator'!$C$7)+(('Track Data'!W1386)*('Gearing Calculator'!$U$17/'Gearing Calculator'!$C$7))</f>
        <v>1913.0484145856544</v>
      </c>
      <c r="Z1386" s="16">
        <f>((X1386*COS('Gearing Calculator'!$C$21))/'Gearing Calculator'!$C$22)/2</f>
        <v>21.591502493544937</v>
      </c>
      <c r="AA1386" s="16">
        <f>Y1386/'Gearing Calculator'!$C$24</f>
        <v>26.712572320359616</v>
      </c>
      <c r="AB1386" s="16">
        <f t="shared" si="149"/>
        <v>98.76613431606502</v>
      </c>
      <c r="AC1386" s="16">
        <v>0</v>
      </c>
      <c r="AD1386" s="16">
        <v>-46.712096975939801</v>
      </c>
      <c r="AE1386" s="16">
        <v>1383</v>
      </c>
      <c r="AF1386" s="16">
        <f>IF(AC1386=0,IF(O1386=6,INDEX(Acceleration!$V$4:$V$110,MATCH('Track Data'!S1386,Acceleration!$K$4:$K$110,0)),IF('Track Data'!O1386=5,INDEX(Acceleration!$U$4:$U$110,MATCH('Track Data'!S1386,Acceleration!$K$4:$K$110,0)),1)),U1386)</f>
        <v>1</v>
      </c>
      <c r="AG1386" s="16">
        <f>IF(AC1386=0,IF(O1386=4,INDEX(Acceleration!$T$4:$T$110,MATCH('Track Data'!S1386,Acceleration!$K$4:$K$110,0)),IF('Track Data'!O1386=3,INDEX(Acceleration!$S$4:$S$110,MATCH('Track Data'!S1386,Acceleration!$K$4:$K$110,0)),'Track Data'!AF1386)),'Track Data'!U1386)</f>
        <v>4.5235291559310618</v>
      </c>
      <c r="AH1386" s="16">
        <f>IF(AC1386=0,IF(O1386=2,INDEX(Acceleration!$R$4:$R$110,MATCH('Track Data'!S1386,Acceleration!$K$4:$K$110,0)),IF('Track Data'!O1386=1,INDEX(Acceleration!$Q$4:$Q$110,MATCH('Track Data'!S1386,Acceleration!$K$4:$K$110,0)),'Track Data'!AG1386)),'Track Data'!U1386)</f>
        <v>4.5235291559310618</v>
      </c>
    </row>
    <row r="1387" spans="2:34" x14ac:dyDescent="0.25">
      <c r="B1387" s="16">
        <v>234.548</v>
      </c>
      <c r="C1387" s="16">
        <v>8657</v>
      </c>
      <c r="D1387" s="16">
        <v>1384</v>
      </c>
      <c r="E1387" s="113">
        <v>95</v>
      </c>
      <c r="F1387" s="113">
        <v>92.8</v>
      </c>
      <c r="G1387" s="113">
        <v>83.8</v>
      </c>
      <c r="H1387" s="113">
        <f t="shared" si="152"/>
        <v>23.277777777777775</v>
      </c>
      <c r="I1387" s="113">
        <v>13.7</v>
      </c>
      <c r="J1387" s="113">
        <v>63.53</v>
      </c>
      <c r="K1387" s="113">
        <v>-53.5</v>
      </c>
      <c r="L1387" s="183"/>
      <c r="M1387" s="16">
        <v>1384</v>
      </c>
      <c r="N1387" s="16">
        <f t="shared" si="154"/>
        <v>3.5246538176591118E-2</v>
      </c>
      <c r="O1387" s="16">
        <v>3</v>
      </c>
      <c r="P1387" s="16">
        <f t="shared" si="150"/>
        <v>10.596205962059623</v>
      </c>
      <c r="Q1387" s="16">
        <f t="shared" si="155"/>
        <v>28.371580635517478</v>
      </c>
      <c r="R1387" s="113">
        <f t="shared" si="151"/>
        <v>345.36</v>
      </c>
      <c r="S1387" s="16">
        <f>IF(S1386=15800,15800,ROUND((((Q1387*60)/'Gearing Calculator'!$C$14)*'Track Data'!P1387),-2))</f>
        <v>9100</v>
      </c>
      <c r="T1387" s="16">
        <f t="shared" si="153"/>
        <v>4.5235291559310618</v>
      </c>
      <c r="U1387" s="16">
        <f>IF(AC1387=100,Braking!$AG$2354,IF(AC1387=50,Braking!$AG$1179,IF(AC1387=75,Braking!$AG$1767,0)))</f>
        <v>0</v>
      </c>
      <c r="V1387" s="16">
        <f>0.5*'Gearing Calculator'!$C$15*'Gearing Calculator'!$C$20*'Gearing Calculator'!$W$20*('Track Data'!Q1387^2)</f>
        <v>85.195546848271832</v>
      </c>
      <c r="W1387" s="16">
        <f>('Gearing Calculator'!$U$9*'Track Data'!T1387)+'Track Data'!V1387</f>
        <v>1289.3590081571203</v>
      </c>
      <c r="X1387" s="16">
        <f>('Gearing Calculator'!$U$9*9.81)*('Gearing Calculator'!$U$16/'Gearing Calculator'!$C$7)-(('Track Data'!W1387)*('Gearing Calculator'!$U$17/'Gearing Calculator'!$C$7))</f>
        <v>698.37358541434548</v>
      </c>
      <c r="Y1387" s="16">
        <f>('Gearing Calculator'!$U$9*9.81)*(('Gearing Calculator'!$C$7-'Gearing Calculator'!$U$16)/'Gearing Calculator'!$C$7)+(('Track Data'!W1387)*('Gearing Calculator'!$U$17/'Gearing Calculator'!$C$7))</f>
        <v>1913.0484145856544</v>
      </c>
      <c r="Z1387" s="16">
        <f>((X1387*COS('Gearing Calculator'!$C$21))/'Gearing Calculator'!$C$22)/2</f>
        <v>21.591502493544937</v>
      </c>
      <c r="AA1387" s="16">
        <f>Y1387/'Gearing Calculator'!$C$24</f>
        <v>26.712572320359616</v>
      </c>
      <c r="AB1387" s="16">
        <f t="shared" si="149"/>
        <v>98.76613431606502</v>
      </c>
      <c r="AC1387" s="16">
        <v>0</v>
      </c>
      <c r="AD1387" s="16">
        <v>-46.712096975939801</v>
      </c>
      <c r="AE1387" s="16">
        <v>1384</v>
      </c>
      <c r="AF1387" s="16">
        <f>IF(AC1387=0,IF(O1387=6,INDEX(Acceleration!$V$4:$V$110,MATCH('Track Data'!S1387,Acceleration!$K$4:$K$110,0)),IF('Track Data'!O1387=5,INDEX(Acceleration!$U$4:$U$110,MATCH('Track Data'!S1387,Acceleration!$K$4:$K$110,0)),1)),U1387)</f>
        <v>1</v>
      </c>
      <c r="AG1387" s="16">
        <f>IF(AC1387=0,IF(O1387=4,INDEX(Acceleration!$T$4:$T$110,MATCH('Track Data'!S1387,Acceleration!$K$4:$K$110,0)),IF('Track Data'!O1387=3,INDEX(Acceleration!$S$4:$S$110,MATCH('Track Data'!S1387,Acceleration!$K$4:$K$110,0)),'Track Data'!AF1387)),'Track Data'!U1387)</f>
        <v>4.5235291559310618</v>
      </c>
      <c r="AH1387" s="16">
        <f>IF(AC1387=0,IF(O1387=2,INDEX(Acceleration!$R$4:$R$110,MATCH('Track Data'!S1387,Acceleration!$K$4:$K$110,0)),IF('Track Data'!O1387=1,INDEX(Acceleration!$Q$4:$Q$110,MATCH('Track Data'!S1387,Acceleration!$K$4:$K$110,0)),'Track Data'!AG1387)),'Track Data'!U1387)</f>
        <v>4.5235291559310618</v>
      </c>
    </row>
    <row r="1388" spans="2:34" x14ac:dyDescent="0.25">
      <c r="B1388" s="16">
        <v>234.58699999999999</v>
      </c>
      <c r="C1388" s="16">
        <v>8658</v>
      </c>
      <c r="D1388" s="16">
        <v>1385</v>
      </c>
      <c r="E1388" s="113">
        <v>96</v>
      </c>
      <c r="F1388" s="113">
        <v>93</v>
      </c>
      <c r="G1388" s="113">
        <v>83.7</v>
      </c>
      <c r="H1388" s="113">
        <f t="shared" si="152"/>
        <v>23.25</v>
      </c>
      <c r="I1388" s="113">
        <v>14.1</v>
      </c>
      <c r="J1388" s="113">
        <v>63.28</v>
      </c>
      <c r="K1388" s="113">
        <v>-48.5</v>
      </c>
      <c r="L1388" s="183"/>
      <c r="M1388" s="16">
        <v>1385</v>
      </c>
      <c r="N1388" s="16">
        <f t="shared" si="154"/>
        <v>3.5246538176591118E-2</v>
      </c>
      <c r="O1388" s="16">
        <v>3</v>
      </c>
      <c r="P1388" s="16">
        <f t="shared" si="150"/>
        <v>10.596205962059623</v>
      </c>
      <c r="Q1388" s="16">
        <f t="shared" si="155"/>
        <v>28.371580635517478</v>
      </c>
      <c r="R1388" s="113">
        <f t="shared" si="151"/>
        <v>345.36</v>
      </c>
      <c r="S1388" s="16">
        <f>IF(S1387=15800,15800,ROUND((((Q1388*60)/'Gearing Calculator'!$C$14)*'Track Data'!P1388),-2))</f>
        <v>9100</v>
      </c>
      <c r="T1388" s="16">
        <f t="shared" si="153"/>
        <v>4.5235291559310618</v>
      </c>
      <c r="U1388" s="16">
        <f>IF(AC1388=100,Braking!$AG$2354,IF(AC1388=50,Braking!$AG$1179,IF(AC1388=75,Braking!$AG$1767,0)))</f>
        <v>0</v>
      </c>
      <c r="V1388" s="16">
        <f>0.5*'Gearing Calculator'!$C$15*'Gearing Calculator'!$C$20*'Gearing Calculator'!$W$20*('Track Data'!Q1388^2)</f>
        <v>85.195546848271832</v>
      </c>
      <c r="W1388" s="16">
        <f>('Gearing Calculator'!$U$9*'Track Data'!T1388)+'Track Data'!V1388</f>
        <v>1289.3590081571203</v>
      </c>
      <c r="X1388" s="16">
        <f>('Gearing Calculator'!$U$9*9.81)*('Gearing Calculator'!$U$16/'Gearing Calculator'!$C$7)-(('Track Data'!W1388)*('Gearing Calculator'!$U$17/'Gearing Calculator'!$C$7))</f>
        <v>698.37358541434548</v>
      </c>
      <c r="Y1388" s="16">
        <f>('Gearing Calculator'!$U$9*9.81)*(('Gearing Calculator'!$C$7-'Gearing Calculator'!$U$16)/'Gearing Calculator'!$C$7)+(('Track Data'!W1388)*('Gearing Calculator'!$U$17/'Gearing Calculator'!$C$7))</f>
        <v>1913.0484145856544</v>
      </c>
      <c r="Z1388" s="16">
        <f>((X1388*COS('Gearing Calculator'!$C$21))/'Gearing Calculator'!$C$22)/2</f>
        <v>21.591502493544937</v>
      </c>
      <c r="AA1388" s="16">
        <f>Y1388/'Gearing Calculator'!$C$24</f>
        <v>26.712572320359616</v>
      </c>
      <c r="AB1388" s="16">
        <f t="shared" si="149"/>
        <v>98.76613431606502</v>
      </c>
      <c r="AC1388" s="16">
        <v>0</v>
      </c>
      <c r="AD1388" s="16">
        <v>-46.712096975939801</v>
      </c>
      <c r="AE1388" s="16">
        <v>1385</v>
      </c>
      <c r="AF1388" s="16">
        <f>IF(AC1388=0,IF(O1388=6,INDEX(Acceleration!$V$4:$V$110,MATCH('Track Data'!S1388,Acceleration!$K$4:$K$110,0)),IF('Track Data'!O1388=5,INDEX(Acceleration!$U$4:$U$110,MATCH('Track Data'!S1388,Acceleration!$K$4:$K$110,0)),1)),U1388)</f>
        <v>1</v>
      </c>
      <c r="AG1388" s="16">
        <f>IF(AC1388=0,IF(O1388=4,INDEX(Acceleration!$T$4:$T$110,MATCH('Track Data'!S1388,Acceleration!$K$4:$K$110,0)),IF('Track Data'!O1388=3,INDEX(Acceleration!$S$4:$S$110,MATCH('Track Data'!S1388,Acceleration!$K$4:$K$110,0)),'Track Data'!AF1388)),'Track Data'!U1388)</f>
        <v>4.5235291559310618</v>
      </c>
      <c r="AH1388" s="16">
        <f>IF(AC1388=0,IF(O1388=2,INDEX(Acceleration!$R$4:$R$110,MATCH('Track Data'!S1388,Acceleration!$K$4:$K$110,0)),IF('Track Data'!O1388=1,INDEX(Acceleration!$Q$4:$Q$110,MATCH('Track Data'!S1388,Acceleration!$K$4:$K$110,0)),'Track Data'!AG1388)),'Track Data'!U1388)</f>
        <v>4.5235291559310618</v>
      </c>
    </row>
    <row r="1389" spans="2:34" x14ac:dyDescent="0.25">
      <c r="B1389" s="16">
        <v>234.626</v>
      </c>
      <c r="C1389" s="16">
        <v>8659</v>
      </c>
      <c r="D1389" s="16">
        <v>1386</v>
      </c>
      <c r="E1389" s="113">
        <v>96</v>
      </c>
      <c r="F1389" s="113">
        <v>93.3</v>
      </c>
      <c r="G1389" s="113">
        <v>83.5</v>
      </c>
      <c r="H1389" s="113">
        <f t="shared" si="152"/>
        <v>23.194444444444443</v>
      </c>
      <c r="I1389" s="113">
        <v>14.4</v>
      </c>
      <c r="J1389" s="113">
        <v>60.59</v>
      </c>
      <c r="K1389" s="113">
        <v>-48.5</v>
      </c>
      <c r="L1389" s="183"/>
      <c r="M1389" s="16">
        <v>1386</v>
      </c>
      <c r="N1389" s="16">
        <f t="shared" si="154"/>
        <v>3.5246538176591118E-2</v>
      </c>
      <c r="O1389" s="16">
        <v>3</v>
      </c>
      <c r="P1389" s="16">
        <f t="shared" si="150"/>
        <v>10.596205962059623</v>
      </c>
      <c r="Q1389" s="16">
        <f t="shared" si="155"/>
        <v>28.371580635517478</v>
      </c>
      <c r="R1389" s="113">
        <f t="shared" si="151"/>
        <v>345.36</v>
      </c>
      <c r="S1389" s="16">
        <f>IF(S1388=15800,15800,ROUND((((Q1389*60)/'Gearing Calculator'!$C$14)*'Track Data'!P1389),-2))</f>
        <v>9100</v>
      </c>
      <c r="T1389" s="16">
        <f t="shared" si="153"/>
        <v>4.5235291559310618</v>
      </c>
      <c r="U1389" s="16">
        <f>IF(AC1389=100,Braking!$AG$2354,IF(AC1389=50,Braking!$AG$1179,IF(AC1389=75,Braking!$AG$1767,0)))</f>
        <v>0</v>
      </c>
      <c r="V1389" s="16">
        <f>0.5*'Gearing Calculator'!$C$15*'Gearing Calculator'!$C$20*'Gearing Calculator'!$W$20*('Track Data'!Q1389^2)</f>
        <v>85.195546848271832</v>
      </c>
      <c r="W1389" s="16">
        <f>('Gearing Calculator'!$U$9*'Track Data'!T1389)+'Track Data'!V1389</f>
        <v>1289.3590081571203</v>
      </c>
      <c r="X1389" s="16">
        <f>('Gearing Calculator'!$U$9*9.81)*('Gearing Calculator'!$U$16/'Gearing Calculator'!$C$7)-(('Track Data'!W1389)*('Gearing Calculator'!$U$17/'Gearing Calculator'!$C$7))</f>
        <v>698.37358541434548</v>
      </c>
      <c r="Y1389" s="16">
        <f>('Gearing Calculator'!$U$9*9.81)*(('Gearing Calculator'!$C$7-'Gearing Calculator'!$U$16)/'Gearing Calculator'!$C$7)+(('Track Data'!W1389)*('Gearing Calculator'!$U$17/'Gearing Calculator'!$C$7))</f>
        <v>1913.0484145856544</v>
      </c>
      <c r="Z1389" s="16">
        <f>((X1389*COS('Gearing Calculator'!$C$21))/'Gearing Calculator'!$C$22)/2</f>
        <v>21.591502493544937</v>
      </c>
      <c r="AA1389" s="16">
        <f>Y1389/'Gearing Calculator'!$C$24</f>
        <v>26.712572320359616</v>
      </c>
      <c r="AB1389" s="16">
        <f t="shared" si="149"/>
        <v>98.76613431606502</v>
      </c>
      <c r="AC1389" s="16">
        <v>0</v>
      </c>
      <c r="AD1389" s="16">
        <v>-46.712096975939801</v>
      </c>
      <c r="AE1389" s="16">
        <v>1386</v>
      </c>
      <c r="AF1389" s="16">
        <f>IF(AC1389=0,IF(O1389=6,INDEX(Acceleration!$V$4:$V$110,MATCH('Track Data'!S1389,Acceleration!$K$4:$K$110,0)),IF('Track Data'!O1389=5,INDEX(Acceleration!$U$4:$U$110,MATCH('Track Data'!S1389,Acceleration!$K$4:$K$110,0)),1)),U1389)</f>
        <v>1</v>
      </c>
      <c r="AG1389" s="16">
        <f>IF(AC1389=0,IF(O1389=4,INDEX(Acceleration!$T$4:$T$110,MATCH('Track Data'!S1389,Acceleration!$K$4:$K$110,0)),IF('Track Data'!O1389=3,INDEX(Acceleration!$S$4:$S$110,MATCH('Track Data'!S1389,Acceleration!$K$4:$K$110,0)),'Track Data'!AF1389)),'Track Data'!U1389)</f>
        <v>4.5235291559310618</v>
      </c>
      <c r="AH1389" s="16">
        <f>IF(AC1389=0,IF(O1389=2,INDEX(Acceleration!$R$4:$R$110,MATCH('Track Data'!S1389,Acceleration!$K$4:$K$110,0)),IF('Track Data'!O1389=1,INDEX(Acceleration!$Q$4:$Q$110,MATCH('Track Data'!S1389,Acceleration!$K$4:$K$110,0)),'Track Data'!AG1389)),'Track Data'!U1389)</f>
        <v>4.5235291559310618</v>
      </c>
    </row>
    <row r="1390" spans="2:34" x14ac:dyDescent="0.25">
      <c r="B1390" s="16">
        <v>234.66399999999999</v>
      </c>
      <c r="C1390" s="16">
        <v>8660</v>
      </c>
      <c r="D1390" s="16">
        <v>1387</v>
      </c>
      <c r="E1390" s="113">
        <v>96</v>
      </c>
      <c r="F1390" s="113">
        <v>93.3</v>
      </c>
      <c r="G1390" s="113">
        <v>83.5</v>
      </c>
      <c r="H1390" s="113">
        <f t="shared" si="152"/>
        <v>23.194444444444443</v>
      </c>
      <c r="I1390" s="113">
        <v>16.2</v>
      </c>
      <c r="J1390" s="113">
        <v>60.51</v>
      </c>
      <c r="K1390" s="113">
        <v>-48</v>
      </c>
      <c r="L1390" s="183"/>
      <c r="M1390" s="16">
        <v>1387</v>
      </c>
      <c r="N1390" s="16">
        <f t="shared" si="154"/>
        <v>3.5246538176591118E-2</v>
      </c>
      <c r="O1390" s="16">
        <v>3</v>
      </c>
      <c r="P1390" s="16">
        <f t="shared" si="150"/>
        <v>10.596205962059623</v>
      </c>
      <c r="Q1390" s="16">
        <f t="shared" si="155"/>
        <v>28.371580635517478</v>
      </c>
      <c r="R1390" s="113">
        <f t="shared" si="151"/>
        <v>345.36</v>
      </c>
      <c r="S1390" s="16">
        <f>IF(S1389=15800,15800,ROUND((((Q1390*60)/'Gearing Calculator'!$C$14)*'Track Data'!P1390),-2))</f>
        <v>9100</v>
      </c>
      <c r="T1390" s="16">
        <f t="shared" si="153"/>
        <v>4.5235291559310618</v>
      </c>
      <c r="U1390" s="16">
        <f>IF(AC1390=100,Braking!$AG$2354,IF(AC1390=50,Braking!$AG$1179,IF(AC1390=75,Braking!$AG$1767,0)))</f>
        <v>0</v>
      </c>
      <c r="V1390" s="16">
        <f>0.5*'Gearing Calculator'!$C$15*'Gearing Calculator'!$C$20*'Gearing Calculator'!$W$20*('Track Data'!Q1390^2)</f>
        <v>85.195546848271832</v>
      </c>
      <c r="W1390" s="16">
        <f>('Gearing Calculator'!$U$9*'Track Data'!T1390)+'Track Data'!V1390</f>
        <v>1289.3590081571203</v>
      </c>
      <c r="X1390" s="16">
        <f>('Gearing Calculator'!$U$9*9.81)*('Gearing Calculator'!$U$16/'Gearing Calculator'!$C$7)-(('Track Data'!W1390)*('Gearing Calculator'!$U$17/'Gearing Calculator'!$C$7))</f>
        <v>698.37358541434548</v>
      </c>
      <c r="Y1390" s="16">
        <f>('Gearing Calculator'!$U$9*9.81)*(('Gearing Calculator'!$C$7-'Gearing Calculator'!$U$16)/'Gearing Calculator'!$C$7)+(('Track Data'!W1390)*('Gearing Calculator'!$U$17/'Gearing Calculator'!$C$7))</f>
        <v>1913.0484145856544</v>
      </c>
      <c r="Z1390" s="16">
        <f>((X1390*COS('Gearing Calculator'!$C$21))/'Gearing Calculator'!$C$22)/2</f>
        <v>21.591502493544937</v>
      </c>
      <c r="AA1390" s="16">
        <f>Y1390/'Gearing Calculator'!$C$24</f>
        <v>26.712572320359616</v>
      </c>
      <c r="AB1390" s="16">
        <f t="shared" si="149"/>
        <v>98.76613431606502</v>
      </c>
      <c r="AC1390" s="16">
        <v>0</v>
      </c>
      <c r="AD1390" s="16">
        <v>-46.712096975939801</v>
      </c>
      <c r="AE1390" s="16">
        <v>1387</v>
      </c>
      <c r="AF1390" s="16">
        <f>IF(AC1390=0,IF(O1390=6,INDEX(Acceleration!$V$4:$V$110,MATCH('Track Data'!S1390,Acceleration!$K$4:$K$110,0)),IF('Track Data'!O1390=5,INDEX(Acceleration!$U$4:$U$110,MATCH('Track Data'!S1390,Acceleration!$K$4:$K$110,0)),1)),U1390)</f>
        <v>1</v>
      </c>
      <c r="AG1390" s="16">
        <f>IF(AC1390=0,IF(O1390=4,INDEX(Acceleration!$T$4:$T$110,MATCH('Track Data'!S1390,Acceleration!$K$4:$K$110,0)),IF('Track Data'!O1390=3,INDEX(Acceleration!$S$4:$S$110,MATCH('Track Data'!S1390,Acceleration!$K$4:$K$110,0)),'Track Data'!AF1390)),'Track Data'!U1390)</f>
        <v>4.5235291559310618</v>
      </c>
      <c r="AH1390" s="16">
        <f>IF(AC1390=0,IF(O1390=2,INDEX(Acceleration!$R$4:$R$110,MATCH('Track Data'!S1390,Acceleration!$K$4:$K$110,0)),IF('Track Data'!O1390=1,INDEX(Acceleration!$Q$4:$Q$110,MATCH('Track Data'!S1390,Acceleration!$K$4:$K$110,0)),'Track Data'!AG1390)),'Track Data'!U1390)</f>
        <v>4.5235291559310618</v>
      </c>
    </row>
    <row r="1391" spans="2:34" x14ac:dyDescent="0.25">
      <c r="B1391" s="16">
        <v>234.702</v>
      </c>
      <c r="C1391" s="16">
        <v>8661</v>
      </c>
      <c r="D1391" s="16">
        <v>1388</v>
      </c>
      <c r="E1391" s="113">
        <v>96</v>
      </c>
      <c r="F1391" s="113">
        <v>93.1</v>
      </c>
      <c r="G1391" s="113">
        <v>83.5</v>
      </c>
      <c r="H1391" s="113">
        <f t="shared" si="152"/>
        <v>23.194444444444443</v>
      </c>
      <c r="I1391" s="113">
        <v>16.8</v>
      </c>
      <c r="J1391" s="113">
        <v>60.43</v>
      </c>
      <c r="K1391" s="113">
        <v>-47.1</v>
      </c>
      <c r="L1391" s="183"/>
      <c r="M1391" s="16">
        <v>1388</v>
      </c>
      <c r="N1391" s="16">
        <f t="shared" si="154"/>
        <v>3.5246538176591118E-2</v>
      </c>
      <c r="O1391" s="16">
        <v>3</v>
      </c>
      <c r="P1391" s="16">
        <f t="shared" si="150"/>
        <v>10.596205962059623</v>
      </c>
      <c r="Q1391" s="16">
        <f t="shared" si="155"/>
        <v>28.371580635517478</v>
      </c>
      <c r="R1391" s="113">
        <f t="shared" si="151"/>
        <v>345.36</v>
      </c>
      <c r="S1391" s="16">
        <f>IF(S1390=15800,15800,ROUND((((Q1391*60)/'Gearing Calculator'!$C$14)*'Track Data'!P1391),-2))</f>
        <v>9100</v>
      </c>
      <c r="T1391" s="16">
        <f t="shared" si="153"/>
        <v>4.5235291559310618</v>
      </c>
      <c r="U1391" s="16">
        <f>IF(AC1391=100,Braking!$AG$2354,IF(AC1391=50,Braking!$AG$1179,IF(AC1391=75,Braking!$AG$1767,0)))</f>
        <v>0</v>
      </c>
      <c r="V1391" s="16">
        <f>0.5*'Gearing Calculator'!$C$15*'Gearing Calculator'!$C$20*'Gearing Calculator'!$W$20*('Track Data'!Q1391^2)</f>
        <v>85.195546848271832</v>
      </c>
      <c r="W1391" s="16">
        <f>('Gearing Calculator'!$U$9*'Track Data'!T1391)+'Track Data'!V1391</f>
        <v>1289.3590081571203</v>
      </c>
      <c r="X1391" s="16">
        <f>('Gearing Calculator'!$U$9*9.81)*('Gearing Calculator'!$U$16/'Gearing Calculator'!$C$7)-(('Track Data'!W1391)*('Gearing Calculator'!$U$17/'Gearing Calculator'!$C$7))</f>
        <v>698.37358541434548</v>
      </c>
      <c r="Y1391" s="16">
        <f>('Gearing Calculator'!$U$9*9.81)*(('Gearing Calculator'!$C$7-'Gearing Calculator'!$U$16)/'Gearing Calculator'!$C$7)+(('Track Data'!W1391)*('Gearing Calculator'!$U$17/'Gearing Calculator'!$C$7))</f>
        <v>1913.0484145856544</v>
      </c>
      <c r="Z1391" s="16">
        <f>((X1391*COS('Gearing Calculator'!$C$21))/'Gearing Calculator'!$C$22)/2</f>
        <v>21.591502493544937</v>
      </c>
      <c r="AA1391" s="16">
        <f>Y1391/'Gearing Calculator'!$C$24</f>
        <v>26.712572320359616</v>
      </c>
      <c r="AB1391" s="16">
        <f t="shared" si="149"/>
        <v>98.76613431606502</v>
      </c>
      <c r="AC1391" s="16">
        <v>0</v>
      </c>
      <c r="AD1391" s="16">
        <v>-46.712096975939801</v>
      </c>
      <c r="AE1391" s="16">
        <v>1388</v>
      </c>
      <c r="AF1391" s="16">
        <f>IF(AC1391=0,IF(O1391=6,INDEX(Acceleration!$V$4:$V$110,MATCH('Track Data'!S1391,Acceleration!$K$4:$K$110,0)),IF('Track Data'!O1391=5,INDEX(Acceleration!$U$4:$U$110,MATCH('Track Data'!S1391,Acceleration!$K$4:$K$110,0)),1)),U1391)</f>
        <v>1</v>
      </c>
      <c r="AG1391" s="16">
        <f>IF(AC1391=0,IF(O1391=4,INDEX(Acceleration!$T$4:$T$110,MATCH('Track Data'!S1391,Acceleration!$K$4:$K$110,0)),IF('Track Data'!O1391=3,INDEX(Acceleration!$S$4:$S$110,MATCH('Track Data'!S1391,Acceleration!$K$4:$K$110,0)),'Track Data'!AF1391)),'Track Data'!U1391)</f>
        <v>4.5235291559310618</v>
      </c>
      <c r="AH1391" s="16">
        <f>IF(AC1391=0,IF(O1391=2,INDEX(Acceleration!$R$4:$R$110,MATCH('Track Data'!S1391,Acceleration!$K$4:$K$110,0)),IF('Track Data'!O1391=1,INDEX(Acceleration!$Q$4:$Q$110,MATCH('Track Data'!S1391,Acceleration!$K$4:$K$110,0)),'Track Data'!AG1391)),'Track Data'!U1391)</f>
        <v>4.5235291559310618</v>
      </c>
    </row>
    <row r="1392" spans="2:34" x14ac:dyDescent="0.25">
      <c r="B1392" s="16">
        <v>234.74100000000001</v>
      </c>
      <c r="C1392" s="16">
        <v>8662</v>
      </c>
      <c r="D1392" s="16">
        <v>1389</v>
      </c>
      <c r="E1392" s="113">
        <v>96</v>
      </c>
      <c r="F1392" s="113">
        <v>93.1</v>
      </c>
      <c r="G1392" s="113">
        <v>83.5</v>
      </c>
      <c r="H1392" s="113">
        <f t="shared" si="152"/>
        <v>23.194444444444443</v>
      </c>
      <c r="I1392" s="113">
        <v>18.100000000000001</v>
      </c>
      <c r="J1392" s="113">
        <v>60.44</v>
      </c>
      <c r="K1392" s="113">
        <v>-48.1</v>
      </c>
      <c r="L1392" s="183"/>
      <c r="M1392" s="16">
        <v>1389</v>
      </c>
      <c r="N1392" s="16">
        <f t="shared" si="154"/>
        <v>3.5246538176591118E-2</v>
      </c>
      <c r="O1392" s="16">
        <v>3</v>
      </c>
      <c r="P1392" s="16">
        <f t="shared" si="150"/>
        <v>10.596205962059623</v>
      </c>
      <c r="Q1392" s="16">
        <f t="shared" si="155"/>
        <v>28.371580635517478</v>
      </c>
      <c r="R1392" s="113">
        <f t="shared" si="151"/>
        <v>345.36</v>
      </c>
      <c r="S1392" s="16">
        <f>IF(S1391=15800,15800,ROUND((((Q1392*60)/'Gearing Calculator'!$C$14)*'Track Data'!P1392),-2))</f>
        <v>9100</v>
      </c>
      <c r="T1392" s="16">
        <f t="shared" si="153"/>
        <v>4.5235291559310618</v>
      </c>
      <c r="U1392" s="16">
        <f>IF(AC1392=100,Braking!$AG$2354,IF(AC1392=50,Braking!$AG$1179,IF(AC1392=75,Braking!$AG$1767,0)))</f>
        <v>0</v>
      </c>
      <c r="V1392" s="16">
        <f>0.5*'Gearing Calculator'!$C$15*'Gearing Calculator'!$C$20*'Gearing Calculator'!$W$20*('Track Data'!Q1392^2)</f>
        <v>85.195546848271832</v>
      </c>
      <c r="W1392" s="16">
        <f>('Gearing Calculator'!$U$9*'Track Data'!T1392)+'Track Data'!V1392</f>
        <v>1289.3590081571203</v>
      </c>
      <c r="X1392" s="16">
        <f>('Gearing Calculator'!$U$9*9.81)*('Gearing Calculator'!$U$16/'Gearing Calculator'!$C$7)-(('Track Data'!W1392)*('Gearing Calculator'!$U$17/'Gearing Calculator'!$C$7))</f>
        <v>698.37358541434548</v>
      </c>
      <c r="Y1392" s="16">
        <f>('Gearing Calculator'!$U$9*9.81)*(('Gearing Calculator'!$C$7-'Gearing Calculator'!$U$16)/'Gearing Calculator'!$C$7)+(('Track Data'!W1392)*('Gearing Calculator'!$U$17/'Gearing Calculator'!$C$7))</f>
        <v>1913.0484145856544</v>
      </c>
      <c r="Z1392" s="16">
        <f>((X1392*COS('Gearing Calculator'!$C$21))/'Gearing Calculator'!$C$22)/2</f>
        <v>21.591502493544937</v>
      </c>
      <c r="AA1392" s="16">
        <f>Y1392/'Gearing Calculator'!$C$24</f>
        <v>26.712572320359616</v>
      </c>
      <c r="AB1392" s="16">
        <f t="shared" si="149"/>
        <v>98.76613431606502</v>
      </c>
      <c r="AC1392" s="16">
        <v>0</v>
      </c>
      <c r="AD1392" s="16">
        <v>-46.712096975939801</v>
      </c>
      <c r="AE1392" s="16">
        <v>1389</v>
      </c>
      <c r="AF1392" s="16">
        <f>IF(AC1392=0,IF(O1392=6,INDEX(Acceleration!$V$4:$V$110,MATCH('Track Data'!S1392,Acceleration!$K$4:$K$110,0)),IF('Track Data'!O1392=5,INDEX(Acceleration!$U$4:$U$110,MATCH('Track Data'!S1392,Acceleration!$K$4:$K$110,0)),1)),U1392)</f>
        <v>1</v>
      </c>
      <c r="AG1392" s="16">
        <f>IF(AC1392=0,IF(O1392=4,INDEX(Acceleration!$T$4:$T$110,MATCH('Track Data'!S1392,Acceleration!$K$4:$K$110,0)),IF('Track Data'!O1392=3,INDEX(Acceleration!$S$4:$S$110,MATCH('Track Data'!S1392,Acceleration!$K$4:$K$110,0)),'Track Data'!AF1392)),'Track Data'!U1392)</f>
        <v>4.5235291559310618</v>
      </c>
      <c r="AH1392" s="16">
        <f>IF(AC1392=0,IF(O1392=2,INDEX(Acceleration!$R$4:$R$110,MATCH('Track Data'!S1392,Acceleration!$K$4:$K$110,0)),IF('Track Data'!O1392=1,INDEX(Acceleration!$Q$4:$Q$110,MATCH('Track Data'!S1392,Acceleration!$K$4:$K$110,0)),'Track Data'!AG1392)),'Track Data'!U1392)</f>
        <v>4.5235291559310618</v>
      </c>
    </row>
    <row r="1393" spans="2:34" x14ac:dyDescent="0.25">
      <c r="B1393" s="16">
        <v>234.78</v>
      </c>
      <c r="C1393" s="16">
        <v>8663</v>
      </c>
      <c r="D1393" s="16">
        <v>1390</v>
      </c>
      <c r="E1393" s="113">
        <v>96</v>
      </c>
      <c r="F1393" s="113">
        <v>92.9</v>
      </c>
      <c r="G1393" s="113">
        <v>83.7</v>
      </c>
      <c r="H1393" s="113">
        <f t="shared" si="152"/>
        <v>23.25</v>
      </c>
      <c r="I1393" s="113">
        <v>19.8</v>
      </c>
      <c r="J1393" s="113">
        <v>62.88</v>
      </c>
      <c r="K1393" s="113">
        <v>-50.1</v>
      </c>
      <c r="L1393" s="183"/>
      <c r="M1393" s="16">
        <v>1390</v>
      </c>
      <c r="N1393" s="16">
        <f t="shared" si="154"/>
        <v>3.5246538176591118E-2</v>
      </c>
      <c r="O1393" s="16">
        <v>3</v>
      </c>
      <c r="P1393" s="16">
        <f t="shared" si="150"/>
        <v>10.596205962059623</v>
      </c>
      <c r="Q1393" s="16">
        <f t="shared" si="155"/>
        <v>28.371580635517478</v>
      </c>
      <c r="R1393" s="113">
        <f t="shared" si="151"/>
        <v>345.36</v>
      </c>
      <c r="S1393" s="16">
        <f>IF(S1392=15800,15800,ROUND((((Q1393*60)/'Gearing Calculator'!$C$14)*'Track Data'!P1393),-2))</f>
        <v>9100</v>
      </c>
      <c r="T1393" s="16">
        <f t="shared" si="153"/>
        <v>4.5235291559310618</v>
      </c>
      <c r="U1393" s="16">
        <f>IF(AC1393=100,Braking!$AG$2354,IF(AC1393=50,Braking!$AG$1179,IF(AC1393=75,Braking!$AG$1767,0)))</f>
        <v>0</v>
      </c>
      <c r="V1393" s="16">
        <f>0.5*'Gearing Calculator'!$C$15*'Gearing Calculator'!$C$20*'Gearing Calculator'!$W$20*('Track Data'!Q1393^2)</f>
        <v>85.195546848271832</v>
      </c>
      <c r="W1393" s="16">
        <f>('Gearing Calculator'!$U$9*'Track Data'!T1393)+'Track Data'!V1393</f>
        <v>1289.3590081571203</v>
      </c>
      <c r="X1393" s="16">
        <f>('Gearing Calculator'!$U$9*9.81)*('Gearing Calculator'!$U$16/'Gearing Calculator'!$C$7)-(('Track Data'!W1393)*('Gearing Calculator'!$U$17/'Gearing Calculator'!$C$7))</f>
        <v>698.37358541434548</v>
      </c>
      <c r="Y1393" s="16">
        <f>('Gearing Calculator'!$U$9*9.81)*(('Gearing Calculator'!$C$7-'Gearing Calculator'!$U$16)/'Gearing Calculator'!$C$7)+(('Track Data'!W1393)*('Gearing Calculator'!$U$17/'Gearing Calculator'!$C$7))</f>
        <v>1913.0484145856544</v>
      </c>
      <c r="Z1393" s="16">
        <f>((X1393*COS('Gearing Calculator'!$C$21))/'Gearing Calculator'!$C$22)/2</f>
        <v>21.591502493544937</v>
      </c>
      <c r="AA1393" s="16">
        <f>Y1393/'Gearing Calculator'!$C$24</f>
        <v>26.712572320359616</v>
      </c>
      <c r="AB1393" s="16">
        <f t="shared" si="149"/>
        <v>98.76613431606502</v>
      </c>
      <c r="AC1393" s="16">
        <v>0</v>
      </c>
      <c r="AD1393" s="16">
        <v>-46.712096975939801</v>
      </c>
      <c r="AE1393" s="16">
        <v>1390</v>
      </c>
      <c r="AF1393" s="16">
        <f>IF(AC1393=0,IF(O1393=6,INDEX(Acceleration!$V$4:$V$110,MATCH('Track Data'!S1393,Acceleration!$K$4:$K$110,0)),IF('Track Data'!O1393=5,INDEX(Acceleration!$U$4:$U$110,MATCH('Track Data'!S1393,Acceleration!$K$4:$K$110,0)),1)),U1393)</f>
        <v>1</v>
      </c>
      <c r="AG1393" s="16">
        <f>IF(AC1393=0,IF(O1393=4,INDEX(Acceleration!$T$4:$T$110,MATCH('Track Data'!S1393,Acceleration!$K$4:$K$110,0)),IF('Track Data'!O1393=3,INDEX(Acceleration!$S$4:$S$110,MATCH('Track Data'!S1393,Acceleration!$K$4:$K$110,0)),'Track Data'!AF1393)),'Track Data'!U1393)</f>
        <v>4.5235291559310618</v>
      </c>
      <c r="AH1393" s="16">
        <f>IF(AC1393=0,IF(O1393=2,INDEX(Acceleration!$R$4:$R$110,MATCH('Track Data'!S1393,Acceleration!$K$4:$K$110,0)),IF('Track Data'!O1393=1,INDEX(Acceleration!$Q$4:$Q$110,MATCH('Track Data'!S1393,Acceleration!$K$4:$K$110,0)),'Track Data'!AG1393)),'Track Data'!U1393)</f>
        <v>4.5235291559310618</v>
      </c>
    </row>
    <row r="1394" spans="2:34" x14ac:dyDescent="0.25">
      <c r="B1394" s="16">
        <v>234.81800000000001</v>
      </c>
      <c r="C1394" s="16">
        <v>8664</v>
      </c>
      <c r="D1394" s="16">
        <v>1391</v>
      </c>
      <c r="E1394" s="113">
        <v>96</v>
      </c>
      <c r="F1394" s="113">
        <v>92.7</v>
      </c>
      <c r="G1394" s="113">
        <v>83.7</v>
      </c>
      <c r="H1394" s="113">
        <f t="shared" si="152"/>
        <v>23.25</v>
      </c>
      <c r="I1394" s="113">
        <v>19.600000000000001</v>
      </c>
      <c r="J1394" s="113">
        <v>60.01</v>
      </c>
      <c r="K1394" s="113">
        <v>-51.4</v>
      </c>
      <c r="L1394" s="183"/>
      <c r="M1394" s="16">
        <v>1391</v>
      </c>
      <c r="N1394" s="16">
        <f t="shared" si="154"/>
        <v>3.5246538176591118E-2</v>
      </c>
      <c r="O1394" s="16">
        <v>3</v>
      </c>
      <c r="P1394" s="16">
        <f t="shared" si="150"/>
        <v>10.596205962059623</v>
      </c>
      <c r="Q1394" s="16">
        <f t="shared" si="155"/>
        <v>28.371580635517478</v>
      </c>
      <c r="R1394" s="113">
        <f t="shared" si="151"/>
        <v>345.36</v>
      </c>
      <c r="S1394" s="16">
        <f>IF(S1393=15800,15800,ROUND((((Q1394*60)/'Gearing Calculator'!$C$14)*'Track Data'!P1394),-2))</f>
        <v>9100</v>
      </c>
      <c r="T1394" s="16">
        <f t="shared" si="153"/>
        <v>4.5235291559310618</v>
      </c>
      <c r="U1394" s="16">
        <f>IF(AC1394=100,Braking!$AG$2354,IF(AC1394=50,Braking!$AG$1179,IF(AC1394=75,Braking!$AG$1767,0)))</f>
        <v>0</v>
      </c>
      <c r="V1394" s="16">
        <f>0.5*'Gearing Calculator'!$C$15*'Gearing Calculator'!$C$20*'Gearing Calculator'!$W$20*('Track Data'!Q1394^2)</f>
        <v>85.195546848271832</v>
      </c>
      <c r="W1394" s="16">
        <f>('Gearing Calculator'!$U$9*'Track Data'!T1394)+'Track Data'!V1394</f>
        <v>1289.3590081571203</v>
      </c>
      <c r="X1394" s="16">
        <f>('Gearing Calculator'!$U$9*9.81)*('Gearing Calculator'!$U$16/'Gearing Calculator'!$C$7)-(('Track Data'!W1394)*('Gearing Calculator'!$U$17/'Gearing Calculator'!$C$7))</f>
        <v>698.37358541434548</v>
      </c>
      <c r="Y1394" s="16">
        <f>('Gearing Calculator'!$U$9*9.81)*(('Gearing Calculator'!$C$7-'Gearing Calculator'!$U$16)/'Gearing Calculator'!$C$7)+(('Track Data'!W1394)*('Gearing Calculator'!$U$17/'Gearing Calculator'!$C$7))</f>
        <v>1913.0484145856544</v>
      </c>
      <c r="Z1394" s="16">
        <f>((X1394*COS('Gearing Calculator'!$C$21))/'Gearing Calculator'!$C$22)/2</f>
        <v>21.591502493544937</v>
      </c>
      <c r="AA1394" s="16">
        <f>Y1394/'Gearing Calculator'!$C$24</f>
        <v>26.712572320359616</v>
      </c>
      <c r="AB1394" s="16">
        <f t="shared" si="149"/>
        <v>98.76613431606502</v>
      </c>
      <c r="AC1394" s="16">
        <v>0</v>
      </c>
      <c r="AD1394" s="16">
        <v>-46.712096975939801</v>
      </c>
      <c r="AE1394" s="16">
        <v>1391</v>
      </c>
      <c r="AF1394" s="16">
        <f>IF(AC1394=0,IF(O1394=6,INDEX(Acceleration!$V$4:$V$110,MATCH('Track Data'!S1394,Acceleration!$K$4:$K$110,0)),IF('Track Data'!O1394=5,INDEX(Acceleration!$U$4:$U$110,MATCH('Track Data'!S1394,Acceleration!$K$4:$K$110,0)),1)),U1394)</f>
        <v>1</v>
      </c>
      <c r="AG1394" s="16">
        <f>IF(AC1394=0,IF(O1394=4,INDEX(Acceleration!$T$4:$T$110,MATCH('Track Data'!S1394,Acceleration!$K$4:$K$110,0)),IF('Track Data'!O1394=3,INDEX(Acceleration!$S$4:$S$110,MATCH('Track Data'!S1394,Acceleration!$K$4:$K$110,0)),'Track Data'!AF1394)),'Track Data'!U1394)</f>
        <v>4.5235291559310618</v>
      </c>
      <c r="AH1394" s="16">
        <f>IF(AC1394=0,IF(O1394=2,INDEX(Acceleration!$R$4:$R$110,MATCH('Track Data'!S1394,Acceleration!$K$4:$K$110,0)),IF('Track Data'!O1394=1,INDEX(Acceleration!$Q$4:$Q$110,MATCH('Track Data'!S1394,Acceleration!$K$4:$K$110,0)),'Track Data'!AG1394)),'Track Data'!U1394)</f>
        <v>4.5235291559310618</v>
      </c>
    </row>
    <row r="1395" spans="2:34" x14ac:dyDescent="0.25">
      <c r="B1395" s="16">
        <v>234.857</v>
      </c>
      <c r="C1395" s="16">
        <v>8665</v>
      </c>
      <c r="D1395" s="16">
        <v>1392</v>
      </c>
      <c r="E1395" s="113">
        <v>96</v>
      </c>
      <c r="F1395" s="113">
        <v>92.5</v>
      </c>
      <c r="G1395" s="113">
        <v>83.9</v>
      </c>
      <c r="H1395" s="113">
        <f t="shared" si="152"/>
        <v>23.305555555555557</v>
      </c>
      <c r="I1395" s="113">
        <v>18.5</v>
      </c>
      <c r="J1395" s="113">
        <v>59.45</v>
      </c>
      <c r="K1395" s="113">
        <v>-52.4</v>
      </c>
      <c r="L1395" s="183"/>
      <c r="M1395" s="16">
        <v>1392</v>
      </c>
      <c r="N1395" s="16">
        <f t="shared" si="154"/>
        <v>3.5246538176591118E-2</v>
      </c>
      <c r="O1395" s="16">
        <v>3</v>
      </c>
      <c r="P1395" s="16">
        <f t="shared" si="150"/>
        <v>10.596205962059623</v>
      </c>
      <c r="Q1395" s="16">
        <f t="shared" si="155"/>
        <v>28.371580635517478</v>
      </c>
      <c r="R1395" s="113">
        <f t="shared" si="151"/>
        <v>345.36</v>
      </c>
      <c r="S1395" s="16">
        <f>IF(S1394=15800,15800,ROUND((((Q1395*60)/'Gearing Calculator'!$C$14)*'Track Data'!P1395),-2))</f>
        <v>9100</v>
      </c>
      <c r="T1395" s="16">
        <f t="shared" si="153"/>
        <v>4.5235291559310618</v>
      </c>
      <c r="U1395" s="16">
        <f>IF(AC1395=100,Braking!$AG$2354,IF(AC1395=50,Braking!$AG$1179,IF(AC1395=75,Braking!$AG$1767,0)))</f>
        <v>0</v>
      </c>
      <c r="V1395" s="16">
        <f>0.5*'Gearing Calculator'!$C$15*'Gearing Calculator'!$C$20*'Gearing Calculator'!$W$20*('Track Data'!Q1395^2)</f>
        <v>85.195546848271832</v>
      </c>
      <c r="W1395" s="16">
        <f>('Gearing Calculator'!$U$9*'Track Data'!T1395)+'Track Data'!V1395</f>
        <v>1289.3590081571203</v>
      </c>
      <c r="X1395" s="16">
        <f>('Gearing Calculator'!$U$9*9.81)*('Gearing Calculator'!$U$16/'Gearing Calculator'!$C$7)-(('Track Data'!W1395)*('Gearing Calculator'!$U$17/'Gearing Calculator'!$C$7))</f>
        <v>698.37358541434548</v>
      </c>
      <c r="Y1395" s="16">
        <f>('Gearing Calculator'!$U$9*9.81)*(('Gearing Calculator'!$C$7-'Gearing Calculator'!$U$16)/'Gearing Calculator'!$C$7)+(('Track Data'!W1395)*('Gearing Calculator'!$U$17/'Gearing Calculator'!$C$7))</f>
        <v>1913.0484145856544</v>
      </c>
      <c r="Z1395" s="16">
        <f>((X1395*COS('Gearing Calculator'!$C$21))/'Gearing Calculator'!$C$22)/2</f>
        <v>21.591502493544937</v>
      </c>
      <c r="AA1395" s="16">
        <f>Y1395/'Gearing Calculator'!$C$24</f>
        <v>26.712572320359616</v>
      </c>
      <c r="AB1395" s="16">
        <f t="shared" si="149"/>
        <v>98.76613431606502</v>
      </c>
      <c r="AC1395" s="16">
        <v>0</v>
      </c>
      <c r="AD1395" s="16">
        <v>-46.712096975939801</v>
      </c>
      <c r="AE1395" s="16">
        <v>1392</v>
      </c>
      <c r="AF1395" s="16">
        <f>IF(AC1395=0,IF(O1395=6,INDEX(Acceleration!$V$4:$V$110,MATCH('Track Data'!S1395,Acceleration!$K$4:$K$110,0)),IF('Track Data'!O1395=5,INDEX(Acceleration!$U$4:$U$110,MATCH('Track Data'!S1395,Acceleration!$K$4:$K$110,0)),1)),U1395)</f>
        <v>1</v>
      </c>
      <c r="AG1395" s="16">
        <f>IF(AC1395=0,IF(O1395=4,INDEX(Acceleration!$T$4:$T$110,MATCH('Track Data'!S1395,Acceleration!$K$4:$K$110,0)),IF('Track Data'!O1395=3,INDEX(Acceleration!$S$4:$S$110,MATCH('Track Data'!S1395,Acceleration!$K$4:$K$110,0)),'Track Data'!AF1395)),'Track Data'!U1395)</f>
        <v>4.5235291559310618</v>
      </c>
      <c r="AH1395" s="16">
        <f>IF(AC1395=0,IF(O1395=2,INDEX(Acceleration!$R$4:$R$110,MATCH('Track Data'!S1395,Acceleration!$K$4:$K$110,0)),IF('Track Data'!O1395=1,INDEX(Acceleration!$Q$4:$Q$110,MATCH('Track Data'!S1395,Acceleration!$K$4:$K$110,0)),'Track Data'!AG1395)),'Track Data'!U1395)</f>
        <v>4.5235291559310618</v>
      </c>
    </row>
    <row r="1396" spans="2:34" x14ac:dyDescent="0.25">
      <c r="B1396" s="16">
        <v>234.89599999999999</v>
      </c>
      <c r="C1396" s="16">
        <v>8666</v>
      </c>
      <c r="D1396" s="16">
        <v>1393</v>
      </c>
      <c r="E1396" s="113">
        <v>96</v>
      </c>
      <c r="F1396" s="113">
        <v>92.4</v>
      </c>
      <c r="G1396" s="113">
        <v>84</v>
      </c>
      <c r="H1396" s="113">
        <f t="shared" si="152"/>
        <v>23.333333333333332</v>
      </c>
      <c r="I1396" s="113">
        <v>17.2</v>
      </c>
      <c r="J1396" s="113">
        <v>55.05</v>
      </c>
      <c r="K1396" s="113">
        <v>-53.7</v>
      </c>
      <c r="L1396" s="183"/>
      <c r="M1396" s="16">
        <v>1393</v>
      </c>
      <c r="N1396" s="16">
        <f t="shared" si="154"/>
        <v>3.5246538176591118E-2</v>
      </c>
      <c r="O1396" s="16">
        <v>3</v>
      </c>
      <c r="P1396" s="16">
        <f t="shared" si="150"/>
        <v>10.596205962059623</v>
      </c>
      <c r="Q1396" s="16">
        <f t="shared" si="155"/>
        <v>28.371580635517478</v>
      </c>
      <c r="R1396" s="113">
        <f t="shared" si="151"/>
        <v>345.36</v>
      </c>
      <c r="S1396" s="16">
        <f>IF(S1395=15800,15800,ROUND((((Q1396*60)/'Gearing Calculator'!$C$14)*'Track Data'!P1396),-2))</f>
        <v>9100</v>
      </c>
      <c r="T1396" s="16">
        <f t="shared" si="153"/>
        <v>4.5235291559310618</v>
      </c>
      <c r="U1396" s="16">
        <f>IF(AC1396=100,Braking!$AG$2354,IF(AC1396=50,Braking!$AG$1179,IF(AC1396=75,Braking!$AG$1767,0)))</f>
        <v>0</v>
      </c>
      <c r="V1396" s="16">
        <f>0.5*'Gearing Calculator'!$C$15*'Gearing Calculator'!$C$20*'Gearing Calculator'!$W$20*('Track Data'!Q1396^2)</f>
        <v>85.195546848271832</v>
      </c>
      <c r="W1396" s="16">
        <f>('Gearing Calculator'!$U$9*'Track Data'!T1396)+'Track Data'!V1396</f>
        <v>1289.3590081571203</v>
      </c>
      <c r="X1396" s="16">
        <f>('Gearing Calculator'!$U$9*9.81)*('Gearing Calculator'!$U$16/'Gearing Calculator'!$C$7)-(('Track Data'!W1396)*('Gearing Calculator'!$U$17/'Gearing Calculator'!$C$7))</f>
        <v>698.37358541434548</v>
      </c>
      <c r="Y1396" s="16">
        <f>('Gearing Calculator'!$U$9*9.81)*(('Gearing Calculator'!$C$7-'Gearing Calculator'!$U$16)/'Gearing Calculator'!$C$7)+(('Track Data'!W1396)*('Gearing Calculator'!$U$17/'Gearing Calculator'!$C$7))</f>
        <v>1913.0484145856544</v>
      </c>
      <c r="Z1396" s="16">
        <f>((X1396*COS('Gearing Calculator'!$C$21))/'Gearing Calculator'!$C$22)/2</f>
        <v>21.591502493544937</v>
      </c>
      <c r="AA1396" s="16">
        <f>Y1396/'Gearing Calculator'!$C$24</f>
        <v>26.712572320359616</v>
      </c>
      <c r="AB1396" s="16">
        <f t="shared" si="149"/>
        <v>98.76613431606502</v>
      </c>
      <c r="AC1396" s="16">
        <v>0</v>
      </c>
      <c r="AD1396" s="16">
        <v>-46.712096975939801</v>
      </c>
      <c r="AE1396" s="16">
        <v>1393</v>
      </c>
      <c r="AF1396" s="16">
        <f>IF(AC1396=0,IF(O1396=6,INDEX(Acceleration!$V$4:$V$110,MATCH('Track Data'!S1396,Acceleration!$K$4:$K$110,0)),IF('Track Data'!O1396=5,INDEX(Acceleration!$U$4:$U$110,MATCH('Track Data'!S1396,Acceleration!$K$4:$K$110,0)),1)),U1396)</f>
        <v>1</v>
      </c>
      <c r="AG1396" s="16">
        <f>IF(AC1396=0,IF(O1396=4,INDEX(Acceleration!$T$4:$T$110,MATCH('Track Data'!S1396,Acceleration!$K$4:$K$110,0)),IF('Track Data'!O1396=3,INDEX(Acceleration!$S$4:$S$110,MATCH('Track Data'!S1396,Acceleration!$K$4:$K$110,0)),'Track Data'!AF1396)),'Track Data'!U1396)</f>
        <v>4.5235291559310618</v>
      </c>
      <c r="AH1396" s="16">
        <f>IF(AC1396=0,IF(O1396=2,INDEX(Acceleration!$R$4:$R$110,MATCH('Track Data'!S1396,Acceleration!$K$4:$K$110,0)),IF('Track Data'!O1396=1,INDEX(Acceleration!$Q$4:$Q$110,MATCH('Track Data'!S1396,Acceleration!$K$4:$K$110,0)),'Track Data'!AG1396)),'Track Data'!U1396)</f>
        <v>4.5235291559310618</v>
      </c>
    </row>
    <row r="1397" spans="2:34" x14ac:dyDescent="0.25">
      <c r="B1397" s="16">
        <v>234.935</v>
      </c>
      <c r="C1397" s="16">
        <v>8667</v>
      </c>
      <c r="D1397" s="16">
        <v>1394</v>
      </c>
      <c r="E1397" s="113">
        <v>96</v>
      </c>
      <c r="F1397" s="113">
        <v>92.2</v>
      </c>
      <c r="G1397" s="113">
        <v>84.1</v>
      </c>
      <c r="H1397" s="113">
        <f t="shared" si="152"/>
        <v>23.361111111111111</v>
      </c>
      <c r="I1397" s="113">
        <v>15.1</v>
      </c>
      <c r="J1397" s="113">
        <v>51.62</v>
      </c>
      <c r="K1397" s="113">
        <v>-55.1</v>
      </c>
      <c r="L1397" s="183"/>
      <c r="M1397" s="16">
        <v>1394</v>
      </c>
      <c r="N1397" s="16">
        <f t="shared" si="154"/>
        <v>3.5246538176591118E-2</v>
      </c>
      <c r="O1397" s="16">
        <v>3</v>
      </c>
      <c r="P1397" s="16">
        <f t="shared" si="150"/>
        <v>10.596205962059623</v>
      </c>
      <c r="Q1397" s="16">
        <f t="shared" si="155"/>
        <v>28.371580635517478</v>
      </c>
      <c r="R1397" s="113">
        <f t="shared" si="151"/>
        <v>345.36</v>
      </c>
      <c r="S1397" s="16">
        <f>IF(S1396=15800,15800,ROUND((((Q1397*60)/'Gearing Calculator'!$C$14)*'Track Data'!P1397),-2))</f>
        <v>9100</v>
      </c>
      <c r="T1397" s="16">
        <f t="shared" si="153"/>
        <v>4.5235291559310618</v>
      </c>
      <c r="U1397" s="16">
        <f>IF(AC1397=100,Braking!$AG$2354,IF(AC1397=50,Braking!$AG$1179,IF(AC1397=75,Braking!$AG$1767,0)))</f>
        <v>0</v>
      </c>
      <c r="V1397" s="16">
        <f>0.5*'Gearing Calculator'!$C$15*'Gearing Calculator'!$C$20*'Gearing Calculator'!$W$20*('Track Data'!Q1397^2)</f>
        <v>85.195546848271832</v>
      </c>
      <c r="W1397" s="16">
        <f>('Gearing Calculator'!$U$9*'Track Data'!T1397)+'Track Data'!V1397</f>
        <v>1289.3590081571203</v>
      </c>
      <c r="X1397" s="16">
        <f>('Gearing Calculator'!$U$9*9.81)*('Gearing Calculator'!$U$16/'Gearing Calculator'!$C$7)-(('Track Data'!W1397)*('Gearing Calculator'!$U$17/'Gearing Calculator'!$C$7))</f>
        <v>698.37358541434548</v>
      </c>
      <c r="Y1397" s="16">
        <f>('Gearing Calculator'!$U$9*9.81)*(('Gearing Calculator'!$C$7-'Gearing Calculator'!$U$16)/'Gearing Calculator'!$C$7)+(('Track Data'!W1397)*('Gearing Calculator'!$U$17/'Gearing Calculator'!$C$7))</f>
        <v>1913.0484145856544</v>
      </c>
      <c r="Z1397" s="16">
        <f>((X1397*COS('Gearing Calculator'!$C$21))/'Gearing Calculator'!$C$22)/2</f>
        <v>21.591502493544937</v>
      </c>
      <c r="AA1397" s="16">
        <f>Y1397/'Gearing Calculator'!$C$24</f>
        <v>26.712572320359616</v>
      </c>
      <c r="AB1397" s="16">
        <f t="shared" si="149"/>
        <v>98.76613431606502</v>
      </c>
      <c r="AC1397" s="16">
        <v>0</v>
      </c>
      <c r="AD1397" s="16">
        <v>-46.712096975939801</v>
      </c>
      <c r="AE1397" s="16">
        <v>1394</v>
      </c>
      <c r="AF1397" s="16">
        <f>IF(AC1397=0,IF(O1397=6,INDEX(Acceleration!$V$4:$V$110,MATCH('Track Data'!S1397,Acceleration!$K$4:$K$110,0)),IF('Track Data'!O1397=5,INDEX(Acceleration!$U$4:$U$110,MATCH('Track Data'!S1397,Acceleration!$K$4:$K$110,0)),1)),U1397)</f>
        <v>1</v>
      </c>
      <c r="AG1397" s="16">
        <f>IF(AC1397=0,IF(O1397=4,INDEX(Acceleration!$T$4:$T$110,MATCH('Track Data'!S1397,Acceleration!$K$4:$K$110,0)),IF('Track Data'!O1397=3,INDEX(Acceleration!$S$4:$S$110,MATCH('Track Data'!S1397,Acceleration!$K$4:$K$110,0)),'Track Data'!AF1397)),'Track Data'!U1397)</f>
        <v>4.5235291559310618</v>
      </c>
      <c r="AH1397" s="16">
        <f>IF(AC1397=0,IF(O1397=2,INDEX(Acceleration!$R$4:$R$110,MATCH('Track Data'!S1397,Acceleration!$K$4:$K$110,0)),IF('Track Data'!O1397=1,INDEX(Acceleration!$Q$4:$Q$110,MATCH('Track Data'!S1397,Acceleration!$K$4:$K$110,0)),'Track Data'!AG1397)),'Track Data'!U1397)</f>
        <v>4.5235291559310618</v>
      </c>
    </row>
    <row r="1398" spans="2:34" x14ac:dyDescent="0.25">
      <c r="B1398" s="16">
        <v>234.97399999999999</v>
      </c>
      <c r="C1398" s="16">
        <v>8668</v>
      </c>
      <c r="D1398" s="16">
        <v>1395</v>
      </c>
      <c r="E1398" s="113">
        <v>97</v>
      </c>
      <c r="F1398" s="113">
        <v>92.3</v>
      </c>
      <c r="G1398" s="113">
        <v>84.3</v>
      </c>
      <c r="H1398" s="113">
        <f t="shared" si="152"/>
        <v>23.416666666666664</v>
      </c>
      <c r="I1398" s="113">
        <v>11.4</v>
      </c>
      <c r="J1398" s="113">
        <v>46.75</v>
      </c>
      <c r="K1398" s="113">
        <v>-56.2</v>
      </c>
      <c r="L1398" s="183"/>
      <c r="M1398" s="16">
        <v>1395</v>
      </c>
      <c r="N1398" s="16">
        <f t="shared" si="154"/>
        <v>3.5246538176591118E-2</v>
      </c>
      <c r="O1398" s="16">
        <v>3</v>
      </c>
      <c r="P1398" s="16">
        <f t="shared" si="150"/>
        <v>10.596205962059623</v>
      </c>
      <c r="Q1398" s="16">
        <f t="shared" si="155"/>
        <v>28.371580635517478</v>
      </c>
      <c r="R1398" s="113">
        <f t="shared" si="151"/>
        <v>345.36</v>
      </c>
      <c r="S1398" s="16">
        <f>IF(S1397=15800,15800,ROUND((((Q1398*60)/'Gearing Calculator'!$C$14)*'Track Data'!P1398),-2))</f>
        <v>9100</v>
      </c>
      <c r="T1398" s="16">
        <f t="shared" si="153"/>
        <v>4.5235291559310618</v>
      </c>
      <c r="U1398" s="16">
        <f>IF(AC1398=100,Braking!$AG$2354,IF(AC1398=50,Braking!$AG$1179,IF(AC1398=75,Braking!$AG$1767,0)))</f>
        <v>0</v>
      </c>
      <c r="V1398" s="16">
        <f>0.5*'Gearing Calculator'!$C$15*'Gearing Calculator'!$C$20*'Gearing Calculator'!$W$20*('Track Data'!Q1398^2)</f>
        <v>85.195546848271832</v>
      </c>
      <c r="W1398" s="16">
        <f>('Gearing Calculator'!$U$9*'Track Data'!T1398)+'Track Data'!V1398</f>
        <v>1289.3590081571203</v>
      </c>
      <c r="X1398" s="16">
        <f>('Gearing Calculator'!$U$9*9.81)*('Gearing Calculator'!$U$16/'Gearing Calculator'!$C$7)-(('Track Data'!W1398)*('Gearing Calculator'!$U$17/'Gearing Calculator'!$C$7))</f>
        <v>698.37358541434548</v>
      </c>
      <c r="Y1398" s="16">
        <f>('Gearing Calculator'!$U$9*9.81)*(('Gearing Calculator'!$C$7-'Gearing Calculator'!$U$16)/'Gearing Calculator'!$C$7)+(('Track Data'!W1398)*('Gearing Calculator'!$U$17/'Gearing Calculator'!$C$7))</f>
        <v>1913.0484145856544</v>
      </c>
      <c r="Z1398" s="16">
        <f>((X1398*COS('Gearing Calculator'!$C$21))/'Gearing Calculator'!$C$22)/2</f>
        <v>21.591502493544937</v>
      </c>
      <c r="AA1398" s="16">
        <f>Y1398/'Gearing Calculator'!$C$24</f>
        <v>26.712572320359616</v>
      </c>
      <c r="AB1398" s="16">
        <f t="shared" ref="AB1398:AB1461" si="156">(T1398*O1398)+V1398</f>
        <v>98.76613431606502</v>
      </c>
      <c r="AC1398" s="16">
        <v>0</v>
      </c>
      <c r="AD1398" s="16">
        <v>-46.712096975939801</v>
      </c>
      <c r="AE1398" s="16">
        <v>1395</v>
      </c>
      <c r="AF1398" s="16">
        <f>IF(AC1398=0,IF(O1398=6,INDEX(Acceleration!$V$4:$V$110,MATCH('Track Data'!S1398,Acceleration!$K$4:$K$110,0)),IF('Track Data'!O1398=5,INDEX(Acceleration!$U$4:$U$110,MATCH('Track Data'!S1398,Acceleration!$K$4:$K$110,0)),1)),U1398)</f>
        <v>1</v>
      </c>
      <c r="AG1398" s="16">
        <f>IF(AC1398=0,IF(O1398=4,INDEX(Acceleration!$T$4:$T$110,MATCH('Track Data'!S1398,Acceleration!$K$4:$K$110,0)),IF('Track Data'!O1398=3,INDEX(Acceleration!$S$4:$S$110,MATCH('Track Data'!S1398,Acceleration!$K$4:$K$110,0)),'Track Data'!AF1398)),'Track Data'!U1398)</f>
        <v>4.5235291559310618</v>
      </c>
      <c r="AH1398" s="16">
        <f>IF(AC1398=0,IF(O1398=2,INDEX(Acceleration!$R$4:$R$110,MATCH('Track Data'!S1398,Acceleration!$K$4:$K$110,0)),IF('Track Data'!O1398=1,INDEX(Acceleration!$Q$4:$Q$110,MATCH('Track Data'!S1398,Acceleration!$K$4:$K$110,0)),'Track Data'!AG1398)),'Track Data'!U1398)</f>
        <v>4.5235291559310618</v>
      </c>
    </row>
    <row r="1399" spans="2:34" x14ac:dyDescent="0.25">
      <c r="B1399" s="16">
        <v>235.012</v>
      </c>
      <c r="C1399" s="16">
        <v>8669</v>
      </c>
      <c r="D1399" s="16">
        <v>1396</v>
      </c>
      <c r="E1399" s="113">
        <v>97</v>
      </c>
      <c r="F1399" s="113">
        <v>92.8</v>
      </c>
      <c r="G1399" s="113">
        <v>84.5</v>
      </c>
      <c r="H1399" s="113">
        <f t="shared" si="152"/>
        <v>23.472222222222221</v>
      </c>
      <c r="I1399" s="113">
        <v>7.9</v>
      </c>
      <c r="J1399" s="113">
        <v>43.63</v>
      </c>
      <c r="K1399" s="113">
        <v>-56.2</v>
      </c>
      <c r="L1399" s="183"/>
      <c r="M1399" s="16">
        <v>1396</v>
      </c>
      <c r="N1399" s="16">
        <f t="shared" si="154"/>
        <v>3.5246538176591118E-2</v>
      </c>
      <c r="O1399" s="16">
        <v>3</v>
      </c>
      <c r="P1399" s="16">
        <f t="shared" si="150"/>
        <v>10.596205962059623</v>
      </c>
      <c r="Q1399" s="16">
        <f t="shared" si="155"/>
        <v>28.371580635517478</v>
      </c>
      <c r="R1399" s="113">
        <f t="shared" si="151"/>
        <v>345.36</v>
      </c>
      <c r="S1399" s="16">
        <f>IF(S1398=15800,15800,ROUND((((Q1399*60)/'Gearing Calculator'!$C$14)*'Track Data'!P1399),-2))</f>
        <v>9100</v>
      </c>
      <c r="T1399" s="16">
        <f t="shared" si="153"/>
        <v>4.5235291559310618</v>
      </c>
      <c r="U1399" s="16">
        <f>IF(AC1399=100,Braking!$AG$2354,IF(AC1399=50,Braking!$AG$1179,IF(AC1399=75,Braking!$AG$1767,0)))</f>
        <v>0</v>
      </c>
      <c r="V1399" s="16">
        <f>0.5*'Gearing Calculator'!$C$15*'Gearing Calculator'!$C$20*'Gearing Calculator'!$W$20*('Track Data'!Q1399^2)</f>
        <v>85.195546848271832</v>
      </c>
      <c r="W1399" s="16">
        <f>('Gearing Calculator'!$U$9*'Track Data'!T1399)+'Track Data'!V1399</f>
        <v>1289.3590081571203</v>
      </c>
      <c r="X1399" s="16">
        <f>('Gearing Calculator'!$U$9*9.81)*('Gearing Calculator'!$U$16/'Gearing Calculator'!$C$7)-(('Track Data'!W1399)*('Gearing Calculator'!$U$17/'Gearing Calculator'!$C$7))</f>
        <v>698.37358541434548</v>
      </c>
      <c r="Y1399" s="16">
        <f>('Gearing Calculator'!$U$9*9.81)*(('Gearing Calculator'!$C$7-'Gearing Calculator'!$U$16)/'Gearing Calculator'!$C$7)+(('Track Data'!W1399)*('Gearing Calculator'!$U$17/'Gearing Calculator'!$C$7))</f>
        <v>1913.0484145856544</v>
      </c>
      <c r="Z1399" s="16">
        <f>((X1399*COS('Gearing Calculator'!$C$21))/'Gearing Calculator'!$C$22)/2</f>
        <v>21.591502493544937</v>
      </c>
      <c r="AA1399" s="16">
        <f>Y1399/'Gearing Calculator'!$C$24</f>
        <v>26.712572320359616</v>
      </c>
      <c r="AB1399" s="16">
        <f t="shared" si="156"/>
        <v>98.76613431606502</v>
      </c>
      <c r="AC1399" s="16">
        <v>0</v>
      </c>
      <c r="AD1399" s="16">
        <v>-46.712096975939801</v>
      </c>
      <c r="AE1399" s="16">
        <v>1396</v>
      </c>
      <c r="AF1399" s="16">
        <f>IF(AC1399=0,IF(O1399=6,INDEX(Acceleration!$V$4:$V$110,MATCH('Track Data'!S1399,Acceleration!$K$4:$K$110,0)),IF('Track Data'!O1399=5,INDEX(Acceleration!$U$4:$U$110,MATCH('Track Data'!S1399,Acceleration!$K$4:$K$110,0)),1)),U1399)</f>
        <v>1</v>
      </c>
      <c r="AG1399" s="16">
        <f>IF(AC1399=0,IF(O1399=4,INDEX(Acceleration!$T$4:$T$110,MATCH('Track Data'!S1399,Acceleration!$K$4:$K$110,0)),IF('Track Data'!O1399=3,INDEX(Acceleration!$S$4:$S$110,MATCH('Track Data'!S1399,Acceleration!$K$4:$K$110,0)),'Track Data'!AF1399)),'Track Data'!U1399)</f>
        <v>4.5235291559310618</v>
      </c>
      <c r="AH1399" s="16">
        <f>IF(AC1399=0,IF(O1399=2,INDEX(Acceleration!$R$4:$R$110,MATCH('Track Data'!S1399,Acceleration!$K$4:$K$110,0)),IF('Track Data'!O1399=1,INDEX(Acceleration!$Q$4:$Q$110,MATCH('Track Data'!S1399,Acceleration!$K$4:$K$110,0)),'Track Data'!AG1399)),'Track Data'!U1399)</f>
        <v>4.5235291559310618</v>
      </c>
    </row>
    <row r="1400" spans="2:34" x14ac:dyDescent="0.25">
      <c r="B1400" s="16">
        <v>235.05099999999999</v>
      </c>
      <c r="C1400" s="16">
        <v>8670</v>
      </c>
      <c r="D1400" s="16">
        <v>1397</v>
      </c>
      <c r="E1400" s="113">
        <v>97</v>
      </c>
      <c r="F1400" s="113">
        <v>93.3</v>
      </c>
      <c r="G1400" s="113">
        <v>84.7</v>
      </c>
      <c r="H1400" s="113">
        <f t="shared" si="152"/>
        <v>23.527777777777779</v>
      </c>
      <c r="I1400" s="113">
        <v>6.4</v>
      </c>
      <c r="J1400" s="113">
        <v>42.28</v>
      </c>
      <c r="K1400" s="113">
        <v>-55.5</v>
      </c>
      <c r="L1400" s="183"/>
      <c r="M1400" s="16">
        <v>1397</v>
      </c>
      <c r="N1400" s="16">
        <f t="shared" si="154"/>
        <v>3.5246538176591118E-2</v>
      </c>
      <c r="O1400" s="16">
        <v>3</v>
      </c>
      <c r="P1400" s="16">
        <f t="shared" si="150"/>
        <v>10.596205962059623</v>
      </c>
      <c r="Q1400" s="16">
        <f t="shared" si="155"/>
        <v>28.371580635517478</v>
      </c>
      <c r="R1400" s="113">
        <f t="shared" si="151"/>
        <v>345.36</v>
      </c>
      <c r="S1400" s="16">
        <f>IF(S1399=15800,15800,ROUND((((Q1400*60)/'Gearing Calculator'!$C$14)*'Track Data'!P1400),-2))</f>
        <v>9100</v>
      </c>
      <c r="T1400" s="16">
        <f t="shared" si="153"/>
        <v>4.5235291559310618</v>
      </c>
      <c r="U1400" s="16">
        <f>IF(AC1400=100,Braking!$AG$2354,IF(AC1400=50,Braking!$AG$1179,IF(AC1400=75,Braking!$AG$1767,0)))</f>
        <v>0</v>
      </c>
      <c r="V1400" s="16">
        <f>0.5*'Gearing Calculator'!$C$15*'Gearing Calculator'!$C$20*'Gearing Calculator'!$W$20*('Track Data'!Q1400^2)</f>
        <v>85.195546848271832</v>
      </c>
      <c r="W1400" s="16">
        <f>('Gearing Calculator'!$U$9*'Track Data'!T1400)+'Track Data'!V1400</f>
        <v>1289.3590081571203</v>
      </c>
      <c r="X1400" s="16">
        <f>('Gearing Calculator'!$U$9*9.81)*('Gearing Calculator'!$U$16/'Gearing Calculator'!$C$7)-(('Track Data'!W1400)*('Gearing Calculator'!$U$17/'Gearing Calculator'!$C$7))</f>
        <v>698.37358541434548</v>
      </c>
      <c r="Y1400" s="16">
        <f>('Gearing Calculator'!$U$9*9.81)*(('Gearing Calculator'!$C$7-'Gearing Calculator'!$U$16)/'Gearing Calculator'!$C$7)+(('Track Data'!W1400)*('Gearing Calculator'!$U$17/'Gearing Calculator'!$C$7))</f>
        <v>1913.0484145856544</v>
      </c>
      <c r="Z1400" s="16">
        <f>((X1400*COS('Gearing Calculator'!$C$21))/'Gearing Calculator'!$C$22)/2</f>
        <v>21.591502493544937</v>
      </c>
      <c r="AA1400" s="16">
        <f>Y1400/'Gearing Calculator'!$C$24</f>
        <v>26.712572320359616</v>
      </c>
      <c r="AB1400" s="16">
        <f t="shared" si="156"/>
        <v>98.76613431606502</v>
      </c>
      <c r="AC1400" s="16">
        <v>0</v>
      </c>
      <c r="AD1400" s="16">
        <v>-46.712096975939801</v>
      </c>
      <c r="AE1400" s="16">
        <v>1397</v>
      </c>
      <c r="AF1400" s="16">
        <f>IF(AC1400=0,IF(O1400=6,INDEX(Acceleration!$V$4:$V$110,MATCH('Track Data'!S1400,Acceleration!$K$4:$K$110,0)),IF('Track Data'!O1400=5,INDEX(Acceleration!$U$4:$U$110,MATCH('Track Data'!S1400,Acceleration!$K$4:$K$110,0)),1)),U1400)</f>
        <v>1</v>
      </c>
      <c r="AG1400" s="16">
        <f>IF(AC1400=0,IF(O1400=4,INDEX(Acceleration!$T$4:$T$110,MATCH('Track Data'!S1400,Acceleration!$K$4:$K$110,0)),IF('Track Data'!O1400=3,INDEX(Acceleration!$S$4:$S$110,MATCH('Track Data'!S1400,Acceleration!$K$4:$K$110,0)),'Track Data'!AF1400)),'Track Data'!U1400)</f>
        <v>4.5235291559310618</v>
      </c>
      <c r="AH1400" s="16">
        <f>IF(AC1400=0,IF(O1400=2,INDEX(Acceleration!$R$4:$R$110,MATCH('Track Data'!S1400,Acceleration!$K$4:$K$110,0)),IF('Track Data'!O1400=1,INDEX(Acceleration!$Q$4:$Q$110,MATCH('Track Data'!S1400,Acceleration!$K$4:$K$110,0)),'Track Data'!AG1400)),'Track Data'!U1400)</f>
        <v>4.5235291559310618</v>
      </c>
    </row>
    <row r="1401" spans="2:34" x14ac:dyDescent="0.25">
      <c r="B1401" s="16">
        <v>235.09</v>
      </c>
      <c r="C1401" s="16">
        <v>8671</v>
      </c>
      <c r="D1401" s="16">
        <v>1398</v>
      </c>
      <c r="E1401" s="113">
        <v>97</v>
      </c>
      <c r="F1401" s="113">
        <v>93.6</v>
      </c>
      <c r="G1401" s="113">
        <v>84.8</v>
      </c>
      <c r="H1401" s="113">
        <f t="shared" si="152"/>
        <v>23.555555555555554</v>
      </c>
      <c r="I1401" s="113">
        <v>7</v>
      </c>
      <c r="J1401" s="113">
        <v>50.88</v>
      </c>
      <c r="K1401" s="113">
        <v>-53.7</v>
      </c>
      <c r="L1401" s="183"/>
      <c r="M1401" s="16">
        <v>1398</v>
      </c>
      <c r="N1401" s="16">
        <f t="shared" si="154"/>
        <v>3.5246538176591118E-2</v>
      </c>
      <c r="O1401" s="16">
        <v>3</v>
      </c>
      <c r="P1401" s="16">
        <f t="shared" si="150"/>
        <v>10.596205962059623</v>
      </c>
      <c r="Q1401" s="16">
        <f t="shared" si="155"/>
        <v>28.371580635517478</v>
      </c>
      <c r="R1401" s="113">
        <f t="shared" si="151"/>
        <v>345.36</v>
      </c>
      <c r="S1401" s="16">
        <f>IF(S1400=15800,15800,ROUND((((Q1401*60)/'Gearing Calculator'!$C$14)*'Track Data'!P1401),-2))</f>
        <v>9100</v>
      </c>
      <c r="T1401" s="16">
        <f t="shared" si="153"/>
        <v>4.5235291559310618</v>
      </c>
      <c r="U1401" s="16">
        <f>IF(AC1401=100,Braking!$AG$2354,IF(AC1401=50,Braking!$AG$1179,IF(AC1401=75,Braking!$AG$1767,0)))</f>
        <v>0</v>
      </c>
      <c r="V1401" s="16">
        <f>0.5*'Gearing Calculator'!$C$15*'Gearing Calculator'!$C$20*'Gearing Calculator'!$W$20*('Track Data'!Q1401^2)</f>
        <v>85.195546848271832</v>
      </c>
      <c r="W1401" s="16">
        <f>('Gearing Calculator'!$U$9*'Track Data'!T1401)+'Track Data'!V1401</f>
        <v>1289.3590081571203</v>
      </c>
      <c r="X1401" s="16">
        <f>('Gearing Calculator'!$U$9*9.81)*('Gearing Calculator'!$U$16/'Gearing Calculator'!$C$7)-(('Track Data'!W1401)*('Gearing Calculator'!$U$17/'Gearing Calculator'!$C$7))</f>
        <v>698.37358541434548</v>
      </c>
      <c r="Y1401" s="16">
        <f>('Gearing Calculator'!$U$9*9.81)*(('Gearing Calculator'!$C$7-'Gearing Calculator'!$U$16)/'Gearing Calculator'!$C$7)+(('Track Data'!W1401)*('Gearing Calculator'!$U$17/'Gearing Calculator'!$C$7))</f>
        <v>1913.0484145856544</v>
      </c>
      <c r="Z1401" s="16">
        <f>((X1401*COS('Gearing Calculator'!$C$21))/'Gearing Calculator'!$C$22)/2</f>
        <v>21.591502493544937</v>
      </c>
      <c r="AA1401" s="16">
        <f>Y1401/'Gearing Calculator'!$C$24</f>
        <v>26.712572320359616</v>
      </c>
      <c r="AB1401" s="16">
        <f t="shared" si="156"/>
        <v>98.76613431606502</v>
      </c>
      <c r="AC1401" s="16">
        <v>0</v>
      </c>
      <c r="AD1401" s="16">
        <v>-46.712096975939801</v>
      </c>
      <c r="AE1401" s="16">
        <v>1398</v>
      </c>
      <c r="AF1401" s="16">
        <f>IF(AC1401=0,IF(O1401=6,INDEX(Acceleration!$V$4:$V$110,MATCH('Track Data'!S1401,Acceleration!$K$4:$K$110,0)),IF('Track Data'!O1401=5,INDEX(Acceleration!$U$4:$U$110,MATCH('Track Data'!S1401,Acceleration!$K$4:$K$110,0)),1)),U1401)</f>
        <v>1</v>
      </c>
      <c r="AG1401" s="16">
        <f>IF(AC1401=0,IF(O1401=4,INDEX(Acceleration!$T$4:$T$110,MATCH('Track Data'!S1401,Acceleration!$K$4:$K$110,0)),IF('Track Data'!O1401=3,INDEX(Acceleration!$S$4:$S$110,MATCH('Track Data'!S1401,Acceleration!$K$4:$K$110,0)),'Track Data'!AF1401)),'Track Data'!U1401)</f>
        <v>4.5235291559310618</v>
      </c>
      <c r="AH1401" s="16">
        <f>IF(AC1401=0,IF(O1401=2,INDEX(Acceleration!$R$4:$R$110,MATCH('Track Data'!S1401,Acceleration!$K$4:$K$110,0)),IF('Track Data'!O1401=1,INDEX(Acceleration!$Q$4:$Q$110,MATCH('Track Data'!S1401,Acceleration!$K$4:$K$110,0)),'Track Data'!AG1401)),'Track Data'!U1401)</f>
        <v>4.5235291559310618</v>
      </c>
    </row>
    <row r="1402" spans="2:34" x14ac:dyDescent="0.25">
      <c r="B1402" s="16">
        <v>235.12799999999999</v>
      </c>
      <c r="C1402" s="16">
        <v>8672</v>
      </c>
      <c r="D1402" s="16">
        <v>1399</v>
      </c>
      <c r="E1402" s="113">
        <v>96</v>
      </c>
      <c r="F1402" s="113">
        <v>93.4</v>
      </c>
      <c r="G1402" s="113">
        <v>84.9</v>
      </c>
      <c r="H1402" s="113">
        <f t="shared" si="152"/>
        <v>23.583333333333336</v>
      </c>
      <c r="I1402" s="113">
        <v>9.6999999999999993</v>
      </c>
      <c r="J1402" s="113">
        <v>53.45</v>
      </c>
      <c r="K1402" s="113">
        <v>-50.7</v>
      </c>
      <c r="L1402" s="183"/>
      <c r="M1402" s="16">
        <v>1399</v>
      </c>
      <c r="N1402" s="16">
        <f t="shared" si="154"/>
        <v>3.5246538176591118E-2</v>
      </c>
      <c r="O1402" s="16">
        <v>3</v>
      </c>
      <c r="P1402" s="16">
        <f t="shared" si="150"/>
        <v>10.596205962059623</v>
      </c>
      <c r="Q1402" s="16">
        <f t="shared" si="155"/>
        <v>28.371580635517478</v>
      </c>
      <c r="R1402" s="113">
        <f t="shared" si="151"/>
        <v>345.36</v>
      </c>
      <c r="S1402" s="16">
        <f>IF(S1401=15800,15800,ROUND((((Q1402*60)/'Gearing Calculator'!$C$14)*'Track Data'!P1402),-2))</f>
        <v>9100</v>
      </c>
      <c r="T1402" s="16">
        <f t="shared" si="153"/>
        <v>4.5235291559310618</v>
      </c>
      <c r="U1402" s="16">
        <f>IF(AC1402=100,Braking!$AG$2354,IF(AC1402=50,Braking!$AG$1179,IF(AC1402=75,Braking!$AG$1767,0)))</f>
        <v>0</v>
      </c>
      <c r="V1402" s="16">
        <f>0.5*'Gearing Calculator'!$C$15*'Gearing Calculator'!$C$20*'Gearing Calculator'!$W$20*('Track Data'!Q1402^2)</f>
        <v>85.195546848271832</v>
      </c>
      <c r="W1402" s="16">
        <f>('Gearing Calculator'!$U$9*'Track Data'!T1402)+'Track Data'!V1402</f>
        <v>1289.3590081571203</v>
      </c>
      <c r="X1402" s="16">
        <f>('Gearing Calculator'!$U$9*9.81)*('Gearing Calculator'!$U$16/'Gearing Calculator'!$C$7)-(('Track Data'!W1402)*('Gearing Calculator'!$U$17/'Gearing Calculator'!$C$7))</f>
        <v>698.37358541434548</v>
      </c>
      <c r="Y1402" s="16">
        <f>('Gearing Calculator'!$U$9*9.81)*(('Gearing Calculator'!$C$7-'Gearing Calculator'!$U$16)/'Gearing Calculator'!$C$7)+(('Track Data'!W1402)*('Gearing Calculator'!$U$17/'Gearing Calculator'!$C$7))</f>
        <v>1913.0484145856544</v>
      </c>
      <c r="Z1402" s="16">
        <f>((X1402*COS('Gearing Calculator'!$C$21))/'Gearing Calculator'!$C$22)/2</f>
        <v>21.591502493544937</v>
      </c>
      <c r="AA1402" s="16">
        <f>Y1402/'Gearing Calculator'!$C$24</f>
        <v>26.712572320359616</v>
      </c>
      <c r="AB1402" s="16">
        <f t="shared" si="156"/>
        <v>98.76613431606502</v>
      </c>
      <c r="AC1402" s="16">
        <v>0</v>
      </c>
      <c r="AD1402" s="16">
        <v>-46.712096975939801</v>
      </c>
      <c r="AE1402" s="16">
        <v>1399</v>
      </c>
      <c r="AF1402" s="16">
        <f>IF(AC1402=0,IF(O1402=6,INDEX(Acceleration!$V$4:$V$110,MATCH('Track Data'!S1402,Acceleration!$K$4:$K$110,0)),IF('Track Data'!O1402=5,INDEX(Acceleration!$U$4:$U$110,MATCH('Track Data'!S1402,Acceleration!$K$4:$K$110,0)),1)),U1402)</f>
        <v>1</v>
      </c>
      <c r="AG1402" s="16">
        <f>IF(AC1402=0,IF(O1402=4,INDEX(Acceleration!$T$4:$T$110,MATCH('Track Data'!S1402,Acceleration!$K$4:$K$110,0)),IF('Track Data'!O1402=3,INDEX(Acceleration!$S$4:$S$110,MATCH('Track Data'!S1402,Acceleration!$K$4:$K$110,0)),'Track Data'!AF1402)),'Track Data'!U1402)</f>
        <v>4.5235291559310618</v>
      </c>
      <c r="AH1402" s="16">
        <f>IF(AC1402=0,IF(O1402=2,INDEX(Acceleration!$R$4:$R$110,MATCH('Track Data'!S1402,Acceleration!$K$4:$K$110,0)),IF('Track Data'!O1402=1,INDEX(Acceleration!$Q$4:$Q$110,MATCH('Track Data'!S1402,Acceleration!$K$4:$K$110,0)),'Track Data'!AG1402)),'Track Data'!U1402)</f>
        <v>4.5235291559310618</v>
      </c>
    </row>
    <row r="1403" spans="2:34" x14ac:dyDescent="0.25">
      <c r="B1403" s="16">
        <v>235.166</v>
      </c>
      <c r="C1403" s="16">
        <v>8673</v>
      </c>
      <c r="D1403" s="16">
        <v>1400</v>
      </c>
      <c r="E1403" s="113">
        <v>95</v>
      </c>
      <c r="F1403" s="113">
        <v>93.3</v>
      </c>
      <c r="G1403" s="113">
        <v>85</v>
      </c>
      <c r="H1403" s="113">
        <f t="shared" si="152"/>
        <v>23.611111111111111</v>
      </c>
      <c r="I1403" s="113">
        <v>14.1</v>
      </c>
      <c r="J1403" s="113">
        <v>57.27</v>
      </c>
      <c r="K1403" s="113">
        <v>-31.9</v>
      </c>
      <c r="L1403" s="183"/>
      <c r="M1403" s="16">
        <v>1400</v>
      </c>
      <c r="N1403" s="16">
        <f t="shared" si="154"/>
        <v>3.5246538176591118E-2</v>
      </c>
      <c r="O1403" s="16">
        <v>3</v>
      </c>
      <c r="P1403" s="16">
        <f t="shared" si="150"/>
        <v>10.596205962059623</v>
      </c>
      <c r="Q1403" s="16">
        <f t="shared" si="155"/>
        <v>28.371580635517478</v>
      </c>
      <c r="R1403" s="113">
        <f t="shared" si="151"/>
        <v>345.36</v>
      </c>
      <c r="S1403" s="16">
        <f>IF(S1402=15800,15800,ROUND((((Q1403*60)/'Gearing Calculator'!$C$14)*'Track Data'!P1403),-2))</f>
        <v>9100</v>
      </c>
      <c r="T1403" s="16">
        <f t="shared" si="153"/>
        <v>4.5235291559310618</v>
      </c>
      <c r="U1403" s="16">
        <f>IF(AC1403=100,Braking!$AG$2354,IF(AC1403=50,Braking!$AG$1179,IF(AC1403=75,Braking!$AG$1767,0)))</f>
        <v>0</v>
      </c>
      <c r="V1403" s="16">
        <f>0.5*'Gearing Calculator'!$C$15*'Gearing Calculator'!$C$20*'Gearing Calculator'!$W$20*('Track Data'!Q1403^2)</f>
        <v>85.195546848271832</v>
      </c>
      <c r="W1403" s="16">
        <f>('Gearing Calculator'!$U$9*'Track Data'!T1403)+'Track Data'!V1403</f>
        <v>1289.3590081571203</v>
      </c>
      <c r="X1403" s="16">
        <f>('Gearing Calculator'!$U$9*9.81)*('Gearing Calculator'!$U$16/'Gearing Calculator'!$C$7)-(('Track Data'!W1403)*('Gearing Calculator'!$U$17/'Gearing Calculator'!$C$7))</f>
        <v>698.37358541434548</v>
      </c>
      <c r="Y1403" s="16">
        <f>('Gearing Calculator'!$U$9*9.81)*(('Gearing Calculator'!$C$7-'Gearing Calculator'!$U$16)/'Gearing Calculator'!$C$7)+(('Track Data'!W1403)*('Gearing Calculator'!$U$17/'Gearing Calculator'!$C$7))</f>
        <v>1913.0484145856544</v>
      </c>
      <c r="Z1403" s="16">
        <f>((X1403*COS('Gearing Calculator'!$C$21))/'Gearing Calculator'!$C$22)/2</f>
        <v>21.591502493544937</v>
      </c>
      <c r="AA1403" s="16">
        <f>Y1403/'Gearing Calculator'!$C$24</f>
        <v>26.712572320359616</v>
      </c>
      <c r="AB1403" s="16">
        <f t="shared" si="156"/>
        <v>98.76613431606502</v>
      </c>
      <c r="AC1403" s="16">
        <v>0</v>
      </c>
      <c r="AD1403" s="16">
        <v>-46.712096975939801</v>
      </c>
      <c r="AE1403" s="16">
        <v>1400</v>
      </c>
      <c r="AF1403" s="16">
        <f>IF(AC1403=0,IF(O1403=6,INDEX(Acceleration!$V$4:$V$110,MATCH('Track Data'!S1403,Acceleration!$K$4:$K$110,0)),IF('Track Data'!O1403=5,INDEX(Acceleration!$U$4:$U$110,MATCH('Track Data'!S1403,Acceleration!$K$4:$K$110,0)),1)),U1403)</f>
        <v>1</v>
      </c>
      <c r="AG1403" s="16">
        <f>IF(AC1403=0,IF(O1403=4,INDEX(Acceleration!$T$4:$T$110,MATCH('Track Data'!S1403,Acceleration!$K$4:$K$110,0)),IF('Track Data'!O1403=3,INDEX(Acceleration!$S$4:$S$110,MATCH('Track Data'!S1403,Acceleration!$K$4:$K$110,0)),'Track Data'!AF1403)),'Track Data'!U1403)</f>
        <v>4.5235291559310618</v>
      </c>
      <c r="AH1403" s="16">
        <f>IF(AC1403=0,IF(O1403=2,INDEX(Acceleration!$R$4:$R$110,MATCH('Track Data'!S1403,Acceleration!$K$4:$K$110,0)),IF('Track Data'!O1403=1,INDEX(Acceleration!$Q$4:$Q$110,MATCH('Track Data'!S1403,Acceleration!$K$4:$K$110,0)),'Track Data'!AG1403)),'Track Data'!U1403)</f>
        <v>4.5235291559310618</v>
      </c>
    </row>
    <row r="1404" spans="2:34" x14ac:dyDescent="0.25">
      <c r="B1404" s="16">
        <v>235.20500000000001</v>
      </c>
      <c r="C1404" s="16">
        <v>8674</v>
      </c>
      <c r="D1404" s="16">
        <v>1401</v>
      </c>
      <c r="E1404" s="113">
        <v>94</v>
      </c>
      <c r="F1404" s="113">
        <v>93</v>
      </c>
      <c r="G1404" s="113">
        <v>85.1</v>
      </c>
      <c r="H1404" s="113">
        <f t="shared" si="152"/>
        <v>23.638888888888886</v>
      </c>
      <c r="I1404" s="113">
        <v>16.600000000000001</v>
      </c>
      <c r="J1404" s="113">
        <v>61.5</v>
      </c>
      <c r="K1404" s="113">
        <v>-16.5</v>
      </c>
      <c r="L1404" s="183"/>
      <c r="M1404" s="16">
        <v>1401</v>
      </c>
      <c r="N1404" s="16">
        <f t="shared" si="154"/>
        <v>3.5246538176591118E-2</v>
      </c>
      <c r="O1404" s="16">
        <v>3</v>
      </c>
      <c r="P1404" s="16">
        <f t="shared" si="150"/>
        <v>10.596205962059623</v>
      </c>
      <c r="Q1404" s="16">
        <f t="shared" si="155"/>
        <v>28.371580635517478</v>
      </c>
      <c r="R1404" s="113">
        <f t="shared" si="151"/>
        <v>345.36</v>
      </c>
      <c r="S1404" s="16">
        <f>IF(S1403=15800,15800,ROUND((((Q1404*60)/'Gearing Calculator'!$C$14)*'Track Data'!P1404),-2))</f>
        <v>9100</v>
      </c>
      <c r="T1404" s="16">
        <f t="shared" si="153"/>
        <v>4.5235291559310618</v>
      </c>
      <c r="U1404" s="16">
        <f>IF(AC1404=100,Braking!$AG$2354,IF(AC1404=50,Braking!$AG$1179,IF(AC1404=75,Braking!$AG$1767,0)))</f>
        <v>0</v>
      </c>
      <c r="V1404" s="16">
        <f>0.5*'Gearing Calculator'!$C$15*'Gearing Calculator'!$C$20*'Gearing Calculator'!$W$20*('Track Data'!Q1404^2)</f>
        <v>85.195546848271832</v>
      </c>
      <c r="W1404" s="16">
        <f>('Gearing Calculator'!$U$9*'Track Data'!T1404)+'Track Data'!V1404</f>
        <v>1289.3590081571203</v>
      </c>
      <c r="X1404" s="16">
        <f>('Gearing Calculator'!$U$9*9.81)*('Gearing Calculator'!$U$16/'Gearing Calculator'!$C$7)-(('Track Data'!W1404)*('Gearing Calculator'!$U$17/'Gearing Calculator'!$C$7))</f>
        <v>698.37358541434548</v>
      </c>
      <c r="Y1404" s="16">
        <f>('Gearing Calculator'!$U$9*9.81)*(('Gearing Calculator'!$C$7-'Gearing Calculator'!$U$16)/'Gearing Calculator'!$C$7)+(('Track Data'!W1404)*('Gearing Calculator'!$U$17/'Gearing Calculator'!$C$7))</f>
        <v>1913.0484145856544</v>
      </c>
      <c r="Z1404" s="16">
        <f>((X1404*COS('Gearing Calculator'!$C$21))/'Gearing Calculator'!$C$22)/2</f>
        <v>21.591502493544937</v>
      </c>
      <c r="AA1404" s="16">
        <f>Y1404/'Gearing Calculator'!$C$24</f>
        <v>26.712572320359616</v>
      </c>
      <c r="AB1404" s="16">
        <f t="shared" si="156"/>
        <v>98.76613431606502</v>
      </c>
      <c r="AC1404" s="16">
        <v>0</v>
      </c>
      <c r="AD1404" s="16">
        <v>-46.712096975939801</v>
      </c>
      <c r="AE1404" s="16">
        <v>1401</v>
      </c>
      <c r="AF1404" s="16">
        <f>IF(AC1404=0,IF(O1404=6,INDEX(Acceleration!$V$4:$V$110,MATCH('Track Data'!S1404,Acceleration!$K$4:$K$110,0)),IF('Track Data'!O1404=5,INDEX(Acceleration!$U$4:$U$110,MATCH('Track Data'!S1404,Acceleration!$K$4:$K$110,0)),1)),U1404)</f>
        <v>1</v>
      </c>
      <c r="AG1404" s="16">
        <f>IF(AC1404=0,IF(O1404=4,INDEX(Acceleration!$T$4:$T$110,MATCH('Track Data'!S1404,Acceleration!$K$4:$K$110,0)),IF('Track Data'!O1404=3,INDEX(Acceleration!$S$4:$S$110,MATCH('Track Data'!S1404,Acceleration!$K$4:$K$110,0)),'Track Data'!AF1404)),'Track Data'!U1404)</f>
        <v>4.5235291559310618</v>
      </c>
      <c r="AH1404" s="16">
        <f>IF(AC1404=0,IF(O1404=2,INDEX(Acceleration!$R$4:$R$110,MATCH('Track Data'!S1404,Acceleration!$K$4:$K$110,0)),IF('Track Data'!O1404=1,INDEX(Acceleration!$Q$4:$Q$110,MATCH('Track Data'!S1404,Acceleration!$K$4:$K$110,0)),'Track Data'!AG1404)),'Track Data'!U1404)</f>
        <v>4.5235291559310618</v>
      </c>
    </row>
    <row r="1405" spans="2:34" x14ac:dyDescent="0.25">
      <c r="B1405" s="16">
        <v>235.244</v>
      </c>
      <c r="C1405" s="16">
        <v>8675</v>
      </c>
      <c r="D1405" s="16">
        <v>1402</v>
      </c>
      <c r="E1405" s="113">
        <v>95</v>
      </c>
      <c r="F1405" s="113">
        <v>93</v>
      </c>
      <c r="G1405" s="113">
        <v>85.1</v>
      </c>
      <c r="H1405" s="113">
        <f t="shared" si="152"/>
        <v>23.638888888888886</v>
      </c>
      <c r="I1405" s="113">
        <v>16.3</v>
      </c>
      <c r="J1405" s="113">
        <v>60.7</v>
      </c>
      <c r="K1405" s="113">
        <v>-33.9</v>
      </c>
      <c r="L1405" s="183"/>
      <c r="M1405" s="16">
        <v>1402</v>
      </c>
      <c r="N1405" s="16">
        <f t="shared" si="154"/>
        <v>3.5246538176591118E-2</v>
      </c>
      <c r="O1405" s="16">
        <v>3</v>
      </c>
      <c r="P1405" s="16">
        <f t="shared" si="150"/>
        <v>10.596205962059623</v>
      </c>
      <c r="Q1405" s="16">
        <f t="shared" si="155"/>
        <v>28.371580635517478</v>
      </c>
      <c r="R1405" s="113">
        <f t="shared" si="151"/>
        <v>345.36</v>
      </c>
      <c r="S1405" s="16">
        <f>IF(S1404=15800,15800,ROUND((((Q1405*60)/'Gearing Calculator'!$C$14)*'Track Data'!P1405),-2))</f>
        <v>9100</v>
      </c>
      <c r="T1405" s="16">
        <f t="shared" si="153"/>
        <v>4.5235291559310618</v>
      </c>
      <c r="U1405" s="16">
        <f>IF(AC1405=100,Braking!$AG$2354,IF(AC1405=50,Braking!$AG$1179,IF(AC1405=75,Braking!$AG$1767,0)))</f>
        <v>0</v>
      </c>
      <c r="V1405" s="16">
        <f>0.5*'Gearing Calculator'!$C$15*'Gearing Calculator'!$C$20*'Gearing Calculator'!$W$20*('Track Data'!Q1405^2)</f>
        <v>85.195546848271832</v>
      </c>
      <c r="W1405" s="16">
        <f>('Gearing Calculator'!$U$9*'Track Data'!T1405)+'Track Data'!V1405</f>
        <v>1289.3590081571203</v>
      </c>
      <c r="X1405" s="16">
        <f>('Gearing Calculator'!$U$9*9.81)*('Gearing Calculator'!$U$16/'Gearing Calculator'!$C$7)-(('Track Data'!W1405)*('Gearing Calculator'!$U$17/'Gearing Calculator'!$C$7))</f>
        <v>698.37358541434548</v>
      </c>
      <c r="Y1405" s="16">
        <f>('Gearing Calculator'!$U$9*9.81)*(('Gearing Calculator'!$C$7-'Gearing Calculator'!$U$16)/'Gearing Calculator'!$C$7)+(('Track Data'!W1405)*('Gearing Calculator'!$U$17/'Gearing Calculator'!$C$7))</f>
        <v>1913.0484145856544</v>
      </c>
      <c r="Z1405" s="16">
        <f>((X1405*COS('Gearing Calculator'!$C$21))/'Gearing Calculator'!$C$22)/2</f>
        <v>21.591502493544937</v>
      </c>
      <c r="AA1405" s="16">
        <f>Y1405/'Gearing Calculator'!$C$24</f>
        <v>26.712572320359616</v>
      </c>
      <c r="AB1405" s="16">
        <f t="shared" si="156"/>
        <v>98.76613431606502</v>
      </c>
      <c r="AC1405" s="16">
        <v>0</v>
      </c>
      <c r="AD1405" s="16">
        <v>-46.712096975939801</v>
      </c>
      <c r="AE1405" s="16">
        <v>1402</v>
      </c>
      <c r="AF1405" s="16">
        <f>IF(AC1405=0,IF(O1405=6,INDEX(Acceleration!$V$4:$V$110,MATCH('Track Data'!S1405,Acceleration!$K$4:$K$110,0)),IF('Track Data'!O1405=5,INDEX(Acceleration!$U$4:$U$110,MATCH('Track Data'!S1405,Acceleration!$K$4:$K$110,0)),1)),U1405)</f>
        <v>1</v>
      </c>
      <c r="AG1405" s="16">
        <f>IF(AC1405=0,IF(O1405=4,INDEX(Acceleration!$T$4:$T$110,MATCH('Track Data'!S1405,Acceleration!$K$4:$K$110,0)),IF('Track Data'!O1405=3,INDEX(Acceleration!$S$4:$S$110,MATCH('Track Data'!S1405,Acceleration!$K$4:$K$110,0)),'Track Data'!AF1405)),'Track Data'!U1405)</f>
        <v>4.5235291559310618</v>
      </c>
      <c r="AH1405" s="16">
        <f>IF(AC1405=0,IF(O1405=2,INDEX(Acceleration!$R$4:$R$110,MATCH('Track Data'!S1405,Acceleration!$K$4:$K$110,0)),IF('Track Data'!O1405=1,INDEX(Acceleration!$Q$4:$Q$110,MATCH('Track Data'!S1405,Acceleration!$K$4:$K$110,0)),'Track Data'!AG1405)),'Track Data'!U1405)</f>
        <v>4.5235291559310618</v>
      </c>
    </row>
    <row r="1406" spans="2:34" x14ac:dyDescent="0.25">
      <c r="B1406" s="16">
        <v>235.28200000000001</v>
      </c>
      <c r="C1406" s="16">
        <v>8676</v>
      </c>
      <c r="D1406" s="16">
        <v>1403</v>
      </c>
      <c r="E1406" s="113">
        <v>95</v>
      </c>
      <c r="F1406" s="113">
        <v>93.2</v>
      </c>
      <c r="G1406" s="113">
        <v>85.1</v>
      </c>
      <c r="H1406" s="113">
        <f t="shared" si="152"/>
        <v>23.638888888888886</v>
      </c>
      <c r="I1406" s="113">
        <v>15.9</v>
      </c>
      <c r="J1406" s="113">
        <v>65.2</v>
      </c>
      <c r="K1406" s="113">
        <v>-50.1</v>
      </c>
      <c r="L1406" s="183"/>
      <c r="M1406" s="16">
        <v>1403</v>
      </c>
      <c r="N1406" s="16">
        <f t="shared" si="154"/>
        <v>3.5246538176591118E-2</v>
      </c>
      <c r="O1406" s="16">
        <v>3</v>
      </c>
      <c r="P1406" s="16">
        <f t="shared" si="150"/>
        <v>10.596205962059623</v>
      </c>
      <c r="Q1406" s="16">
        <f t="shared" si="155"/>
        <v>28.371580635517478</v>
      </c>
      <c r="R1406" s="113">
        <f t="shared" si="151"/>
        <v>345.36</v>
      </c>
      <c r="S1406" s="16">
        <f>IF(S1405=15800,15800,ROUND((((Q1406*60)/'Gearing Calculator'!$C$14)*'Track Data'!P1406),-2))</f>
        <v>9100</v>
      </c>
      <c r="T1406" s="16">
        <f t="shared" si="153"/>
        <v>4.5235291559310618</v>
      </c>
      <c r="U1406" s="16">
        <f>IF(AC1406=100,Braking!$AG$2354,IF(AC1406=50,Braking!$AG$1179,IF(AC1406=75,Braking!$AG$1767,0)))</f>
        <v>0</v>
      </c>
      <c r="V1406" s="16">
        <f>0.5*'Gearing Calculator'!$C$15*'Gearing Calculator'!$C$20*'Gearing Calculator'!$W$20*('Track Data'!Q1406^2)</f>
        <v>85.195546848271832</v>
      </c>
      <c r="W1406" s="16">
        <f>('Gearing Calculator'!$U$9*'Track Data'!T1406)+'Track Data'!V1406</f>
        <v>1289.3590081571203</v>
      </c>
      <c r="X1406" s="16">
        <f>('Gearing Calculator'!$U$9*9.81)*('Gearing Calculator'!$U$16/'Gearing Calculator'!$C$7)-(('Track Data'!W1406)*('Gearing Calculator'!$U$17/'Gearing Calculator'!$C$7))</f>
        <v>698.37358541434548</v>
      </c>
      <c r="Y1406" s="16">
        <f>('Gearing Calculator'!$U$9*9.81)*(('Gearing Calculator'!$C$7-'Gearing Calculator'!$U$16)/'Gearing Calculator'!$C$7)+(('Track Data'!W1406)*('Gearing Calculator'!$U$17/'Gearing Calculator'!$C$7))</f>
        <v>1913.0484145856544</v>
      </c>
      <c r="Z1406" s="16">
        <f>((X1406*COS('Gearing Calculator'!$C$21))/'Gearing Calculator'!$C$22)/2</f>
        <v>21.591502493544937</v>
      </c>
      <c r="AA1406" s="16">
        <f>Y1406/'Gearing Calculator'!$C$24</f>
        <v>26.712572320359616</v>
      </c>
      <c r="AB1406" s="16">
        <f t="shared" si="156"/>
        <v>98.76613431606502</v>
      </c>
      <c r="AC1406" s="16">
        <v>0</v>
      </c>
      <c r="AD1406" s="16">
        <v>-46.712096975939801</v>
      </c>
      <c r="AE1406" s="16">
        <v>1403</v>
      </c>
      <c r="AF1406" s="16">
        <f>IF(AC1406=0,IF(O1406=6,INDEX(Acceleration!$V$4:$V$110,MATCH('Track Data'!S1406,Acceleration!$K$4:$K$110,0)),IF('Track Data'!O1406=5,INDEX(Acceleration!$U$4:$U$110,MATCH('Track Data'!S1406,Acceleration!$K$4:$K$110,0)),1)),U1406)</f>
        <v>1</v>
      </c>
      <c r="AG1406" s="16">
        <f>IF(AC1406=0,IF(O1406=4,INDEX(Acceleration!$T$4:$T$110,MATCH('Track Data'!S1406,Acceleration!$K$4:$K$110,0)),IF('Track Data'!O1406=3,INDEX(Acceleration!$S$4:$S$110,MATCH('Track Data'!S1406,Acceleration!$K$4:$K$110,0)),'Track Data'!AF1406)),'Track Data'!U1406)</f>
        <v>4.5235291559310618</v>
      </c>
      <c r="AH1406" s="16">
        <f>IF(AC1406=0,IF(O1406=2,INDEX(Acceleration!$R$4:$R$110,MATCH('Track Data'!S1406,Acceleration!$K$4:$K$110,0)),IF('Track Data'!O1406=1,INDEX(Acceleration!$Q$4:$Q$110,MATCH('Track Data'!S1406,Acceleration!$K$4:$K$110,0)),'Track Data'!AG1406)),'Track Data'!U1406)</f>
        <v>4.5235291559310618</v>
      </c>
    </row>
    <row r="1407" spans="2:34" x14ac:dyDescent="0.25">
      <c r="B1407" s="16">
        <v>235.321</v>
      </c>
      <c r="C1407" s="16">
        <v>8677</v>
      </c>
      <c r="D1407" s="16">
        <v>1404</v>
      </c>
      <c r="E1407" s="113">
        <v>95</v>
      </c>
      <c r="F1407" s="113">
        <v>92.2</v>
      </c>
      <c r="G1407" s="113">
        <v>85.1</v>
      </c>
      <c r="H1407" s="113">
        <f t="shared" si="152"/>
        <v>23.638888888888886</v>
      </c>
      <c r="I1407" s="113">
        <v>16.5</v>
      </c>
      <c r="J1407" s="113">
        <v>71.069999999999993</v>
      </c>
      <c r="K1407" s="113">
        <v>-53.5</v>
      </c>
      <c r="L1407" s="183"/>
      <c r="M1407" s="16">
        <v>1404</v>
      </c>
      <c r="N1407" s="16">
        <f t="shared" si="154"/>
        <v>3.5246538176591118E-2</v>
      </c>
      <c r="O1407" s="16">
        <v>3</v>
      </c>
      <c r="P1407" s="16">
        <f t="shared" si="150"/>
        <v>10.596205962059623</v>
      </c>
      <c r="Q1407" s="16">
        <f t="shared" si="155"/>
        <v>28.371580635517478</v>
      </c>
      <c r="R1407" s="113">
        <f t="shared" si="151"/>
        <v>345.36</v>
      </c>
      <c r="S1407" s="16">
        <f>IF(S1406=15800,15800,ROUND((((Q1407*60)/'Gearing Calculator'!$C$14)*'Track Data'!P1407),-2))</f>
        <v>9100</v>
      </c>
      <c r="T1407" s="16">
        <f t="shared" si="153"/>
        <v>4.5235291559310618</v>
      </c>
      <c r="U1407" s="16">
        <f>IF(AC1407=100,Braking!$AG$2354,IF(AC1407=50,Braking!$AG$1179,IF(AC1407=75,Braking!$AG$1767,0)))</f>
        <v>0</v>
      </c>
      <c r="V1407" s="16">
        <f>0.5*'Gearing Calculator'!$C$15*'Gearing Calculator'!$C$20*'Gearing Calculator'!$W$20*('Track Data'!Q1407^2)</f>
        <v>85.195546848271832</v>
      </c>
      <c r="W1407" s="16">
        <f>('Gearing Calculator'!$U$9*'Track Data'!T1407)+'Track Data'!V1407</f>
        <v>1289.3590081571203</v>
      </c>
      <c r="X1407" s="16">
        <f>('Gearing Calculator'!$U$9*9.81)*('Gearing Calculator'!$U$16/'Gearing Calculator'!$C$7)-(('Track Data'!W1407)*('Gearing Calculator'!$U$17/'Gearing Calculator'!$C$7))</f>
        <v>698.37358541434548</v>
      </c>
      <c r="Y1407" s="16">
        <f>('Gearing Calculator'!$U$9*9.81)*(('Gearing Calculator'!$C$7-'Gearing Calculator'!$U$16)/'Gearing Calculator'!$C$7)+(('Track Data'!W1407)*('Gearing Calculator'!$U$17/'Gearing Calculator'!$C$7))</f>
        <v>1913.0484145856544</v>
      </c>
      <c r="Z1407" s="16">
        <f>((X1407*COS('Gearing Calculator'!$C$21))/'Gearing Calculator'!$C$22)/2</f>
        <v>21.591502493544937</v>
      </c>
      <c r="AA1407" s="16">
        <f>Y1407/'Gearing Calculator'!$C$24</f>
        <v>26.712572320359616</v>
      </c>
      <c r="AB1407" s="16">
        <f t="shared" si="156"/>
        <v>98.76613431606502</v>
      </c>
      <c r="AC1407" s="16">
        <v>0</v>
      </c>
      <c r="AD1407" s="16">
        <v>-46.712096975939801</v>
      </c>
      <c r="AE1407" s="16">
        <v>1404</v>
      </c>
      <c r="AF1407" s="16">
        <f>IF(AC1407=0,IF(O1407=6,INDEX(Acceleration!$V$4:$V$110,MATCH('Track Data'!S1407,Acceleration!$K$4:$K$110,0)),IF('Track Data'!O1407=5,INDEX(Acceleration!$U$4:$U$110,MATCH('Track Data'!S1407,Acceleration!$K$4:$K$110,0)),1)),U1407)</f>
        <v>1</v>
      </c>
      <c r="AG1407" s="16">
        <f>IF(AC1407=0,IF(O1407=4,INDEX(Acceleration!$T$4:$T$110,MATCH('Track Data'!S1407,Acceleration!$K$4:$K$110,0)),IF('Track Data'!O1407=3,INDEX(Acceleration!$S$4:$S$110,MATCH('Track Data'!S1407,Acceleration!$K$4:$K$110,0)),'Track Data'!AF1407)),'Track Data'!U1407)</f>
        <v>4.5235291559310618</v>
      </c>
      <c r="AH1407" s="16">
        <f>IF(AC1407=0,IF(O1407=2,INDEX(Acceleration!$R$4:$R$110,MATCH('Track Data'!S1407,Acceleration!$K$4:$K$110,0)),IF('Track Data'!O1407=1,INDEX(Acceleration!$Q$4:$Q$110,MATCH('Track Data'!S1407,Acceleration!$K$4:$K$110,0)),'Track Data'!AG1407)),'Track Data'!U1407)</f>
        <v>4.5235291559310618</v>
      </c>
    </row>
    <row r="1408" spans="2:34" x14ac:dyDescent="0.25">
      <c r="B1408" s="16">
        <v>235.35900000000001</v>
      </c>
      <c r="C1408" s="16">
        <v>8678</v>
      </c>
      <c r="D1408" s="16">
        <v>1405</v>
      </c>
      <c r="E1408" s="113">
        <v>92</v>
      </c>
      <c r="F1408" s="113">
        <v>91.3</v>
      </c>
      <c r="G1408" s="113">
        <v>85</v>
      </c>
      <c r="H1408" s="113">
        <f t="shared" si="152"/>
        <v>23.611111111111111</v>
      </c>
      <c r="I1408" s="113">
        <v>16.8</v>
      </c>
      <c r="J1408" s="113">
        <v>61.36</v>
      </c>
      <c r="K1408" s="113">
        <v>-56</v>
      </c>
      <c r="L1408" s="183"/>
      <c r="M1408" s="16">
        <v>1405</v>
      </c>
      <c r="N1408" s="16">
        <f t="shared" si="154"/>
        <v>3.5246538176591118E-2</v>
      </c>
      <c r="O1408" s="16">
        <v>3</v>
      </c>
      <c r="P1408" s="16">
        <f t="shared" si="150"/>
        <v>10.596205962059623</v>
      </c>
      <c r="Q1408" s="16">
        <f t="shared" si="155"/>
        <v>28.371580635517478</v>
      </c>
      <c r="R1408" s="113">
        <f t="shared" si="151"/>
        <v>345.36</v>
      </c>
      <c r="S1408" s="16">
        <f>IF(S1407=15800,15800,ROUND((((Q1408*60)/'Gearing Calculator'!$C$14)*'Track Data'!P1408),-2))</f>
        <v>9100</v>
      </c>
      <c r="T1408" s="16">
        <f t="shared" si="153"/>
        <v>4.5235291559310618</v>
      </c>
      <c r="U1408" s="16">
        <f>IF(AC1408=100,Braking!$AG$2354,IF(AC1408=50,Braking!$AG$1179,IF(AC1408=75,Braking!$AG$1767,0)))</f>
        <v>0</v>
      </c>
      <c r="V1408" s="16">
        <f>0.5*'Gearing Calculator'!$C$15*'Gearing Calculator'!$C$20*'Gearing Calculator'!$W$20*('Track Data'!Q1408^2)</f>
        <v>85.195546848271832</v>
      </c>
      <c r="W1408" s="16">
        <f>('Gearing Calculator'!$U$9*'Track Data'!T1408)+'Track Data'!V1408</f>
        <v>1289.3590081571203</v>
      </c>
      <c r="X1408" s="16">
        <f>('Gearing Calculator'!$U$9*9.81)*('Gearing Calculator'!$U$16/'Gearing Calculator'!$C$7)-(('Track Data'!W1408)*('Gearing Calculator'!$U$17/'Gearing Calculator'!$C$7))</f>
        <v>698.37358541434548</v>
      </c>
      <c r="Y1408" s="16">
        <f>('Gearing Calculator'!$U$9*9.81)*(('Gearing Calculator'!$C$7-'Gearing Calculator'!$U$16)/'Gearing Calculator'!$C$7)+(('Track Data'!W1408)*('Gearing Calculator'!$U$17/'Gearing Calculator'!$C$7))</f>
        <v>1913.0484145856544</v>
      </c>
      <c r="Z1408" s="16">
        <f>((X1408*COS('Gearing Calculator'!$C$21))/'Gearing Calculator'!$C$22)/2</f>
        <v>21.591502493544937</v>
      </c>
      <c r="AA1408" s="16">
        <f>Y1408/'Gearing Calculator'!$C$24</f>
        <v>26.712572320359616</v>
      </c>
      <c r="AB1408" s="16">
        <f t="shared" si="156"/>
        <v>98.76613431606502</v>
      </c>
      <c r="AC1408" s="16">
        <v>0</v>
      </c>
      <c r="AD1408" s="16">
        <v>-46.712096975939801</v>
      </c>
      <c r="AE1408" s="16">
        <v>1405</v>
      </c>
      <c r="AF1408" s="16">
        <f>IF(AC1408=0,IF(O1408=6,INDEX(Acceleration!$V$4:$V$110,MATCH('Track Data'!S1408,Acceleration!$K$4:$K$110,0)),IF('Track Data'!O1408=5,INDEX(Acceleration!$U$4:$U$110,MATCH('Track Data'!S1408,Acceleration!$K$4:$K$110,0)),1)),U1408)</f>
        <v>1</v>
      </c>
      <c r="AG1408" s="16">
        <f>IF(AC1408=0,IF(O1408=4,INDEX(Acceleration!$T$4:$T$110,MATCH('Track Data'!S1408,Acceleration!$K$4:$K$110,0)),IF('Track Data'!O1408=3,INDEX(Acceleration!$S$4:$S$110,MATCH('Track Data'!S1408,Acceleration!$K$4:$K$110,0)),'Track Data'!AF1408)),'Track Data'!U1408)</f>
        <v>4.5235291559310618</v>
      </c>
      <c r="AH1408" s="16">
        <f>IF(AC1408=0,IF(O1408=2,INDEX(Acceleration!$R$4:$R$110,MATCH('Track Data'!S1408,Acceleration!$K$4:$K$110,0)),IF('Track Data'!O1408=1,INDEX(Acceleration!$Q$4:$Q$110,MATCH('Track Data'!S1408,Acceleration!$K$4:$K$110,0)),'Track Data'!AG1408)),'Track Data'!U1408)</f>
        <v>4.5235291559310618</v>
      </c>
    </row>
    <row r="1409" spans="2:34" x14ac:dyDescent="0.25">
      <c r="B1409" s="16">
        <v>235.399</v>
      </c>
      <c r="C1409" s="16">
        <v>8679</v>
      </c>
      <c r="D1409" s="16">
        <v>1406</v>
      </c>
      <c r="E1409" s="113">
        <v>91</v>
      </c>
      <c r="F1409" s="113">
        <v>92.3</v>
      </c>
      <c r="G1409" s="113">
        <v>84.9</v>
      </c>
      <c r="H1409" s="113">
        <f t="shared" si="152"/>
        <v>23.583333333333336</v>
      </c>
      <c r="I1409" s="113">
        <v>15.1</v>
      </c>
      <c r="J1409" s="113">
        <v>74</v>
      </c>
      <c r="K1409" s="113">
        <v>-56.5</v>
      </c>
      <c r="L1409" s="183"/>
      <c r="M1409" s="16">
        <v>1406</v>
      </c>
      <c r="N1409" s="16">
        <f t="shared" si="154"/>
        <v>3.5246538176591118E-2</v>
      </c>
      <c r="O1409" s="16">
        <v>3</v>
      </c>
      <c r="P1409" s="16">
        <f t="shared" si="150"/>
        <v>10.596205962059623</v>
      </c>
      <c r="Q1409" s="16">
        <f t="shared" si="155"/>
        <v>28.371580635517478</v>
      </c>
      <c r="R1409" s="113">
        <f t="shared" si="151"/>
        <v>345.36</v>
      </c>
      <c r="S1409" s="16">
        <f>IF(S1408=15800,15800,ROUND((((Q1409*60)/'Gearing Calculator'!$C$14)*'Track Data'!P1409),-2))</f>
        <v>9100</v>
      </c>
      <c r="T1409" s="16">
        <f t="shared" si="153"/>
        <v>4.5235291559310618</v>
      </c>
      <c r="U1409" s="16">
        <f>IF(AC1409=100,Braking!$AG$2354,IF(AC1409=50,Braking!$AG$1179,IF(AC1409=75,Braking!$AG$1767,0)))</f>
        <v>0</v>
      </c>
      <c r="V1409" s="16">
        <f>0.5*'Gearing Calculator'!$C$15*'Gearing Calculator'!$C$20*'Gearing Calculator'!$W$20*('Track Data'!Q1409^2)</f>
        <v>85.195546848271832</v>
      </c>
      <c r="W1409" s="16">
        <f>('Gearing Calculator'!$U$9*'Track Data'!T1409)+'Track Data'!V1409</f>
        <v>1289.3590081571203</v>
      </c>
      <c r="X1409" s="16">
        <f>('Gearing Calculator'!$U$9*9.81)*('Gearing Calculator'!$U$16/'Gearing Calculator'!$C$7)-(('Track Data'!W1409)*('Gearing Calculator'!$U$17/'Gearing Calculator'!$C$7))</f>
        <v>698.37358541434548</v>
      </c>
      <c r="Y1409" s="16">
        <f>('Gearing Calculator'!$U$9*9.81)*(('Gearing Calculator'!$C$7-'Gearing Calculator'!$U$16)/'Gearing Calculator'!$C$7)+(('Track Data'!W1409)*('Gearing Calculator'!$U$17/'Gearing Calculator'!$C$7))</f>
        <v>1913.0484145856544</v>
      </c>
      <c r="Z1409" s="16">
        <f>((X1409*COS('Gearing Calculator'!$C$21))/'Gearing Calculator'!$C$22)/2</f>
        <v>21.591502493544937</v>
      </c>
      <c r="AA1409" s="16">
        <f>Y1409/'Gearing Calculator'!$C$24</f>
        <v>26.712572320359616</v>
      </c>
      <c r="AB1409" s="16">
        <f t="shared" si="156"/>
        <v>98.76613431606502</v>
      </c>
      <c r="AC1409" s="16">
        <v>0</v>
      </c>
      <c r="AD1409" s="16">
        <v>-46.712096975939801</v>
      </c>
      <c r="AE1409" s="16">
        <v>1406</v>
      </c>
      <c r="AF1409" s="16">
        <f>IF(AC1409=0,IF(O1409=6,INDEX(Acceleration!$V$4:$V$110,MATCH('Track Data'!S1409,Acceleration!$K$4:$K$110,0)),IF('Track Data'!O1409=5,INDEX(Acceleration!$U$4:$U$110,MATCH('Track Data'!S1409,Acceleration!$K$4:$K$110,0)),1)),U1409)</f>
        <v>1</v>
      </c>
      <c r="AG1409" s="16">
        <f>IF(AC1409=0,IF(O1409=4,INDEX(Acceleration!$T$4:$T$110,MATCH('Track Data'!S1409,Acceleration!$K$4:$K$110,0)),IF('Track Data'!O1409=3,INDEX(Acceleration!$S$4:$S$110,MATCH('Track Data'!S1409,Acceleration!$K$4:$K$110,0)),'Track Data'!AF1409)),'Track Data'!U1409)</f>
        <v>4.5235291559310618</v>
      </c>
      <c r="AH1409" s="16">
        <f>IF(AC1409=0,IF(O1409=2,INDEX(Acceleration!$R$4:$R$110,MATCH('Track Data'!S1409,Acceleration!$K$4:$K$110,0)),IF('Track Data'!O1409=1,INDEX(Acceleration!$Q$4:$Q$110,MATCH('Track Data'!S1409,Acceleration!$K$4:$K$110,0)),'Track Data'!AG1409)),'Track Data'!U1409)</f>
        <v>4.5235291559310618</v>
      </c>
    </row>
    <row r="1410" spans="2:34" x14ac:dyDescent="0.25">
      <c r="B1410" s="16">
        <v>235.43799999999999</v>
      </c>
      <c r="C1410" s="16">
        <v>8680</v>
      </c>
      <c r="D1410" s="16">
        <v>1407</v>
      </c>
      <c r="E1410" s="113">
        <v>91</v>
      </c>
      <c r="F1410" s="113">
        <v>91.9</v>
      </c>
      <c r="G1410" s="113">
        <v>84.7</v>
      </c>
      <c r="H1410" s="113">
        <f t="shared" si="152"/>
        <v>23.527777777777779</v>
      </c>
      <c r="I1410" s="113">
        <v>9.3000000000000007</v>
      </c>
      <c r="J1410" s="113">
        <v>68.58</v>
      </c>
      <c r="K1410" s="113">
        <v>-56.5</v>
      </c>
      <c r="L1410" s="183"/>
      <c r="M1410" s="16">
        <v>1407</v>
      </c>
      <c r="N1410" s="16">
        <f t="shared" si="154"/>
        <v>3.5246538176591118E-2</v>
      </c>
      <c r="O1410" s="16">
        <v>3</v>
      </c>
      <c r="P1410" s="16">
        <f t="shared" si="150"/>
        <v>10.596205962059623</v>
      </c>
      <c r="Q1410" s="16">
        <f t="shared" si="155"/>
        <v>28.371580635517478</v>
      </c>
      <c r="R1410" s="113">
        <f t="shared" si="151"/>
        <v>345.36</v>
      </c>
      <c r="S1410" s="16">
        <f>IF(S1409=15800,15800,ROUND((((Q1410*60)/'Gearing Calculator'!$C$14)*'Track Data'!P1410),-2))</f>
        <v>9100</v>
      </c>
      <c r="T1410" s="16">
        <f t="shared" si="153"/>
        <v>4.5235291559310618</v>
      </c>
      <c r="U1410" s="16">
        <f>IF(AC1410=100,Braking!$AG$2354,IF(AC1410=50,Braking!$AG$1179,IF(AC1410=75,Braking!$AG$1767,0)))</f>
        <v>0</v>
      </c>
      <c r="V1410" s="16">
        <f>0.5*'Gearing Calculator'!$C$15*'Gearing Calculator'!$C$20*'Gearing Calculator'!$W$20*('Track Data'!Q1410^2)</f>
        <v>85.195546848271832</v>
      </c>
      <c r="W1410" s="16">
        <f>('Gearing Calculator'!$U$9*'Track Data'!T1410)+'Track Data'!V1410</f>
        <v>1289.3590081571203</v>
      </c>
      <c r="X1410" s="16">
        <f>('Gearing Calculator'!$U$9*9.81)*('Gearing Calculator'!$U$16/'Gearing Calculator'!$C$7)-(('Track Data'!W1410)*('Gearing Calculator'!$U$17/'Gearing Calculator'!$C$7))</f>
        <v>698.37358541434548</v>
      </c>
      <c r="Y1410" s="16">
        <f>('Gearing Calculator'!$U$9*9.81)*(('Gearing Calculator'!$C$7-'Gearing Calculator'!$U$16)/'Gearing Calculator'!$C$7)+(('Track Data'!W1410)*('Gearing Calculator'!$U$17/'Gearing Calculator'!$C$7))</f>
        <v>1913.0484145856544</v>
      </c>
      <c r="Z1410" s="16">
        <f>((X1410*COS('Gearing Calculator'!$C$21))/'Gearing Calculator'!$C$22)/2</f>
        <v>21.591502493544937</v>
      </c>
      <c r="AA1410" s="16">
        <f>Y1410/'Gearing Calculator'!$C$24</f>
        <v>26.712572320359616</v>
      </c>
      <c r="AB1410" s="16">
        <f t="shared" si="156"/>
        <v>98.76613431606502</v>
      </c>
      <c r="AC1410" s="16">
        <v>0</v>
      </c>
      <c r="AD1410" s="16">
        <v>-46.712096975939801</v>
      </c>
      <c r="AE1410" s="16">
        <v>1407</v>
      </c>
      <c r="AF1410" s="16">
        <f>IF(AC1410=0,IF(O1410=6,INDEX(Acceleration!$V$4:$V$110,MATCH('Track Data'!S1410,Acceleration!$K$4:$K$110,0)),IF('Track Data'!O1410=5,INDEX(Acceleration!$U$4:$U$110,MATCH('Track Data'!S1410,Acceleration!$K$4:$K$110,0)),1)),U1410)</f>
        <v>1</v>
      </c>
      <c r="AG1410" s="16">
        <f>IF(AC1410=0,IF(O1410=4,INDEX(Acceleration!$T$4:$T$110,MATCH('Track Data'!S1410,Acceleration!$K$4:$K$110,0)),IF('Track Data'!O1410=3,INDEX(Acceleration!$S$4:$S$110,MATCH('Track Data'!S1410,Acceleration!$K$4:$K$110,0)),'Track Data'!AF1410)),'Track Data'!U1410)</f>
        <v>4.5235291559310618</v>
      </c>
      <c r="AH1410" s="16">
        <f>IF(AC1410=0,IF(O1410=2,INDEX(Acceleration!$R$4:$R$110,MATCH('Track Data'!S1410,Acceleration!$K$4:$K$110,0)),IF('Track Data'!O1410=1,INDEX(Acceleration!$Q$4:$Q$110,MATCH('Track Data'!S1410,Acceleration!$K$4:$K$110,0)),'Track Data'!AG1410)),'Track Data'!U1410)</f>
        <v>4.5235291559310618</v>
      </c>
    </row>
    <row r="1411" spans="2:34" x14ac:dyDescent="0.25">
      <c r="B1411" s="16">
        <v>235.477</v>
      </c>
      <c r="C1411" s="16">
        <v>8681</v>
      </c>
      <c r="D1411" s="16">
        <v>1408</v>
      </c>
      <c r="E1411" s="113">
        <v>91</v>
      </c>
      <c r="F1411" s="113">
        <v>91.7</v>
      </c>
      <c r="G1411" s="113">
        <v>84.5</v>
      </c>
      <c r="H1411" s="113">
        <f t="shared" si="152"/>
        <v>23.472222222222221</v>
      </c>
      <c r="I1411" s="113">
        <v>13.3</v>
      </c>
      <c r="J1411" s="113">
        <v>81.67</v>
      </c>
      <c r="K1411" s="113">
        <v>-55.4</v>
      </c>
      <c r="L1411" s="183"/>
      <c r="M1411" s="16">
        <v>1408</v>
      </c>
      <c r="N1411" s="16">
        <f t="shared" si="154"/>
        <v>3.5246538176591118E-2</v>
      </c>
      <c r="O1411" s="16">
        <v>3</v>
      </c>
      <c r="P1411" s="16">
        <f t="shared" si="150"/>
        <v>10.596205962059623</v>
      </c>
      <c r="Q1411" s="16">
        <f t="shared" si="155"/>
        <v>28.371580635517478</v>
      </c>
      <c r="R1411" s="113">
        <f t="shared" si="151"/>
        <v>345.36</v>
      </c>
      <c r="S1411" s="16">
        <f>IF(S1410=15800,15800,ROUND((((Q1411*60)/'Gearing Calculator'!$C$14)*'Track Data'!P1411),-2))</f>
        <v>9100</v>
      </c>
      <c r="T1411" s="16">
        <f t="shared" si="153"/>
        <v>4.5235291559310618</v>
      </c>
      <c r="U1411" s="16">
        <f>IF(AC1411=100,Braking!$AG$2354,IF(AC1411=50,Braking!$AG$1179,IF(AC1411=75,Braking!$AG$1767,0)))</f>
        <v>0</v>
      </c>
      <c r="V1411" s="16">
        <f>0.5*'Gearing Calculator'!$C$15*'Gearing Calculator'!$C$20*'Gearing Calculator'!$W$20*('Track Data'!Q1411^2)</f>
        <v>85.195546848271832</v>
      </c>
      <c r="W1411" s="16">
        <f>('Gearing Calculator'!$U$9*'Track Data'!T1411)+'Track Data'!V1411</f>
        <v>1289.3590081571203</v>
      </c>
      <c r="X1411" s="16">
        <f>('Gearing Calculator'!$U$9*9.81)*('Gearing Calculator'!$U$16/'Gearing Calculator'!$C$7)-(('Track Data'!W1411)*('Gearing Calculator'!$U$17/'Gearing Calculator'!$C$7))</f>
        <v>698.37358541434548</v>
      </c>
      <c r="Y1411" s="16">
        <f>('Gearing Calculator'!$U$9*9.81)*(('Gearing Calculator'!$C$7-'Gearing Calculator'!$U$16)/'Gearing Calculator'!$C$7)+(('Track Data'!W1411)*('Gearing Calculator'!$U$17/'Gearing Calculator'!$C$7))</f>
        <v>1913.0484145856544</v>
      </c>
      <c r="Z1411" s="16">
        <f>((X1411*COS('Gearing Calculator'!$C$21))/'Gearing Calculator'!$C$22)/2</f>
        <v>21.591502493544937</v>
      </c>
      <c r="AA1411" s="16">
        <f>Y1411/'Gearing Calculator'!$C$24</f>
        <v>26.712572320359616</v>
      </c>
      <c r="AB1411" s="16">
        <f t="shared" si="156"/>
        <v>98.76613431606502</v>
      </c>
      <c r="AC1411" s="16">
        <v>0</v>
      </c>
      <c r="AD1411" s="16">
        <v>-46.712096975939801</v>
      </c>
      <c r="AE1411" s="16">
        <v>1408</v>
      </c>
      <c r="AF1411" s="16">
        <f>IF(AC1411=0,IF(O1411=6,INDEX(Acceleration!$V$4:$V$110,MATCH('Track Data'!S1411,Acceleration!$K$4:$K$110,0)),IF('Track Data'!O1411=5,INDEX(Acceleration!$U$4:$U$110,MATCH('Track Data'!S1411,Acceleration!$K$4:$K$110,0)),1)),U1411)</f>
        <v>1</v>
      </c>
      <c r="AG1411" s="16">
        <f>IF(AC1411=0,IF(O1411=4,INDEX(Acceleration!$T$4:$T$110,MATCH('Track Data'!S1411,Acceleration!$K$4:$K$110,0)),IF('Track Data'!O1411=3,INDEX(Acceleration!$S$4:$S$110,MATCH('Track Data'!S1411,Acceleration!$K$4:$K$110,0)),'Track Data'!AF1411)),'Track Data'!U1411)</f>
        <v>4.5235291559310618</v>
      </c>
      <c r="AH1411" s="16">
        <f>IF(AC1411=0,IF(O1411=2,INDEX(Acceleration!$R$4:$R$110,MATCH('Track Data'!S1411,Acceleration!$K$4:$K$110,0)),IF('Track Data'!O1411=1,INDEX(Acceleration!$Q$4:$Q$110,MATCH('Track Data'!S1411,Acceleration!$K$4:$K$110,0)),'Track Data'!AG1411)),'Track Data'!U1411)</f>
        <v>4.5235291559310618</v>
      </c>
    </row>
    <row r="1412" spans="2:34" x14ac:dyDescent="0.25">
      <c r="B1412" s="16">
        <v>235.51599999999999</v>
      </c>
      <c r="C1412" s="16">
        <v>8682</v>
      </c>
      <c r="D1412" s="16">
        <v>1409</v>
      </c>
      <c r="E1412" s="113">
        <v>90</v>
      </c>
      <c r="F1412" s="113">
        <v>91.1</v>
      </c>
      <c r="G1412" s="113">
        <v>84.3</v>
      </c>
      <c r="H1412" s="113">
        <f t="shared" si="152"/>
        <v>23.416666666666664</v>
      </c>
      <c r="I1412" s="113">
        <v>17.8</v>
      </c>
      <c r="J1412" s="113">
        <v>81.209999999999994</v>
      </c>
      <c r="K1412" s="113">
        <v>-54.1</v>
      </c>
      <c r="L1412" s="183"/>
      <c r="M1412" s="16">
        <v>1409</v>
      </c>
      <c r="N1412" s="16">
        <f t="shared" si="154"/>
        <v>3.5246538176591118E-2</v>
      </c>
      <c r="O1412" s="16">
        <v>3</v>
      </c>
      <c r="P1412" s="16">
        <f t="shared" ref="P1412:P1475" si="157">VLOOKUP(O1412,$AJ$5:$AK$10,2,FALSE)</f>
        <v>10.596205962059623</v>
      </c>
      <c r="Q1412" s="16">
        <f t="shared" si="155"/>
        <v>28.371580635517478</v>
      </c>
      <c r="R1412" s="113">
        <f t="shared" ref="R1412:R1475" si="158">VLOOKUP(O1412,$AJ$5:$AL$10,3,FALSE)</f>
        <v>345.36</v>
      </c>
      <c r="S1412" s="16">
        <f>IF(S1411=15800,15800,ROUND((((Q1412*60)/'Gearing Calculator'!$C$14)*'Track Data'!P1412),-2))</f>
        <v>9100</v>
      </c>
      <c r="T1412" s="16">
        <f t="shared" si="153"/>
        <v>4.5235291559310618</v>
      </c>
      <c r="U1412" s="16">
        <f>IF(AC1412=100,Braking!$AG$2354,IF(AC1412=50,Braking!$AG$1179,IF(AC1412=75,Braking!$AG$1767,0)))</f>
        <v>0</v>
      </c>
      <c r="V1412" s="16">
        <f>0.5*'Gearing Calculator'!$C$15*'Gearing Calculator'!$C$20*'Gearing Calculator'!$W$20*('Track Data'!Q1412^2)</f>
        <v>85.195546848271832</v>
      </c>
      <c r="W1412" s="16">
        <f>('Gearing Calculator'!$U$9*'Track Data'!T1412)+'Track Data'!V1412</f>
        <v>1289.3590081571203</v>
      </c>
      <c r="X1412" s="16">
        <f>('Gearing Calculator'!$U$9*9.81)*('Gearing Calculator'!$U$16/'Gearing Calculator'!$C$7)-(('Track Data'!W1412)*('Gearing Calculator'!$U$17/'Gearing Calculator'!$C$7))</f>
        <v>698.37358541434548</v>
      </c>
      <c r="Y1412" s="16">
        <f>('Gearing Calculator'!$U$9*9.81)*(('Gearing Calculator'!$C$7-'Gearing Calculator'!$U$16)/'Gearing Calculator'!$C$7)+(('Track Data'!W1412)*('Gearing Calculator'!$U$17/'Gearing Calculator'!$C$7))</f>
        <v>1913.0484145856544</v>
      </c>
      <c r="Z1412" s="16">
        <f>((X1412*COS('Gearing Calculator'!$C$21))/'Gearing Calculator'!$C$22)/2</f>
        <v>21.591502493544937</v>
      </c>
      <c r="AA1412" s="16">
        <f>Y1412/'Gearing Calculator'!$C$24</f>
        <v>26.712572320359616</v>
      </c>
      <c r="AB1412" s="16">
        <f t="shared" si="156"/>
        <v>98.76613431606502</v>
      </c>
      <c r="AC1412" s="16">
        <v>0</v>
      </c>
      <c r="AD1412" s="16">
        <v>-46.712096975939801</v>
      </c>
      <c r="AE1412" s="16">
        <v>1409</v>
      </c>
      <c r="AF1412" s="16">
        <f>IF(AC1412=0,IF(O1412=6,INDEX(Acceleration!$V$4:$V$110,MATCH('Track Data'!S1412,Acceleration!$K$4:$K$110,0)),IF('Track Data'!O1412=5,INDEX(Acceleration!$U$4:$U$110,MATCH('Track Data'!S1412,Acceleration!$K$4:$K$110,0)),1)),U1412)</f>
        <v>1</v>
      </c>
      <c r="AG1412" s="16">
        <f>IF(AC1412=0,IF(O1412=4,INDEX(Acceleration!$T$4:$T$110,MATCH('Track Data'!S1412,Acceleration!$K$4:$K$110,0)),IF('Track Data'!O1412=3,INDEX(Acceleration!$S$4:$S$110,MATCH('Track Data'!S1412,Acceleration!$K$4:$K$110,0)),'Track Data'!AF1412)),'Track Data'!U1412)</f>
        <v>4.5235291559310618</v>
      </c>
      <c r="AH1412" s="16">
        <f>IF(AC1412=0,IF(O1412=2,INDEX(Acceleration!$R$4:$R$110,MATCH('Track Data'!S1412,Acceleration!$K$4:$K$110,0)),IF('Track Data'!O1412=1,INDEX(Acceleration!$Q$4:$Q$110,MATCH('Track Data'!S1412,Acceleration!$K$4:$K$110,0)),'Track Data'!AG1412)),'Track Data'!U1412)</f>
        <v>4.5235291559310618</v>
      </c>
    </row>
    <row r="1413" spans="2:34" x14ac:dyDescent="0.25">
      <c r="B1413" s="16">
        <v>235.55600000000001</v>
      </c>
      <c r="C1413" s="16">
        <v>8683</v>
      </c>
      <c r="D1413" s="16">
        <v>1410</v>
      </c>
      <c r="E1413" s="113">
        <v>90</v>
      </c>
      <c r="F1413" s="113">
        <v>90.5</v>
      </c>
      <c r="G1413" s="113">
        <v>83.9</v>
      </c>
      <c r="H1413" s="113">
        <f t="shared" ref="H1413:H1476" si="159">G1413/3.6</f>
        <v>23.305555555555557</v>
      </c>
      <c r="I1413" s="113">
        <v>17.600000000000001</v>
      </c>
      <c r="J1413" s="113">
        <v>78.13</v>
      </c>
      <c r="K1413" s="113">
        <v>-53.3</v>
      </c>
      <c r="L1413" s="183"/>
      <c r="M1413" s="16">
        <v>1410</v>
      </c>
      <c r="N1413" s="16">
        <f t="shared" si="154"/>
        <v>3.5246538176591118E-2</v>
      </c>
      <c r="O1413" s="16">
        <v>3</v>
      </c>
      <c r="P1413" s="16">
        <f t="shared" si="157"/>
        <v>10.596205962059623</v>
      </c>
      <c r="Q1413" s="16">
        <f t="shared" si="155"/>
        <v>28.371580635517478</v>
      </c>
      <c r="R1413" s="113">
        <f t="shared" si="158"/>
        <v>345.36</v>
      </c>
      <c r="S1413" s="16">
        <f>IF(S1412=15800,15800,ROUND((((Q1413*60)/'Gearing Calculator'!$C$14)*'Track Data'!P1413),-2))</f>
        <v>9100</v>
      </c>
      <c r="T1413" s="16">
        <f t="shared" ref="T1413:T1476" si="160">AH1413</f>
        <v>4.5235291559310618</v>
      </c>
      <c r="U1413" s="16">
        <f>IF(AC1413=100,Braking!$AG$2354,IF(AC1413=50,Braking!$AG$1179,IF(AC1413=75,Braking!$AG$1767,0)))</f>
        <v>0</v>
      </c>
      <c r="V1413" s="16">
        <f>0.5*'Gearing Calculator'!$C$15*'Gearing Calculator'!$C$20*'Gearing Calculator'!$W$20*('Track Data'!Q1413^2)</f>
        <v>85.195546848271832</v>
      </c>
      <c r="W1413" s="16">
        <f>('Gearing Calculator'!$U$9*'Track Data'!T1413)+'Track Data'!V1413</f>
        <v>1289.3590081571203</v>
      </c>
      <c r="X1413" s="16">
        <f>('Gearing Calculator'!$U$9*9.81)*('Gearing Calculator'!$U$16/'Gearing Calculator'!$C$7)-(('Track Data'!W1413)*('Gearing Calculator'!$U$17/'Gearing Calculator'!$C$7))</f>
        <v>698.37358541434548</v>
      </c>
      <c r="Y1413" s="16">
        <f>('Gearing Calculator'!$U$9*9.81)*(('Gearing Calculator'!$C$7-'Gearing Calculator'!$U$16)/'Gearing Calculator'!$C$7)+(('Track Data'!W1413)*('Gearing Calculator'!$U$17/'Gearing Calculator'!$C$7))</f>
        <v>1913.0484145856544</v>
      </c>
      <c r="Z1413" s="16">
        <f>((X1413*COS('Gearing Calculator'!$C$21))/'Gearing Calculator'!$C$22)/2</f>
        <v>21.591502493544937</v>
      </c>
      <c r="AA1413" s="16">
        <f>Y1413/'Gearing Calculator'!$C$24</f>
        <v>26.712572320359616</v>
      </c>
      <c r="AB1413" s="16">
        <f t="shared" si="156"/>
        <v>98.76613431606502</v>
      </c>
      <c r="AC1413" s="16">
        <v>0</v>
      </c>
      <c r="AD1413" s="16">
        <v>-46.712096975939801</v>
      </c>
      <c r="AE1413" s="16">
        <v>1410</v>
      </c>
      <c r="AF1413" s="16">
        <f>IF(AC1413=0,IF(O1413=6,INDEX(Acceleration!$V$4:$V$110,MATCH('Track Data'!S1413,Acceleration!$K$4:$K$110,0)),IF('Track Data'!O1413=5,INDEX(Acceleration!$U$4:$U$110,MATCH('Track Data'!S1413,Acceleration!$K$4:$K$110,0)),1)),U1413)</f>
        <v>1</v>
      </c>
      <c r="AG1413" s="16">
        <f>IF(AC1413=0,IF(O1413=4,INDEX(Acceleration!$T$4:$T$110,MATCH('Track Data'!S1413,Acceleration!$K$4:$K$110,0)),IF('Track Data'!O1413=3,INDEX(Acceleration!$S$4:$S$110,MATCH('Track Data'!S1413,Acceleration!$K$4:$K$110,0)),'Track Data'!AF1413)),'Track Data'!U1413)</f>
        <v>4.5235291559310618</v>
      </c>
      <c r="AH1413" s="16">
        <f>IF(AC1413=0,IF(O1413=2,INDEX(Acceleration!$R$4:$R$110,MATCH('Track Data'!S1413,Acceleration!$K$4:$K$110,0)),IF('Track Data'!O1413=1,INDEX(Acceleration!$Q$4:$Q$110,MATCH('Track Data'!S1413,Acceleration!$K$4:$K$110,0)),'Track Data'!AG1413)),'Track Data'!U1413)</f>
        <v>4.5235291559310618</v>
      </c>
    </row>
    <row r="1414" spans="2:34" x14ac:dyDescent="0.25">
      <c r="B1414" s="16">
        <v>235.595</v>
      </c>
      <c r="C1414" s="16">
        <v>8684</v>
      </c>
      <c r="D1414" s="16">
        <v>1411</v>
      </c>
      <c r="E1414" s="113">
        <v>90</v>
      </c>
      <c r="F1414" s="113">
        <v>90.4</v>
      </c>
      <c r="G1414" s="113">
        <v>83.6</v>
      </c>
      <c r="H1414" s="113">
        <f t="shared" si="159"/>
        <v>23.222222222222221</v>
      </c>
      <c r="I1414" s="113">
        <v>15.8</v>
      </c>
      <c r="J1414" s="113">
        <v>75.650000000000006</v>
      </c>
      <c r="K1414" s="113">
        <v>-52.6</v>
      </c>
      <c r="L1414" s="183"/>
      <c r="M1414" s="16">
        <v>1411</v>
      </c>
      <c r="N1414" s="16">
        <f t="shared" ref="N1414:N1477" si="161">1/Q1414</f>
        <v>3.5246538176591118E-2</v>
      </c>
      <c r="O1414" s="16">
        <v>3</v>
      </c>
      <c r="P1414" s="16">
        <f t="shared" si="157"/>
        <v>10.596205962059623</v>
      </c>
      <c r="Q1414" s="16">
        <f t="shared" ref="Q1414:Q1477" si="162">IF(AD1413=0,SQRT(Q1413^2+(2*T1413)),Q1413)</f>
        <v>28.371580635517478</v>
      </c>
      <c r="R1414" s="113">
        <f t="shared" si="158"/>
        <v>345.36</v>
      </c>
      <c r="S1414" s="16">
        <f>IF(S1413=15800,15800,ROUND((((Q1414*60)/'Gearing Calculator'!$C$14)*'Track Data'!P1414),-2))</f>
        <v>9100</v>
      </c>
      <c r="T1414" s="16">
        <f t="shared" si="160"/>
        <v>4.5235291559310618</v>
      </c>
      <c r="U1414" s="16">
        <f>IF(AC1414=100,Braking!$AG$2354,IF(AC1414=50,Braking!$AG$1179,IF(AC1414=75,Braking!$AG$1767,0)))</f>
        <v>0</v>
      </c>
      <c r="V1414" s="16">
        <f>0.5*'Gearing Calculator'!$C$15*'Gearing Calculator'!$C$20*'Gearing Calculator'!$W$20*('Track Data'!Q1414^2)</f>
        <v>85.195546848271832</v>
      </c>
      <c r="W1414" s="16">
        <f>('Gearing Calculator'!$U$9*'Track Data'!T1414)+'Track Data'!V1414</f>
        <v>1289.3590081571203</v>
      </c>
      <c r="X1414" s="16">
        <f>('Gearing Calculator'!$U$9*9.81)*('Gearing Calculator'!$U$16/'Gearing Calculator'!$C$7)-(('Track Data'!W1414)*('Gearing Calculator'!$U$17/'Gearing Calculator'!$C$7))</f>
        <v>698.37358541434548</v>
      </c>
      <c r="Y1414" s="16">
        <f>('Gearing Calculator'!$U$9*9.81)*(('Gearing Calculator'!$C$7-'Gearing Calculator'!$U$16)/'Gearing Calculator'!$C$7)+(('Track Data'!W1414)*('Gearing Calculator'!$U$17/'Gearing Calculator'!$C$7))</f>
        <v>1913.0484145856544</v>
      </c>
      <c r="Z1414" s="16">
        <f>((X1414*COS('Gearing Calculator'!$C$21))/'Gearing Calculator'!$C$22)/2</f>
        <v>21.591502493544937</v>
      </c>
      <c r="AA1414" s="16">
        <f>Y1414/'Gearing Calculator'!$C$24</f>
        <v>26.712572320359616</v>
      </c>
      <c r="AB1414" s="16">
        <f t="shared" si="156"/>
        <v>98.76613431606502</v>
      </c>
      <c r="AC1414" s="16">
        <v>0</v>
      </c>
      <c r="AD1414" s="16">
        <v>-46.712096975939801</v>
      </c>
      <c r="AE1414" s="16">
        <v>1411</v>
      </c>
      <c r="AF1414" s="16">
        <f>IF(AC1414=0,IF(O1414=6,INDEX(Acceleration!$V$4:$V$110,MATCH('Track Data'!S1414,Acceleration!$K$4:$K$110,0)),IF('Track Data'!O1414=5,INDEX(Acceleration!$U$4:$U$110,MATCH('Track Data'!S1414,Acceleration!$K$4:$K$110,0)),1)),U1414)</f>
        <v>1</v>
      </c>
      <c r="AG1414" s="16">
        <f>IF(AC1414=0,IF(O1414=4,INDEX(Acceleration!$T$4:$T$110,MATCH('Track Data'!S1414,Acceleration!$K$4:$K$110,0)),IF('Track Data'!O1414=3,INDEX(Acceleration!$S$4:$S$110,MATCH('Track Data'!S1414,Acceleration!$K$4:$K$110,0)),'Track Data'!AF1414)),'Track Data'!U1414)</f>
        <v>4.5235291559310618</v>
      </c>
      <c r="AH1414" s="16">
        <f>IF(AC1414=0,IF(O1414=2,INDEX(Acceleration!$R$4:$R$110,MATCH('Track Data'!S1414,Acceleration!$K$4:$K$110,0)),IF('Track Data'!O1414=1,INDEX(Acceleration!$Q$4:$Q$110,MATCH('Track Data'!S1414,Acceleration!$K$4:$K$110,0)),'Track Data'!AG1414)),'Track Data'!U1414)</f>
        <v>4.5235291559310618</v>
      </c>
    </row>
    <row r="1415" spans="2:34" x14ac:dyDescent="0.25">
      <c r="B1415" s="16">
        <v>235.63499999999999</v>
      </c>
      <c r="C1415" s="16">
        <v>8685</v>
      </c>
      <c r="D1415" s="16">
        <v>1412</v>
      </c>
      <c r="E1415" s="113">
        <v>89</v>
      </c>
      <c r="F1415" s="113">
        <v>89.5</v>
      </c>
      <c r="G1415" s="113">
        <v>83.2</v>
      </c>
      <c r="H1415" s="113">
        <f t="shared" si="159"/>
        <v>23.111111111111111</v>
      </c>
      <c r="I1415" s="113">
        <v>15.9</v>
      </c>
      <c r="J1415" s="113">
        <v>75.66</v>
      </c>
      <c r="K1415" s="113">
        <v>-51.3</v>
      </c>
      <c r="L1415" s="183"/>
      <c r="M1415" s="16">
        <v>1412</v>
      </c>
      <c r="N1415" s="16">
        <f t="shared" si="161"/>
        <v>3.5246538176591118E-2</v>
      </c>
      <c r="O1415" s="16">
        <v>3</v>
      </c>
      <c r="P1415" s="16">
        <f t="shared" si="157"/>
        <v>10.596205962059623</v>
      </c>
      <c r="Q1415" s="16">
        <f t="shared" si="162"/>
        <v>28.371580635517478</v>
      </c>
      <c r="R1415" s="113">
        <f t="shared" si="158"/>
        <v>345.36</v>
      </c>
      <c r="S1415" s="16">
        <f>IF(S1414=15800,15800,ROUND((((Q1415*60)/'Gearing Calculator'!$C$14)*'Track Data'!P1415),-2))</f>
        <v>9100</v>
      </c>
      <c r="T1415" s="16">
        <f t="shared" si="160"/>
        <v>4.5235291559310618</v>
      </c>
      <c r="U1415" s="16">
        <f>IF(AC1415=100,Braking!$AG$2354,IF(AC1415=50,Braking!$AG$1179,IF(AC1415=75,Braking!$AG$1767,0)))</f>
        <v>0</v>
      </c>
      <c r="V1415" s="16">
        <f>0.5*'Gearing Calculator'!$C$15*'Gearing Calculator'!$C$20*'Gearing Calculator'!$W$20*('Track Data'!Q1415^2)</f>
        <v>85.195546848271832</v>
      </c>
      <c r="W1415" s="16">
        <f>('Gearing Calculator'!$U$9*'Track Data'!T1415)+'Track Data'!V1415</f>
        <v>1289.3590081571203</v>
      </c>
      <c r="X1415" s="16">
        <f>('Gearing Calculator'!$U$9*9.81)*('Gearing Calculator'!$U$16/'Gearing Calculator'!$C$7)-(('Track Data'!W1415)*('Gearing Calculator'!$U$17/'Gearing Calculator'!$C$7))</f>
        <v>698.37358541434548</v>
      </c>
      <c r="Y1415" s="16">
        <f>('Gearing Calculator'!$U$9*9.81)*(('Gearing Calculator'!$C$7-'Gearing Calculator'!$U$16)/'Gearing Calculator'!$C$7)+(('Track Data'!W1415)*('Gearing Calculator'!$U$17/'Gearing Calculator'!$C$7))</f>
        <v>1913.0484145856544</v>
      </c>
      <c r="Z1415" s="16">
        <f>((X1415*COS('Gearing Calculator'!$C$21))/'Gearing Calculator'!$C$22)/2</f>
        <v>21.591502493544937</v>
      </c>
      <c r="AA1415" s="16">
        <f>Y1415/'Gearing Calculator'!$C$24</f>
        <v>26.712572320359616</v>
      </c>
      <c r="AB1415" s="16">
        <f t="shared" si="156"/>
        <v>98.76613431606502</v>
      </c>
      <c r="AC1415" s="16">
        <v>0</v>
      </c>
      <c r="AD1415" s="16">
        <v>-46.712096975939801</v>
      </c>
      <c r="AE1415" s="16">
        <v>1412</v>
      </c>
      <c r="AF1415" s="16">
        <f>IF(AC1415=0,IF(O1415=6,INDEX(Acceleration!$V$4:$V$110,MATCH('Track Data'!S1415,Acceleration!$K$4:$K$110,0)),IF('Track Data'!O1415=5,INDEX(Acceleration!$U$4:$U$110,MATCH('Track Data'!S1415,Acceleration!$K$4:$K$110,0)),1)),U1415)</f>
        <v>1</v>
      </c>
      <c r="AG1415" s="16">
        <f>IF(AC1415=0,IF(O1415=4,INDEX(Acceleration!$T$4:$T$110,MATCH('Track Data'!S1415,Acceleration!$K$4:$K$110,0)),IF('Track Data'!O1415=3,INDEX(Acceleration!$S$4:$S$110,MATCH('Track Data'!S1415,Acceleration!$K$4:$K$110,0)),'Track Data'!AF1415)),'Track Data'!U1415)</f>
        <v>4.5235291559310618</v>
      </c>
      <c r="AH1415" s="16">
        <f>IF(AC1415=0,IF(O1415=2,INDEX(Acceleration!$R$4:$R$110,MATCH('Track Data'!S1415,Acceleration!$K$4:$K$110,0)),IF('Track Data'!O1415=1,INDEX(Acceleration!$Q$4:$Q$110,MATCH('Track Data'!S1415,Acceleration!$K$4:$K$110,0)),'Track Data'!AG1415)),'Track Data'!U1415)</f>
        <v>4.5235291559310618</v>
      </c>
    </row>
    <row r="1416" spans="2:34" x14ac:dyDescent="0.25">
      <c r="B1416" s="16">
        <v>235.67500000000001</v>
      </c>
      <c r="C1416" s="16">
        <v>8686</v>
      </c>
      <c r="D1416" s="16">
        <v>1413</v>
      </c>
      <c r="E1416" s="113">
        <v>89</v>
      </c>
      <c r="F1416" s="113">
        <v>89.1</v>
      </c>
      <c r="G1416" s="113">
        <v>82.8</v>
      </c>
      <c r="H1416" s="113">
        <f t="shared" si="159"/>
        <v>23</v>
      </c>
      <c r="I1416" s="113">
        <v>18.8</v>
      </c>
      <c r="J1416" s="113">
        <v>85.02</v>
      </c>
      <c r="K1416" s="113">
        <v>-49.7</v>
      </c>
      <c r="L1416" s="183"/>
      <c r="M1416" s="16">
        <v>1413</v>
      </c>
      <c r="N1416" s="16">
        <f t="shared" si="161"/>
        <v>3.5246538176591118E-2</v>
      </c>
      <c r="O1416" s="16">
        <v>3</v>
      </c>
      <c r="P1416" s="16">
        <f t="shared" si="157"/>
        <v>10.596205962059623</v>
      </c>
      <c r="Q1416" s="16">
        <f t="shared" si="162"/>
        <v>28.371580635517478</v>
      </c>
      <c r="R1416" s="113">
        <f t="shared" si="158"/>
        <v>345.36</v>
      </c>
      <c r="S1416" s="16">
        <f>IF(S1415=15800,15800,ROUND((((Q1416*60)/'Gearing Calculator'!$C$14)*'Track Data'!P1416),-2))</f>
        <v>9100</v>
      </c>
      <c r="T1416" s="16">
        <f t="shared" si="160"/>
        <v>4.5235291559310618</v>
      </c>
      <c r="U1416" s="16">
        <f>IF(AC1416=100,Braking!$AG$2354,IF(AC1416=50,Braking!$AG$1179,IF(AC1416=75,Braking!$AG$1767,0)))</f>
        <v>0</v>
      </c>
      <c r="V1416" s="16">
        <f>0.5*'Gearing Calculator'!$C$15*'Gearing Calculator'!$C$20*'Gearing Calculator'!$W$20*('Track Data'!Q1416^2)</f>
        <v>85.195546848271832</v>
      </c>
      <c r="W1416" s="16">
        <f>('Gearing Calculator'!$U$9*'Track Data'!T1416)+'Track Data'!V1416</f>
        <v>1289.3590081571203</v>
      </c>
      <c r="X1416" s="16">
        <f>('Gearing Calculator'!$U$9*9.81)*('Gearing Calculator'!$U$16/'Gearing Calculator'!$C$7)-(('Track Data'!W1416)*('Gearing Calculator'!$U$17/'Gearing Calculator'!$C$7))</f>
        <v>698.37358541434548</v>
      </c>
      <c r="Y1416" s="16">
        <f>('Gearing Calculator'!$U$9*9.81)*(('Gearing Calculator'!$C$7-'Gearing Calculator'!$U$16)/'Gearing Calculator'!$C$7)+(('Track Data'!W1416)*('Gearing Calculator'!$U$17/'Gearing Calculator'!$C$7))</f>
        <v>1913.0484145856544</v>
      </c>
      <c r="Z1416" s="16">
        <f>((X1416*COS('Gearing Calculator'!$C$21))/'Gearing Calculator'!$C$22)/2</f>
        <v>21.591502493544937</v>
      </c>
      <c r="AA1416" s="16">
        <f>Y1416/'Gearing Calculator'!$C$24</f>
        <v>26.712572320359616</v>
      </c>
      <c r="AB1416" s="16">
        <f t="shared" si="156"/>
        <v>98.76613431606502</v>
      </c>
      <c r="AC1416" s="16">
        <v>0</v>
      </c>
      <c r="AD1416" s="16">
        <v>-46.712096975939801</v>
      </c>
      <c r="AE1416" s="16">
        <v>1413</v>
      </c>
      <c r="AF1416" s="16">
        <f>IF(AC1416=0,IF(O1416=6,INDEX(Acceleration!$V$4:$V$110,MATCH('Track Data'!S1416,Acceleration!$K$4:$K$110,0)),IF('Track Data'!O1416=5,INDEX(Acceleration!$U$4:$U$110,MATCH('Track Data'!S1416,Acceleration!$K$4:$K$110,0)),1)),U1416)</f>
        <v>1</v>
      </c>
      <c r="AG1416" s="16">
        <f>IF(AC1416=0,IF(O1416=4,INDEX(Acceleration!$T$4:$T$110,MATCH('Track Data'!S1416,Acceleration!$K$4:$K$110,0)),IF('Track Data'!O1416=3,INDEX(Acceleration!$S$4:$S$110,MATCH('Track Data'!S1416,Acceleration!$K$4:$K$110,0)),'Track Data'!AF1416)),'Track Data'!U1416)</f>
        <v>4.5235291559310618</v>
      </c>
      <c r="AH1416" s="16">
        <f>IF(AC1416=0,IF(O1416=2,INDEX(Acceleration!$R$4:$R$110,MATCH('Track Data'!S1416,Acceleration!$K$4:$K$110,0)),IF('Track Data'!O1416=1,INDEX(Acceleration!$Q$4:$Q$110,MATCH('Track Data'!S1416,Acceleration!$K$4:$K$110,0)),'Track Data'!AG1416)),'Track Data'!U1416)</f>
        <v>4.5235291559310618</v>
      </c>
    </row>
    <row r="1417" spans="2:34" x14ac:dyDescent="0.25">
      <c r="B1417" s="16">
        <v>235.715</v>
      </c>
      <c r="C1417" s="16">
        <v>8687</v>
      </c>
      <c r="D1417" s="16">
        <v>1414</v>
      </c>
      <c r="E1417" s="113">
        <v>88</v>
      </c>
      <c r="F1417" s="113">
        <v>88.2</v>
      </c>
      <c r="G1417" s="113">
        <v>82.4</v>
      </c>
      <c r="H1417" s="113">
        <f t="shared" si="159"/>
        <v>22.888888888888889</v>
      </c>
      <c r="I1417" s="113">
        <v>21.2</v>
      </c>
      <c r="J1417" s="113">
        <v>85.88</v>
      </c>
      <c r="K1417" s="113">
        <v>-52</v>
      </c>
      <c r="L1417" s="183"/>
      <c r="M1417" s="16">
        <v>1414</v>
      </c>
      <c r="N1417" s="16">
        <f t="shared" si="161"/>
        <v>3.5246538176591118E-2</v>
      </c>
      <c r="O1417" s="16">
        <v>3</v>
      </c>
      <c r="P1417" s="16">
        <f t="shared" si="157"/>
        <v>10.596205962059623</v>
      </c>
      <c r="Q1417" s="16">
        <f t="shared" si="162"/>
        <v>28.371580635517478</v>
      </c>
      <c r="R1417" s="113">
        <f t="shared" si="158"/>
        <v>345.36</v>
      </c>
      <c r="S1417" s="16">
        <f>IF(S1416=15800,15800,ROUND((((Q1417*60)/'Gearing Calculator'!$C$14)*'Track Data'!P1417),-2))</f>
        <v>9100</v>
      </c>
      <c r="T1417" s="16">
        <f t="shared" si="160"/>
        <v>4.5235291559310618</v>
      </c>
      <c r="U1417" s="16">
        <f>IF(AC1417=100,Braking!$AG$2354,IF(AC1417=50,Braking!$AG$1179,IF(AC1417=75,Braking!$AG$1767,0)))</f>
        <v>0</v>
      </c>
      <c r="V1417" s="16">
        <f>0.5*'Gearing Calculator'!$C$15*'Gearing Calculator'!$C$20*'Gearing Calculator'!$W$20*('Track Data'!Q1417^2)</f>
        <v>85.195546848271832</v>
      </c>
      <c r="W1417" s="16">
        <f>('Gearing Calculator'!$U$9*'Track Data'!T1417)+'Track Data'!V1417</f>
        <v>1289.3590081571203</v>
      </c>
      <c r="X1417" s="16">
        <f>('Gearing Calculator'!$U$9*9.81)*('Gearing Calculator'!$U$16/'Gearing Calculator'!$C$7)-(('Track Data'!W1417)*('Gearing Calculator'!$U$17/'Gearing Calculator'!$C$7))</f>
        <v>698.37358541434548</v>
      </c>
      <c r="Y1417" s="16">
        <f>('Gearing Calculator'!$U$9*9.81)*(('Gearing Calculator'!$C$7-'Gearing Calculator'!$U$16)/'Gearing Calculator'!$C$7)+(('Track Data'!W1417)*('Gearing Calculator'!$U$17/'Gearing Calculator'!$C$7))</f>
        <v>1913.0484145856544</v>
      </c>
      <c r="Z1417" s="16">
        <f>((X1417*COS('Gearing Calculator'!$C$21))/'Gearing Calculator'!$C$22)/2</f>
        <v>21.591502493544937</v>
      </c>
      <c r="AA1417" s="16">
        <f>Y1417/'Gearing Calculator'!$C$24</f>
        <v>26.712572320359616</v>
      </c>
      <c r="AB1417" s="16">
        <f t="shared" si="156"/>
        <v>98.76613431606502</v>
      </c>
      <c r="AC1417" s="16">
        <v>0</v>
      </c>
      <c r="AD1417" s="16">
        <v>-46.712096975939801</v>
      </c>
      <c r="AE1417" s="16">
        <v>1414</v>
      </c>
      <c r="AF1417" s="16">
        <f>IF(AC1417=0,IF(O1417=6,INDEX(Acceleration!$V$4:$V$110,MATCH('Track Data'!S1417,Acceleration!$K$4:$K$110,0)),IF('Track Data'!O1417=5,INDEX(Acceleration!$U$4:$U$110,MATCH('Track Data'!S1417,Acceleration!$K$4:$K$110,0)),1)),U1417)</f>
        <v>1</v>
      </c>
      <c r="AG1417" s="16">
        <f>IF(AC1417=0,IF(O1417=4,INDEX(Acceleration!$T$4:$T$110,MATCH('Track Data'!S1417,Acceleration!$K$4:$K$110,0)),IF('Track Data'!O1417=3,INDEX(Acceleration!$S$4:$S$110,MATCH('Track Data'!S1417,Acceleration!$K$4:$K$110,0)),'Track Data'!AF1417)),'Track Data'!U1417)</f>
        <v>4.5235291559310618</v>
      </c>
      <c r="AH1417" s="16">
        <f>IF(AC1417=0,IF(O1417=2,INDEX(Acceleration!$R$4:$R$110,MATCH('Track Data'!S1417,Acceleration!$K$4:$K$110,0)),IF('Track Data'!O1417=1,INDEX(Acceleration!$Q$4:$Q$110,MATCH('Track Data'!S1417,Acceleration!$K$4:$K$110,0)),'Track Data'!AG1417)),'Track Data'!U1417)</f>
        <v>4.5235291559310618</v>
      </c>
    </row>
    <row r="1418" spans="2:34" x14ac:dyDescent="0.25">
      <c r="B1418" s="16">
        <v>235.756</v>
      </c>
      <c r="C1418" s="16">
        <v>8688</v>
      </c>
      <c r="D1418" s="16">
        <v>1415</v>
      </c>
      <c r="E1418" s="113">
        <v>88</v>
      </c>
      <c r="F1418" s="113">
        <v>87.6</v>
      </c>
      <c r="G1418" s="113">
        <v>82</v>
      </c>
      <c r="H1418" s="113">
        <f t="shared" si="159"/>
        <v>22.777777777777779</v>
      </c>
      <c r="I1418" s="113">
        <v>22</v>
      </c>
      <c r="J1418" s="113">
        <v>81.86</v>
      </c>
      <c r="K1418" s="113">
        <v>-55</v>
      </c>
      <c r="L1418" s="183"/>
      <c r="M1418" s="16">
        <v>1415</v>
      </c>
      <c r="N1418" s="16">
        <f t="shared" si="161"/>
        <v>3.5246538176591118E-2</v>
      </c>
      <c r="O1418" s="16">
        <v>3</v>
      </c>
      <c r="P1418" s="16">
        <f t="shared" si="157"/>
        <v>10.596205962059623</v>
      </c>
      <c r="Q1418" s="16">
        <f t="shared" si="162"/>
        <v>28.371580635517478</v>
      </c>
      <c r="R1418" s="113">
        <f t="shared" si="158"/>
        <v>345.36</v>
      </c>
      <c r="S1418" s="16">
        <f>IF(S1417=15800,15800,ROUND((((Q1418*60)/'Gearing Calculator'!$C$14)*'Track Data'!P1418),-2))</f>
        <v>9100</v>
      </c>
      <c r="T1418" s="16">
        <f t="shared" si="160"/>
        <v>4.5235291559310618</v>
      </c>
      <c r="U1418" s="16">
        <f>IF(AC1418=100,Braking!$AG$2354,IF(AC1418=50,Braking!$AG$1179,IF(AC1418=75,Braking!$AG$1767,0)))</f>
        <v>0</v>
      </c>
      <c r="V1418" s="16">
        <f>0.5*'Gearing Calculator'!$C$15*'Gearing Calculator'!$C$20*'Gearing Calculator'!$W$20*('Track Data'!Q1418^2)</f>
        <v>85.195546848271832</v>
      </c>
      <c r="W1418" s="16">
        <f>('Gearing Calculator'!$U$9*'Track Data'!T1418)+'Track Data'!V1418</f>
        <v>1289.3590081571203</v>
      </c>
      <c r="X1418" s="16">
        <f>('Gearing Calculator'!$U$9*9.81)*('Gearing Calculator'!$U$16/'Gearing Calculator'!$C$7)-(('Track Data'!W1418)*('Gearing Calculator'!$U$17/'Gearing Calculator'!$C$7))</f>
        <v>698.37358541434548</v>
      </c>
      <c r="Y1418" s="16">
        <f>('Gearing Calculator'!$U$9*9.81)*(('Gearing Calculator'!$C$7-'Gearing Calculator'!$U$16)/'Gearing Calculator'!$C$7)+(('Track Data'!W1418)*('Gearing Calculator'!$U$17/'Gearing Calculator'!$C$7))</f>
        <v>1913.0484145856544</v>
      </c>
      <c r="Z1418" s="16">
        <f>((X1418*COS('Gearing Calculator'!$C$21))/'Gearing Calculator'!$C$22)/2</f>
        <v>21.591502493544937</v>
      </c>
      <c r="AA1418" s="16">
        <f>Y1418/'Gearing Calculator'!$C$24</f>
        <v>26.712572320359616</v>
      </c>
      <c r="AB1418" s="16">
        <f t="shared" si="156"/>
        <v>98.76613431606502</v>
      </c>
      <c r="AC1418" s="16">
        <v>0</v>
      </c>
      <c r="AD1418" s="16">
        <v>-46.712096975939801</v>
      </c>
      <c r="AE1418" s="16">
        <v>1415</v>
      </c>
      <c r="AF1418" s="16">
        <f>IF(AC1418=0,IF(O1418=6,INDEX(Acceleration!$V$4:$V$110,MATCH('Track Data'!S1418,Acceleration!$K$4:$K$110,0)),IF('Track Data'!O1418=5,INDEX(Acceleration!$U$4:$U$110,MATCH('Track Data'!S1418,Acceleration!$K$4:$K$110,0)),1)),U1418)</f>
        <v>1</v>
      </c>
      <c r="AG1418" s="16">
        <f>IF(AC1418=0,IF(O1418=4,INDEX(Acceleration!$T$4:$T$110,MATCH('Track Data'!S1418,Acceleration!$K$4:$K$110,0)),IF('Track Data'!O1418=3,INDEX(Acceleration!$S$4:$S$110,MATCH('Track Data'!S1418,Acceleration!$K$4:$K$110,0)),'Track Data'!AF1418)),'Track Data'!U1418)</f>
        <v>4.5235291559310618</v>
      </c>
      <c r="AH1418" s="16">
        <f>IF(AC1418=0,IF(O1418=2,INDEX(Acceleration!$R$4:$R$110,MATCH('Track Data'!S1418,Acceleration!$K$4:$K$110,0)),IF('Track Data'!O1418=1,INDEX(Acceleration!$Q$4:$Q$110,MATCH('Track Data'!S1418,Acceleration!$K$4:$K$110,0)),'Track Data'!AG1418)),'Track Data'!U1418)</f>
        <v>4.5235291559310618</v>
      </c>
    </row>
    <row r="1419" spans="2:34" x14ac:dyDescent="0.25">
      <c r="B1419" s="16">
        <v>235.797</v>
      </c>
      <c r="C1419" s="16">
        <v>8689</v>
      </c>
      <c r="D1419" s="16">
        <v>1416</v>
      </c>
      <c r="E1419" s="113">
        <v>88</v>
      </c>
      <c r="F1419" s="113">
        <v>86.8</v>
      </c>
      <c r="G1419" s="113">
        <v>81.599999999999994</v>
      </c>
      <c r="H1419" s="113">
        <f t="shared" si="159"/>
        <v>22.666666666666664</v>
      </c>
      <c r="I1419" s="113">
        <v>20.100000000000001</v>
      </c>
      <c r="J1419" s="113">
        <v>78.260000000000005</v>
      </c>
      <c r="K1419" s="113">
        <v>-55.5</v>
      </c>
      <c r="L1419" s="183"/>
      <c r="M1419" s="16">
        <v>1416</v>
      </c>
      <c r="N1419" s="16">
        <f t="shared" si="161"/>
        <v>3.5246538176591118E-2</v>
      </c>
      <c r="O1419" s="16">
        <v>3</v>
      </c>
      <c r="P1419" s="16">
        <f t="shared" si="157"/>
        <v>10.596205962059623</v>
      </c>
      <c r="Q1419" s="16">
        <f t="shared" si="162"/>
        <v>28.371580635517478</v>
      </c>
      <c r="R1419" s="113">
        <f t="shared" si="158"/>
        <v>345.36</v>
      </c>
      <c r="S1419" s="16">
        <f>IF(S1418=15800,15800,ROUND((((Q1419*60)/'Gearing Calculator'!$C$14)*'Track Data'!P1419),-2))</f>
        <v>9100</v>
      </c>
      <c r="T1419" s="16">
        <f t="shared" si="160"/>
        <v>4.5235291559310618</v>
      </c>
      <c r="U1419" s="16">
        <f>IF(AC1419=100,Braking!$AG$2354,IF(AC1419=50,Braking!$AG$1179,IF(AC1419=75,Braking!$AG$1767,0)))</f>
        <v>0</v>
      </c>
      <c r="V1419" s="16">
        <f>0.5*'Gearing Calculator'!$C$15*'Gearing Calculator'!$C$20*'Gearing Calculator'!$W$20*('Track Data'!Q1419^2)</f>
        <v>85.195546848271832</v>
      </c>
      <c r="W1419" s="16">
        <f>('Gearing Calculator'!$U$9*'Track Data'!T1419)+'Track Data'!V1419</f>
        <v>1289.3590081571203</v>
      </c>
      <c r="X1419" s="16">
        <f>('Gearing Calculator'!$U$9*9.81)*('Gearing Calculator'!$U$16/'Gearing Calculator'!$C$7)-(('Track Data'!W1419)*('Gearing Calculator'!$U$17/'Gearing Calculator'!$C$7))</f>
        <v>698.37358541434548</v>
      </c>
      <c r="Y1419" s="16">
        <f>('Gearing Calculator'!$U$9*9.81)*(('Gearing Calculator'!$C$7-'Gearing Calculator'!$U$16)/'Gearing Calculator'!$C$7)+(('Track Data'!W1419)*('Gearing Calculator'!$U$17/'Gearing Calculator'!$C$7))</f>
        <v>1913.0484145856544</v>
      </c>
      <c r="Z1419" s="16">
        <f>((X1419*COS('Gearing Calculator'!$C$21))/'Gearing Calculator'!$C$22)/2</f>
        <v>21.591502493544937</v>
      </c>
      <c r="AA1419" s="16">
        <f>Y1419/'Gearing Calculator'!$C$24</f>
        <v>26.712572320359616</v>
      </c>
      <c r="AB1419" s="16">
        <f t="shared" si="156"/>
        <v>98.76613431606502</v>
      </c>
      <c r="AC1419" s="16">
        <v>0</v>
      </c>
      <c r="AD1419" s="16">
        <v>-46.712096975939801</v>
      </c>
      <c r="AE1419" s="16">
        <v>1416</v>
      </c>
      <c r="AF1419" s="16">
        <f>IF(AC1419=0,IF(O1419=6,INDEX(Acceleration!$V$4:$V$110,MATCH('Track Data'!S1419,Acceleration!$K$4:$K$110,0)),IF('Track Data'!O1419=5,INDEX(Acceleration!$U$4:$U$110,MATCH('Track Data'!S1419,Acceleration!$K$4:$K$110,0)),1)),U1419)</f>
        <v>1</v>
      </c>
      <c r="AG1419" s="16">
        <f>IF(AC1419=0,IF(O1419=4,INDEX(Acceleration!$T$4:$T$110,MATCH('Track Data'!S1419,Acceleration!$K$4:$K$110,0)),IF('Track Data'!O1419=3,INDEX(Acceleration!$S$4:$S$110,MATCH('Track Data'!S1419,Acceleration!$K$4:$K$110,0)),'Track Data'!AF1419)),'Track Data'!U1419)</f>
        <v>4.5235291559310618</v>
      </c>
      <c r="AH1419" s="16">
        <f>IF(AC1419=0,IF(O1419=2,INDEX(Acceleration!$R$4:$R$110,MATCH('Track Data'!S1419,Acceleration!$K$4:$K$110,0)),IF('Track Data'!O1419=1,INDEX(Acceleration!$Q$4:$Q$110,MATCH('Track Data'!S1419,Acceleration!$K$4:$K$110,0)),'Track Data'!AG1419)),'Track Data'!U1419)</f>
        <v>4.5235291559310618</v>
      </c>
    </row>
    <row r="1420" spans="2:34" x14ac:dyDescent="0.25">
      <c r="B1420" s="16">
        <v>235.83799999999999</v>
      </c>
      <c r="C1420" s="16">
        <v>8690</v>
      </c>
      <c r="D1420" s="16">
        <v>1417</v>
      </c>
      <c r="E1420" s="113">
        <v>88</v>
      </c>
      <c r="F1420" s="113">
        <v>86.9</v>
      </c>
      <c r="G1420" s="113">
        <v>81.2</v>
      </c>
      <c r="H1420" s="113">
        <f t="shared" si="159"/>
        <v>22.555555555555557</v>
      </c>
      <c r="I1420" s="113">
        <v>16.7</v>
      </c>
      <c r="J1420" s="113">
        <v>70.3</v>
      </c>
      <c r="K1420" s="113">
        <v>-55.5</v>
      </c>
      <c r="L1420" s="183"/>
      <c r="M1420" s="16">
        <v>1417</v>
      </c>
      <c r="N1420" s="16">
        <f t="shared" si="161"/>
        <v>3.5246538176591118E-2</v>
      </c>
      <c r="O1420" s="16">
        <v>3</v>
      </c>
      <c r="P1420" s="16">
        <f t="shared" si="157"/>
        <v>10.596205962059623</v>
      </c>
      <c r="Q1420" s="16">
        <f t="shared" si="162"/>
        <v>28.371580635517478</v>
      </c>
      <c r="R1420" s="113">
        <f t="shared" si="158"/>
        <v>345.36</v>
      </c>
      <c r="S1420" s="16">
        <f>IF(S1419=15800,15800,ROUND((((Q1420*60)/'Gearing Calculator'!$C$14)*'Track Data'!P1420),-2))</f>
        <v>9100</v>
      </c>
      <c r="T1420" s="16">
        <f t="shared" si="160"/>
        <v>4.5235291559310618</v>
      </c>
      <c r="U1420" s="16">
        <f>IF(AC1420=100,Braking!$AG$2354,IF(AC1420=50,Braking!$AG$1179,IF(AC1420=75,Braking!$AG$1767,0)))</f>
        <v>0</v>
      </c>
      <c r="V1420" s="16">
        <f>0.5*'Gearing Calculator'!$C$15*'Gearing Calculator'!$C$20*'Gearing Calculator'!$W$20*('Track Data'!Q1420^2)</f>
        <v>85.195546848271832</v>
      </c>
      <c r="W1420" s="16">
        <f>('Gearing Calculator'!$U$9*'Track Data'!T1420)+'Track Data'!V1420</f>
        <v>1289.3590081571203</v>
      </c>
      <c r="X1420" s="16">
        <f>('Gearing Calculator'!$U$9*9.81)*('Gearing Calculator'!$U$16/'Gearing Calculator'!$C$7)-(('Track Data'!W1420)*('Gearing Calculator'!$U$17/'Gearing Calculator'!$C$7))</f>
        <v>698.37358541434548</v>
      </c>
      <c r="Y1420" s="16">
        <f>('Gearing Calculator'!$U$9*9.81)*(('Gearing Calculator'!$C$7-'Gearing Calculator'!$U$16)/'Gearing Calculator'!$C$7)+(('Track Data'!W1420)*('Gearing Calculator'!$U$17/'Gearing Calculator'!$C$7))</f>
        <v>1913.0484145856544</v>
      </c>
      <c r="Z1420" s="16">
        <f>((X1420*COS('Gearing Calculator'!$C$21))/'Gearing Calculator'!$C$22)/2</f>
        <v>21.591502493544937</v>
      </c>
      <c r="AA1420" s="16">
        <f>Y1420/'Gearing Calculator'!$C$24</f>
        <v>26.712572320359616</v>
      </c>
      <c r="AB1420" s="16">
        <f t="shared" si="156"/>
        <v>98.76613431606502</v>
      </c>
      <c r="AC1420" s="16">
        <v>0</v>
      </c>
      <c r="AD1420" s="16">
        <v>-46.712096975939801</v>
      </c>
      <c r="AE1420" s="16">
        <v>1417</v>
      </c>
      <c r="AF1420" s="16">
        <f>IF(AC1420=0,IF(O1420=6,INDEX(Acceleration!$V$4:$V$110,MATCH('Track Data'!S1420,Acceleration!$K$4:$K$110,0)),IF('Track Data'!O1420=5,INDEX(Acceleration!$U$4:$U$110,MATCH('Track Data'!S1420,Acceleration!$K$4:$K$110,0)),1)),U1420)</f>
        <v>1</v>
      </c>
      <c r="AG1420" s="16">
        <f>IF(AC1420=0,IF(O1420=4,INDEX(Acceleration!$T$4:$T$110,MATCH('Track Data'!S1420,Acceleration!$K$4:$K$110,0)),IF('Track Data'!O1420=3,INDEX(Acceleration!$S$4:$S$110,MATCH('Track Data'!S1420,Acceleration!$K$4:$K$110,0)),'Track Data'!AF1420)),'Track Data'!U1420)</f>
        <v>4.5235291559310618</v>
      </c>
      <c r="AH1420" s="16">
        <f>IF(AC1420=0,IF(O1420=2,INDEX(Acceleration!$R$4:$R$110,MATCH('Track Data'!S1420,Acceleration!$K$4:$K$110,0)),IF('Track Data'!O1420=1,INDEX(Acceleration!$Q$4:$Q$110,MATCH('Track Data'!S1420,Acceleration!$K$4:$K$110,0)),'Track Data'!AG1420)),'Track Data'!U1420)</f>
        <v>4.5235291559310618</v>
      </c>
    </row>
    <row r="1421" spans="2:34" x14ac:dyDescent="0.25">
      <c r="B1421" s="16">
        <v>235.87899999999999</v>
      </c>
      <c r="C1421" s="16">
        <v>8691</v>
      </c>
      <c r="D1421" s="16">
        <v>1418</v>
      </c>
      <c r="E1421" s="113">
        <v>89</v>
      </c>
      <c r="F1421" s="113">
        <v>86.6</v>
      </c>
      <c r="G1421" s="113">
        <v>80.900000000000006</v>
      </c>
      <c r="H1421" s="113">
        <f t="shared" si="159"/>
        <v>22.472222222222225</v>
      </c>
      <c r="I1421" s="113">
        <v>14.5</v>
      </c>
      <c r="J1421" s="113">
        <v>69.87</v>
      </c>
      <c r="K1421" s="113">
        <v>-57.3</v>
      </c>
      <c r="L1421" s="183"/>
      <c r="M1421" s="16">
        <v>1418</v>
      </c>
      <c r="N1421" s="16">
        <f t="shared" si="161"/>
        <v>3.5246538176591118E-2</v>
      </c>
      <c r="O1421" s="16">
        <v>3</v>
      </c>
      <c r="P1421" s="16">
        <f t="shared" si="157"/>
        <v>10.596205962059623</v>
      </c>
      <c r="Q1421" s="16">
        <f t="shared" si="162"/>
        <v>28.371580635517478</v>
      </c>
      <c r="R1421" s="113">
        <f t="shared" si="158"/>
        <v>345.36</v>
      </c>
      <c r="S1421" s="16">
        <f>IF(S1420=15800,15800,ROUND((((Q1421*60)/'Gearing Calculator'!$C$14)*'Track Data'!P1421),-2))</f>
        <v>9100</v>
      </c>
      <c r="T1421" s="16">
        <f t="shared" si="160"/>
        <v>4.5235291559310618</v>
      </c>
      <c r="U1421" s="16">
        <f>IF(AC1421=100,Braking!$AG$2354,IF(AC1421=50,Braking!$AG$1179,IF(AC1421=75,Braking!$AG$1767,0)))</f>
        <v>0</v>
      </c>
      <c r="V1421" s="16">
        <f>0.5*'Gearing Calculator'!$C$15*'Gearing Calculator'!$C$20*'Gearing Calculator'!$W$20*('Track Data'!Q1421^2)</f>
        <v>85.195546848271832</v>
      </c>
      <c r="W1421" s="16">
        <f>('Gearing Calculator'!$U$9*'Track Data'!T1421)+'Track Data'!V1421</f>
        <v>1289.3590081571203</v>
      </c>
      <c r="X1421" s="16">
        <f>('Gearing Calculator'!$U$9*9.81)*('Gearing Calculator'!$U$16/'Gearing Calculator'!$C$7)-(('Track Data'!W1421)*('Gearing Calculator'!$U$17/'Gearing Calculator'!$C$7))</f>
        <v>698.37358541434548</v>
      </c>
      <c r="Y1421" s="16">
        <f>('Gearing Calculator'!$U$9*9.81)*(('Gearing Calculator'!$C$7-'Gearing Calculator'!$U$16)/'Gearing Calculator'!$C$7)+(('Track Data'!W1421)*('Gearing Calculator'!$U$17/'Gearing Calculator'!$C$7))</f>
        <v>1913.0484145856544</v>
      </c>
      <c r="Z1421" s="16">
        <f>((X1421*COS('Gearing Calculator'!$C$21))/'Gearing Calculator'!$C$22)/2</f>
        <v>21.591502493544937</v>
      </c>
      <c r="AA1421" s="16">
        <f>Y1421/'Gearing Calculator'!$C$24</f>
        <v>26.712572320359616</v>
      </c>
      <c r="AB1421" s="16">
        <f t="shared" si="156"/>
        <v>98.76613431606502</v>
      </c>
      <c r="AC1421" s="16">
        <v>0</v>
      </c>
      <c r="AD1421" s="16">
        <v>-46.712096975939801</v>
      </c>
      <c r="AE1421" s="16">
        <v>1418</v>
      </c>
      <c r="AF1421" s="16">
        <f>IF(AC1421=0,IF(O1421=6,INDEX(Acceleration!$V$4:$V$110,MATCH('Track Data'!S1421,Acceleration!$K$4:$K$110,0)),IF('Track Data'!O1421=5,INDEX(Acceleration!$U$4:$U$110,MATCH('Track Data'!S1421,Acceleration!$K$4:$K$110,0)),1)),U1421)</f>
        <v>1</v>
      </c>
      <c r="AG1421" s="16">
        <f>IF(AC1421=0,IF(O1421=4,INDEX(Acceleration!$T$4:$T$110,MATCH('Track Data'!S1421,Acceleration!$K$4:$K$110,0)),IF('Track Data'!O1421=3,INDEX(Acceleration!$S$4:$S$110,MATCH('Track Data'!S1421,Acceleration!$K$4:$K$110,0)),'Track Data'!AF1421)),'Track Data'!U1421)</f>
        <v>4.5235291559310618</v>
      </c>
      <c r="AH1421" s="16">
        <f>IF(AC1421=0,IF(O1421=2,INDEX(Acceleration!$R$4:$R$110,MATCH('Track Data'!S1421,Acceleration!$K$4:$K$110,0)),IF('Track Data'!O1421=1,INDEX(Acceleration!$Q$4:$Q$110,MATCH('Track Data'!S1421,Acceleration!$K$4:$K$110,0)),'Track Data'!AG1421)),'Track Data'!U1421)</f>
        <v>4.5235291559310618</v>
      </c>
    </row>
    <row r="1422" spans="2:34" x14ac:dyDescent="0.25">
      <c r="B1422" s="16">
        <v>235.92099999999999</v>
      </c>
      <c r="C1422" s="16">
        <v>8692</v>
      </c>
      <c r="D1422" s="16">
        <v>1419</v>
      </c>
      <c r="E1422" s="113">
        <v>88</v>
      </c>
      <c r="F1422" s="113">
        <v>86.4</v>
      </c>
      <c r="G1422" s="113">
        <v>80.5</v>
      </c>
      <c r="H1422" s="113">
        <f t="shared" si="159"/>
        <v>22.361111111111111</v>
      </c>
      <c r="I1422" s="113">
        <v>13.4</v>
      </c>
      <c r="J1422" s="113">
        <v>66.95</v>
      </c>
      <c r="K1422" s="113">
        <v>-59.7</v>
      </c>
      <c r="L1422" s="183"/>
      <c r="M1422" s="16">
        <v>1419</v>
      </c>
      <c r="N1422" s="16">
        <f t="shared" si="161"/>
        <v>3.5246538176591118E-2</v>
      </c>
      <c r="O1422" s="16">
        <v>3</v>
      </c>
      <c r="P1422" s="16">
        <f t="shared" si="157"/>
        <v>10.596205962059623</v>
      </c>
      <c r="Q1422" s="16">
        <f t="shared" si="162"/>
        <v>28.371580635517478</v>
      </c>
      <c r="R1422" s="113">
        <f t="shared" si="158"/>
        <v>345.36</v>
      </c>
      <c r="S1422" s="16">
        <f>IF(S1421=15800,15800,ROUND((((Q1422*60)/'Gearing Calculator'!$C$14)*'Track Data'!P1422),-2))</f>
        <v>9100</v>
      </c>
      <c r="T1422" s="16">
        <f t="shared" si="160"/>
        <v>4.5235291559310618</v>
      </c>
      <c r="U1422" s="16">
        <f>IF(AC1422=100,Braking!$AG$2354,IF(AC1422=50,Braking!$AG$1179,IF(AC1422=75,Braking!$AG$1767,0)))</f>
        <v>0</v>
      </c>
      <c r="V1422" s="16">
        <f>0.5*'Gearing Calculator'!$C$15*'Gearing Calculator'!$C$20*'Gearing Calculator'!$W$20*('Track Data'!Q1422^2)</f>
        <v>85.195546848271832</v>
      </c>
      <c r="W1422" s="16">
        <f>('Gearing Calculator'!$U$9*'Track Data'!T1422)+'Track Data'!V1422</f>
        <v>1289.3590081571203</v>
      </c>
      <c r="X1422" s="16">
        <f>('Gearing Calculator'!$U$9*9.81)*('Gearing Calculator'!$U$16/'Gearing Calculator'!$C$7)-(('Track Data'!W1422)*('Gearing Calculator'!$U$17/'Gearing Calculator'!$C$7))</f>
        <v>698.37358541434548</v>
      </c>
      <c r="Y1422" s="16">
        <f>('Gearing Calculator'!$U$9*9.81)*(('Gearing Calculator'!$C$7-'Gearing Calculator'!$U$16)/'Gearing Calculator'!$C$7)+(('Track Data'!W1422)*('Gearing Calculator'!$U$17/'Gearing Calculator'!$C$7))</f>
        <v>1913.0484145856544</v>
      </c>
      <c r="Z1422" s="16">
        <f>((X1422*COS('Gearing Calculator'!$C$21))/'Gearing Calculator'!$C$22)/2</f>
        <v>21.591502493544937</v>
      </c>
      <c r="AA1422" s="16">
        <f>Y1422/'Gearing Calculator'!$C$24</f>
        <v>26.712572320359616</v>
      </c>
      <c r="AB1422" s="16">
        <f t="shared" si="156"/>
        <v>98.76613431606502</v>
      </c>
      <c r="AC1422" s="16">
        <v>0</v>
      </c>
      <c r="AD1422" s="16">
        <v>-46.712096975939801</v>
      </c>
      <c r="AE1422" s="16">
        <v>1419</v>
      </c>
      <c r="AF1422" s="16">
        <f>IF(AC1422=0,IF(O1422=6,INDEX(Acceleration!$V$4:$V$110,MATCH('Track Data'!S1422,Acceleration!$K$4:$K$110,0)),IF('Track Data'!O1422=5,INDEX(Acceleration!$U$4:$U$110,MATCH('Track Data'!S1422,Acceleration!$K$4:$K$110,0)),1)),U1422)</f>
        <v>1</v>
      </c>
      <c r="AG1422" s="16">
        <f>IF(AC1422=0,IF(O1422=4,INDEX(Acceleration!$T$4:$T$110,MATCH('Track Data'!S1422,Acceleration!$K$4:$K$110,0)),IF('Track Data'!O1422=3,INDEX(Acceleration!$S$4:$S$110,MATCH('Track Data'!S1422,Acceleration!$K$4:$K$110,0)),'Track Data'!AF1422)),'Track Data'!U1422)</f>
        <v>4.5235291559310618</v>
      </c>
      <c r="AH1422" s="16">
        <f>IF(AC1422=0,IF(O1422=2,INDEX(Acceleration!$R$4:$R$110,MATCH('Track Data'!S1422,Acceleration!$K$4:$K$110,0)),IF('Track Data'!O1422=1,INDEX(Acceleration!$Q$4:$Q$110,MATCH('Track Data'!S1422,Acceleration!$K$4:$K$110,0)),'Track Data'!AG1422)),'Track Data'!U1422)</f>
        <v>4.5235291559310618</v>
      </c>
    </row>
    <row r="1423" spans="2:34" x14ac:dyDescent="0.25">
      <c r="B1423" s="16">
        <v>235.96299999999999</v>
      </c>
      <c r="C1423" s="16">
        <v>8693</v>
      </c>
      <c r="D1423" s="16">
        <v>1420</v>
      </c>
      <c r="E1423" s="113">
        <v>88</v>
      </c>
      <c r="F1423" s="113">
        <v>86.2</v>
      </c>
      <c r="G1423" s="113">
        <v>80.2</v>
      </c>
      <c r="H1423" s="113">
        <f t="shared" si="159"/>
        <v>22.277777777777779</v>
      </c>
      <c r="I1423" s="113">
        <v>14</v>
      </c>
      <c r="J1423" s="113">
        <v>67.09</v>
      </c>
      <c r="K1423" s="113">
        <v>-58.1</v>
      </c>
      <c r="L1423" s="183"/>
      <c r="M1423" s="16">
        <v>1420</v>
      </c>
      <c r="N1423" s="16">
        <f t="shared" si="161"/>
        <v>3.5246538176591118E-2</v>
      </c>
      <c r="O1423" s="16">
        <v>3</v>
      </c>
      <c r="P1423" s="16">
        <f t="shared" si="157"/>
        <v>10.596205962059623</v>
      </c>
      <c r="Q1423" s="16">
        <f t="shared" si="162"/>
        <v>28.371580635517478</v>
      </c>
      <c r="R1423" s="113">
        <f t="shared" si="158"/>
        <v>345.36</v>
      </c>
      <c r="S1423" s="16">
        <f>IF(S1422=15800,15800,ROUND((((Q1423*60)/'Gearing Calculator'!$C$14)*'Track Data'!P1423),-2))</f>
        <v>9100</v>
      </c>
      <c r="T1423" s="16">
        <f t="shared" si="160"/>
        <v>4.5235291559310618</v>
      </c>
      <c r="U1423" s="16">
        <f>IF(AC1423=100,Braking!$AG$2354,IF(AC1423=50,Braking!$AG$1179,IF(AC1423=75,Braking!$AG$1767,0)))</f>
        <v>0</v>
      </c>
      <c r="V1423" s="16">
        <f>0.5*'Gearing Calculator'!$C$15*'Gearing Calculator'!$C$20*'Gearing Calculator'!$W$20*('Track Data'!Q1423^2)</f>
        <v>85.195546848271832</v>
      </c>
      <c r="W1423" s="16">
        <f>('Gearing Calculator'!$U$9*'Track Data'!T1423)+'Track Data'!V1423</f>
        <v>1289.3590081571203</v>
      </c>
      <c r="X1423" s="16">
        <f>('Gearing Calculator'!$U$9*9.81)*('Gearing Calculator'!$U$16/'Gearing Calculator'!$C$7)-(('Track Data'!W1423)*('Gearing Calculator'!$U$17/'Gearing Calculator'!$C$7))</f>
        <v>698.37358541434548</v>
      </c>
      <c r="Y1423" s="16">
        <f>('Gearing Calculator'!$U$9*9.81)*(('Gearing Calculator'!$C$7-'Gearing Calculator'!$U$16)/'Gearing Calculator'!$C$7)+(('Track Data'!W1423)*('Gearing Calculator'!$U$17/'Gearing Calculator'!$C$7))</f>
        <v>1913.0484145856544</v>
      </c>
      <c r="Z1423" s="16">
        <f>((X1423*COS('Gearing Calculator'!$C$21))/'Gearing Calculator'!$C$22)/2</f>
        <v>21.591502493544937</v>
      </c>
      <c r="AA1423" s="16">
        <f>Y1423/'Gearing Calculator'!$C$24</f>
        <v>26.712572320359616</v>
      </c>
      <c r="AB1423" s="16">
        <f t="shared" si="156"/>
        <v>98.76613431606502</v>
      </c>
      <c r="AC1423" s="16">
        <v>0</v>
      </c>
      <c r="AD1423" s="16">
        <v>-46.712096975939801</v>
      </c>
      <c r="AE1423" s="16">
        <v>1420</v>
      </c>
      <c r="AF1423" s="16">
        <f>IF(AC1423=0,IF(O1423=6,INDEX(Acceleration!$V$4:$V$110,MATCH('Track Data'!S1423,Acceleration!$K$4:$K$110,0)),IF('Track Data'!O1423=5,INDEX(Acceleration!$U$4:$U$110,MATCH('Track Data'!S1423,Acceleration!$K$4:$K$110,0)),1)),U1423)</f>
        <v>1</v>
      </c>
      <c r="AG1423" s="16">
        <f>IF(AC1423=0,IF(O1423=4,INDEX(Acceleration!$T$4:$T$110,MATCH('Track Data'!S1423,Acceleration!$K$4:$K$110,0)),IF('Track Data'!O1423=3,INDEX(Acceleration!$S$4:$S$110,MATCH('Track Data'!S1423,Acceleration!$K$4:$K$110,0)),'Track Data'!AF1423)),'Track Data'!U1423)</f>
        <v>4.5235291559310618</v>
      </c>
      <c r="AH1423" s="16">
        <f>IF(AC1423=0,IF(O1423=2,INDEX(Acceleration!$R$4:$R$110,MATCH('Track Data'!S1423,Acceleration!$K$4:$K$110,0)),IF('Track Data'!O1423=1,INDEX(Acceleration!$Q$4:$Q$110,MATCH('Track Data'!S1423,Acceleration!$K$4:$K$110,0)),'Track Data'!AG1423)),'Track Data'!U1423)</f>
        <v>4.5235291559310618</v>
      </c>
    </row>
    <row r="1424" spans="2:34" x14ac:dyDescent="0.25">
      <c r="B1424" s="16">
        <v>236.00399999999999</v>
      </c>
      <c r="C1424" s="16">
        <v>8694</v>
      </c>
      <c r="D1424" s="16">
        <v>1421</v>
      </c>
      <c r="E1424" s="113">
        <v>90</v>
      </c>
      <c r="F1424" s="113">
        <v>87.1</v>
      </c>
      <c r="G1424" s="113">
        <v>80</v>
      </c>
      <c r="H1424" s="113">
        <f t="shared" si="159"/>
        <v>22.222222222222221</v>
      </c>
      <c r="I1424" s="113">
        <v>14.2</v>
      </c>
      <c r="J1424" s="113">
        <v>67.78</v>
      </c>
      <c r="K1424" s="113">
        <v>-56.3</v>
      </c>
      <c r="L1424" s="183"/>
      <c r="M1424" s="16">
        <v>1421</v>
      </c>
      <c r="N1424" s="16">
        <f t="shared" si="161"/>
        <v>3.5246538176591118E-2</v>
      </c>
      <c r="O1424" s="16">
        <v>3</v>
      </c>
      <c r="P1424" s="16">
        <f t="shared" si="157"/>
        <v>10.596205962059623</v>
      </c>
      <c r="Q1424" s="16">
        <f t="shared" si="162"/>
        <v>28.371580635517478</v>
      </c>
      <c r="R1424" s="113">
        <f t="shared" si="158"/>
        <v>345.36</v>
      </c>
      <c r="S1424" s="16">
        <f>IF(S1423=15800,15800,ROUND((((Q1424*60)/'Gearing Calculator'!$C$14)*'Track Data'!P1424),-2))</f>
        <v>9100</v>
      </c>
      <c r="T1424" s="16">
        <f t="shared" si="160"/>
        <v>4.5235291559310618</v>
      </c>
      <c r="U1424" s="16">
        <f>IF(AC1424=100,Braking!$AG$2354,IF(AC1424=50,Braking!$AG$1179,IF(AC1424=75,Braking!$AG$1767,0)))</f>
        <v>0</v>
      </c>
      <c r="V1424" s="16">
        <f>0.5*'Gearing Calculator'!$C$15*'Gearing Calculator'!$C$20*'Gearing Calculator'!$W$20*('Track Data'!Q1424^2)</f>
        <v>85.195546848271832</v>
      </c>
      <c r="W1424" s="16">
        <f>('Gearing Calculator'!$U$9*'Track Data'!T1424)+'Track Data'!V1424</f>
        <v>1289.3590081571203</v>
      </c>
      <c r="X1424" s="16">
        <f>('Gearing Calculator'!$U$9*9.81)*('Gearing Calculator'!$U$16/'Gearing Calculator'!$C$7)-(('Track Data'!W1424)*('Gearing Calculator'!$U$17/'Gearing Calculator'!$C$7))</f>
        <v>698.37358541434548</v>
      </c>
      <c r="Y1424" s="16">
        <f>('Gearing Calculator'!$U$9*9.81)*(('Gearing Calculator'!$C$7-'Gearing Calculator'!$U$16)/'Gearing Calculator'!$C$7)+(('Track Data'!W1424)*('Gearing Calculator'!$U$17/'Gearing Calculator'!$C$7))</f>
        <v>1913.0484145856544</v>
      </c>
      <c r="Z1424" s="16">
        <f>((X1424*COS('Gearing Calculator'!$C$21))/'Gearing Calculator'!$C$22)/2</f>
        <v>21.591502493544937</v>
      </c>
      <c r="AA1424" s="16">
        <f>Y1424/'Gearing Calculator'!$C$24</f>
        <v>26.712572320359616</v>
      </c>
      <c r="AB1424" s="16">
        <f t="shared" si="156"/>
        <v>98.76613431606502</v>
      </c>
      <c r="AC1424" s="16">
        <v>0</v>
      </c>
      <c r="AD1424" s="16">
        <v>-46.712096975939801</v>
      </c>
      <c r="AE1424" s="16">
        <v>1421</v>
      </c>
      <c r="AF1424" s="16">
        <f>IF(AC1424=0,IF(O1424=6,INDEX(Acceleration!$V$4:$V$110,MATCH('Track Data'!S1424,Acceleration!$K$4:$K$110,0)),IF('Track Data'!O1424=5,INDEX(Acceleration!$U$4:$U$110,MATCH('Track Data'!S1424,Acceleration!$K$4:$K$110,0)),1)),U1424)</f>
        <v>1</v>
      </c>
      <c r="AG1424" s="16">
        <f>IF(AC1424=0,IF(O1424=4,INDEX(Acceleration!$T$4:$T$110,MATCH('Track Data'!S1424,Acceleration!$K$4:$K$110,0)),IF('Track Data'!O1424=3,INDEX(Acceleration!$S$4:$S$110,MATCH('Track Data'!S1424,Acceleration!$K$4:$K$110,0)),'Track Data'!AF1424)),'Track Data'!U1424)</f>
        <v>4.5235291559310618</v>
      </c>
      <c r="AH1424" s="16">
        <f>IF(AC1424=0,IF(O1424=2,INDEX(Acceleration!$R$4:$R$110,MATCH('Track Data'!S1424,Acceleration!$K$4:$K$110,0)),IF('Track Data'!O1424=1,INDEX(Acceleration!$Q$4:$Q$110,MATCH('Track Data'!S1424,Acceleration!$K$4:$K$110,0)),'Track Data'!AG1424)),'Track Data'!U1424)</f>
        <v>4.5235291559310618</v>
      </c>
    </row>
    <row r="1425" spans="2:34" x14ac:dyDescent="0.25">
      <c r="B1425" s="16">
        <v>236.04599999999999</v>
      </c>
      <c r="C1425" s="16">
        <v>8695</v>
      </c>
      <c r="D1425" s="16">
        <v>1422</v>
      </c>
      <c r="E1425" s="113">
        <v>90</v>
      </c>
      <c r="F1425" s="113">
        <v>86.5</v>
      </c>
      <c r="G1425" s="113">
        <v>79.8</v>
      </c>
      <c r="H1425" s="113">
        <f t="shared" si="159"/>
        <v>22.166666666666664</v>
      </c>
      <c r="I1425" s="113">
        <v>15.4</v>
      </c>
      <c r="J1425" s="113">
        <v>60.61</v>
      </c>
      <c r="K1425" s="113">
        <v>-54.9</v>
      </c>
      <c r="L1425" s="183"/>
      <c r="M1425" s="16">
        <v>1422</v>
      </c>
      <c r="N1425" s="16">
        <f t="shared" si="161"/>
        <v>3.5246538176591118E-2</v>
      </c>
      <c r="O1425" s="16">
        <v>3</v>
      </c>
      <c r="P1425" s="16">
        <f t="shared" si="157"/>
        <v>10.596205962059623</v>
      </c>
      <c r="Q1425" s="16">
        <f t="shared" si="162"/>
        <v>28.371580635517478</v>
      </c>
      <c r="R1425" s="113">
        <f t="shared" si="158"/>
        <v>345.36</v>
      </c>
      <c r="S1425" s="16">
        <f>IF(S1424=15800,15800,ROUND((((Q1425*60)/'Gearing Calculator'!$C$14)*'Track Data'!P1425),-2))</f>
        <v>9100</v>
      </c>
      <c r="T1425" s="16">
        <f t="shared" si="160"/>
        <v>4.5235291559310618</v>
      </c>
      <c r="U1425" s="16">
        <f>IF(AC1425=100,Braking!$AG$2354,IF(AC1425=50,Braking!$AG$1179,IF(AC1425=75,Braking!$AG$1767,0)))</f>
        <v>0</v>
      </c>
      <c r="V1425" s="16">
        <f>0.5*'Gearing Calculator'!$C$15*'Gearing Calculator'!$C$20*'Gearing Calculator'!$W$20*('Track Data'!Q1425^2)</f>
        <v>85.195546848271832</v>
      </c>
      <c r="W1425" s="16">
        <f>('Gearing Calculator'!$U$9*'Track Data'!T1425)+'Track Data'!V1425</f>
        <v>1289.3590081571203</v>
      </c>
      <c r="X1425" s="16">
        <f>('Gearing Calculator'!$U$9*9.81)*('Gearing Calculator'!$U$16/'Gearing Calculator'!$C$7)-(('Track Data'!W1425)*('Gearing Calculator'!$U$17/'Gearing Calculator'!$C$7))</f>
        <v>698.37358541434548</v>
      </c>
      <c r="Y1425" s="16">
        <f>('Gearing Calculator'!$U$9*9.81)*(('Gearing Calculator'!$C$7-'Gearing Calculator'!$U$16)/'Gearing Calculator'!$C$7)+(('Track Data'!W1425)*('Gearing Calculator'!$U$17/'Gearing Calculator'!$C$7))</f>
        <v>1913.0484145856544</v>
      </c>
      <c r="Z1425" s="16">
        <f>((X1425*COS('Gearing Calculator'!$C$21))/'Gearing Calculator'!$C$22)/2</f>
        <v>21.591502493544937</v>
      </c>
      <c r="AA1425" s="16">
        <f>Y1425/'Gearing Calculator'!$C$24</f>
        <v>26.712572320359616</v>
      </c>
      <c r="AB1425" s="16">
        <f t="shared" si="156"/>
        <v>98.76613431606502</v>
      </c>
      <c r="AC1425" s="16">
        <v>0</v>
      </c>
      <c r="AD1425" s="16">
        <v>-46.712096975939801</v>
      </c>
      <c r="AE1425" s="16">
        <v>1422</v>
      </c>
      <c r="AF1425" s="16">
        <f>IF(AC1425=0,IF(O1425=6,INDEX(Acceleration!$V$4:$V$110,MATCH('Track Data'!S1425,Acceleration!$K$4:$K$110,0)),IF('Track Data'!O1425=5,INDEX(Acceleration!$U$4:$U$110,MATCH('Track Data'!S1425,Acceleration!$K$4:$K$110,0)),1)),U1425)</f>
        <v>1</v>
      </c>
      <c r="AG1425" s="16">
        <f>IF(AC1425=0,IF(O1425=4,INDEX(Acceleration!$T$4:$T$110,MATCH('Track Data'!S1425,Acceleration!$K$4:$K$110,0)),IF('Track Data'!O1425=3,INDEX(Acceleration!$S$4:$S$110,MATCH('Track Data'!S1425,Acceleration!$K$4:$K$110,0)),'Track Data'!AF1425)),'Track Data'!U1425)</f>
        <v>4.5235291559310618</v>
      </c>
      <c r="AH1425" s="16">
        <f>IF(AC1425=0,IF(O1425=2,INDEX(Acceleration!$R$4:$R$110,MATCH('Track Data'!S1425,Acceleration!$K$4:$K$110,0)),IF('Track Data'!O1425=1,INDEX(Acceleration!$Q$4:$Q$110,MATCH('Track Data'!S1425,Acceleration!$K$4:$K$110,0)),'Track Data'!AG1425)),'Track Data'!U1425)</f>
        <v>4.5235291559310618</v>
      </c>
    </row>
    <row r="1426" spans="2:34" x14ac:dyDescent="0.25">
      <c r="B1426" s="16">
        <v>236.08699999999999</v>
      </c>
      <c r="C1426" s="16">
        <v>8696</v>
      </c>
      <c r="D1426" s="16">
        <v>1423</v>
      </c>
      <c r="E1426" s="113">
        <v>89</v>
      </c>
      <c r="F1426" s="113">
        <v>86.7</v>
      </c>
      <c r="G1426" s="113">
        <v>79.7</v>
      </c>
      <c r="H1426" s="113">
        <f t="shared" si="159"/>
        <v>22.138888888888889</v>
      </c>
      <c r="I1426" s="113">
        <v>17.3</v>
      </c>
      <c r="J1426" s="113">
        <v>64.040000000000006</v>
      </c>
      <c r="K1426" s="113">
        <v>-51.7</v>
      </c>
      <c r="L1426" s="183"/>
      <c r="M1426" s="16">
        <v>1423</v>
      </c>
      <c r="N1426" s="16">
        <f t="shared" si="161"/>
        <v>3.5246538176591118E-2</v>
      </c>
      <c r="O1426" s="16">
        <v>3</v>
      </c>
      <c r="P1426" s="16">
        <f t="shared" si="157"/>
        <v>10.596205962059623</v>
      </c>
      <c r="Q1426" s="16">
        <f t="shared" si="162"/>
        <v>28.371580635517478</v>
      </c>
      <c r="R1426" s="113">
        <f t="shared" si="158"/>
        <v>345.36</v>
      </c>
      <c r="S1426" s="16">
        <f>IF(S1425=15800,15800,ROUND((((Q1426*60)/'Gearing Calculator'!$C$14)*'Track Data'!P1426),-2))</f>
        <v>9100</v>
      </c>
      <c r="T1426" s="16">
        <f t="shared" si="160"/>
        <v>4.5235291559310618</v>
      </c>
      <c r="U1426" s="16">
        <f>IF(AC1426=100,Braking!$AG$2354,IF(AC1426=50,Braking!$AG$1179,IF(AC1426=75,Braking!$AG$1767,0)))</f>
        <v>0</v>
      </c>
      <c r="V1426" s="16">
        <f>0.5*'Gearing Calculator'!$C$15*'Gearing Calculator'!$C$20*'Gearing Calculator'!$W$20*('Track Data'!Q1426^2)</f>
        <v>85.195546848271832</v>
      </c>
      <c r="W1426" s="16">
        <f>('Gearing Calculator'!$U$9*'Track Data'!T1426)+'Track Data'!V1426</f>
        <v>1289.3590081571203</v>
      </c>
      <c r="X1426" s="16">
        <f>('Gearing Calculator'!$U$9*9.81)*('Gearing Calculator'!$U$16/'Gearing Calculator'!$C$7)-(('Track Data'!W1426)*('Gearing Calculator'!$U$17/'Gearing Calculator'!$C$7))</f>
        <v>698.37358541434548</v>
      </c>
      <c r="Y1426" s="16">
        <f>('Gearing Calculator'!$U$9*9.81)*(('Gearing Calculator'!$C$7-'Gearing Calculator'!$U$16)/'Gearing Calculator'!$C$7)+(('Track Data'!W1426)*('Gearing Calculator'!$U$17/'Gearing Calculator'!$C$7))</f>
        <v>1913.0484145856544</v>
      </c>
      <c r="Z1426" s="16">
        <f>((X1426*COS('Gearing Calculator'!$C$21))/'Gearing Calculator'!$C$22)/2</f>
        <v>21.591502493544937</v>
      </c>
      <c r="AA1426" s="16">
        <f>Y1426/'Gearing Calculator'!$C$24</f>
        <v>26.712572320359616</v>
      </c>
      <c r="AB1426" s="16">
        <f t="shared" si="156"/>
        <v>98.76613431606502</v>
      </c>
      <c r="AC1426" s="16">
        <v>0</v>
      </c>
      <c r="AD1426" s="16">
        <v>-46.712096975939801</v>
      </c>
      <c r="AE1426" s="16">
        <v>1423</v>
      </c>
      <c r="AF1426" s="16">
        <f>IF(AC1426=0,IF(O1426=6,INDEX(Acceleration!$V$4:$V$110,MATCH('Track Data'!S1426,Acceleration!$K$4:$K$110,0)),IF('Track Data'!O1426=5,INDEX(Acceleration!$U$4:$U$110,MATCH('Track Data'!S1426,Acceleration!$K$4:$K$110,0)),1)),U1426)</f>
        <v>1</v>
      </c>
      <c r="AG1426" s="16">
        <f>IF(AC1426=0,IF(O1426=4,INDEX(Acceleration!$T$4:$T$110,MATCH('Track Data'!S1426,Acceleration!$K$4:$K$110,0)),IF('Track Data'!O1426=3,INDEX(Acceleration!$S$4:$S$110,MATCH('Track Data'!S1426,Acceleration!$K$4:$K$110,0)),'Track Data'!AF1426)),'Track Data'!U1426)</f>
        <v>4.5235291559310618</v>
      </c>
      <c r="AH1426" s="16">
        <f>IF(AC1426=0,IF(O1426=2,INDEX(Acceleration!$R$4:$R$110,MATCH('Track Data'!S1426,Acceleration!$K$4:$K$110,0)),IF('Track Data'!O1426=1,INDEX(Acceleration!$Q$4:$Q$110,MATCH('Track Data'!S1426,Acceleration!$K$4:$K$110,0)),'Track Data'!AG1426)),'Track Data'!U1426)</f>
        <v>4.5235291559310618</v>
      </c>
    </row>
    <row r="1427" spans="2:34" x14ac:dyDescent="0.25">
      <c r="B1427" s="16">
        <v>236.12799999999999</v>
      </c>
      <c r="C1427" s="16">
        <v>8697</v>
      </c>
      <c r="D1427" s="16">
        <v>1424</v>
      </c>
      <c r="E1427" s="113">
        <v>90</v>
      </c>
      <c r="F1427" s="113">
        <v>86.5</v>
      </c>
      <c r="G1427" s="113">
        <v>79.5</v>
      </c>
      <c r="H1427" s="113">
        <f t="shared" si="159"/>
        <v>22.083333333333332</v>
      </c>
      <c r="I1427" s="113">
        <v>17.2</v>
      </c>
      <c r="J1427" s="113">
        <v>61.06</v>
      </c>
      <c r="K1427" s="113">
        <v>-32.1</v>
      </c>
      <c r="L1427" s="183"/>
      <c r="M1427" s="16">
        <v>1424</v>
      </c>
      <c r="N1427" s="16">
        <f t="shared" si="161"/>
        <v>3.5246538176591118E-2</v>
      </c>
      <c r="O1427" s="16">
        <v>3</v>
      </c>
      <c r="P1427" s="16">
        <f t="shared" si="157"/>
        <v>10.596205962059623</v>
      </c>
      <c r="Q1427" s="16">
        <f t="shared" si="162"/>
        <v>28.371580635517478</v>
      </c>
      <c r="R1427" s="113">
        <f t="shared" si="158"/>
        <v>345.36</v>
      </c>
      <c r="S1427" s="16">
        <f>IF(S1426=15800,15800,ROUND((((Q1427*60)/'Gearing Calculator'!$C$14)*'Track Data'!P1427),-2))</f>
        <v>9100</v>
      </c>
      <c r="T1427" s="16">
        <f t="shared" si="160"/>
        <v>4.5235291559310618</v>
      </c>
      <c r="U1427" s="16">
        <f>IF(AC1427=100,Braking!$AG$2354,IF(AC1427=50,Braking!$AG$1179,IF(AC1427=75,Braking!$AG$1767,0)))</f>
        <v>0</v>
      </c>
      <c r="V1427" s="16">
        <f>0.5*'Gearing Calculator'!$C$15*'Gearing Calculator'!$C$20*'Gearing Calculator'!$W$20*('Track Data'!Q1427^2)</f>
        <v>85.195546848271832</v>
      </c>
      <c r="W1427" s="16">
        <f>('Gearing Calculator'!$U$9*'Track Data'!T1427)+'Track Data'!V1427</f>
        <v>1289.3590081571203</v>
      </c>
      <c r="X1427" s="16">
        <f>('Gearing Calculator'!$U$9*9.81)*('Gearing Calculator'!$U$16/'Gearing Calculator'!$C$7)-(('Track Data'!W1427)*('Gearing Calculator'!$U$17/'Gearing Calculator'!$C$7))</f>
        <v>698.37358541434548</v>
      </c>
      <c r="Y1427" s="16">
        <f>('Gearing Calculator'!$U$9*9.81)*(('Gearing Calculator'!$C$7-'Gearing Calculator'!$U$16)/'Gearing Calculator'!$C$7)+(('Track Data'!W1427)*('Gearing Calculator'!$U$17/'Gearing Calculator'!$C$7))</f>
        <v>1913.0484145856544</v>
      </c>
      <c r="Z1427" s="16">
        <f>((X1427*COS('Gearing Calculator'!$C$21))/'Gearing Calculator'!$C$22)/2</f>
        <v>21.591502493544937</v>
      </c>
      <c r="AA1427" s="16">
        <f>Y1427/'Gearing Calculator'!$C$24</f>
        <v>26.712572320359616</v>
      </c>
      <c r="AB1427" s="16">
        <f t="shared" si="156"/>
        <v>98.76613431606502</v>
      </c>
      <c r="AC1427" s="16">
        <v>0</v>
      </c>
      <c r="AD1427" s="16">
        <v>-46.712096975939801</v>
      </c>
      <c r="AE1427" s="16">
        <v>1424</v>
      </c>
      <c r="AF1427" s="16">
        <f>IF(AC1427=0,IF(O1427=6,INDEX(Acceleration!$V$4:$V$110,MATCH('Track Data'!S1427,Acceleration!$K$4:$K$110,0)),IF('Track Data'!O1427=5,INDEX(Acceleration!$U$4:$U$110,MATCH('Track Data'!S1427,Acceleration!$K$4:$K$110,0)),1)),U1427)</f>
        <v>1</v>
      </c>
      <c r="AG1427" s="16">
        <f>IF(AC1427=0,IF(O1427=4,INDEX(Acceleration!$T$4:$T$110,MATCH('Track Data'!S1427,Acceleration!$K$4:$K$110,0)),IF('Track Data'!O1427=3,INDEX(Acceleration!$S$4:$S$110,MATCH('Track Data'!S1427,Acceleration!$K$4:$K$110,0)),'Track Data'!AF1427)),'Track Data'!U1427)</f>
        <v>4.5235291559310618</v>
      </c>
      <c r="AH1427" s="16">
        <f>IF(AC1427=0,IF(O1427=2,INDEX(Acceleration!$R$4:$R$110,MATCH('Track Data'!S1427,Acceleration!$K$4:$K$110,0)),IF('Track Data'!O1427=1,INDEX(Acceleration!$Q$4:$Q$110,MATCH('Track Data'!S1427,Acceleration!$K$4:$K$110,0)),'Track Data'!AG1427)),'Track Data'!U1427)</f>
        <v>4.5235291559310618</v>
      </c>
    </row>
    <row r="1428" spans="2:34" x14ac:dyDescent="0.25">
      <c r="B1428" s="16">
        <v>236.17</v>
      </c>
      <c r="C1428" s="16">
        <v>8698</v>
      </c>
      <c r="D1428" s="16">
        <v>1425</v>
      </c>
      <c r="E1428" s="113">
        <v>90</v>
      </c>
      <c r="F1428" s="113">
        <v>86.9</v>
      </c>
      <c r="G1428" s="113">
        <v>79.400000000000006</v>
      </c>
      <c r="H1428" s="113">
        <f t="shared" si="159"/>
        <v>22.055555555555557</v>
      </c>
      <c r="I1428" s="113">
        <v>17.7</v>
      </c>
      <c r="J1428" s="113">
        <v>60.05</v>
      </c>
      <c r="K1428" s="113">
        <v>-14.3</v>
      </c>
      <c r="L1428" s="183"/>
      <c r="M1428" s="16">
        <v>1425</v>
      </c>
      <c r="N1428" s="16">
        <f t="shared" si="161"/>
        <v>3.5246538176591118E-2</v>
      </c>
      <c r="O1428" s="16">
        <v>3</v>
      </c>
      <c r="P1428" s="16">
        <f t="shared" si="157"/>
        <v>10.596205962059623</v>
      </c>
      <c r="Q1428" s="16">
        <f t="shared" si="162"/>
        <v>28.371580635517478</v>
      </c>
      <c r="R1428" s="113">
        <f t="shared" si="158"/>
        <v>345.36</v>
      </c>
      <c r="S1428" s="16">
        <f>IF(S1427=15800,15800,ROUND((((Q1428*60)/'Gearing Calculator'!$C$14)*'Track Data'!P1428),-2))</f>
        <v>9100</v>
      </c>
      <c r="T1428" s="16">
        <f t="shared" si="160"/>
        <v>4.5235291559310618</v>
      </c>
      <c r="U1428" s="16">
        <f>IF(AC1428=100,Braking!$AG$2354,IF(AC1428=50,Braking!$AG$1179,IF(AC1428=75,Braking!$AG$1767,0)))</f>
        <v>0</v>
      </c>
      <c r="V1428" s="16">
        <f>0.5*'Gearing Calculator'!$C$15*'Gearing Calculator'!$C$20*'Gearing Calculator'!$W$20*('Track Data'!Q1428^2)</f>
        <v>85.195546848271832</v>
      </c>
      <c r="W1428" s="16">
        <f>('Gearing Calculator'!$U$9*'Track Data'!T1428)+'Track Data'!V1428</f>
        <v>1289.3590081571203</v>
      </c>
      <c r="X1428" s="16">
        <f>('Gearing Calculator'!$U$9*9.81)*('Gearing Calculator'!$U$16/'Gearing Calculator'!$C$7)-(('Track Data'!W1428)*('Gearing Calculator'!$U$17/'Gearing Calculator'!$C$7))</f>
        <v>698.37358541434548</v>
      </c>
      <c r="Y1428" s="16">
        <f>('Gearing Calculator'!$U$9*9.81)*(('Gearing Calculator'!$C$7-'Gearing Calculator'!$U$16)/'Gearing Calculator'!$C$7)+(('Track Data'!W1428)*('Gearing Calculator'!$U$17/'Gearing Calculator'!$C$7))</f>
        <v>1913.0484145856544</v>
      </c>
      <c r="Z1428" s="16">
        <f>((X1428*COS('Gearing Calculator'!$C$21))/'Gearing Calculator'!$C$22)/2</f>
        <v>21.591502493544937</v>
      </c>
      <c r="AA1428" s="16">
        <f>Y1428/'Gearing Calculator'!$C$24</f>
        <v>26.712572320359616</v>
      </c>
      <c r="AB1428" s="16">
        <f t="shared" si="156"/>
        <v>98.76613431606502</v>
      </c>
      <c r="AC1428" s="16">
        <v>0</v>
      </c>
      <c r="AD1428" s="16">
        <v>-46.712096975939801</v>
      </c>
      <c r="AE1428" s="16">
        <v>1425</v>
      </c>
      <c r="AF1428" s="16">
        <f>IF(AC1428=0,IF(O1428=6,INDEX(Acceleration!$V$4:$V$110,MATCH('Track Data'!S1428,Acceleration!$K$4:$K$110,0)),IF('Track Data'!O1428=5,INDEX(Acceleration!$U$4:$U$110,MATCH('Track Data'!S1428,Acceleration!$K$4:$K$110,0)),1)),U1428)</f>
        <v>1</v>
      </c>
      <c r="AG1428" s="16">
        <f>IF(AC1428=0,IF(O1428=4,INDEX(Acceleration!$T$4:$T$110,MATCH('Track Data'!S1428,Acceleration!$K$4:$K$110,0)),IF('Track Data'!O1428=3,INDEX(Acceleration!$S$4:$S$110,MATCH('Track Data'!S1428,Acceleration!$K$4:$K$110,0)),'Track Data'!AF1428)),'Track Data'!U1428)</f>
        <v>4.5235291559310618</v>
      </c>
      <c r="AH1428" s="16">
        <f>IF(AC1428=0,IF(O1428=2,INDEX(Acceleration!$R$4:$R$110,MATCH('Track Data'!S1428,Acceleration!$K$4:$K$110,0)),IF('Track Data'!O1428=1,INDEX(Acceleration!$Q$4:$Q$110,MATCH('Track Data'!S1428,Acceleration!$K$4:$K$110,0)),'Track Data'!AG1428)),'Track Data'!U1428)</f>
        <v>4.5235291559310618</v>
      </c>
    </row>
    <row r="1429" spans="2:34" x14ac:dyDescent="0.25">
      <c r="B1429" s="16">
        <v>236.21100000000001</v>
      </c>
      <c r="C1429" s="16">
        <v>8699</v>
      </c>
      <c r="D1429" s="16">
        <v>1426</v>
      </c>
      <c r="E1429" s="113">
        <v>90</v>
      </c>
      <c r="F1429" s="113">
        <v>86.9</v>
      </c>
      <c r="G1429" s="113">
        <v>79.3</v>
      </c>
      <c r="H1429" s="113">
        <f t="shared" si="159"/>
        <v>22.027777777777775</v>
      </c>
      <c r="I1429" s="113">
        <v>18.2</v>
      </c>
      <c r="J1429" s="113">
        <v>58.75</v>
      </c>
      <c r="K1429" s="113">
        <v>-14.3</v>
      </c>
      <c r="L1429" s="183"/>
      <c r="M1429" s="16">
        <v>1426</v>
      </c>
      <c r="N1429" s="16">
        <f t="shared" si="161"/>
        <v>3.5246538176591118E-2</v>
      </c>
      <c r="O1429" s="16">
        <v>3</v>
      </c>
      <c r="P1429" s="16">
        <f t="shared" si="157"/>
        <v>10.596205962059623</v>
      </c>
      <c r="Q1429" s="16">
        <f t="shared" si="162"/>
        <v>28.371580635517478</v>
      </c>
      <c r="R1429" s="113">
        <f t="shared" si="158"/>
        <v>345.36</v>
      </c>
      <c r="S1429" s="16">
        <f>IF(S1428=15800,15800,ROUND((((Q1429*60)/'Gearing Calculator'!$C$14)*'Track Data'!P1429),-2))</f>
        <v>9100</v>
      </c>
      <c r="T1429" s="16">
        <f t="shared" si="160"/>
        <v>4.5235291559310618</v>
      </c>
      <c r="U1429" s="16">
        <f>IF(AC1429=100,Braking!$AG$2354,IF(AC1429=50,Braking!$AG$1179,IF(AC1429=75,Braking!$AG$1767,0)))</f>
        <v>0</v>
      </c>
      <c r="V1429" s="16">
        <f>0.5*'Gearing Calculator'!$C$15*'Gearing Calculator'!$C$20*'Gearing Calculator'!$W$20*('Track Data'!Q1429^2)</f>
        <v>85.195546848271832</v>
      </c>
      <c r="W1429" s="16">
        <f>('Gearing Calculator'!$U$9*'Track Data'!T1429)+'Track Data'!V1429</f>
        <v>1289.3590081571203</v>
      </c>
      <c r="X1429" s="16">
        <f>('Gearing Calculator'!$U$9*9.81)*('Gearing Calculator'!$U$16/'Gearing Calculator'!$C$7)-(('Track Data'!W1429)*('Gearing Calculator'!$U$17/'Gearing Calculator'!$C$7))</f>
        <v>698.37358541434548</v>
      </c>
      <c r="Y1429" s="16">
        <f>('Gearing Calculator'!$U$9*9.81)*(('Gearing Calculator'!$C$7-'Gearing Calculator'!$U$16)/'Gearing Calculator'!$C$7)+(('Track Data'!W1429)*('Gearing Calculator'!$U$17/'Gearing Calculator'!$C$7))</f>
        <v>1913.0484145856544</v>
      </c>
      <c r="Z1429" s="16">
        <f>((X1429*COS('Gearing Calculator'!$C$21))/'Gearing Calculator'!$C$22)/2</f>
        <v>21.591502493544937</v>
      </c>
      <c r="AA1429" s="16">
        <f>Y1429/'Gearing Calculator'!$C$24</f>
        <v>26.712572320359616</v>
      </c>
      <c r="AB1429" s="16">
        <f t="shared" si="156"/>
        <v>98.76613431606502</v>
      </c>
      <c r="AC1429" s="16">
        <v>0</v>
      </c>
      <c r="AD1429" s="16">
        <v>-46.712096975939801</v>
      </c>
      <c r="AE1429" s="16">
        <v>1426</v>
      </c>
      <c r="AF1429" s="16">
        <f>IF(AC1429=0,IF(O1429=6,INDEX(Acceleration!$V$4:$V$110,MATCH('Track Data'!S1429,Acceleration!$K$4:$K$110,0)),IF('Track Data'!O1429=5,INDEX(Acceleration!$U$4:$U$110,MATCH('Track Data'!S1429,Acceleration!$K$4:$K$110,0)),1)),U1429)</f>
        <v>1</v>
      </c>
      <c r="AG1429" s="16">
        <f>IF(AC1429=0,IF(O1429=4,INDEX(Acceleration!$T$4:$T$110,MATCH('Track Data'!S1429,Acceleration!$K$4:$K$110,0)),IF('Track Data'!O1429=3,INDEX(Acceleration!$S$4:$S$110,MATCH('Track Data'!S1429,Acceleration!$K$4:$K$110,0)),'Track Data'!AF1429)),'Track Data'!U1429)</f>
        <v>4.5235291559310618</v>
      </c>
      <c r="AH1429" s="16">
        <f>IF(AC1429=0,IF(O1429=2,INDEX(Acceleration!$R$4:$R$110,MATCH('Track Data'!S1429,Acceleration!$K$4:$K$110,0)),IF('Track Data'!O1429=1,INDEX(Acceleration!$Q$4:$Q$110,MATCH('Track Data'!S1429,Acceleration!$K$4:$K$110,0)),'Track Data'!AG1429)),'Track Data'!U1429)</f>
        <v>4.5235291559310618</v>
      </c>
    </row>
    <row r="1430" spans="2:34" x14ac:dyDescent="0.25">
      <c r="B1430" s="16">
        <v>236.25200000000001</v>
      </c>
      <c r="C1430" s="16">
        <v>8700</v>
      </c>
      <c r="D1430" s="16">
        <v>1427</v>
      </c>
      <c r="E1430" s="113">
        <v>91</v>
      </c>
      <c r="F1430" s="113">
        <v>87.3</v>
      </c>
      <c r="G1430" s="113">
        <v>79.3</v>
      </c>
      <c r="H1430" s="113">
        <f t="shared" si="159"/>
        <v>22.027777777777775</v>
      </c>
      <c r="I1430" s="113">
        <v>17.7</v>
      </c>
      <c r="J1430" s="113">
        <v>53.47</v>
      </c>
      <c r="K1430" s="113">
        <v>-16.100000000000001</v>
      </c>
      <c r="L1430" s="183"/>
      <c r="M1430" s="16">
        <v>1427</v>
      </c>
      <c r="N1430" s="16">
        <f t="shared" si="161"/>
        <v>3.5246538176591118E-2</v>
      </c>
      <c r="O1430" s="16">
        <v>3</v>
      </c>
      <c r="P1430" s="16">
        <f t="shared" si="157"/>
        <v>10.596205962059623</v>
      </c>
      <c r="Q1430" s="16">
        <f t="shared" si="162"/>
        <v>28.371580635517478</v>
      </c>
      <c r="R1430" s="113">
        <f t="shared" si="158"/>
        <v>345.36</v>
      </c>
      <c r="S1430" s="16">
        <f>IF(S1429=15800,15800,ROUND((((Q1430*60)/'Gearing Calculator'!$C$14)*'Track Data'!P1430),-2))</f>
        <v>9100</v>
      </c>
      <c r="T1430" s="16">
        <f t="shared" si="160"/>
        <v>4.5235291559310618</v>
      </c>
      <c r="U1430" s="16">
        <f>IF(AC1430=100,Braking!$AG$2354,IF(AC1430=50,Braking!$AG$1179,IF(AC1430=75,Braking!$AG$1767,0)))</f>
        <v>0</v>
      </c>
      <c r="V1430" s="16">
        <f>0.5*'Gearing Calculator'!$C$15*'Gearing Calculator'!$C$20*'Gearing Calculator'!$W$20*('Track Data'!Q1430^2)</f>
        <v>85.195546848271832</v>
      </c>
      <c r="W1430" s="16">
        <f>('Gearing Calculator'!$U$9*'Track Data'!T1430)+'Track Data'!V1430</f>
        <v>1289.3590081571203</v>
      </c>
      <c r="X1430" s="16">
        <f>('Gearing Calculator'!$U$9*9.81)*('Gearing Calculator'!$U$16/'Gearing Calculator'!$C$7)-(('Track Data'!W1430)*('Gearing Calculator'!$U$17/'Gearing Calculator'!$C$7))</f>
        <v>698.37358541434548</v>
      </c>
      <c r="Y1430" s="16">
        <f>('Gearing Calculator'!$U$9*9.81)*(('Gearing Calculator'!$C$7-'Gearing Calculator'!$U$16)/'Gearing Calculator'!$C$7)+(('Track Data'!W1430)*('Gearing Calculator'!$U$17/'Gearing Calculator'!$C$7))</f>
        <v>1913.0484145856544</v>
      </c>
      <c r="Z1430" s="16">
        <f>((X1430*COS('Gearing Calculator'!$C$21))/'Gearing Calculator'!$C$22)/2</f>
        <v>21.591502493544937</v>
      </c>
      <c r="AA1430" s="16">
        <f>Y1430/'Gearing Calculator'!$C$24</f>
        <v>26.712572320359616</v>
      </c>
      <c r="AB1430" s="16">
        <f t="shared" si="156"/>
        <v>98.76613431606502</v>
      </c>
      <c r="AC1430" s="16">
        <v>0</v>
      </c>
      <c r="AD1430" s="16">
        <v>-46.712096975939801</v>
      </c>
      <c r="AE1430" s="16">
        <v>1427</v>
      </c>
      <c r="AF1430" s="16">
        <f>IF(AC1430=0,IF(O1430=6,INDEX(Acceleration!$V$4:$V$110,MATCH('Track Data'!S1430,Acceleration!$K$4:$K$110,0)),IF('Track Data'!O1430=5,INDEX(Acceleration!$U$4:$U$110,MATCH('Track Data'!S1430,Acceleration!$K$4:$K$110,0)),1)),U1430)</f>
        <v>1</v>
      </c>
      <c r="AG1430" s="16">
        <f>IF(AC1430=0,IF(O1430=4,INDEX(Acceleration!$T$4:$T$110,MATCH('Track Data'!S1430,Acceleration!$K$4:$K$110,0)),IF('Track Data'!O1430=3,INDEX(Acceleration!$S$4:$S$110,MATCH('Track Data'!S1430,Acceleration!$K$4:$K$110,0)),'Track Data'!AF1430)),'Track Data'!U1430)</f>
        <v>4.5235291559310618</v>
      </c>
      <c r="AH1430" s="16">
        <f>IF(AC1430=0,IF(O1430=2,INDEX(Acceleration!$R$4:$R$110,MATCH('Track Data'!S1430,Acceleration!$K$4:$K$110,0)),IF('Track Data'!O1430=1,INDEX(Acceleration!$Q$4:$Q$110,MATCH('Track Data'!S1430,Acceleration!$K$4:$K$110,0)),'Track Data'!AG1430)),'Track Data'!U1430)</f>
        <v>4.5235291559310618</v>
      </c>
    </row>
    <row r="1431" spans="2:34" x14ac:dyDescent="0.25">
      <c r="B1431" s="16">
        <v>236.29400000000001</v>
      </c>
      <c r="C1431" s="16">
        <v>8701</v>
      </c>
      <c r="D1431" s="16">
        <v>1428</v>
      </c>
      <c r="E1431" s="113">
        <v>92</v>
      </c>
      <c r="F1431" s="113">
        <v>87.6</v>
      </c>
      <c r="G1431" s="113">
        <v>79.3</v>
      </c>
      <c r="H1431" s="113">
        <f t="shared" si="159"/>
        <v>22.027777777777775</v>
      </c>
      <c r="I1431" s="113">
        <v>16.5</v>
      </c>
      <c r="J1431" s="113">
        <v>51.17</v>
      </c>
      <c r="K1431" s="113">
        <v>-21.1</v>
      </c>
      <c r="L1431" s="183"/>
      <c r="M1431" s="16">
        <v>1428</v>
      </c>
      <c r="N1431" s="16">
        <f t="shared" si="161"/>
        <v>3.5246538176591118E-2</v>
      </c>
      <c r="O1431" s="16">
        <v>3</v>
      </c>
      <c r="P1431" s="16">
        <f t="shared" si="157"/>
        <v>10.596205962059623</v>
      </c>
      <c r="Q1431" s="16">
        <f t="shared" si="162"/>
        <v>28.371580635517478</v>
      </c>
      <c r="R1431" s="113">
        <f t="shared" si="158"/>
        <v>345.36</v>
      </c>
      <c r="S1431" s="16">
        <f>IF(S1430=15800,15800,ROUND((((Q1431*60)/'Gearing Calculator'!$C$14)*'Track Data'!P1431),-2))</f>
        <v>9100</v>
      </c>
      <c r="T1431" s="16">
        <f t="shared" si="160"/>
        <v>4.5235291559310618</v>
      </c>
      <c r="U1431" s="16">
        <f>IF(AC1431=100,Braking!$AG$2354,IF(AC1431=50,Braking!$AG$1179,IF(AC1431=75,Braking!$AG$1767,0)))</f>
        <v>0</v>
      </c>
      <c r="V1431" s="16">
        <f>0.5*'Gearing Calculator'!$C$15*'Gearing Calculator'!$C$20*'Gearing Calculator'!$W$20*('Track Data'!Q1431^2)</f>
        <v>85.195546848271832</v>
      </c>
      <c r="W1431" s="16">
        <f>('Gearing Calculator'!$U$9*'Track Data'!T1431)+'Track Data'!V1431</f>
        <v>1289.3590081571203</v>
      </c>
      <c r="X1431" s="16">
        <f>('Gearing Calculator'!$U$9*9.81)*('Gearing Calculator'!$U$16/'Gearing Calculator'!$C$7)-(('Track Data'!W1431)*('Gearing Calculator'!$U$17/'Gearing Calculator'!$C$7))</f>
        <v>698.37358541434548</v>
      </c>
      <c r="Y1431" s="16">
        <f>('Gearing Calculator'!$U$9*9.81)*(('Gearing Calculator'!$C$7-'Gearing Calculator'!$U$16)/'Gearing Calculator'!$C$7)+(('Track Data'!W1431)*('Gearing Calculator'!$U$17/'Gearing Calculator'!$C$7))</f>
        <v>1913.0484145856544</v>
      </c>
      <c r="Z1431" s="16">
        <f>((X1431*COS('Gearing Calculator'!$C$21))/'Gearing Calculator'!$C$22)/2</f>
        <v>21.591502493544937</v>
      </c>
      <c r="AA1431" s="16">
        <f>Y1431/'Gearing Calculator'!$C$24</f>
        <v>26.712572320359616</v>
      </c>
      <c r="AB1431" s="16">
        <f t="shared" si="156"/>
        <v>98.76613431606502</v>
      </c>
      <c r="AC1431" s="16">
        <v>0</v>
      </c>
      <c r="AD1431" s="16">
        <v>-46.712096975939801</v>
      </c>
      <c r="AE1431" s="16">
        <v>1428</v>
      </c>
      <c r="AF1431" s="16">
        <f>IF(AC1431=0,IF(O1431=6,INDEX(Acceleration!$V$4:$V$110,MATCH('Track Data'!S1431,Acceleration!$K$4:$K$110,0)),IF('Track Data'!O1431=5,INDEX(Acceleration!$U$4:$U$110,MATCH('Track Data'!S1431,Acceleration!$K$4:$K$110,0)),1)),U1431)</f>
        <v>1</v>
      </c>
      <c r="AG1431" s="16">
        <f>IF(AC1431=0,IF(O1431=4,INDEX(Acceleration!$T$4:$T$110,MATCH('Track Data'!S1431,Acceleration!$K$4:$K$110,0)),IF('Track Data'!O1431=3,INDEX(Acceleration!$S$4:$S$110,MATCH('Track Data'!S1431,Acceleration!$K$4:$K$110,0)),'Track Data'!AF1431)),'Track Data'!U1431)</f>
        <v>4.5235291559310618</v>
      </c>
      <c r="AH1431" s="16">
        <f>IF(AC1431=0,IF(O1431=2,INDEX(Acceleration!$R$4:$R$110,MATCH('Track Data'!S1431,Acceleration!$K$4:$K$110,0)),IF('Track Data'!O1431=1,INDEX(Acceleration!$Q$4:$Q$110,MATCH('Track Data'!S1431,Acceleration!$K$4:$K$110,0)),'Track Data'!AG1431)),'Track Data'!U1431)</f>
        <v>4.5235291559310618</v>
      </c>
    </row>
    <row r="1432" spans="2:34" x14ac:dyDescent="0.25">
      <c r="B1432" s="16">
        <v>236.334</v>
      </c>
      <c r="C1432" s="16">
        <v>8702</v>
      </c>
      <c r="D1432" s="16">
        <v>1429</v>
      </c>
      <c r="E1432" s="113">
        <v>93</v>
      </c>
      <c r="F1432" s="113">
        <v>87.9</v>
      </c>
      <c r="G1432" s="113">
        <v>79.400000000000006</v>
      </c>
      <c r="H1432" s="113">
        <f t="shared" si="159"/>
        <v>22.055555555555557</v>
      </c>
      <c r="I1432" s="113">
        <v>14.8</v>
      </c>
      <c r="J1432" s="113">
        <v>43.42</v>
      </c>
      <c r="K1432" s="113">
        <v>-26.3</v>
      </c>
      <c r="L1432" s="183"/>
      <c r="M1432" s="16">
        <v>1429</v>
      </c>
      <c r="N1432" s="16">
        <f t="shared" si="161"/>
        <v>3.5246538176591118E-2</v>
      </c>
      <c r="O1432" s="16">
        <v>3</v>
      </c>
      <c r="P1432" s="16">
        <f t="shared" si="157"/>
        <v>10.596205962059623</v>
      </c>
      <c r="Q1432" s="16">
        <f t="shared" si="162"/>
        <v>28.371580635517478</v>
      </c>
      <c r="R1432" s="113">
        <f t="shared" si="158"/>
        <v>345.36</v>
      </c>
      <c r="S1432" s="16">
        <f>IF(S1431=15800,15800,ROUND((((Q1432*60)/'Gearing Calculator'!$C$14)*'Track Data'!P1432),-2))</f>
        <v>9100</v>
      </c>
      <c r="T1432" s="16">
        <f t="shared" si="160"/>
        <v>4.5235291559310618</v>
      </c>
      <c r="U1432" s="16">
        <f>IF(AC1432=100,Braking!$AG$2354,IF(AC1432=50,Braking!$AG$1179,IF(AC1432=75,Braking!$AG$1767,0)))</f>
        <v>0</v>
      </c>
      <c r="V1432" s="16">
        <f>0.5*'Gearing Calculator'!$C$15*'Gearing Calculator'!$C$20*'Gearing Calculator'!$W$20*('Track Data'!Q1432^2)</f>
        <v>85.195546848271832</v>
      </c>
      <c r="W1432" s="16">
        <f>('Gearing Calculator'!$U$9*'Track Data'!T1432)+'Track Data'!V1432</f>
        <v>1289.3590081571203</v>
      </c>
      <c r="X1432" s="16">
        <f>('Gearing Calculator'!$U$9*9.81)*('Gearing Calculator'!$U$16/'Gearing Calculator'!$C$7)-(('Track Data'!W1432)*('Gearing Calculator'!$U$17/'Gearing Calculator'!$C$7))</f>
        <v>698.37358541434548</v>
      </c>
      <c r="Y1432" s="16">
        <f>('Gearing Calculator'!$U$9*9.81)*(('Gearing Calculator'!$C$7-'Gearing Calculator'!$U$16)/'Gearing Calculator'!$C$7)+(('Track Data'!W1432)*('Gearing Calculator'!$U$17/'Gearing Calculator'!$C$7))</f>
        <v>1913.0484145856544</v>
      </c>
      <c r="Z1432" s="16">
        <f>((X1432*COS('Gearing Calculator'!$C$21))/'Gearing Calculator'!$C$22)/2</f>
        <v>21.591502493544937</v>
      </c>
      <c r="AA1432" s="16">
        <f>Y1432/'Gearing Calculator'!$C$24</f>
        <v>26.712572320359616</v>
      </c>
      <c r="AB1432" s="16">
        <f t="shared" si="156"/>
        <v>98.76613431606502</v>
      </c>
      <c r="AC1432" s="16">
        <v>0</v>
      </c>
      <c r="AD1432" s="16">
        <v>-46.712096975939801</v>
      </c>
      <c r="AE1432" s="16">
        <v>1429</v>
      </c>
      <c r="AF1432" s="16">
        <f>IF(AC1432=0,IF(O1432=6,INDEX(Acceleration!$V$4:$V$110,MATCH('Track Data'!S1432,Acceleration!$K$4:$K$110,0)),IF('Track Data'!O1432=5,INDEX(Acceleration!$U$4:$U$110,MATCH('Track Data'!S1432,Acceleration!$K$4:$K$110,0)),1)),U1432)</f>
        <v>1</v>
      </c>
      <c r="AG1432" s="16">
        <f>IF(AC1432=0,IF(O1432=4,INDEX(Acceleration!$T$4:$T$110,MATCH('Track Data'!S1432,Acceleration!$K$4:$K$110,0)),IF('Track Data'!O1432=3,INDEX(Acceleration!$S$4:$S$110,MATCH('Track Data'!S1432,Acceleration!$K$4:$K$110,0)),'Track Data'!AF1432)),'Track Data'!U1432)</f>
        <v>4.5235291559310618</v>
      </c>
      <c r="AH1432" s="16">
        <f>IF(AC1432=0,IF(O1432=2,INDEX(Acceleration!$R$4:$R$110,MATCH('Track Data'!S1432,Acceleration!$K$4:$K$110,0)),IF('Track Data'!O1432=1,INDEX(Acceleration!$Q$4:$Q$110,MATCH('Track Data'!S1432,Acceleration!$K$4:$K$110,0)),'Track Data'!AG1432)),'Track Data'!U1432)</f>
        <v>4.5235291559310618</v>
      </c>
    </row>
    <row r="1433" spans="2:34" x14ac:dyDescent="0.25">
      <c r="B1433" s="16">
        <v>236.376</v>
      </c>
      <c r="C1433" s="16">
        <v>8703</v>
      </c>
      <c r="D1433" s="16">
        <v>1430</v>
      </c>
      <c r="E1433" s="113">
        <v>94</v>
      </c>
      <c r="F1433" s="113">
        <v>88.3</v>
      </c>
      <c r="G1433" s="113">
        <v>79.8</v>
      </c>
      <c r="H1433" s="113">
        <f t="shared" si="159"/>
        <v>22.166666666666664</v>
      </c>
      <c r="I1433" s="113">
        <v>13</v>
      </c>
      <c r="J1433" s="113">
        <v>39.979999999999997</v>
      </c>
      <c r="K1433" s="113">
        <v>-31.5</v>
      </c>
      <c r="L1433" s="183"/>
      <c r="M1433" s="16">
        <v>1430</v>
      </c>
      <c r="N1433" s="16">
        <f t="shared" si="161"/>
        <v>3.5246538176591118E-2</v>
      </c>
      <c r="O1433" s="16">
        <v>3</v>
      </c>
      <c r="P1433" s="16">
        <f t="shared" si="157"/>
        <v>10.596205962059623</v>
      </c>
      <c r="Q1433" s="16">
        <f t="shared" si="162"/>
        <v>28.371580635517478</v>
      </c>
      <c r="R1433" s="113">
        <f t="shared" si="158"/>
        <v>345.36</v>
      </c>
      <c r="S1433" s="16">
        <f>IF(S1432=15800,15800,ROUND((((Q1433*60)/'Gearing Calculator'!$C$14)*'Track Data'!P1433),-2))</f>
        <v>9100</v>
      </c>
      <c r="T1433" s="16">
        <f t="shared" si="160"/>
        <v>4.5235291559310618</v>
      </c>
      <c r="U1433" s="16">
        <f>IF(AC1433=100,Braking!$AG$2354,IF(AC1433=50,Braking!$AG$1179,IF(AC1433=75,Braking!$AG$1767,0)))</f>
        <v>0</v>
      </c>
      <c r="V1433" s="16">
        <f>0.5*'Gearing Calculator'!$C$15*'Gearing Calculator'!$C$20*'Gearing Calculator'!$W$20*('Track Data'!Q1433^2)</f>
        <v>85.195546848271832</v>
      </c>
      <c r="W1433" s="16">
        <f>('Gearing Calculator'!$U$9*'Track Data'!T1433)+'Track Data'!V1433</f>
        <v>1289.3590081571203</v>
      </c>
      <c r="X1433" s="16">
        <f>('Gearing Calculator'!$U$9*9.81)*('Gearing Calculator'!$U$16/'Gearing Calculator'!$C$7)-(('Track Data'!W1433)*('Gearing Calculator'!$U$17/'Gearing Calculator'!$C$7))</f>
        <v>698.37358541434548</v>
      </c>
      <c r="Y1433" s="16">
        <f>('Gearing Calculator'!$U$9*9.81)*(('Gearing Calculator'!$C$7-'Gearing Calculator'!$U$16)/'Gearing Calculator'!$C$7)+(('Track Data'!W1433)*('Gearing Calculator'!$U$17/'Gearing Calculator'!$C$7))</f>
        <v>1913.0484145856544</v>
      </c>
      <c r="Z1433" s="16">
        <f>((X1433*COS('Gearing Calculator'!$C$21))/'Gearing Calculator'!$C$22)/2</f>
        <v>21.591502493544937</v>
      </c>
      <c r="AA1433" s="16">
        <f>Y1433/'Gearing Calculator'!$C$24</f>
        <v>26.712572320359616</v>
      </c>
      <c r="AB1433" s="16">
        <f t="shared" si="156"/>
        <v>98.76613431606502</v>
      </c>
      <c r="AC1433" s="16">
        <v>0</v>
      </c>
      <c r="AD1433" s="16">
        <v>-46.712096975939801</v>
      </c>
      <c r="AE1433" s="16">
        <v>1430</v>
      </c>
      <c r="AF1433" s="16">
        <f>IF(AC1433=0,IF(O1433=6,INDEX(Acceleration!$V$4:$V$110,MATCH('Track Data'!S1433,Acceleration!$K$4:$K$110,0)),IF('Track Data'!O1433=5,INDEX(Acceleration!$U$4:$U$110,MATCH('Track Data'!S1433,Acceleration!$K$4:$K$110,0)),1)),U1433)</f>
        <v>1</v>
      </c>
      <c r="AG1433" s="16">
        <f>IF(AC1433=0,IF(O1433=4,INDEX(Acceleration!$T$4:$T$110,MATCH('Track Data'!S1433,Acceleration!$K$4:$K$110,0)),IF('Track Data'!O1433=3,INDEX(Acceleration!$S$4:$S$110,MATCH('Track Data'!S1433,Acceleration!$K$4:$K$110,0)),'Track Data'!AF1433)),'Track Data'!U1433)</f>
        <v>4.5235291559310618</v>
      </c>
      <c r="AH1433" s="16">
        <f>IF(AC1433=0,IF(O1433=2,INDEX(Acceleration!$R$4:$R$110,MATCH('Track Data'!S1433,Acceleration!$K$4:$K$110,0)),IF('Track Data'!O1433=1,INDEX(Acceleration!$Q$4:$Q$110,MATCH('Track Data'!S1433,Acceleration!$K$4:$K$110,0)),'Track Data'!AG1433)),'Track Data'!U1433)</f>
        <v>4.5235291559310618</v>
      </c>
    </row>
    <row r="1434" spans="2:34" x14ac:dyDescent="0.25">
      <c r="B1434" s="16">
        <v>236.416</v>
      </c>
      <c r="C1434" s="16">
        <v>8704</v>
      </c>
      <c r="D1434" s="16">
        <v>1431</v>
      </c>
      <c r="E1434" s="113">
        <v>95</v>
      </c>
      <c r="F1434" s="113">
        <v>88.8</v>
      </c>
      <c r="G1434" s="113">
        <v>80.2</v>
      </c>
      <c r="H1434" s="113">
        <f t="shared" si="159"/>
        <v>22.277777777777779</v>
      </c>
      <c r="I1434" s="113">
        <v>10.199999999999999</v>
      </c>
      <c r="J1434" s="113">
        <v>36.299999999999997</v>
      </c>
      <c r="K1434" s="113">
        <v>-36.700000000000003</v>
      </c>
      <c r="L1434" s="183"/>
      <c r="M1434" s="16">
        <v>1431</v>
      </c>
      <c r="N1434" s="16">
        <f t="shared" si="161"/>
        <v>3.5246538176591118E-2</v>
      </c>
      <c r="O1434" s="16">
        <v>3</v>
      </c>
      <c r="P1434" s="16">
        <f t="shared" si="157"/>
        <v>10.596205962059623</v>
      </c>
      <c r="Q1434" s="16">
        <f t="shared" si="162"/>
        <v>28.371580635517478</v>
      </c>
      <c r="R1434" s="113">
        <f t="shared" si="158"/>
        <v>345.36</v>
      </c>
      <c r="S1434" s="16">
        <f>IF(S1433=15800,15800,ROUND((((Q1434*60)/'Gearing Calculator'!$C$14)*'Track Data'!P1434),-2))</f>
        <v>9100</v>
      </c>
      <c r="T1434" s="16">
        <f t="shared" si="160"/>
        <v>4.5235291559310618</v>
      </c>
      <c r="U1434" s="16">
        <f>IF(AC1434=100,Braking!$AG$2354,IF(AC1434=50,Braking!$AG$1179,IF(AC1434=75,Braking!$AG$1767,0)))</f>
        <v>0</v>
      </c>
      <c r="V1434" s="16">
        <f>0.5*'Gearing Calculator'!$C$15*'Gearing Calculator'!$C$20*'Gearing Calculator'!$W$20*('Track Data'!Q1434^2)</f>
        <v>85.195546848271832</v>
      </c>
      <c r="W1434" s="16">
        <f>('Gearing Calculator'!$U$9*'Track Data'!T1434)+'Track Data'!V1434</f>
        <v>1289.3590081571203</v>
      </c>
      <c r="X1434" s="16">
        <f>('Gearing Calculator'!$U$9*9.81)*('Gearing Calculator'!$U$16/'Gearing Calculator'!$C$7)-(('Track Data'!W1434)*('Gearing Calculator'!$U$17/'Gearing Calculator'!$C$7))</f>
        <v>698.37358541434548</v>
      </c>
      <c r="Y1434" s="16">
        <f>('Gearing Calculator'!$U$9*9.81)*(('Gearing Calculator'!$C$7-'Gearing Calculator'!$U$16)/'Gearing Calculator'!$C$7)+(('Track Data'!W1434)*('Gearing Calculator'!$U$17/'Gearing Calculator'!$C$7))</f>
        <v>1913.0484145856544</v>
      </c>
      <c r="Z1434" s="16">
        <f>((X1434*COS('Gearing Calculator'!$C$21))/'Gearing Calculator'!$C$22)/2</f>
        <v>21.591502493544937</v>
      </c>
      <c r="AA1434" s="16">
        <f>Y1434/'Gearing Calculator'!$C$24</f>
        <v>26.712572320359616</v>
      </c>
      <c r="AB1434" s="16">
        <f t="shared" si="156"/>
        <v>98.76613431606502</v>
      </c>
      <c r="AC1434" s="16">
        <v>0</v>
      </c>
      <c r="AD1434" s="16">
        <v>-46.712096975939801</v>
      </c>
      <c r="AE1434" s="16">
        <v>1431</v>
      </c>
      <c r="AF1434" s="16">
        <f>IF(AC1434=0,IF(O1434=6,INDEX(Acceleration!$V$4:$V$110,MATCH('Track Data'!S1434,Acceleration!$K$4:$K$110,0)),IF('Track Data'!O1434=5,INDEX(Acceleration!$U$4:$U$110,MATCH('Track Data'!S1434,Acceleration!$K$4:$K$110,0)),1)),U1434)</f>
        <v>1</v>
      </c>
      <c r="AG1434" s="16">
        <f>IF(AC1434=0,IF(O1434=4,INDEX(Acceleration!$T$4:$T$110,MATCH('Track Data'!S1434,Acceleration!$K$4:$K$110,0)),IF('Track Data'!O1434=3,INDEX(Acceleration!$S$4:$S$110,MATCH('Track Data'!S1434,Acceleration!$K$4:$K$110,0)),'Track Data'!AF1434)),'Track Data'!U1434)</f>
        <v>4.5235291559310618</v>
      </c>
      <c r="AH1434" s="16">
        <f>IF(AC1434=0,IF(O1434=2,INDEX(Acceleration!$R$4:$R$110,MATCH('Track Data'!S1434,Acceleration!$K$4:$K$110,0)),IF('Track Data'!O1434=1,INDEX(Acceleration!$Q$4:$Q$110,MATCH('Track Data'!S1434,Acceleration!$K$4:$K$110,0)),'Track Data'!AG1434)),'Track Data'!U1434)</f>
        <v>4.5235291559310618</v>
      </c>
    </row>
    <row r="1435" spans="2:34" x14ac:dyDescent="0.25">
      <c r="B1435" s="16">
        <v>236.45599999999999</v>
      </c>
      <c r="C1435" s="16">
        <v>8705</v>
      </c>
      <c r="D1435" s="16">
        <v>1432</v>
      </c>
      <c r="E1435" s="113">
        <v>95</v>
      </c>
      <c r="F1435" s="113">
        <v>89.4</v>
      </c>
      <c r="G1435" s="113">
        <v>80.599999999999994</v>
      </c>
      <c r="H1435" s="113">
        <f t="shared" si="159"/>
        <v>22.388888888888886</v>
      </c>
      <c r="I1435" s="113">
        <v>9.6999999999999993</v>
      </c>
      <c r="J1435" s="113">
        <v>33.020000000000003</v>
      </c>
      <c r="K1435" s="113">
        <v>-41.7</v>
      </c>
      <c r="L1435" s="183"/>
      <c r="M1435" s="16">
        <v>1432</v>
      </c>
      <c r="N1435" s="16">
        <f t="shared" si="161"/>
        <v>3.5246538176591118E-2</v>
      </c>
      <c r="O1435" s="16">
        <v>3</v>
      </c>
      <c r="P1435" s="16">
        <f t="shared" si="157"/>
        <v>10.596205962059623</v>
      </c>
      <c r="Q1435" s="16">
        <f t="shared" si="162"/>
        <v>28.371580635517478</v>
      </c>
      <c r="R1435" s="113">
        <f t="shared" si="158"/>
        <v>345.36</v>
      </c>
      <c r="S1435" s="16">
        <f>IF(S1434=15800,15800,ROUND((((Q1435*60)/'Gearing Calculator'!$C$14)*'Track Data'!P1435),-2))</f>
        <v>9100</v>
      </c>
      <c r="T1435" s="16">
        <f t="shared" si="160"/>
        <v>4.5235291559310618</v>
      </c>
      <c r="U1435" s="16">
        <f>IF(AC1435=100,Braking!$AG$2354,IF(AC1435=50,Braking!$AG$1179,IF(AC1435=75,Braking!$AG$1767,0)))</f>
        <v>0</v>
      </c>
      <c r="V1435" s="16">
        <f>0.5*'Gearing Calculator'!$C$15*'Gearing Calculator'!$C$20*'Gearing Calculator'!$W$20*('Track Data'!Q1435^2)</f>
        <v>85.195546848271832</v>
      </c>
      <c r="W1435" s="16">
        <f>('Gearing Calculator'!$U$9*'Track Data'!T1435)+'Track Data'!V1435</f>
        <v>1289.3590081571203</v>
      </c>
      <c r="X1435" s="16">
        <f>('Gearing Calculator'!$U$9*9.81)*('Gearing Calculator'!$U$16/'Gearing Calculator'!$C$7)-(('Track Data'!W1435)*('Gearing Calculator'!$U$17/'Gearing Calculator'!$C$7))</f>
        <v>698.37358541434548</v>
      </c>
      <c r="Y1435" s="16">
        <f>('Gearing Calculator'!$U$9*9.81)*(('Gearing Calculator'!$C$7-'Gearing Calculator'!$U$16)/'Gearing Calculator'!$C$7)+(('Track Data'!W1435)*('Gearing Calculator'!$U$17/'Gearing Calculator'!$C$7))</f>
        <v>1913.0484145856544</v>
      </c>
      <c r="Z1435" s="16">
        <f>((X1435*COS('Gearing Calculator'!$C$21))/'Gearing Calculator'!$C$22)/2</f>
        <v>21.591502493544937</v>
      </c>
      <c r="AA1435" s="16">
        <f>Y1435/'Gearing Calculator'!$C$24</f>
        <v>26.712572320359616</v>
      </c>
      <c r="AB1435" s="16">
        <f t="shared" si="156"/>
        <v>98.76613431606502</v>
      </c>
      <c r="AC1435" s="16">
        <v>0</v>
      </c>
      <c r="AD1435" s="16">
        <v>-46.712096975939801</v>
      </c>
      <c r="AE1435" s="16">
        <v>1432</v>
      </c>
      <c r="AF1435" s="16">
        <f>IF(AC1435=0,IF(O1435=6,INDEX(Acceleration!$V$4:$V$110,MATCH('Track Data'!S1435,Acceleration!$K$4:$K$110,0)),IF('Track Data'!O1435=5,INDEX(Acceleration!$U$4:$U$110,MATCH('Track Data'!S1435,Acceleration!$K$4:$K$110,0)),1)),U1435)</f>
        <v>1</v>
      </c>
      <c r="AG1435" s="16">
        <f>IF(AC1435=0,IF(O1435=4,INDEX(Acceleration!$T$4:$T$110,MATCH('Track Data'!S1435,Acceleration!$K$4:$K$110,0)),IF('Track Data'!O1435=3,INDEX(Acceleration!$S$4:$S$110,MATCH('Track Data'!S1435,Acceleration!$K$4:$K$110,0)),'Track Data'!AF1435)),'Track Data'!U1435)</f>
        <v>4.5235291559310618</v>
      </c>
      <c r="AH1435" s="16">
        <f>IF(AC1435=0,IF(O1435=2,INDEX(Acceleration!$R$4:$R$110,MATCH('Track Data'!S1435,Acceleration!$K$4:$K$110,0)),IF('Track Data'!O1435=1,INDEX(Acceleration!$Q$4:$Q$110,MATCH('Track Data'!S1435,Acceleration!$K$4:$K$110,0)),'Track Data'!AG1435)),'Track Data'!U1435)</f>
        <v>4.5235291559310618</v>
      </c>
    </row>
    <row r="1436" spans="2:34" x14ac:dyDescent="0.25">
      <c r="B1436" s="16">
        <v>236.49700000000001</v>
      </c>
      <c r="C1436" s="16">
        <v>8706</v>
      </c>
      <c r="D1436" s="16">
        <v>1433</v>
      </c>
      <c r="E1436" s="113">
        <v>96</v>
      </c>
      <c r="F1436" s="113">
        <v>90</v>
      </c>
      <c r="G1436" s="113">
        <v>81.2</v>
      </c>
      <c r="H1436" s="113">
        <f t="shared" si="159"/>
        <v>22.555555555555557</v>
      </c>
      <c r="I1436" s="113">
        <v>9.6999999999999993</v>
      </c>
      <c r="J1436" s="113">
        <v>33.46</v>
      </c>
      <c r="K1436" s="113">
        <v>-45.1</v>
      </c>
      <c r="L1436" s="183"/>
      <c r="M1436" s="16">
        <v>1433</v>
      </c>
      <c r="N1436" s="16">
        <f t="shared" si="161"/>
        <v>3.5246538176591118E-2</v>
      </c>
      <c r="O1436" s="16">
        <v>3</v>
      </c>
      <c r="P1436" s="16">
        <f t="shared" si="157"/>
        <v>10.596205962059623</v>
      </c>
      <c r="Q1436" s="16">
        <f t="shared" si="162"/>
        <v>28.371580635517478</v>
      </c>
      <c r="R1436" s="113">
        <f t="shared" si="158"/>
        <v>345.36</v>
      </c>
      <c r="S1436" s="16">
        <f>IF(S1435=15800,15800,ROUND((((Q1436*60)/'Gearing Calculator'!$C$14)*'Track Data'!P1436),-2))</f>
        <v>9100</v>
      </c>
      <c r="T1436" s="16">
        <f t="shared" si="160"/>
        <v>4.5235291559310618</v>
      </c>
      <c r="U1436" s="16">
        <f>IF(AC1436=100,Braking!$AG$2354,IF(AC1436=50,Braking!$AG$1179,IF(AC1436=75,Braking!$AG$1767,0)))</f>
        <v>0</v>
      </c>
      <c r="V1436" s="16">
        <f>0.5*'Gearing Calculator'!$C$15*'Gearing Calculator'!$C$20*'Gearing Calculator'!$W$20*('Track Data'!Q1436^2)</f>
        <v>85.195546848271832</v>
      </c>
      <c r="W1436" s="16">
        <f>('Gearing Calculator'!$U$9*'Track Data'!T1436)+'Track Data'!V1436</f>
        <v>1289.3590081571203</v>
      </c>
      <c r="X1436" s="16">
        <f>('Gearing Calculator'!$U$9*9.81)*('Gearing Calculator'!$U$16/'Gearing Calculator'!$C$7)-(('Track Data'!W1436)*('Gearing Calculator'!$U$17/'Gearing Calculator'!$C$7))</f>
        <v>698.37358541434548</v>
      </c>
      <c r="Y1436" s="16">
        <f>('Gearing Calculator'!$U$9*9.81)*(('Gearing Calculator'!$C$7-'Gearing Calculator'!$U$16)/'Gearing Calculator'!$C$7)+(('Track Data'!W1436)*('Gearing Calculator'!$U$17/'Gearing Calculator'!$C$7))</f>
        <v>1913.0484145856544</v>
      </c>
      <c r="Z1436" s="16">
        <f>((X1436*COS('Gearing Calculator'!$C$21))/'Gearing Calculator'!$C$22)/2</f>
        <v>21.591502493544937</v>
      </c>
      <c r="AA1436" s="16">
        <f>Y1436/'Gearing Calculator'!$C$24</f>
        <v>26.712572320359616</v>
      </c>
      <c r="AB1436" s="16">
        <f t="shared" si="156"/>
        <v>98.76613431606502</v>
      </c>
      <c r="AC1436" s="16">
        <v>0</v>
      </c>
      <c r="AD1436" s="16">
        <v>-46.712096975939801</v>
      </c>
      <c r="AE1436" s="16">
        <v>1433</v>
      </c>
      <c r="AF1436" s="16">
        <f>IF(AC1436=0,IF(O1436=6,INDEX(Acceleration!$V$4:$V$110,MATCH('Track Data'!S1436,Acceleration!$K$4:$K$110,0)),IF('Track Data'!O1436=5,INDEX(Acceleration!$U$4:$U$110,MATCH('Track Data'!S1436,Acceleration!$K$4:$K$110,0)),1)),U1436)</f>
        <v>1</v>
      </c>
      <c r="AG1436" s="16">
        <f>IF(AC1436=0,IF(O1436=4,INDEX(Acceleration!$T$4:$T$110,MATCH('Track Data'!S1436,Acceleration!$K$4:$K$110,0)),IF('Track Data'!O1436=3,INDEX(Acceleration!$S$4:$S$110,MATCH('Track Data'!S1436,Acceleration!$K$4:$K$110,0)),'Track Data'!AF1436)),'Track Data'!U1436)</f>
        <v>4.5235291559310618</v>
      </c>
      <c r="AH1436" s="16">
        <f>IF(AC1436=0,IF(O1436=2,INDEX(Acceleration!$R$4:$R$110,MATCH('Track Data'!S1436,Acceleration!$K$4:$K$110,0)),IF('Track Data'!O1436=1,INDEX(Acceleration!$Q$4:$Q$110,MATCH('Track Data'!S1436,Acceleration!$K$4:$K$110,0)),'Track Data'!AG1436)),'Track Data'!U1436)</f>
        <v>4.5235291559310618</v>
      </c>
    </row>
    <row r="1437" spans="2:34" x14ac:dyDescent="0.25">
      <c r="B1437" s="16">
        <v>236.536</v>
      </c>
      <c r="C1437" s="16">
        <v>8707</v>
      </c>
      <c r="D1437" s="16">
        <v>1434</v>
      </c>
      <c r="E1437" s="113">
        <v>96</v>
      </c>
      <c r="F1437" s="113">
        <v>90.4</v>
      </c>
      <c r="G1437" s="113">
        <v>81.8</v>
      </c>
      <c r="H1437" s="113">
        <f t="shared" si="159"/>
        <v>22.722222222222221</v>
      </c>
      <c r="I1437" s="113">
        <v>10.199999999999999</v>
      </c>
      <c r="J1437" s="113">
        <v>29.77</v>
      </c>
      <c r="K1437" s="113">
        <v>-45.1</v>
      </c>
      <c r="L1437" s="183"/>
      <c r="M1437" s="16">
        <v>1434</v>
      </c>
      <c r="N1437" s="16">
        <f t="shared" si="161"/>
        <v>3.5246538176591118E-2</v>
      </c>
      <c r="O1437" s="16">
        <v>3</v>
      </c>
      <c r="P1437" s="16">
        <f t="shared" si="157"/>
        <v>10.596205962059623</v>
      </c>
      <c r="Q1437" s="16">
        <f t="shared" si="162"/>
        <v>28.371580635517478</v>
      </c>
      <c r="R1437" s="113">
        <f t="shared" si="158"/>
        <v>345.36</v>
      </c>
      <c r="S1437" s="16">
        <f>IF(S1436=15800,15800,ROUND((((Q1437*60)/'Gearing Calculator'!$C$14)*'Track Data'!P1437),-2))</f>
        <v>9100</v>
      </c>
      <c r="T1437" s="16">
        <f t="shared" si="160"/>
        <v>4.5235291559310618</v>
      </c>
      <c r="U1437" s="16">
        <f>IF(AC1437=100,Braking!$AG$2354,IF(AC1437=50,Braking!$AG$1179,IF(AC1437=75,Braking!$AG$1767,0)))</f>
        <v>0</v>
      </c>
      <c r="V1437" s="16">
        <f>0.5*'Gearing Calculator'!$C$15*'Gearing Calculator'!$C$20*'Gearing Calculator'!$W$20*('Track Data'!Q1437^2)</f>
        <v>85.195546848271832</v>
      </c>
      <c r="W1437" s="16">
        <f>('Gearing Calculator'!$U$9*'Track Data'!T1437)+'Track Data'!V1437</f>
        <v>1289.3590081571203</v>
      </c>
      <c r="X1437" s="16">
        <f>('Gearing Calculator'!$U$9*9.81)*('Gearing Calculator'!$U$16/'Gearing Calculator'!$C$7)-(('Track Data'!W1437)*('Gearing Calculator'!$U$17/'Gearing Calculator'!$C$7))</f>
        <v>698.37358541434548</v>
      </c>
      <c r="Y1437" s="16">
        <f>('Gearing Calculator'!$U$9*9.81)*(('Gearing Calculator'!$C$7-'Gearing Calculator'!$U$16)/'Gearing Calculator'!$C$7)+(('Track Data'!W1437)*('Gearing Calculator'!$U$17/'Gearing Calculator'!$C$7))</f>
        <v>1913.0484145856544</v>
      </c>
      <c r="Z1437" s="16">
        <f>((X1437*COS('Gearing Calculator'!$C$21))/'Gearing Calculator'!$C$22)/2</f>
        <v>21.591502493544937</v>
      </c>
      <c r="AA1437" s="16">
        <f>Y1437/'Gearing Calculator'!$C$24</f>
        <v>26.712572320359616</v>
      </c>
      <c r="AB1437" s="16">
        <f t="shared" si="156"/>
        <v>98.76613431606502</v>
      </c>
      <c r="AC1437" s="16">
        <v>0</v>
      </c>
      <c r="AD1437" s="16">
        <v>-46.712096975939801</v>
      </c>
      <c r="AE1437" s="16">
        <v>1434</v>
      </c>
      <c r="AF1437" s="16">
        <f>IF(AC1437=0,IF(O1437=6,INDEX(Acceleration!$V$4:$V$110,MATCH('Track Data'!S1437,Acceleration!$K$4:$K$110,0)),IF('Track Data'!O1437=5,INDEX(Acceleration!$U$4:$U$110,MATCH('Track Data'!S1437,Acceleration!$K$4:$K$110,0)),1)),U1437)</f>
        <v>1</v>
      </c>
      <c r="AG1437" s="16">
        <f>IF(AC1437=0,IF(O1437=4,INDEX(Acceleration!$T$4:$T$110,MATCH('Track Data'!S1437,Acceleration!$K$4:$K$110,0)),IF('Track Data'!O1437=3,INDEX(Acceleration!$S$4:$S$110,MATCH('Track Data'!S1437,Acceleration!$K$4:$K$110,0)),'Track Data'!AF1437)),'Track Data'!U1437)</f>
        <v>4.5235291559310618</v>
      </c>
      <c r="AH1437" s="16">
        <f>IF(AC1437=0,IF(O1437=2,INDEX(Acceleration!$R$4:$R$110,MATCH('Track Data'!S1437,Acceleration!$K$4:$K$110,0)),IF('Track Data'!O1437=1,INDEX(Acceleration!$Q$4:$Q$110,MATCH('Track Data'!S1437,Acceleration!$K$4:$K$110,0)),'Track Data'!AG1437)),'Track Data'!U1437)</f>
        <v>4.5235291559310618</v>
      </c>
    </row>
    <row r="1438" spans="2:34" x14ac:dyDescent="0.25">
      <c r="B1438" s="16">
        <v>236.57599999999999</v>
      </c>
      <c r="C1438" s="16">
        <v>8708</v>
      </c>
      <c r="D1438" s="16">
        <v>1435</v>
      </c>
      <c r="E1438" s="113">
        <v>96</v>
      </c>
      <c r="F1438" s="113">
        <v>91.2</v>
      </c>
      <c r="G1438" s="113">
        <v>82.5</v>
      </c>
      <c r="H1438" s="113">
        <f t="shared" si="159"/>
        <v>22.916666666666668</v>
      </c>
      <c r="I1438" s="113">
        <v>10.6</v>
      </c>
      <c r="J1438" s="113">
        <v>27.99</v>
      </c>
      <c r="K1438" s="113">
        <v>-45.4</v>
      </c>
      <c r="L1438" s="183"/>
      <c r="M1438" s="16">
        <v>1435</v>
      </c>
      <c r="N1438" s="16">
        <f t="shared" si="161"/>
        <v>3.5246538176591118E-2</v>
      </c>
      <c r="O1438" s="16">
        <v>3</v>
      </c>
      <c r="P1438" s="16">
        <f t="shared" si="157"/>
        <v>10.596205962059623</v>
      </c>
      <c r="Q1438" s="16">
        <f t="shared" si="162"/>
        <v>28.371580635517478</v>
      </c>
      <c r="R1438" s="113">
        <f t="shared" si="158"/>
        <v>345.36</v>
      </c>
      <c r="S1438" s="16">
        <f>IF(S1437=15800,15800,ROUND((((Q1438*60)/'Gearing Calculator'!$C$14)*'Track Data'!P1438),-2))</f>
        <v>9100</v>
      </c>
      <c r="T1438" s="16">
        <f t="shared" si="160"/>
        <v>4.5235291559310618</v>
      </c>
      <c r="U1438" s="16">
        <f>IF(AC1438=100,Braking!$AG$2354,IF(AC1438=50,Braking!$AG$1179,IF(AC1438=75,Braking!$AG$1767,0)))</f>
        <v>0</v>
      </c>
      <c r="V1438" s="16">
        <f>0.5*'Gearing Calculator'!$C$15*'Gearing Calculator'!$C$20*'Gearing Calculator'!$W$20*('Track Data'!Q1438^2)</f>
        <v>85.195546848271832</v>
      </c>
      <c r="W1438" s="16">
        <f>('Gearing Calculator'!$U$9*'Track Data'!T1438)+'Track Data'!V1438</f>
        <v>1289.3590081571203</v>
      </c>
      <c r="X1438" s="16">
        <f>('Gearing Calculator'!$U$9*9.81)*('Gearing Calculator'!$U$16/'Gearing Calculator'!$C$7)-(('Track Data'!W1438)*('Gearing Calculator'!$U$17/'Gearing Calculator'!$C$7))</f>
        <v>698.37358541434548</v>
      </c>
      <c r="Y1438" s="16">
        <f>('Gearing Calculator'!$U$9*9.81)*(('Gearing Calculator'!$C$7-'Gearing Calculator'!$U$16)/'Gearing Calculator'!$C$7)+(('Track Data'!W1438)*('Gearing Calculator'!$U$17/'Gearing Calculator'!$C$7))</f>
        <v>1913.0484145856544</v>
      </c>
      <c r="Z1438" s="16">
        <f>((X1438*COS('Gearing Calculator'!$C$21))/'Gearing Calculator'!$C$22)/2</f>
        <v>21.591502493544937</v>
      </c>
      <c r="AA1438" s="16">
        <f>Y1438/'Gearing Calculator'!$C$24</f>
        <v>26.712572320359616</v>
      </c>
      <c r="AB1438" s="16">
        <f t="shared" si="156"/>
        <v>98.76613431606502</v>
      </c>
      <c r="AC1438" s="16">
        <v>0</v>
      </c>
      <c r="AD1438" s="16">
        <v>-46.712096975939801</v>
      </c>
      <c r="AE1438" s="16">
        <v>1435</v>
      </c>
      <c r="AF1438" s="16">
        <f>IF(AC1438=0,IF(O1438=6,INDEX(Acceleration!$V$4:$V$110,MATCH('Track Data'!S1438,Acceleration!$K$4:$K$110,0)),IF('Track Data'!O1438=5,INDEX(Acceleration!$U$4:$U$110,MATCH('Track Data'!S1438,Acceleration!$K$4:$K$110,0)),1)),U1438)</f>
        <v>1</v>
      </c>
      <c r="AG1438" s="16">
        <f>IF(AC1438=0,IF(O1438=4,INDEX(Acceleration!$T$4:$T$110,MATCH('Track Data'!S1438,Acceleration!$K$4:$K$110,0)),IF('Track Data'!O1438=3,INDEX(Acceleration!$S$4:$S$110,MATCH('Track Data'!S1438,Acceleration!$K$4:$K$110,0)),'Track Data'!AF1438)),'Track Data'!U1438)</f>
        <v>4.5235291559310618</v>
      </c>
      <c r="AH1438" s="16">
        <f>IF(AC1438=0,IF(O1438=2,INDEX(Acceleration!$R$4:$R$110,MATCH('Track Data'!S1438,Acceleration!$K$4:$K$110,0)),IF('Track Data'!O1438=1,INDEX(Acceleration!$Q$4:$Q$110,MATCH('Track Data'!S1438,Acceleration!$K$4:$K$110,0)),'Track Data'!AG1438)),'Track Data'!U1438)</f>
        <v>4.5235291559310618</v>
      </c>
    </row>
    <row r="1439" spans="2:34" x14ac:dyDescent="0.25">
      <c r="B1439" s="16">
        <v>236.61600000000001</v>
      </c>
      <c r="C1439" s="16">
        <v>8709</v>
      </c>
      <c r="D1439" s="16">
        <v>1436</v>
      </c>
      <c r="E1439" s="113">
        <v>98</v>
      </c>
      <c r="F1439" s="113">
        <v>91.8</v>
      </c>
      <c r="G1439" s="113">
        <v>83.3</v>
      </c>
      <c r="H1439" s="113">
        <f t="shared" si="159"/>
        <v>23.138888888888889</v>
      </c>
      <c r="I1439" s="113">
        <v>10.5</v>
      </c>
      <c r="J1439" s="113">
        <v>32.64</v>
      </c>
      <c r="K1439" s="113">
        <v>-46.3</v>
      </c>
      <c r="L1439" s="183"/>
      <c r="M1439" s="16">
        <v>1436</v>
      </c>
      <c r="N1439" s="16">
        <f t="shared" si="161"/>
        <v>3.5246538176591118E-2</v>
      </c>
      <c r="O1439" s="16">
        <v>3</v>
      </c>
      <c r="P1439" s="16">
        <f t="shared" si="157"/>
        <v>10.596205962059623</v>
      </c>
      <c r="Q1439" s="16">
        <f t="shared" si="162"/>
        <v>28.371580635517478</v>
      </c>
      <c r="R1439" s="113">
        <f t="shared" si="158"/>
        <v>345.36</v>
      </c>
      <c r="S1439" s="16">
        <f>IF(S1438=15800,15800,ROUND((((Q1439*60)/'Gearing Calculator'!$C$14)*'Track Data'!P1439),-2))</f>
        <v>9100</v>
      </c>
      <c r="T1439" s="16">
        <f t="shared" si="160"/>
        <v>4.5235291559310618</v>
      </c>
      <c r="U1439" s="16">
        <f>IF(AC1439=100,Braking!$AG$2354,IF(AC1439=50,Braking!$AG$1179,IF(AC1439=75,Braking!$AG$1767,0)))</f>
        <v>0</v>
      </c>
      <c r="V1439" s="16">
        <f>0.5*'Gearing Calculator'!$C$15*'Gearing Calculator'!$C$20*'Gearing Calculator'!$W$20*('Track Data'!Q1439^2)</f>
        <v>85.195546848271832</v>
      </c>
      <c r="W1439" s="16">
        <f>('Gearing Calculator'!$U$9*'Track Data'!T1439)+'Track Data'!V1439</f>
        <v>1289.3590081571203</v>
      </c>
      <c r="X1439" s="16">
        <f>('Gearing Calculator'!$U$9*9.81)*('Gearing Calculator'!$U$16/'Gearing Calculator'!$C$7)-(('Track Data'!W1439)*('Gearing Calculator'!$U$17/'Gearing Calculator'!$C$7))</f>
        <v>698.37358541434548</v>
      </c>
      <c r="Y1439" s="16">
        <f>('Gearing Calculator'!$U$9*9.81)*(('Gearing Calculator'!$C$7-'Gearing Calculator'!$U$16)/'Gearing Calculator'!$C$7)+(('Track Data'!W1439)*('Gearing Calculator'!$U$17/'Gearing Calculator'!$C$7))</f>
        <v>1913.0484145856544</v>
      </c>
      <c r="Z1439" s="16">
        <f>((X1439*COS('Gearing Calculator'!$C$21))/'Gearing Calculator'!$C$22)/2</f>
        <v>21.591502493544937</v>
      </c>
      <c r="AA1439" s="16">
        <f>Y1439/'Gearing Calculator'!$C$24</f>
        <v>26.712572320359616</v>
      </c>
      <c r="AB1439" s="16">
        <f t="shared" si="156"/>
        <v>98.76613431606502</v>
      </c>
      <c r="AC1439" s="16">
        <v>0</v>
      </c>
      <c r="AD1439" s="16">
        <v>-46.712096975939801</v>
      </c>
      <c r="AE1439" s="16">
        <v>1436</v>
      </c>
      <c r="AF1439" s="16">
        <f>IF(AC1439=0,IF(O1439=6,INDEX(Acceleration!$V$4:$V$110,MATCH('Track Data'!S1439,Acceleration!$K$4:$K$110,0)),IF('Track Data'!O1439=5,INDEX(Acceleration!$U$4:$U$110,MATCH('Track Data'!S1439,Acceleration!$K$4:$K$110,0)),1)),U1439)</f>
        <v>1</v>
      </c>
      <c r="AG1439" s="16">
        <f>IF(AC1439=0,IF(O1439=4,INDEX(Acceleration!$T$4:$T$110,MATCH('Track Data'!S1439,Acceleration!$K$4:$K$110,0)),IF('Track Data'!O1439=3,INDEX(Acceleration!$S$4:$S$110,MATCH('Track Data'!S1439,Acceleration!$K$4:$K$110,0)),'Track Data'!AF1439)),'Track Data'!U1439)</f>
        <v>4.5235291559310618</v>
      </c>
      <c r="AH1439" s="16">
        <f>IF(AC1439=0,IF(O1439=2,INDEX(Acceleration!$R$4:$R$110,MATCH('Track Data'!S1439,Acceleration!$K$4:$K$110,0)),IF('Track Data'!O1439=1,INDEX(Acceleration!$Q$4:$Q$110,MATCH('Track Data'!S1439,Acceleration!$K$4:$K$110,0)),'Track Data'!AG1439)),'Track Data'!U1439)</f>
        <v>4.5235291559310618</v>
      </c>
    </row>
    <row r="1440" spans="2:34" x14ac:dyDescent="0.25">
      <c r="B1440" s="16">
        <v>236.654</v>
      </c>
      <c r="C1440" s="16">
        <v>8710</v>
      </c>
      <c r="D1440" s="16">
        <v>1437</v>
      </c>
      <c r="E1440" s="113">
        <v>99</v>
      </c>
      <c r="F1440" s="113">
        <v>92.8</v>
      </c>
      <c r="G1440" s="113">
        <v>84.1</v>
      </c>
      <c r="H1440" s="113">
        <f t="shared" si="159"/>
        <v>23.361111111111111</v>
      </c>
      <c r="I1440" s="113">
        <v>11.1</v>
      </c>
      <c r="J1440" s="113">
        <v>36.32</v>
      </c>
      <c r="K1440" s="113">
        <v>-52.2</v>
      </c>
      <c r="L1440" s="183"/>
      <c r="M1440" s="16">
        <v>1437</v>
      </c>
      <c r="N1440" s="16">
        <f t="shared" si="161"/>
        <v>3.5246538176591118E-2</v>
      </c>
      <c r="O1440" s="16">
        <v>3</v>
      </c>
      <c r="P1440" s="16">
        <f t="shared" si="157"/>
        <v>10.596205962059623</v>
      </c>
      <c r="Q1440" s="16">
        <f t="shared" si="162"/>
        <v>28.371580635517478</v>
      </c>
      <c r="R1440" s="113">
        <f t="shared" si="158"/>
        <v>345.36</v>
      </c>
      <c r="S1440" s="16">
        <f>IF(S1439=15800,15800,ROUND((((Q1440*60)/'Gearing Calculator'!$C$14)*'Track Data'!P1440),-2))</f>
        <v>9100</v>
      </c>
      <c r="T1440" s="16">
        <f t="shared" si="160"/>
        <v>4.5235291559310618</v>
      </c>
      <c r="U1440" s="16">
        <f>IF(AC1440=100,Braking!$AG$2354,IF(AC1440=50,Braking!$AG$1179,IF(AC1440=75,Braking!$AG$1767,0)))</f>
        <v>0</v>
      </c>
      <c r="V1440" s="16">
        <f>0.5*'Gearing Calculator'!$C$15*'Gearing Calculator'!$C$20*'Gearing Calculator'!$W$20*('Track Data'!Q1440^2)</f>
        <v>85.195546848271832</v>
      </c>
      <c r="W1440" s="16">
        <f>('Gearing Calculator'!$U$9*'Track Data'!T1440)+'Track Data'!V1440</f>
        <v>1289.3590081571203</v>
      </c>
      <c r="X1440" s="16">
        <f>('Gearing Calculator'!$U$9*9.81)*('Gearing Calculator'!$U$16/'Gearing Calculator'!$C$7)-(('Track Data'!W1440)*('Gearing Calculator'!$U$17/'Gearing Calculator'!$C$7))</f>
        <v>698.37358541434548</v>
      </c>
      <c r="Y1440" s="16">
        <f>('Gearing Calculator'!$U$9*9.81)*(('Gearing Calculator'!$C$7-'Gearing Calculator'!$U$16)/'Gearing Calculator'!$C$7)+(('Track Data'!W1440)*('Gearing Calculator'!$U$17/'Gearing Calculator'!$C$7))</f>
        <v>1913.0484145856544</v>
      </c>
      <c r="Z1440" s="16">
        <f>((X1440*COS('Gearing Calculator'!$C$21))/'Gearing Calculator'!$C$22)/2</f>
        <v>21.591502493544937</v>
      </c>
      <c r="AA1440" s="16">
        <f>Y1440/'Gearing Calculator'!$C$24</f>
        <v>26.712572320359616</v>
      </c>
      <c r="AB1440" s="16">
        <f t="shared" si="156"/>
        <v>98.76613431606502</v>
      </c>
      <c r="AC1440" s="16">
        <v>0</v>
      </c>
      <c r="AD1440" s="16">
        <v>-46.712096975939801</v>
      </c>
      <c r="AE1440" s="16">
        <v>1437</v>
      </c>
      <c r="AF1440" s="16">
        <f>IF(AC1440=0,IF(O1440=6,INDEX(Acceleration!$V$4:$V$110,MATCH('Track Data'!S1440,Acceleration!$K$4:$K$110,0)),IF('Track Data'!O1440=5,INDEX(Acceleration!$U$4:$U$110,MATCH('Track Data'!S1440,Acceleration!$K$4:$K$110,0)),1)),U1440)</f>
        <v>1</v>
      </c>
      <c r="AG1440" s="16">
        <f>IF(AC1440=0,IF(O1440=4,INDEX(Acceleration!$T$4:$T$110,MATCH('Track Data'!S1440,Acceleration!$K$4:$K$110,0)),IF('Track Data'!O1440=3,INDEX(Acceleration!$S$4:$S$110,MATCH('Track Data'!S1440,Acceleration!$K$4:$K$110,0)),'Track Data'!AF1440)),'Track Data'!U1440)</f>
        <v>4.5235291559310618</v>
      </c>
      <c r="AH1440" s="16">
        <f>IF(AC1440=0,IF(O1440=2,INDEX(Acceleration!$R$4:$R$110,MATCH('Track Data'!S1440,Acceleration!$K$4:$K$110,0)),IF('Track Data'!O1440=1,INDEX(Acceleration!$Q$4:$Q$110,MATCH('Track Data'!S1440,Acceleration!$K$4:$K$110,0)),'Track Data'!AG1440)),'Track Data'!U1440)</f>
        <v>4.5235291559310618</v>
      </c>
    </row>
    <row r="1441" spans="2:34" x14ac:dyDescent="0.25">
      <c r="B1441" s="16">
        <v>236.69300000000001</v>
      </c>
      <c r="C1441" s="16">
        <v>8711</v>
      </c>
      <c r="D1441" s="16">
        <v>1438</v>
      </c>
      <c r="E1441" s="113">
        <v>99</v>
      </c>
      <c r="F1441" s="113">
        <v>93.5</v>
      </c>
      <c r="G1441" s="113">
        <v>85</v>
      </c>
      <c r="H1441" s="113">
        <f t="shared" si="159"/>
        <v>23.611111111111111</v>
      </c>
      <c r="I1441" s="113">
        <v>13.9</v>
      </c>
      <c r="J1441" s="113">
        <v>36.85</v>
      </c>
      <c r="K1441" s="113">
        <v>-67.900000000000006</v>
      </c>
      <c r="L1441" s="183"/>
      <c r="M1441" s="16">
        <v>1438</v>
      </c>
      <c r="N1441" s="16">
        <f t="shared" si="161"/>
        <v>3.5246538176591118E-2</v>
      </c>
      <c r="O1441" s="16">
        <v>3</v>
      </c>
      <c r="P1441" s="16">
        <f t="shared" si="157"/>
        <v>10.596205962059623</v>
      </c>
      <c r="Q1441" s="16">
        <f t="shared" si="162"/>
        <v>28.371580635517478</v>
      </c>
      <c r="R1441" s="113">
        <f t="shared" si="158"/>
        <v>345.36</v>
      </c>
      <c r="S1441" s="16">
        <f>IF(S1440=15800,15800,ROUND((((Q1441*60)/'Gearing Calculator'!$C$14)*'Track Data'!P1441),-2))</f>
        <v>9100</v>
      </c>
      <c r="T1441" s="16">
        <f t="shared" si="160"/>
        <v>4.5235291559310618</v>
      </c>
      <c r="U1441" s="16">
        <f>IF(AC1441=100,Braking!$AG$2354,IF(AC1441=50,Braking!$AG$1179,IF(AC1441=75,Braking!$AG$1767,0)))</f>
        <v>0</v>
      </c>
      <c r="V1441" s="16">
        <f>0.5*'Gearing Calculator'!$C$15*'Gearing Calculator'!$C$20*'Gearing Calculator'!$W$20*('Track Data'!Q1441^2)</f>
        <v>85.195546848271832</v>
      </c>
      <c r="W1441" s="16">
        <f>('Gearing Calculator'!$U$9*'Track Data'!T1441)+'Track Data'!V1441</f>
        <v>1289.3590081571203</v>
      </c>
      <c r="X1441" s="16">
        <f>('Gearing Calculator'!$U$9*9.81)*('Gearing Calculator'!$U$16/'Gearing Calculator'!$C$7)-(('Track Data'!W1441)*('Gearing Calculator'!$U$17/'Gearing Calculator'!$C$7))</f>
        <v>698.37358541434548</v>
      </c>
      <c r="Y1441" s="16">
        <f>('Gearing Calculator'!$U$9*9.81)*(('Gearing Calculator'!$C$7-'Gearing Calculator'!$U$16)/'Gearing Calculator'!$C$7)+(('Track Data'!W1441)*('Gearing Calculator'!$U$17/'Gearing Calculator'!$C$7))</f>
        <v>1913.0484145856544</v>
      </c>
      <c r="Z1441" s="16">
        <f>((X1441*COS('Gearing Calculator'!$C$21))/'Gearing Calculator'!$C$22)/2</f>
        <v>21.591502493544937</v>
      </c>
      <c r="AA1441" s="16">
        <f>Y1441/'Gearing Calculator'!$C$24</f>
        <v>26.712572320359616</v>
      </c>
      <c r="AB1441" s="16">
        <f t="shared" si="156"/>
        <v>98.76613431606502</v>
      </c>
      <c r="AC1441" s="16">
        <v>0</v>
      </c>
      <c r="AD1441" s="16">
        <v>-46.712096975939801</v>
      </c>
      <c r="AE1441" s="16">
        <v>1438</v>
      </c>
      <c r="AF1441" s="16">
        <f>IF(AC1441=0,IF(O1441=6,INDEX(Acceleration!$V$4:$V$110,MATCH('Track Data'!S1441,Acceleration!$K$4:$K$110,0)),IF('Track Data'!O1441=5,INDEX(Acceleration!$U$4:$U$110,MATCH('Track Data'!S1441,Acceleration!$K$4:$K$110,0)),1)),U1441)</f>
        <v>1</v>
      </c>
      <c r="AG1441" s="16">
        <f>IF(AC1441=0,IF(O1441=4,INDEX(Acceleration!$T$4:$T$110,MATCH('Track Data'!S1441,Acceleration!$K$4:$K$110,0)),IF('Track Data'!O1441=3,INDEX(Acceleration!$S$4:$S$110,MATCH('Track Data'!S1441,Acceleration!$K$4:$K$110,0)),'Track Data'!AF1441)),'Track Data'!U1441)</f>
        <v>4.5235291559310618</v>
      </c>
      <c r="AH1441" s="16">
        <f>IF(AC1441=0,IF(O1441=2,INDEX(Acceleration!$R$4:$R$110,MATCH('Track Data'!S1441,Acceleration!$K$4:$K$110,0)),IF('Track Data'!O1441=1,INDEX(Acceleration!$Q$4:$Q$110,MATCH('Track Data'!S1441,Acceleration!$K$4:$K$110,0)),'Track Data'!AG1441)),'Track Data'!U1441)</f>
        <v>4.5235291559310618</v>
      </c>
    </row>
    <row r="1442" spans="2:34" x14ac:dyDescent="0.25">
      <c r="B1442" s="16">
        <v>236.732</v>
      </c>
      <c r="C1442" s="16">
        <v>8712</v>
      </c>
      <c r="D1442" s="16">
        <v>1439</v>
      </c>
      <c r="E1442" s="113">
        <v>99</v>
      </c>
      <c r="F1442" s="113">
        <v>93.6</v>
      </c>
      <c r="G1442" s="113">
        <v>85.9</v>
      </c>
      <c r="H1442" s="113">
        <f t="shared" si="159"/>
        <v>23.861111111111111</v>
      </c>
      <c r="I1442" s="113">
        <v>17.899999999999999</v>
      </c>
      <c r="J1442" s="113">
        <v>35.69</v>
      </c>
      <c r="K1442" s="114">
        <v>-73.7</v>
      </c>
      <c r="L1442" s="183"/>
      <c r="M1442" s="16">
        <v>1439</v>
      </c>
      <c r="N1442" s="16">
        <f t="shared" si="161"/>
        <v>3.5246538176591118E-2</v>
      </c>
      <c r="O1442" s="16">
        <v>3</v>
      </c>
      <c r="P1442" s="16">
        <f t="shared" si="157"/>
        <v>10.596205962059623</v>
      </c>
      <c r="Q1442" s="16">
        <f t="shared" si="162"/>
        <v>28.371580635517478</v>
      </c>
      <c r="R1442" s="113">
        <f t="shared" si="158"/>
        <v>345.36</v>
      </c>
      <c r="S1442" s="16">
        <f>IF(S1441=15800,15800,ROUND((((Q1442*60)/'Gearing Calculator'!$C$14)*'Track Data'!P1442),-2))</f>
        <v>9100</v>
      </c>
      <c r="T1442" s="16">
        <f t="shared" si="160"/>
        <v>4.5235291559310618</v>
      </c>
      <c r="U1442" s="16">
        <f>IF(AC1442=100,Braking!$AG$2354,IF(AC1442=50,Braking!$AG$1179,IF(AC1442=75,Braking!$AG$1767,0)))</f>
        <v>0</v>
      </c>
      <c r="V1442" s="16">
        <f>0.5*'Gearing Calculator'!$C$15*'Gearing Calculator'!$C$20*'Gearing Calculator'!$W$20*('Track Data'!Q1442^2)</f>
        <v>85.195546848271832</v>
      </c>
      <c r="W1442" s="16">
        <f>('Gearing Calculator'!$U$9*'Track Data'!T1442)+'Track Data'!V1442</f>
        <v>1289.3590081571203</v>
      </c>
      <c r="X1442" s="16">
        <f>('Gearing Calculator'!$U$9*9.81)*('Gearing Calculator'!$U$16/'Gearing Calculator'!$C$7)-(('Track Data'!W1442)*('Gearing Calculator'!$U$17/'Gearing Calculator'!$C$7))</f>
        <v>698.37358541434548</v>
      </c>
      <c r="Y1442" s="16">
        <f>('Gearing Calculator'!$U$9*9.81)*(('Gearing Calculator'!$C$7-'Gearing Calculator'!$U$16)/'Gearing Calculator'!$C$7)+(('Track Data'!W1442)*('Gearing Calculator'!$U$17/'Gearing Calculator'!$C$7))</f>
        <v>1913.0484145856544</v>
      </c>
      <c r="Z1442" s="16">
        <f>((X1442*COS('Gearing Calculator'!$C$21))/'Gearing Calculator'!$C$22)/2</f>
        <v>21.591502493544937</v>
      </c>
      <c r="AA1442" s="16">
        <f>Y1442/'Gearing Calculator'!$C$24</f>
        <v>26.712572320359616</v>
      </c>
      <c r="AB1442" s="16">
        <f t="shared" si="156"/>
        <v>98.76613431606502</v>
      </c>
      <c r="AC1442" s="16">
        <v>0</v>
      </c>
      <c r="AD1442" s="16">
        <v>-46.712096975939801</v>
      </c>
      <c r="AE1442" s="16">
        <v>1439</v>
      </c>
      <c r="AF1442" s="16">
        <f>IF(AC1442=0,IF(O1442=6,INDEX(Acceleration!$V$4:$V$110,MATCH('Track Data'!S1442,Acceleration!$K$4:$K$110,0)),IF('Track Data'!O1442=5,INDEX(Acceleration!$U$4:$U$110,MATCH('Track Data'!S1442,Acceleration!$K$4:$K$110,0)),1)),U1442)</f>
        <v>1</v>
      </c>
      <c r="AG1442" s="16">
        <f>IF(AC1442=0,IF(O1442=4,INDEX(Acceleration!$T$4:$T$110,MATCH('Track Data'!S1442,Acceleration!$K$4:$K$110,0)),IF('Track Data'!O1442=3,INDEX(Acceleration!$S$4:$S$110,MATCH('Track Data'!S1442,Acceleration!$K$4:$K$110,0)),'Track Data'!AF1442)),'Track Data'!U1442)</f>
        <v>4.5235291559310618</v>
      </c>
      <c r="AH1442" s="16">
        <f>IF(AC1442=0,IF(O1442=2,INDEX(Acceleration!$R$4:$R$110,MATCH('Track Data'!S1442,Acceleration!$K$4:$K$110,0)),IF('Track Data'!O1442=1,INDEX(Acceleration!$Q$4:$Q$110,MATCH('Track Data'!S1442,Acceleration!$K$4:$K$110,0)),'Track Data'!AG1442)),'Track Data'!U1442)</f>
        <v>4.5235291559310618</v>
      </c>
    </row>
    <row r="1443" spans="2:34" x14ac:dyDescent="0.25">
      <c r="B1443" s="16">
        <v>236.77</v>
      </c>
      <c r="C1443" s="16">
        <v>8713</v>
      </c>
      <c r="D1443" s="16">
        <v>1440</v>
      </c>
      <c r="E1443" s="113">
        <v>99</v>
      </c>
      <c r="F1443" s="113">
        <v>94.1</v>
      </c>
      <c r="G1443" s="113">
        <v>86.7</v>
      </c>
      <c r="H1443" s="113">
        <f t="shared" si="159"/>
        <v>24.083333333333332</v>
      </c>
      <c r="I1443" s="113">
        <v>18</v>
      </c>
      <c r="J1443" s="113">
        <v>33.19</v>
      </c>
      <c r="K1443" s="113">
        <v>-60.5</v>
      </c>
      <c r="L1443" s="183"/>
      <c r="M1443" s="16">
        <v>1440</v>
      </c>
      <c r="N1443" s="16">
        <f t="shared" si="161"/>
        <v>3.5246538176591118E-2</v>
      </c>
      <c r="O1443" s="16">
        <v>3</v>
      </c>
      <c r="P1443" s="16">
        <f t="shared" si="157"/>
        <v>10.596205962059623</v>
      </c>
      <c r="Q1443" s="16">
        <f t="shared" si="162"/>
        <v>28.371580635517478</v>
      </c>
      <c r="R1443" s="113">
        <f t="shared" si="158"/>
        <v>345.36</v>
      </c>
      <c r="S1443" s="16">
        <f>IF(S1442=15800,15800,ROUND((((Q1443*60)/'Gearing Calculator'!$C$14)*'Track Data'!P1443),-2))</f>
        <v>9100</v>
      </c>
      <c r="T1443" s="16">
        <f t="shared" si="160"/>
        <v>4.5235291559310618</v>
      </c>
      <c r="U1443" s="16">
        <f>IF(AC1443=100,Braking!$AG$2354,IF(AC1443=50,Braking!$AG$1179,IF(AC1443=75,Braking!$AG$1767,0)))</f>
        <v>0</v>
      </c>
      <c r="V1443" s="16">
        <f>0.5*'Gearing Calculator'!$C$15*'Gearing Calculator'!$C$20*'Gearing Calculator'!$W$20*('Track Data'!Q1443^2)</f>
        <v>85.195546848271832</v>
      </c>
      <c r="W1443" s="16">
        <f>('Gearing Calculator'!$U$9*'Track Data'!T1443)+'Track Data'!V1443</f>
        <v>1289.3590081571203</v>
      </c>
      <c r="X1443" s="16">
        <f>('Gearing Calculator'!$U$9*9.81)*('Gearing Calculator'!$U$16/'Gearing Calculator'!$C$7)-(('Track Data'!W1443)*('Gearing Calculator'!$U$17/'Gearing Calculator'!$C$7))</f>
        <v>698.37358541434548</v>
      </c>
      <c r="Y1443" s="16">
        <f>('Gearing Calculator'!$U$9*9.81)*(('Gearing Calculator'!$C$7-'Gearing Calculator'!$U$16)/'Gearing Calculator'!$C$7)+(('Track Data'!W1443)*('Gearing Calculator'!$U$17/'Gearing Calculator'!$C$7))</f>
        <v>1913.0484145856544</v>
      </c>
      <c r="Z1443" s="16">
        <f>((X1443*COS('Gearing Calculator'!$C$21))/'Gearing Calculator'!$C$22)/2</f>
        <v>21.591502493544937</v>
      </c>
      <c r="AA1443" s="16">
        <f>Y1443/'Gearing Calculator'!$C$24</f>
        <v>26.712572320359616</v>
      </c>
      <c r="AB1443" s="16">
        <f t="shared" si="156"/>
        <v>98.76613431606502</v>
      </c>
      <c r="AC1443" s="16">
        <v>0</v>
      </c>
      <c r="AD1443" s="16">
        <v>-46.712096975939801</v>
      </c>
      <c r="AE1443" s="16">
        <v>1440</v>
      </c>
      <c r="AF1443" s="16">
        <f>IF(AC1443=0,IF(O1443=6,INDEX(Acceleration!$V$4:$V$110,MATCH('Track Data'!S1443,Acceleration!$K$4:$K$110,0)),IF('Track Data'!O1443=5,INDEX(Acceleration!$U$4:$U$110,MATCH('Track Data'!S1443,Acceleration!$K$4:$K$110,0)),1)),U1443)</f>
        <v>1</v>
      </c>
      <c r="AG1443" s="16">
        <f>IF(AC1443=0,IF(O1443=4,INDEX(Acceleration!$T$4:$T$110,MATCH('Track Data'!S1443,Acceleration!$K$4:$K$110,0)),IF('Track Data'!O1443=3,INDEX(Acceleration!$S$4:$S$110,MATCH('Track Data'!S1443,Acceleration!$K$4:$K$110,0)),'Track Data'!AF1443)),'Track Data'!U1443)</f>
        <v>4.5235291559310618</v>
      </c>
      <c r="AH1443" s="16">
        <f>IF(AC1443=0,IF(O1443=2,INDEX(Acceleration!$R$4:$R$110,MATCH('Track Data'!S1443,Acceleration!$K$4:$K$110,0)),IF('Track Data'!O1443=1,INDEX(Acceleration!$Q$4:$Q$110,MATCH('Track Data'!S1443,Acceleration!$K$4:$K$110,0)),'Track Data'!AG1443)),'Track Data'!U1443)</f>
        <v>4.5235291559310618</v>
      </c>
    </row>
    <row r="1444" spans="2:34" x14ac:dyDescent="0.25">
      <c r="B1444" s="16">
        <v>236.80799999999999</v>
      </c>
      <c r="C1444" s="16">
        <v>8714</v>
      </c>
      <c r="D1444" s="16">
        <v>1441</v>
      </c>
      <c r="E1444" s="113">
        <v>100</v>
      </c>
      <c r="F1444" s="113">
        <v>94.5</v>
      </c>
      <c r="G1444" s="113">
        <v>87.2</v>
      </c>
      <c r="H1444" s="113">
        <f t="shared" si="159"/>
        <v>24.222222222222221</v>
      </c>
      <c r="I1444" s="113">
        <v>17.2</v>
      </c>
      <c r="J1444" s="113">
        <v>32.71</v>
      </c>
      <c r="K1444" s="113">
        <v>-51.7</v>
      </c>
      <c r="L1444" s="183"/>
      <c r="M1444" s="16">
        <v>1441</v>
      </c>
      <c r="N1444" s="16">
        <f t="shared" si="161"/>
        <v>3.5246538176591118E-2</v>
      </c>
      <c r="O1444" s="16">
        <v>3</v>
      </c>
      <c r="P1444" s="16">
        <f t="shared" si="157"/>
        <v>10.596205962059623</v>
      </c>
      <c r="Q1444" s="16">
        <f t="shared" si="162"/>
        <v>28.371580635517478</v>
      </c>
      <c r="R1444" s="113">
        <f t="shared" si="158"/>
        <v>345.36</v>
      </c>
      <c r="S1444" s="16">
        <f>IF(S1443=15800,15800,ROUND((((Q1444*60)/'Gearing Calculator'!$C$14)*'Track Data'!P1444),-2))</f>
        <v>9100</v>
      </c>
      <c r="T1444" s="16">
        <f t="shared" si="160"/>
        <v>4.5235291559310618</v>
      </c>
      <c r="U1444" s="16">
        <f>IF(AC1444=100,Braking!$AG$2354,IF(AC1444=50,Braking!$AG$1179,IF(AC1444=75,Braking!$AG$1767,0)))</f>
        <v>0</v>
      </c>
      <c r="V1444" s="16">
        <f>0.5*'Gearing Calculator'!$C$15*'Gearing Calculator'!$C$20*'Gearing Calculator'!$W$20*('Track Data'!Q1444^2)</f>
        <v>85.195546848271832</v>
      </c>
      <c r="W1444" s="16">
        <f>('Gearing Calculator'!$U$9*'Track Data'!T1444)+'Track Data'!V1444</f>
        <v>1289.3590081571203</v>
      </c>
      <c r="X1444" s="16">
        <f>('Gearing Calculator'!$U$9*9.81)*('Gearing Calculator'!$U$16/'Gearing Calculator'!$C$7)-(('Track Data'!W1444)*('Gearing Calculator'!$U$17/'Gearing Calculator'!$C$7))</f>
        <v>698.37358541434548</v>
      </c>
      <c r="Y1444" s="16">
        <f>('Gearing Calculator'!$U$9*9.81)*(('Gearing Calculator'!$C$7-'Gearing Calculator'!$U$16)/'Gearing Calculator'!$C$7)+(('Track Data'!W1444)*('Gearing Calculator'!$U$17/'Gearing Calculator'!$C$7))</f>
        <v>1913.0484145856544</v>
      </c>
      <c r="Z1444" s="16">
        <f>((X1444*COS('Gearing Calculator'!$C$21))/'Gearing Calculator'!$C$22)/2</f>
        <v>21.591502493544937</v>
      </c>
      <c r="AA1444" s="16">
        <f>Y1444/'Gearing Calculator'!$C$24</f>
        <v>26.712572320359616</v>
      </c>
      <c r="AB1444" s="16">
        <f t="shared" si="156"/>
        <v>98.76613431606502</v>
      </c>
      <c r="AC1444" s="16">
        <v>0</v>
      </c>
      <c r="AD1444" s="16">
        <v>-46.712096975939801</v>
      </c>
      <c r="AE1444" s="16">
        <v>1441</v>
      </c>
      <c r="AF1444" s="16">
        <f>IF(AC1444=0,IF(O1444=6,INDEX(Acceleration!$V$4:$V$110,MATCH('Track Data'!S1444,Acceleration!$K$4:$K$110,0)),IF('Track Data'!O1444=5,INDEX(Acceleration!$U$4:$U$110,MATCH('Track Data'!S1444,Acceleration!$K$4:$K$110,0)),1)),U1444)</f>
        <v>1</v>
      </c>
      <c r="AG1444" s="16">
        <f>IF(AC1444=0,IF(O1444=4,INDEX(Acceleration!$T$4:$T$110,MATCH('Track Data'!S1444,Acceleration!$K$4:$K$110,0)),IF('Track Data'!O1444=3,INDEX(Acceleration!$S$4:$S$110,MATCH('Track Data'!S1444,Acceleration!$K$4:$K$110,0)),'Track Data'!AF1444)),'Track Data'!U1444)</f>
        <v>4.5235291559310618</v>
      </c>
      <c r="AH1444" s="16">
        <f>IF(AC1444=0,IF(O1444=2,INDEX(Acceleration!$R$4:$R$110,MATCH('Track Data'!S1444,Acceleration!$K$4:$K$110,0)),IF('Track Data'!O1444=1,INDEX(Acceleration!$Q$4:$Q$110,MATCH('Track Data'!S1444,Acceleration!$K$4:$K$110,0)),'Track Data'!AG1444)),'Track Data'!U1444)</f>
        <v>4.5235291559310618</v>
      </c>
    </row>
    <row r="1445" spans="2:34" x14ac:dyDescent="0.25">
      <c r="B1445" s="16">
        <v>236.846</v>
      </c>
      <c r="C1445" s="16">
        <v>8715</v>
      </c>
      <c r="D1445" s="16">
        <v>1442</v>
      </c>
      <c r="E1445" s="113">
        <v>101</v>
      </c>
      <c r="F1445" s="113">
        <v>95.1</v>
      </c>
      <c r="G1445" s="113">
        <v>87.9</v>
      </c>
      <c r="H1445" s="113">
        <f t="shared" si="159"/>
        <v>24.416666666666668</v>
      </c>
      <c r="I1445" s="113">
        <v>15.5</v>
      </c>
      <c r="J1445" s="113">
        <v>31.28</v>
      </c>
      <c r="K1445" s="113">
        <v>-49.9</v>
      </c>
      <c r="L1445" s="183"/>
      <c r="M1445" s="16">
        <v>1442</v>
      </c>
      <c r="N1445" s="16">
        <f t="shared" si="161"/>
        <v>3.5246538176591118E-2</v>
      </c>
      <c r="O1445" s="16">
        <v>3</v>
      </c>
      <c r="P1445" s="16">
        <f t="shared" si="157"/>
        <v>10.596205962059623</v>
      </c>
      <c r="Q1445" s="16">
        <f t="shared" si="162"/>
        <v>28.371580635517478</v>
      </c>
      <c r="R1445" s="113">
        <f t="shared" si="158"/>
        <v>345.36</v>
      </c>
      <c r="S1445" s="16">
        <f>IF(S1444=15800,15800,ROUND((((Q1445*60)/'Gearing Calculator'!$C$14)*'Track Data'!P1445),-2))</f>
        <v>9100</v>
      </c>
      <c r="T1445" s="16">
        <f t="shared" si="160"/>
        <v>4.5235291559310618</v>
      </c>
      <c r="U1445" s="16">
        <f>IF(AC1445=100,Braking!$AG$2354,IF(AC1445=50,Braking!$AG$1179,IF(AC1445=75,Braking!$AG$1767,0)))</f>
        <v>0</v>
      </c>
      <c r="V1445" s="16">
        <f>0.5*'Gearing Calculator'!$C$15*'Gearing Calculator'!$C$20*'Gearing Calculator'!$W$20*('Track Data'!Q1445^2)</f>
        <v>85.195546848271832</v>
      </c>
      <c r="W1445" s="16">
        <f>('Gearing Calculator'!$U$9*'Track Data'!T1445)+'Track Data'!V1445</f>
        <v>1289.3590081571203</v>
      </c>
      <c r="X1445" s="16">
        <f>('Gearing Calculator'!$U$9*9.81)*('Gearing Calculator'!$U$16/'Gearing Calculator'!$C$7)-(('Track Data'!W1445)*('Gearing Calculator'!$U$17/'Gearing Calculator'!$C$7))</f>
        <v>698.37358541434548</v>
      </c>
      <c r="Y1445" s="16">
        <f>('Gearing Calculator'!$U$9*9.81)*(('Gearing Calculator'!$C$7-'Gearing Calculator'!$U$16)/'Gearing Calculator'!$C$7)+(('Track Data'!W1445)*('Gearing Calculator'!$U$17/'Gearing Calculator'!$C$7))</f>
        <v>1913.0484145856544</v>
      </c>
      <c r="Z1445" s="16">
        <f>((X1445*COS('Gearing Calculator'!$C$21))/'Gearing Calculator'!$C$22)/2</f>
        <v>21.591502493544937</v>
      </c>
      <c r="AA1445" s="16">
        <f>Y1445/'Gearing Calculator'!$C$24</f>
        <v>26.712572320359616</v>
      </c>
      <c r="AB1445" s="16">
        <f t="shared" si="156"/>
        <v>98.76613431606502</v>
      </c>
      <c r="AC1445" s="16">
        <v>0</v>
      </c>
      <c r="AD1445" s="16">
        <v>-46.712096975939801</v>
      </c>
      <c r="AE1445" s="16">
        <v>1442</v>
      </c>
      <c r="AF1445" s="16">
        <f>IF(AC1445=0,IF(O1445=6,INDEX(Acceleration!$V$4:$V$110,MATCH('Track Data'!S1445,Acceleration!$K$4:$K$110,0)),IF('Track Data'!O1445=5,INDEX(Acceleration!$U$4:$U$110,MATCH('Track Data'!S1445,Acceleration!$K$4:$K$110,0)),1)),U1445)</f>
        <v>1</v>
      </c>
      <c r="AG1445" s="16">
        <f>IF(AC1445=0,IF(O1445=4,INDEX(Acceleration!$T$4:$T$110,MATCH('Track Data'!S1445,Acceleration!$K$4:$K$110,0)),IF('Track Data'!O1445=3,INDEX(Acceleration!$S$4:$S$110,MATCH('Track Data'!S1445,Acceleration!$K$4:$K$110,0)),'Track Data'!AF1445)),'Track Data'!U1445)</f>
        <v>4.5235291559310618</v>
      </c>
      <c r="AH1445" s="16">
        <f>IF(AC1445=0,IF(O1445=2,INDEX(Acceleration!$R$4:$R$110,MATCH('Track Data'!S1445,Acceleration!$K$4:$K$110,0)),IF('Track Data'!O1445=1,INDEX(Acceleration!$Q$4:$Q$110,MATCH('Track Data'!S1445,Acceleration!$K$4:$K$110,0)),'Track Data'!AG1445)),'Track Data'!U1445)</f>
        <v>4.5235291559310618</v>
      </c>
    </row>
    <row r="1446" spans="2:34" x14ac:dyDescent="0.25">
      <c r="B1446" s="16">
        <v>236.88399999999999</v>
      </c>
      <c r="C1446" s="16">
        <v>8716</v>
      </c>
      <c r="D1446" s="16">
        <v>1443</v>
      </c>
      <c r="E1446" s="113">
        <v>102</v>
      </c>
      <c r="F1446" s="113">
        <v>95.7</v>
      </c>
      <c r="G1446" s="113">
        <v>88.7</v>
      </c>
      <c r="H1446" s="113">
        <f t="shared" si="159"/>
        <v>24.638888888888889</v>
      </c>
      <c r="I1446" s="113">
        <v>13.9</v>
      </c>
      <c r="J1446" s="113">
        <v>26.1</v>
      </c>
      <c r="K1446" s="113">
        <v>-48.3</v>
      </c>
      <c r="L1446" s="183"/>
      <c r="M1446" s="16">
        <v>1443</v>
      </c>
      <c r="N1446" s="16">
        <f t="shared" si="161"/>
        <v>3.5246538176591118E-2</v>
      </c>
      <c r="O1446" s="16">
        <v>3</v>
      </c>
      <c r="P1446" s="16">
        <f t="shared" si="157"/>
        <v>10.596205962059623</v>
      </c>
      <c r="Q1446" s="16">
        <f t="shared" si="162"/>
        <v>28.371580635517478</v>
      </c>
      <c r="R1446" s="113">
        <f t="shared" si="158"/>
        <v>345.36</v>
      </c>
      <c r="S1446" s="16">
        <f>IF(S1445=15800,15800,ROUND((((Q1446*60)/'Gearing Calculator'!$C$14)*'Track Data'!P1446),-2))</f>
        <v>9100</v>
      </c>
      <c r="T1446" s="16">
        <f t="shared" si="160"/>
        <v>4.5235291559310618</v>
      </c>
      <c r="U1446" s="16">
        <f>IF(AC1446=100,Braking!$AG$2354,IF(AC1446=50,Braking!$AG$1179,IF(AC1446=75,Braking!$AG$1767,0)))</f>
        <v>0</v>
      </c>
      <c r="V1446" s="16">
        <f>0.5*'Gearing Calculator'!$C$15*'Gearing Calculator'!$C$20*'Gearing Calculator'!$W$20*('Track Data'!Q1446^2)</f>
        <v>85.195546848271832</v>
      </c>
      <c r="W1446" s="16">
        <f>('Gearing Calculator'!$U$9*'Track Data'!T1446)+'Track Data'!V1446</f>
        <v>1289.3590081571203</v>
      </c>
      <c r="X1446" s="16">
        <f>('Gearing Calculator'!$U$9*9.81)*('Gearing Calculator'!$U$16/'Gearing Calculator'!$C$7)-(('Track Data'!W1446)*('Gearing Calculator'!$U$17/'Gearing Calculator'!$C$7))</f>
        <v>698.37358541434548</v>
      </c>
      <c r="Y1446" s="16">
        <f>('Gearing Calculator'!$U$9*9.81)*(('Gearing Calculator'!$C$7-'Gearing Calculator'!$U$16)/'Gearing Calculator'!$C$7)+(('Track Data'!W1446)*('Gearing Calculator'!$U$17/'Gearing Calculator'!$C$7))</f>
        <v>1913.0484145856544</v>
      </c>
      <c r="Z1446" s="16">
        <f>((X1446*COS('Gearing Calculator'!$C$21))/'Gearing Calculator'!$C$22)/2</f>
        <v>21.591502493544937</v>
      </c>
      <c r="AA1446" s="16">
        <f>Y1446/'Gearing Calculator'!$C$24</f>
        <v>26.712572320359616</v>
      </c>
      <c r="AB1446" s="16">
        <f t="shared" si="156"/>
        <v>98.76613431606502</v>
      </c>
      <c r="AC1446" s="16">
        <v>0</v>
      </c>
      <c r="AD1446" s="16">
        <v>-46.712096975939801</v>
      </c>
      <c r="AE1446" s="16">
        <v>1443</v>
      </c>
      <c r="AF1446" s="16">
        <f>IF(AC1446=0,IF(O1446=6,INDEX(Acceleration!$V$4:$V$110,MATCH('Track Data'!S1446,Acceleration!$K$4:$K$110,0)),IF('Track Data'!O1446=5,INDEX(Acceleration!$U$4:$U$110,MATCH('Track Data'!S1446,Acceleration!$K$4:$K$110,0)),1)),U1446)</f>
        <v>1</v>
      </c>
      <c r="AG1446" s="16">
        <f>IF(AC1446=0,IF(O1446=4,INDEX(Acceleration!$T$4:$T$110,MATCH('Track Data'!S1446,Acceleration!$K$4:$K$110,0)),IF('Track Data'!O1446=3,INDEX(Acceleration!$S$4:$S$110,MATCH('Track Data'!S1446,Acceleration!$K$4:$K$110,0)),'Track Data'!AF1446)),'Track Data'!U1446)</f>
        <v>4.5235291559310618</v>
      </c>
      <c r="AH1446" s="16">
        <f>IF(AC1446=0,IF(O1446=2,INDEX(Acceleration!$R$4:$R$110,MATCH('Track Data'!S1446,Acceleration!$K$4:$K$110,0)),IF('Track Data'!O1446=1,INDEX(Acceleration!$Q$4:$Q$110,MATCH('Track Data'!S1446,Acceleration!$K$4:$K$110,0)),'Track Data'!AG1446)),'Track Data'!U1446)</f>
        <v>4.5235291559310618</v>
      </c>
    </row>
    <row r="1447" spans="2:34" x14ac:dyDescent="0.25">
      <c r="B1447" s="16">
        <v>236.92099999999999</v>
      </c>
      <c r="C1447" s="16">
        <v>8717</v>
      </c>
      <c r="D1447" s="16">
        <v>1444</v>
      </c>
      <c r="E1447" s="113">
        <v>103</v>
      </c>
      <c r="F1447" s="113">
        <v>96.4</v>
      </c>
      <c r="G1447" s="113">
        <v>89.4</v>
      </c>
      <c r="H1447" s="113">
        <f t="shared" si="159"/>
        <v>24.833333333333336</v>
      </c>
      <c r="I1447" s="113">
        <v>11.5</v>
      </c>
      <c r="J1447" s="113">
        <v>25.41</v>
      </c>
      <c r="K1447" s="113">
        <v>-49.2</v>
      </c>
      <c r="L1447" s="183"/>
      <c r="M1447" s="16">
        <v>1444</v>
      </c>
      <c r="N1447" s="16">
        <f t="shared" si="161"/>
        <v>3.5246538176591118E-2</v>
      </c>
      <c r="O1447" s="16">
        <v>3</v>
      </c>
      <c r="P1447" s="16">
        <f t="shared" si="157"/>
        <v>10.596205962059623</v>
      </c>
      <c r="Q1447" s="16">
        <f t="shared" si="162"/>
        <v>28.371580635517478</v>
      </c>
      <c r="R1447" s="113">
        <f t="shared" si="158"/>
        <v>345.36</v>
      </c>
      <c r="S1447" s="16">
        <f>IF(S1446=15800,15800,ROUND((((Q1447*60)/'Gearing Calculator'!$C$14)*'Track Data'!P1447),-2))</f>
        <v>9100</v>
      </c>
      <c r="T1447" s="16">
        <f t="shared" si="160"/>
        <v>4.5235291559310618</v>
      </c>
      <c r="U1447" s="16">
        <f>IF(AC1447=100,Braking!$AG$2354,IF(AC1447=50,Braking!$AG$1179,IF(AC1447=75,Braking!$AG$1767,0)))</f>
        <v>0</v>
      </c>
      <c r="V1447" s="16">
        <f>0.5*'Gearing Calculator'!$C$15*'Gearing Calculator'!$C$20*'Gearing Calculator'!$W$20*('Track Data'!Q1447^2)</f>
        <v>85.195546848271832</v>
      </c>
      <c r="W1447" s="16">
        <f>('Gearing Calculator'!$U$9*'Track Data'!T1447)+'Track Data'!V1447</f>
        <v>1289.3590081571203</v>
      </c>
      <c r="X1447" s="16">
        <f>('Gearing Calculator'!$U$9*9.81)*('Gearing Calculator'!$U$16/'Gearing Calculator'!$C$7)-(('Track Data'!W1447)*('Gearing Calculator'!$U$17/'Gearing Calculator'!$C$7))</f>
        <v>698.37358541434548</v>
      </c>
      <c r="Y1447" s="16">
        <f>('Gearing Calculator'!$U$9*9.81)*(('Gearing Calculator'!$C$7-'Gearing Calculator'!$U$16)/'Gearing Calculator'!$C$7)+(('Track Data'!W1447)*('Gearing Calculator'!$U$17/'Gearing Calculator'!$C$7))</f>
        <v>1913.0484145856544</v>
      </c>
      <c r="Z1447" s="16">
        <f>((X1447*COS('Gearing Calculator'!$C$21))/'Gearing Calculator'!$C$22)/2</f>
        <v>21.591502493544937</v>
      </c>
      <c r="AA1447" s="16">
        <f>Y1447/'Gearing Calculator'!$C$24</f>
        <v>26.712572320359616</v>
      </c>
      <c r="AB1447" s="16">
        <f t="shared" si="156"/>
        <v>98.76613431606502</v>
      </c>
      <c r="AC1447" s="16">
        <v>0</v>
      </c>
      <c r="AD1447" s="16">
        <v>-46.712096975939801</v>
      </c>
      <c r="AE1447" s="16">
        <v>1444</v>
      </c>
      <c r="AF1447" s="16">
        <f>IF(AC1447=0,IF(O1447=6,INDEX(Acceleration!$V$4:$V$110,MATCH('Track Data'!S1447,Acceleration!$K$4:$K$110,0)),IF('Track Data'!O1447=5,INDEX(Acceleration!$U$4:$U$110,MATCH('Track Data'!S1447,Acceleration!$K$4:$K$110,0)),1)),U1447)</f>
        <v>1</v>
      </c>
      <c r="AG1447" s="16">
        <f>IF(AC1447=0,IF(O1447=4,INDEX(Acceleration!$T$4:$T$110,MATCH('Track Data'!S1447,Acceleration!$K$4:$K$110,0)),IF('Track Data'!O1447=3,INDEX(Acceleration!$S$4:$S$110,MATCH('Track Data'!S1447,Acceleration!$K$4:$K$110,0)),'Track Data'!AF1447)),'Track Data'!U1447)</f>
        <v>4.5235291559310618</v>
      </c>
      <c r="AH1447" s="16">
        <f>IF(AC1447=0,IF(O1447=2,INDEX(Acceleration!$R$4:$R$110,MATCH('Track Data'!S1447,Acceleration!$K$4:$K$110,0)),IF('Track Data'!O1447=1,INDEX(Acceleration!$Q$4:$Q$110,MATCH('Track Data'!S1447,Acceleration!$K$4:$K$110,0)),'Track Data'!AG1447)),'Track Data'!U1447)</f>
        <v>4.5235291559310618</v>
      </c>
    </row>
    <row r="1448" spans="2:34" x14ac:dyDescent="0.25">
      <c r="B1448" s="16">
        <v>236.959</v>
      </c>
      <c r="C1448" s="16">
        <v>8718</v>
      </c>
      <c r="D1448" s="16">
        <v>1445</v>
      </c>
      <c r="E1448" s="113">
        <v>105</v>
      </c>
      <c r="F1448" s="113">
        <v>96.9</v>
      </c>
      <c r="G1448" s="113">
        <v>90</v>
      </c>
      <c r="H1448" s="113">
        <f t="shared" si="159"/>
        <v>25</v>
      </c>
      <c r="I1448" s="113">
        <v>8.6</v>
      </c>
      <c r="J1448" s="113">
        <v>21.78</v>
      </c>
      <c r="K1448" s="113">
        <v>-49.9</v>
      </c>
      <c r="L1448" s="183"/>
      <c r="M1448" s="16">
        <v>1445</v>
      </c>
      <c r="N1448" s="16">
        <f t="shared" si="161"/>
        <v>3.5246538176591118E-2</v>
      </c>
      <c r="O1448" s="16">
        <v>3</v>
      </c>
      <c r="P1448" s="16">
        <f t="shared" si="157"/>
        <v>10.596205962059623</v>
      </c>
      <c r="Q1448" s="16">
        <f t="shared" si="162"/>
        <v>28.371580635517478</v>
      </c>
      <c r="R1448" s="113">
        <f t="shared" si="158"/>
        <v>345.36</v>
      </c>
      <c r="S1448" s="16">
        <f>IF(S1447=15800,15800,ROUND((((Q1448*60)/'Gearing Calculator'!$C$14)*'Track Data'!P1448),-2))</f>
        <v>9100</v>
      </c>
      <c r="T1448" s="16">
        <f t="shared" si="160"/>
        <v>4.5235291559310618</v>
      </c>
      <c r="U1448" s="16">
        <f>IF(AC1448=100,Braking!$AG$2354,IF(AC1448=50,Braking!$AG$1179,IF(AC1448=75,Braking!$AG$1767,0)))</f>
        <v>0</v>
      </c>
      <c r="V1448" s="16">
        <f>0.5*'Gearing Calculator'!$C$15*'Gearing Calculator'!$C$20*'Gearing Calculator'!$W$20*('Track Data'!Q1448^2)</f>
        <v>85.195546848271832</v>
      </c>
      <c r="W1448" s="16">
        <f>('Gearing Calculator'!$U$9*'Track Data'!T1448)+'Track Data'!V1448</f>
        <v>1289.3590081571203</v>
      </c>
      <c r="X1448" s="16">
        <f>('Gearing Calculator'!$U$9*9.81)*('Gearing Calculator'!$U$16/'Gearing Calculator'!$C$7)-(('Track Data'!W1448)*('Gearing Calculator'!$U$17/'Gearing Calculator'!$C$7))</f>
        <v>698.37358541434548</v>
      </c>
      <c r="Y1448" s="16">
        <f>('Gearing Calculator'!$U$9*9.81)*(('Gearing Calculator'!$C$7-'Gearing Calculator'!$U$16)/'Gearing Calculator'!$C$7)+(('Track Data'!W1448)*('Gearing Calculator'!$U$17/'Gearing Calculator'!$C$7))</f>
        <v>1913.0484145856544</v>
      </c>
      <c r="Z1448" s="16">
        <f>((X1448*COS('Gearing Calculator'!$C$21))/'Gearing Calculator'!$C$22)/2</f>
        <v>21.591502493544937</v>
      </c>
      <c r="AA1448" s="16">
        <f>Y1448/'Gearing Calculator'!$C$24</f>
        <v>26.712572320359616</v>
      </c>
      <c r="AB1448" s="16">
        <f t="shared" si="156"/>
        <v>98.76613431606502</v>
      </c>
      <c r="AC1448" s="16">
        <v>0</v>
      </c>
      <c r="AD1448" s="16">
        <v>-46.712096975939801</v>
      </c>
      <c r="AE1448" s="16">
        <v>1445</v>
      </c>
      <c r="AF1448" s="16">
        <f>IF(AC1448=0,IF(O1448=6,INDEX(Acceleration!$V$4:$V$110,MATCH('Track Data'!S1448,Acceleration!$K$4:$K$110,0)),IF('Track Data'!O1448=5,INDEX(Acceleration!$U$4:$U$110,MATCH('Track Data'!S1448,Acceleration!$K$4:$K$110,0)),1)),U1448)</f>
        <v>1</v>
      </c>
      <c r="AG1448" s="16">
        <f>IF(AC1448=0,IF(O1448=4,INDEX(Acceleration!$T$4:$T$110,MATCH('Track Data'!S1448,Acceleration!$K$4:$K$110,0)),IF('Track Data'!O1448=3,INDEX(Acceleration!$S$4:$S$110,MATCH('Track Data'!S1448,Acceleration!$K$4:$K$110,0)),'Track Data'!AF1448)),'Track Data'!U1448)</f>
        <v>4.5235291559310618</v>
      </c>
      <c r="AH1448" s="16">
        <f>IF(AC1448=0,IF(O1448=2,INDEX(Acceleration!$R$4:$R$110,MATCH('Track Data'!S1448,Acceleration!$K$4:$K$110,0)),IF('Track Data'!O1448=1,INDEX(Acceleration!$Q$4:$Q$110,MATCH('Track Data'!S1448,Acceleration!$K$4:$K$110,0)),'Track Data'!AG1448)),'Track Data'!U1448)</f>
        <v>4.5235291559310618</v>
      </c>
    </row>
    <row r="1449" spans="2:34" x14ac:dyDescent="0.25">
      <c r="B1449" s="16">
        <v>236.99600000000001</v>
      </c>
      <c r="C1449" s="16">
        <v>8719</v>
      </c>
      <c r="D1449" s="16">
        <v>1446</v>
      </c>
      <c r="E1449" s="113">
        <v>105</v>
      </c>
      <c r="F1449" s="113">
        <v>98.1</v>
      </c>
      <c r="G1449" s="113">
        <v>90.7</v>
      </c>
      <c r="H1449" s="113">
        <f t="shared" si="159"/>
        <v>25.194444444444443</v>
      </c>
      <c r="I1449" s="113">
        <v>6.8</v>
      </c>
      <c r="J1449" s="113">
        <v>19.53</v>
      </c>
      <c r="K1449" s="113">
        <v>-50.1</v>
      </c>
      <c r="L1449" s="183"/>
      <c r="M1449" s="16">
        <v>1446</v>
      </c>
      <c r="N1449" s="16">
        <f t="shared" si="161"/>
        <v>3.5246538176591118E-2</v>
      </c>
      <c r="O1449" s="16">
        <v>3</v>
      </c>
      <c r="P1449" s="16">
        <f t="shared" si="157"/>
        <v>10.596205962059623</v>
      </c>
      <c r="Q1449" s="16">
        <f t="shared" si="162"/>
        <v>28.371580635517478</v>
      </c>
      <c r="R1449" s="113">
        <f t="shared" si="158"/>
        <v>345.36</v>
      </c>
      <c r="S1449" s="16">
        <f>IF(S1448=15800,15800,ROUND((((Q1449*60)/'Gearing Calculator'!$C$14)*'Track Data'!P1449),-2))</f>
        <v>9100</v>
      </c>
      <c r="T1449" s="16">
        <f t="shared" si="160"/>
        <v>4.5235291559310618</v>
      </c>
      <c r="U1449" s="16">
        <f>IF(AC1449=100,Braking!$AG$2354,IF(AC1449=50,Braking!$AG$1179,IF(AC1449=75,Braking!$AG$1767,0)))</f>
        <v>0</v>
      </c>
      <c r="V1449" s="16">
        <f>0.5*'Gearing Calculator'!$C$15*'Gearing Calculator'!$C$20*'Gearing Calculator'!$W$20*('Track Data'!Q1449^2)</f>
        <v>85.195546848271832</v>
      </c>
      <c r="W1449" s="16">
        <f>('Gearing Calculator'!$U$9*'Track Data'!T1449)+'Track Data'!V1449</f>
        <v>1289.3590081571203</v>
      </c>
      <c r="X1449" s="16">
        <f>('Gearing Calculator'!$U$9*9.81)*('Gearing Calculator'!$U$16/'Gearing Calculator'!$C$7)-(('Track Data'!W1449)*('Gearing Calculator'!$U$17/'Gearing Calculator'!$C$7))</f>
        <v>698.37358541434548</v>
      </c>
      <c r="Y1449" s="16">
        <f>('Gearing Calculator'!$U$9*9.81)*(('Gearing Calculator'!$C$7-'Gearing Calculator'!$U$16)/'Gearing Calculator'!$C$7)+(('Track Data'!W1449)*('Gearing Calculator'!$U$17/'Gearing Calculator'!$C$7))</f>
        <v>1913.0484145856544</v>
      </c>
      <c r="Z1449" s="16">
        <f>((X1449*COS('Gearing Calculator'!$C$21))/'Gearing Calculator'!$C$22)/2</f>
        <v>21.591502493544937</v>
      </c>
      <c r="AA1449" s="16">
        <f>Y1449/'Gearing Calculator'!$C$24</f>
        <v>26.712572320359616</v>
      </c>
      <c r="AB1449" s="16">
        <f t="shared" si="156"/>
        <v>98.76613431606502</v>
      </c>
      <c r="AC1449" s="16">
        <v>0</v>
      </c>
      <c r="AD1449" s="16">
        <v>-46.712096975939801</v>
      </c>
      <c r="AE1449" s="16">
        <v>1446</v>
      </c>
      <c r="AF1449" s="16">
        <f>IF(AC1449=0,IF(O1449=6,INDEX(Acceleration!$V$4:$V$110,MATCH('Track Data'!S1449,Acceleration!$K$4:$K$110,0)),IF('Track Data'!O1449=5,INDEX(Acceleration!$U$4:$U$110,MATCH('Track Data'!S1449,Acceleration!$K$4:$K$110,0)),1)),U1449)</f>
        <v>1</v>
      </c>
      <c r="AG1449" s="16">
        <f>IF(AC1449=0,IF(O1449=4,INDEX(Acceleration!$T$4:$T$110,MATCH('Track Data'!S1449,Acceleration!$K$4:$K$110,0)),IF('Track Data'!O1449=3,INDEX(Acceleration!$S$4:$S$110,MATCH('Track Data'!S1449,Acceleration!$K$4:$K$110,0)),'Track Data'!AF1449)),'Track Data'!U1449)</f>
        <v>4.5235291559310618</v>
      </c>
      <c r="AH1449" s="16">
        <f>IF(AC1449=0,IF(O1449=2,INDEX(Acceleration!$R$4:$R$110,MATCH('Track Data'!S1449,Acceleration!$K$4:$K$110,0)),IF('Track Data'!O1449=1,INDEX(Acceleration!$Q$4:$Q$110,MATCH('Track Data'!S1449,Acceleration!$K$4:$K$110,0)),'Track Data'!AG1449)),'Track Data'!U1449)</f>
        <v>4.5235291559310618</v>
      </c>
    </row>
    <row r="1450" spans="2:34" x14ac:dyDescent="0.25">
      <c r="B1450" s="16">
        <v>237.03200000000001</v>
      </c>
      <c r="C1450" s="16">
        <v>8720</v>
      </c>
      <c r="D1450" s="16">
        <v>1447</v>
      </c>
      <c r="E1450" s="113">
        <v>106</v>
      </c>
      <c r="F1450" s="113">
        <v>98.8</v>
      </c>
      <c r="G1450" s="113">
        <v>91.4</v>
      </c>
      <c r="H1450" s="113">
        <f t="shared" si="159"/>
        <v>25.388888888888889</v>
      </c>
      <c r="I1450" s="113">
        <v>5.9</v>
      </c>
      <c r="J1450" s="113">
        <v>20.47</v>
      </c>
      <c r="K1450" s="113">
        <v>-50.1</v>
      </c>
      <c r="L1450" s="183"/>
      <c r="M1450" s="16">
        <v>1447</v>
      </c>
      <c r="N1450" s="16">
        <f t="shared" si="161"/>
        <v>3.5246538176591118E-2</v>
      </c>
      <c r="O1450" s="16">
        <v>3</v>
      </c>
      <c r="P1450" s="16">
        <f t="shared" si="157"/>
        <v>10.596205962059623</v>
      </c>
      <c r="Q1450" s="16">
        <f t="shared" si="162"/>
        <v>28.371580635517478</v>
      </c>
      <c r="R1450" s="113">
        <f t="shared" si="158"/>
        <v>345.36</v>
      </c>
      <c r="S1450" s="16">
        <f>IF(S1449=15800,15800,ROUND((((Q1450*60)/'Gearing Calculator'!$C$14)*'Track Data'!P1450),-2))</f>
        <v>9100</v>
      </c>
      <c r="T1450" s="16">
        <f t="shared" si="160"/>
        <v>4.5235291559310618</v>
      </c>
      <c r="U1450" s="16">
        <f>IF(AC1450=100,Braking!$AG$2354,IF(AC1450=50,Braking!$AG$1179,IF(AC1450=75,Braking!$AG$1767,0)))</f>
        <v>0</v>
      </c>
      <c r="V1450" s="16">
        <f>0.5*'Gearing Calculator'!$C$15*'Gearing Calculator'!$C$20*'Gearing Calculator'!$W$20*('Track Data'!Q1450^2)</f>
        <v>85.195546848271832</v>
      </c>
      <c r="W1450" s="16">
        <f>('Gearing Calculator'!$U$9*'Track Data'!T1450)+'Track Data'!V1450</f>
        <v>1289.3590081571203</v>
      </c>
      <c r="X1450" s="16">
        <f>('Gearing Calculator'!$U$9*9.81)*('Gearing Calculator'!$U$16/'Gearing Calculator'!$C$7)-(('Track Data'!W1450)*('Gearing Calculator'!$U$17/'Gearing Calculator'!$C$7))</f>
        <v>698.37358541434548</v>
      </c>
      <c r="Y1450" s="16">
        <f>('Gearing Calculator'!$U$9*9.81)*(('Gearing Calculator'!$C$7-'Gearing Calculator'!$U$16)/'Gearing Calculator'!$C$7)+(('Track Data'!W1450)*('Gearing Calculator'!$U$17/'Gearing Calculator'!$C$7))</f>
        <v>1913.0484145856544</v>
      </c>
      <c r="Z1450" s="16">
        <f>((X1450*COS('Gearing Calculator'!$C$21))/'Gearing Calculator'!$C$22)/2</f>
        <v>21.591502493544937</v>
      </c>
      <c r="AA1450" s="16">
        <f>Y1450/'Gearing Calculator'!$C$24</f>
        <v>26.712572320359616</v>
      </c>
      <c r="AB1450" s="16">
        <f t="shared" si="156"/>
        <v>98.76613431606502</v>
      </c>
      <c r="AC1450" s="16">
        <v>0</v>
      </c>
      <c r="AD1450" s="16">
        <v>-46.712096975939801</v>
      </c>
      <c r="AE1450" s="16">
        <v>1447</v>
      </c>
      <c r="AF1450" s="16">
        <f>IF(AC1450=0,IF(O1450=6,INDEX(Acceleration!$V$4:$V$110,MATCH('Track Data'!S1450,Acceleration!$K$4:$K$110,0)),IF('Track Data'!O1450=5,INDEX(Acceleration!$U$4:$U$110,MATCH('Track Data'!S1450,Acceleration!$K$4:$K$110,0)),1)),U1450)</f>
        <v>1</v>
      </c>
      <c r="AG1450" s="16">
        <f>IF(AC1450=0,IF(O1450=4,INDEX(Acceleration!$T$4:$T$110,MATCH('Track Data'!S1450,Acceleration!$K$4:$K$110,0)),IF('Track Data'!O1450=3,INDEX(Acceleration!$S$4:$S$110,MATCH('Track Data'!S1450,Acceleration!$K$4:$K$110,0)),'Track Data'!AF1450)),'Track Data'!U1450)</f>
        <v>4.5235291559310618</v>
      </c>
      <c r="AH1450" s="16">
        <f>IF(AC1450=0,IF(O1450=2,INDEX(Acceleration!$R$4:$R$110,MATCH('Track Data'!S1450,Acceleration!$K$4:$K$110,0)),IF('Track Data'!O1450=1,INDEX(Acceleration!$Q$4:$Q$110,MATCH('Track Data'!S1450,Acceleration!$K$4:$K$110,0)),'Track Data'!AG1450)),'Track Data'!U1450)</f>
        <v>4.5235291559310618</v>
      </c>
    </row>
    <row r="1451" spans="2:34" x14ac:dyDescent="0.25">
      <c r="B1451" s="16">
        <v>237.06899999999999</v>
      </c>
      <c r="C1451" s="16">
        <v>8721</v>
      </c>
      <c r="D1451" s="16">
        <v>1448</v>
      </c>
      <c r="E1451" s="113">
        <v>107</v>
      </c>
      <c r="F1451" s="113">
        <v>99.5</v>
      </c>
      <c r="G1451" s="113">
        <v>91.9</v>
      </c>
      <c r="H1451" s="113">
        <f t="shared" si="159"/>
        <v>25.527777777777779</v>
      </c>
      <c r="I1451" s="113">
        <v>5.7</v>
      </c>
      <c r="J1451" s="113">
        <v>19.5</v>
      </c>
      <c r="K1451" s="113">
        <v>-48.9</v>
      </c>
      <c r="L1451" s="183"/>
      <c r="M1451" s="16">
        <v>1448</v>
      </c>
      <c r="N1451" s="16">
        <f t="shared" si="161"/>
        <v>3.5246538176591118E-2</v>
      </c>
      <c r="O1451" s="16">
        <v>3</v>
      </c>
      <c r="P1451" s="16">
        <f t="shared" si="157"/>
        <v>10.596205962059623</v>
      </c>
      <c r="Q1451" s="16">
        <f t="shared" si="162"/>
        <v>28.371580635517478</v>
      </c>
      <c r="R1451" s="113">
        <f t="shared" si="158"/>
        <v>345.36</v>
      </c>
      <c r="S1451" s="16">
        <f>IF(S1450=15800,15800,ROUND((((Q1451*60)/'Gearing Calculator'!$C$14)*'Track Data'!P1451),-2))</f>
        <v>9100</v>
      </c>
      <c r="T1451" s="16">
        <f t="shared" si="160"/>
        <v>4.5235291559310618</v>
      </c>
      <c r="U1451" s="16">
        <f>IF(AC1451=100,Braking!$AG$2354,IF(AC1451=50,Braking!$AG$1179,IF(AC1451=75,Braking!$AG$1767,0)))</f>
        <v>0</v>
      </c>
      <c r="V1451" s="16">
        <f>0.5*'Gearing Calculator'!$C$15*'Gearing Calculator'!$C$20*'Gearing Calculator'!$W$20*('Track Data'!Q1451^2)</f>
        <v>85.195546848271832</v>
      </c>
      <c r="W1451" s="16">
        <f>('Gearing Calculator'!$U$9*'Track Data'!T1451)+'Track Data'!V1451</f>
        <v>1289.3590081571203</v>
      </c>
      <c r="X1451" s="16">
        <f>('Gearing Calculator'!$U$9*9.81)*('Gearing Calculator'!$U$16/'Gearing Calculator'!$C$7)-(('Track Data'!W1451)*('Gearing Calculator'!$U$17/'Gearing Calculator'!$C$7))</f>
        <v>698.37358541434548</v>
      </c>
      <c r="Y1451" s="16">
        <f>('Gearing Calculator'!$U$9*9.81)*(('Gearing Calculator'!$C$7-'Gearing Calculator'!$U$16)/'Gearing Calculator'!$C$7)+(('Track Data'!W1451)*('Gearing Calculator'!$U$17/'Gearing Calculator'!$C$7))</f>
        <v>1913.0484145856544</v>
      </c>
      <c r="Z1451" s="16">
        <f>((X1451*COS('Gearing Calculator'!$C$21))/'Gearing Calculator'!$C$22)/2</f>
        <v>21.591502493544937</v>
      </c>
      <c r="AA1451" s="16">
        <f>Y1451/'Gearing Calculator'!$C$24</f>
        <v>26.712572320359616</v>
      </c>
      <c r="AB1451" s="16">
        <f t="shared" si="156"/>
        <v>98.76613431606502</v>
      </c>
      <c r="AC1451" s="16">
        <v>0</v>
      </c>
      <c r="AD1451" s="16">
        <v>-46.712096975939801</v>
      </c>
      <c r="AE1451" s="16">
        <v>1448</v>
      </c>
      <c r="AF1451" s="16">
        <f>IF(AC1451=0,IF(O1451=6,INDEX(Acceleration!$V$4:$V$110,MATCH('Track Data'!S1451,Acceleration!$K$4:$K$110,0)),IF('Track Data'!O1451=5,INDEX(Acceleration!$U$4:$U$110,MATCH('Track Data'!S1451,Acceleration!$K$4:$K$110,0)),1)),U1451)</f>
        <v>1</v>
      </c>
      <c r="AG1451" s="16">
        <f>IF(AC1451=0,IF(O1451=4,INDEX(Acceleration!$T$4:$T$110,MATCH('Track Data'!S1451,Acceleration!$K$4:$K$110,0)),IF('Track Data'!O1451=3,INDEX(Acceleration!$S$4:$S$110,MATCH('Track Data'!S1451,Acceleration!$K$4:$K$110,0)),'Track Data'!AF1451)),'Track Data'!U1451)</f>
        <v>4.5235291559310618</v>
      </c>
      <c r="AH1451" s="16">
        <f>IF(AC1451=0,IF(O1451=2,INDEX(Acceleration!$R$4:$R$110,MATCH('Track Data'!S1451,Acceleration!$K$4:$K$110,0)),IF('Track Data'!O1451=1,INDEX(Acceleration!$Q$4:$Q$110,MATCH('Track Data'!S1451,Acceleration!$K$4:$K$110,0)),'Track Data'!AG1451)),'Track Data'!U1451)</f>
        <v>4.5235291559310618</v>
      </c>
    </row>
    <row r="1452" spans="2:34" x14ac:dyDescent="0.25">
      <c r="B1452" s="16">
        <v>237.10499999999999</v>
      </c>
      <c r="C1452" s="16">
        <v>8722</v>
      </c>
      <c r="D1452" s="16">
        <v>1449</v>
      </c>
      <c r="E1452" s="113">
        <v>108</v>
      </c>
      <c r="F1452" s="113">
        <v>100.5</v>
      </c>
      <c r="G1452" s="113">
        <v>92.6</v>
      </c>
      <c r="H1452" s="113">
        <f t="shared" si="159"/>
        <v>25.722222222222221</v>
      </c>
      <c r="I1452" s="113">
        <v>6.4</v>
      </c>
      <c r="J1452" s="113">
        <v>17.61</v>
      </c>
      <c r="K1452" s="113">
        <v>-47</v>
      </c>
      <c r="L1452" s="183"/>
      <c r="M1452" s="16">
        <v>1449</v>
      </c>
      <c r="N1452" s="16">
        <f t="shared" si="161"/>
        <v>3.5246538176591118E-2</v>
      </c>
      <c r="O1452" s="16">
        <v>3</v>
      </c>
      <c r="P1452" s="16">
        <f t="shared" si="157"/>
        <v>10.596205962059623</v>
      </c>
      <c r="Q1452" s="16">
        <f t="shared" si="162"/>
        <v>28.371580635517478</v>
      </c>
      <c r="R1452" s="113">
        <f t="shared" si="158"/>
        <v>345.36</v>
      </c>
      <c r="S1452" s="16">
        <f>IF(S1451=15800,15800,ROUND((((Q1452*60)/'Gearing Calculator'!$C$14)*'Track Data'!P1452),-2))</f>
        <v>9100</v>
      </c>
      <c r="T1452" s="16">
        <f t="shared" si="160"/>
        <v>4.5235291559310618</v>
      </c>
      <c r="U1452" s="16">
        <f>IF(AC1452=100,Braking!$AG$2354,IF(AC1452=50,Braking!$AG$1179,IF(AC1452=75,Braking!$AG$1767,0)))</f>
        <v>0</v>
      </c>
      <c r="V1452" s="16">
        <f>0.5*'Gearing Calculator'!$C$15*'Gearing Calculator'!$C$20*'Gearing Calculator'!$W$20*('Track Data'!Q1452^2)</f>
        <v>85.195546848271832</v>
      </c>
      <c r="W1452" s="16">
        <f>('Gearing Calculator'!$U$9*'Track Data'!T1452)+'Track Data'!V1452</f>
        <v>1289.3590081571203</v>
      </c>
      <c r="X1452" s="16">
        <f>('Gearing Calculator'!$U$9*9.81)*('Gearing Calculator'!$U$16/'Gearing Calculator'!$C$7)-(('Track Data'!W1452)*('Gearing Calculator'!$U$17/'Gearing Calculator'!$C$7))</f>
        <v>698.37358541434548</v>
      </c>
      <c r="Y1452" s="16">
        <f>('Gearing Calculator'!$U$9*9.81)*(('Gearing Calculator'!$C$7-'Gearing Calculator'!$U$16)/'Gearing Calculator'!$C$7)+(('Track Data'!W1452)*('Gearing Calculator'!$U$17/'Gearing Calculator'!$C$7))</f>
        <v>1913.0484145856544</v>
      </c>
      <c r="Z1452" s="16">
        <f>((X1452*COS('Gearing Calculator'!$C$21))/'Gearing Calculator'!$C$22)/2</f>
        <v>21.591502493544937</v>
      </c>
      <c r="AA1452" s="16">
        <f>Y1452/'Gearing Calculator'!$C$24</f>
        <v>26.712572320359616</v>
      </c>
      <c r="AB1452" s="16">
        <f t="shared" si="156"/>
        <v>98.76613431606502</v>
      </c>
      <c r="AC1452" s="16">
        <v>0</v>
      </c>
      <c r="AD1452" s="16">
        <v>-46.712096975939801</v>
      </c>
      <c r="AE1452" s="16">
        <v>1449</v>
      </c>
      <c r="AF1452" s="16">
        <f>IF(AC1452=0,IF(O1452=6,INDEX(Acceleration!$V$4:$V$110,MATCH('Track Data'!S1452,Acceleration!$K$4:$K$110,0)),IF('Track Data'!O1452=5,INDEX(Acceleration!$U$4:$U$110,MATCH('Track Data'!S1452,Acceleration!$K$4:$K$110,0)),1)),U1452)</f>
        <v>1</v>
      </c>
      <c r="AG1452" s="16">
        <f>IF(AC1452=0,IF(O1452=4,INDEX(Acceleration!$T$4:$T$110,MATCH('Track Data'!S1452,Acceleration!$K$4:$K$110,0)),IF('Track Data'!O1452=3,INDEX(Acceleration!$S$4:$S$110,MATCH('Track Data'!S1452,Acceleration!$K$4:$K$110,0)),'Track Data'!AF1452)),'Track Data'!U1452)</f>
        <v>4.5235291559310618</v>
      </c>
      <c r="AH1452" s="16">
        <f>IF(AC1452=0,IF(O1452=2,INDEX(Acceleration!$R$4:$R$110,MATCH('Track Data'!S1452,Acceleration!$K$4:$K$110,0)),IF('Track Data'!O1452=1,INDEX(Acceleration!$Q$4:$Q$110,MATCH('Track Data'!S1452,Acceleration!$K$4:$K$110,0)),'Track Data'!AG1452)),'Track Data'!U1452)</f>
        <v>4.5235291559310618</v>
      </c>
    </row>
    <row r="1453" spans="2:34" x14ac:dyDescent="0.25">
      <c r="B1453" s="16">
        <v>237.14099999999999</v>
      </c>
      <c r="C1453" s="16">
        <v>8723</v>
      </c>
      <c r="D1453" s="16">
        <v>1450</v>
      </c>
      <c r="E1453" s="113">
        <v>109</v>
      </c>
      <c r="F1453" s="113">
        <v>101.5</v>
      </c>
      <c r="G1453" s="113">
        <v>93.2</v>
      </c>
      <c r="H1453" s="113">
        <f t="shared" si="159"/>
        <v>25.888888888888889</v>
      </c>
      <c r="I1453" s="113">
        <v>7.2</v>
      </c>
      <c r="J1453" s="113">
        <v>23.92</v>
      </c>
      <c r="K1453" s="113">
        <v>-40.9</v>
      </c>
      <c r="L1453" s="183"/>
      <c r="M1453" s="16">
        <v>1450</v>
      </c>
      <c r="N1453" s="16">
        <f t="shared" si="161"/>
        <v>3.5246538176591118E-2</v>
      </c>
      <c r="O1453" s="16">
        <v>3</v>
      </c>
      <c r="P1453" s="16">
        <f t="shared" si="157"/>
        <v>10.596205962059623</v>
      </c>
      <c r="Q1453" s="16">
        <f t="shared" si="162"/>
        <v>28.371580635517478</v>
      </c>
      <c r="R1453" s="113">
        <f t="shared" si="158"/>
        <v>345.36</v>
      </c>
      <c r="S1453" s="16">
        <f>IF(S1452=15800,15800,ROUND((((Q1453*60)/'Gearing Calculator'!$C$14)*'Track Data'!P1453),-2))</f>
        <v>9100</v>
      </c>
      <c r="T1453" s="16">
        <f t="shared" si="160"/>
        <v>4.5235291559310618</v>
      </c>
      <c r="U1453" s="16">
        <f>IF(AC1453=100,Braking!$AG$2354,IF(AC1453=50,Braking!$AG$1179,IF(AC1453=75,Braking!$AG$1767,0)))</f>
        <v>0</v>
      </c>
      <c r="V1453" s="16">
        <f>0.5*'Gearing Calculator'!$C$15*'Gearing Calculator'!$C$20*'Gearing Calculator'!$W$20*('Track Data'!Q1453^2)</f>
        <v>85.195546848271832</v>
      </c>
      <c r="W1453" s="16">
        <f>('Gearing Calculator'!$U$9*'Track Data'!T1453)+'Track Data'!V1453</f>
        <v>1289.3590081571203</v>
      </c>
      <c r="X1453" s="16">
        <f>('Gearing Calculator'!$U$9*9.81)*('Gearing Calculator'!$U$16/'Gearing Calculator'!$C$7)-(('Track Data'!W1453)*('Gearing Calculator'!$U$17/'Gearing Calculator'!$C$7))</f>
        <v>698.37358541434548</v>
      </c>
      <c r="Y1453" s="16">
        <f>('Gearing Calculator'!$U$9*9.81)*(('Gearing Calculator'!$C$7-'Gearing Calculator'!$U$16)/'Gearing Calculator'!$C$7)+(('Track Data'!W1453)*('Gearing Calculator'!$U$17/'Gearing Calculator'!$C$7))</f>
        <v>1913.0484145856544</v>
      </c>
      <c r="Z1453" s="16">
        <f>((X1453*COS('Gearing Calculator'!$C$21))/'Gearing Calculator'!$C$22)/2</f>
        <v>21.591502493544937</v>
      </c>
      <c r="AA1453" s="16">
        <f>Y1453/'Gearing Calculator'!$C$24</f>
        <v>26.712572320359616</v>
      </c>
      <c r="AB1453" s="16">
        <f t="shared" si="156"/>
        <v>98.76613431606502</v>
      </c>
      <c r="AC1453" s="16">
        <v>0</v>
      </c>
      <c r="AD1453" s="16">
        <v>-46.712096975939801</v>
      </c>
      <c r="AE1453" s="16">
        <v>1450</v>
      </c>
      <c r="AF1453" s="16">
        <f>IF(AC1453=0,IF(O1453=6,INDEX(Acceleration!$V$4:$V$110,MATCH('Track Data'!S1453,Acceleration!$K$4:$K$110,0)),IF('Track Data'!O1453=5,INDEX(Acceleration!$U$4:$U$110,MATCH('Track Data'!S1453,Acceleration!$K$4:$K$110,0)),1)),U1453)</f>
        <v>1</v>
      </c>
      <c r="AG1453" s="16">
        <f>IF(AC1453=0,IF(O1453=4,INDEX(Acceleration!$T$4:$T$110,MATCH('Track Data'!S1453,Acceleration!$K$4:$K$110,0)),IF('Track Data'!O1453=3,INDEX(Acceleration!$S$4:$S$110,MATCH('Track Data'!S1453,Acceleration!$K$4:$K$110,0)),'Track Data'!AF1453)),'Track Data'!U1453)</f>
        <v>4.5235291559310618</v>
      </c>
      <c r="AH1453" s="16">
        <f>IF(AC1453=0,IF(O1453=2,INDEX(Acceleration!$R$4:$R$110,MATCH('Track Data'!S1453,Acceleration!$K$4:$K$110,0)),IF('Track Data'!O1453=1,INDEX(Acceleration!$Q$4:$Q$110,MATCH('Track Data'!S1453,Acceleration!$K$4:$K$110,0)),'Track Data'!AG1453)),'Track Data'!U1453)</f>
        <v>4.5235291559310618</v>
      </c>
    </row>
    <row r="1454" spans="2:34" x14ac:dyDescent="0.25">
      <c r="B1454" s="16">
        <v>237.17599999999999</v>
      </c>
      <c r="C1454" s="16">
        <v>8724</v>
      </c>
      <c r="D1454" s="16">
        <v>1451</v>
      </c>
      <c r="E1454" s="113">
        <v>109</v>
      </c>
      <c r="F1454" s="113">
        <v>102.2</v>
      </c>
      <c r="G1454" s="113">
        <v>93.7</v>
      </c>
      <c r="H1454" s="113">
        <f t="shared" si="159"/>
        <v>26.027777777777779</v>
      </c>
      <c r="I1454" s="113">
        <v>9.5</v>
      </c>
      <c r="J1454" s="113">
        <v>23.26</v>
      </c>
      <c r="K1454" s="113">
        <v>-34.1</v>
      </c>
      <c r="L1454" s="183"/>
      <c r="M1454" s="16">
        <v>1451</v>
      </c>
      <c r="N1454" s="16">
        <f t="shared" si="161"/>
        <v>3.5246538176591118E-2</v>
      </c>
      <c r="O1454" s="16">
        <v>3</v>
      </c>
      <c r="P1454" s="16">
        <f t="shared" si="157"/>
        <v>10.596205962059623</v>
      </c>
      <c r="Q1454" s="16">
        <f t="shared" si="162"/>
        <v>28.371580635517478</v>
      </c>
      <c r="R1454" s="113">
        <f t="shared" si="158"/>
        <v>345.36</v>
      </c>
      <c r="S1454" s="16">
        <f>IF(S1453=15800,15800,ROUND((((Q1454*60)/'Gearing Calculator'!$C$14)*'Track Data'!P1454),-2))</f>
        <v>9100</v>
      </c>
      <c r="T1454" s="16">
        <f t="shared" si="160"/>
        <v>4.5235291559310618</v>
      </c>
      <c r="U1454" s="16">
        <f>IF(AC1454=100,Braking!$AG$2354,IF(AC1454=50,Braking!$AG$1179,IF(AC1454=75,Braking!$AG$1767,0)))</f>
        <v>0</v>
      </c>
      <c r="V1454" s="16">
        <f>0.5*'Gearing Calculator'!$C$15*'Gearing Calculator'!$C$20*'Gearing Calculator'!$W$20*('Track Data'!Q1454^2)</f>
        <v>85.195546848271832</v>
      </c>
      <c r="W1454" s="16">
        <f>('Gearing Calculator'!$U$9*'Track Data'!T1454)+'Track Data'!V1454</f>
        <v>1289.3590081571203</v>
      </c>
      <c r="X1454" s="16">
        <f>('Gearing Calculator'!$U$9*9.81)*('Gearing Calculator'!$U$16/'Gearing Calculator'!$C$7)-(('Track Data'!W1454)*('Gearing Calculator'!$U$17/'Gearing Calculator'!$C$7))</f>
        <v>698.37358541434548</v>
      </c>
      <c r="Y1454" s="16">
        <f>('Gearing Calculator'!$U$9*9.81)*(('Gearing Calculator'!$C$7-'Gearing Calculator'!$U$16)/'Gearing Calculator'!$C$7)+(('Track Data'!W1454)*('Gearing Calculator'!$U$17/'Gearing Calculator'!$C$7))</f>
        <v>1913.0484145856544</v>
      </c>
      <c r="Z1454" s="16">
        <f>((X1454*COS('Gearing Calculator'!$C$21))/'Gearing Calculator'!$C$22)/2</f>
        <v>21.591502493544937</v>
      </c>
      <c r="AA1454" s="16">
        <f>Y1454/'Gearing Calculator'!$C$24</f>
        <v>26.712572320359616</v>
      </c>
      <c r="AB1454" s="16">
        <f t="shared" si="156"/>
        <v>98.76613431606502</v>
      </c>
      <c r="AC1454" s="16">
        <v>0</v>
      </c>
      <c r="AD1454" s="16">
        <v>-46.712096975939801</v>
      </c>
      <c r="AE1454" s="16">
        <v>1451</v>
      </c>
      <c r="AF1454" s="16">
        <f>IF(AC1454=0,IF(O1454=6,INDEX(Acceleration!$V$4:$V$110,MATCH('Track Data'!S1454,Acceleration!$K$4:$K$110,0)),IF('Track Data'!O1454=5,INDEX(Acceleration!$U$4:$U$110,MATCH('Track Data'!S1454,Acceleration!$K$4:$K$110,0)),1)),U1454)</f>
        <v>1</v>
      </c>
      <c r="AG1454" s="16">
        <f>IF(AC1454=0,IF(O1454=4,INDEX(Acceleration!$T$4:$T$110,MATCH('Track Data'!S1454,Acceleration!$K$4:$K$110,0)),IF('Track Data'!O1454=3,INDEX(Acceleration!$S$4:$S$110,MATCH('Track Data'!S1454,Acceleration!$K$4:$K$110,0)),'Track Data'!AF1454)),'Track Data'!U1454)</f>
        <v>4.5235291559310618</v>
      </c>
      <c r="AH1454" s="16">
        <f>IF(AC1454=0,IF(O1454=2,INDEX(Acceleration!$R$4:$R$110,MATCH('Track Data'!S1454,Acceleration!$K$4:$K$110,0)),IF('Track Data'!O1454=1,INDEX(Acceleration!$Q$4:$Q$110,MATCH('Track Data'!S1454,Acceleration!$K$4:$K$110,0)),'Track Data'!AG1454)),'Track Data'!U1454)</f>
        <v>4.5235291559310618</v>
      </c>
    </row>
    <row r="1455" spans="2:34" x14ac:dyDescent="0.25">
      <c r="B1455" s="16">
        <v>237.21100000000001</v>
      </c>
      <c r="C1455" s="16">
        <v>8725</v>
      </c>
      <c r="D1455" s="16">
        <v>1452</v>
      </c>
      <c r="E1455" s="113">
        <v>109</v>
      </c>
      <c r="F1455" s="113">
        <v>103</v>
      </c>
      <c r="G1455" s="113">
        <v>94.3</v>
      </c>
      <c r="H1455" s="113">
        <f t="shared" si="159"/>
        <v>26.194444444444443</v>
      </c>
      <c r="I1455" s="113">
        <v>12.6</v>
      </c>
      <c r="J1455" s="113">
        <v>21.05</v>
      </c>
      <c r="K1455" s="113">
        <v>-27.9</v>
      </c>
      <c r="L1455" s="183"/>
      <c r="M1455" s="16">
        <v>1452</v>
      </c>
      <c r="N1455" s="16">
        <f t="shared" si="161"/>
        <v>3.5246538176591118E-2</v>
      </c>
      <c r="O1455" s="16">
        <v>3</v>
      </c>
      <c r="P1455" s="16">
        <f t="shared" si="157"/>
        <v>10.596205962059623</v>
      </c>
      <c r="Q1455" s="16">
        <f t="shared" si="162"/>
        <v>28.371580635517478</v>
      </c>
      <c r="R1455" s="113">
        <f t="shared" si="158"/>
        <v>345.36</v>
      </c>
      <c r="S1455" s="16">
        <f>IF(S1454=15800,15800,ROUND((((Q1455*60)/'Gearing Calculator'!$C$14)*'Track Data'!P1455),-2))</f>
        <v>9100</v>
      </c>
      <c r="T1455" s="16">
        <f t="shared" si="160"/>
        <v>4.5235291559310618</v>
      </c>
      <c r="U1455" s="16">
        <f>IF(AC1455=100,Braking!$AG$2354,IF(AC1455=50,Braking!$AG$1179,IF(AC1455=75,Braking!$AG$1767,0)))</f>
        <v>0</v>
      </c>
      <c r="V1455" s="16">
        <f>0.5*'Gearing Calculator'!$C$15*'Gearing Calculator'!$C$20*'Gearing Calculator'!$W$20*('Track Data'!Q1455^2)</f>
        <v>85.195546848271832</v>
      </c>
      <c r="W1455" s="16">
        <f>('Gearing Calculator'!$U$9*'Track Data'!T1455)+'Track Data'!V1455</f>
        <v>1289.3590081571203</v>
      </c>
      <c r="X1455" s="16">
        <f>('Gearing Calculator'!$U$9*9.81)*('Gearing Calculator'!$U$16/'Gearing Calculator'!$C$7)-(('Track Data'!W1455)*('Gearing Calculator'!$U$17/'Gearing Calculator'!$C$7))</f>
        <v>698.37358541434548</v>
      </c>
      <c r="Y1455" s="16">
        <f>('Gearing Calculator'!$U$9*9.81)*(('Gearing Calculator'!$C$7-'Gearing Calculator'!$U$16)/'Gearing Calculator'!$C$7)+(('Track Data'!W1455)*('Gearing Calculator'!$U$17/'Gearing Calculator'!$C$7))</f>
        <v>1913.0484145856544</v>
      </c>
      <c r="Z1455" s="16">
        <f>((X1455*COS('Gearing Calculator'!$C$21))/'Gearing Calculator'!$C$22)/2</f>
        <v>21.591502493544937</v>
      </c>
      <c r="AA1455" s="16">
        <f>Y1455/'Gearing Calculator'!$C$24</f>
        <v>26.712572320359616</v>
      </c>
      <c r="AB1455" s="16">
        <f t="shared" si="156"/>
        <v>98.76613431606502</v>
      </c>
      <c r="AC1455" s="16">
        <v>0</v>
      </c>
      <c r="AD1455" s="16">
        <v>-46.712096975939801</v>
      </c>
      <c r="AE1455" s="16">
        <v>1452</v>
      </c>
      <c r="AF1455" s="16">
        <f>IF(AC1455=0,IF(O1455=6,INDEX(Acceleration!$V$4:$V$110,MATCH('Track Data'!S1455,Acceleration!$K$4:$K$110,0)),IF('Track Data'!O1455=5,INDEX(Acceleration!$U$4:$U$110,MATCH('Track Data'!S1455,Acceleration!$K$4:$K$110,0)),1)),U1455)</f>
        <v>1</v>
      </c>
      <c r="AG1455" s="16">
        <f>IF(AC1455=0,IF(O1455=4,INDEX(Acceleration!$T$4:$T$110,MATCH('Track Data'!S1455,Acceleration!$K$4:$K$110,0)),IF('Track Data'!O1455=3,INDEX(Acceleration!$S$4:$S$110,MATCH('Track Data'!S1455,Acceleration!$K$4:$K$110,0)),'Track Data'!AF1455)),'Track Data'!U1455)</f>
        <v>4.5235291559310618</v>
      </c>
      <c r="AH1455" s="16">
        <f>IF(AC1455=0,IF(O1455=2,INDEX(Acceleration!$R$4:$R$110,MATCH('Track Data'!S1455,Acceleration!$K$4:$K$110,0)),IF('Track Data'!O1455=1,INDEX(Acceleration!$Q$4:$Q$110,MATCH('Track Data'!S1455,Acceleration!$K$4:$K$110,0)),'Track Data'!AG1455)),'Track Data'!U1455)</f>
        <v>4.5235291559310618</v>
      </c>
    </row>
    <row r="1456" spans="2:34" x14ac:dyDescent="0.25">
      <c r="B1456" s="16">
        <v>237.24600000000001</v>
      </c>
      <c r="C1456" s="16">
        <v>8726</v>
      </c>
      <c r="D1456" s="16">
        <v>1453</v>
      </c>
      <c r="E1456" s="113">
        <v>109</v>
      </c>
      <c r="F1456" s="113">
        <v>103.3</v>
      </c>
      <c r="G1456" s="113">
        <v>94.8</v>
      </c>
      <c r="H1456" s="113">
        <f t="shared" si="159"/>
        <v>26.333333333333332</v>
      </c>
      <c r="I1456" s="113">
        <v>13.3</v>
      </c>
      <c r="J1456" s="113">
        <v>21.59</v>
      </c>
      <c r="K1456" s="113">
        <v>-27.3</v>
      </c>
      <c r="L1456" s="183"/>
      <c r="M1456" s="16">
        <v>1453</v>
      </c>
      <c r="N1456" s="16">
        <f t="shared" si="161"/>
        <v>3.5246538176591118E-2</v>
      </c>
      <c r="O1456" s="16">
        <v>3</v>
      </c>
      <c r="P1456" s="16">
        <f t="shared" si="157"/>
        <v>10.596205962059623</v>
      </c>
      <c r="Q1456" s="16">
        <f t="shared" si="162"/>
        <v>28.371580635517478</v>
      </c>
      <c r="R1456" s="113">
        <f t="shared" si="158"/>
        <v>345.36</v>
      </c>
      <c r="S1456" s="16">
        <f>IF(S1455=15800,15800,ROUND((((Q1456*60)/'Gearing Calculator'!$C$14)*'Track Data'!P1456),-2))</f>
        <v>9100</v>
      </c>
      <c r="T1456" s="16">
        <f t="shared" si="160"/>
        <v>4.5235291559310618</v>
      </c>
      <c r="U1456" s="16">
        <f>IF(AC1456=100,Braking!$AG$2354,IF(AC1456=50,Braking!$AG$1179,IF(AC1456=75,Braking!$AG$1767,0)))</f>
        <v>0</v>
      </c>
      <c r="V1456" s="16">
        <f>0.5*'Gearing Calculator'!$C$15*'Gearing Calculator'!$C$20*'Gearing Calculator'!$W$20*('Track Data'!Q1456^2)</f>
        <v>85.195546848271832</v>
      </c>
      <c r="W1456" s="16">
        <f>('Gearing Calculator'!$U$9*'Track Data'!T1456)+'Track Data'!V1456</f>
        <v>1289.3590081571203</v>
      </c>
      <c r="X1456" s="16">
        <f>('Gearing Calculator'!$U$9*9.81)*('Gearing Calculator'!$U$16/'Gearing Calculator'!$C$7)-(('Track Data'!W1456)*('Gearing Calculator'!$U$17/'Gearing Calculator'!$C$7))</f>
        <v>698.37358541434548</v>
      </c>
      <c r="Y1456" s="16">
        <f>('Gearing Calculator'!$U$9*9.81)*(('Gearing Calculator'!$C$7-'Gearing Calculator'!$U$16)/'Gearing Calculator'!$C$7)+(('Track Data'!W1456)*('Gearing Calculator'!$U$17/'Gearing Calculator'!$C$7))</f>
        <v>1913.0484145856544</v>
      </c>
      <c r="Z1456" s="16">
        <f>((X1456*COS('Gearing Calculator'!$C$21))/'Gearing Calculator'!$C$22)/2</f>
        <v>21.591502493544937</v>
      </c>
      <c r="AA1456" s="16">
        <f>Y1456/'Gearing Calculator'!$C$24</f>
        <v>26.712572320359616</v>
      </c>
      <c r="AB1456" s="16">
        <f t="shared" si="156"/>
        <v>98.76613431606502</v>
      </c>
      <c r="AC1456" s="16">
        <v>0</v>
      </c>
      <c r="AD1456" s="16">
        <v>-46.712096975939801</v>
      </c>
      <c r="AE1456" s="16">
        <v>1453</v>
      </c>
      <c r="AF1456" s="16">
        <f>IF(AC1456=0,IF(O1456=6,INDEX(Acceleration!$V$4:$V$110,MATCH('Track Data'!S1456,Acceleration!$K$4:$K$110,0)),IF('Track Data'!O1456=5,INDEX(Acceleration!$U$4:$U$110,MATCH('Track Data'!S1456,Acceleration!$K$4:$K$110,0)),1)),U1456)</f>
        <v>1</v>
      </c>
      <c r="AG1456" s="16">
        <f>IF(AC1456=0,IF(O1456=4,INDEX(Acceleration!$T$4:$T$110,MATCH('Track Data'!S1456,Acceleration!$K$4:$K$110,0)),IF('Track Data'!O1456=3,INDEX(Acceleration!$S$4:$S$110,MATCH('Track Data'!S1456,Acceleration!$K$4:$K$110,0)),'Track Data'!AF1456)),'Track Data'!U1456)</f>
        <v>4.5235291559310618</v>
      </c>
      <c r="AH1456" s="16">
        <f>IF(AC1456=0,IF(O1456=2,INDEX(Acceleration!$R$4:$R$110,MATCH('Track Data'!S1456,Acceleration!$K$4:$K$110,0)),IF('Track Data'!O1456=1,INDEX(Acceleration!$Q$4:$Q$110,MATCH('Track Data'!S1456,Acceleration!$K$4:$K$110,0)),'Track Data'!AG1456)),'Track Data'!U1456)</f>
        <v>4.5235291559310618</v>
      </c>
    </row>
    <row r="1457" spans="2:34" x14ac:dyDescent="0.25">
      <c r="B1457" s="16">
        <v>237.28100000000001</v>
      </c>
      <c r="C1457" s="16">
        <v>8727</v>
      </c>
      <c r="D1457" s="16">
        <v>1454</v>
      </c>
      <c r="E1457" s="113">
        <v>111</v>
      </c>
      <c r="F1457" s="113">
        <v>103.9</v>
      </c>
      <c r="G1457" s="113">
        <v>95.5</v>
      </c>
      <c r="H1457" s="113">
        <f t="shared" si="159"/>
        <v>26.527777777777779</v>
      </c>
      <c r="I1457" s="113">
        <v>12.8</v>
      </c>
      <c r="J1457" s="113">
        <v>19.96</v>
      </c>
      <c r="K1457" s="113">
        <v>-26.6</v>
      </c>
      <c r="L1457" s="183"/>
      <c r="M1457" s="16">
        <v>1454</v>
      </c>
      <c r="N1457" s="16">
        <f t="shared" si="161"/>
        <v>3.5246538176591118E-2</v>
      </c>
      <c r="O1457" s="16">
        <v>3</v>
      </c>
      <c r="P1457" s="16">
        <f t="shared" si="157"/>
        <v>10.596205962059623</v>
      </c>
      <c r="Q1457" s="16">
        <f t="shared" si="162"/>
        <v>28.371580635517478</v>
      </c>
      <c r="R1457" s="113">
        <f t="shared" si="158"/>
        <v>345.36</v>
      </c>
      <c r="S1457" s="16">
        <f>IF(S1456=15800,15800,ROUND((((Q1457*60)/'Gearing Calculator'!$C$14)*'Track Data'!P1457),-2))</f>
        <v>9100</v>
      </c>
      <c r="T1457" s="16">
        <f t="shared" si="160"/>
        <v>4.5235291559310618</v>
      </c>
      <c r="U1457" s="16">
        <f>IF(AC1457=100,Braking!$AG$2354,IF(AC1457=50,Braking!$AG$1179,IF(AC1457=75,Braking!$AG$1767,0)))</f>
        <v>0</v>
      </c>
      <c r="V1457" s="16">
        <f>0.5*'Gearing Calculator'!$C$15*'Gearing Calculator'!$C$20*'Gearing Calculator'!$W$20*('Track Data'!Q1457^2)</f>
        <v>85.195546848271832</v>
      </c>
      <c r="W1457" s="16">
        <f>('Gearing Calculator'!$U$9*'Track Data'!T1457)+'Track Data'!V1457</f>
        <v>1289.3590081571203</v>
      </c>
      <c r="X1457" s="16">
        <f>('Gearing Calculator'!$U$9*9.81)*('Gearing Calculator'!$U$16/'Gearing Calculator'!$C$7)-(('Track Data'!W1457)*('Gearing Calculator'!$U$17/'Gearing Calculator'!$C$7))</f>
        <v>698.37358541434548</v>
      </c>
      <c r="Y1457" s="16">
        <f>('Gearing Calculator'!$U$9*9.81)*(('Gearing Calculator'!$C$7-'Gearing Calculator'!$U$16)/'Gearing Calculator'!$C$7)+(('Track Data'!W1457)*('Gearing Calculator'!$U$17/'Gearing Calculator'!$C$7))</f>
        <v>1913.0484145856544</v>
      </c>
      <c r="Z1457" s="16">
        <f>((X1457*COS('Gearing Calculator'!$C$21))/'Gearing Calculator'!$C$22)/2</f>
        <v>21.591502493544937</v>
      </c>
      <c r="AA1457" s="16">
        <f>Y1457/'Gearing Calculator'!$C$24</f>
        <v>26.712572320359616</v>
      </c>
      <c r="AB1457" s="16">
        <f t="shared" si="156"/>
        <v>98.76613431606502</v>
      </c>
      <c r="AC1457" s="16">
        <v>0</v>
      </c>
      <c r="AD1457" s="16">
        <v>-46.712096975939801</v>
      </c>
      <c r="AE1457" s="16">
        <v>1454</v>
      </c>
      <c r="AF1457" s="16">
        <f>IF(AC1457=0,IF(O1457=6,INDEX(Acceleration!$V$4:$V$110,MATCH('Track Data'!S1457,Acceleration!$K$4:$K$110,0)),IF('Track Data'!O1457=5,INDEX(Acceleration!$U$4:$U$110,MATCH('Track Data'!S1457,Acceleration!$K$4:$K$110,0)),1)),U1457)</f>
        <v>1</v>
      </c>
      <c r="AG1457" s="16">
        <f>IF(AC1457=0,IF(O1457=4,INDEX(Acceleration!$T$4:$T$110,MATCH('Track Data'!S1457,Acceleration!$K$4:$K$110,0)),IF('Track Data'!O1457=3,INDEX(Acceleration!$S$4:$S$110,MATCH('Track Data'!S1457,Acceleration!$K$4:$K$110,0)),'Track Data'!AF1457)),'Track Data'!U1457)</f>
        <v>4.5235291559310618</v>
      </c>
      <c r="AH1457" s="16">
        <f>IF(AC1457=0,IF(O1457=2,INDEX(Acceleration!$R$4:$R$110,MATCH('Track Data'!S1457,Acceleration!$K$4:$K$110,0)),IF('Track Data'!O1457=1,INDEX(Acceleration!$Q$4:$Q$110,MATCH('Track Data'!S1457,Acceleration!$K$4:$K$110,0)),'Track Data'!AG1457)),'Track Data'!U1457)</f>
        <v>4.5235291559310618</v>
      </c>
    </row>
    <row r="1458" spans="2:34" x14ac:dyDescent="0.25">
      <c r="B1458" s="16">
        <v>237.315</v>
      </c>
      <c r="C1458" s="16">
        <v>8728</v>
      </c>
      <c r="D1458" s="16">
        <v>1455</v>
      </c>
      <c r="E1458" s="113">
        <v>112</v>
      </c>
      <c r="F1458" s="113">
        <v>104.9</v>
      </c>
      <c r="G1458" s="113">
        <v>96.1</v>
      </c>
      <c r="H1458" s="113">
        <f t="shared" si="159"/>
        <v>26.694444444444443</v>
      </c>
      <c r="I1458" s="113">
        <v>12</v>
      </c>
      <c r="J1458" s="113">
        <v>18.22</v>
      </c>
      <c r="K1458" s="113">
        <v>-26.6</v>
      </c>
      <c r="L1458" s="183"/>
      <c r="M1458" s="16">
        <v>1455</v>
      </c>
      <c r="N1458" s="16">
        <f t="shared" si="161"/>
        <v>3.5246538176591118E-2</v>
      </c>
      <c r="O1458" s="16">
        <v>3</v>
      </c>
      <c r="P1458" s="16">
        <f t="shared" si="157"/>
        <v>10.596205962059623</v>
      </c>
      <c r="Q1458" s="16">
        <f t="shared" si="162"/>
        <v>28.371580635517478</v>
      </c>
      <c r="R1458" s="113">
        <f t="shared" si="158"/>
        <v>345.36</v>
      </c>
      <c r="S1458" s="16">
        <f>IF(S1457=15800,15800,ROUND((((Q1458*60)/'Gearing Calculator'!$C$14)*'Track Data'!P1458),-2))</f>
        <v>9100</v>
      </c>
      <c r="T1458" s="16">
        <f t="shared" si="160"/>
        <v>4.5235291559310618</v>
      </c>
      <c r="U1458" s="16">
        <f>IF(AC1458=100,Braking!$AG$2354,IF(AC1458=50,Braking!$AG$1179,IF(AC1458=75,Braking!$AG$1767,0)))</f>
        <v>0</v>
      </c>
      <c r="V1458" s="16">
        <f>0.5*'Gearing Calculator'!$C$15*'Gearing Calculator'!$C$20*'Gearing Calculator'!$W$20*('Track Data'!Q1458^2)</f>
        <v>85.195546848271832</v>
      </c>
      <c r="W1458" s="16">
        <f>('Gearing Calculator'!$U$9*'Track Data'!T1458)+'Track Data'!V1458</f>
        <v>1289.3590081571203</v>
      </c>
      <c r="X1458" s="16">
        <f>('Gearing Calculator'!$U$9*9.81)*('Gearing Calculator'!$U$16/'Gearing Calculator'!$C$7)-(('Track Data'!W1458)*('Gearing Calculator'!$U$17/'Gearing Calculator'!$C$7))</f>
        <v>698.37358541434548</v>
      </c>
      <c r="Y1458" s="16">
        <f>('Gearing Calculator'!$U$9*9.81)*(('Gearing Calculator'!$C$7-'Gearing Calculator'!$U$16)/'Gearing Calculator'!$C$7)+(('Track Data'!W1458)*('Gearing Calculator'!$U$17/'Gearing Calculator'!$C$7))</f>
        <v>1913.0484145856544</v>
      </c>
      <c r="Z1458" s="16">
        <f>((X1458*COS('Gearing Calculator'!$C$21))/'Gearing Calculator'!$C$22)/2</f>
        <v>21.591502493544937</v>
      </c>
      <c r="AA1458" s="16">
        <f>Y1458/'Gearing Calculator'!$C$24</f>
        <v>26.712572320359616</v>
      </c>
      <c r="AB1458" s="16">
        <f t="shared" si="156"/>
        <v>98.76613431606502</v>
      </c>
      <c r="AC1458" s="16">
        <v>0</v>
      </c>
      <c r="AD1458" s="16">
        <v>-46.712096975939801</v>
      </c>
      <c r="AE1458" s="16">
        <v>1455</v>
      </c>
      <c r="AF1458" s="16">
        <f>IF(AC1458=0,IF(O1458=6,INDEX(Acceleration!$V$4:$V$110,MATCH('Track Data'!S1458,Acceleration!$K$4:$K$110,0)),IF('Track Data'!O1458=5,INDEX(Acceleration!$U$4:$U$110,MATCH('Track Data'!S1458,Acceleration!$K$4:$K$110,0)),1)),U1458)</f>
        <v>1</v>
      </c>
      <c r="AG1458" s="16">
        <f>IF(AC1458=0,IF(O1458=4,INDEX(Acceleration!$T$4:$T$110,MATCH('Track Data'!S1458,Acceleration!$K$4:$K$110,0)),IF('Track Data'!O1458=3,INDEX(Acceleration!$S$4:$S$110,MATCH('Track Data'!S1458,Acceleration!$K$4:$K$110,0)),'Track Data'!AF1458)),'Track Data'!U1458)</f>
        <v>4.5235291559310618</v>
      </c>
      <c r="AH1458" s="16">
        <f>IF(AC1458=0,IF(O1458=2,INDEX(Acceleration!$R$4:$R$110,MATCH('Track Data'!S1458,Acceleration!$K$4:$K$110,0)),IF('Track Data'!O1458=1,INDEX(Acceleration!$Q$4:$Q$110,MATCH('Track Data'!S1458,Acceleration!$K$4:$K$110,0)),'Track Data'!AG1458)),'Track Data'!U1458)</f>
        <v>4.5235291559310618</v>
      </c>
    </row>
    <row r="1459" spans="2:34" x14ac:dyDescent="0.25">
      <c r="B1459" s="16">
        <v>237.34899999999999</v>
      </c>
      <c r="C1459" s="16">
        <v>8729</v>
      </c>
      <c r="D1459" s="16">
        <v>1456</v>
      </c>
      <c r="E1459" s="113">
        <v>113</v>
      </c>
      <c r="F1459" s="113">
        <v>105.6</v>
      </c>
      <c r="G1459" s="113">
        <v>96.8</v>
      </c>
      <c r="H1459" s="113">
        <f t="shared" si="159"/>
        <v>26.888888888888886</v>
      </c>
      <c r="I1459" s="113">
        <v>11.3</v>
      </c>
      <c r="J1459" s="113">
        <v>19.18</v>
      </c>
      <c r="K1459" s="113">
        <v>-26.6</v>
      </c>
      <c r="L1459" s="183"/>
      <c r="M1459" s="16">
        <v>1456</v>
      </c>
      <c r="N1459" s="16">
        <f t="shared" si="161"/>
        <v>3.5246538176591118E-2</v>
      </c>
      <c r="O1459" s="16">
        <v>3</v>
      </c>
      <c r="P1459" s="16">
        <f t="shared" si="157"/>
        <v>10.596205962059623</v>
      </c>
      <c r="Q1459" s="16">
        <f t="shared" si="162"/>
        <v>28.371580635517478</v>
      </c>
      <c r="R1459" s="113">
        <f t="shared" si="158"/>
        <v>345.36</v>
      </c>
      <c r="S1459" s="16">
        <f>IF(S1458=15800,15800,ROUND((((Q1459*60)/'Gearing Calculator'!$C$14)*'Track Data'!P1459),-2))</f>
        <v>9100</v>
      </c>
      <c r="T1459" s="16">
        <f t="shared" si="160"/>
        <v>4.5235291559310618</v>
      </c>
      <c r="U1459" s="16">
        <f>IF(AC1459=100,Braking!$AG$2354,IF(AC1459=50,Braking!$AG$1179,IF(AC1459=75,Braking!$AG$1767,0)))</f>
        <v>0</v>
      </c>
      <c r="V1459" s="16">
        <f>0.5*'Gearing Calculator'!$C$15*'Gearing Calculator'!$C$20*'Gearing Calculator'!$W$20*('Track Data'!Q1459^2)</f>
        <v>85.195546848271832</v>
      </c>
      <c r="W1459" s="16">
        <f>('Gearing Calculator'!$U$9*'Track Data'!T1459)+'Track Data'!V1459</f>
        <v>1289.3590081571203</v>
      </c>
      <c r="X1459" s="16">
        <f>('Gearing Calculator'!$U$9*9.81)*('Gearing Calculator'!$U$16/'Gearing Calculator'!$C$7)-(('Track Data'!W1459)*('Gearing Calculator'!$U$17/'Gearing Calculator'!$C$7))</f>
        <v>698.37358541434548</v>
      </c>
      <c r="Y1459" s="16">
        <f>('Gearing Calculator'!$U$9*9.81)*(('Gearing Calculator'!$C$7-'Gearing Calculator'!$U$16)/'Gearing Calculator'!$C$7)+(('Track Data'!W1459)*('Gearing Calculator'!$U$17/'Gearing Calculator'!$C$7))</f>
        <v>1913.0484145856544</v>
      </c>
      <c r="Z1459" s="16">
        <f>((X1459*COS('Gearing Calculator'!$C$21))/'Gearing Calculator'!$C$22)/2</f>
        <v>21.591502493544937</v>
      </c>
      <c r="AA1459" s="16">
        <f>Y1459/'Gearing Calculator'!$C$24</f>
        <v>26.712572320359616</v>
      </c>
      <c r="AB1459" s="16">
        <f t="shared" si="156"/>
        <v>98.76613431606502</v>
      </c>
      <c r="AC1459" s="16">
        <v>0</v>
      </c>
      <c r="AD1459" s="16">
        <v>-46.712096975939801</v>
      </c>
      <c r="AE1459" s="16">
        <v>1456</v>
      </c>
      <c r="AF1459" s="16">
        <f>IF(AC1459=0,IF(O1459=6,INDEX(Acceleration!$V$4:$V$110,MATCH('Track Data'!S1459,Acceleration!$K$4:$K$110,0)),IF('Track Data'!O1459=5,INDEX(Acceleration!$U$4:$U$110,MATCH('Track Data'!S1459,Acceleration!$K$4:$K$110,0)),1)),U1459)</f>
        <v>1</v>
      </c>
      <c r="AG1459" s="16">
        <f>IF(AC1459=0,IF(O1459=4,INDEX(Acceleration!$T$4:$T$110,MATCH('Track Data'!S1459,Acceleration!$K$4:$K$110,0)),IF('Track Data'!O1459=3,INDEX(Acceleration!$S$4:$S$110,MATCH('Track Data'!S1459,Acceleration!$K$4:$K$110,0)),'Track Data'!AF1459)),'Track Data'!U1459)</f>
        <v>4.5235291559310618</v>
      </c>
      <c r="AH1459" s="16">
        <f>IF(AC1459=0,IF(O1459=2,INDEX(Acceleration!$R$4:$R$110,MATCH('Track Data'!S1459,Acceleration!$K$4:$K$110,0)),IF('Track Data'!O1459=1,INDEX(Acceleration!$Q$4:$Q$110,MATCH('Track Data'!S1459,Acceleration!$K$4:$K$110,0)),'Track Data'!AG1459)),'Track Data'!U1459)</f>
        <v>4.5235291559310618</v>
      </c>
    </row>
    <row r="1460" spans="2:34" x14ac:dyDescent="0.25">
      <c r="B1460" s="16">
        <v>237.38300000000001</v>
      </c>
      <c r="C1460" s="16">
        <v>8730</v>
      </c>
      <c r="D1460" s="16">
        <v>1457</v>
      </c>
      <c r="E1460" s="113">
        <v>114</v>
      </c>
      <c r="F1460" s="113">
        <v>106.5</v>
      </c>
      <c r="G1460" s="113">
        <v>97.9</v>
      </c>
      <c r="H1460" s="113">
        <f t="shared" si="159"/>
        <v>27.194444444444446</v>
      </c>
      <c r="I1460" s="113">
        <v>10.8</v>
      </c>
      <c r="J1460" s="113">
        <v>21.53</v>
      </c>
      <c r="K1460" s="113">
        <v>-26.1</v>
      </c>
      <c r="L1460" s="183"/>
      <c r="M1460" s="16">
        <v>1457</v>
      </c>
      <c r="N1460" s="16">
        <f t="shared" si="161"/>
        <v>3.5246538176591118E-2</v>
      </c>
      <c r="O1460" s="16">
        <v>3</v>
      </c>
      <c r="P1460" s="16">
        <f t="shared" si="157"/>
        <v>10.596205962059623</v>
      </c>
      <c r="Q1460" s="16">
        <f t="shared" si="162"/>
        <v>28.371580635517478</v>
      </c>
      <c r="R1460" s="113">
        <f t="shared" si="158"/>
        <v>345.36</v>
      </c>
      <c r="S1460" s="16">
        <f>IF(S1459=15800,15800,ROUND((((Q1460*60)/'Gearing Calculator'!$C$14)*'Track Data'!P1460),-2))</f>
        <v>9100</v>
      </c>
      <c r="T1460" s="16">
        <f t="shared" si="160"/>
        <v>4.5235291559310618</v>
      </c>
      <c r="U1460" s="16">
        <f>IF(AC1460=100,Braking!$AG$2354,IF(AC1460=50,Braking!$AG$1179,IF(AC1460=75,Braking!$AG$1767,0)))</f>
        <v>0</v>
      </c>
      <c r="V1460" s="16">
        <f>0.5*'Gearing Calculator'!$C$15*'Gearing Calculator'!$C$20*'Gearing Calculator'!$W$20*('Track Data'!Q1460^2)</f>
        <v>85.195546848271832</v>
      </c>
      <c r="W1460" s="16">
        <f>('Gearing Calculator'!$U$9*'Track Data'!T1460)+'Track Data'!V1460</f>
        <v>1289.3590081571203</v>
      </c>
      <c r="X1460" s="16">
        <f>('Gearing Calculator'!$U$9*9.81)*('Gearing Calculator'!$U$16/'Gearing Calculator'!$C$7)-(('Track Data'!W1460)*('Gearing Calculator'!$U$17/'Gearing Calculator'!$C$7))</f>
        <v>698.37358541434548</v>
      </c>
      <c r="Y1460" s="16">
        <f>('Gearing Calculator'!$U$9*9.81)*(('Gearing Calculator'!$C$7-'Gearing Calculator'!$U$16)/'Gearing Calculator'!$C$7)+(('Track Data'!W1460)*('Gearing Calculator'!$U$17/'Gearing Calculator'!$C$7))</f>
        <v>1913.0484145856544</v>
      </c>
      <c r="Z1460" s="16">
        <f>((X1460*COS('Gearing Calculator'!$C$21))/'Gearing Calculator'!$C$22)/2</f>
        <v>21.591502493544937</v>
      </c>
      <c r="AA1460" s="16">
        <f>Y1460/'Gearing Calculator'!$C$24</f>
        <v>26.712572320359616</v>
      </c>
      <c r="AB1460" s="16">
        <f t="shared" si="156"/>
        <v>98.76613431606502</v>
      </c>
      <c r="AC1460" s="16">
        <v>0</v>
      </c>
      <c r="AD1460" s="16">
        <v>-46.712096975939801</v>
      </c>
      <c r="AE1460" s="16">
        <v>1457</v>
      </c>
      <c r="AF1460" s="16">
        <f>IF(AC1460=0,IF(O1460=6,INDEX(Acceleration!$V$4:$V$110,MATCH('Track Data'!S1460,Acceleration!$K$4:$K$110,0)),IF('Track Data'!O1460=5,INDEX(Acceleration!$U$4:$U$110,MATCH('Track Data'!S1460,Acceleration!$K$4:$K$110,0)),1)),U1460)</f>
        <v>1</v>
      </c>
      <c r="AG1460" s="16">
        <f>IF(AC1460=0,IF(O1460=4,INDEX(Acceleration!$T$4:$T$110,MATCH('Track Data'!S1460,Acceleration!$K$4:$K$110,0)),IF('Track Data'!O1460=3,INDEX(Acceleration!$S$4:$S$110,MATCH('Track Data'!S1460,Acceleration!$K$4:$K$110,0)),'Track Data'!AF1460)),'Track Data'!U1460)</f>
        <v>4.5235291559310618</v>
      </c>
      <c r="AH1460" s="16">
        <f>IF(AC1460=0,IF(O1460=2,INDEX(Acceleration!$R$4:$R$110,MATCH('Track Data'!S1460,Acceleration!$K$4:$K$110,0)),IF('Track Data'!O1460=1,INDEX(Acceleration!$Q$4:$Q$110,MATCH('Track Data'!S1460,Acceleration!$K$4:$K$110,0)),'Track Data'!AG1460)),'Track Data'!U1460)</f>
        <v>4.5235291559310618</v>
      </c>
    </row>
    <row r="1461" spans="2:34" x14ac:dyDescent="0.25">
      <c r="B1461" s="16">
        <v>237.417</v>
      </c>
      <c r="C1461" s="16">
        <v>8731</v>
      </c>
      <c r="D1461" s="16">
        <v>1458</v>
      </c>
      <c r="E1461" s="113">
        <v>114</v>
      </c>
      <c r="F1461" s="113">
        <v>107.1</v>
      </c>
      <c r="G1461" s="113">
        <v>98.8</v>
      </c>
      <c r="H1461" s="113">
        <f t="shared" si="159"/>
        <v>27.444444444444443</v>
      </c>
      <c r="I1461" s="113">
        <v>10.9</v>
      </c>
      <c r="J1461" s="113">
        <v>17.600000000000001</v>
      </c>
      <c r="K1461" s="113">
        <v>-25.5</v>
      </c>
      <c r="L1461" s="183"/>
      <c r="M1461" s="16">
        <v>1458</v>
      </c>
      <c r="N1461" s="16">
        <f t="shared" si="161"/>
        <v>3.5246538176591118E-2</v>
      </c>
      <c r="O1461" s="16">
        <v>3</v>
      </c>
      <c r="P1461" s="16">
        <f t="shared" si="157"/>
        <v>10.596205962059623</v>
      </c>
      <c r="Q1461" s="16">
        <f t="shared" si="162"/>
        <v>28.371580635517478</v>
      </c>
      <c r="R1461" s="113">
        <f t="shared" si="158"/>
        <v>345.36</v>
      </c>
      <c r="S1461" s="16">
        <f>IF(S1460=15800,15800,ROUND((((Q1461*60)/'Gearing Calculator'!$C$14)*'Track Data'!P1461),-2))</f>
        <v>9100</v>
      </c>
      <c r="T1461" s="16">
        <f t="shared" si="160"/>
        <v>4.5235291559310618</v>
      </c>
      <c r="U1461" s="16">
        <f>IF(AC1461=100,Braking!$AG$2354,IF(AC1461=50,Braking!$AG$1179,IF(AC1461=75,Braking!$AG$1767,0)))</f>
        <v>0</v>
      </c>
      <c r="V1461" s="16">
        <f>0.5*'Gearing Calculator'!$C$15*'Gearing Calculator'!$C$20*'Gearing Calculator'!$W$20*('Track Data'!Q1461^2)</f>
        <v>85.195546848271832</v>
      </c>
      <c r="W1461" s="16">
        <f>('Gearing Calculator'!$U$9*'Track Data'!T1461)+'Track Data'!V1461</f>
        <v>1289.3590081571203</v>
      </c>
      <c r="X1461" s="16">
        <f>('Gearing Calculator'!$U$9*9.81)*('Gearing Calculator'!$U$16/'Gearing Calculator'!$C$7)-(('Track Data'!W1461)*('Gearing Calculator'!$U$17/'Gearing Calculator'!$C$7))</f>
        <v>698.37358541434548</v>
      </c>
      <c r="Y1461" s="16">
        <f>('Gearing Calculator'!$U$9*9.81)*(('Gearing Calculator'!$C$7-'Gearing Calculator'!$U$16)/'Gearing Calculator'!$C$7)+(('Track Data'!W1461)*('Gearing Calculator'!$U$17/'Gearing Calculator'!$C$7))</f>
        <v>1913.0484145856544</v>
      </c>
      <c r="Z1461" s="16">
        <f>((X1461*COS('Gearing Calculator'!$C$21))/'Gearing Calculator'!$C$22)/2</f>
        <v>21.591502493544937</v>
      </c>
      <c r="AA1461" s="16">
        <f>Y1461/'Gearing Calculator'!$C$24</f>
        <v>26.712572320359616</v>
      </c>
      <c r="AB1461" s="16">
        <f t="shared" si="156"/>
        <v>98.76613431606502</v>
      </c>
      <c r="AC1461" s="16">
        <v>0</v>
      </c>
      <c r="AD1461" s="16">
        <v>-46.712096975939801</v>
      </c>
      <c r="AE1461" s="16">
        <v>1458</v>
      </c>
      <c r="AF1461" s="16">
        <f>IF(AC1461=0,IF(O1461=6,INDEX(Acceleration!$V$4:$V$110,MATCH('Track Data'!S1461,Acceleration!$K$4:$K$110,0)),IF('Track Data'!O1461=5,INDEX(Acceleration!$U$4:$U$110,MATCH('Track Data'!S1461,Acceleration!$K$4:$K$110,0)),1)),U1461)</f>
        <v>1</v>
      </c>
      <c r="AG1461" s="16">
        <f>IF(AC1461=0,IF(O1461=4,INDEX(Acceleration!$T$4:$T$110,MATCH('Track Data'!S1461,Acceleration!$K$4:$K$110,0)),IF('Track Data'!O1461=3,INDEX(Acceleration!$S$4:$S$110,MATCH('Track Data'!S1461,Acceleration!$K$4:$K$110,0)),'Track Data'!AF1461)),'Track Data'!U1461)</f>
        <v>4.5235291559310618</v>
      </c>
      <c r="AH1461" s="16">
        <f>IF(AC1461=0,IF(O1461=2,INDEX(Acceleration!$R$4:$R$110,MATCH('Track Data'!S1461,Acceleration!$K$4:$K$110,0)),IF('Track Data'!O1461=1,INDEX(Acceleration!$Q$4:$Q$110,MATCH('Track Data'!S1461,Acceleration!$K$4:$K$110,0)),'Track Data'!AG1461)),'Track Data'!U1461)</f>
        <v>4.5235291559310618</v>
      </c>
    </row>
    <row r="1462" spans="2:34" x14ac:dyDescent="0.25">
      <c r="B1462" s="16">
        <v>237.45099999999999</v>
      </c>
      <c r="C1462" s="16">
        <v>8732</v>
      </c>
      <c r="D1462" s="16">
        <v>1459</v>
      </c>
      <c r="E1462" s="113">
        <v>114</v>
      </c>
      <c r="F1462" s="113">
        <v>107.8</v>
      </c>
      <c r="G1462" s="113">
        <v>100.1</v>
      </c>
      <c r="H1462" s="113">
        <f t="shared" si="159"/>
        <v>27.805555555555554</v>
      </c>
      <c r="I1462" s="113">
        <v>12.1</v>
      </c>
      <c r="J1462" s="113">
        <v>18.09</v>
      </c>
      <c r="K1462" s="113">
        <v>-25.1</v>
      </c>
      <c r="L1462" s="183"/>
      <c r="M1462" s="16">
        <v>1459</v>
      </c>
      <c r="N1462" s="16">
        <f t="shared" si="161"/>
        <v>3.5246538176591118E-2</v>
      </c>
      <c r="O1462" s="16">
        <v>3</v>
      </c>
      <c r="P1462" s="16">
        <f t="shared" si="157"/>
        <v>10.596205962059623</v>
      </c>
      <c r="Q1462" s="16">
        <f t="shared" si="162"/>
        <v>28.371580635517478</v>
      </c>
      <c r="R1462" s="113">
        <f t="shared" si="158"/>
        <v>345.36</v>
      </c>
      <c r="S1462" s="16">
        <f>IF(S1461=15800,15800,ROUND((((Q1462*60)/'Gearing Calculator'!$C$14)*'Track Data'!P1462),-2))</f>
        <v>9100</v>
      </c>
      <c r="T1462" s="16">
        <f t="shared" si="160"/>
        <v>4.5235291559310618</v>
      </c>
      <c r="U1462" s="16">
        <f>IF(AC1462=100,Braking!$AG$2354,IF(AC1462=50,Braking!$AG$1179,IF(AC1462=75,Braking!$AG$1767,0)))</f>
        <v>0</v>
      </c>
      <c r="V1462" s="16">
        <f>0.5*'Gearing Calculator'!$C$15*'Gearing Calculator'!$C$20*'Gearing Calculator'!$W$20*('Track Data'!Q1462^2)</f>
        <v>85.195546848271832</v>
      </c>
      <c r="W1462" s="16">
        <f>('Gearing Calculator'!$U$9*'Track Data'!T1462)+'Track Data'!V1462</f>
        <v>1289.3590081571203</v>
      </c>
      <c r="X1462" s="16">
        <f>('Gearing Calculator'!$U$9*9.81)*('Gearing Calculator'!$U$16/'Gearing Calculator'!$C$7)-(('Track Data'!W1462)*('Gearing Calculator'!$U$17/'Gearing Calculator'!$C$7))</f>
        <v>698.37358541434548</v>
      </c>
      <c r="Y1462" s="16">
        <f>('Gearing Calculator'!$U$9*9.81)*(('Gearing Calculator'!$C$7-'Gearing Calculator'!$U$16)/'Gearing Calculator'!$C$7)+(('Track Data'!W1462)*('Gearing Calculator'!$U$17/'Gearing Calculator'!$C$7))</f>
        <v>1913.0484145856544</v>
      </c>
      <c r="Z1462" s="16">
        <f>((X1462*COS('Gearing Calculator'!$C$21))/'Gearing Calculator'!$C$22)/2</f>
        <v>21.591502493544937</v>
      </c>
      <c r="AA1462" s="16">
        <f>Y1462/'Gearing Calculator'!$C$24</f>
        <v>26.712572320359616</v>
      </c>
      <c r="AB1462" s="16">
        <f t="shared" ref="AB1462:AB1525" si="163">(T1462*O1462)+V1462</f>
        <v>98.76613431606502</v>
      </c>
      <c r="AC1462" s="16">
        <v>0</v>
      </c>
      <c r="AD1462" s="16">
        <v>-46.712096975939801</v>
      </c>
      <c r="AE1462" s="16">
        <v>1459</v>
      </c>
      <c r="AF1462" s="16">
        <f>IF(AC1462=0,IF(O1462=6,INDEX(Acceleration!$V$4:$V$110,MATCH('Track Data'!S1462,Acceleration!$K$4:$K$110,0)),IF('Track Data'!O1462=5,INDEX(Acceleration!$U$4:$U$110,MATCH('Track Data'!S1462,Acceleration!$K$4:$K$110,0)),1)),U1462)</f>
        <v>1</v>
      </c>
      <c r="AG1462" s="16">
        <f>IF(AC1462=0,IF(O1462=4,INDEX(Acceleration!$T$4:$T$110,MATCH('Track Data'!S1462,Acceleration!$K$4:$K$110,0)),IF('Track Data'!O1462=3,INDEX(Acceleration!$S$4:$S$110,MATCH('Track Data'!S1462,Acceleration!$K$4:$K$110,0)),'Track Data'!AF1462)),'Track Data'!U1462)</f>
        <v>4.5235291559310618</v>
      </c>
      <c r="AH1462" s="16">
        <f>IF(AC1462=0,IF(O1462=2,INDEX(Acceleration!$R$4:$R$110,MATCH('Track Data'!S1462,Acceleration!$K$4:$K$110,0)),IF('Track Data'!O1462=1,INDEX(Acceleration!$Q$4:$Q$110,MATCH('Track Data'!S1462,Acceleration!$K$4:$K$110,0)),'Track Data'!AG1462)),'Track Data'!U1462)</f>
        <v>4.5235291559310618</v>
      </c>
    </row>
    <row r="1463" spans="2:34" x14ac:dyDescent="0.25">
      <c r="B1463" s="16">
        <v>237.48400000000001</v>
      </c>
      <c r="C1463" s="16">
        <v>8733</v>
      </c>
      <c r="D1463" s="16">
        <v>1460</v>
      </c>
      <c r="E1463" s="113">
        <v>115</v>
      </c>
      <c r="F1463" s="113">
        <v>108</v>
      </c>
      <c r="G1463" s="113">
        <v>101.1</v>
      </c>
      <c r="H1463" s="113">
        <f t="shared" si="159"/>
        <v>28.083333333333332</v>
      </c>
      <c r="I1463" s="113">
        <v>12</v>
      </c>
      <c r="J1463" s="113">
        <v>15.72</v>
      </c>
      <c r="K1463" s="113">
        <v>-25.3</v>
      </c>
      <c r="L1463" s="183"/>
      <c r="M1463" s="16">
        <v>1460</v>
      </c>
      <c r="N1463" s="16">
        <f t="shared" si="161"/>
        <v>3.5246538176591118E-2</v>
      </c>
      <c r="O1463" s="16">
        <v>3</v>
      </c>
      <c r="P1463" s="16">
        <f t="shared" si="157"/>
        <v>10.596205962059623</v>
      </c>
      <c r="Q1463" s="16">
        <f t="shared" si="162"/>
        <v>28.371580635517478</v>
      </c>
      <c r="R1463" s="113">
        <f t="shared" si="158"/>
        <v>345.36</v>
      </c>
      <c r="S1463" s="16">
        <f>IF(S1462=15800,15800,ROUND((((Q1463*60)/'Gearing Calculator'!$C$14)*'Track Data'!P1463),-2))</f>
        <v>9100</v>
      </c>
      <c r="T1463" s="16">
        <f t="shared" si="160"/>
        <v>4.5235291559310618</v>
      </c>
      <c r="U1463" s="16">
        <f>IF(AC1463=100,Braking!$AG$2354,IF(AC1463=50,Braking!$AG$1179,IF(AC1463=75,Braking!$AG$1767,0)))</f>
        <v>0</v>
      </c>
      <c r="V1463" s="16">
        <f>0.5*'Gearing Calculator'!$C$15*'Gearing Calculator'!$C$20*'Gearing Calculator'!$W$20*('Track Data'!Q1463^2)</f>
        <v>85.195546848271832</v>
      </c>
      <c r="W1463" s="16">
        <f>('Gearing Calculator'!$U$9*'Track Data'!T1463)+'Track Data'!V1463</f>
        <v>1289.3590081571203</v>
      </c>
      <c r="X1463" s="16">
        <f>('Gearing Calculator'!$U$9*9.81)*('Gearing Calculator'!$U$16/'Gearing Calculator'!$C$7)-(('Track Data'!W1463)*('Gearing Calculator'!$U$17/'Gearing Calculator'!$C$7))</f>
        <v>698.37358541434548</v>
      </c>
      <c r="Y1463" s="16">
        <f>('Gearing Calculator'!$U$9*9.81)*(('Gearing Calculator'!$C$7-'Gearing Calculator'!$U$16)/'Gearing Calculator'!$C$7)+(('Track Data'!W1463)*('Gearing Calculator'!$U$17/'Gearing Calculator'!$C$7))</f>
        <v>1913.0484145856544</v>
      </c>
      <c r="Z1463" s="16">
        <f>((X1463*COS('Gearing Calculator'!$C$21))/'Gearing Calculator'!$C$22)/2</f>
        <v>21.591502493544937</v>
      </c>
      <c r="AA1463" s="16">
        <f>Y1463/'Gearing Calculator'!$C$24</f>
        <v>26.712572320359616</v>
      </c>
      <c r="AB1463" s="16">
        <f t="shared" si="163"/>
        <v>98.76613431606502</v>
      </c>
      <c r="AC1463" s="16">
        <v>0</v>
      </c>
      <c r="AD1463" s="16">
        <v>-46.712096975939801</v>
      </c>
      <c r="AE1463" s="16">
        <v>1460</v>
      </c>
      <c r="AF1463" s="16">
        <f>IF(AC1463=0,IF(O1463=6,INDEX(Acceleration!$V$4:$V$110,MATCH('Track Data'!S1463,Acceleration!$K$4:$K$110,0)),IF('Track Data'!O1463=5,INDEX(Acceleration!$U$4:$U$110,MATCH('Track Data'!S1463,Acceleration!$K$4:$K$110,0)),1)),U1463)</f>
        <v>1</v>
      </c>
      <c r="AG1463" s="16">
        <f>IF(AC1463=0,IF(O1463=4,INDEX(Acceleration!$T$4:$T$110,MATCH('Track Data'!S1463,Acceleration!$K$4:$K$110,0)),IF('Track Data'!O1463=3,INDEX(Acceleration!$S$4:$S$110,MATCH('Track Data'!S1463,Acceleration!$K$4:$K$110,0)),'Track Data'!AF1463)),'Track Data'!U1463)</f>
        <v>4.5235291559310618</v>
      </c>
      <c r="AH1463" s="16">
        <f>IF(AC1463=0,IF(O1463=2,INDEX(Acceleration!$R$4:$R$110,MATCH('Track Data'!S1463,Acceleration!$K$4:$K$110,0)),IF('Track Data'!O1463=1,INDEX(Acceleration!$Q$4:$Q$110,MATCH('Track Data'!S1463,Acceleration!$K$4:$K$110,0)),'Track Data'!AG1463)),'Track Data'!U1463)</f>
        <v>4.5235291559310618</v>
      </c>
    </row>
    <row r="1464" spans="2:34" x14ac:dyDescent="0.25">
      <c r="B1464" s="16">
        <v>237.517</v>
      </c>
      <c r="C1464" s="16">
        <v>8734</v>
      </c>
      <c r="D1464" s="16">
        <v>1461</v>
      </c>
      <c r="E1464" s="113">
        <v>116</v>
      </c>
      <c r="F1464" s="113">
        <v>108.8</v>
      </c>
      <c r="G1464" s="113">
        <v>102.1</v>
      </c>
      <c r="H1464" s="113">
        <f t="shared" si="159"/>
        <v>28.361111111111107</v>
      </c>
      <c r="I1464" s="113">
        <v>11.5</v>
      </c>
      <c r="J1464" s="113">
        <v>12.87</v>
      </c>
      <c r="K1464" s="113">
        <v>-25.5</v>
      </c>
      <c r="L1464" s="183"/>
      <c r="M1464" s="16">
        <v>1461</v>
      </c>
      <c r="N1464" s="16">
        <f t="shared" si="161"/>
        <v>3.5246538176591118E-2</v>
      </c>
      <c r="O1464" s="16">
        <v>3</v>
      </c>
      <c r="P1464" s="16">
        <f t="shared" si="157"/>
        <v>10.596205962059623</v>
      </c>
      <c r="Q1464" s="16">
        <f t="shared" si="162"/>
        <v>28.371580635517478</v>
      </c>
      <c r="R1464" s="113">
        <f t="shared" si="158"/>
        <v>345.36</v>
      </c>
      <c r="S1464" s="16">
        <f>IF(S1463=15800,15800,ROUND((((Q1464*60)/'Gearing Calculator'!$C$14)*'Track Data'!P1464),-2))</f>
        <v>9100</v>
      </c>
      <c r="T1464" s="16">
        <f t="shared" si="160"/>
        <v>4.5235291559310618</v>
      </c>
      <c r="U1464" s="16">
        <f>IF(AC1464=100,Braking!$AG$2354,IF(AC1464=50,Braking!$AG$1179,IF(AC1464=75,Braking!$AG$1767,0)))</f>
        <v>0</v>
      </c>
      <c r="V1464" s="16">
        <f>0.5*'Gearing Calculator'!$C$15*'Gearing Calculator'!$C$20*'Gearing Calculator'!$W$20*('Track Data'!Q1464^2)</f>
        <v>85.195546848271832</v>
      </c>
      <c r="W1464" s="16">
        <f>('Gearing Calculator'!$U$9*'Track Data'!T1464)+'Track Data'!V1464</f>
        <v>1289.3590081571203</v>
      </c>
      <c r="X1464" s="16">
        <f>('Gearing Calculator'!$U$9*9.81)*('Gearing Calculator'!$U$16/'Gearing Calculator'!$C$7)-(('Track Data'!W1464)*('Gearing Calculator'!$U$17/'Gearing Calculator'!$C$7))</f>
        <v>698.37358541434548</v>
      </c>
      <c r="Y1464" s="16">
        <f>('Gearing Calculator'!$U$9*9.81)*(('Gearing Calculator'!$C$7-'Gearing Calculator'!$U$16)/'Gearing Calculator'!$C$7)+(('Track Data'!W1464)*('Gearing Calculator'!$U$17/'Gearing Calculator'!$C$7))</f>
        <v>1913.0484145856544</v>
      </c>
      <c r="Z1464" s="16">
        <f>((X1464*COS('Gearing Calculator'!$C$21))/'Gearing Calculator'!$C$22)/2</f>
        <v>21.591502493544937</v>
      </c>
      <c r="AA1464" s="16">
        <f>Y1464/'Gearing Calculator'!$C$24</f>
        <v>26.712572320359616</v>
      </c>
      <c r="AB1464" s="16">
        <f t="shared" si="163"/>
        <v>98.76613431606502</v>
      </c>
      <c r="AC1464" s="16">
        <v>0</v>
      </c>
      <c r="AD1464" s="16">
        <v>-46.712096975939801</v>
      </c>
      <c r="AE1464" s="16">
        <v>1461</v>
      </c>
      <c r="AF1464" s="16">
        <f>IF(AC1464=0,IF(O1464=6,INDEX(Acceleration!$V$4:$V$110,MATCH('Track Data'!S1464,Acceleration!$K$4:$K$110,0)),IF('Track Data'!O1464=5,INDEX(Acceleration!$U$4:$U$110,MATCH('Track Data'!S1464,Acceleration!$K$4:$K$110,0)),1)),U1464)</f>
        <v>1</v>
      </c>
      <c r="AG1464" s="16">
        <f>IF(AC1464=0,IF(O1464=4,INDEX(Acceleration!$T$4:$T$110,MATCH('Track Data'!S1464,Acceleration!$K$4:$K$110,0)),IF('Track Data'!O1464=3,INDEX(Acceleration!$S$4:$S$110,MATCH('Track Data'!S1464,Acceleration!$K$4:$K$110,0)),'Track Data'!AF1464)),'Track Data'!U1464)</f>
        <v>4.5235291559310618</v>
      </c>
      <c r="AH1464" s="16">
        <f>IF(AC1464=0,IF(O1464=2,INDEX(Acceleration!$R$4:$R$110,MATCH('Track Data'!S1464,Acceleration!$K$4:$K$110,0)),IF('Track Data'!O1464=1,INDEX(Acceleration!$Q$4:$Q$110,MATCH('Track Data'!S1464,Acceleration!$K$4:$K$110,0)),'Track Data'!AG1464)),'Track Data'!U1464)</f>
        <v>4.5235291559310618</v>
      </c>
    </row>
    <row r="1465" spans="2:34" x14ac:dyDescent="0.25">
      <c r="B1465" s="16">
        <v>237.55</v>
      </c>
      <c r="C1465" s="16">
        <v>8735</v>
      </c>
      <c r="D1465" s="16">
        <v>1462</v>
      </c>
      <c r="E1465" s="113">
        <v>117</v>
      </c>
      <c r="F1465" s="113">
        <v>109.6</v>
      </c>
      <c r="G1465" s="113">
        <v>103.6</v>
      </c>
      <c r="H1465" s="113">
        <f t="shared" si="159"/>
        <v>28.777777777777775</v>
      </c>
      <c r="I1465" s="113">
        <v>10</v>
      </c>
      <c r="J1465" s="113">
        <v>12.32</v>
      </c>
      <c r="K1465" s="113">
        <v>-32.5</v>
      </c>
      <c r="L1465" s="183"/>
      <c r="M1465" s="16">
        <v>1462</v>
      </c>
      <c r="N1465" s="16">
        <f t="shared" si="161"/>
        <v>3.5246538176591118E-2</v>
      </c>
      <c r="O1465" s="16">
        <v>3</v>
      </c>
      <c r="P1465" s="16">
        <f t="shared" si="157"/>
        <v>10.596205962059623</v>
      </c>
      <c r="Q1465" s="16">
        <f t="shared" si="162"/>
        <v>28.371580635517478</v>
      </c>
      <c r="R1465" s="113">
        <f t="shared" si="158"/>
        <v>345.36</v>
      </c>
      <c r="S1465" s="16">
        <f>IF(S1464=15800,15800,ROUND((((Q1465*60)/'Gearing Calculator'!$C$14)*'Track Data'!P1465),-2))</f>
        <v>9100</v>
      </c>
      <c r="T1465" s="16">
        <f t="shared" si="160"/>
        <v>4.5235291559310618</v>
      </c>
      <c r="U1465" s="16">
        <f>IF(AC1465=100,Braking!$AG$2354,IF(AC1465=50,Braking!$AG$1179,IF(AC1465=75,Braking!$AG$1767,0)))</f>
        <v>0</v>
      </c>
      <c r="V1465" s="16">
        <f>0.5*'Gearing Calculator'!$C$15*'Gearing Calculator'!$C$20*'Gearing Calculator'!$W$20*('Track Data'!Q1465^2)</f>
        <v>85.195546848271832</v>
      </c>
      <c r="W1465" s="16">
        <f>('Gearing Calculator'!$U$9*'Track Data'!T1465)+'Track Data'!V1465</f>
        <v>1289.3590081571203</v>
      </c>
      <c r="X1465" s="16">
        <f>('Gearing Calculator'!$U$9*9.81)*('Gearing Calculator'!$U$16/'Gearing Calculator'!$C$7)-(('Track Data'!W1465)*('Gearing Calculator'!$U$17/'Gearing Calculator'!$C$7))</f>
        <v>698.37358541434548</v>
      </c>
      <c r="Y1465" s="16">
        <f>('Gearing Calculator'!$U$9*9.81)*(('Gearing Calculator'!$C$7-'Gearing Calculator'!$U$16)/'Gearing Calculator'!$C$7)+(('Track Data'!W1465)*('Gearing Calculator'!$U$17/'Gearing Calculator'!$C$7))</f>
        <v>1913.0484145856544</v>
      </c>
      <c r="Z1465" s="16">
        <f>((X1465*COS('Gearing Calculator'!$C$21))/'Gearing Calculator'!$C$22)/2</f>
        <v>21.591502493544937</v>
      </c>
      <c r="AA1465" s="16">
        <f>Y1465/'Gearing Calculator'!$C$24</f>
        <v>26.712572320359616</v>
      </c>
      <c r="AB1465" s="16">
        <f t="shared" si="163"/>
        <v>98.76613431606502</v>
      </c>
      <c r="AC1465" s="16">
        <v>0</v>
      </c>
      <c r="AD1465" s="16">
        <v>-46.712096975939801</v>
      </c>
      <c r="AE1465" s="16">
        <v>1462</v>
      </c>
      <c r="AF1465" s="16">
        <f>IF(AC1465=0,IF(O1465=6,INDEX(Acceleration!$V$4:$V$110,MATCH('Track Data'!S1465,Acceleration!$K$4:$K$110,0)),IF('Track Data'!O1465=5,INDEX(Acceleration!$U$4:$U$110,MATCH('Track Data'!S1465,Acceleration!$K$4:$K$110,0)),1)),U1465)</f>
        <v>1</v>
      </c>
      <c r="AG1465" s="16">
        <f>IF(AC1465=0,IF(O1465=4,INDEX(Acceleration!$T$4:$T$110,MATCH('Track Data'!S1465,Acceleration!$K$4:$K$110,0)),IF('Track Data'!O1465=3,INDEX(Acceleration!$S$4:$S$110,MATCH('Track Data'!S1465,Acceleration!$K$4:$K$110,0)),'Track Data'!AF1465)),'Track Data'!U1465)</f>
        <v>4.5235291559310618</v>
      </c>
      <c r="AH1465" s="16">
        <f>IF(AC1465=0,IF(O1465=2,INDEX(Acceleration!$R$4:$R$110,MATCH('Track Data'!S1465,Acceleration!$K$4:$K$110,0)),IF('Track Data'!O1465=1,INDEX(Acceleration!$Q$4:$Q$110,MATCH('Track Data'!S1465,Acceleration!$K$4:$K$110,0)),'Track Data'!AG1465)),'Track Data'!U1465)</f>
        <v>4.5235291559310618</v>
      </c>
    </row>
    <row r="1466" spans="2:34" x14ac:dyDescent="0.25">
      <c r="B1466" s="16">
        <v>237.583</v>
      </c>
      <c r="C1466" s="16">
        <v>8736</v>
      </c>
      <c r="D1466" s="16">
        <v>1463</v>
      </c>
      <c r="E1466" s="113">
        <v>117</v>
      </c>
      <c r="F1466" s="113">
        <v>109.4</v>
      </c>
      <c r="G1466" s="113">
        <v>104.8</v>
      </c>
      <c r="H1466" s="113">
        <f t="shared" si="159"/>
        <v>29.111111111111111</v>
      </c>
      <c r="I1466" s="113">
        <v>9.3000000000000007</v>
      </c>
      <c r="J1466" s="113">
        <v>11.78</v>
      </c>
      <c r="K1466" s="113">
        <v>-38.5</v>
      </c>
      <c r="L1466" s="183"/>
      <c r="M1466" s="16">
        <v>1463</v>
      </c>
      <c r="N1466" s="16">
        <f t="shared" si="161"/>
        <v>3.5246538176591118E-2</v>
      </c>
      <c r="O1466" s="16">
        <v>3</v>
      </c>
      <c r="P1466" s="16">
        <f t="shared" si="157"/>
        <v>10.596205962059623</v>
      </c>
      <c r="Q1466" s="16">
        <f t="shared" si="162"/>
        <v>28.371580635517478</v>
      </c>
      <c r="R1466" s="113">
        <f t="shared" si="158"/>
        <v>345.36</v>
      </c>
      <c r="S1466" s="16">
        <f>IF(S1465=15800,15800,ROUND((((Q1466*60)/'Gearing Calculator'!$C$14)*'Track Data'!P1466),-2))</f>
        <v>9100</v>
      </c>
      <c r="T1466" s="16">
        <f t="shared" si="160"/>
        <v>4.5235291559310618</v>
      </c>
      <c r="U1466" s="16">
        <f>IF(AC1466=100,Braking!$AG$2354,IF(AC1466=50,Braking!$AG$1179,IF(AC1466=75,Braking!$AG$1767,0)))</f>
        <v>0</v>
      </c>
      <c r="V1466" s="16">
        <f>0.5*'Gearing Calculator'!$C$15*'Gearing Calculator'!$C$20*'Gearing Calculator'!$W$20*('Track Data'!Q1466^2)</f>
        <v>85.195546848271832</v>
      </c>
      <c r="W1466" s="16">
        <f>('Gearing Calculator'!$U$9*'Track Data'!T1466)+'Track Data'!V1466</f>
        <v>1289.3590081571203</v>
      </c>
      <c r="X1466" s="16">
        <f>('Gearing Calculator'!$U$9*9.81)*('Gearing Calculator'!$U$16/'Gearing Calculator'!$C$7)-(('Track Data'!W1466)*('Gearing Calculator'!$U$17/'Gearing Calculator'!$C$7))</f>
        <v>698.37358541434548</v>
      </c>
      <c r="Y1466" s="16">
        <f>('Gearing Calculator'!$U$9*9.81)*(('Gearing Calculator'!$C$7-'Gearing Calculator'!$U$16)/'Gearing Calculator'!$C$7)+(('Track Data'!W1466)*('Gearing Calculator'!$U$17/'Gearing Calculator'!$C$7))</f>
        <v>1913.0484145856544</v>
      </c>
      <c r="Z1466" s="16">
        <f>((X1466*COS('Gearing Calculator'!$C$21))/'Gearing Calculator'!$C$22)/2</f>
        <v>21.591502493544937</v>
      </c>
      <c r="AA1466" s="16">
        <f>Y1466/'Gearing Calculator'!$C$24</f>
        <v>26.712572320359616</v>
      </c>
      <c r="AB1466" s="16">
        <f t="shared" si="163"/>
        <v>98.76613431606502</v>
      </c>
      <c r="AC1466" s="16">
        <v>0</v>
      </c>
      <c r="AD1466" s="16">
        <v>-46.712096975939801</v>
      </c>
      <c r="AE1466" s="16">
        <v>1463</v>
      </c>
      <c r="AF1466" s="16">
        <f>IF(AC1466=0,IF(O1466=6,INDEX(Acceleration!$V$4:$V$110,MATCH('Track Data'!S1466,Acceleration!$K$4:$K$110,0)),IF('Track Data'!O1466=5,INDEX(Acceleration!$U$4:$U$110,MATCH('Track Data'!S1466,Acceleration!$K$4:$K$110,0)),1)),U1466)</f>
        <v>1</v>
      </c>
      <c r="AG1466" s="16">
        <f>IF(AC1466=0,IF(O1466=4,INDEX(Acceleration!$T$4:$T$110,MATCH('Track Data'!S1466,Acceleration!$K$4:$K$110,0)),IF('Track Data'!O1466=3,INDEX(Acceleration!$S$4:$S$110,MATCH('Track Data'!S1466,Acceleration!$K$4:$K$110,0)),'Track Data'!AF1466)),'Track Data'!U1466)</f>
        <v>4.5235291559310618</v>
      </c>
      <c r="AH1466" s="16">
        <f>IF(AC1466=0,IF(O1466=2,INDEX(Acceleration!$R$4:$R$110,MATCH('Track Data'!S1466,Acceleration!$K$4:$K$110,0)),IF('Track Data'!O1466=1,INDEX(Acceleration!$Q$4:$Q$110,MATCH('Track Data'!S1466,Acceleration!$K$4:$K$110,0)),'Track Data'!AG1466)),'Track Data'!U1466)</f>
        <v>4.5235291559310618</v>
      </c>
    </row>
    <row r="1467" spans="2:34" x14ac:dyDescent="0.25">
      <c r="B1467" s="16">
        <v>237.61600000000001</v>
      </c>
      <c r="C1467" s="16">
        <v>8737</v>
      </c>
      <c r="D1467" s="16">
        <v>1464</v>
      </c>
      <c r="E1467" s="113">
        <v>117</v>
      </c>
      <c r="F1467" s="113">
        <v>109.7</v>
      </c>
      <c r="G1467" s="113">
        <v>106</v>
      </c>
      <c r="H1467" s="113">
        <f t="shared" si="159"/>
        <v>29.444444444444443</v>
      </c>
      <c r="I1467" s="113">
        <v>9.1</v>
      </c>
      <c r="J1467" s="113">
        <v>8.06</v>
      </c>
      <c r="K1467" s="113">
        <v>-47.5</v>
      </c>
      <c r="L1467" s="183"/>
      <c r="M1467" s="16">
        <v>1464</v>
      </c>
      <c r="N1467" s="16">
        <f t="shared" si="161"/>
        <v>3.5246538176591118E-2</v>
      </c>
      <c r="O1467" s="16">
        <v>3</v>
      </c>
      <c r="P1467" s="16">
        <f t="shared" si="157"/>
        <v>10.596205962059623</v>
      </c>
      <c r="Q1467" s="16">
        <f t="shared" si="162"/>
        <v>28.371580635517478</v>
      </c>
      <c r="R1467" s="113">
        <f t="shared" si="158"/>
        <v>345.36</v>
      </c>
      <c r="S1467" s="16">
        <f>IF(S1466=15800,15800,ROUND((((Q1467*60)/'Gearing Calculator'!$C$14)*'Track Data'!P1467),-2))</f>
        <v>9100</v>
      </c>
      <c r="T1467" s="16">
        <f t="shared" si="160"/>
        <v>4.5235291559310618</v>
      </c>
      <c r="U1467" s="16">
        <f>IF(AC1467=100,Braking!$AG$2354,IF(AC1467=50,Braking!$AG$1179,IF(AC1467=75,Braking!$AG$1767,0)))</f>
        <v>0</v>
      </c>
      <c r="V1467" s="16">
        <f>0.5*'Gearing Calculator'!$C$15*'Gearing Calculator'!$C$20*'Gearing Calculator'!$W$20*('Track Data'!Q1467^2)</f>
        <v>85.195546848271832</v>
      </c>
      <c r="W1467" s="16">
        <f>('Gearing Calculator'!$U$9*'Track Data'!T1467)+'Track Data'!V1467</f>
        <v>1289.3590081571203</v>
      </c>
      <c r="X1467" s="16">
        <f>('Gearing Calculator'!$U$9*9.81)*('Gearing Calculator'!$U$16/'Gearing Calculator'!$C$7)-(('Track Data'!W1467)*('Gearing Calculator'!$U$17/'Gearing Calculator'!$C$7))</f>
        <v>698.37358541434548</v>
      </c>
      <c r="Y1467" s="16">
        <f>('Gearing Calculator'!$U$9*9.81)*(('Gearing Calculator'!$C$7-'Gearing Calculator'!$U$16)/'Gearing Calculator'!$C$7)+(('Track Data'!W1467)*('Gearing Calculator'!$U$17/'Gearing Calculator'!$C$7))</f>
        <v>1913.0484145856544</v>
      </c>
      <c r="Z1467" s="16">
        <f>((X1467*COS('Gearing Calculator'!$C$21))/'Gearing Calculator'!$C$22)/2</f>
        <v>21.591502493544937</v>
      </c>
      <c r="AA1467" s="16">
        <f>Y1467/'Gearing Calculator'!$C$24</f>
        <v>26.712572320359616</v>
      </c>
      <c r="AB1467" s="16">
        <f t="shared" si="163"/>
        <v>98.76613431606502</v>
      </c>
      <c r="AC1467" s="16">
        <v>0</v>
      </c>
      <c r="AD1467" s="16">
        <v>-46.712096975939801</v>
      </c>
      <c r="AE1467" s="16">
        <v>1464</v>
      </c>
      <c r="AF1467" s="16">
        <f>IF(AC1467=0,IF(O1467=6,INDEX(Acceleration!$V$4:$V$110,MATCH('Track Data'!S1467,Acceleration!$K$4:$K$110,0)),IF('Track Data'!O1467=5,INDEX(Acceleration!$U$4:$U$110,MATCH('Track Data'!S1467,Acceleration!$K$4:$K$110,0)),1)),U1467)</f>
        <v>1</v>
      </c>
      <c r="AG1467" s="16">
        <f>IF(AC1467=0,IF(O1467=4,INDEX(Acceleration!$T$4:$T$110,MATCH('Track Data'!S1467,Acceleration!$K$4:$K$110,0)),IF('Track Data'!O1467=3,INDEX(Acceleration!$S$4:$S$110,MATCH('Track Data'!S1467,Acceleration!$K$4:$K$110,0)),'Track Data'!AF1467)),'Track Data'!U1467)</f>
        <v>4.5235291559310618</v>
      </c>
      <c r="AH1467" s="16">
        <f>IF(AC1467=0,IF(O1467=2,INDEX(Acceleration!$R$4:$R$110,MATCH('Track Data'!S1467,Acceleration!$K$4:$K$110,0)),IF('Track Data'!O1467=1,INDEX(Acceleration!$Q$4:$Q$110,MATCH('Track Data'!S1467,Acceleration!$K$4:$K$110,0)),'Track Data'!AG1467)),'Track Data'!U1467)</f>
        <v>4.5235291559310618</v>
      </c>
    </row>
    <row r="1468" spans="2:34" x14ac:dyDescent="0.25">
      <c r="B1468" s="16">
        <v>237.648</v>
      </c>
      <c r="C1468" s="16">
        <v>8738</v>
      </c>
      <c r="D1468" s="16">
        <v>1465</v>
      </c>
      <c r="E1468" s="113">
        <v>118</v>
      </c>
      <c r="F1468" s="113">
        <v>110.7</v>
      </c>
      <c r="G1468" s="113">
        <v>107.2</v>
      </c>
      <c r="H1468" s="113">
        <f t="shared" si="159"/>
        <v>29.777777777777779</v>
      </c>
      <c r="I1468" s="113">
        <v>6.6</v>
      </c>
      <c r="J1468" s="113">
        <v>5.48</v>
      </c>
      <c r="K1468" s="113">
        <v>-59.9</v>
      </c>
      <c r="L1468" s="183"/>
      <c r="M1468" s="16">
        <v>1465</v>
      </c>
      <c r="N1468" s="16">
        <f t="shared" si="161"/>
        <v>3.5246538176591118E-2</v>
      </c>
      <c r="O1468" s="16">
        <v>3</v>
      </c>
      <c r="P1468" s="16">
        <f t="shared" si="157"/>
        <v>10.596205962059623</v>
      </c>
      <c r="Q1468" s="16">
        <f t="shared" si="162"/>
        <v>28.371580635517478</v>
      </c>
      <c r="R1468" s="113">
        <f t="shared" si="158"/>
        <v>345.36</v>
      </c>
      <c r="S1468" s="16">
        <f>IF(S1467=15800,15800,ROUND((((Q1468*60)/'Gearing Calculator'!$C$14)*'Track Data'!P1468),-2))</f>
        <v>9100</v>
      </c>
      <c r="T1468" s="16">
        <f t="shared" si="160"/>
        <v>4.5235291559310618</v>
      </c>
      <c r="U1468" s="16">
        <f>IF(AC1468=100,Braking!$AG$2354,IF(AC1468=50,Braking!$AG$1179,IF(AC1468=75,Braking!$AG$1767,0)))</f>
        <v>0</v>
      </c>
      <c r="V1468" s="16">
        <f>0.5*'Gearing Calculator'!$C$15*'Gearing Calculator'!$C$20*'Gearing Calculator'!$W$20*('Track Data'!Q1468^2)</f>
        <v>85.195546848271832</v>
      </c>
      <c r="W1468" s="16">
        <f>('Gearing Calculator'!$U$9*'Track Data'!T1468)+'Track Data'!V1468</f>
        <v>1289.3590081571203</v>
      </c>
      <c r="X1468" s="16">
        <f>('Gearing Calculator'!$U$9*9.81)*('Gearing Calculator'!$U$16/'Gearing Calculator'!$C$7)-(('Track Data'!W1468)*('Gearing Calculator'!$U$17/'Gearing Calculator'!$C$7))</f>
        <v>698.37358541434548</v>
      </c>
      <c r="Y1468" s="16">
        <f>('Gearing Calculator'!$U$9*9.81)*(('Gearing Calculator'!$C$7-'Gearing Calculator'!$U$16)/'Gearing Calculator'!$C$7)+(('Track Data'!W1468)*('Gearing Calculator'!$U$17/'Gearing Calculator'!$C$7))</f>
        <v>1913.0484145856544</v>
      </c>
      <c r="Z1468" s="16">
        <f>((X1468*COS('Gearing Calculator'!$C$21))/'Gearing Calculator'!$C$22)/2</f>
        <v>21.591502493544937</v>
      </c>
      <c r="AA1468" s="16">
        <f>Y1468/'Gearing Calculator'!$C$24</f>
        <v>26.712572320359616</v>
      </c>
      <c r="AB1468" s="16">
        <f t="shared" si="163"/>
        <v>98.76613431606502</v>
      </c>
      <c r="AC1468" s="16">
        <v>0</v>
      </c>
      <c r="AD1468" s="16">
        <v>-46.712096975939801</v>
      </c>
      <c r="AE1468" s="16">
        <v>1465</v>
      </c>
      <c r="AF1468" s="16">
        <f>IF(AC1468=0,IF(O1468=6,INDEX(Acceleration!$V$4:$V$110,MATCH('Track Data'!S1468,Acceleration!$K$4:$K$110,0)),IF('Track Data'!O1468=5,INDEX(Acceleration!$U$4:$U$110,MATCH('Track Data'!S1468,Acceleration!$K$4:$K$110,0)),1)),U1468)</f>
        <v>1</v>
      </c>
      <c r="AG1468" s="16">
        <f>IF(AC1468=0,IF(O1468=4,INDEX(Acceleration!$T$4:$T$110,MATCH('Track Data'!S1468,Acceleration!$K$4:$K$110,0)),IF('Track Data'!O1468=3,INDEX(Acceleration!$S$4:$S$110,MATCH('Track Data'!S1468,Acceleration!$K$4:$K$110,0)),'Track Data'!AF1468)),'Track Data'!U1468)</f>
        <v>4.5235291559310618</v>
      </c>
      <c r="AH1468" s="16">
        <f>IF(AC1468=0,IF(O1468=2,INDEX(Acceleration!$R$4:$R$110,MATCH('Track Data'!S1468,Acceleration!$K$4:$K$110,0)),IF('Track Data'!O1468=1,INDEX(Acceleration!$Q$4:$Q$110,MATCH('Track Data'!S1468,Acceleration!$K$4:$K$110,0)),'Track Data'!AG1468)),'Track Data'!U1468)</f>
        <v>4.5235291559310618</v>
      </c>
    </row>
    <row r="1469" spans="2:34" x14ac:dyDescent="0.25">
      <c r="B1469" s="16">
        <v>237.68100000000001</v>
      </c>
      <c r="C1469" s="16">
        <v>8739</v>
      </c>
      <c r="D1469" s="16">
        <v>1466</v>
      </c>
      <c r="E1469" s="113">
        <v>119</v>
      </c>
      <c r="F1469" s="113">
        <v>112.1</v>
      </c>
      <c r="G1469" s="113">
        <v>108.8</v>
      </c>
      <c r="H1469" s="113">
        <f t="shared" si="159"/>
        <v>30.222222222222221</v>
      </c>
      <c r="I1469" s="113">
        <v>3.5</v>
      </c>
      <c r="J1469" s="113">
        <v>5.82</v>
      </c>
      <c r="K1469" s="113">
        <v>-73.5</v>
      </c>
      <c r="L1469" s="183"/>
      <c r="M1469" s="16">
        <v>1466</v>
      </c>
      <c r="N1469" s="16">
        <f t="shared" si="161"/>
        <v>3.5246538176591118E-2</v>
      </c>
      <c r="O1469" s="16">
        <v>3</v>
      </c>
      <c r="P1469" s="16">
        <f t="shared" si="157"/>
        <v>10.596205962059623</v>
      </c>
      <c r="Q1469" s="16">
        <f t="shared" si="162"/>
        <v>28.371580635517478</v>
      </c>
      <c r="R1469" s="113">
        <f t="shared" si="158"/>
        <v>345.36</v>
      </c>
      <c r="S1469" s="16">
        <f>IF(S1468=15800,15800,ROUND((((Q1469*60)/'Gearing Calculator'!$C$14)*'Track Data'!P1469),-2))</f>
        <v>9100</v>
      </c>
      <c r="T1469" s="16">
        <f t="shared" si="160"/>
        <v>4.5235291559310618</v>
      </c>
      <c r="U1469" s="16">
        <f>IF(AC1469=100,Braking!$AG$2354,IF(AC1469=50,Braking!$AG$1179,IF(AC1469=75,Braking!$AG$1767,0)))</f>
        <v>0</v>
      </c>
      <c r="V1469" s="16">
        <f>0.5*'Gearing Calculator'!$C$15*'Gearing Calculator'!$C$20*'Gearing Calculator'!$W$20*('Track Data'!Q1469^2)</f>
        <v>85.195546848271832</v>
      </c>
      <c r="W1469" s="16">
        <f>('Gearing Calculator'!$U$9*'Track Data'!T1469)+'Track Data'!V1469</f>
        <v>1289.3590081571203</v>
      </c>
      <c r="X1469" s="16">
        <f>('Gearing Calculator'!$U$9*9.81)*('Gearing Calculator'!$U$16/'Gearing Calculator'!$C$7)-(('Track Data'!W1469)*('Gearing Calculator'!$U$17/'Gearing Calculator'!$C$7))</f>
        <v>698.37358541434548</v>
      </c>
      <c r="Y1469" s="16">
        <f>('Gearing Calculator'!$U$9*9.81)*(('Gearing Calculator'!$C$7-'Gearing Calculator'!$U$16)/'Gearing Calculator'!$C$7)+(('Track Data'!W1469)*('Gearing Calculator'!$U$17/'Gearing Calculator'!$C$7))</f>
        <v>1913.0484145856544</v>
      </c>
      <c r="Z1469" s="16">
        <f>((X1469*COS('Gearing Calculator'!$C$21))/'Gearing Calculator'!$C$22)/2</f>
        <v>21.591502493544937</v>
      </c>
      <c r="AA1469" s="16">
        <f>Y1469/'Gearing Calculator'!$C$24</f>
        <v>26.712572320359616</v>
      </c>
      <c r="AB1469" s="16">
        <f t="shared" si="163"/>
        <v>98.76613431606502</v>
      </c>
      <c r="AC1469" s="16">
        <v>0</v>
      </c>
      <c r="AD1469" s="16">
        <v>-46.712096975939801</v>
      </c>
      <c r="AE1469" s="16">
        <v>1466</v>
      </c>
      <c r="AF1469" s="16">
        <f>IF(AC1469=0,IF(O1469=6,INDEX(Acceleration!$V$4:$V$110,MATCH('Track Data'!S1469,Acceleration!$K$4:$K$110,0)),IF('Track Data'!O1469=5,INDEX(Acceleration!$U$4:$U$110,MATCH('Track Data'!S1469,Acceleration!$K$4:$K$110,0)),1)),U1469)</f>
        <v>1</v>
      </c>
      <c r="AG1469" s="16">
        <f>IF(AC1469=0,IF(O1469=4,INDEX(Acceleration!$T$4:$T$110,MATCH('Track Data'!S1469,Acceleration!$K$4:$K$110,0)),IF('Track Data'!O1469=3,INDEX(Acceleration!$S$4:$S$110,MATCH('Track Data'!S1469,Acceleration!$K$4:$K$110,0)),'Track Data'!AF1469)),'Track Data'!U1469)</f>
        <v>4.5235291559310618</v>
      </c>
      <c r="AH1469" s="16">
        <f>IF(AC1469=0,IF(O1469=2,INDEX(Acceleration!$R$4:$R$110,MATCH('Track Data'!S1469,Acceleration!$K$4:$K$110,0)),IF('Track Data'!O1469=1,INDEX(Acceleration!$Q$4:$Q$110,MATCH('Track Data'!S1469,Acceleration!$K$4:$K$110,0)),'Track Data'!AG1469)),'Track Data'!U1469)</f>
        <v>4.5235291559310618</v>
      </c>
    </row>
    <row r="1470" spans="2:34" x14ac:dyDescent="0.25">
      <c r="B1470" s="16">
        <v>237.71299999999999</v>
      </c>
      <c r="C1470" s="16">
        <v>8740</v>
      </c>
      <c r="D1470" s="16">
        <v>1467</v>
      </c>
      <c r="E1470" s="113">
        <v>120</v>
      </c>
      <c r="F1470" s="113">
        <v>112.5</v>
      </c>
      <c r="G1470" s="113">
        <v>110</v>
      </c>
      <c r="H1470" s="113">
        <f t="shared" si="159"/>
        <v>30.555555555555554</v>
      </c>
      <c r="I1470" s="113">
        <v>3</v>
      </c>
      <c r="J1470" s="113">
        <v>5.37</v>
      </c>
      <c r="K1470" s="113">
        <v>-62.7</v>
      </c>
      <c r="L1470" s="183"/>
      <c r="M1470" s="16">
        <v>1467</v>
      </c>
      <c r="N1470" s="16">
        <f t="shared" si="161"/>
        <v>3.5246538176591118E-2</v>
      </c>
      <c r="O1470" s="16">
        <v>3</v>
      </c>
      <c r="P1470" s="16">
        <f t="shared" si="157"/>
        <v>10.596205962059623</v>
      </c>
      <c r="Q1470" s="16">
        <f t="shared" si="162"/>
        <v>28.371580635517478</v>
      </c>
      <c r="R1470" s="113">
        <f t="shared" si="158"/>
        <v>345.36</v>
      </c>
      <c r="S1470" s="16">
        <f>IF(S1469=15800,15800,ROUND((((Q1470*60)/'Gearing Calculator'!$C$14)*'Track Data'!P1470),-2))</f>
        <v>9100</v>
      </c>
      <c r="T1470" s="16">
        <f t="shared" si="160"/>
        <v>4.5235291559310618</v>
      </c>
      <c r="U1470" s="16">
        <f>IF(AC1470=100,Braking!$AG$2354,IF(AC1470=50,Braking!$AG$1179,IF(AC1470=75,Braking!$AG$1767,0)))</f>
        <v>0</v>
      </c>
      <c r="V1470" s="16">
        <f>0.5*'Gearing Calculator'!$C$15*'Gearing Calculator'!$C$20*'Gearing Calculator'!$W$20*('Track Data'!Q1470^2)</f>
        <v>85.195546848271832</v>
      </c>
      <c r="W1470" s="16">
        <f>('Gearing Calculator'!$U$9*'Track Data'!T1470)+'Track Data'!V1470</f>
        <v>1289.3590081571203</v>
      </c>
      <c r="X1470" s="16">
        <f>('Gearing Calculator'!$U$9*9.81)*('Gearing Calculator'!$U$16/'Gearing Calculator'!$C$7)-(('Track Data'!W1470)*('Gearing Calculator'!$U$17/'Gearing Calculator'!$C$7))</f>
        <v>698.37358541434548</v>
      </c>
      <c r="Y1470" s="16">
        <f>('Gearing Calculator'!$U$9*9.81)*(('Gearing Calculator'!$C$7-'Gearing Calculator'!$U$16)/'Gearing Calculator'!$C$7)+(('Track Data'!W1470)*('Gearing Calculator'!$U$17/'Gearing Calculator'!$C$7))</f>
        <v>1913.0484145856544</v>
      </c>
      <c r="Z1470" s="16">
        <f>((X1470*COS('Gearing Calculator'!$C$21))/'Gearing Calculator'!$C$22)/2</f>
        <v>21.591502493544937</v>
      </c>
      <c r="AA1470" s="16">
        <f>Y1470/'Gearing Calculator'!$C$24</f>
        <v>26.712572320359616</v>
      </c>
      <c r="AB1470" s="16">
        <f t="shared" si="163"/>
        <v>98.76613431606502</v>
      </c>
      <c r="AC1470" s="16">
        <v>0</v>
      </c>
      <c r="AD1470" s="16">
        <v>-46.712096975939801</v>
      </c>
      <c r="AE1470" s="16">
        <v>1467</v>
      </c>
      <c r="AF1470" s="16">
        <f>IF(AC1470=0,IF(O1470=6,INDEX(Acceleration!$V$4:$V$110,MATCH('Track Data'!S1470,Acceleration!$K$4:$K$110,0)),IF('Track Data'!O1470=5,INDEX(Acceleration!$U$4:$U$110,MATCH('Track Data'!S1470,Acceleration!$K$4:$K$110,0)),1)),U1470)</f>
        <v>1</v>
      </c>
      <c r="AG1470" s="16">
        <f>IF(AC1470=0,IF(O1470=4,INDEX(Acceleration!$T$4:$T$110,MATCH('Track Data'!S1470,Acceleration!$K$4:$K$110,0)),IF('Track Data'!O1470=3,INDEX(Acceleration!$S$4:$S$110,MATCH('Track Data'!S1470,Acceleration!$K$4:$K$110,0)),'Track Data'!AF1470)),'Track Data'!U1470)</f>
        <v>4.5235291559310618</v>
      </c>
      <c r="AH1470" s="16">
        <f>IF(AC1470=0,IF(O1470=2,INDEX(Acceleration!$R$4:$R$110,MATCH('Track Data'!S1470,Acceleration!$K$4:$K$110,0)),IF('Track Data'!O1470=1,INDEX(Acceleration!$Q$4:$Q$110,MATCH('Track Data'!S1470,Acceleration!$K$4:$K$110,0)),'Track Data'!AG1470)),'Track Data'!U1470)</f>
        <v>4.5235291559310618</v>
      </c>
    </row>
    <row r="1471" spans="2:34" x14ac:dyDescent="0.25">
      <c r="B1471" s="16">
        <v>237.745</v>
      </c>
      <c r="C1471" s="16">
        <v>8741</v>
      </c>
      <c r="D1471" s="16">
        <v>1468</v>
      </c>
      <c r="E1471" s="113">
        <v>120</v>
      </c>
      <c r="F1471" s="113">
        <v>114</v>
      </c>
      <c r="G1471" s="113">
        <v>111.2</v>
      </c>
      <c r="H1471" s="113">
        <f t="shared" si="159"/>
        <v>30.888888888888889</v>
      </c>
      <c r="I1471" s="113">
        <v>3.9</v>
      </c>
      <c r="J1471" s="113">
        <v>3.36</v>
      </c>
      <c r="K1471" s="113">
        <v>-52</v>
      </c>
      <c r="L1471" s="183"/>
      <c r="M1471" s="16">
        <v>1468</v>
      </c>
      <c r="N1471" s="16">
        <f t="shared" si="161"/>
        <v>3.5246538176591118E-2</v>
      </c>
      <c r="O1471" s="16">
        <v>3</v>
      </c>
      <c r="P1471" s="16">
        <f t="shared" si="157"/>
        <v>10.596205962059623</v>
      </c>
      <c r="Q1471" s="16">
        <f t="shared" si="162"/>
        <v>28.371580635517478</v>
      </c>
      <c r="R1471" s="113">
        <f t="shared" si="158"/>
        <v>345.36</v>
      </c>
      <c r="S1471" s="16">
        <f>IF(S1470=15800,15800,ROUND((((Q1471*60)/'Gearing Calculator'!$C$14)*'Track Data'!P1471),-2))</f>
        <v>9100</v>
      </c>
      <c r="T1471" s="16">
        <f t="shared" si="160"/>
        <v>4.5235291559310618</v>
      </c>
      <c r="U1471" s="16">
        <f>IF(AC1471=100,Braking!$AG$2354,IF(AC1471=50,Braking!$AG$1179,IF(AC1471=75,Braking!$AG$1767,0)))</f>
        <v>0</v>
      </c>
      <c r="V1471" s="16">
        <f>0.5*'Gearing Calculator'!$C$15*'Gearing Calculator'!$C$20*'Gearing Calculator'!$W$20*('Track Data'!Q1471^2)</f>
        <v>85.195546848271832</v>
      </c>
      <c r="W1471" s="16">
        <f>('Gearing Calculator'!$U$9*'Track Data'!T1471)+'Track Data'!V1471</f>
        <v>1289.3590081571203</v>
      </c>
      <c r="X1471" s="16">
        <f>('Gearing Calculator'!$U$9*9.81)*('Gearing Calculator'!$U$16/'Gearing Calculator'!$C$7)-(('Track Data'!W1471)*('Gearing Calculator'!$U$17/'Gearing Calculator'!$C$7))</f>
        <v>698.37358541434548</v>
      </c>
      <c r="Y1471" s="16">
        <f>('Gearing Calculator'!$U$9*9.81)*(('Gearing Calculator'!$C$7-'Gearing Calculator'!$U$16)/'Gearing Calculator'!$C$7)+(('Track Data'!W1471)*('Gearing Calculator'!$U$17/'Gearing Calculator'!$C$7))</f>
        <v>1913.0484145856544</v>
      </c>
      <c r="Z1471" s="16">
        <f>((X1471*COS('Gearing Calculator'!$C$21))/'Gearing Calculator'!$C$22)/2</f>
        <v>21.591502493544937</v>
      </c>
      <c r="AA1471" s="16">
        <f>Y1471/'Gearing Calculator'!$C$24</f>
        <v>26.712572320359616</v>
      </c>
      <c r="AB1471" s="16">
        <f t="shared" si="163"/>
        <v>98.76613431606502</v>
      </c>
      <c r="AC1471" s="16">
        <v>0</v>
      </c>
      <c r="AD1471" s="16">
        <v>-46.712096975939801</v>
      </c>
      <c r="AE1471" s="16">
        <v>1468</v>
      </c>
      <c r="AF1471" s="16">
        <f>IF(AC1471=0,IF(O1471=6,INDEX(Acceleration!$V$4:$V$110,MATCH('Track Data'!S1471,Acceleration!$K$4:$K$110,0)),IF('Track Data'!O1471=5,INDEX(Acceleration!$U$4:$U$110,MATCH('Track Data'!S1471,Acceleration!$K$4:$K$110,0)),1)),U1471)</f>
        <v>1</v>
      </c>
      <c r="AG1471" s="16">
        <f>IF(AC1471=0,IF(O1471=4,INDEX(Acceleration!$T$4:$T$110,MATCH('Track Data'!S1471,Acceleration!$K$4:$K$110,0)),IF('Track Data'!O1471=3,INDEX(Acceleration!$S$4:$S$110,MATCH('Track Data'!S1471,Acceleration!$K$4:$K$110,0)),'Track Data'!AF1471)),'Track Data'!U1471)</f>
        <v>4.5235291559310618</v>
      </c>
      <c r="AH1471" s="16">
        <f>IF(AC1471=0,IF(O1471=2,INDEX(Acceleration!$R$4:$R$110,MATCH('Track Data'!S1471,Acceleration!$K$4:$K$110,0)),IF('Track Data'!O1471=1,INDEX(Acceleration!$Q$4:$Q$110,MATCH('Track Data'!S1471,Acceleration!$K$4:$K$110,0)),'Track Data'!AG1471)),'Track Data'!U1471)</f>
        <v>4.5235291559310618</v>
      </c>
    </row>
    <row r="1472" spans="2:34" x14ac:dyDescent="0.25">
      <c r="B1472" s="16">
        <v>237.77600000000001</v>
      </c>
      <c r="C1472" s="16">
        <v>8742</v>
      </c>
      <c r="D1472" s="16">
        <v>1469</v>
      </c>
      <c r="E1472" s="113">
        <v>120</v>
      </c>
      <c r="F1472" s="113">
        <v>115.2</v>
      </c>
      <c r="G1472" s="113">
        <v>112.1</v>
      </c>
      <c r="H1472" s="113">
        <f t="shared" si="159"/>
        <v>31.138888888888886</v>
      </c>
      <c r="I1472" s="113">
        <v>3.5</v>
      </c>
      <c r="J1472" s="113">
        <v>10.94</v>
      </c>
      <c r="K1472" s="113">
        <v>-46.2</v>
      </c>
      <c r="L1472" s="183"/>
      <c r="M1472" s="16">
        <v>1469</v>
      </c>
      <c r="N1472" s="16">
        <f t="shared" si="161"/>
        <v>3.5246538176591118E-2</v>
      </c>
      <c r="O1472" s="16">
        <v>3</v>
      </c>
      <c r="P1472" s="16">
        <f t="shared" si="157"/>
        <v>10.596205962059623</v>
      </c>
      <c r="Q1472" s="16">
        <f t="shared" si="162"/>
        <v>28.371580635517478</v>
      </c>
      <c r="R1472" s="113">
        <f t="shared" si="158"/>
        <v>345.36</v>
      </c>
      <c r="S1472" s="16">
        <f>IF(S1471=15800,15800,ROUND((((Q1472*60)/'Gearing Calculator'!$C$14)*'Track Data'!P1472),-2))</f>
        <v>9100</v>
      </c>
      <c r="T1472" s="16">
        <f t="shared" si="160"/>
        <v>4.5235291559310618</v>
      </c>
      <c r="U1472" s="16">
        <f>IF(AC1472=100,Braking!$AG$2354,IF(AC1472=50,Braking!$AG$1179,IF(AC1472=75,Braking!$AG$1767,0)))</f>
        <v>0</v>
      </c>
      <c r="V1472" s="16">
        <f>0.5*'Gearing Calculator'!$C$15*'Gearing Calculator'!$C$20*'Gearing Calculator'!$W$20*('Track Data'!Q1472^2)</f>
        <v>85.195546848271832</v>
      </c>
      <c r="W1472" s="16">
        <f>('Gearing Calculator'!$U$9*'Track Data'!T1472)+'Track Data'!V1472</f>
        <v>1289.3590081571203</v>
      </c>
      <c r="X1472" s="16">
        <f>('Gearing Calculator'!$U$9*9.81)*('Gearing Calculator'!$U$16/'Gearing Calculator'!$C$7)-(('Track Data'!W1472)*('Gearing Calculator'!$U$17/'Gearing Calculator'!$C$7))</f>
        <v>698.37358541434548</v>
      </c>
      <c r="Y1472" s="16">
        <f>('Gearing Calculator'!$U$9*9.81)*(('Gearing Calculator'!$C$7-'Gearing Calculator'!$U$16)/'Gearing Calculator'!$C$7)+(('Track Data'!W1472)*('Gearing Calculator'!$U$17/'Gearing Calculator'!$C$7))</f>
        <v>1913.0484145856544</v>
      </c>
      <c r="Z1472" s="16">
        <f>((X1472*COS('Gearing Calculator'!$C$21))/'Gearing Calculator'!$C$22)/2</f>
        <v>21.591502493544937</v>
      </c>
      <c r="AA1472" s="16">
        <f>Y1472/'Gearing Calculator'!$C$24</f>
        <v>26.712572320359616</v>
      </c>
      <c r="AB1472" s="16">
        <f t="shared" si="163"/>
        <v>98.76613431606502</v>
      </c>
      <c r="AC1472" s="16">
        <v>0</v>
      </c>
      <c r="AD1472" s="16">
        <v>-46.712096975939801</v>
      </c>
      <c r="AE1472" s="16">
        <v>1469</v>
      </c>
      <c r="AF1472" s="16">
        <f>IF(AC1472=0,IF(O1472=6,INDEX(Acceleration!$V$4:$V$110,MATCH('Track Data'!S1472,Acceleration!$K$4:$K$110,0)),IF('Track Data'!O1472=5,INDEX(Acceleration!$U$4:$U$110,MATCH('Track Data'!S1472,Acceleration!$K$4:$K$110,0)),1)),U1472)</f>
        <v>1</v>
      </c>
      <c r="AG1472" s="16">
        <f>IF(AC1472=0,IF(O1472=4,INDEX(Acceleration!$T$4:$T$110,MATCH('Track Data'!S1472,Acceleration!$K$4:$K$110,0)),IF('Track Data'!O1472=3,INDEX(Acceleration!$S$4:$S$110,MATCH('Track Data'!S1472,Acceleration!$K$4:$K$110,0)),'Track Data'!AF1472)),'Track Data'!U1472)</f>
        <v>4.5235291559310618</v>
      </c>
      <c r="AH1472" s="16">
        <f>IF(AC1472=0,IF(O1472=2,INDEX(Acceleration!$R$4:$R$110,MATCH('Track Data'!S1472,Acceleration!$K$4:$K$110,0)),IF('Track Data'!O1472=1,INDEX(Acceleration!$Q$4:$Q$110,MATCH('Track Data'!S1472,Acceleration!$K$4:$K$110,0)),'Track Data'!AG1472)),'Track Data'!U1472)</f>
        <v>4.5235291559310618</v>
      </c>
    </row>
    <row r="1473" spans="2:34" x14ac:dyDescent="0.25">
      <c r="B1473" s="16">
        <v>237.80799999999999</v>
      </c>
      <c r="C1473" s="16">
        <v>8743</v>
      </c>
      <c r="D1473" s="16">
        <v>1470</v>
      </c>
      <c r="E1473" s="113">
        <v>121</v>
      </c>
      <c r="F1473" s="113">
        <v>115.5</v>
      </c>
      <c r="G1473" s="113">
        <v>113.1</v>
      </c>
      <c r="H1473" s="113">
        <f t="shared" si="159"/>
        <v>31.416666666666664</v>
      </c>
      <c r="I1473" s="113">
        <v>3.6</v>
      </c>
      <c r="J1473" s="113">
        <v>14</v>
      </c>
      <c r="K1473" s="113">
        <v>-46.2</v>
      </c>
      <c r="L1473" s="183"/>
      <c r="M1473" s="16">
        <v>1470</v>
      </c>
      <c r="N1473" s="16">
        <f t="shared" si="161"/>
        <v>3.5246538176591118E-2</v>
      </c>
      <c r="O1473" s="16">
        <v>3</v>
      </c>
      <c r="P1473" s="16">
        <f t="shared" si="157"/>
        <v>10.596205962059623</v>
      </c>
      <c r="Q1473" s="16">
        <f t="shared" si="162"/>
        <v>28.371580635517478</v>
      </c>
      <c r="R1473" s="113">
        <f t="shared" si="158"/>
        <v>345.36</v>
      </c>
      <c r="S1473" s="16">
        <f>IF(S1472=15800,15800,ROUND((((Q1473*60)/'Gearing Calculator'!$C$14)*'Track Data'!P1473),-2))</f>
        <v>9100</v>
      </c>
      <c r="T1473" s="16">
        <f t="shared" si="160"/>
        <v>4.5235291559310618</v>
      </c>
      <c r="U1473" s="16">
        <f>IF(AC1473=100,Braking!$AG$2354,IF(AC1473=50,Braking!$AG$1179,IF(AC1473=75,Braking!$AG$1767,0)))</f>
        <v>0</v>
      </c>
      <c r="V1473" s="16">
        <f>0.5*'Gearing Calculator'!$C$15*'Gearing Calculator'!$C$20*'Gearing Calculator'!$W$20*('Track Data'!Q1473^2)</f>
        <v>85.195546848271832</v>
      </c>
      <c r="W1473" s="16">
        <f>('Gearing Calculator'!$U$9*'Track Data'!T1473)+'Track Data'!V1473</f>
        <v>1289.3590081571203</v>
      </c>
      <c r="X1473" s="16">
        <f>('Gearing Calculator'!$U$9*9.81)*('Gearing Calculator'!$U$16/'Gearing Calculator'!$C$7)-(('Track Data'!W1473)*('Gearing Calculator'!$U$17/'Gearing Calculator'!$C$7))</f>
        <v>698.37358541434548</v>
      </c>
      <c r="Y1473" s="16">
        <f>('Gearing Calculator'!$U$9*9.81)*(('Gearing Calculator'!$C$7-'Gearing Calculator'!$U$16)/'Gearing Calculator'!$C$7)+(('Track Data'!W1473)*('Gearing Calculator'!$U$17/'Gearing Calculator'!$C$7))</f>
        <v>1913.0484145856544</v>
      </c>
      <c r="Z1473" s="16">
        <f>((X1473*COS('Gearing Calculator'!$C$21))/'Gearing Calculator'!$C$22)/2</f>
        <v>21.591502493544937</v>
      </c>
      <c r="AA1473" s="16">
        <f>Y1473/'Gearing Calculator'!$C$24</f>
        <v>26.712572320359616</v>
      </c>
      <c r="AB1473" s="16">
        <f t="shared" si="163"/>
        <v>98.76613431606502</v>
      </c>
      <c r="AC1473" s="16">
        <v>0</v>
      </c>
      <c r="AD1473" s="16">
        <v>-46.712096975939801</v>
      </c>
      <c r="AE1473" s="16">
        <v>1470</v>
      </c>
      <c r="AF1473" s="16">
        <f>IF(AC1473=0,IF(O1473=6,INDEX(Acceleration!$V$4:$V$110,MATCH('Track Data'!S1473,Acceleration!$K$4:$K$110,0)),IF('Track Data'!O1473=5,INDEX(Acceleration!$U$4:$U$110,MATCH('Track Data'!S1473,Acceleration!$K$4:$K$110,0)),1)),U1473)</f>
        <v>1</v>
      </c>
      <c r="AG1473" s="16">
        <f>IF(AC1473=0,IF(O1473=4,INDEX(Acceleration!$T$4:$T$110,MATCH('Track Data'!S1473,Acceleration!$K$4:$K$110,0)),IF('Track Data'!O1473=3,INDEX(Acceleration!$S$4:$S$110,MATCH('Track Data'!S1473,Acceleration!$K$4:$K$110,0)),'Track Data'!AF1473)),'Track Data'!U1473)</f>
        <v>4.5235291559310618</v>
      </c>
      <c r="AH1473" s="16">
        <f>IF(AC1473=0,IF(O1473=2,INDEX(Acceleration!$R$4:$R$110,MATCH('Track Data'!S1473,Acceleration!$K$4:$K$110,0)),IF('Track Data'!O1473=1,INDEX(Acceleration!$Q$4:$Q$110,MATCH('Track Data'!S1473,Acceleration!$K$4:$K$110,0)),'Track Data'!AG1473)),'Track Data'!U1473)</f>
        <v>4.5235291559310618</v>
      </c>
    </row>
    <row r="1474" spans="2:34" x14ac:dyDescent="0.25">
      <c r="B1474" s="16">
        <v>237.839</v>
      </c>
      <c r="C1474" s="16">
        <v>8744</v>
      </c>
      <c r="D1474" s="16">
        <v>1471</v>
      </c>
      <c r="E1474" s="113">
        <v>121</v>
      </c>
      <c r="F1474" s="113">
        <v>116.5</v>
      </c>
      <c r="G1474" s="113">
        <v>114.1</v>
      </c>
      <c r="H1474" s="113">
        <f t="shared" si="159"/>
        <v>31.694444444444443</v>
      </c>
      <c r="I1474" s="113">
        <v>4.5999999999999996</v>
      </c>
      <c r="J1474" s="113">
        <v>11.14</v>
      </c>
      <c r="K1474" s="113">
        <v>-46.2</v>
      </c>
      <c r="L1474" s="183"/>
      <c r="M1474" s="16">
        <v>1471</v>
      </c>
      <c r="N1474" s="16">
        <f t="shared" si="161"/>
        <v>3.5246538176591118E-2</v>
      </c>
      <c r="O1474" s="16">
        <v>3</v>
      </c>
      <c r="P1474" s="16">
        <f t="shared" si="157"/>
        <v>10.596205962059623</v>
      </c>
      <c r="Q1474" s="16">
        <f t="shared" si="162"/>
        <v>28.371580635517478</v>
      </c>
      <c r="R1474" s="113">
        <f t="shared" si="158"/>
        <v>345.36</v>
      </c>
      <c r="S1474" s="16">
        <f>IF(S1473=15800,15800,ROUND((((Q1474*60)/'Gearing Calculator'!$C$14)*'Track Data'!P1474),-2))</f>
        <v>9100</v>
      </c>
      <c r="T1474" s="16">
        <f t="shared" si="160"/>
        <v>4.5235291559310618</v>
      </c>
      <c r="U1474" s="16">
        <f>IF(AC1474=100,Braking!$AG$2354,IF(AC1474=50,Braking!$AG$1179,IF(AC1474=75,Braking!$AG$1767,0)))</f>
        <v>0</v>
      </c>
      <c r="V1474" s="16">
        <f>0.5*'Gearing Calculator'!$C$15*'Gearing Calculator'!$C$20*'Gearing Calculator'!$W$20*('Track Data'!Q1474^2)</f>
        <v>85.195546848271832</v>
      </c>
      <c r="W1474" s="16">
        <f>('Gearing Calculator'!$U$9*'Track Data'!T1474)+'Track Data'!V1474</f>
        <v>1289.3590081571203</v>
      </c>
      <c r="X1474" s="16">
        <f>('Gearing Calculator'!$U$9*9.81)*('Gearing Calculator'!$U$16/'Gearing Calculator'!$C$7)-(('Track Data'!W1474)*('Gearing Calculator'!$U$17/'Gearing Calculator'!$C$7))</f>
        <v>698.37358541434548</v>
      </c>
      <c r="Y1474" s="16">
        <f>('Gearing Calculator'!$U$9*9.81)*(('Gearing Calculator'!$C$7-'Gearing Calculator'!$U$16)/'Gearing Calculator'!$C$7)+(('Track Data'!W1474)*('Gearing Calculator'!$U$17/'Gearing Calculator'!$C$7))</f>
        <v>1913.0484145856544</v>
      </c>
      <c r="Z1474" s="16">
        <f>((X1474*COS('Gearing Calculator'!$C$21))/'Gearing Calculator'!$C$22)/2</f>
        <v>21.591502493544937</v>
      </c>
      <c r="AA1474" s="16">
        <f>Y1474/'Gearing Calculator'!$C$24</f>
        <v>26.712572320359616</v>
      </c>
      <c r="AB1474" s="16">
        <f t="shared" si="163"/>
        <v>98.76613431606502</v>
      </c>
      <c r="AC1474" s="16">
        <v>0</v>
      </c>
      <c r="AD1474" s="16">
        <v>-46.712096975939801</v>
      </c>
      <c r="AE1474" s="16">
        <v>1471</v>
      </c>
      <c r="AF1474" s="16">
        <f>IF(AC1474=0,IF(O1474=6,INDEX(Acceleration!$V$4:$V$110,MATCH('Track Data'!S1474,Acceleration!$K$4:$K$110,0)),IF('Track Data'!O1474=5,INDEX(Acceleration!$U$4:$U$110,MATCH('Track Data'!S1474,Acceleration!$K$4:$K$110,0)),1)),U1474)</f>
        <v>1</v>
      </c>
      <c r="AG1474" s="16">
        <f>IF(AC1474=0,IF(O1474=4,INDEX(Acceleration!$T$4:$T$110,MATCH('Track Data'!S1474,Acceleration!$K$4:$K$110,0)),IF('Track Data'!O1474=3,INDEX(Acceleration!$S$4:$S$110,MATCH('Track Data'!S1474,Acceleration!$K$4:$K$110,0)),'Track Data'!AF1474)),'Track Data'!U1474)</f>
        <v>4.5235291559310618</v>
      </c>
      <c r="AH1474" s="16">
        <f>IF(AC1474=0,IF(O1474=2,INDEX(Acceleration!$R$4:$R$110,MATCH('Track Data'!S1474,Acceleration!$K$4:$K$110,0)),IF('Track Data'!O1474=1,INDEX(Acceleration!$Q$4:$Q$110,MATCH('Track Data'!S1474,Acceleration!$K$4:$K$110,0)),'Track Data'!AG1474)),'Track Data'!U1474)</f>
        <v>4.5235291559310618</v>
      </c>
    </row>
    <row r="1475" spans="2:34" x14ac:dyDescent="0.25">
      <c r="B1475" s="16">
        <v>237.869</v>
      </c>
      <c r="C1475" s="16">
        <v>8745</v>
      </c>
      <c r="D1475" s="16">
        <v>1472</v>
      </c>
      <c r="E1475" s="113">
        <v>121</v>
      </c>
      <c r="F1475" s="113">
        <v>116.8</v>
      </c>
      <c r="G1475" s="113">
        <v>114.9</v>
      </c>
      <c r="H1475" s="113">
        <f t="shared" si="159"/>
        <v>31.916666666666668</v>
      </c>
      <c r="I1475" s="113">
        <v>5.2</v>
      </c>
      <c r="J1475" s="113">
        <v>10.09</v>
      </c>
      <c r="K1475" s="113">
        <v>-48.9</v>
      </c>
      <c r="L1475" s="183"/>
      <c r="M1475" s="16">
        <v>1472</v>
      </c>
      <c r="N1475" s="16">
        <f t="shared" si="161"/>
        <v>3.5246538176591118E-2</v>
      </c>
      <c r="O1475" s="16">
        <v>3</v>
      </c>
      <c r="P1475" s="16">
        <f t="shared" si="157"/>
        <v>10.596205962059623</v>
      </c>
      <c r="Q1475" s="16">
        <f t="shared" si="162"/>
        <v>28.371580635517478</v>
      </c>
      <c r="R1475" s="113">
        <f t="shared" si="158"/>
        <v>345.36</v>
      </c>
      <c r="S1475" s="16">
        <f>IF(S1474=15800,15800,ROUND((((Q1475*60)/'Gearing Calculator'!$C$14)*'Track Data'!P1475),-2))</f>
        <v>9100</v>
      </c>
      <c r="T1475" s="16">
        <f t="shared" si="160"/>
        <v>4.5235291559310618</v>
      </c>
      <c r="U1475" s="16">
        <f>IF(AC1475=100,Braking!$AG$2354,IF(AC1475=50,Braking!$AG$1179,IF(AC1475=75,Braking!$AG$1767,0)))</f>
        <v>0</v>
      </c>
      <c r="V1475" s="16">
        <f>0.5*'Gearing Calculator'!$C$15*'Gearing Calculator'!$C$20*'Gearing Calculator'!$W$20*('Track Data'!Q1475^2)</f>
        <v>85.195546848271832</v>
      </c>
      <c r="W1475" s="16">
        <f>('Gearing Calculator'!$U$9*'Track Data'!T1475)+'Track Data'!V1475</f>
        <v>1289.3590081571203</v>
      </c>
      <c r="X1475" s="16">
        <f>('Gearing Calculator'!$U$9*9.81)*('Gearing Calculator'!$U$16/'Gearing Calculator'!$C$7)-(('Track Data'!W1475)*('Gearing Calculator'!$U$17/'Gearing Calculator'!$C$7))</f>
        <v>698.37358541434548</v>
      </c>
      <c r="Y1475" s="16">
        <f>('Gearing Calculator'!$U$9*9.81)*(('Gearing Calculator'!$C$7-'Gearing Calculator'!$U$16)/'Gearing Calculator'!$C$7)+(('Track Data'!W1475)*('Gearing Calculator'!$U$17/'Gearing Calculator'!$C$7))</f>
        <v>1913.0484145856544</v>
      </c>
      <c r="Z1475" s="16">
        <f>((X1475*COS('Gearing Calculator'!$C$21))/'Gearing Calculator'!$C$22)/2</f>
        <v>21.591502493544937</v>
      </c>
      <c r="AA1475" s="16">
        <f>Y1475/'Gearing Calculator'!$C$24</f>
        <v>26.712572320359616</v>
      </c>
      <c r="AB1475" s="16">
        <f t="shared" si="163"/>
        <v>98.76613431606502</v>
      </c>
      <c r="AC1475" s="16">
        <v>0</v>
      </c>
      <c r="AD1475" s="16">
        <v>-46.712096975939801</v>
      </c>
      <c r="AE1475" s="16">
        <v>1472</v>
      </c>
      <c r="AF1475" s="16">
        <f>IF(AC1475=0,IF(O1475=6,INDEX(Acceleration!$V$4:$V$110,MATCH('Track Data'!S1475,Acceleration!$K$4:$K$110,0)),IF('Track Data'!O1475=5,INDEX(Acceleration!$U$4:$U$110,MATCH('Track Data'!S1475,Acceleration!$K$4:$K$110,0)),1)),U1475)</f>
        <v>1</v>
      </c>
      <c r="AG1475" s="16">
        <f>IF(AC1475=0,IF(O1475=4,INDEX(Acceleration!$T$4:$T$110,MATCH('Track Data'!S1475,Acceleration!$K$4:$K$110,0)),IF('Track Data'!O1475=3,INDEX(Acceleration!$S$4:$S$110,MATCH('Track Data'!S1475,Acceleration!$K$4:$K$110,0)),'Track Data'!AF1475)),'Track Data'!U1475)</f>
        <v>4.5235291559310618</v>
      </c>
      <c r="AH1475" s="16">
        <f>IF(AC1475=0,IF(O1475=2,INDEX(Acceleration!$R$4:$R$110,MATCH('Track Data'!S1475,Acceleration!$K$4:$K$110,0)),IF('Track Data'!O1475=1,INDEX(Acceleration!$Q$4:$Q$110,MATCH('Track Data'!S1475,Acceleration!$K$4:$K$110,0)),'Track Data'!AG1475)),'Track Data'!U1475)</f>
        <v>4.5235291559310618</v>
      </c>
    </row>
    <row r="1476" spans="2:34" x14ac:dyDescent="0.25">
      <c r="B1476" s="16">
        <v>237.9</v>
      </c>
      <c r="C1476" s="16">
        <v>8746</v>
      </c>
      <c r="D1476" s="16">
        <v>1473</v>
      </c>
      <c r="E1476" s="113">
        <v>121</v>
      </c>
      <c r="F1476" s="113">
        <v>116.6</v>
      </c>
      <c r="G1476" s="113">
        <v>116</v>
      </c>
      <c r="H1476" s="113">
        <f t="shared" si="159"/>
        <v>32.222222222222221</v>
      </c>
      <c r="I1476" s="113">
        <v>5.2</v>
      </c>
      <c r="J1476" s="113">
        <v>8.93</v>
      </c>
      <c r="K1476" s="113">
        <v>-53.3</v>
      </c>
      <c r="L1476" s="183"/>
      <c r="M1476" s="16">
        <v>1473</v>
      </c>
      <c r="N1476" s="16">
        <f t="shared" si="161"/>
        <v>3.5246538176591118E-2</v>
      </c>
      <c r="O1476" s="16">
        <v>3</v>
      </c>
      <c r="P1476" s="16">
        <f t="shared" ref="P1476:P1539" si="164">VLOOKUP(O1476,$AJ$5:$AK$10,2,FALSE)</f>
        <v>10.596205962059623</v>
      </c>
      <c r="Q1476" s="16">
        <f t="shared" si="162"/>
        <v>28.371580635517478</v>
      </c>
      <c r="R1476" s="113">
        <f t="shared" ref="R1476:R1539" si="165">VLOOKUP(O1476,$AJ$5:$AL$10,3,FALSE)</f>
        <v>345.36</v>
      </c>
      <c r="S1476" s="16">
        <f>IF(S1475=15800,15800,ROUND((((Q1476*60)/'Gearing Calculator'!$C$14)*'Track Data'!P1476),-2))</f>
        <v>9100</v>
      </c>
      <c r="T1476" s="16">
        <f t="shared" si="160"/>
        <v>4.5235291559310618</v>
      </c>
      <c r="U1476" s="16">
        <f>IF(AC1476=100,Braking!$AG$2354,IF(AC1476=50,Braking!$AG$1179,IF(AC1476=75,Braking!$AG$1767,0)))</f>
        <v>0</v>
      </c>
      <c r="V1476" s="16">
        <f>0.5*'Gearing Calculator'!$C$15*'Gearing Calculator'!$C$20*'Gearing Calculator'!$W$20*('Track Data'!Q1476^2)</f>
        <v>85.195546848271832</v>
      </c>
      <c r="W1476" s="16">
        <f>('Gearing Calculator'!$U$9*'Track Data'!T1476)+'Track Data'!V1476</f>
        <v>1289.3590081571203</v>
      </c>
      <c r="X1476" s="16">
        <f>('Gearing Calculator'!$U$9*9.81)*('Gearing Calculator'!$U$16/'Gearing Calculator'!$C$7)-(('Track Data'!W1476)*('Gearing Calculator'!$U$17/'Gearing Calculator'!$C$7))</f>
        <v>698.37358541434548</v>
      </c>
      <c r="Y1476" s="16">
        <f>('Gearing Calculator'!$U$9*9.81)*(('Gearing Calculator'!$C$7-'Gearing Calculator'!$U$16)/'Gearing Calculator'!$C$7)+(('Track Data'!W1476)*('Gearing Calculator'!$U$17/'Gearing Calculator'!$C$7))</f>
        <v>1913.0484145856544</v>
      </c>
      <c r="Z1476" s="16">
        <f>((X1476*COS('Gearing Calculator'!$C$21))/'Gearing Calculator'!$C$22)/2</f>
        <v>21.591502493544937</v>
      </c>
      <c r="AA1476" s="16">
        <f>Y1476/'Gearing Calculator'!$C$24</f>
        <v>26.712572320359616</v>
      </c>
      <c r="AB1476" s="16">
        <f t="shared" si="163"/>
        <v>98.76613431606502</v>
      </c>
      <c r="AC1476" s="16">
        <v>0</v>
      </c>
      <c r="AD1476" s="16">
        <v>-46.712096975939801</v>
      </c>
      <c r="AE1476" s="16">
        <v>1473</v>
      </c>
      <c r="AF1476" s="16">
        <f>IF(AC1476=0,IF(O1476=6,INDEX(Acceleration!$V$4:$V$110,MATCH('Track Data'!S1476,Acceleration!$K$4:$K$110,0)),IF('Track Data'!O1476=5,INDEX(Acceleration!$U$4:$U$110,MATCH('Track Data'!S1476,Acceleration!$K$4:$K$110,0)),1)),U1476)</f>
        <v>1</v>
      </c>
      <c r="AG1476" s="16">
        <f>IF(AC1476=0,IF(O1476=4,INDEX(Acceleration!$T$4:$T$110,MATCH('Track Data'!S1476,Acceleration!$K$4:$K$110,0)),IF('Track Data'!O1476=3,INDEX(Acceleration!$S$4:$S$110,MATCH('Track Data'!S1476,Acceleration!$K$4:$K$110,0)),'Track Data'!AF1476)),'Track Data'!U1476)</f>
        <v>4.5235291559310618</v>
      </c>
      <c r="AH1476" s="16">
        <f>IF(AC1476=0,IF(O1476=2,INDEX(Acceleration!$R$4:$R$110,MATCH('Track Data'!S1476,Acceleration!$K$4:$K$110,0)),IF('Track Data'!O1476=1,INDEX(Acceleration!$Q$4:$Q$110,MATCH('Track Data'!S1476,Acceleration!$K$4:$K$110,0)),'Track Data'!AG1476)),'Track Data'!U1476)</f>
        <v>4.5235291559310618</v>
      </c>
    </row>
    <row r="1477" spans="2:34" x14ac:dyDescent="0.25">
      <c r="B1477" s="16">
        <v>237.93100000000001</v>
      </c>
      <c r="C1477" s="16">
        <v>8747</v>
      </c>
      <c r="D1477" s="16">
        <v>1474</v>
      </c>
      <c r="E1477" s="113">
        <v>121</v>
      </c>
      <c r="F1477" s="113">
        <v>116.5</v>
      </c>
      <c r="G1477" s="113">
        <v>116.9</v>
      </c>
      <c r="H1477" s="113">
        <f t="shared" ref="H1477:H1540" si="166">G1477/3.6</f>
        <v>32.472222222222221</v>
      </c>
      <c r="I1477" s="113">
        <v>5.3</v>
      </c>
      <c r="J1477" s="113">
        <v>5.97</v>
      </c>
      <c r="K1477" s="113">
        <v>-50.1</v>
      </c>
      <c r="L1477" s="183"/>
      <c r="M1477" s="16">
        <v>1474</v>
      </c>
      <c r="N1477" s="16">
        <f t="shared" si="161"/>
        <v>3.5246538176591118E-2</v>
      </c>
      <c r="O1477" s="16">
        <v>3</v>
      </c>
      <c r="P1477" s="16">
        <f t="shared" si="164"/>
        <v>10.596205962059623</v>
      </c>
      <c r="Q1477" s="16">
        <f t="shared" si="162"/>
        <v>28.371580635517478</v>
      </c>
      <c r="R1477" s="113">
        <f t="shared" si="165"/>
        <v>345.36</v>
      </c>
      <c r="S1477" s="16">
        <f>IF(S1476=15800,15800,ROUND((((Q1477*60)/'Gearing Calculator'!$C$14)*'Track Data'!P1477),-2))</f>
        <v>9100</v>
      </c>
      <c r="T1477" s="16">
        <f t="shared" ref="T1477:T1540" si="167">AH1477</f>
        <v>4.5235291559310618</v>
      </c>
      <c r="U1477" s="16">
        <f>IF(AC1477=100,Braking!$AG$2354,IF(AC1477=50,Braking!$AG$1179,IF(AC1477=75,Braking!$AG$1767,0)))</f>
        <v>0</v>
      </c>
      <c r="V1477" s="16">
        <f>0.5*'Gearing Calculator'!$C$15*'Gearing Calculator'!$C$20*'Gearing Calculator'!$W$20*('Track Data'!Q1477^2)</f>
        <v>85.195546848271832</v>
      </c>
      <c r="W1477" s="16">
        <f>('Gearing Calculator'!$U$9*'Track Data'!T1477)+'Track Data'!V1477</f>
        <v>1289.3590081571203</v>
      </c>
      <c r="X1477" s="16">
        <f>('Gearing Calculator'!$U$9*9.81)*('Gearing Calculator'!$U$16/'Gearing Calculator'!$C$7)-(('Track Data'!W1477)*('Gearing Calculator'!$U$17/'Gearing Calculator'!$C$7))</f>
        <v>698.37358541434548</v>
      </c>
      <c r="Y1477" s="16">
        <f>('Gearing Calculator'!$U$9*9.81)*(('Gearing Calculator'!$C$7-'Gearing Calculator'!$U$16)/'Gearing Calculator'!$C$7)+(('Track Data'!W1477)*('Gearing Calculator'!$U$17/'Gearing Calculator'!$C$7))</f>
        <v>1913.0484145856544</v>
      </c>
      <c r="Z1477" s="16">
        <f>((X1477*COS('Gearing Calculator'!$C$21))/'Gearing Calculator'!$C$22)/2</f>
        <v>21.591502493544937</v>
      </c>
      <c r="AA1477" s="16">
        <f>Y1477/'Gearing Calculator'!$C$24</f>
        <v>26.712572320359616</v>
      </c>
      <c r="AB1477" s="16">
        <f t="shared" si="163"/>
        <v>98.76613431606502</v>
      </c>
      <c r="AC1477" s="16">
        <v>0</v>
      </c>
      <c r="AD1477" s="16">
        <v>-46.712096975939801</v>
      </c>
      <c r="AE1477" s="16">
        <v>1474</v>
      </c>
      <c r="AF1477" s="16">
        <f>IF(AC1477=0,IF(O1477=6,INDEX(Acceleration!$V$4:$V$110,MATCH('Track Data'!S1477,Acceleration!$K$4:$K$110,0)),IF('Track Data'!O1477=5,INDEX(Acceleration!$U$4:$U$110,MATCH('Track Data'!S1477,Acceleration!$K$4:$K$110,0)),1)),U1477)</f>
        <v>1</v>
      </c>
      <c r="AG1477" s="16">
        <f>IF(AC1477=0,IF(O1477=4,INDEX(Acceleration!$T$4:$T$110,MATCH('Track Data'!S1477,Acceleration!$K$4:$K$110,0)),IF('Track Data'!O1477=3,INDEX(Acceleration!$S$4:$S$110,MATCH('Track Data'!S1477,Acceleration!$K$4:$K$110,0)),'Track Data'!AF1477)),'Track Data'!U1477)</f>
        <v>4.5235291559310618</v>
      </c>
      <c r="AH1477" s="16">
        <f>IF(AC1477=0,IF(O1477=2,INDEX(Acceleration!$R$4:$R$110,MATCH('Track Data'!S1477,Acceleration!$K$4:$K$110,0)),IF('Track Data'!O1477=1,INDEX(Acceleration!$Q$4:$Q$110,MATCH('Track Data'!S1477,Acceleration!$K$4:$K$110,0)),'Track Data'!AG1477)),'Track Data'!U1477)</f>
        <v>4.5235291559310618</v>
      </c>
    </row>
    <row r="1478" spans="2:34" x14ac:dyDescent="0.25">
      <c r="B1478" s="16">
        <v>237.96199999999999</v>
      </c>
      <c r="C1478" s="16">
        <v>8748</v>
      </c>
      <c r="D1478" s="16">
        <v>1475</v>
      </c>
      <c r="E1478" s="113">
        <v>121</v>
      </c>
      <c r="F1478" s="113">
        <v>116.4</v>
      </c>
      <c r="G1478" s="113">
        <v>117.6</v>
      </c>
      <c r="H1478" s="113">
        <f t="shared" si="166"/>
        <v>32.666666666666664</v>
      </c>
      <c r="I1478" s="113">
        <v>4.5</v>
      </c>
      <c r="J1478" s="113">
        <v>4.2699999999999996</v>
      </c>
      <c r="K1478" s="113">
        <v>-39</v>
      </c>
      <c r="L1478" s="183"/>
      <c r="M1478" s="16">
        <v>1475</v>
      </c>
      <c r="N1478" s="16">
        <f t="shared" ref="N1478:N1541" si="168">1/Q1478</f>
        <v>3.5246538176591118E-2</v>
      </c>
      <c r="O1478" s="16">
        <v>3</v>
      </c>
      <c r="P1478" s="16">
        <f t="shared" si="164"/>
        <v>10.596205962059623</v>
      </c>
      <c r="Q1478" s="16">
        <f t="shared" ref="Q1478:Q1541" si="169">IF(AD1477=0,SQRT(Q1477^2+(2*T1477)),Q1477)</f>
        <v>28.371580635517478</v>
      </c>
      <c r="R1478" s="113">
        <f t="shared" si="165"/>
        <v>345.36</v>
      </c>
      <c r="S1478" s="16">
        <f>IF(S1477=15800,15800,ROUND((((Q1478*60)/'Gearing Calculator'!$C$14)*'Track Data'!P1478),-2))</f>
        <v>9100</v>
      </c>
      <c r="T1478" s="16">
        <f t="shared" si="167"/>
        <v>4.5235291559310618</v>
      </c>
      <c r="U1478" s="16">
        <f>IF(AC1478=100,Braking!$AG$2354,IF(AC1478=50,Braking!$AG$1179,IF(AC1478=75,Braking!$AG$1767,0)))</f>
        <v>0</v>
      </c>
      <c r="V1478" s="16">
        <f>0.5*'Gearing Calculator'!$C$15*'Gearing Calculator'!$C$20*'Gearing Calculator'!$W$20*('Track Data'!Q1478^2)</f>
        <v>85.195546848271832</v>
      </c>
      <c r="W1478" s="16">
        <f>('Gearing Calculator'!$U$9*'Track Data'!T1478)+'Track Data'!V1478</f>
        <v>1289.3590081571203</v>
      </c>
      <c r="X1478" s="16">
        <f>('Gearing Calculator'!$U$9*9.81)*('Gearing Calculator'!$U$16/'Gearing Calculator'!$C$7)-(('Track Data'!W1478)*('Gearing Calculator'!$U$17/'Gearing Calculator'!$C$7))</f>
        <v>698.37358541434548</v>
      </c>
      <c r="Y1478" s="16">
        <f>('Gearing Calculator'!$U$9*9.81)*(('Gearing Calculator'!$C$7-'Gearing Calculator'!$U$16)/'Gearing Calculator'!$C$7)+(('Track Data'!W1478)*('Gearing Calculator'!$U$17/'Gearing Calculator'!$C$7))</f>
        <v>1913.0484145856544</v>
      </c>
      <c r="Z1478" s="16">
        <f>((X1478*COS('Gearing Calculator'!$C$21))/'Gearing Calculator'!$C$22)/2</f>
        <v>21.591502493544937</v>
      </c>
      <c r="AA1478" s="16">
        <f>Y1478/'Gearing Calculator'!$C$24</f>
        <v>26.712572320359616</v>
      </c>
      <c r="AB1478" s="16">
        <f t="shared" si="163"/>
        <v>98.76613431606502</v>
      </c>
      <c r="AC1478" s="16">
        <v>0</v>
      </c>
      <c r="AD1478" s="16">
        <v>-46.712096975939801</v>
      </c>
      <c r="AE1478" s="16">
        <v>1475</v>
      </c>
      <c r="AF1478" s="16">
        <f>IF(AC1478=0,IF(O1478=6,INDEX(Acceleration!$V$4:$V$110,MATCH('Track Data'!S1478,Acceleration!$K$4:$K$110,0)),IF('Track Data'!O1478=5,INDEX(Acceleration!$U$4:$U$110,MATCH('Track Data'!S1478,Acceleration!$K$4:$K$110,0)),1)),U1478)</f>
        <v>1</v>
      </c>
      <c r="AG1478" s="16">
        <f>IF(AC1478=0,IF(O1478=4,INDEX(Acceleration!$T$4:$T$110,MATCH('Track Data'!S1478,Acceleration!$K$4:$K$110,0)),IF('Track Data'!O1478=3,INDEX(Acceleration!$S$4:$S$110,MATCH('Track Data'!S1478,Acceleration!$K$4:$K$110,0)),'Track Data'!AF1478)),'Track Data'!U1478)</f>
        <v>4.5235291559310618</v>
      </c>
      <c r="AH1478" s="16">
        <f>IF(AC1478=0,IF(O1478=2,INDEX(Acceleration!$R$4:$R$110,MATCH('Track Data'!S1478,Acceleration!$K$4:$K$110,0)),IF('Track Data'!O1478=1,INDEX(Acceleration!$Q$4:$Q$110,MATCH('Track Data'!S1478,Acceleration!$K$4:$K$110,0)),'Track Data'!AG1478)),'Track Data'!U1478)</f>
        <v>4.5235291559310618</v>
      </c>
    </row>
    <row r="1479" spans="2:34" x14ac:dyDescent="0.25">
      <c r="B1479" s="16">
        <v>237.99299999999999</v>
      </c>
      <c r="C1479" s="16">
        <v>8749</v>
      </c>
      <c r="D1479" s="16">
        <v>1476</v>
      </c>
      <c r="E1479" s="113">
        <v>123</v>
      </c>
      <c r="F1479" s="113">
        <v>116.3</v>
      </c>
      <c r="G1479" s="113">
        <v>118.3</v>
      </c>
      <c r="H1479" s="113">
        <f t="shared" si="166"/>
        <v>32.861111111111107</v>
      </c>
      <c r="I1479" s="113">
        <v>2.9</v>
      </c>
      <c r="J1479" s="113">
        <v>1.83</v>
      </c>
      <c r="K1479" s="113">
        <v>-27.9</v>
      </c>
      <c r="L1479" s="183"/>
      <c r="M1479" s="16">
        <v>1476</v>
      </c>
      <c r="N1479" s="16">
        <f t="shared" si="168"/>
        <v>3.5246538176591118E-2</v>
      </c>
      <c r="O1479" s="16">
        <v>3</v>
      </c>
      <c r="P1479" s="16">
        <f t="shared" si="164"/>
        <v>10.596205962059623</v>
      </c>
      <c r="Q1479" s="16">
        <f t="shared" si="169"/>
        <v>28.371580635517478</v>
      </c>
      <c r="R1479" s="113">
        <f t="shared" si="165"/>
        <v>345.36</v>
      </c>
      <c r="S1479" s="16">
        <f>IF(S1478=15800,15800,ROUND((((Q1479*60)/'Gearing Calculator'!$C$14)*'Track Data'!P1479),-2))</f>
        <v>9100</v>
      </c>
      <c r="T1479" s="16">
        <f t="shared" si="167"/>
        <v>4.5235291559310618</v>
      </c>
      <c r="U1479" s="16">
        <f>IF(AC1479=100,Braking!$AG$2354,IF(AC1479=50,Braking!$AG$1179,IF(AC1479=75,Braking!$AG$1767,0)))</f>
        <v>0</v>
      </c>
      <c r="V1479" s="16">
        <f>0.5*'Gearing Calculator'!$C$15*'Gearing Calculator'!$C$20*'Gearing Calculator'!$W$20*('Track Data'!Q1479^2)</f>
        <v>85.195546848271832</v>
      </c>
      <c r="W1479" s="16">
        <f>('Gearing Calculator'!$U$9*'Track Data'!T1479)+'Track Data'!V1479</f>
        <v>1289.3590081571203</v>
      </c>
      <c r="X1479" s="16">
        <f>('Gearing Calculator'!$U$9*9.81)*('Gearing Calculator'!$U$16/'Gearing Calculator'!$C$7)-(('Track Data'!W1479)*('Gearing Calculator'!$U$17/'Gearing Calculator'!$C$7))</f>
        <v>698.37358541434548</v>
      </c>
      <c r="Y1479" s="16">
        <f>('Gearing Calculator'!$U$9*9.81)*(('Gearing Calculator'!$C$7-'Gearing Calculator'!$U$16)/'Gearing Calculator'!$C$7)+(('Track Data'!W1479)*('Gearing Calculator'!$U$17/'Gearing Calculator'!$C$7))</f>
        <v>1913.0484145856544</v>
      </c>
      <c r="Z1479" s="16">
        <f>((X1479*COS('Gearing Calculator'!$C$21))/'Gearing Calculator'!$C$22)/2</f>
        <v>21.591502493544937</v>
      </c>
      <c r="AA1479" s="16">
        <f>Y1479/'Gearing Calculator'!$C$24</f>
        <v>26.712572320359616</v>
      </c>
      <c r="AB1479" s="16">
        <f t="shared" si="163"/>
        <v>98.76613431606502</v>
      </c>
      <c r="AC1479" s="16">
        <v>0</v>
      </c>
      <c r="AD1479" s="16">
        <v>-46.712096975939801</v>
      </c>
      <c r="AE1479" s="16">
        <v>1476</v>
      </c>
      <c r="AF1479" s="16">
        <f>IF(AC1479=0,IF(O1479=6,INDEX(Acceleration!$V$4:$V$110,MATCH('Track Data'!S1479,Acceleration!$K$4:$K$110,0)),IF('Track Data'!O1479=5,INDEX(Acceleration!$U$4:$U$110,MATCH('Track Data'!S1479,Acceleration!$K$4:$K$110,0)),1)),U1479)</f>
        <v>1</v>
      </c>
      <c r="AG1479" s="16">
        <f>IF(AC1479=0,IF(O1479=4,INDEX(Acceleration!$T$4:$T$110,MATCH('Track Data'!S1479,Acceleration!$K$4:$K$110,0)),IF('Track Data'!O1479=3,INDEX(Acceleration!$S$4:$S$110,MATCH('Track Data'!S1479,Acceleration!$K$4:$K$110,0)),'Track Data'!AF1479)),'Track Data'!U1479)</f>
        <v>4.5235291559310618</v>
      </c>
      <c r="AH1479" s="16">
        <f>IF(AC1479=0,IF(O1479=2,INDEX(Acceleration!$R$4:$R$110,MATCH('Track Data'!S1479,Acceleration!$K$4:$K$110,0)),IF('Track Data'!O1479=1,INDEX(Acceleration!$Q$4:$Q$110,MATCH('Track Data'!S1479,Acceleration!$K$4:$K$110,0)),'Track Data'!AG1479)),'Track Data'!U1479)</f>
        <v>4.5235291559310618</v>
      </c>
    </row>
    <row r="1480" spans="2:34" x14ac:dyDescent="0.25">
      <c r="B1480" s="16">
        <v>238.023</v>
      </c>
      <c r="C1480" s="16">
        <v>8750</v>
      </c>
      <c r="D1480" s="16">
        <v>1477</v>
      </c>
      <c r="E1480" s="113">
        <v>123</v>
      </c>
      <c r="F1480" s="113">
        <v>115.9</v>
      </c>
      <c r="G1480" s="113">
        <v>119.1</v>
      </c>
      <c r="H1480" s="113">
        <f t="shared" si="166"/>
        <v>33.083333333333329</v>
      </c>
      <c r="I1480" s="113">
        <v>1.9</v>
      </c>
      <c r="J1480" s="113">
        <v>0.66</v>
      </c>
      <c r="K1480" s="113">
        <v>-25.9</v>
      </c>
      <c r="L1480" s="183"/>
      <c r="M1480" s="16">
        <v>1477</v>
      </c>
      <c r="N1480" s="16">
        <f t="shared" si="168"/>
        <v>3.5246538176591118E-2</v>
      </c>
      <c r="O1480" s="16">
        <v>3</v>
      </c>
      <c r="P1480" s="16">
        <f t="shared" si="164"/>
        <v>10.596205962059623</v>
      </c>
      <c r="Q1480" s="16">
        <f t="shared" si="169"/>
        <v>28.371580635517478</v>
      </c>
      <c r="R1480" s="113">
        <f t="shared" si="165"/>
        <v>345.36</v>
      </c>
      <c r="S1480" s="16">
        <f>IF(S1479=15800,15800,ROUND((((Q1480*60)/'Gearing Calculator'!$C$14)*'Track Data'!P1480),-2))</f>
        <v>9100</v>
      </c>
      <c r="T1480" s="16">
        <f t="shared" si="167"/>
        <v>4.5235291559310618</v>
      </c>
      <c r="U1480" s="16">
        <f>IF(AC1480=100,Braking!$AG$2354,IF(AC1480=50,Braking!$AG$1179,IF(AC1480=75,Braking!$AG$1767,0)))</f>
        <v>0</v>
      </c>
      <c r="V1480" s="16">
        <f>0.5*'Gearing Calculator'!$C$15*'Gearing Calculator'!$C$20*'Gearing Calculator'!$W$20*('Track Data'!Q1480^2)</f>
        <v>85.195546848271832</v>
      </c>
      <c r="W1480" s="16">
        <f>('Gearing Calculator'!$U$9*'Track Data'!T1480)+'Track Data'!V1480</f>
        <v>1289.3590081571203</v>
      </c>
      <c r="X1480" s="16">
        <f>('Gearing Calculator'!$U$9*9.81)*('Gearing Calculator'!$U$16/'Gearing Calculator'!$C$7)-(('Track Data'!W1480)*('Gearing Calculator'!$U$17/'Gearing Calculator'!$C$7))</f>
        <v>698.37358541434548</v>
      </c>
      <c r="Y1480" s="16">
        <f>('Gearing Calculator'!$U$9*9.81)*(('Gearing Calculator'!$C$7-'Gearing Calculator'!$U$16)/'Gearing Calculator'!$C$7)+(('Track Data'!W1480)*('Gearing Calculator'!$U$17/'Gearing Calculator'!$C$7))</f>
        <v>1913.0484145856544</v>
      </c>
      <c r="Z1480" s="16">
        <f>((X1480*COS('Gearing Calculator'!$C$21))/'Gearing Calculator'!$C$22)/2</f>
        <v>21.591502493544937</v>
      </c>
      <c r="AA1480" s="16">
        <f>Y1480/'Gearing Calculator'!$C$24</f>
        <v>26.712572320359616</v>
      </c>
      <c r="AB1480" s="16">
        <f t="shared" si="163"/>
        <v>98.76613431606502</v>
      </c>
      <c r="AC1480" s="16">
        <v>0</v>
      </c>
      <c r="AD1480" s="16">
        <v>-46.712096975939801</v>
      </c>
      <c r="AE1480" s="16">
        <v>1477</v>
      </c>
      <c r="AF1480" s="16">
        <f>IF(AC1480=0,IF(O1480=6,INDEX(Acceleration!$V$4:$V$110,MATCH('Track Data'!S1480,Acceleration!$K$4:$K$110,0)),IF('Track Data'!O1480=5,INDEX(Acceleration!$U$4:$U$110,MATCH('Track Data'!S1480,Acceleration!$K$4:$K$110,0)),1)),U1480)</f>
        <v>1</v>
      </c>
      <c r="AG1480" s="16">
        <f>IF(AC1480=0,IF(O1480=4,INDEX(Acceleration!$T$4:$T$110,MATCH('Track Data'!S1480,Acceleration!$K$4:$K$110,0)),IF('Track Data'!O1480=3,INDEX(Acceleration!$S$4:$S$110,MATCH('Track Data'!S1480,Acceleration!$K$4:$K$110,0)),'Track Data'!AF1480)),'Track Data'!U1480)</f>
        <v>4.5235291559310618</v>
      </c>
      <c r="AH1480" s="16">
        <f>IF(AC1480=0,IF(O1480=2,INDEX(Acceleration!$R$4:$R$110,MATCH('Track Data'!S1480,Acceleration!$K$4:$K$110,0)),IF('Track Data'!O1480=1,INDEX(Acceleration!$Q$4:$Q$110,MATCH('Track Data'!S1480,Acceleration!$K$4:$K$110,0)),'Track Data'!AG1480)),'Track Data'!U1480)</f>
        <v>4.5235291559310618</v>
      </c>
    </row>
    <row r="1481" spans="2:34" x14ac:dyDescent="0.25">
      <c r="B1481" s="16">
        <v>238.054</v>
      </c>
      <c r="C1481" s="16">
        <v>8751</v>
      </c>
      <c r="D1481" s="16">
        <v>1478</v>
      </c>
      <c r="E1481" s="113">
        <v>123</v>
      </c>
      <c r="F1481" s="113">
        <v>115.6</v>
      </c>
      <c r="G1481" s="113">
        <v>119.8</v>
      </c>
      <c r="H1481" s="113">
        <f t="shared" si="166"/>
        <v>33.277777777777779</v>
      </c>
      <c r="I1481" s="113">
        <v>1.9</v>
      </c>
      <c r="J1481" s="113">
        <v>0.02</v>
      </c>
      <c r="K1481" s="113">
        <v>-26.3</v>
      </c>
      <c r="L1481" s="183"/>
      <c r="M1481" s="16">
        <v>1478</v>
      </c>
      <c r="N1481" s="16">
        <f t="shared" si="168"/>
        <v>3.5246538176591118E-2</v>
      </c>
      <c r="O1481" s="16">
        <v>3</v>
      </c>
      <c r="P1481" s="16">
        <f t="shared" si="164"/>
        <v>10.596205962059623</v>
      </c>
      <c r="Q1481" s="16">
        <f t="shared" si="169"/>
        <v>28.371580635517478</v>
      </c>
      <c r="R1481" s="113">
        <f t="shared" si="165"/>
        <v>345.36</v>
      </c>
      <c r="S1481" s="16">
        <f>IF(S1480=15800,15800,ROUND((((Q1481*60)/'Gearing Calculator'!$C$14)*'Track Data'!P1481),-2))</f>
        <v>9100</v>
      </c>
      <c r="T1481" s="16">
        <f t="shared" si="167"/>
        <v>4.5235291559310618</v>
      </c>
      <c r="U1481" s="16">
        <f>IF(AC1481=100,Braking!$AG$2354,IF(AC1481=50,Braking!$AG$1179,IF(AC1481=75,Braking!$AG$1767,0)))</f>
        <v>0</v>
      </c>
      <c r="V1481" s="16">
        <f>0.5*'Gearing Calculator'!$C$15*'Gearing Calculator'!$C$20*'Gearing Calculator'!$W$20*('Track Data'!Q1481^2)</f>
        <v>85.195546848271832</v>
      </c>
      <c r="W1481" s="16">
        <f>('Gearing Calculator'!$U$9*'Track Data'!T1481)+'Track Data'!V1481</f>
        <v>1289.3590081571203</v>
      </c>
      <c r="X1481" s="16">
        <f>('Gearing Calculator'!$U$9*9.81)*('Gearing Calculator'!$U$16/'Gearing Calculator'!$C$7)-(('Track Data'!W1481)*('Gearing Calculator'!$U$17/'Gearing Calculator'!$C$7))</f>
        <v>698.37358541434548</v>
      </c>
      <c r="Y1481" s="16">
        <f>('Gearing Calculator'!$U$9*9.81)*(('Gearing Calculator'!$C$7-'Gearing Calculator'!$U$16)/'Gearing Calculator'!$C$7)+(('Track Data'!W1481)*('Gearing Calculator'!$U$17/'Gearing Calculator'!$C$7))</f>
        <v>1913.0484145856544</v>
      </c>
      <c r="Z1481" s="16">
        <f>((X1481*COS('Gearing Calculator'!$C$21))/'Gearing Calculator'!$C$22)/2</f>
        <v>21.591502493544937</v>
      </c>
      <c r="AA1481" s="16">
        <f>Y1481/'Gearing Calculator'!$C$24</f>
        <v>26.712572320359616</v>
      </c>
      <c r="AB1481" s="16">
        <f t="shared" si="163"/>
        <v>98.76613431606502</v>
      </c>
      <c r="AC1481" s="16">
        <v>0</v>
      </c>
      <c r="AD1481" s="16">
        <v>-46.712096975939801</v>
      </c>
      <c r="AE1481" s="16">
        <v>1478</v>
      </c>
      <c r="AF1481" s="16">
        <f>IF(AC1481=0,IF(O1481=6,INDEX(Acceleration!$V$4:$V$110,MATCH('Track Data'!S1481,Acceleration!$K$4:$K$110,0)),IF('Track Data'!O1481=5,INDEX(Acceleration!$U$4:$U$110,MATCH('Track Data'!S1481,Acceleration!$K$4:$K$110,0)),1)),U1481)</f>
        <v>1</v>
      </c>
      <c r="AG1481" s="16">
        <f>IF(AC1481=0,IF(O1481=4,INDEX(Acceleration!$T$4:$T$110,MATCH('Track Data'!S1481,Acceleration!$K$4:$K$110,0)),IF('Track Data'!O1481=3,INDEX(Acceleration!$S$4:$S$110,MATCH('Track Data'!S1481,Acceleration!$K$4:$K$110,0)),'Track Data'!AF1481)),'Track Data'!U1481)</f>
        <v>4.5235291559310618</v>
      </c>
      <c r="AH1481" s="16">
        <f>IF(AC1481=0,IF(O1481=2,INDEX(Acceleration!$R$4:$R$110,MATCH('Track Data'!S1481,Acceleration!$K$4:$K$110,0)),IF('Track Data'!O1481=1,INDEX(Acceleration!$Q$4:$Q$110,MATCH('Track Data'!S1481,Acceleration!$K$4:$K$110,0)),'Track Data'!AG1481)),'Track Data'!U1481)</f>
        <v>4.5235291559310618</v>
      </c>
    </row>
    <row r="1482" spans="2:34" x14ac:dyDescent="0.25">
      <c r="B1482" s="16">
        <v>238.08600000000001</v>
      </c>
      <c r="C1482" s="16">
        <v>8752</v>
      </c>
      <c r="D1482" s="16">
        <v>1479</v>
      </c>
      <c r="E1482" s="113">
        <v>123</v>
      </c>
      <c r="F1482" s="113">
        <v>115.3</v>
      </c>
      <c r="G1482" s="113">
        <v>120.6</v>
      </c>
      <c r="H1482" s="113">
        <f t="shared" si="166"/>
        <v>33.5</v>
      </c>
      <c r="I1482" s="113">
        <v>2.4</v>
      </c>
      <c r="J1482" s="113">
        <v>-0.06</v>
      </c>
      <c r="K1482" s="113">
        <v>-25.6</v>
      </c>
      <c r="L1482" s="183"/>
      <c r="M1482" s="16">
        <v>1479</v>
      </c>
      <c r="N1482" s="16">
        <f t="shared" si="168"/>
        <v>3.5246538176591118E-2</v>
      </c>
      <c r="O1482" s="16">
        <v>3</v>
      </c>
      <c r="P1482" s="16">
        <f t="shared" si="164"/>
        <v>10.596205962059623</v>
      </c>
      <c r="Q1482" s="16">
        <f t="shared" si="169"/>
        <v>28.371580635517478</v>
      </c>
      <c r="R1482" s="113">
        <f t="shared" si="165"/>
        <v>345.36</v>
      </c>
      <c r="S1482" s="16">
        <f>IF(S1481=15800,15800,ROUND((((Q1482*60)/'Gearing Calculator'!$C$14)*'Track Data'!P1482),-2))</f>
        <v>9100</v>
      </c>
      <c r="T1482" s="16">
        <f t="shared" si="167"/>
        <v>4.5235291559310618</v>
      </c>
      <c r="U1482" s="16">
        <f>IF(AC1482=100,Braking!$AG$2354,IF(AC1482=50,Braking!$AG$1179,IF(AC1482=75,Braking!$AG$1767,0)))</f>
        <v>0</v>
      </c>
      <c r="V1482" s="16">
        <f>0.5*'Gearing Calculator'!$C$15*'Gearing Calculator'!$C$20*'Gearing Calculator'!$W$20*('Track Data'!Q1482^2)</f>
        <v>85.195546848271832</v>
      </c>
      <c r="W1482" s="16">
        <f>('Gearing Calculator'!$U$9*'Track Data'!T1482)+'Track Data'!V1482</f>
        <v>1289.3590081571203</v>
      </c>
      <c r="X1482" s="16">
        <f>('Gearing Calculator'!$U$9*9.81)*('Gearing Calculator'!$U$16/'Gearing Calculator'!$C$7)-(('Track Data'!W1482)*('Gearing Calculator'!$U$17/'Gearing Calculator'!$C$7))</f>
        <v>698.37358541434548</v>
      </c>
      <c r="Y1482" s="16">
        <f>('Gearing Calculator'!$U$9*9.81)*(('Gearing Calculator'!$C$7-'Gearing Calculator'!$U$16)/'Gearing Calculator'!$C$7)+(('Track Data'!W1482)*('Gearing Calculator'!$U$17/'Gearing Calculator'!$C$7))</f>
        <v>1913.0484145856544</v>
      </c>
      <c r="Z1482" s="16">
        <f>((X1482*COS('Gearing Calculator'!$C$21))/'Gearing Calculator'!$C$22)/2</f>
        <v>21.591502493544937</v>
      </c>
      <c r="AA1482" s="16">
        <f>Y1482/'Gearing Calculator'!$C$24</f>
        <v>26.712572320359616</v>
      </c>
      <c r="AB1482" s="16">
        <f t="shared" si="163"/>
        <v>98.76613431606502</v>
      </c>
      <c r="AC1482" s="16">
        <v>0</v>
      </c>
      <c r="AD1482" s="16">
        <v>-46.712096975939801</v>
      </c>
      <c r="AE1482" s="16">
        <v>1479</v>
      </c>
      <c r="AF1482" s="16">
        <f>IF(AC1482=0,IF(O1482=6,INDEX(Acceleration!$V$4:$V$110,MATCH('Track Data'!S1482,Acceleration!$K$4:$K$110,0)),IF('Track Data'!O1482=5,INDEX(Acceleration!$U$4:$U$110,MATCH('Track Data'!S1482,Acceleration!$K$4:$K$110,0)),1)),U1482)</f>
        <v>1</v>
      </c>
      <c r="AG1482" s="16">
        <f>IF(AC1482=0,IF(O1482=4,INDEX(Acceleration!$T$4:$T$110,MATCH('Track Data'!S1482,Acceleration!$K$4:$K$110,0)),IF('Track Data'!O1482=3,INDEX(Acceleration!$S$4:$S$110,MATCH('Track Data'!S1482,Acceleration!$K$4:$K$110,0)),'Track Data'!AF1482)),'Track Data'!U1482)</f>
        <v>4.5235291559310618</v>
      </c>
      <c r="AH1482" s="16">
        <f>IF(AC1482=0,IF(O1482=2,INDEX(Acceleration!$R$4:$R$110,MATCH('Track Data'!S1482,Acceleration!$K$4:$K$110,0)),IF('Track Data'!O1482=1,INDEX(Acceleration!$Q$4:$Q$110,MATCH('Track Data'!S1482,Acceleration!$K$4:$K$110,0)),'Track Data'!AG1482)),'Track Data'!U1482)</f>
        <v>4.5235291559310618</v>
      </c>
    </row>
    <row r="1483" spans="2:34" x14ac:dyDescent="0.25">
      <c r="B1483" s="16">
        <v>238.11600000000001</v>
      </c>
      <c r="C1483" s="16">
        <v>8753</v>
      </c>
      <c r="D1483" s="16">
        <v>1480</v>
      </c>
      <c r="E1483" s="113">
        <v>124</v>
      </c>
      <c r="F1483" s="113">
        <v>115.1</v>
      </c>
      <c r="G1483" s="113">
        <v>121.4</v>
      </c>
      <c r="H1483" s="113">
        <f t="shared" si="166"/>
        <v>33.722222222222221</v>
      </c>
      <c r="I1483" s="113">
        <v>2.7</v>
      </c>
      <c r="J1483" s="113">
        <v>-0.03</v>
      </c>
      <c r="K1483" s="113">
        <v>-17.5</v>
      </c>
      <c r="L1483" s="183"/>
      <c r="M1483" s="16">
        <v>1480</v>
      </c>
      <c r="N1483" s="16">
        <f t="shared" si="168"/>
        <v>3.5246538176591118E-2</v>
      </c>
      <c r="O1483" s="16">
        <v>3</v>
      </c>
      <c r="P1483" s="16">
        <f t="shared" si="164"/>
        <v>10.596205962059623</v>
      </c>
      <c r="Q1483" s="16">
        <f t="shared" si="169"/>
        <v>28.371580635517478</v>
      </c>
      <c r="R1483" s="113">
        <f t="shared" si="165"/>
        <v>345.36</v>
      </c>
      <c r="S1483" s="16">
        <f>IF(S1482=15800,15800,ROUND((((Q1483*60)/'Gearing Calculator'!$C$14)*'Track Data'!P1483),-2))</f>
        <v>9100</v>
      </c>
      <c r="T1483" s="16">
        <f t="shared" si="167"/>
        <v>4.5235291559310618</v>
      </c>
      <c r="U1483" s="16">
        <f>IF(AC1483=100,Braking!$AG$2354,IF(AC1483=50,Braking!$AG$1179,IF(AC1483=75,Braking!$AG$1767,0)))</f>
        <v>0</v>
      </c>
      <c r="V1483" s="16">
        <f>0.5*'Gearing Calculator'!$C$15*'Gearing Calculator'!$C$20*'Gearing Calculator'!$W$20*('Track Data'!Q1483^2)</f>
        <v>85.195546848271832</v>
      </c>
      <c r="W1483" s="16">
        <f>('Gearing Calculator'!$U$9*'Track Data'!T1483)+'Track Data'!V1483</f>
        <v>1289.3590081571203</v>
      </c>
      <c r="X1483" s="16">
        <f>('Gearing Calculator'!$U$9*9.81)*('Gearing Calculator'!$U$16/'Gearing Calculator'!$C$7)-(('Track Data'!W1483)*('Gearing Calculator'!$U$17/'Gearing Calculator'!$C$7))</f>
        <v>698.37358541434548</v>
      </c>
      <c r="Y1483" s="16">
        <f>('Gearing Calculator'!$U$9*9.81)*(('Gearing Calculator'!$C$7-'Gearing Calculator'!$U$16)/'Gearing Calculator'!$C$7)+(('Track Data'!W1483)*('Gearing Calculator'!$U$17/'Gearing Calculator'!$C$7))</f>
        <v>1913.0484145856544</v>
      </c>
      <c r="Z1483" s="16">
        <f>((X1483*COS('Gearing Calculator'!$C$21))/'Gearing Calculator'!$C$22)/2</f>
        <v>21.591502493544937</v>
      </c>
      <c r="AA1483" s="16">
        <f>Y1483/'Gearing Calculator'!$C$24</f>
        <v>26.712572320359616</v>
      </c>
      <c r="AB1483" s="16">
        <f t="shared" si="163"/>
        <v>98.76613431606502</v>
      </c>
      <c r="AC1483" s="16">
        <v>0</v>
      </c>
      <c r="AD1483" s="16">
        <v>-46.712096975939801</v>
      </c>
      <c r="AE1483" s="16">
        <v>1480</v>
      </c>
      <c r="AF1483" s="16">
        <f>IF(AC1483=0,IF(O1483=6,INDEX(Acceleration!$V$4:$V$110,MATCH('Track Data'!S1483,Acceleration!$K$4:$K$110,0)),IF('Track Data'!O1483=5,INDEX(Acceleration!$U$4:$U$110,MATCH('Track Data'!S1483,Acceleration!$K$4:$K$110,0)),1)),U1483)</f>
        <v>1</v>
      </c>
      <c r="AG1483" s="16">
        <f>IF(AC1483=0,IF(O1483=4,INDEX(Acceleration!$T$4:$T$110,MATCH('Track Data'!S1483,Acceleration!$K$4:$K$110,0)),IF('Track Data'!O1483=3,INDEX(Acceleration!$S$4:$S$110,MATCH('Track Data'!S1483,Acceleration!$K$4:$K$110,0)),'Track Data'!AF1483)),'Track Data'!U1483)</f>
        <v>4.5235291559310618</v>
      </c>
      <c r="AH1483" s="16">
        <f>IF(AC1483=0,IF(O1483=2,INDEX(Acceleration!$R$4:$R$110,MATCH('Track Data'!S1483,Acceleration!$K$4:$K$110,0)),IF('Track Data'!O1483=1,INDEX(Acceleration!$Q$4:$Q$110,MATCH('Track Data'!S1483,Acceleration!$K$4:$K$110,0)),'Track Data'!AG1483)),'Track Data'!U1483)</f>
        <v>4.5235291559310618</v>
      </c>
    </row>
    <row r="1484" spans="2:34" x14ac:dyDescent="0.25">
      <c r="B1484" s="16">
        <v>238.148</v>
      </c>
      <c r="C1484" s="16">
        <v>8754</v>
      </c>
      <c r="D1484" s="16">
        <v>1481</v>
      </c>
      <c r="E1484" s="113">
        <v>125</v>
      </c>
      <c r="F1484" s="113">
        <v>116.3</v>
      </c>
      <c r="G1484" s="113">
        <v>122.1</v>
      </c>
      <c r="H1484" s="113">
        <f t="shared" si="166"/>
        <v>33.916666666666664</v>
      </c>
      <c r="I1484" s="113">
        <v>2.2000000000000002</v>
      </c>
      <c r="J1484" s="113">
        <v>-0.1</v>
      </c>
      <c r="K1484" s="113">
        <v>-9.4</v>
      </c>
      <c r="L1484" s="183"/>
      <c r="M1484" s="16">
        <v>1481</v>
      </c>
      <c r="N1484" s="16">
        <f t="shared" si="168"/>
        <v>3.5246538176591118E-2</v>
      </c>
      <c r="O1484" s="16">
        <v>3</v>
      </c>
      <c r="P1484" s="16">
        <f t="shared" si="164"/>
        <v>10.596205962059623</v>
      </c>
      <c r="Q1484" s="16">
        <f t="shared" si="169"/>
        <v>28.371580635517478</v>
      </c>
      <c r="R1484" s="113">
        <f t="shared" si="165"/>
        <v>345.36</v>
      </c>
      <c r="S1484" s="16">
        <f>IF(S1483=15800,15800,ROUND((((Q1484*60)/'Gearing Calculator'!$C$14)*'Track Data'!P1484),-2))</f>
        <v>9100</v>
      </c>
      <c r="T1484" s="16">
        <f t="shared" si="167"/>
        <v>4.5235291559310618</v>
      </c>
      <c r="U1484" s="16">
        <f>IF(AC1484=100,Braking!$AG$2354,IF(AC1484=50,Braking!$AG$1179,IF(AC1484=75,Braking!$AG$1767,0)))</f>
        <v>0</v>
      </c>
      <c r="V1484" s="16">
        <f>0.5*'Gearing Calculator'!$C$15*'Gearing Calculator'!$C$20*'Gearing Calculator'!$W$20*('Track Data'!Q1484^2)</f>
        <v>85.195546848271832</v>
      </c>
      <c r="W1484" s="16">
        <f>('Gearing Calculator'!$U$9*'Track Data'!T1484)+'Track Data'!V1484</f>
        <v>1289.3590081571203</v>
      </c>
      <c r="X1484" s="16">
        <f>('Gearing Calculator'!$U$9*9.81)*('Gearing Calculator'!$U$16/'Gearing Calculator'!$C$7)-(('Track Data'!W1484)*('Gearing Calculator'!$U$17/'Gearing Calculator'!$C$7))</f>
        <v>698.37358541434548</v>
      </c>
      <c r="Y1484" s="16">
        <f>('Gearing Calculator'!$U$9*9.81)*(('Gearing Calculator'!$C$7-'Gearing Calculator'!$U$16)/'Gearing Calculator'!$C$7)+(('Track Data'!W1484)*('Gearing Calculator'!$U$17/'Gearing Calculator'!$C$7))</f>
        <v>1913.0484145856544</v>
      </c>
      <c r="Z1484" s="16">
        <f>((X1484*COS('Gearing Calculator'!$C$21))/'Gearing Calculator'!$C$22)/2</f>
        <v>21.591502493544937</v>
      </c>
      <c r="AA1484" s="16">
        <f>Y1484/'Gearing Calculator'!$C$24</f>
        <v>26.712572320359616</v>
      </c>
      <c r="AB1484" s="16">
        <f t="shared" si="163"/>
        <v>98.76613431606502</v>
      </c>
      <c r="AC1484" s="16">
        <v>0</v>
      </c>
      <c r="AD1484" s="16">
        <v>-46.712096975939801</v>
      </c>
      <c r="AE1484" s="16">
        <v>1481</v>
      </c>
      <c r="AF1484" s="16">
        <f>IF(AC1484=0,IF(O1484=6,INDEX(Acceleration!$V$4:$V$110,MATCH('Track Data'!S1484,Acceleration!$K$4:$K$110,0)),IF('Track Data'!O1484=5,INDEX(Acceleration!$U$4:$U$110,MATCH('Track Data'!S1484,Acceleration!$K$4:$K$110,0)),1)),U1484)</f>
        <v>1</v>
      </c>
      <c r="AG1484" s="16">
        <f>IF(AC1484=0,IF(O1484=4,INDEX(Acceleration!$T$4:$T$110,MATCH('Track Data'!S1484,Acceleration!$K$4:$K$110,0)),IF('Track Data'!O1484=3,INDEX(Acceleration!$S$4:$S$110,MATCH('Track Data'!S1484,Acceleration!$K$4:$K$110,0)),'Track Data'!AF1484)),'Track Data'!U1484)</f>
        <v>4.5235291559310618</v>
      </c>
      <c r="AH1484" s="16">
        <f>IF(AC1484=0,IF(O1484=2,INDEX(Acceleration!$R$4:$R$110,MATCH('Track Data'!S1484,Acceleration!$K$4:$K$110,0)),IF('Track Data'!O1484=1,INDEX(Acceleration!$Q$4:$Q$110,MATCH('Track Data'!S1484,Acceleration!$K$4:$K$110,0)),'Track Data'!AG1484)),'Track Data'!U1484)</f>
        <v>4.5235291559310618</v>
      </c>
    </row>
    <row r="1485" spans="2:34" ht="15.75" thickBot="1" x14ac:dyDescent="0.3">
      <c r="B1485" s="16">
        <v>238.179</v>
      </c>
      <c r="C1485" s="16">
        <v>8755</v>
      </c>
      <c r="D1485" s="16">
        <v>1482</v>
      </c>
      <c r="E1485" s="113">
        <v>126</v>
      </c>
      <c r="F1485" s="113">
        <v>118.8</v>
      </c>
      <c r="G1485" s="113">
        <v>122.9</v>
      </c>
      <c r="H1485" s="113">
        <f t="shared" si="166"/>
        <v>34.138888888888893</v>
      </c>
      <c r="I1485" s="113">
        <v>2.2000000000000002</v>
      </c>
      <c r="J1485" s="113">
        <v>0.08</v>
      </c>
      <c r="K1485" s="113">
        <v>-5</v>
      </c>
      <c r="L1485" s="183"/>
      <c r="M1485" s="16">
        <v>1482</v>
      </c>
      <c r="N1485" s="16">
        <f t="shared" si="168"/>
        <v>3.5246538176591118E-2</v>
      </c>
      <c r="O1485" s="16">
        <v>3</v>
      </c>
      <c r="P1485" s="16">
        <f t="shared" si="164"/>
        <v>10.596205962059623</v>
      </c>
      <c r="Q1485" s="16">
        <f t="shared" si="169"/>
        <v>28.371580635517478</v>
      </c>
      <c r="R1485" s="113">
        <f t="shared" si="165"/>
        <v>345.36</v>
      </c>
      <c r="S1485" s="16">
        <f>IF(S1484=15800,15800,ROUND((((Q1485*60)/'Gearing Calculator'!$C$14)*'Track Data'!P1485),-2))</f>
        <v>9100</v>
      </c>
      <c r="T1485" s="16">
        <f t="shared" si="167"/>
        <v>4.5235291559310618</v>
      </c>
      <c r="U1485" s="16">
        <f>IF(AC1485=100,Braking!$AG$2354,IF(AC1485=50,Braking!$AG$1179,IF(AC1485=75,Braking!$AG$1767,0)))</f>
        <v>0</v>
      </c>
      <c r="V1485" s="16">
        <f>0.5*'Gearing Calculator'!$C$15*'Gearing Calculator'!$C$20*'Gearing Calculator'!$W$20*('Track Data'!Q1485^2)</f>
        <v>85.195546848271832</v>
      </c>
      <c r="W1485" s="16">
        <f>('Gearing Calculator'!$U$9*'Track Data'!T1485)+'Track Data'!V1485</f>
        <v>1289.3590081571203</v>
      </c>
      <c r="X1485" s="16">
        <f>('Gearing Calculator'!$U$9*9.81)*('Gearing Calculator'!$U$16/'Gearing Calculator'!$C$7)-(('Track Data'!W1485)*('Gearing Calculator'!$U$17/'Gearing Calculator'!$C$7))</f>
        <v>698.37358541434548</v>
      </c>
      <c r="Y1485" s="16">
        <f>('Gearing Calculator'!$U$9*9.81)*(('Gearing Calculator'!$C$7-'Gearing Calculator'!$U$16)/'Gearing Calculator'!$C$7)+(('Track Data'!W1485)*('Gearing Calculator'!$U$17/'Gearing Calculator'!$C$7))</f>
        <v>1913.0484145856544</v>
      </c>
      <c r="Z1485" s="16">
        <f>((X1485*COS('Gearing Calculator'!$C$21))/'Gearing Calculator'!$C$22)/2</f>
        <v>21.591502493544937</v>
      </c>
      <c r="AA1485" s="16">
        <f>Y1485/'Gearing Calculator'!$C$24</f>
        <v>26.712572320359616</v>
      </c>
      <c r="AB1485" s="16">
        <f t="shared" si="163"/>
        <v>98.76613431606502</v>
      </c>
      <c r="AC1485" s="16">
        <v>0</v>
      </c>
      <c r="AD1485" s="16">
        <v>-46.712096975939801</v>
      </c>
      <c r="AE1485" s="16">
        <v>1482</v>
      </c>
      <c r="AF1485" s="16">
        <f>IF(AC1485=0,IF(O1485=6,INDEX(Acceleration!$V$4:$V$110,MATCH('Track Data'!S1485,Acceleration!$K$4:$K$110,0)),IF('Track Data'!O1485=5,INDEX(Acceleration!$U$4:$U$110,MATCH('Track Data'!S1485,Acceleration!$K$4:$K$110,0)),1)),U1485)</f>
        <v>1</v>
      </c>
      <c r="AG1485" s="16">
        <f>IF(AC1485=0,IF(O1485=4,INDEX(Acceleration!$T$4:$T$110,MATCH('Track Data'!S1485,Acceleration!$K$4:$K$110,0)),IF('Track Data'!O1485=3,INDEX(Acceleration!$S$4:$S$110,MATCH('Track Data'!S1485,Acceleration!$K$4:$K$110,0)),'Track Data'!AF1485)),'Track Data'!U1485)</f>
        <v>4.5235291559310618</v>
      </c>
      <c r="AH1485" s="16">
        <f>IF(AC1485=0,IF(O1485=2,INDEX(Acceleration!$R$4:$R$110,MATCH('Track Data'!S1485,Acceleration!$K$4:$K$110,0)),IF('Track Data'!O1485=1,INDEX(Acceleration!$Q$4:$Q$110,MATCH('Track Data'!S1485,Acceleration!$K$4:$K$110,0)),'Track Data'!AG1485)),'Track Data'!U1485)</f>
        <v>4.5235291559310618</v>
      </c>
    </row>
    <row r="1486" spans="2:34" x14ac:dyDescent="0.25">
      <c r="B1486" s="16">
        <v>238.209</v>
      </c>
      <c r="C1486" s="16">
        <v>8756</v>
      </c>
      <c r="D1486" s="16">
        <v>1483</v>
      </c>
      <c r="E1486" s="113">
        <v>126</v>
      </c>
      <c r="F1486" s="113">
        <v>122.4</v>
      </c>
      <c r="G1486" s="113">
        <v>123.6</v>
      </c>
      <c r="H1486" s="113">
        <f t="shared" si="166"/>
        <v>34.333333333333329</v>
      </c>
      <c r="I1486" s="113">
        <v>2.8</v>
      </c>
      <c r="J1486" s="113">
        <v>4.62</v>
      </c>
      <c r="K1486" s="113">
        <v>-5</v>
      </c>
      <c r="L1486" s="184" t="s">
        <v>195</v>
      </c>
      <c r="M1486" s="16">
        <v>1483</v>
      </c>
      <c r="N1486" s="16">
        <f t="shared" si="168"/>
        <v>3.5246538176591118E-2</v>
      </c>
      <c r="O1486" s="16">
        <v>4</v>
      </c>
      <c r="P1486" s="16">
        <f t="shared" si="164"/>
        <v>9.1833785004516724</v>
      </c>
      <c r="Q1486" s="16">
        <f t="shared" si="169"/>
        <v>28.371580635517478</v>
      </c>
      <c r="R1486" s="113">
        <f t="shared" si="165"/>
        <v>329.49099999999999</v>
      </c>
      <c r="S1486" s="16">
        <f>IF(S1485=15800,15800,ROUND((((Q1486*60)/'Gearing Calculator'!$C$14)*'Track Data'!P1486),-2))</f>
        <v>7900</v>
      </c>
      <c r="T1486" s="16">
        <f t="shared" si="167"/>
        <v>3.8561546278068444</v>
      </c>
      <c r="U1486" s="16">
        <f>IF(AC1486=100,Braking!$AG$2354,IF(AC1486=50,Braking!$AG$1179,IF(AC1486=75,Braking!$AG$1767,0)))</f>
        <v>0</v>
      </c>
      <c r="V1486" s="16">
        <f>0.5*'Gearing Calculator'!$C$15*'Gearing Calculator'!$C$20*'Gearing Calculator'!$W$20*('Track Data'!Q1486^2)</f>
        <v>85.195546848271832</v>
      </c>
      <c r="W1486" s="16">
        <f>('Gearing Calculator'!$U$9*'Track Data'!T1486)+'Track Data'!V1486</f>
        <v>1111.7039087704536</v>
      </c>
      <c r="X1486" s="16">
        <f>('Gearing Calculator'!$U$9*9.81)*('Gearing Calculator'!$U$16/'Gearing Calculator'!$C$7)-(('Track Data'!W1486)*('Gearing Calculator'!$U$17/'Gearing Calculator'!$C$7))</f>
        <v>795.20774731002734</v>
      </c>
      <c r="Y1486" s="16">
        <f>('Gearing Calculator'!$U$9*9.81)*(('Gearing Calculator'!$C$7-'Gearing Calculator'!$U$16)/'Gearing Calculator'!$C$7)+(('Track Data'!W1486)*('Gearing Calculator'!$U$17/'Gearing Calculator'!$C$7))</f>
        <v>1816.2142526899727</v>
      </c>
      <c r="Z1486" s="16">
        <f>((X1486*COS('Gearing Calculator'!$C$21))/'Gearing Calculator'!$C$22)/2</f>
        <v>24.585308518998318</v>
      </c>
      <c r="AA1486" s="16">
        <f>Y1486/'Gearing Calculator'!$C$24</f>
        <v>25.360442634044247</v>
      </c>
      <c r="AB1486" s="16">
        <f t="shared" si="163"/>
        <v>100.62016535949921</v>
      </c>
      <c r="AC1486" s="16">
        <v>0</v>
      </c>
      <c r="AD1486" s="16">
        <v>0</v>
      </c>
      <c r="AE1486" s="16">
        <v>1483</v>
      </c>
      <c r="AF1486" s="16">
        <f>IF(AC1486=0,IF(O1486=6,INDEX(Acceleration!$V$4:$V$110,MATCH('Track Data'!S1486,Acceleration!$K$4:$K$110,0)),IF('Track Data'!O1486=5,INDEX(Acceleration!$U$4:$U$110,MATCH('Track Data'!S1486,Acceleration!$K$4:$K$110,0)),1)),U1486)</f>
        <v>1</v>
      </c>
      <c r="AG1486" s="16">
        <f>IF(AC1486=0,IF(O1486=4,INDEX(Acceleration!$T$4:$T$110,MATCH('Track Data'!S1486,Acceleration!$K$4:$K$110,0)),IF('Track Data'!O1486=3,INDEX(Acceleration!$S$4:$S$110,MATCH('Track Data'!S1486,Acceleration!$K$4:$K$110,0)),'Track Data'!AF1486)),'Track Data'!U1486)</f>
        <v>3.8561546278068444</v>
      </c>
      <c r="AH1486" s="16">
        <f>IF(AC1486=0,IF(O1486=2,INDEX(Acceleration!$R$4:$R$110,MATCH('Track Data'!S1486,Acceleration!$K$4:$K$110,0)),IF('Track Data'!O1486=1,INDEX(Acceleration!$Q$4:$Q$110,MATCH('Track Data'!S1486,Acceleration!$K$4:$K$110,0)),'Track Data'!AG1486)),'Track Data'!U1486)</f>
        <v>3.8561546278068444</v>
      </c>
    </row>
    <row r="1487" spans="2:34" x14ac:dyDescent="0.25">
      <c r="B1487" s="16">
        <v>238.238</v>
      </c>
      <c r="C1487" s="16">
        <v>8757</v>
      </c>
      <c r="D1487" s="16">
        <v>1484</v>
      </c>
      <c r="E1487" s="113">
        <v>127</v>
      </c>
      <c r="F1487" s="113">
        <v>124.7</v>
      </c>
      <c r="G1487" s="113">
        <v>124.3</v>
      </c>
      <c r="H1487" s="113">
        <f t="shared" si="166"/>
        <v>34.527777777777779</v>
      </c>
      <c r="I1487" s="113">
        <v>4</v>
      </c>
      <c r="J1487" s="113">
        <v>6.76</v>
      </c>
      <c r="K1487" s="113">
        <v>-5</v>
      </c>
      <c r="L1487" s="185"/>
      <c r="M1487" s="16">
        <v>1484</v>
      </c>
      <c r="N1487" s="16">
        <f t="shared" si="168"/>
        <v>3.5078890828594153E-2</v>
      </c>
      <c r="O1487" s="16">
        <v>4</v>
      </c>
      <c r="P1487" s="16">
        <f t="shared" si="164"/>
        <v>9.1833785004516724</v>
      </c>
      <c r="Q1487" s="16">
        <f t="shared" si="169"/>
        <v>28.50717272921473</v>
      </c>
      <c r="R1487" s="113">
        <f t="shared" si="165"/>
        <v>329.49099999999999</v>
      </c>
      <c r="S1487" s="16">
        <f>IF(S1486=15800,15800,ROUND((((Q1487*60)/'Gearing Calculator'!$C$14)*'Track Data'!P1487),-2))</f>
        <v>7900</v>
      </c>
      <c r="T1487" s="16">
        <f t="shared" si="167"/>
        <v>3.8561546278068444</v>
      </c>
      <c r="U1487" s="16">
        <f>IF(AC1487=100,Braking!$AG$2354,IF(AC1487=50,Braking!$AG$1179,IF(AC1487=75,Braking!$AG$1767,0)))</f>
        <v>0</v>
      </c>
      <c r="V1487" s="16">
        <f>0.5*'Gearing Calculator'!$C$15*'Gearing Calculator'!$C$20*'Gearing Calculator'!$W$20*('Track Data'!Q1487^2)</f>
        <v>86.011817659885963</v>
      </c>
      <c r="W1487" s="16">
        <f>('Gearing Calculator'!$U$9*'Track Data'!T1487)+'Track Data'!V1487</f>
        <v>1112.5201795820678</v>
      </c>
      <c r="X1487" s="16">
        <f>('Gearing Calculator'!$U$9*9.81)*('Gearing Calculator'!$U$16/'Gearing Calculator'!$C$7)-(('Track Data'!W1487)*('Gearing Calculator'!$U$17/'Gearing Calculator'!$C$7))</f>
        <v>794.76282397151658</v>
      </c>
      <c r="Y1487" s="16">
        <f>('Gearing Calculator'!$U$9*9.81)*(('Gearing Calculator'!$C$7-'Gearing Calculator'!$U$16)/'Gearing Calculator'!$C$7)+(('Track Data'!W1487)*('Gearing Calculator'!$U$17/'Gearing Calculator'!$C$7))</f>
        <v>1816.6591760284834</v>
      </c>
      <c r="Z1487" s="16">
        <f>((X1487*COS('Gearing Calculator'!$C$21))/'Gearing Calculator'!$C$22)/2</f>
        <v>24.571552896544194</v>
      </c>
      <c r="AA1487" s="16">
        <f>Y1487/'Gearing Calculator'!$C$24</f>
        <v>25.366655256143286</v>
      </c>
      <c r="AB1487" s="16">
        <f t="shared" si="163"/>
        <v>101.43643617111334</v>
      </c>
      <c r="AC1487" s="16">
        <v>0</v>
      </c>
      <c r="AD1487" s="16">
        <v>0</v>
      </c>
      <c r="AE1487" s="16">
        <v>1484</v>
      </c>
      <c r="AF1487" s="16">
        <f>IF(AC1487=0,IF(O1487=6,INDEX(Acceleration!$V$4:$V$110,MATCH('Track Data'!S1487,Acceleration!$K$4:$K$110,0)),IF('Track Data'!O1487=5,INDEX(Acceleration!$U$4:$U$110,MATCH('Track Data'!S1487,Acceleration!$K$4:$K$110,0)),1)),U1487)</f>
        <v>1</v>
      </c>
      <c r="AG1487" s="16">
        <f>IF(AC1487=0,IF(O1487=4,INDEX(Acceleration!$T$4:$T$110,MATCH('Track Data'!S1487,Acceleration!$K$4:$K$110,0)),IF('Track Data'!O1487=3,INDEX(Acceleration!$S$4:$S$110,MATCH('Track Data'!S1487,Acceleration!$K$4:$K$110,0)),'Track Data'!AF1487)),'Track Data'!U1487)</f>
        <v>3.8561546278068444</v>
      </c>
      <c r="AH1487" s="16">
        <f>IF(AC1487=0,IF(O1487=2,INDEX(Acceleration!$R$4:$R$110,MATCH('Track Data'!S1487,Acceleration!$K$4:$K$110,0)),IF('Track Data'!O1487=1,INDEX(Acceleration!$Q$4:$Q$110,MATCH('Track Data'!S1487,Acceleration!$K$4:$K$110,0)),'Track Data'!AG1487)),'Track Data'!U1487)</f>
        <v>3.8561546278068444</v>
      </c>
    </row>
    <row r="1488" spans="2:34" x14ac:dyDescent="0.25">
      <c r="B1488" s="16">
        <v>238.267</v>
      </c>
      <c r="C1488" s="16">
        <v>8758</v>
      </c>
      <c r="D1488" s="16">
        <v>1485</v>
      </c>
      <c r="E1488" s="113">
        <v>127</v>
      </c>
      <c r="F1488" s="113">
        <v>125.6</v>
      </c>
      <c r="G1488" s="113">
        <v>125.2</v>
      </c>
      <c r="H1488" s="113">
        <f t="shared" si="166"/>
        <v>34.777777777777779</v>
      </c>
      <c r="I1488" s="113">
        <v>5.2</v>
      </c>
      <c r="J1488" s="113">
        <v>9.5299999999999994</v>
      </c>
      <c r="K1488" s="113">
        <v>-7</v>
      </c>
      <c r="L1488" s="185"/>
      <c r="M1488" s="16">
        <v>1485</v>
      </c>
      <c r="N1488" s="16">
        <f t="shared" si="168"/>
        <v>3.4913613150876037E-2</v>
      </c>
      <c r="O1488" s="16">
        <v>4</v>
      </c>
      <c r="P1488" s="16">
        <f t="shared" si="164"/>
        <v>9.1833785004516724</v>
      </c>
      <c r="Q1488" s="16">
        <f t="shared" si="169"/>
        <v>28.642122935789828</v>
      </c>
      <c r="R1488" s="113">
        <f t="shared" si="165"/>
        <v>329.49099999999999</v>
      </c>
      <c r="S1488" s="16">
        <f>IF(S1487=15800,15800,ROUND((((Q1488*60)/'Gearing Calculator'!$C$14)*'Track Data'!P1488),-2))</f>
        <v>8000</v>
      </c>
      <c r="T1488" s="16">
        <f t="shared" si="167"/>
        <v>3.8787803479424769</v>
      </c>
      <c r="U1488" s="16">
        <f>IF(AC1488=100,Braking!$AG$2354,IF(AC1488=50,Braking!$AG$1179,IF(AC1488=75,Braking!$AG$1767,0)))</f>
        <v>0</v>
      </c>
      <c r="V1488" s="16">
        <f>0.5*'Gearing Calculator'!$C$15*'Gearing Calculator'!$C$20*'Gearing Calculator'!$W$20*('Track Data'!Q1488^2)</f>
        <v>86.828088471500124</v>
      </c>
      <c r="W1488" s="16">
        <f>('Gearing Calculator'!$U$9*'Track Data'!T1488)+'Track Data'!V1488</f>
        <v>1119.3594170937874</v>
      </c>
      <c r="X1488" s="16">
        <f>('Gearing Calculator'!$U$9*9.81)*('Gearing Calculator'!$U$16/'Gearing Calculator'!$C$7)-(('Track Data'!W1488)*('Gearing Calculator'!$U$17/'Gearing Calculator'!$C$7))</f>
        <v>791.03497245056792</v>
      </c>
      <c r="Y1488" s="16">
        <f>('Gearing Calculator'!$U$9*9.81)*(('Gearing Calculator'!$C$7-'Gearing Calculator'!$U$16)/'Gearing Calculator'!$C$7)+(('Track Data'!W1488)*('Gearing Calculator'!$U$17/'Gearing Calculator'!$C$7))</f>
        <v>1820.3870275494321</v>
      </c>
      <c r="Z1488" s="16">
        <f>((X1488*COS('Gearing Calculator'!$C$21))/'Gearing Calculator'!$C$22)/2</f>
        <v>24.456299517706316</v>
      </c>
      <c r="AA1488" s="16">
        <f>Y1488/'Gearing Calculator'!$C$24</f>
        <v>25.418708566761914</v>
      </c>
      <c r="AB1488" s="16">
        <f t="shared" si="163"/>
        <v>102.34320986327003</v>
      </c>
      <c r="AC1488" s="16">
        <v>0</v>
      </c>
      <c r="AD1488" s="16">
        <v>0</v>
      </c>
      <c r="AE1488" s="16">
        <v>1485</v>
      </c>
      <c r="AF1488" s="16">
        <f>IF(AC1488=0,IF(O1488=6,INDEX(Acceleration!$V$4:$V$110,MATCH('Track Data'!S1488,Acceleration!$K$4:$K$110,0)),IF('Track Data'!O1488=5,INDEX(Acceleration!$U$4:$U$110,MATCH('Track Data'!S1488,Acceleration!$K$4:$K$110,0)),1)),U1488)</f>
        <v>1</v>
      </c>
      <c r="AG1488" s="16">
        <f>IF(AC1488=0,IF(O1488=4,INDEX(Acceleration!$T$4:$T$110,MATCH('Track Data'!S1488,Acceleration!$K$4:$K$110,0)),IF('Track Data'!O1488=3,INDEX(Acceleration!$S$4:$S$110,MATCH('Track Data'!S1488,Acceleration!$K$4:$K$110,0)),'Track Data'!AF1488)),'Track Data'!U1488)</f>
        <v>3.8787803479424769</v>
      </c>
      <c r="AH1488" s="16">
        <f>IF(AC1488=0,IF(O1488=2,INDEX(Acceleration!$R$4:$R$110,MATCH('Track Data'!S1488,Acceleration!$K$4:$K$110,0)),IF('Track Data'!O1488=1,INDEX(Acceleration!$Q$4:$Q$110,MATCH('Track Data'!S1488,Acceleration!$K$4:$K$110,0)),'Track Data'!AG1488)),'Track Data'!U1488)</f>
        <v>3.8787803479424769</v>
      </c>
    </row>
    <row r="1489" spans="2:34" x14ac:dyDescent="0.25">
      <c r="B1489" s="16">
        <v>238.29599999999999</v>
      </c>
      <c r="C1489" s="16">
        <v>8759</v>
      </c>
      <c r="D1489" s="16">
        <v>1486</v>
      </c>
      <c r="E1489" s="113">
        <v>127</v>
      </c>
      <c r="F1489" s="113">
        <v>125.9</v>
      </c>
      <c r="G1489" s="113">
        <v>126</v>
      </c>
      <c r="H1489" s="113">
        <f t="shared" si="166"/>
        <v>35</v>
      </c>
      <c r="I1489" s="113">
        <v>5.4</v>
      </c>
      <c r="J1489" s="113">
        <v>9.64</v>
      </c>
      <c r="K1489" s="113">
        <v>-9.6</v>
      </c>
      <c r="L1489" s="185"/>
      <c r="M1489" s="16">
        <v>1486</v>
      </c>
      <c r="N1489" s="16">
        <f t="shared" si="168"/>
        <v>3.4749700386631235E-2</v>
      </c>
      <c r="O1489" s="16">
        <v>4</v>
      </c>
      <c r="P1489" s="16">
        <f t="shared" si="164"/>
        <v>9.1833785004516724</v>
      </c>
      <c r="Q1489" s="16">
        <f t="shared" si="169"/>
        <v>28.77722653357656</v>
      </c>
      <c r="R1489" s="113">
        <f t="shared" si="165"/>
        <v>329.49099999999999</v>
      </c>
      <c r="S1489" s="16">
        <f>IF(S1488=15800,15800,ROUND((((Q1489*60)/'Gearing Calculator'!$C$14)*'Track Data'!P1489),-2))</f>
        <v>8000</v>
      </c>
      <c r="T1489" s="16">
        <f t="shared" si="167"/>
        <v>3.8787803479424769</v>
      </c>
      <c r="U1489" s="16">
        <f>IF(AC1489=100,Braking!$AG$2354,IF(AC1489=50,Braking!$AG$1179,IF(AC1489=75,Braking!$AG$1767,0)))</f>
        <v>0</v>
      </c>
      <c r="V1489" s="16">
        <f>0.5*'Gearing Calculator'!$C$15*'Gearing Calculator'!$C$20*'Gearing Calculator'!$W$20*('Track Data'!Q1489^2)</f>
        <v>87.649148695552611</v>
      </c>
      <c r="W1489" s="16">
        <f>('Gearing Calculator'!$U$9*'Track Data'!T1489)+'Track Data'!V1489</f>
        <v>1120.1804773178399</v>
      </c>
      <c r="X1489" s="16">
        <f>('Gearing Calculator'!$U$9*9.81)*('Gearing Calculator'!$U$16/'Gearing Calculator'!$C$7)-(('Track Data'!W1489)*('Gearing Calculator'!$U$17/'Gearing Calculator'!$C$7))</f>
        <v>790.58743855519151</v>
      </c>
      <c r="Y1489" s="16">
        <f>('Gearing Calculator'!$U$9*9.81)*(('Gearing Calculator'!$C$7-'Gearing Calculator'!$U$16)/'Gearing Calculator'!$C$7)+(('Track Data'!W1489)*('Gearing Calculator'!$U$17/'Gearing Calculator'!$C$7))</f>
        <v>1820.8345614448085</v>
      </c>
      <c r="Z1489" s="16">
        <f>((X1489*COS('Gearing Calculator'!$C$21))/'Gearing Calculator'!$C$22)/2</f>
        <v>24.442463185090396</v>
      </c>
      <c r="AA1489" s="16">
        <f>Y1489/'Gearing Calculator'!$C$24</f>
        <v>25.424957640990726</v>
      </c>
      <c r="AB1489" s="16">
        <f t="shared" si="163"/>
        <v>103.16427008732252</v>
      </c>
      <c r="AC1489" s="16">
        <v>0</v>
      </c>
      <c r="AD1489" s="16">
        <v>0</v>
      </c>
      <c r="AE1489" s="16">
        <v>1486</v>
      </c>
      <c r="AF1489" s="16">
        <f>IF(AC1489=0,IF(O1489=6,INDEX(Acceleration!$V$4:$V$110,MATCH('Track Data'!S1489,Acceleration!$K$4:$K$110,0)),IF('Track Data'!O1489=5,INDEX(Acceleration!$U$4:$U$110,MATCH('Track Data'!S1489,Acceleration!$K$4:$K$110,0)),1)),U1489)</f>
        <v>1</v>
      </c>
      <c r="AG1489" s="16">
        <f>IF(AC1489=0,IF(O1489=4,INDEX(Acceleration!$T$4:$T$110,MATCH('Track Data'!S1489,Acceleration!$K$4:$K$110,0)),IF('Track Data'!O1489=3,INDEX(Acceleration!$S$4:$S$110,MATCH('Track Data'!S1489,Acceleration!$K$4:$K$110,0)),'Track Data'!AF1489)),'Track Data'!U1489)</f>
        <v>3.8787803479424769</v>
      </c>
      <c r="AH1489" s="16">
        <f>IF(AC1489=0,IF(O1489=2,INDEX(Acceleration!$R$4:$R$110,MATCH('Track Data'!S1489,Acceleration!$K$4:$K$110,0)),IF('Track Data'!O1489=1,INDEX(Acceleration!$Q$4:$Q$110,MATCH('Track Data'!S1489,Acceleration!$K$4:$K$110,0)),'Track Data'!AG1489)),'Track Data'!U1489)</f>
        <v>3.8787803479424769</v>
      </c>
    </row>
    <row r="1490" spans="2:34" x14ac:dyDescent="0.25">
      <c r="B1490" s="16">
        <v>238.32400000000001</v>
      </c>
      <c r="C1490" s="16">
        <v>8760</v>
      </c>
      <c r="D1490" s="16">
        <v>1487</v>
      </c>
      <c r="E1490" s="113">
        <v>128</v>
      </c>
      <c r="F1490" s="113">
        <v>126</v>
      </c>
      <c r="G1490" s="113">
        <v>126.9</v>
      </c>
      <c r="H1490" s="113">
        <f t="shared" si="166"/>
        <v>35.25</v>
      </c>
      <c r="I1490" s="113">
        <v>5.4</v>
      </c>
      <c r="J1490" s="113">
        <v>7.44</v>
      </c>
      <c r="K1490" s="113">
        <v>-11.7</v>
      </c>
      <c r="L1490" s="185"/>
      <c r="M1490" s="16">
        <v>1487</v>
      </c>
      <c r="N1490" s="16">
        <f t="shared" si="168"/>
        <v>3.4588074772868176E-2</v>
      </c>
      <c r="O1490" s="16">
        <v>4</v>
      </c>
      <c r="P1490" s="16">
        <f t="shared" si="164"/>
        <v>9.1833785004516724</v>
      </c>
      <c r="Q1490" s="16">
        <f t="shared" si="169"/>
        <v>28.911698802745367</v>
      </c>
      <c r="R1490" s="113">
        <f t="shared" si="165"/>
        <v>329.49099999999999</v>
      </c>
      <c r="S1490" s="16">
        <f>IF(S1489=15800,15800,ROUND((((Q1490*60)/'Gearing Calculator'!$C$14)*'Track Data'!P1490),-2))</f>
        <v>8000</v>
      </c>
      <c r="T1490" s="16">
        <f t="shared" si="167"/>
        <v>3.8787803479424769</v>
      </c>
      <c r="U1490" s="16">
        <f>IF(AC1490=100,Braking!$AG$2354,IF(AC1490=50,Braking!$AG$1179,IF(AC1490=75,Braking!$AG$1767,0)))</f>
        <v>0</v>
      </c>
      <c r="V1490" s="16">
        <f>0.5*'Gearing Calculator'!$C$15*'Gearing Calculator'!$C$20*'Gearing Calculator'!$W$20*('Track Data'!Q1490^2)</f>
        <v>88.470208919605085</v>
      </c>
      <c r="W1490" s="16">
        <f>('Gearing Calculator'!$U$9*'Track Data'!T1490)+'Track Data'!V1490</f>
        <v>1121.0015375418923</v>
      </c>
      <c r="X1490" s="16">
        <f>('Gearing Calculator'!$U$9*9.81)*('Gearing Calculator'!$U$16/'Gearing Calculator'!$C$7)-(('Track Data'!W1490)*('Gearing Calculator'!$U$17/'Gearing Calculator'!$C$7))</f>
        <v>790.1399046598151</v>
      </c>
      <c r="Y1490" s="16">
        <f>('Gearing Calculator'!$U$9*9.81)*(('Gearing Calculator'!$C$7-'Gearing Calculator'!$U$16)/'Gearing Calculator'!$C$7)+(('Track Data'!W1490)*('Gearing Calculator'!$U$17/'Gearing Calculator'!$C$7))</f>
        <v>1821.2820953401849</v>
      </c>
      <c r="Z1490" s="16">
        <f>((X1490*COS('Gearing Calculator'!$C$21))/'Gearing Calculator'!$C$22)/2</f>
        <v>24.428626852474476</v>
      </c>
      <c r="AA1490" s="16">
        <f>Y1490/'Gearing Calculator'!$C$24</f>
        <v>25.431206715219538</v>
      </c>
      <c r="AB1490" s="16">
        <f t="shared" si="163"/>
        <v>103.98533031137499</v>
      </c>
      <c r="AC1490" s="16">
        <v>0</v>
      </c>
      <c r="AD1490" s="16">
        <v>0</v>
      </c>
      <c r="AE1490" s="16">
        <v>1487</v>
      </c>
      <c r="AF1490" s="16">
        <f>IF(AC1490=0,IF(O1490=6,INDEX(Acceleration!$V$4:$V$110,MATCH('Track Data'!S1490,Acceleration!$K$4:$K$110,0)),IF('Track Data'!O1490=5,INDEX(Acceleration!$U$4:$U$110,MATCH('Track Data'!S1490,Acceleration!$K$4:$K$110,0)),1)),U1490)</f>
        <v>1</v>
      </c>
      <c r="AG1490" s="16">
        <f>IF(AC1490=0,IF(O1490=4,INDEX(Acceleration!$T$4:$T$110,MATCH('Track Data'!S1490,Acceleration!$K$4:$K$110,0)),IF('Track Data'!O1490=3,INDEX(Acceleration!$S$4:$S$110,MATCH('Track Data'!S1490,Acceleration!$K$4:$K$110,0)),'Track Data'!AF1490)),'Track Data'!U1490)</f>
        <v>3.8787803479424769</v>
      </c>
      <c r="AH1490" s="16">
        <f>IF(AC1490=0,IF(O1490=2,INDEX(Acceleration!$R$4:$R$110,MATCH('Track Data'!S1490,Acceleration!$K$4:$K$110,0)),IF('Track Data'!O1490=1,INDEX(Acceleration!$Q$4:$Q$110,MATCH('Track Data'!S1490,Acceleration!$K$4:$K$110,0)),'Track Data'!AG1490)),'Track Data'!U1490)</f>
        <v>3.8787803479424769</v>
      </c>
    </row>
    <row r="1491" spans="2:34" x14ac:dyDescent="0.25">
      <c r="B1491" s="16">
        <v>238.352</v>
      </c>
      <c r="C1491" s="16">
        <v>8761</v>
      </c>
      <c r="D1491" s="16">
        <v>1488</v>
      </c>
      <c r="E1491" s="113">
        <v>130</v>
      </c>
      <c r="F1491" s="113">
        <v>126.6</v>
      </c>
      <c r="G1491" s="113">
        <v>127.7</v>
      </c>
      <c r="H1491" s="113">
        <f t="shared" si="166"/>
        <v>35.472222222222221</v>
      </c>
      <c r="I1491" s="113">
        <v>4</v>
      </c>
      <c r="J1491" s="113">
        <v>5.98</v>
      </c>
      <c r="K1491" s="113">
        <v>-11.1</v>
      </c>
      <c r="L1491" s="185"/>
      <c r="M1491" s="16">
        <v>1488</v>
      </c>
      <c r="N1491" s="16">
        <f t="shared" si="168"/>
        <v>3.4428683610180214E-2</v>
      </c>
      <c r="O1491" s="16">
        <v>4</v>
      </c>
      <c r="P1491" s="16">
        <f t="shared" si="164"/>
        <v>9.1833785004516724</v>
      </c>
      <c r="Q1491" s="16">
        <f t="shared" si="169"/>
        <v>29.045548511889958</v>
      </c>
      <c r="R1491" s="113">
        <f t="shared" si="165"/>
        <v>329.49099999999999</v>
      </c>
      <c r="S1491" s="16">
        <f>IF(S1490=15800,15800,ROUND((((Q1491*60)/'Gearing Calculator'!$C$14)*'Track Data'!P1491),-2))</f>
        <v>8100</v>
      </c>
      <c r="T1491" s="16">
        <f t="shared" si="167"/>
        <v>3.861808056258023</v>
      </c>
      <c r="U1491" s="16">
        <f>IF(AC1491=100,Braking!$AG$2354,IF(AC1491=50,Braking!$AG$1179,IF(AC1491=75,Braking!$AG$1767,0)))</f>
        <v>0</v>
      </c>
      <c r="V1491" s="16">
        <f>0.5*'Gearing Calculator'!$C$15*'Gearing Calculator'!$C$20*'Gearing Calculator'!$W$20*('Track Data'!Q1491^2)</f>
        <v>89.291269143657544</v>
      </c>
      <c r="W1491" s="16">
        <f>('Gearing Calculator'!$U$9*'Track Data'!T1491)+'Track Data'!V1491</f>
        <v>1117.3045737195432</v>
      </c>
      <c r="X1491" s="16">
        <f>('Gearing Calculator'!$U$9*9.81)*('Gearing Calculator'!$U$16/'Gearing Calculator'!$C$7)-(('Track Data'!W1491)*('Gearing Calculator'!$U$17/'Gearing Calculator'!$C$7))</f>
        <v>792.15500242245605</v>
      </c>
      <c r="Y1491" s="16">
        <f>('Gearing Calculator'!$U$9*9.81)*(('Gearing Calculator'!$C$7-'Gearing Calculator'!$U$16)/'Gearing Calculator'!$C$7)+(('Track Data'!W1491)*('Gearing Calculator'!$U$17/'Gearing Calculator'!$C$7))</f>
        <v>1819.2669975775439</v>
      </c>
      <c r="Z1491" s="16">
        <f>((X1491*COS('Gearing Calculator'!$C$21))/'Gearing Calculator'!$C$22)/2</f>
        <v>24.490927302084099</v>
      </c>
      <c r="AA1491" s="16">
        <f>Y1491/'Gearing Calculator'!$C$24</f>
        <v>25.403069191722096</v>
      </c>
      <c r="AB1491" s="16">
        <f t="shared" si="163"/>
        <v>104.73850136868964</v>
      </c>
      <c r="AC1491" s="16">
        <v>0</v>
      </c>
      <c r="AD1491" s="16">
        <v>0</v>
      </c>
      <c r="AE1491" s="16">
        <v>1488</v>
      </c>
      <c r="AF1491" s="16">
        <f>IF(AC1491=0,IF(O1491=6,INDEX(Acceleration!$V$4:$V$110,MATCH('Track Data'!S1491,Acceleration!$K$4:$K$110,0)),IF('Track Data'!O1491=5,INDEX(Acceleration!$U$4:$U$110,MATCH('Track Data'!S1491,Acceleration!$K$4:$K$110,0)),1)),U1491)</f>
        <v>1</v>
      </c>
      <c r="AG1491" s="16">
        <f>IF(AC1491=0,IF(O1491=4,INDEX(Acceleration!$T$4:$T$110,MATCH('Track Data'!S1491,Acceleration!$K$4:$K$110,0)),IF('Track Data'!O1491=3,INDEX(Acceleration!$S$4:$S$110,MATCH('Track Data'!S1491,Acceleration!$K$4:$K$110,0)),'Track Data'!AF1491)),'Track Data'!U1491)</f>
        <v>3.861808056258023</v>
      </c>
      <c r="AH1491" s="16">
        <f>IF(AC1491=0,IF(O1491=2,INDEX(Acceleration!$R$4:$R$110,MATCH('Track Data'!S1491,Acceleration!$K$4:$K$110,0)),IF('Track Data'!O1491=1,INDEX(Acceleration!$Q$4:$Q$110,MATCH('Track Data'!S1491,Acceleration!$K$4:$K$110,0)),'Track Data'!AG1491)),'Track Data'!U1491)</f>
        <v>3.861808056258023</v>
      </c>
    </row>
    <row r="1492" spans="2:34" x14ac:dyDescent="0.25">
      <c r="B1492" s="16">
        <v>238.381</v>
      </c>
      <c r="C1492" s="16">
        <v>8762</v>
      </c>
      <c r="D1492" s="16">
        <v>1489</v>
      </c>
      <c r="E1492" s="113">
        <v>131</v>
      </c>
      <c r="F1492" s="113">
        <v>126.5</v>
      </c>
      <c r="G1492" s="113">
        <v>128.6</v>
      </c>
      <c r="H1492" s="113">
        <f t="shared" si="166"/>
        <v>35.722222222222221</v>
      </c>
      <c r="I1492" s="113">
        <v>2.7</v>
      </c>
      <c r="J1492" s="113">
        <v>4.3600000000000003</v>
      </c>
      <c r="K1492" s="113">
        <v>-10.4</v>
      </c>
      <c r="L1492" s="185"/>
      <c r="M1492" s="16">
        <v>1489</v>
      </c>
      <c r="N1492" s="16">
        <f t="shared" si="168"/>
        <v>3.4272159089977786E-2</v>
      </c>
      <c r="O1492" s="16">
        <v>4</v>
      </c>
      <c r="P1492" s="16">
        <f t="shared" si="164"/>
        <v>9.1833785004516724</v>
      </c>
      <c r="Q1492" s="16">
        <f t="shared" si="169"/>
        <v>29.17820255720131</v>
      </c>
      <c r="R1492" s="113">
        <f t="shared" si="165"/>
        <v>329.49099999999999</v>
      </c>
      <c r="S1492" s="16">
        <f>IF(S1491=15800,15800,ROUND((((Q1492*60)/'Gearing Calculator'!$C$14)*'Track Data'!P1492),-2))</f>
        <v>8100</v>
      </c>
      <c r="T1492" s="16">
        <f t="shared" si="167"/>
        <v>3.861808056258023</v>
      </c>
      <c r="U1492" s="16">
        <f>IF(AC1492=100,Braking!$AG$2354,IF(AC1492=50,Braking!$AG$1179,IF(AC1492=75,Braking!$AG$1767,0)))</f>
        <v>0</v>
      </c>
      <c r="V1492" s="16">
        <f>0.5*'Gearing Calculator'!$C$15*'Gearing Calculator'!$C$20*'Gearing Calculator'!$W$20*('Track Data'!Q1492^2)</f>
        <v>90.108736673006263</v>
      </c>
      <c r="W1492" s="16">
        <f>('Gearing Calculator'!$U$9*'Track Data'!T1492)+'Track Data'!V1492</f>
        <v>1118.1220412488919</v>
      </c>
      <c r="X1492" s="16">
        <f>('Gearing Calculator'!$U$9*9.81)*('Gearing Calculator'!$U$16/'Gearing Calculator'!$C$7)-(('Track Data'!W1492)*('Gearing Calculator'!$U$17/'Gearing Calculator'!$C$7))</f>
        <v>791.70942679105167</v>
      </c>
      <c r="Y1492" s="16">
        <f>('Gearing Calculator'!$U$9*9.81)*(('Gearing Calculator'!$C$7-'Gearing Calculator'!$U$16)/'Gearing Calculator'!$C$7)+(('Track Data'!W1492)*('Gearing Calculator'!$U$17/'Gearing Calculator'!$C$7))</f>
        <v>1819.7125732089485</v>
      </c>
      <c r="Z1492" s="16">
        <f>((X1492*COS('Gearing Calculator'!$C$21))/'Gearing Calculator'!$C$22)/2</f>
        <v>24.477151512796731</v>
      </c>
      <c r="AA1492" s="16">
        <f>Y1492/'Gearing Calculator'!$C$24</f>
        <v>25.409290922017753</v>
      </c>
      <c r="AB1492" s="16">
        <f t="shared" si="163"/>
        <v>105.55596889803836</v>
      </c>
      <c r="AC1492" s="16">
        <v>0</v>
      </c>
      <c r="AD1492" s="16">
        <v>0</v>
      </c>
      <c r="AE1492" s="16">
        <v>1489</v>
      </c>
      <c r="AF1492" s="16">
        <f>IF(AC1492=0,IF(O1492=6,INDEX(Acceleration!$V$4:$V$110,MATCH('Track Data'!S1492,Acceleration!$K$4:$K$110,0)),IF('Track Data'!O1492=5,INDEX(Acceleration!$U$4:$U$110,MATCH('Track Data'!S1492,Acceleration!$K$4:$K$110,0)),1)),U1492)</f>
        <v>1</v>
      </c>
      <c r="AG1492" s="16">
        <f>IF(AC1492=0,IF(O1492=4,INDEX(Acceleration!$T$4:$T$110,MATCH('Track Data'!S1492,Acceleration!$K$4:$K$110,0)),IF('Track Data'!O1492=3,INDEX(Acceleration!$S$4:$S$110,MATCH('Track Data'!S1492,Acceleration!$K$4:$K$110,0)),'Track Data'!AF1492)),'Track Data'!U1492)</f>
        <v>3.861808056258023</v>
      </c>
      <c r="AH1492" s="16">
        <f>IF(AC1492=0,IF(O1492=2,INDEX(Acceleration!$R$4:$R$110,MATCH('Track Data'!S1492,Acceleration!$K$4:$K$110,0)),IF('Track Data'!O1492=1,INDEX(Acceleration!$Q$4:$Q$110,MATCH('Track Data'!S1492,Acceleration!$K$4:$K$110,0)),'Track Data'!AG1492)),'Track Data'!U1492)</f>
        <v>3.861808056258023</v>
      </c>
    </row>
    <row r="1493" spans="2:34" x14ac:dyDescent="0.25">
      <c r="B1493" s="16">
        <v>238.40899999999999</v>
      </c>
      <c r="C1493" s="16">
        <v>8763</v>
      </c>
      <c r="D1493" s="16">
        <v>1490</v>
      </c>
      <c r="E1493" s="113">
        <v>132</v>
      </c>
      <c r="F1493" s="113">
        <v>126.3</v>
      </c>
      <c r="G1493" s="113">
        <v>129.1</v>
      </c>
      <c r="H1493" s="113">
        <f t="shared" si="166"/>
        <v>35.861111111111107</v>
      </c>
      <c r="I1493" s="113">
        <v>1.9</v>
      </c>
      <c r="J1493" s="113">
        <v>3.03</v>
      </c>
      <c r="K1493" s="113">
        <v>-9.8000000000000007</v>
      </c>
      <c r="L1493" s="185"/>
      <c r="M1493" s="16">
        <v>1490</v>
      </c>
      <c r="N1493" s="16">
        <f t="shared" si="168"/>
        <v>3.4117750181730085E-2</v>
      </c>
      <c r="O1493" s="16">
        <v>4</v>
      </c>
      <c r="P1493" s="16">
        <f t="shared" si="164"/>
        <v>9.1833785004516724</v>
      </c>
      <c r="Q1493" s="16">
        <f t="shared" si="169"/>
        <v>29.310256235345079</v>
      </c>
      <c r="R1493" s="113">
        <f t="shared" si="165"/>
        <v>329.49099999999999</v>
      </c>
      <c r="S1493" s="16">
        <f>IF(S1492=15800,15800,ROUND((((Q1493*60)/'Gearing Calculator'!$C$14)*'Track Data'!P1493),-2))</f>
        <v>8200</v>
      </c>
      <c r="T1493" s="16">
        <f t="shared" si="167"/>
        <v>3.8450539085144579</v>
      </c>
      <c r="U1493" s="16">
        <f>IF(AC1493=100,Braking!$AG$2354,IF(AC1493=50,Braking!$AG$1179,IF(AC1493=75,Braking!$AG$1767,0)))</f>
        <v>0</v>
      </c>
      <c r="V1493" s="16">
        <f>0.5*'Gearing Calculator'!$C$15*'Gearing Calculator'!$C$20*'Gearing Calculator'!$W$20*('Track Data'!Q1493^2)</f>
        <v>90.926204202354953</v>
      </c>
      <c r="W1493" s="16">
        <f>('Gearing Calculator'!$U$9*'Track Data'!T1493)+'Track Data'!V1493</f>
        <v>1114.4795546489036</v>
      </c>
      <c r="X1493" s="16">
        <f>('Gearing Calculator'!$U$9*9.81)*('Gearing Calculator'!$U$16/'Gearing Calculator'!$C$7)-(('Track Data'!W1493)*('Gearing Calculator'!$U$17/'Gearing Calculator'!$C$7))</f>
        <v>793.69483074705317</v>
      </c>
      <c r="Y1493" s="16">
        <f>('Gearing Calculator'!$U$9*9.81)*(('Gearing Calculator'!$C$7-'Gearing Calculator'!$U$16)/'Gearing Calculator'!$C$7)+(('Track Data'!W1493)*('Gearing Calculator'!$U$17/'Gearing Calculator'!$C$7))</f>
        <v>1817.7271692529469</v>
      </c>
      <c r="Z1493" s="16">
        <f>((X1493*COS('Gearing Calculator'!$C$21))/'Gearing Calculator'!$C$22)/2</f>
        <v>24.538533923818573</v>
      </c>
      <c r="AA1493" s="16">
        <f>Y1493/'Gearing Calculator'!$C$24</f>
        <v>25.381568023655401</v>
      </c>
      <c r="AB1493" s="16">
        <f t="shared" si="163"/>
        <v>106.30641983641279</v>
      </c>
      <c r="AC1493" s="16">
        <v>0</v>
      </c>
      <c r="AD1493" s="16">
        <v>0</v>
      </c>
      <c r="AE1493" s="16">
        <v>1490</v>
      </c>
      <c r="AF1493" s="16">
        <f>IF(AC1493=0,IF(O1493=6,INDEX(Acceleration!$V$4:$V$110,MATCH('Track Data'!S1493,Acceleration!$K$4:$K$110,0)),IF('Track Data'!O1493=5,INDEX(Acceleration!$U$4:$U$110,MATCH('Track Data'!S1493,Acceleration!$K$4:$K$110,0)),1)),U1493)</f>
        <v>1</v>
      </c>
      <c r="AG1493" s="16">
        <f>IF(AC1493=0,IF(O1493=4,INDEX(Acceleration!$T$4:$T$110,MATCH('Track Data'!S1493,Acceleration!$K$4:$K$110,0)),IF('Track Data'!O1493=3,INDEX(Acceleration!$S$4:$S$110,MATCH('Track Data'!S1493,Acceleration!$K$4:$K$110,0)),'Track Data'!AF1493)),'Track Data'!U1493)</f>
        <v>3.8450539085144579</v>
      </c>
      <c r="AH1493" s="16">
        <f>IF(AC1493=0,IF(O1493=2,INDEX(Acceleration!$R$4:$R$110,MATCH('Track Data'!S1493,Acceleration!$K$4:$K$110,0)),IF('Track Data'!O1493=1,INDEX(Acceleration!$Q$4:$Q$110,MATCH('Track Data'!S1493,Acceleration!$K$4:$K$110,0)),'Track Data'!AG1493)),'Track Data'!U1493)</f>
        <v>3.8450539085144579</v>
      </c>
    </row>
    <row r="1494" spans="2:34" x14ac:dyDescent="0.25">
      <c r="B1494" s="16">
        <v>238.43799999999999</v>
      </c>
      <c r="C1494" s="16">
        <v>8764</v>
      </c>
      <c r="D1494" s="16">
        <v>1491</v>
      </c>
      <c r="E1494" s="113">
        <v>132</v>
      </c>
      <c r="F1494" s="113">
        <v>125.9</v>
      </c>
      <c r="G1494" s="113">
        <v>129.9</v>
      </c>
      <c r="H1494" s="113">
        <f t="shared" si="166"/>
        <v>36.083333333333336</v>
      </c>
      <c r="I1494" s="113">
        <v>1.8</v>
      </c>
      <c r="J1494" s="113">
        <v>1.34</v>
      </c>
      <c r="K1494" s="113">
        <v>-8.1</v>
      </c>
      <c r="L1494" s="185"/>
      <c r="M1494" s="16">
        <v>1491</v>
      </c>
      <c r="N1494" s="16">
        <f t="shared" si="168"/>
        <v>3.3966066168885145E-2</v>
      </c>
      <c r="O1494" s="16">
        <v>4</v>
      </c>
      <c r="P1494" s="16">
        <f t="shared" si="164"/>
        <v>9.1833785004516724</v>
      </c>
      <c r="Q1494" s="16">
        <f t="shared" si="169"/>
        <v>29.44114855773487</v>
      </c>
      <c r="R1494" s="113">
        <f t="shared" si="165"/>
        <v>329.49099999999999</v>
      </c>
      <c r="S1494" s="16">
        <f>IF(S1493=15800,15800,ROUND((((Q1494*60)/'Gearing Calculator'!$C$14)*'Track Data'!P1494),-2))</f>
        <v>8200</v>
      </c>
      <c r="T1494" s="16">
        <f t="shared" si="167"/>
        <v>3.8450539085144579</v>
      </c>
      <c r="U1494" s="16">
        <f>IF(AC1494=100,Braking!$AG$2354,IF(AC1494=50,Braking!$AG$1179,IF(AC1494=75,Braking!$AG$1767,0)))</f>
        <v>0</v>
      </c>
      <c r="V1494" s="16">
        <f>0.5*'Gearing Calculator'!$C$15*'Gearing Calculator'!$C$20*'Gearing Calculator'!$W$20*('Track Data'!Q1494^2)</f>
        <v>91.740125213709291</v>
      </c>
      <c r="W1494" s="16">
        <f>('Gearing Calculator'!$U$9*'Track Data'!T1494)+'Track Data'!V1494</f>
        <v>1115.2934756602579</v>
      </c>
      <c r="X1494" s="16">
        <f>('Gearing Calculator'!$U$9*9.81)*('Gearing Calculator'!$U$16/'Gearing Calculator'!$C$7)-(('Track Data'!W1494)*('Gearing Calculator'!$U$17/'Gearing Calculator'!$C$7))</f>
        <v>793.25118821016076</v>
      </c>
      <c r="Y1494" s="16">
        <f>('Gearing Calculator'!$U$9*9.81)*(('Gearing Calculator'!$C$7-'Gearing Calculator'!$U$16)/'Gearing Calculator'!$C$7)+(('Track Data'!W1494)*('Gearing Calculator'!$U$17/'Gearing Calculator'!$C$7))</f>
        <v>1818.1708117898393</v>
      </c>
      <c r="Z1494" s="16">
        <f>((X1494*COS('Gearing Calculator'!$C$21))/'Gearing Calculator'!$C$22)/2</f>
        <v>24.524817899699659</v>
      </c>
      <c r="AA1494" s="16">
        <f>Y1494/'Gearing Calculator'!$C$24</f>
        <v>25.387762761467979</v>
      </c>
      <c r="AB1494" s="16">
        <f t="shared" si="163"/>
        <v>107.12034084776712</v>
      </c>
      <c r="AC1494" s="16">
        <v>0</v>
      </c>
      <c r="AD1494" s="16">
        <v>0</v>
      </c>
      <c r="AE1494" s="16">
        <v>1491</v>
      </c>
      <c r="AF1494" s="16">
        <f>IF(AC1494=0,IF(O1494=6,INDEX(Acceleration!$V$4:$V$110,MATCH('Track Data'!S1494,Acceleration!$K$4:$K$110,0)),IF('Track Data'!O1494=5,INDEX(Acceleration!$U$4:$U$110,MATCH('Track Data'!S1494,Acceleration!$K$4:$K$110,0)),1)),U1494)</f>
        <v>1</v>
      </c>
      <c r="AG1494" s="16">
        <f>IF(AC1494=0,IF(O1494=4,INDEX(Acceleration!$T$4:$T$110,MATCH('Track Data'!S1494,Acceleration!$K$4:$K$110,0)),IF('Track Data'!O1494=3,INDEX(Acceleration!$S$4:$S$110,MATCH('Track Data'!S1494,Acceleration!$K$4:$K$110,0)),'Track Data'!AF1494)),'Track Data'!U1494)</f>
        <v>3.8450539085144579</v>
      </c>
      <c r="AH1494" s="16">
        <f>IF(AC1494=0,IF(O1494=2,INDEX(Acceleration!$R$4:$R$110,MATCH('Track Data'!S1494,Acceleration!$K$4:$K$110,0)),IF('Track Data'!O1494=1,INDEX(Acceleration!$Q$4:$Q$110,MATCH('Track Data'!S1494,Acceleration!$K$4:$K$110,0)),'Track Data'!AG1494)),'Track Data'!U1494)</f>
        <v>3.8450539085144579</v>
      </c>
    </row>
    <row r="1495" spans="2:34" x14ac:dyDescent="0.25">
      <c r="B1495" s="16">
        <v>238.46600000000001</v>
      </c>
      <c r="C1495" s="16">
        <v>8765</v>
      </c>
      <c r="D1495" s="16">
        <v>1492</v>
      </c>
      <c r="E1495" s="113">
        <v>133</v>
      </c>
      <c r="F1495" s="113">
        <v>125.6</v>
      </c>
      <c r="G1495" s="113">
        <v>130.69999999999999</v>
      </c>
      <c r="H1495" s="113">
        <f t="shared" si="166"/>
        <v>36.30555555555555</v>
      </c>
      <c r="I1495" s="113">
        <v>1.7</v>
      </c>
      <c r="J1495" s="113">
        <v>0.45</v>
      </c>
      <c r="K1495" s="113">
        <v>-6.5</v>
      </c>
      <c r="L1495" s="185"/>
      <c r="M1495" s="16">
        <v>1492</v>
      </c>
      <c r="N1495" s="16">
        <f t="shared" si="168"/>
        <v>3.3816387446578292E-2</v>
      </c>
      <c r="O1495" s="16">
        <v>4</v>
      </c>
      <c r="P1495" s="16">
        <f t="shared" si="164"/>
        <v>9.1833785004516724</v>
      </c>
      <c r="Q1495" s="16">
        <f t="shared" si="169"/>
        <v>29.57146151639521</v>
      </c>
      <c r="R1495" s="113">
        <f t="shared" si="165"/>
        <v>329.49099999999999</v>
      </c>
      <c r="S1495" s="16">
        <f>IF(S1494=15800,15800,ROUND((((Q1495*60)/'Gearing Calculator'!$C$14)*'Track Data'!P1495),-2))</f>
        <v>8200</v>
      </c>
      <c r="T1495" s="16">
        <f t="shared" si="167"/>
        <v>3.8450539085144579</v>
      </c>
      <c r="U1495" s="16">
        <f>IF(AC1495=100,Braking!$AG$2354,IF(AC1495=50,Braking!$AG$1179,IF(AC1495=75,Braking!$AG$1767,0)))</f>
        <v>0</v>
      </c>
      <c r="V1495" s="16">
        <f>0.5*'Gearing Calculator'!$C$15*'Gearing Calculator'!$C$20*'Gearing Calculator'!$W$20*('Track Data'!Q1495^2)</f>
        <v>92.554046225063644</v>
      </c>
      <c r="W1495" s="16">
        <f>('Gearing Calculator'!$U$9*'Track Data'!T1495)+'Track Data'!V1495</f>
        <v>1116.1073966716122</v>
      </c>
      <c r="X1495" s="16">
        <f>('Gearing Calculator'!$U$9*9.81)*('Gearing Calculator'!$U$16/'Gearing Calculator'!$C$7)-(('Track Data'!W1495)*('Gearing Calculator'!$U$17/'Gearing Calculator'!$C$7))</f>
        <v>792.80754567326824</v>
      </c>
      <c r="Y1495" s="16">
        <f>('Gearing Calculator'!$U$9*9.81)*(('Gearing Calculator'!$C$7-'Gearing Calculator'!$U$16)/'Gearing Calculator'!$C$7)+(('Track Data'!W1495)*('Gearing Calculator'!$U$17/'Gearing Calculator'!$C$7))</f>
        <v>1818.6144543267319</v>
      </c>
      <c r="Z1495" s="16">
        <f>((X1495*COS('Gearing Calculator'!$C$21))/'Gearing Calculator'!$C$22)/2</f>
        <v>24.511101875580746</v>
      </c>
      <c r="AA1495" s="16">
        <f>Y1495/'Gearing Calculator'!$C$24</f>
        <v>25.39395749928056</v>
      </c>
      <c r="AB1495" s="16">
        <f t="shared" si="163"/>
        <v>107.93426185912148</v>
      </c>
      <c r="AC1495" s="16">
        <v>0</v>
      </c>
      <c r="AD1495" s="16">
        <v>0</v>
      </c>
      <c r="AE1495" s="16">
        <v>1492</v>
      </c>
      <c r="AF1495" s="16">
        <f>IF(AC1495=0,IF(O1495=6,INDEX(Acceleration!$V$4:$V$110,MATCH('Track Data'!S1495,Acceleration!$K$4:$K$110,0)),IF('Track Data'!O1495=5,INDEX(Acceleration!$U$4:$U$110,MATCH('Track Data'!S1495,Acceleration!$K$4:$K$110,0)),1)),U1495)</f>
        <v>1</v>
      </c>
      <c r="AG1495" s="16">
        <f>IF(AC1495=0,IF(O1495=4,INDEX(Acceleration!$T$4:$T$110,MATCH('Track Data'!S1495,Acceleration!$K$4:$K$110,0)),IF('Track Data'!O1495=3,INDEX(Acceleration!$S$4:$S$110,MATCH('Track Data'!S1495,Acceleration!$K$4:$K$110,0)),'Track Data'!AF1495)),'Track Data'!U1495)</f>
        <v>3.8450539085144579</v>
      </c>
      <c r="AH1495" s="16">
        <f>IF(AC1495=0,IF(O1495=2,INDEX(Acceleration!$R$4:$R$110,MATCH('Track Data'!S1495,Acceleration!$K$4:$K$110,0)),IF('Track Data'!O1495=1,INDEX(Acceleration!$Q$4:$Q$110,MATCH('Track Data'!S1495,Acceleration!$K$4:$K$110,0)),'Track Data'!AG1495)),'Track Data'!U1495)</f>
        <v>3.8450539085144579</v>
      </c>
    </row>
    <row r="1496" spans="2:34" x14ac:dyDescent="0.25">
      <c r="B1496" s="16">
        <v>238.495</v>
      </c>
      <c r="C1496" s="16">
        <v>8766</v>
      </c>
      <c r="D1496" s="16">
        <v>1493</v>
      </c>
      <c r="E1496" s="113">
        <v>134</v>
      </c>
      <c r="F1496" s="113">
        <v>125.3</v>
      </c>
      <c r="G1496" s="113">
        <v>131.5</v>
      </c>
      <c r="H1496" s="113">
        <f t="shared" si="166"/>
        <v>36.527777777777779</v>
      </c>
      <c r="I1496" s="113">
        <v>1.5</v>
      </c>
      <c r="J1496" s="113">
        <v>-0.03</v>
      </c>
      <c r="K1496" s="113">
        <v>-4.2</v>
      </c>
      <c r="L1496" s="185"/>
      <c r="M1496" s="16">
        <v>1493</v>
      </c>
      <c r="N1496" s="16">
        <f t="shared" si="168"/>
        <v>3.3668670216831231E-2</v>
      </c>
      <c r="O1496" s="16">
        <v>4</v>
      </c>
      <c r="P1496" s="16">
        <f t="shared" si="164"/>
        <v>9.1833785004516724</v>
      </c>
      <c r="Q1496" s="16">
        <f t="shared" si="169"/>
        <v>29.701202737139649</v>
      </c>
      <c r="R1496" s="113">
        <f t="shared" si="165"/>
        <v>329.49099999999999</v>
      </c>
      <c r="S1496" s="16">
        <f>IF(S1495=15800,15800,ROUND((((Q1496*60)/'Gearing Calculator'!$C$14)*'Track Data'!P1496),-2))</f>
        <v>8300</v>
      </c>
      <c r="T1496" s="16">
        <f t="shared" si="167"/>
        <v>3.8664152095927027</v>
      </c>
      <c r="U1496" s="16">
        <f>IF(AC1496=100,Braking!$AG$2354,IF(AC1496=50,Braking!$AG$1179,IF(AC1496=75,Braking!$AG$1767,0)))</f>
        <v>0</v>
      </c>
      <c r="V1496" s="16">
        <f>0.5*'Gearing Calculator'!$C$15*'Gearing Calculator'!$C$20*'Gearing Calculator'!$W$20*('Track Data'!Q1496^2)</f>
        <v>93.367967236417968</v>
      </c>
      <c r="W1496" s="16">
        <f>('Gearing Calculator'!$U$9*'Track Data'!T1496)+'Track Data'!V1496</f>
        <v>1122.6076960299954</v>
      </c>
      <c r="X1496" s="16">
        <f>('Gearing Calculator'!$U$9*9.81)*('Gearing Calculator'!$U$16/'Gearing Calculator'!$C$7)-(('Track Data'!W1496)*('Gearing Calculator'!$U$17/'Gearing Calculator'!$C$7))</f>
        <v>789.26443859323967</v>
      </c>
      <c r="Y1496" s="16">
        <f>('Gearing Calculator'!$U$9*9.81)*(('Gearing Calculator'!$C$7-'Gearing Calculator'!$U$16)/'Gearing Calculator'!$C$7)+(('Track Data'!W1496)*('Gearing Calculator'!$U$17/'Gearing Calculator'!$C$7))</f>
        <v>1822.1575614067604</v>
      </c>
      <c r="Z1496" s="16">
        <f>((X1496*COS('Gearing Calculator'!$C$21))/'Gearing Calculator'!$C$22)/2</f>
        <v>24.401560210559229</v>
      </c>
      <c r="AA1496" s="16">
        <f>Y1496/'Gearing Calculator'!$C$24</f>
        <v>25.443431157862555</v>
      </c>
      <c r="AB1496" s="16">
        <f t="shared" si="163"/>
        <v>108.83362807478878</v>
      </c>
      <c r="AC1496" s="16">
        <v>0</v>
      </c>
      <c r="AD1496" s="16">
        <v>0</v>
      </c>
      <c r="AE1496" s="16">
        <v>1493</v>
      </c>
      <c r="AF1496" s="16">
        <f>IF(AC1496=0,IF(O1496=6,INDEX(Acceleration!$V$4:$V$110,MATCH('Track Data'!S1496,Acceleration!$K$4:$K$110,0)),IF('Track Data'!O1496=5,INDEX(Acceleration!$U$4:$U$110,MATCH('Track Data'!S1496,Acceleration!$K$4:$K$110,0)),1)),U1496)</f>
        <v>1</v>
      </c>
      <c r="AG1496" s="16">
        <f>IF(AC1496=0,IF(O1496=4,INDEX(Acceleration!$T$4:$T$110,MATCH('Track Data'!S1496,Acceleration!$K$4:$K$110,0)),IF('Track Data'!O1496=3,INDEX(Acceleration!$S$4:$S$110,MATCH('Track Data'!S1496,Acceleration!$K$4:$K$110,0)),'Track Data'!AF1496)),'Track Data'!U1496)</f>
        <v>3.8664152095927027</v>
      </c>
      <c r="AH1496" s="16">
        <f>IF(AC1496=0,IF(O1496=2,INDEX(Acceleration!$R$4:$R$110,MATCH('Track Data'!S1496,Acceleration!$K$4:$K$110,0)),IF('Track Data'!O1496=1,INDEX(Acceleration!$Q$4:$Q$110,MATCH('Track Data'!S1496,Acceleration!$K$4:$K$110,0)),'Track Data'!AG1496)),'Track Data'!U1496)</f>
        <v>3.8664152095927027</v>
      </c>
    </row>
    <row r="1497" spans="2:34" x14ac:dyDescent="0.25">
      <c r="B1497" s="16">
        <v>238.524</v>
      </c>
      <c r="C1497" s="16">
        <v>8767</v>
      </c>
      <c r="D1497" s="16">
        <v>1494</v>
      </c>
      <c r="E1497" s="113">
        <v>134</v>
      </c>
      <c r="F1497" s="113">
        <v>125.4</v>
      </c>
      <c r="G1497" s="113">
        <v>132.30000000000001</v>
      </c>
      <c r="H1497" s="113">
        <f t="shared" si="166"/>
        <v>36.75</v>
      </c>
      <c r="I1497" s="113">
        <v>1.7</v>
      </c>
      <c r="J1497" s="113">
        <v>-0.08</v>
      </c>
      <c r="K1497" s="113">
        <v>-1.1000000000000001</v>
      </c>
      <c r="L1497" s="185"/>
      <c r="M1497" s="16">
        <v>1494</v>
      </c>
      <c r="N1497" s="16">
        <f t="shared" si="168"/>
        <v>3.3522067306127397E-2</v>
      </c>
      <c r="O1497" s="16">
        <v>4</v>
      </c>
      <c r="P1497" s="16">
        <f t="shared" si="164"/>
        <v>9.1833785004516724</v>
      </c>
      <c r="Q1497" s="16">
        <f t="shared" si="169"/>
        <v>29.831095763512565</v>
      </c>
      <c r="R1497" s="113">
        <f t="shared" si="165"/>
        <v>329.49099999999999</v>
      </c>
      <c r="S1497" s="16">
        <f>IF(S1496=15800,15800,ROUND((((Q1497*60)/'Gearing Calculator'!$C$14)*'Track Data'!P1497),-2))</f>
        <v>8300</v>
      </c>
      <c r="T1497" s="16">
        <f t="shared" si="167"/>
        <v>3.8664152095927027</v>
      </c>
      <c r="U1497" s="16">
        <f>IF(AC1497=100,Braking!$AG$2354,IF(AC1497=50,Braking!$AG$1179,IF(AC1497=75,Braking!$AG$1767,0)))</f>
        <v>0</v>
      </c>
      <c r="V1497" s="16">
        <f>0.5*'Gearing Calculator'!$C$15*'Gearing Calculator'!$C$20*'Gearing Calculator'!$W$20*('Track Data'!Q1497^2)</f>
        <v>94.186410007984563</v>
      </c>
      <c r="W1497" s="16">
        <f>('Gearing Calculator'!$U$9*'Track Data'!T1497)+'Track Data'!V1497</f>
        <v>1123.4261388015618</v>
      </c>
      <c r="X1497" s="16">
        <f>('Gearing Calculator'!$U$9*9.81)*('Gearing Calculator'!$U$16/'Gearing Calculator'!$C$7)-(('Track Data'!W1497)*('Gearing Calculator'!$U$17/'Gearing Calculator'!$C$7))</f>
        <v>788.81833138822378</v>
      </c>
      <c r="Y1497" s="16">
        <f>('Gearing Calculator'!$U$9*9.81)*(('Gearing Calculator'!$C$7-'Gearing Calculator'!$U$16)/'Gearing Calculator'!$C$7)+(('Track Data'!W1497)*('Gearing Calculator'!$U$17/'Gearing Calculator'!$C$7))</f>
        <v>1822.6036686117764</v>
      </c>
      <c r="Z1497" s="16">
        <f>((X1497*COS('Gearing Calculator'!$C$21))/'Gearing Calculator'!$C$22)/2</f>
        <v>24.387767986697018</v>
      </c>
      <c r="AA1497" s="16">
        <f>Y1497/'Gearing Calculator'!$C$24</f>
        <v>25.449660310708747</v>
      </c>
      <c r="AB1497" s="16">
        <f t="shared" si="163"/>
        <v>109.65207084635537</v>
      </c>
      <c r="AC1497" s="16">
        <v>0</v>
      </c>
      <c r="AD1497" s="16">
        <v>0</v>
      </c>
      <c r="AE1497" s="16">
        <v>1494</v>
      </c>
      <c r="AF1497" s="16">
        <f>IF(AC1497=0,IF(O1497=6,INDEX(Acceleration!$V$4:$V$110,MATCH('Track Data'!S1497,Acceleration!$K$4:$K$110,0)),IF('Track Data'!O1497=5,INDEX(Acceleration!$U$4:$U$110,MATCH('Track Data'!S1497,Acceleration!$K$4:$K$110,0)),1)),U1497)</f>
        <v>1</v>
      </c>
      <c r="AG1497" s="16">
        <f>IF(AC1497=0,IF(O1497=4,INDEX(Acceleration!$T$4:$T$110,MATCH('Track Data'!S1497,Acceleration!$K$4:$K$110,0)),IF('Track Data'!O1497=3,INDEX(Acceleration!$S$4:$S$110,MATCH('Track Data'!S1497,Acceleration!$K$4:$K$110,0)),'Track Data'!AF1497)),'Track Data'!U1497)</f>
        <v>3.8664152095927027</v>
      </c>
      <c r="AH1497" s="16">
        <f>IF(AC1497=0,IF(O1497=2,INDEX(Acceleration!$R$4:$R$110,MATCH('Track Data'!S1497,Acceleration!$K$4:$K$110,0)),IF('Track Data'!O1497=1,INDEX(Acceleration!$Q$4:$Q$110,MATCH('Track Data'!S1497,Acceleration!$K$4:$K$110,0)),'Track Data'!AG1497)),'Track Data'!U1497)</f>
        <v>3.8664152095927027</v>
      </c>
    </row>
    <row r="1498" spans="2:34" x14ac:dyDescent="0.25">
      <c r="B1498" s="16">
        <v>238.55199999999999</v>
      </c>
      <c r="C1498" s="16">
        <v>8768</v>
      </c>
      <c r="D1498" s="16">
        <v>1495</v>
      </c>
      <c r="E1498" s="113">
        <v>135</v>
      </c>
      <c r="F1498" s="113">
        <v>127.6</v>
      </c>
      <c r="G1498" s="113">
        <v>133</v>
      </c>
      <c r="H1498" s="113">
        <f t="shared" si="166"/>
        <v>36.944444444444443</v>
      </c>
      <c r="I1498" s="113">
        <v>3.2</v>
      </c>
      <c r="J1498" s="113">
        <v>-0.02</v>
      </c>
      <c r="K1498" s="113">
        <v>1.9</v>
      </c>
      <c r="L1498" s="185"/>
      <c r="M1498" s="16">
        <v>1495</v>
      </c>
      <c r="N1498" s="16">
        <f t="shared" si="168"/>
        <v>3.3377362919534741E-2</v>
      </c>
      <c r="O1498" s="16">
        <v>4</v>
      </c>
      <c r="P1498" s="16">
        <f t="shared" si="164"/>
        <v>9.1833785004516724</v>
      </c>
      <c r="Q1498" s="16">
        <f t="shared" si="169"/>
        <v>29.960425645692066</v>
      </c>
      <c r="R1498" s="113">
        <f t="shared" si="165"/>
        <v>329.49099999999999</v>
      </c>
      <c r="S1498" s="16">
        <f>IF(S1497=15800,15800,ROUND((((Q1498*60)/'Gearing Calculator'!$C$14)*'Track Data'!P1498),-2))</f>
        <v>8300</v>
      </c>
      <c r="T1498" s="16">
        <f t="shared" si="167"/>
        <v>3.8664152095927027</v>
      </c>
      <c r="U1498" s="16">
        <f>IF(AC1498=100,Braking!$AG$2354,IF(AC1498=50,Braking!$AG$1179,IF(AC1498=75,Braking!$AG$1767,0)))</f>
        <v>0</v>
      </c>
      <c r="V1498" s="16">
        <f>0.5*'Gearing Calculator'!$C$15*'Gearing Calculator'!$C$20*'Gearing Calculator'!$W$20*('Track Data'!Q1498^2)</f>
        <v>95.004852779551172</v>
      </c>
      <c r="W1498" s="16">
        <f>('Gearing Calculator'!$U$9*'Track Data'!T1498)+'Track Data'!V1498</f>
        <v>1124.2445815731285</v>
      </c>
      <c r="X1498" s="16">
        <f>('Gearing Calculator'!$U$9*9.81)*('Gearing Calculator'!$U$16/'Gearing Calculator'!$C$7)-(('Track Data'!W1498)*('Gearing Calculator'!$U$17/'Gearing Calculator'!$C$7))</f>
        <v>788.37222418320766</v>
      </c>
      <c r="Y1498" s="16">
        <f>('Gearing Calculator'!$U$9*9.81)*(('Gearing Calculator'!$C$7-'Gearing Calculator'!$U$16)/'Gearing Calculator'!$C$7)+(('Track Data'!W1498)*('Gearing Calculator'!$U$17/'Gearing Calculator'!$C$7))</f>
        <v>1823.0497758167924</v>
      </c>
      <c r="Z1498" s="16">
        <f>((X1498*COS('Gearing Calculator'!$C$21))/'Gearing Calculator'!$C$22)/2</f>
        <v>24.373975762834803</v>
      </c>
      <c r="AA1498" s="16">
        <f>Y1498/'Gearing Calculator'!$C$24</f>
        <v>25.455889463554943</v>
      </c>
      <c r="AB1498" s="16">
        <f t="shared" si="163"/>
        <v>110.47051361792198</v>
      </c>
      <c r="AC1498" s="16">
        <v>0</v>
      </c>
      <c r="AD1498" s="16">
        <v>0</v>
      </c>
      <c r="AE1498" s="16">
        <v>1495</v>
      </c>
      <c r="AF1498" s="16">
        <f>IF(AC1498=0,IF(O1498=6,INDEX(Acceleration!$V$4:$V$110,MATCH('Track Data'!S1498,Acceleration!$K$4:$K$110,0)),IF('Track Data'!O1498=5,INDEX(Acceleration!$U$4:$U$110,MATCH('Track Data'!S1498,Acceleration!$K$4:$K$110,0)),1)),U1498)</f>
        <v>1</v>
      </c>
      <c r="AG1498" s="16">
        <f>IF(AC1498=0,IF(O1498=4,INDEX(Acceleration!$T$4:$T$110,MATCH('Track Data'!S1498,Acceleration!$K$4:$K$110,0)),IF('Track Data'!O1498=3,INDEX(Acceleration!$S$4:$S$110,MATCH('Track Data'!S1498,Acceleration!$K$4:$K$110,0)),'Track Data'!AF1498)),'Track Data'!U1498)</f>
        <v>3.8664152095927027</v>
      </c>
      <c r="AH1498" s="16">
        <f>IF(AC1498=0,IF(O1498=2,INDEX(Acceleration!$R$4:$R$110,MATCH('Track Data'!S1498,Acceleration!$K$4:$K$110,0)),IF('Track Data'!O1498=1,INDEX(Acceleration!$Q$4:$Q$110,MATCH('Track Data'!S1498,Acceleration!$K$4:$K$110,0)),'Track Data'!AG1498)),'Track Data'!U1498)</f>
        <v>3.8664152095927027</v>
      </c>
    </row>
    <row r="1499" spans="2:34" x14ac:dyDescent="0.25">
      <c r="B1499" s="16">
        <v>238.58099999999999</v>
      </c>
      <c r="C1499" s="16">
        <v>8769</v>
      </c>
      <c r="D1499" s="16">
        <v>1496</v>
      </c>
      <c r="E1499" s="113">
        <v>135</v>
      </c>
      <c r="F1499" s="113">
        <v>130.80000000000001</v>
      </c>
      <c r="G1499" s="113">
        <v>133.80000000000001</v>
      </c>
      <c r="H1499" s="113">
        <f t="shared" si="166"/>
        <v>37.166666666666671</v>
      </c>
      <c r="I1499" s="113">
        <v>3.6</v>
      </c>
      <c r="J1499" s="113">
        <v>2.4300000000000002</v>
      </c>
      <c r="K1499" s="113">
        <v>2.5</v>
      </c>
      <c r="L1499" s="185"/>
      <c r="M1499" s="16">
        <v>1496</v>
      </c>
      <c r="N1499" s="16">
        <f t="shared" si="168"/>
        <v>3.3234516430837788E-2</v>
      </c>
      <c r="O1499" s="16">
        <v>4</v>
      </c>
      <c r="P1499" s="16">
        <f t="shared" si="164"/>
        <v>9.1833785004516724</v>
      </c>
      <c r="Q1499" s="16">
        <f t="shared" si="169"/>
        <v>30.089199645225335</v>
      </c>
      <c r="R1499" s="113">
        <f t="shared" si="165"/>
        <v>329.49099999999999</v>
      </c>
      <c r="S1499" s="16">
        <f>IF(S1498=15800,15800,ROUND((((Q1499*60)/'Gearing Calculator'!$C$14)*'Track Data'!P1499),-2))</f>
        <v>8400</v>
      </c>
      <c r="T1499" s="16">
        <f t="shared" si="167"/>
        <v>3.8870720363128299</v>
      </c>
      <c r="U1499" s="16">
        <f>IF(AC1499=100,Braking!$AG$2354,IF(AC1499=50,Braking!$AG$1179,IF(AC1499=75,Braking!$AG$1767,0)))</f>
        <v>0</v>
      </c>
      <c r="V1499" s="16">
        <f>0.5*'Gearing Calculator'!$C$15*'Gearing Calculator'!$C$20*'Gearing Calculator'!$W$20*('Track Data'!Q1499^2)</f>
        <v>95.823295551117766</v>
      </c>
      <c r="W1499" s="16">
        <f>('Gearing Calculator'!$U$9*'Track Data'!T1499)+'Track Data'!V1499</f>
        <v>1130.5618716175932</v>
      </c>
      <c r="X1499" s="16">
        <f>('Gearing Calculator'!$U$9*9.81)*('Gearing Calculator'!$U$16/'Gearing Calculator'!$C$7)-(('Track Data'!W1499)*('Gearing Calculator'!$U$17/'Gearing Calculator'!$C$7))</f>
        <v>784.92886967765401</v>
      </c>
      <c r="Y1499" s="16">
        <f>('Gearing Calculator'!$U$9*9.81)*(('Gearing Calculator'!$C$7-'Gearing Calculator'!$U$16)/'Gearing Calculator'!$C$7)+(('Track Data'!W1499)*('Gearing Calculator'!$U$17/'Gearing Calculator'!$C$7))</f>
        <v>1826.4931303223461</v>
      </c>
      <c r="Z1499" s="16">
        <f>((X1499*COS('Gearing Calculator'!$C$21))/'Gearing Calculator'!$C$22)/2</f>
        <v>24.267518131925534</v>
      </c>
      <c r="AA1499" s="16">
        <f>Y1499/'Gearing Calculator'!$C$24</f>
        <v>25.503970241622529</v>
      </c>
      <c r="AB1499" s="16">
        <f t="shared" si="163"/>
        <v>111.37158369636909</v>
      </c>
      <c r="AC1499" s="16">
        <v>0</v>
      </c>
      <c r="AD1499" s="16">
        <v>0</v>
      </c>
      <c r="AE1499" s="16">
        <v>1496</v>
      </c>
      <c r="AF1499" s="16">
        <f>IF(AC1499=0,IF(O1499=6,INDEX(Acceleration!$V$4:$V$110,MATCH('Track Data'!S1499,Acceleration!$K$4:$K$110,0)),IF('Track Data'!O1499=5,INDEX(Acceleration!$U$4:$U$110,MATCH('Track Data'!S1499,Acceleration!$K$4:$K$110,0)),1)),U1499)</f>
        <v>1</v>
      </c>
      <c r="AG1499" s="16">
        <f>IF(AC1499=0,IF(O1499=4,INDEX(Acceleration!$T$4:$T$110,MATCH('Track Data'!S1499,Acceleration!$K$4:$K$110,0)),IF('Track Data'!O1499=3,INDEX(Acceleration!$S$4:$S$110,MATCH('Track Data'!S1499,Acceleration!$K$4:$K$110,0)),'Track Data'!AF1499)),'Track Data'!U1499)</f>
        <v>3.8870720363128299</v>
      </c>
      <c r="AH1499" s="16">
        <f>IF(AC1499=0,IF(O1499=2,INDEX(Acceleration!$R$4:$R$110,MATCH('Track Data'!S1499,Acceleration!$K$4:$K$110,0)),IF('Track Data'!O1499=1,INDEX(Acceleration!$Q$4:$Q$110,MATCH('Track Data'!S1499,Acceleration!$K$4:$K$110,0)),'Track Data'!AG1499)),'Track Data'!U1499)</f>
        <v>3.8870720363128299</v>
      </c>
    </row>
    <row r="1500" spans="2:34" x14ac:dyDescent="0.25">
      <c r="B1500" s="16">
        <v>238.608</v>
      </c>
      <c r="C1500" s="16">
        <v>8770</v>
      </c>
      <c r="D1500" s="16">
        <v>1497</v>
      </c>
      <c r="E1500" s="113">
        <v>135</v>
      </c>
      <c r="F1500" s="113">
        <v>132.80000000000001</v>
      </c>
      <c r="G1500" s="113">
        <v>134.30000000000001</v>
      </c>
      <c r="H1500" s="113">
        <f t="shared" si="166"/>
        <v>37.305555555555557</v>
      </c>
      <c r="I1500" s="113">
        <v>5.2</v>
      </c>
      <c r="J1500" s="113">
        <v>5.33</v>
      </c>
      <c r="K1500" s="113">
        <v>2.5</v>
      </c>
      <c r="L1500" s="185"/>
      <c r="M1500" s="16">
        <v>1497</v>
      </c>
      <c r="N1500" s="16">
        <f t="shared" si="168"/>
        <v>3.3092739774577357E-2</v>
      </c>
      <c r="O1500" s="16">
        <v>4</v>
      </c>
      <c r="P1500" s="16">
        <f t="shared" si="164"/>
        <v>9.1833785004516724</v>
      </c>
      <c r="Q1500" s="16">
        <f t="shared" si="169"/>
        <v>30.218108467653202</v>
      </c>
      <c r="R1500" s="113">
        <f t="shared" si="165"/>
        <v>329.49099999999999</v>
      </c>
      <c r="S1500" s="16">
        <f>IF(S1499=15800,15800,ROUND((((Q1500*60)/'Gearing Calculator'!$C$14)*'Track Data'!P1500),-2))</f>
        <v>8400</v>
      </c>
      <c r="T1500" s="16">
        <f t="shared" si="167"/>
        <v>3.8870720363128299</v>
      </c>
      <c r="U1500" s="16">
        <f>IF(AC1500=100,Braking!$AG$2354,IF(AC1500=50,Braking!$AG$1179,IF(AC1500=75,Braking!$AG$1767,0)))</f>
        <v>0</v>
      </c>
      <c r="V1500" s="16">
        <f>0.5*'Gearing Calculator'!$C$15*'Gearing Calculator'!$C$20*'Gearing Calculator'!$W$20*('Track Data'!Q1500^2)</f>
        <v>96.646110959764485</v>
      </c>
      <c r="W1500" s="16">
        <f>('Gearing Calculator'!$U$9*'Track Data'!T1500)+'Track Data'!V1500</f>
        <v>1131.3846870262398</v>
      </c>
      <c r="X1500" s="16">
        <f>('Gearing Calculator'!$U$9*9.81)*('Gearing Calculator'!$U$16/'Gearing Calculator'!$C$7)-(('Track Data'!W1500)*('Gearing Calculator'!$U$17/'Gearing Calculator'!$C$7))</f>
        <v>784.48037908680567</v>
      </c>
      <c r="Y1500" s="16">
        <f>('Gearing Calculator'!$U$9*9.81)*(('Gearing Calculator'!$C$7-'Gearing Calculator'!$U$16)/'Gearing Calculator'!$C$7)+(('Track Data'!W1500)*('Gearing Calculator'!$U$17/'Gearing Calculator'!$C$7))</f>
        <v>1826.9416209131944</v>
      </c>
      <c r="Z1500" s="16">
        <f>((X1500*COS('Gearing Calculator'!$C$21))/'Gearing Calculator'!$C$22)/2</f>
        <v>24.253652221311391</v>
      </c>
      <c r="AA1500" s="16">
        <f>Y1500/'Gearing Calculator'!$C$24</f>
        <v>25.510232674528925</v>
      </c>
      <c r="AB1500" s="16">
        <f t="shared" si="163"/>
        <v>112.1943991050158</v>
      </c>
      <c r="AC1500" s="16">
        <v>0</v>
      </c>
      <c r="AD1500" s="16">
        <v>0</v>
      </c>
      <c r="AE1500" s="16">
        <v>1497</v>
      </c>
      <c r="AF1500" s="16">
        <f>IF(AC1500=0,IF(O1500=6,INDEX(Acceleration!$V$4:$V$110,MATCH('Track Data'!S1500,Acceleration!$K$4:$K$110,0)),IF('Track Data'!O1500=5,INDEX(Acceleration!$U$4:$U$110,MATCH('Track Data'!S1500,Acceleration!$K$4:$K$110,0)),1)),U1500)</f>
        <v>1</v>
      </c>
      <c r="AG1500" s="16">
        <f>IF(AC1500=0,IF(O1500=4,INDEX(Acceleration!$T$4:$T$110,MATCH('Track Data'!S1500,Acceleration!$K$4:$K$110,0)),IF('Track Data'!O1500=3,INDEX(Acceleration!$S$4:$S$110,MATCH('Track Data'!S1500,Acceleration!$K$4:$K$110,0)),'Track Data'!AF1500)),'Track Data'!U1500)</f>
        <v>3.8870720363128299</v>
      </c>
      <c r="AH1500" s="16">
        <f>IF(AC1500=0,IF(O1500=2,INDEX(Acceleration!$R$4:$R$110,MATCH('Track Data'!S1500,Acceleration!$K$4:$K$110,0)),IF('Track Data'!O1500=1,INDEX(Acceleration!$Q$4:$Q$110,MATCH('Track Data'!S1500,Acceleration!$K$4:$K$110,0)),'Track Data'!AG1500)),'Track Data'!U1500)</f>
        <v>3.8870720363128299</v>
      </c>
    </row>
    <row r="1501" spans="2:34" x14ac:dyDescent="0.25">
      <c r="B1501" s="16">
        <v>238.63499999999999</v>
      </c>
      <c r="C1501" s="16">
        <v>8771</v>
      </c>
      <c r="D1501" s="16">
        <v>1498</v>
      </c>
      <c r="E1501" s="113">
        <v>137</v>
      </c>
      <c r="F1501" s="113">
        <v>134.9</v>
      </c>
      <c r="G1501" s="113">
        <v>135.1</v>
      </c>
      <c r="H1501" s="113">
        <f t="shared" si="166"/>
        <v>37.527777777777779</v>
      </c>
      <c r="I1501" s="113">
        <v>5.6</v>
      </c>
      <c r="J1501" s="113">
        <v>8.83</v>
      </c>
      <c r="K1501" s="113">
        <v>2.5</v>
      </c>
      <c r="L1501" s="185"/>
      <c r="M1501" s="16">
        <v>1498</v>
      </c>
      <c r="N1501" s="16">
        <f t="shared" si="168"/>
        <v>3.295276220880921E-2</v>
      </c>
      <c r="O1501" s="16">
        <v>4</v>
      </c>
      <c r="P1501" s="16">
        <f t="shared" si="164"/>
        <v>9.1833785004516724</v>
      </c>
      <c r="Q1501" s="16">
        <f t="shared" si="169"/>
        <v>30.34646970300631</v>
      </c>
      <c r="R1501" s="113">
        <f t="shared" si="165"/>
        <v>329.49099999999999</v>
      </c>
      <c r="S1501" s="16">
        <f>IF(S1500=15800,15800,ROUND((((Q1501*60)/'Gearing Calculator'!$C$14)*'Track Data'!P1501),-2))</f>
        <v>8400</v>
      </c>
      <c r="T1501" s="16">
        <f t="shared" si="167"/>
        <v>3.8870720363128299</v>
      </c>
      <c r="U1501" s="16">
        <f>IF(AC1501=100,Braking!$AG$2354,IF(AC1501=50,Braking!$AG$1179,IF(AC1501=75,Braking!$AG$1767,0)))</f>
        <v>0</v>
      </c>
      <c r="V1501" s="16">
        <f>0.5*'Gearing Calculator'!$C$15*'Gearing Calculator'!$C$20*'Gearing Calculator'!$W$20*('Track Data'!Q1501^2)</f>
        <v>97.468926368411175</v>
      </c>
      <c r="W1501" s="16">
        <f>('Gearing Calculator'!$U$9*'Track Data'!T1501)+'Track Data'!V1501</f>
        <v>1132.2075024348865</v>
      </c>
      <c r="X1501" s="16">
        <f>('Gearing Calculator'!$U$9*9.81)*('Gearing Calculator'!$U$16/'Gearing Calculator'!$C$7)-(('Track Data'!W1501)*('Gearing Calculator'!$U$17/'Gearing Calculator'!$C$7))</f>
        <v>784.03188849595722</v>
      </c>
      <c r="Y1501" s="16">
        <f>('Gearing Calculator'!$U$9*9.81)*(('Gearing Calculator'!$C$7-'Gearing Calculator'!$U$16)/'Gearing Calculator'!$C$7)+(('Track Data'!W1501)*('Gearing Calculator'!$U$17/'Gearing Calculator'!$C$7))</f>
        <v>1827.3901115040428</v>
      </c>
      <c r="Z1501" s="16">
        <f>((X1501*COS('Gearing Calculator'!$C$21))/'Gearing Calculator'!$C$22)/2</f>
        <v>24.239786310697248</v>
      </c>
      <c r="AA1501" s="16">
        <f>Y1501/'Gearing Calculator'!$C$24</f>
        <v>25.516495107435329</v>
      </c>
      <c r="AB1501" s="16">
        <f t="shared" si="163"/>
        <v>113.01721451366249</v>
      </c>
      <c r="AC1501" s="16">
        <v>0</v>
      </c>
      <c r="AD1501" s="16">
        <v>0</v>
      </c>
      <c r="AE1501" s="16">
        <v>1498</v>
      </c>
      <c r="AF1501" s="16">
        <f>IF(AC1501=0,IF(O1501=6,INDEX(Acceleration!$V$4:$V$110,MATCH('Track Data'!S1501,Acceleration!$K$4:$K$110,0)),IF('Track Data'!O1501=5,INDEX(Acceleration!$U$4:$U$110,MATCH('Track Data'!S1501,Acceleration!$K$4:$K$110,0)),1)),U1501)</f>
        <v>1</v>
      </c>
      <c r="AG1501" s="16">
        <f>IF(AC1501=0,IF(O1501=4,INDEX(Acceleration!$T$4:$T$110,MATCH('Track Data'!S1501,Acceleration!$K$4:$K$110,0)),IF('Track Data'!O1501=3,INDEX(Acceleration!$S$4:$S$110,MATCH('Track Data'!S1501,Acceleration!$K$4:$K$110,0)),'Track Data'!AF1501)),'Track Data'!U1501)</f>
        <v>3.8870720363128299</v>
      </c>
      <c r="AH1501" s="16">
        <f>IF(AC1501=0,IF(O1501=2,INDEX(Acceleration!$R$4:$R$110,MATCH('Track Data'!S1501,Acceleration!$K$4:$K$110,0)),IF('Track Data'!O1501=1,INDEX(Acceleration!$Q$4:$Q$110,MATCH('Track Data'!S1501,Acceleration!$K$4:$K$110,0)),'Track Data'!AG1501)),'Track Data'!U1501)</f>
        <v>3.8870720363128299</v>
      </c>
    </row>
    <row r="1502" spans="2:34" x14ac:dyDescent="0.25">
      <c r="B1502" s="16">
        <v>238.66200000000001</v>
      </c>
      <c r="C1502" s="16">
        <v>8772</v>
      </c>
      <c r="D1502" s="16">
        <v>1499</v>
      </c>
      <c r="E1502" s="113">
        <v>138</v>
      </c>
      <c r="F1502" s="113">
        <v>135.80000000000001</v>
      </c>
      <c r="G1502" s="113">
        <v>135.80000000000001</v>
      </c>
      <c r="H1502" s="113">
        <f t="shared" si="166"/>
        <v>37.722222222222221</v>
      </c>
      <c r="I1502" s="113">
        <v>5.4</v>
      </c>
      <c r="J1502" s="113">
        <v>11.81</v>
      </c>
      <c r="K1502" s="113">
        <v>2.7</v>
      </c>
      <c r="L1502" s="185"/>
      <c r="M1502" s="16">
        <v>1499</v>
      </c>
      <c r="N1502" s="16">
        <f t="shared" si="168"/>
        <v>3.2814546003017274E-2</v>
      </c>
      <c r="O1502" s="16">
        <v>4</v>
      </c>
      <c r="P1502" s="16">
        <f t="shared" si="164"/>
        <v>9.1833785004516724</v>
      </c>
      <c r="Q1502" s="16">
        <f t="shared" si="169"/>
        <v>30.474290270785726</v>
      </c>
      <c r="R1502" s="113">
        <f t="shared" si="165"/>
        <v>329.49099999999999</v>
      </c>
      <c r="S1502" s="16">
        <f>IF(S1501=15800,15800,ROUND((((Q1502*60)/'Gearing Calculator'!$C$14)*'Track Data'!P1502),-2))</f>
        <v>8500</v>
      </c>
      <c r="T1502" s="16">
        <f t="shared" si="167"/>
        <v>3.9070469203362501</v>
      </c>
      <c r="U1502" s="16">
        <f>IF(AC1502=100,Braking!$AG$2354,IF(AC1502=50,Braking!$AG$1179,IF(AC1502=75,Braking!$AG$1767,0)))</f>
        <v>0</v>
      </c>
      <c r="V1502" s="16">
        <f>0.5*'Gearing Calculator'!$C$15*'Gearing Calculator'!$C$20*'Gearing Calculator'!$W$20*('Track Data'!Q1502^2)</f>
        <v>98.291741777057879</v>
      </c>
      <c r="W1502" s="16">
        <f>('Gearing Calculator'!$U$9*'Track Data'!T1502)+'Track Data'!V1502</f>
        <v>1138.3476319705676</v>
      </c>
      <c r="X1502" s="16">
        <f>('Gearing Calculator'!$U$9*9.81)*('Gearing Calculator'!$U$16/'Gearing Calculator'!$C$7)-(('Track Data'!W1502)*('Gearing Calculator'!$U$17/'Gearing Calculator'!$C$7))</f>
        <v>780.68509856664309</v>
      </c>
      <c r="Y1502" s="16">
        <f>('Gearing Calculator'!$U$9*9.81)*(('Gearing Calculator'!$C$7-'Gearing Calculator'!$U$16)/'Gearing Calculator'!$C$7)+(('Track Data'!W1502)*('Gearing Calculator'!$U$17/'Gearing Calculator'!$C$7))</f>
        <v>1830.7369014333569</v>
      </c>
      <c r="Z1502" s="16">
        <f>((X1502*COS('Gearing Calculator'!$C$21))/'Gearing Calculator'!$C$22)/2</f>
        <v>24.136314151077574</v>
      </c>
      <c r="AA1502" s="16">
        <f>Y1502/'Gearing Calculator'!$C$24</f>
        <v>25.563227520136561</v>
      </c>
      <c r="AB1502" s="16">
        <f t="shared" si="163"/>
        <v>113.91992945840288</v>
      </c>
      <c r="AC1502" s="16">
        <v>0</v>
      </c>
      <c r="AD1502" s="16">
        <v>0</v>
      </c>
      <c r="AE1502" s="16">
        <v>1499</v>
      </c>
      <c r="AF1502" s="16">
        <f>IF(AC1502=0,IF(O1502=6,INDEX(Acceleration!$V$4:$V$110,MATCH('Track Data'!S1502,Acceleration!$K$4:$K$110,0)),IF('Track Data'!O1502=5,INDEX(Acceleration!$U$4:$U$110,MATCH('Track Data'!S1502,Acceleration!$K$4:$K$110,0)),1)),U1502)</f>
        <v>1</v>
      </c>
      <c r="AG1502" s="16">
        <f>IF(AC1502=0,IF(O1502=4,INDEX(Acceleration!$T$4:$T$110,MATCH('Track Data'!S1502,Acceleration!$K$4:$K$110,0)),IF('Track Data'!O1502=3,INDEX(Acceleration!$S$4:$S$110,MATCH('Track Data'!S1502,Acceleration!$K$4:$K$110,0)),'Track Data'!AF1502)),'Track Data'!U1502)</f>
        <v>3.9070469203362501</v>
      </c>
      <c r="AH1502" s="16">
        <f>IF(AC1502=0,IF(O1502=2,INDEX(Acceleration!$R$4:$R$110,MATCH('Track Data'!S1502,Acceleration!$K$4:$K$110,0)),IF('Track Data'!O1502=1,INDEX(Acceleration!$Q$4:$Q$110,MATCH('Track Data'!S1502,Acceleration!$K$4:$K$110,0)),'Track Data'!AG1502)),'Track Data'!U1502)</f>
        <v>3.9070469203362501</v>
      </c>
    </row>
    <row r="1503" spans="2:34" x14ac:dyDescent="0.25">
      <c r="B1503" s="16">
        <v>238.68799999999999</v>
      </c>
      <c r="C1503" s="16">
        <v>8773</v>
      </c>
      <c r="D1503" s="16">
        <v>1500</v>
      </c>
      <c r="E1503" s="113">
        <v>138</v>
      </c>
      <c r="F1503" s="113">
        <v>136.19999999999999</v>
      </c>
      <c r="G1503" s="113">
        <v>136.30000000000001</v>
      </c>
      <c r="H1503" s="113">
        <f t="shared" si="166"/>
        <v>37.861111111111114</v>
      </c>
      <c r="I1503" s="113">
        <v>5.2</v>
      </c>
      <c r="J1503" s="113">
        <v>11.74</v>
      </c>
      <c r="K1503" s="113">
        <v>2.8</v>
      </c>
      <c r="L1503" s="185"/>
      <c r="M1503" s="16">
        <v>1500</v>
      </c>
      <c r="N1503" s="16">
        <f t="shared" si="168"/>
        <v>3.2677357515364526E-2</v>
      </c>
      <c r="O1503" s="16">
        <v>4</v>
      </c>
      <c r="P1503" s="16">
        <f t="shared" si="164"/>
        <v>9.1833785004516724</v>
      </c>
      <c r="Q1503" s="16">
        <f t="shared" si="169"/>
        <v>30.602229679367777</v>
      </c>
      <c r="R1503" s="113">
        <f t="shared" si="165"/>
        <v>329.49099999999999</v>
      </c>
      <c r="S1503" s="16">
        <f>IF(S1502=15800,15800,ROUND((((Q1503*60)/'Gearing Calculator'!$C$14)*'Track Data'!P1503),-2))</f>
        <v>8500</v>
      </c>
      <c r="T1503" s="16">
        <f t="shared" si="167"/>
        <v>3.9070469203362501</v>
      </c>
      <c r="U1503" s="16">
        <f>IF(AC1503=100,Braking!$AG$2354,IF(AC1503=50,Braking!$AG$1179,IF(AC1503=75,Braking!$AG$1767,0)))</f>
        <v>0</v>
      </c>
      <c r="V1503" s="16">
        <f>0.5*'Gearing Calculator'!$C$15*'Gearing Calculator'!$C$20*'Gearing Calculator'!$W$20*('Track Data'!Q1503^2)</f>
        <v>99.118785469154659</v>
      </c>
      <c r="W1503" s="16">
        <f>('Gearing Calculator'!$U$9*'Track Data'!T1503)+'Track Data'!V1503</f>
        <v>1139.1746756626644</v>
      </c>
      <c r="X1503" s="16">
        <f>('Gearing Calculator'!$U$9*9.81)*('Gearing Calculator'!$U$16/'Gearing Calculator'!$C$7)-(('Track Data'!W1503)*('Gearing Calculator'!$U$17/'Gearing Calculator'!$C$7))</f>
        <v>780.23430327254914</v>
      </c>
      <c r="Y1503" s="16">
        <f>('Gearing Calculator'!$U$9*9.81)*(('Gearing Calculator'!$C$7-'Gearing Calculator'!$U$16)/'Gearing Calculator'!$C$7)+(('Track Data'!W1503)*('Gearing Calculator'!$U$17/'Gearing Calculator'!$C$7))</f>
        <v>1831.1876967274509</v>
      </c>
      <c r="Z1503" s="16">
        <f>((X1503*COS('Gearing Calculator'!$C$21))/'Gearing Calculator'!$C$22)/2</f>
        <v>24.122376986328231</v>
      </c>
      <c r="AA1503" s="16">
        <f>Y1503/'Gearing Calculator'!$C$24</f>
        <v>25.56952213443035</v>
      </c>
      <c r="AB1503" s="16">
        <f t="shared" si="163"/>
        <v>114.74697315049966</v>
      </c>
      <c r="AC1503" s="16">
        <v>0</v>
      </c>
      <c r="AD1503" s="16">
        <v>0</v>
      </c>
      <c r="AE1503" s="16">
        <v>1500</v>
      </c>
      <c r="AF1503" s="16">
        <f>IF(AC1503=0,IF(O1503=6,INDEX(Acceleration!$V$4:$V$110,MATCH('Track Data'!S1503,Acceleration!$K$4:$K$110,0)),IF('Track Data'!O1503=5,INDEX(Acceleration!$U$4:$U$110,MATCH('Track Data'!S1503,Acceleration!$K$4:$K$110,0)),1)),U1503)</f>
        <v>1</v>
      </c>
      <c r="AG1503" s="16">
        <f>IF(AC1503=0,IF(O1503=4,INDEX(Acceleration!$T$4:$T$110,MATCH('Track Data'!S1503,Acceleration!$K$4:$K$110,0)),IF('Track Data'!O1503=3,INDEX(Acceleration!$S$4:$S$110,MATCH('Track Data'!S1503,Acceleration!$K$4:$K$110,0)),'Track Data'!AF1503)),'Track Data'!U1503)</f>
        <v>3.9070469203362501</v>
      </c>
      <c r="AH1503" s="16">
        <f>IF(AC1503=0,IF(O1503=2,INDEX(Acceleration!$R$4:$R$110,MATCH('Track Data'!S1503,Acceleration!$K$4:$K$110,0)),IF('Track Data'!O1503=1,INDEX(Acceleration!$Q$4:$Q$110,MATCH('Track Data'!S1503,Acceleration!$K$4:$K$110,0)),'Track Data'!AG1503)),'Track Data'!U1503)</f>
        <v>3.9070469203362501</v>
      </c>
    </row>
    <row r="1504" spans="2:34" x14ac:dyDescent="0.25">
      <c r="B1504" s="16">
        <v>238.714</v>
      </c>
      <c r="C1504" s="16">
        <v>8774</v>
      </c>
      <c r="D1504" s="16">
        <v>1501</v>
      </c>
      <c r="E1504" s="113">
        <v>138</v>
      </c>
      <c r="F1504" s="113">
        <v>136.6</v>
      </c>
      <c r="G1504" s="113">
        <v>137.1</v>
      </c>
      <c r="H1504" s="113">
        <f t="shared" si="166"/>
        <v>38.083333333333329</v>
      </c>
      <c r="I1504" s="113">
        <v>5.3</v>
      </c>
      <c r="J1504" s="113">
        <v>10.08</v>
      </c>
      <c r="K1504" s="113">
        <v>3.1</v>
      </c>
      <c r="L1504" s="185"/>
      <c r="M1504" s="16">
        <v>1501</v>
      </c>
      <c r="N1504" s="16">
        <f t="shared" si="168"/>
        <v>3.2541875405560007E-2</v>
      </c>
      <c r="O1504" s="16">
        <v>4</v>
      </c>
      <c r="P1504" s="16">
        <f t="shared" si="164"/>
        <v>9.1833785004516724</v>
      </c>
      <c r="Q1504" s="16">
        <f t="shared" si="169"/>
        <v>30.729636431130302</v>
      </c>
      <c r="R1504" s="113">
        <f t="shared" si="165"/>
        <v>329.49099999999999</v>
      </c>
      <c r="S1504" s="16">
        <f>IF(S1503=15800,15800,ROUND((((Q1504*60)/'Gearing Calculator'!$C$14)*'Track Data'!P1504),-2))</f>
        <v>8600</v>
      </c>
      <c r="T1504" s="16">
        <f t="shared" si="167"/>
        <v>3.9263613453401227</v>
      </c>
      <c r="U1504" s="16">
        <f>IF(AC1504=100,Braking!$AG$2354,IF(AC1504=50,Braking!$AG$1179,IF(AC1504=75,Braking!$AG$1767,0)))</f>
        <v>0</v>
      </c>
      <c r="V1504" s="16">
        <f>0.5*'Gearing Calculator'!$C$15*'Gearing Calculator'!$C$20*'Gearing Calculator'!$W$20*('Track Data'!Q1504^2)</f>
        <v>99.945829161251453</v>
      </c>
      <c r="W1504" s="16">
        <f>('Gearing Calculator'!$U$9*'Track Data'!T1504)+'Track Data'!V1504</f>
        <v>1145.1432192907919</v>
      </c>
      <c r="X1504" s="16">
        <f>('Gearing Calculator'!$U$9*9.81)*('Gearing Calculator'!$U$16/'Gearing Calculator'!$C$7)-(('Track Data'!W1504)*('Gearing Calculator'!$U$17/'Gearing Calculator'!$C$7))</f>
        <v>776.98103938109386</v>
      </c>
      <c r="Y1504" s="16">
        <f>('Gearing Calculator'!$U$9*9.81)*(('Gearing Calculator'!$C$7-'Gearing Calculator'!$U$16)/'Gearing Calculator'!$C$7)+(('Track Data'!W1504)*('Gearing Calculator'!$U$17/'Gearing Calculator'!$C$7))</f>
        <v>1834.440960618906</v>
      </c>
      <c r="Z1504" s="16">
        <f>((X1504*COS('Gearing Calculator'!$C$21))/'Gearing Calculator'!$C$22)/2</f>
        <v>24.021796356001499</v>
      </c>
      <c r="AA1504" s="16">
        <f>Y1504/'Gearing Calculator'!$C$24</f>
        <v>25.614948609952421</v>
      </c>
      <c r="AB1504" s="16">
        <f t="shared" si="163"/>
        <v>115.65127454261194</v>
      </c>
      <c r="AC1504" s="16">
        <v>0</v>
      </c>
      <c r="AD1504" s="16">
        <v>0</v>
      </c>
      <c r="AE1504" s="16">
        <v>1501</v>
      </c>
      <c r="AF1504" s="16">
        <f>IF(AC1504=0,IF(O1504=6,INDEX(Acceleration!$V$4:$V$110,MATCH('Track Data'!S1504,Acceleration!$K$4:$K$110,0)),IF('Track Data'!O1504=5,INDEX(Acceleration!$U$4:$U$110,MATCH('Track Data'!S1504,Acceleration!$K$4:$K$110,0)),1)),U1504)</f>
        <v>1</v>
      </c>
      <c r="AG1504" s="16">
        <f>IF(AC1504=0,IF(O1504=4,INDEX(Acceleration!$T$4:$T$110,MATCH('Track Data'!S1504,Acceleration!$K$4:$K$110,0)),IF('Track Data'!O1504=3,INDEX(Acceleration!$S$4:$S$110,MATCH('Track Data'!S1504,Acceleration!$K$4:$K$110,0)),'Track Data'!AF1504)),'Track Data'!U1504)</f>
        <v>3.9263613453401227</v>
      </c>
      <c r="AH1504" s="16">
        <f>IF(AC1504=0,IF(O1504=2,INDEX(Acceleration!$R$4:$R$110,MATCH('Track Data'!S1504,Acceleration!$K$4:$K$110,0)),IF('Track Data'!O1504=1,INDEX(Acceleration!$Q$4:$Q$110,MATCH('Track Data'!S1504,Acceleration!$K$4:$K$110,0)),'Track Data'!AG1504)),'Track Data'!U1504)</f>
        <v>3.9263613453401227</v>
      </c>
    </row>
    <row r="1505" spans="2:34" x14ac:dyDescent="0.25">
      <c r="B1505" s="16">
        <v>238.74100000000001</v>
      </c>
      <c r="C1505" s="16">
        <v>8775</v>
      </c>
      <c r="D1505" s="16">
        <v>1502</v>
      </c>
      <c r="E1505" s="113">
        <v>139</v>
      </c>
      <c r="F1505" s="113">
        <v>137.19999999999999</v>
      </c>
      <c r="G1505" s="113">
        <v>137.80000000000001</v>
      </c>
      <c r="H1505" s="113">
        <f t="shared" si="166"/>
        <v>38.277777777777779</v>
      </c>
      <c r="I1505" s="113">
        <v>4.7</v>
      </c>
      <c r="J1505" s="113">
        <v>7.8</v>
      </c>
      <c r="K1505" s="113">
        <v>3.5</v>
      </c>
      <c r="L1505" s="185"/>
      <c r="M1505" s="16">
        <v>1502</v>
      </c>
      <c r="N1505" s="16">
        <f t="shared" si="168"/>
        <v>3.2407407193425712E-2</v>
      </c>
      <c r="O1505" s="16">
        <v>4</v>
      </c>
      <c r="P1505" s="16">
        <f t="shared" si="164"/>
        <v>9.1833785004516724</v>
      </c>
      <c r="Q1505" s="16">
        <f t="shared" si="169"/>
        <v>30.857143060888365</v>
      </c>
      <c r="R1505" s="113">
        <f t="shared" si="165"/>
        <v>329.49099999999999</v>
      </c>
      <c r="S1505" s="16">
        <f>IF(S1504=15800,15800,ROUND((((Q1505*60)/'Gearing Calculator'!$C$14)*'Track Data'!P1505),-2))</f>
        <v>8600</v>
      </c>
      <c r="T1505" s="16">
        <f t="shared" si="167"/>
        <v>3.9263613453401227</v>
      </c>
      <c r="U1505" s="16">
        <f>IF(AC1505=100,Braking!$AG$2354,IF(AC1505=50,Braking!$AG$1179,IF(AC1505=75,Braking!$AG$1767,0)))</f>
        <v>0</v>
      </c>
      <c r="V1505" s="16">
        <f>0.5*'Gearing Calculator'!$C$15*'Gearing Calculator'!$C$20*'Gearing Calculator'!$W$20*('Track Data'!Q1505^2)</f>
        <v>100.77696133083305</v>
      </c>
      <c r="W1505" s="16">
        <f>('Gearing Calculator'!$U$9*'Track Data'!T1505)+'Track Data'!V1505</f>
        <v>1145.9743514603736</v>
      </c>
      <c r="X1505" s="16">
        <f>('Gearing Calculator'!$U$9*9.81)*('Gearing Calculator'!$U$16/'Gearing Calculator'!$C$7)-(('Track Data'!W1505)*('Gearing Calculator'!$U$17/'Gearing Calculator'!$C$7))</f>
        <v>776.52801558755323</v>
      </c>
      <c r="Y1505" s="16">
        <f>('Gearing Calculator'!$U$9*9.81)*(('Gearing Calculator'!$C$7-'Gearing Calculator'!$U$16)/'Gearing Calculator'!$C$7)+(('Track Data'!W1505)*('Gearing Calculator'!$U$17/'Gearing Calculator'!$C$7))</f>
        <v>1834.8939844124468</v>
      </c>
      <c r="Z1505" s="16">
        <f>((X1505*COS('Gearing Calculator'!$C$21))/'Gearing Calculator'!$C$22)/2</f>
        <v>24.007790293097408</v>
      </c>
      <c r="AA1505" s="16">
        <f>Y1505/'Gearing Calculator'!$C$24</f>
        <v>25.621274341572978</v>
      </c>
      <c r="AB1505" s="16">
        <f t="shared" si="163"/>
        <v>116.48240671219354</v>
      </c>
      <c r="AC1505" s="16">
        <v>0</v>
      </c>
      <c r="AD1505" s="16">
        <v>0</v>
      </c>
      <c r="AE1505" s="16">
        <v>1502</v>
      </c>
      <c r="AF1505" s="16">
        <f>IF(AC1505=0,IF(O1505=6,INDEX(Acceleration!$V$4:$V$110,MATCH('Track Data'!S1505,Acceleration!$K$4:$K$110,0)),IF('Track Data'!O1505=5,INDEX(Acceleration!$U$4:$U$110,MATCH('Track Data'!S1505,Acceleration!$K$4:$K$110,0)),1)),U1505)</f>
        <v>1</v>
      </c>
      <c r="AG1505" s="16">
        <f>IF(AC1505=0,IF(O1505=4,INDEX(Acceleration!$T$4:$T$110,MATCH('Track Data'!S1505,Acceleration!$K$4:$K$110,0)),IF('Track Data'!O1505=3,INDEX(Acceleration!$S$4:$S$110,MATCH('Track Data'!S1505,Acceleration!$K$4:$K$110,0)),'Track Data'!AF1505)),'Track Data'!U1505)</f>
        <v>3.9263613453401227</v>
      </c>
      <c r="AH1505" s="16">
        <f>IF(AC1505=0,IF(O1505=2,INDEX(Acceleration!$R$4:$R$110,MATCH('Track Data'!S1505,Acceleration!$K$4:$K$110,0)),IF('Track Data'!O1505=1,INDEX(Acceleration!$Q$4:$Q$110,MATCH('Track Data'!S1505,Acceleration!$K$4:$K$110,0)),'Track Data'!AG1505)),'Track Data'!U1505)</f>
        <v>3.9263613453401227</v>
      </c>
    </row>
    <row r="1506" spans="2:34" x14ac:dyDescent="0.25">
      <c r="B1506" s="16">
        <v>238.767</v>
      </c>
      <c r="C1506" s="16">
        <v>8776</v>
      </c>
      <c r="D1506" s="16">
        <v>1503</v>
      </c>
      <c r="E1506" s="113">
        <v>140</v>
      </c>
      <c r="F1506" s="113">
        <v>137.69999999999999</v>
      </c>
      <c r="G1506" s="113">
        <v>138.30000000000001</v>
      </c>
      <c r="H1506" s="113">
        <f t="shared" si="166"/>
        <v>38.416666666666671</v>
      </c>
      <c r="I1506" s="113">
        <v>3.5</v>
      </c>
      <c r="J1506" s="113">
        <v>7.83</v>
      </c>
      <c r="K1506" s="113">
        <v>3.8</v>
      </c>
      <c r="L1506" s="185"/>
      <c r="M1506" s="16">
        <v>1503</v>
      </c>
      <c r="N1506" s="16">
        <f t="shared" si="168"/>
        <v>3.2274592254985246E-2</v>
      </c>
      <c r="O1506" s="16">
        <v>4</v>
      </c>
      <c r="P1506" s="16">
        <f t="shared" si="164"/>
        <v>9.1833785004516724</v>
      </c>
      <c r="Q1506" s="16">
        <f t="shared" si="169"/>
        <v>30.984124976684612</v>
      </c>
      <c r="R1506" s="113">
        <f t="shared" si="165"/>
        <v>329.49099999999999</v>
      </c>
      <c r="S1506" s="16">
        <f>IF(S1505=15800,15800,ROUND((((Q1506*60)/'Gearing Calculator'!$C$14)*'Track Data'!P1506),-2))</f>
        <v>8600</v>
      </c>
      <c r="T1506" s="16">
        <f t="shared" si="167"/>
        <v>3.9263613453401227</v>
      </c>
      <c r="U1506" s="16">
        <f>IF(AC1506=100,Braking!$AG$2354,IF(AC1506=50,Braking!$AG$1179,IF(AC1506=75,Braking!$AG$1767,0)))</f>
        <v>0</v>
      </c>
      <c r="V1506" s="16">
        <f>0.5*'Gearing Calculator'!$C$15*'Gearing Calculator'!$C$20*'Gearing Calculator'!$W$20*('Track Data'!Q1506^2)</f>
        <v>101.60809350041465</v>
      </c>
      <c r="W1506" s="16">
        <f>('Gearing Calculator'!$U$9*'Track Data'!T1506)+'Track Data'!V1506</f>
        <v>1146.8054836299552</v>
      </c>
      <c r="X1506" s="16">
        <f>('Gearing Calculator'!$U$9*9.81)*('Gearing Calculator'!$U$16/'Gearing Calculator'!$C$7)-(('Track Data'!W1506)*('Gearing Calculator'!$U$17/'Gearing Calculator'!$C$7))</f>
        <v>776.0749917940127</v>
      </c>
      <c r="Y1506" s="16">
        <f>('Gearing Calculator'!$U$9*9.81)*(('Gearing Calculator'!$C$7-'Gearing Calculator'!$U$16)/'Gearing Calculator'!$C$7)+(('Track Data'!W1506)*('Gearing Calculator'!$U$17/'Gearing Calculator'!$C$7))</f>
        <v>1835.3470082059873</v>
      </c>
      <c r="Z1506" s="16">
        <f>((X1506*COS('Gearing Calculator'!$C$21))/'Gearing Calculator'!$C$22)/2</f>
        <v>23.99378423019332</v>
      </c>
      <c r="AA1506" s="16">
        <f>Y1506/'Gearing Calculator'!$C$24</f>
        <v>25.627600073193531</v>
      </c>
      <c r="AB1506" s="16">
        <f t="shared" si="163"/>
        <v>117.31353888177514</v>
      </c>
      <c r="AC1506" s="16">
        <v>0</v>
      </c>
      <c r="AD1506" s="16">
        <v>0</v>
      </c>
      <c r="AE1506" s="16">
        <v>1503</v>
      </c>
      <c r="AF1506" s="16">
        <f>IF(AC1506=0,IF(O1506=6,INDEX(Acceleration!$V$4:$V$110,MATCH('Track Data'!S1506,Acceleration!$K$4:$K$110,0)),IF('Track Data'!O1506=5,INDEX(Acceleration!$U$4:$U$110,MATCH('Track Data'!S1506,Acceleration!$K$4:$K$110,0)),1)),U1506)</f>
        <v>1</v>
      </c>
      <c r="AG1506" s="16">
        <f>IF(AC1506=0,IF(O1506=4,INDEX(Acceleration!$T$4:$T$110,MATCH('Track Data'!S1506,Acceleration!$K$4:$K$110,0)),IF('Track Data'!O1506=3,INDEX(Acceleration!$S$4:$S$110,MATCH('Track Data'!S1506,Acceleration!$K$4:$K$110,0)),'Track Data'!AF1506)),'Track Data'!U1506)</f>
        <v>3.9263613453401227</v>
      </c>
      <c r="AH1506" s="16">
        <f>IF(AC1506=0,IF(O1506=2,INDEX(Acceleration!$R$4:$R$110,MATCH('Track Data'!S1506,Acceleration!$K$4:$K$110,0)),IF('Track Data'!O1506=1,INDEX(Acceleration!$Q$4:$Q$110,MATCH('Track Data'!S1506,Acceleration!$K$4:$K$110,0)),'Track Data'!AG1506)),'Track Data'!U1506)</f>
        <v>3.9263613453401227</v>
      </c>
    </row>
    <row r="1507" spans="2:34" x14ac:dyDescent="0.25">
      <c r="B1507" s="16">
        <v>238.79300000000001</v>
      </c>
      <c r="C1507" s="16">
        <v>8777</v>
      </c>
      <c r="D1507" s="16">
        <v>1504</v>
      </c>
      <c r="E1507" s="113">
        <v>141</v>
      </c>
      <c r="F1507" s="113">
        <v>138.1</v>
      </c>
      <c r="G1507" s="113">
        <v>139</v>
      </c>
      <c r="H1507" s="113">
        <f t="shared" si="166"/>
        <v>38.611111111111107</v>
      </c>
      <c r="I1507" s="113">
        <v>2.7</v>
      </c>
      <c r="J1507" s="113">
        <v>6.34</v>
      </c>
      <c r="K1507" s="113">
        <v>4.3</v>
      </c>
      <c r="L1507" s="185"/>
      <c r="M1507" s="16">
        <v>1504</v>
      </c>
      <c r="N1507" s="16">
        <f t="shared" si="168"/>
        <v>3.214339698750595E-2</v>
      </c>
      <c r="O1507" s="16">
        <v>4</v>
      </c>
      <c r="P1507" s="16">
        <f t="shared" si="164"/>
        <v>9.1833785004516724</v>
      </c>
      <c r="Q1507" s="16">
        <f t="shared" si="169"/>
        <v>31.110588603584656</v>
      </c>
      <c r="R1507" s="113">
        <f t="shared" si="165"/>
        <v>329.49099999999999</v>
      </c>
      <c r="S1507" s="16">
        <f>IF(S1506=15800,15800,ROUND((((Q1507*60)/'Gearing Calculator'!$C$14)*'Track Data'!P1507),-2))</f>
        <v>8700</v>
      </c>
      <c r="T1507" s="16">
        <f t="shared" si="167"/>
        <v>3.9450358072463341</v>
      </c>
      <c r="U1507" s="16">
        <f>IF(AC1507=100,Braking!$AG$2354,IF(AC1507=50,Braking!$AG$1179,IF(AC1507=75,Braking!$AG$1767,0)))</f>
        <v>0</v>
      </c>
      <c r="V1507" s="16">
        <f>0.5*'Gearing Calculator'!$C$15*'Gearing Calculator'!$C$20*'Gearing Calculator'!$W$20*('Track Data'!Q1507^2)</f>
        <v>102.43922566999625</v>
      </c>
      <c r="W1507" s="16">
        <f>('Gearing Calculator'!$U$9*'Track Data'!T1507)+'Track Data'!V1507</f>
        <v>1152.6077575589702</v>
      </c>
      <c r="X1507" s="16">
        <f>('Gearing Calculator'!$U$9*9.81)*('Gearing Calculator'!$U$16/'Gearing Calculator'!$C$7)-(('Track Data'!W1507)*('Gearing Calculator'!$U$17/'Gearing Calculator'!$C$7))</f>
        <v>772.91235624375224</v>
      </c>
      <c r="Y1507" s="16">
        <f>('Gearing Calculator'!$U$9*9.81)*(('Gearing Calculator'!$C$7-'Gearing Calculator'!$U$16)/'Gearing Calculator'!$C$7)+(('Track Data'!W1507)*('Gearing Calculator'!$U$17/'Gearing Calculator'!$C$7))</f>
        <v>1838.5096437562479</v>
      </c>
      <c r="Z1507" s="16">
        <f>((X1507*COS('Gearing Calculator'!$C$21))/'Gearing Calculator'!$C$22)/2</f>
        <v>23.896005541543307</v>
      </c>
      <c r="AA1507" s="16">
        <f>Y1507/'Gearing Calculator'!$C$24</f>
        <v>25.671761073100882</v>
      </c>
      <c r="AB1507" s="16">
        <f t="shared" si="163"/>
        <v>118.21936889898159</v>
      </c>
      <c r="AC1507" s="16">
        <v>0</v>
      </c>
      <c r="AD1507" s="16">
        <v>0</v>
      </c>
      <c r="AE1507" s="16">
        <v>1504</v>
      </c>
      <c r="AF1507" s="16">
        <f>IF(AC1507=0,IF(O1507=6,INDEX(Acceleration!$V$4:$V$110,MATCH('Track Data'!S1507,Acceleration!$K$4:$K$110,0)),IF('Track Data'!O1507=5,INDEX(Acceleration!$U$4:$U$110,MATCH('Track Data'!S1507,Acceleration!$K$4:$K$110,0)),1)),U1507)</f>
        <v>1</v>
      </c>
      <c r="AG1507" s="16">
        <f>IF(AC1507=0,IF(O1507=4,INDEX(Acceleration!$T$4:$T$110,MATCH('Track Data'!S1507,Acceleration!$K$4:$K$110,0)),IF('Track Data'!O1507=3,INDEX(Acceleration!$S$4:$S$110,MATCH('Track Data'!S1507,Acceleration!$K$4:$K$110,0)),'Track Data'!AF1507)),'Track Data'!U1507)</f>
        <v>3.9450358072463341</v>
      </c>
      <c r="AH1507" s="16">
        <f>IF(AC1507=0,IF(O1507=2,INDEX(Acceleration!$R$4:$R$110,MATCH('Track Data'!S1507,Acceleration!$K$4:$K$110,0)),IF('Track Data'!O1507=1,INDEX(Acceleration!$Q$4:$Q$110,MATCH('Track Data'!S1507,Acceleration!$K$4:$K$110,0)),'Track Data'!AG1507)),'Track Data'!U1507)</f>
        <v>3.9450358072463341</v>
      </c>
    </row>
    <row r="1508" spans="2:34" x14ac:dyDescent="0.25">
      <c r="B1508" s="16">
        <v>238.81899999999999</v>
      </c>
      <c r="C1508" s="16">
        <v>8778</v>
      </c>
      <c r="D1508" s="16">
        <v>1505</v>
      </c>
      <c r="E1508" s="113">
        <v>141</v>
      </c>
      <c r="F1508" s="113">
        <v>138.69999999999999</v>
      </c>
      <c r="G1508" s="113">
        <v>139.5</v>
      </c>
      <c r="H1508" s="113">
        <f t="shared" si="166"/>
        <v>38.75</v>
      </c>
      <c r="I1508" s="113">
        <v>2.6</v>
      </c>
      <c r="J1508" s="113">
        <v>4.7300000000000004</v>
      </c>
      <c r="K1508" s="113">
        <v>4.3</v>
      </c>
      <c r="L1508" s="185"/>
      <c r="M1508" s="16">
        <v>1505</v>
      </c>
      <c r="N1508" s="16">
        <f t="shared" si="168"/>
        <v>3.2013176038160604E-2</v>
      </c>
      <c r="O1508" s="16">
        <v>4</v>
      </c>
      <c r="P1508" s="16">
        <f t="shared" si="164"/>
        <v>9.1833785004516724</v>
      </c>
      <c r="Q1508" s="16">
        <f t="shared" si="169"/>
        <v>31.237138071148326</v>
      </c>
      <c r="R1508" s="113">
        <f t="shared" si="165"/>
        <v>329.49099999999999</v>
      </c>
      <c r="S1508" s="16">
        <f>IF(S1507=15800,15800,ROUND((((Q1508*60)/'Gearing Calculator'!$C$14)*'Track Data'!P1508),-2))</f>
        <v>8700</v>
      </c>
      <c r="T1508" s="16">
        <f t="shared" si="167"/>
        <v>3.9450358072463341</v>
      </c>
      <c r="U1508" s="16">
        <f>IF(AC1508=100,Braking!$AG$2354,IF(AC1508=50,Braking!$AG$1179,IF(AC1508=75,Braking!$AG$1767,0)))</f>
        <v>0</v>
      </c>
      <c r="V1508" s="16">
        <f>0.5*'Gearing Calculator'!$C$15*'Gearing Calculator'!$C$20*'Gearing Calculator'!$W$20*('Track Data'!Q1508^2)</f>
        <v>103.27431084967417</v>
      </c>
      <c r="W1508" s="16">
        <f>('Gearing Calculator'!$U$9*'Track Data'!T1508)+'Track Data'!V1508</f>
        <v>1153.4428427386481</v>
      </c>
      <c r="X1508" s="16">
        <f>('Gearing Calculator'!$U$9*9.81)*('Gearing Calculator'!$U$16/'Gearing Calculator'!$C$7)-(('Track Data'!W1508)*('Gearing Calculator'!$U$17/'Gearing Calculator'!$C$7))</f>
        <v>772.45717778974335</v>
      </c>
      <c r="Y1508" s="16">
        <f>('Gearing Calculator'!$U$9*9.81)*(('Gearing Calculator'!$C$7-'Gearing Calculator'!$U$16)/'Gearing Calculator'!$C$7)+(('Track Data'!W1508)*('Gearing Calculator'!$U$17/'Gearing Calculator'!$C$7))</f>
        <v>1838.9648222102567</v>
      </c>
      <c r="Z1508" s="16">
        <f>((X1508*COS('Gearing Calculator'!$C$21))/'Gearing Calculator'!$C$22)/2</f>
        <v>23.881932863352151</v>
      </c>
      <c r="AA1508" s="16">
        <f>Y1508/'Gearing Calculator'!$C$24</f>
        <v>25.678116891008404</v>
      </c>
      <c r="AB1508" s="16">
        <f t="shared" si="163"/>
        <v>119.0544540786595</v>
      </c>
      <c r="AC1508" s="16">
        <v>0</v>
      </c>
      <c r="AD1508" s="16">
        <v>0</v>
      </c>
      <c r="AE1508" s="16">
        <v>1505</v>
      </c>
      <c r="AF1508" s="16">
        <f>IF(AC1508=0,IF(O1508=6,INDEX(Acceleration!$V$4:$V$110,MATCH('Track Data'!S1508,Acceleration!$K$4:$K$110,0)),IF('Track Data'!O1508=5,INDEX(Acceleration!$U$4:$U$110,MATCH('Track Data'!S1508,Acceleration!$K$4:$K$110,0)),1)),U1508)</f>
        <v>1</v>
      </c>
      <c r="AG1508" s="16">
        <f>IF(AC1508=0,IF(O1508=4,INDEX(Acceleration!$T$4:$T$110,MATCH('Track Data'!S1508,Acceleration!$K$4:$K$110,0)),IF('Track Data'!O1508=3,INDEX(Acceleration!$S$4:$S$110,MATCH('Track Data'!S1508,Acceleration!$K$4:$K$110,0)),'Track Data'!AF1508)),'Track Data'!U1508)</f>
        <v>3.9450358072463341</v>
      </c>
      <c r="AH1508" s="16">
        <f>IF(AC1508=0,IF(O1508=2,INDEX(Acceleration!$R$4:$R$110,MATCH('Track Data'!S1508,Acceleration!$K$4:$K$110,0)),IF('Track Data'!O1508=1,INDEX(Acceleration!$Q$4:$Q$110,MATCH('Track Data'!S1508,Acceleration!$K$4:$K$110,0)),'Track Data'!AG1508)),'Track Data'!U1508)</f>
        <v>3.9450358072463341</v>
      </c>
    </row>
    <row r="1509" spans="2:34" x14ac:dyDescent="0.25">
      <c r="B1509" s="16">
        <v>238.845</v>
      </c>
      <c r="C1509" s="16">
        <v>8779</v>
      </c>
      <c r="D1509" s="16">
        <v>1506</v>
      </c>
      <c r="E1509" s="113">
        <v>142</v>
      </c>
      <c r="F1509" s="113">
        <v>139.69999999999999</v>
      </c>
      <c r="G1509" s="113">
        <v>140.1</v>
      </c>
      <c r="H1509" s="113">
        <f t="shared" si="166"/>
        <v>38.916666666666664</v>
      </c>
      <c r="I1509" s="113">
        <v>2.2999999999999998</v>
      </c>
      <c r="J1509" s="113">
        <v>5.94</v>
      </c>
      <c r="K1509" s="113">
        <v>4</v>
      </c>
      <c r="L1509" s="185"/>
      <c r="M1509" s="16">
        <v>1506</v>
      </c>
      <c r="N1509" s="16">
        <f t="shared" si="168"/>
        <v>3.1884525045512431E-2</v>
      </c>
      <c r="O1509" s="16">
        <v>4</v>
      </c>
      <c r="P1509" s="16">
        <f t="shared" si="164"/>
        <v>9.1833785004516724</v>
      </c>
      <c r="Q1509" s="16">
        <f t="shared" si="169"/>
        <v>31.363176919605529</v>
      </c>
      <c r="R1509" s="113">
        <f t="shared" si="165"/>
        <v>329.49099999999999</v>
      </c>
      <c r="S1509" s="16">
        <f>IF(S1508=15800,15800,ROUND((((Q1509*60)/'Gearing Calculator'!$C$14)*'Track Data'!P1509),-2))</f>
        <v>8700</v>
      </c>
      <c r="T1509" s="16">
        <f t="shared" si="167"/>
        <v>3.9450358072463341</v>
      </c>
      <c r="U1509" s="16">
        <f>IF(AC1509=100,Braking!$AG$2354,IF(AC1509=50,Braking!$AG$1179,IF(AC1509=75,Braking!$AG$1767,0)))</f>
        <v>0</v>
      </c>
      <c r="V1509" s="16">
        <f>0.5*'Gearing Calculator'!$C$15*'Gearing Calculator'!$C$20*'Gearing Calculator'!$W$20*('Track Data'!Q1509^2)</f>
        <v>104.10939602935207</v>
      </c>
      <c r="W1509" s="16">
        <f>('Gearing Calculator'!$U$9*'Track Data'!T1509)+'Track Data'!V1509</f>
        <v>1154.277927918326</v>
      </c>
      <c r="X1509" s="16">
        <f>('Gearing Calculator'!$U$9*9.81)*('Gearing Calculator'!$U$16/'Gearing Calculator'!$C$7)-(('Track Data'!W1509)*('Gearing Calculator'!$U$17/'Gearing Calculator'!$C$7))</f>
        <v>772.00199933573447</v>
      </c>
      <c r="Y1509" s="16">
        <f>('Gearing Calculator'!$U$9*9.81)*(('Gearing Calculator'!$C$7-'Gearing Calculator'!$U$16)/'Gearing Calculator'!$C$7)+(('Track Data'!W1509)*('Gearing Calculator'!$U$17/'Gearing Calculator'!$C$7))</f>
        <v>1839.4200006642654</v>
      </c>
      <c r="Z1509" s="16">
        <f>((X1509*COS('Gearing Calculator'!$C$21))/'Gearing Calculator'!$C$22)/2</f>
        <v>23.867860185160993</v>
      </c>
      <c r="AA1509" s="16">
        <f>Y1509/'Gearing Calculator'!$C$24</f>
        <v>25.684472708915926</v>
      </c>
      <c r="AB1509" s="16">
        <f t="shared" si="163"/>
        <v>119.88953925833741</v>
      </c>
      <c r="AC1509" s="16">
        <v>0</v>
      </c>
      <c r="AD1509" s="16">
        <v>0</v>
      </c>
      <c r="AE1509" s="16">
        <v>1506</v>
      </c>
      <c r="AF1509" s="16">
        <f>IF(AC1509=0,IF(O1509=6,INDEX(Acceleration!$V$4:$V$110,MATCH('Track Data'!S1509,Acceleration!$K$4:$K$110,0)),IF('Track Data'!O1509=5,INDEX(Acceleration!$U$4:$U$110,MATCH('Track Data'!S1509,Acceleration!$K$4:$K$110,0)),1)),U1509)</f>
        <v>1</v>
      </c>
      <c r="AG1509" s="16">
        <f>IF(AC1509=0,IF(O1509=4,INDEX(Acceleration!$T$4:$T$110,MATCH('Track Data'!S1509,Acceleration!$K$4:$K$110,0)),IF('Track Data'!O1509=3,INDEX(Acceleration!$S$4:$S$110,MATCH('Track Data'!S1509,Acceleration!$K$4:$K$110,0)),'Track Data'!AF1509)),'Track Data'!U1509)</f>
        <v>3.9450358072463341</v>
      </c>
      <c r="AH1509" s="16">
        <f>IF(AC1509=0,IF(O1509=2,INDEX(Acceleration!$R$4:$R$110,MATCH('Track Data'!S1509,Acceleration!$K$4:$K$110,0)),IF('Track Data'!O1509=1,INDEX(Acceleration!$Q$4:$Q$110,MATCH('Track Data'!S1509,Acceleration!$K$4:$K$110,0)),'Track Data'!AG1509)),'Track Data'!U1509)</f>
        <v>3.9450358072463341</v>
      </c>
    </row>
    <row r="1510" spans="2:34" x14ac:dyDescent="0.25">
      <c r="B1510" s="16">
        <v>238.87100000000001</v>
      </c>
      <c r="C1510" s="16">
        <v>8780</v>
      </c>
      <c r="D1510" s="16">
        <v>1507</v>
      </c>
      <c r="E1510" s="113">
        <v>142</v>
      </c>
      <c r="F1510" s="113">
        <v>139.4</v>
      </c>
      <c r="G1510" s="113">
        <v>140.69999999999999</v>
      </c>
      <c r="H1510" s="113">
        <f t="shared" si="166"/>
        <v>39.083333333333329</v>
      </c>
      <c r="I1510" s="113">
        <v>3.2</v>
      </c>
      <c r="J1510" s="113">
        <v>6.36</v>
      </c>
      <c r="K1510" s="113">
        <v>3.7</v>
      </c>
      <c r="L1510" s="185"/>
      <c r="M1510" s="16">
        <v>1507</v>
      </c>
      <c r="N1510" s="16">
        <f t="shared" si="168"/>
        <v>3.1757412715081042E-2</v>
      </c>
      <c r="O1510" s="16">
        <v>4</v>
      </c>
      <c r="P1510" s="16">
        <f t="shared" si="164"/>
        <v>9.1833785004516724</v>
      </c>
      <c r="Q1510" s="16">
        <f t="shared" si="169"/>
        <v>31.488711280472714</v>
      </c>
      <c r="R1510" s="113">
        <f t="shared" si="165"/>
        <v>329.49099999999999</v>
      </c>
      <c r="S1510" s="16">
        <f>IF(S1509=15800,15800,ROUND((((Q1510*60)/'Gearing Calculator'!$C$14)*'Track Data'!P1510),-2))</f>
        <v>8800</v>
      </c>
      <c r="T1510" s="16">
        <f t="shared" si="167"/>
        <v>3.963089870343957</v>
      </c>
      <c r="U1510" s="16">
        <f>IF(AC1510=100,Braking!$AG$2354,IF(AC1510=50,Braking!$AG$1179,IF(AC1510=75,Braking!$AG$1767,0)))</f>
        <v>0</v>
      </c>
      <c r="V1510" s="16">
        <f>0.5*'Gearing Calculator'!$C$15*'Gearing Calculator'!$C$20*'Gearing Calculator'!$W$20*('Track Data'!Q1510^2)</f>
        <v>104.94448120902997</v>
      </c>
      <c r="W1510" s="16">
        <f>('Gearing Calculator'!$U$9*'Track Data'!T1510)+'Track Data'!V1510</f>
        <v>1159.9190046945914</v>
      </c>
      <c r="X1510" s="16">
        <f>('Gearing Calculator'!$U$9*9.81)*('Gearing Calculator'!$U$16/'Gearing Calculator'!$C$7)-(('Track Data'!W1510)*('Gearing Calculator'!$U$17/'Gearing Calculator'!$C$7))</f>
        <v>768.9272272424779</v>
      </c>
      <c r="Y1510" s="16">
        <f>('Gearing Calculator'!$U$9*9.81)*(('Gearing Calculator'!$C$7-'Gearing Calculator'!$U$16)/'Gearing Calculator'!$C$7)+(('Track Data'!W1510)*('Gearing Calculator'!$U$17/'Gearing Calculator'!$C$7))</f>
        <v>1842.4947727575222</v>
      </c>
      <c r="Z1510" s="16">
        <f>((X1510*COS('Gearing Calculator'!$C$21))/'Gearing Calculator'!$C$22)/2</f>
        <v>23.772797956713102</v>
      </c>
      <c r="AA1510" s="16">
        <f>Y1510/'Gearing Calculator'!$C$24</f>
        <v>25.727406840265409</v>
      </c>
      <c r="AB1510" s="16">
        <f t="shared" si="163"/>
        <v>120.7968406904058</v>
      </c>
      <c r="AC1510" s="16">
        <v>0</v>
      </c>
      <c r="AD1510" s="16">
        <v>0</v>
      </c>
      <c r="AE1510" s="16">
        <v>1507</v>
      </c>
      <c r="AF1510" s="16">
        <f>IF(AC1510=0,IF(O1510=6,INDEX(Acceleration!$V$4:$V$110,MATCH('Track Data'!S1510,Acceleration!$K$4:$K$110,0)),IF('Track Data'!O1510=5,INDEX(Acceleration!$U$4:$U$110,MATCH('Track Data'!S1510,Acceleration!$K$4:$K$110,0)),1)),U1510)</f>
        <v>1</v>
      </c>
      <c r="AG1510" s="16">
        <f>IF(AC1510=0,IF(O1510=4,INDEX(Acceleration!$T$4:$T$110,MATCH('Track Data'!S1510,Acceleration!$K$4:$K$110,0)),IF('Track Data'!O1510=3,INDEX(Acceleration!$S$4:$S$110,MATCH('Track Data'!S1510,Acceleration!$K$4:$K$110,0)),'Track Data'!AF1510)),'Track Data'!U1510)</f>
        <v>3.963089870343957</v>
      </c>
      <c r="AH1510" s="16">
        <f>IF(AC1510=0,IF(O1510=2,INDEX(Acceleration!$R$4:$R$110,MATCH('Track Data'!S1510,Acceleration!$K$4:$K$110,0)),IF('Track Data'!O1510=1,INDEX(Acceleration!$Q$4:$Q$110,MATCH('Track Data'!S1510,Acceleration!$K$4:$K$110,0)),'Track Data'!AG1510)),'Track Data'!U1510)</f>
        <v>3.963089870343957</v>
      </c>
    </row>
    <row r="1511" spans="2:34" x14ac:dyDescent="0.25">
      <c r="B1511" s="16">
        <v>238.89699999999999</v>
      </c>
      <c r="C1511" s="16">
        <v>8781</v>
      </c>
      <c r="D1511" s="16">
        <v>1508</v>
      </c>
      <c r="E1511" s="113">
        <v>141</v>
      </c>
      <c r="F1511" s="113">
        <v>140.19999999999999</v>
      </c>
      <c r="G1511" s="113">
        <v>141.1</v>
      </c>
      <c r="H1511" s="113">
        <f t="shared" si="166"/>
        <v>39.194444444444443</v>
      </c>
      <c r="I1511" s="113">
        <v>4.2</v>
      </c>
      <c r="J1511" s="113">
        <v>5.22</v>
      </c>
      <c r="K1511" s="113">
        <v>3.6</v>
      </c>
      <c r="L1511" s="185"/>
      <c r="M1511" s="16">
        <v>1508</v>
      </c>
      <c r="N1511" s="16">
        <f t="shared" si="168"/>
        <v>3.1631237225350078E-2</v>
      </c>
      <c r="O1511" s="16">
        <v>4</v>
      </c>
      <c r="P1511" s="16">
        <f t="shared" si="164"/>
        <v>9.1833785004516724</v>
      </c>
      <c r="Q1511" s="16">
        <f t="shared" si="169"/>
        <v>31.614318241038465</v>
      </c>
      <c r="R1511" s="113">
        <f t="shared" si="165"/>
        <v>329.49099999999999</v>
      </c>
      <c r="S1511" s="16">
        <f>IF(S1510=15800,15800,ROUND((((Q1511*60)/'Gearing Calculator'!$C$14)*'Track Data'!P1511),-2))</f>
        <v>8800</v>
      </c>
      <c r="T1511" s="16">
        <f t="shared" si="167"/>
        <v>3.963089870343957</v>
      </c>
      <c r="U1511" s="16">
        <f>IF(AC1511=100,Braking!$AG$2354,IF(AC1511=50,Braking!$AG$1179,IF(AC1511=75,Braking!$AG$1767,0)))</f>
        <v>0</v>
      </c>
      <c r="V1511" s="16">
        <f>0.5*'Gearing Calculator'!$C$15*'Gearing Calculator'!$C$20*'Gearing Calculator'!$W$20*('Track Data'!Q1511^2)</f>
        <v>105.78338807278436</v>
      </c>
      <c r="W1511" s="16">
        <f>('Gearing Calculator'!$U$9*'Track Data'!T1511)+'Track Data'!V1511</f>
        <v>1160.7579115583458</v>
      </c>
      <c r="X1511" s="16">
        <f>('Gearing Calculator'!$U$9*9.81)*('Gearing Calculator'!$U$16/'Gearing Calculator'!$C$7)-(('Track Data'!W1511)*('Gearing Calculator'!$U$17/'Gearing Calculator'!$C$7))</f>
        <v>768.4699657096503</v>
      </c>
      <c r="Y1511" s="16">
        <f>('Gearing Calculator'!$U$9*9.81)*(('Gearing Calculator'!$C$7-'Gearing Calculator'!$U$16)/'Gearing Calculator'!$C$7)+(('Track Data'!W1511)*('Gearing Calculator'!$U$17/'Gearing Calculator'!$C$7))</f>
        <v>1842.9520342903497</v>
      </c>
      <c r="Z1511" s="16">
        <f>((X1511*COS('Gearing Calculator'!$C$21))/'Gearing Calculator'!$C$22)/2</f>
        <v>23.758660876313087</v>
      </c>
      <c r="AA1511" s="16">
        <f>Y1511/'Gearing Calculator'!$C$24</f>
        <v>25.733791744939985</v>
      </c>
      <c r="AB1511" s="16">
        <f t="shared" si="163"/>
        <v>121.63574755416019</v>
      </c>
      <c r="AC1511" s="16">
        <v>0</v>
      </c>
      <c r="AD1511" s="16">
        <v>0</v>
      </c>
      <c r="AE1511" s="16">
        <v>1508</v>
      </c>
      <c r="AF1511" s="16">
        <f>IF(AC1511=0,IF(O1511=6,INDEX(Acceleration!$V$4:$V$110,MATCH('Track Data'!S1511,Acceleration!$K$4:$K$110,0)),IF('Track Data'!O1511=5,INDEX(Acceleration!$U$4:$U$110,MATCH('Track Data'!S1511,Acceleration!$K$4:$K$110,0)),1)),U1511)</f>
        <v>1</v>
      </c>
      <c r="AG1511" s="16">
        <f>IF(AC1511=0,IF(O1511=4,INDEX(Acceleration!$T$4:$T$110,MATCH('Track Data'!S1511,Acceleration!$K$4:$K$110,0)),IF('Track Data'!O1511=3,INDEX(Acceleration!$S$4:$S$110,MATCH('Track Data'!S1511,Acceleration!$K$4:$K$110,0)),'Track Data'!AF1511)),'Track Data'!U1511)</f>
        <v>3.963089870343957</v>
      </c>
      <c r="AH1511" s="16">
        <f>IF(AC1511=0,IF(O1511=2,INDEX(Acceleration!$R$4:$R$110,MATCH('Track Data'!S1511,Acceleration!$K$4:$K$110,0)),IF('Track Data'!O1511=1,INDEX(Acceleration!$Q$4:$Q$110,MATCH('Track Data'!S1511,Acceleration!$K$4:$K$110,0)),'Track Data'!AG1511)),'Track Data'!U1511)</f>
        <v>3.963089870343957</v>
      </c>
    </row>
    <row r="1512" spans="2:34" x14ac:dyDescent="0.25">
      <c r="B1512" s="16">
        <v>238.923</v>
      </c>
      <c r="C1512" s="16">
        <v>8782</v>
      </c>
      <c r="D1512" s="16">
        <v>1509</v>
      </c>
      <c r="E1512" s="113">
        <v>140</v>
      </c>
      <c r="F1512" s="113">
        <v>142.1</v>
      </c>
      <c r="G1512" s="113">
        <v>141.6</v>
      </c>
      <c r="H1512" s="113">
        <f t="shared" si="166"/>
        <v>39.333333333333329</v>
      </c>
      <c r="I1512" s="113">
        <v>5</v>
      </c>
      <c r="J1512" s="113">
        <v>6.06</v>
      </c>
      <c r="K1512" s="113">
        <v>3.4</v>
      </c>
      <c r="L1512" s="185"/>
      <c r="M1512" s="16">
        <v>1509</v>
      </c>
      <c r="N1512" s="16">
        <f t="shared" si="168"/>
        <v>3.1506553808061832E-2</v>
      </c>
      <c r="O1512" s="16">
        <v>4</v>
      </c>
      <c r="P1512" s="16">
        <f t="shared" si="164"/>
        <v>9.1833785004516724</v>
      </c>
      <c r="Q1512" s="16">
        <f t="shared" si="169"/>
        <v>31.739428123177412</v>
      </c>
      <c r="R1512" s="113">
        <f t="shared" si="165"/>
        <v>329.49099999999999</v>
      </c>
      <c r="S1512" s="16">
        <f>IF(S1511=15800,15800,ROUND((((Q1512*60)/'Gearing Calculator'!$C$14)*'Track Data'!P1512),-2))</f>
        <v>8800</v>
      </c>
      <c r="T1512" s="16">
        <f t="shared" si="167"/>
        <v>3.963089870343957</v>
      </c>
      <c r="U1512" s="16">
        <f>IF(AC1512=100,Braking!$AG$2354,IF(AC1512=50,Braking!$AG$1179,IF(AC1512=75,Braking!$AG$1767,0)))</f>
        <v>0</v>
      </c>
      <c r="V1512" s="16">
        <f>0.5*'Gearing Calculator'!$C$15*'Gearing Calculator'!$C$20*'Gearing Calculator'!$W$20*('Track Data'!Q1512^2)</f>
        <v>106.62229493653876</v>
      </c>
      <c r="W1512" s="16">
        <f>('Gearing Calculator'!$U$9*'Track Data'!T1512)+'Track Data'!V1512</f>
        <v>1161.5968184221001</v>
      </c>
      <c r="X1512" s="16">
        <f>('Gearing Calculator'!$U$9*9.81)*('Gearing Calculator'!$U$16/'Gearing Calculator'!$C$7)-(('Track Data'!W1512)*('Gearing Calculator'!$U$17/'Gearing Calculator'!$C$7))</f>
        <v>768.01270417682269</v>
      </c>
      <c r="Y1512" s="16">
        <f>('Gearing Calculator'!$U$9*9.81)*(('Gearing Calculator'!$C$7-'Gearing Calculator'!$U$16)/'Gearing Calculator'!$C$7)+(('Track Data'!W1512)*('Gearing Calculator'!$U$17/'Gearing Calculator'!$C$7))</f>
        <v>1843.4092958231772</v>
      </c>
      <c r="Z1512" s="16">
        <f>((X1512*COS('Gearing Calculator'!$C$21))/'Gearing Calculator'!$C$22)/2</f>
        <v>23.744523795913071</v>
      </c>
      <c r="AA1512" s="16">
        <f>Y1512/'Gearing Calculator'!$C$24</f>
        <v>25.740176649614558</v>
      </c>
      <c r="AB1512" s="16">
        <f t="shared" si="163"/>
        <v>122.47465441791459</v>
      </c>
      <c r="AC1512" s="16">
        <v>0</v>
      </c>
      <c r="AD1512" s="16">
        <v>0</v>
      </c>
      <c r="AE1512" s="16">
        <v>1509</v>
      </c>
      <c r="AF1512" s="16">
        <f>IF(AC1512=0,IF(O1512=6,INDEX(Acceleration!$V$4:$V$110,MATCH('Track Data'!S1512,Acceleration!$K$4:$K$110,0)),IF('Track Data'!O1512=5,INDEX(Acceleration!$U$4:$U$110,MATCH('Track Data'!S1512,Acceleration!$K$4:$K$110,0)),1)),U1512)</f>
        <v>1</v>
      </c>
      <c r="AG1512" s="16">
        <f>IF(AC1512=0,IF(O1512=4,INDEX(Acceleration!$T$4:$T$110,MATCH('Track Data'!S1512,Acceleration!$K$4:$K$110,0)),IF('Track Data'!O1512=3,INDEX(Acceleration!$S$4:$S$110,MATCH('Track Data'!S1512,Acceleration!$K$4:$K$110,0)),'Track Data'!AF1512)),'Track Data'!U1512)</f>
        <v>3.963089870343957</v>
      </c>
      <c r="AH1512" s="16">
        <f>IF(AC1512=0,IF(O1512=2,INDEX(Acceleration!$R$4:$R$110,MATCH('Track Data'!S1512,Acceleration!$K$4:$K$110,0)),IF('Track Data'!O1512=1,INDEX(Acceleration!$Q$4:$Q$110,MATCH('Track Data'!S1512,Acceleration!$K$4:$K$110,0)),'Track Data'!AG1512)),'Track Data'!U1512)</f>
        <v>3.963089870343957</v>
      </c>
    </row>
    <row r="1513" spans="2:34" x14ac:dyDescent="0.25">
      <c r="B1513" s="16">
        <v>238.947</v>
      </c>
      <c r="C1513" s="16">
        <v>8783</v>
      </c>
      <c r="D1513" s="16">
        <v>1510</v>
      </c>
      <c r="E1513" s="113">
        <v>144</v>
      </c>
      <c r="F1513" s="113">
        <v>142.80000000000001</v>
      </c>
      <c r="G1513" s="113">
        <v>142</v>
      </c>
      <c r="H1513" s="113">
        <f t="shared" si="166"/>
        <v>39.444444444444443</v>
      </c>
      <c r="I1513" s="113">
        <v>3</v>
      </c>
      <c r="J1513" s="113">
        <v>15.17</v>
      </c>
      <c r="K1513" s="113">
        <v>3.2</v>
      </c>
      <c r="L1513" s="185"/>
      <c r="M1513" s="16">
        <v>1510</v>
      </c>
      <c r="N1513" s="16">
        <f t="shared" si="168"/>
        <v>3.1383333285969733E-2</v>
      </c>
      <c r="O1513" s="16">
        <v>4</v>
      </c>
      <c r="P1513" s="16">
        <f t="shared" si="164"/>
        <v>9.1833785004516724</v>
      </c>
      <c r="Q1513" s="16">
        <f t="shared" si="169"/>
        <v>31.8640467820243</v>
      </c>
      <c r="R1513" s="113">
        <f t="shared" si="165"/>
        <v>329.49099999999999</v>
      </c>
      <c r="S1513" s="16">
        <f>IF(S1512=15800,15800,ROUND((((Q1513*60)/'Gearing Calculator'!$C$14)*'Track Data'!P1513),-2))</f>
        <v>8900</v>
      </c>
      <c r="T1513" s="16">
        <f t="shared" si="167"/>
        <v>3.9805422196281728</v>
      </c>
      <c r="U1513" s="16">
        <f>IF(AC1513=100,Braking!$AG$2354,IF(AC1513=50,Braking!$AG$1179,IF(AC1513=75,Braking!$AG$1767,0)))</f>
        <v>0</v>
      </c>
      <c r="V1513" s="16">
        <f>0.5*'Gearing Calculator'!$C$15*'Gearing Calculator'!$C$20*'Gearing Calculator'!$W$20*('Track Data'!Q1513^2)</f>
        <v>107.46120180029317</v>
      </c>
      <c r="W1513" s="16">
        <f>('Gearing Calculator'!$U$9*'Track Data'!T1513)+'Track Data'!V1513</f>
        <v>1167.0815406653126</v>
      </c>
      <c r="X1513" s="16">
        <f>('Gearing Calculator'!$U$9*9.81)*('Gearing Calculator'!$U$16/'Gearing Calculator'!$C$7)-(('Track Data'!W1513)*('Gearing Calculator'!$U$17/'Gearing Calculator'!$C$7))</f>
        <v>765.02315598211464</v>
      </c>
      <c r="Y1513" s="16">
        <f>('Gearing Calculator'!$U$9*9.81)*(('Gearing Calculator'!$C$7-'Gearing Calculator'!$U$16)/'Gearing Calculator'!$C$7)+(('Track Data'!W1513)*('Gearing Calculator'!$U$17/'Gearing Calculator'!$C$7))</f>
        <v>1846.3988440178855</v>
      </c>
      <c r="Z1513" s="16">
        <f>((X1513*COS('Gearing Calculator'!$C$21))/'Gearing Calculator'!$C$22)/2</f>
        <v>23.652096420868073</v>
      </c>
      <c r="AA1513" s="16">
        <f>Y1513/'Gearing Calculator'!$C$24</f>
        <v>25.781920769495414</v>
      </c>
      <c r="AB1513" s="16">
        <f t="shared" si="163"/>
        <v>123.38337067880586</v>
      </c>
      <c r="AC1513" s="16">
        <v>0</v>
      </c>
      <c r="AD1513" s="16">
        <v>0</v>
      </c>
      <c r="AE1513" s="16">
        <v>1510</v>
      </c>
      <c r="AF1513" s="16">
        <f>IF(AC1513=0,IF(O1513=6,INDEX(Acceleration!$V$4:$V$110,MATCH('Track Data'!S1513,Acceleration!$K$4:$K$110,0)),IF('Track Data'!O1513=5,INDEX(Acceleration!$U$4:$U$110,MATCH('Track Data'!S1513,Acceleration!$K$4:$K$110,0)),1)),U1513)</f>
        <v>1</v>
      </c>
      <c r="AG1513" s="16">
        <f>IF(AC1513=0,IF(O1513=4,INDEX(Acceleration!$T$4:$T$110,MATCH('Track Data'!S1513,Acceleration!$K$4:$K$110,0)),IF('Track Data'!O1513=3,INDEX(Acceleration!$S$4:$S$110,MATCH('Track Data'!S1513,Acceleration!$K$4:$K$110,0)),'Track Data'!AF1513)),'Track Data'!U1513)</f>
        <v>3.9805422196281728</v>
      </c>
      <c r="AH1513" s="16">
        <f>IF(AC1513=0,IF(O1513=2,INDEX(Acceleration!$R$4:$R$110,MATCH('Track Data'!S1513,Acceleration!$K$4:$K$110,0)),IF('Track Data'!O1513=1,INDEX(Acceleration!$Q$4:$Q$110,MATCH('Track Data'!S1513,Acceleration!$K$4:$K$110,0)),'Track Data'!AG1513)),'Track Data'!U1513)</f>
        <v>3.9805422196281728</v>
      </c>
    </row>
    <row r="1514" spans="2:34" x14ac:dyDescent="0.25">
      <c r="B1514" s="16">
        <v>238.97200000000001</v>
      </c>
      <c r="C1514" s="16">
        <v>8784</v>
      </c>
      <c r="D1514" s="16">
        <v>1511</v>
      </c>
      <c r="E1514" s="113">
        <v>145</v>
      </c>
      <c r="F1514" s="113">
        <v>143.4</v>
      </c>
      <c r="G1514" s="113">
        <v>142.6</v>
      </c>
      <c r="H1514" s="113">
        <f t="shared" si="166"/>
        <v>39.611111111111107</v>
      </c>
      <c r="I1514" s="113">
        <v>2.1</v>
      </c>
      <c r="J1514" s="113">
        <v>26.44</v>
      </c>
      <c r="K1514" s="113">
        <v>3.1</v>
      </c>
      <c r="L1514" s="185"/>
      <c r="M1514" s="16">
        <v>1511</v>
      </c>
      <c r="N1514" s="16">
        <f t="shared" si="168"/>
        <v>3.1261014093987426E-2</v>
      </c>
      <c r="O1514" s="16">
        <v>4</v>
      </c>
      <c r="P1514" s="16">
        <f t="shared" si="164"/>
        <v>9.1833785004516724</v>
      </c>
      <c r="Q1514" s="16">
        <f t="shared" si="169"/>
        <v>31.988725541451153</v>
      </c>
      <c r="R1514" s="113">
        <f t="shared" si="165"/>
        <v>329.49099999999999</v>
      </c>
      <c r="S1514" s="16">
        <f>IF(S1513=15800,15800,ROUND((((Q1514*60)/'Gearing Calculator'!$C$14)*'Track Data'!P1514),-2))</f>
        <v>8900</v>
      </c>
      <c r="T1514" s="16">
        <f t="shared" si="167"/>
        <v>3.9805422196281728</v>
      </c>
      <c r="U1514" s="16">
        <f>IF(AC1514=100,Braking!$AG$2354,IF(AC1514=50,Braking!$AG$1179,IF(AC1514=75,Braking!$AG$1767,0)))</f>
        <v>0</v>
      </c>
      <c r="V1514" s="16">
        <f>0.5*'Gearing Calculator'!$C$15*'Gearing Calculator'!$C$20*'Gearing Calculator'!$W$20*('Track Data'!Q1514^2)</f>
        <v>108.30380297734406</v>
      </c>
      <c r="W1514" s="16">
        <f>('Gearing Calculator'!$U$9*'Track Data'!T1514)+'Track Data'!V1514</f>
        <v>1167.9241418423635</v>
      </c>
      <c r="X1514" s="16">
        <f>('Gearing Calculator'!$U$9*9.81)*('Gearing Calculator'!$U$16/'Gearing Calculator'!$C$7)-(('Track Data'!W1514)*('Gearing Calculator'!$U$17/'Gearing Calculator'!$C$7))</f>
        <v>764.56388079624196</v>
      </c>
      <c r="Y1514" s="16">
        <f>('Gearing Calculator'!$U$9*9.81)*(('Gearing Calculator'!$C$7-'Gearing Calculator'!$U$16)/'Gearing Calculator'!$C$7)+(('Track Data'!W1514)*('Gearing Calculator'!$U$17/'Gearing Calculator'!$C$7))</f>
        <v>1846.8581192037582</v>
      </c>
      <c r="Z1514" s="16">
        <f>((X1514*COS('Gearing Calculator'!$C$21))/'Gearing Calculator'!$C$22)/2</f>
        <v>23.637897084684546</v>
      </c>
      <c r="AA1514" s="16">
        <f>Y1514/'Gearing Calculator'!$C$24</f>
        <v>25.788333791520383</v>
      </c>
      <c r="AB1514" s="16">
        <f t="shared" si="163"/>
        <v>124.22597185585676</v>
      </c>
      <c r="AC1514" s="16">
        <v>0</v>
      </c>
      <c r="AD1514" s="16">
        <v>0</v>
      </c>
      <c r="AE1514" s="16">
        <v>1511</v>
      </c>
      <c r="AF1514" s="16">
        <f>IF(AC1514=0,IF(O1514=6,INDEX(Acceleration!$V$4:$V$110,MATCH('Track Data'!S1514,Acceleration!$K$4:$K$110,0)),IF('Track Data'!O1514=5,INDEX(Acceleration!$U$4:$U$110,MATCH('Track Data'!S1514,Acceleration!$K$4:$K$110,0)),1)),U1514)</f>
        <v>1</v>
      </c>
      <c r="AG1514" s="16">
        <f>IF(AC1514=0,IF(O1514=4,INDEX(Acceleration!$T$4:$T$110,MATCH('Track Data'!S1514,Acceleration!$K$4:$K$110,0)),IF('Track Data'!O1514=3,INDEX(Acceleration!$S$4:$S$110,MATCH('Track Data'!S1514,Acceleration!$K$4:$K$110,0)),'Track Data'!AF1514)),'Track Data'!U1514)</f>
        <v>3.9805422196281728</v>
      </c>
      <c r="AH1514" s="16">
        <f>IF(AC1514=0,IF(O1514=2,INDEX(Acceleration!$R$4:$R$110,MATCH('Track Data'!S1514,Acceleration!$K$4:$K$110,0)),IF('Track Data'!O1514=1,INDEX(Acceleration!$Q$4:$Q$110,MATCH('Track Data'!S1514,Acceleration!$K$4:$K$110,0)),'Track Data'!AG1514)),'Track Data'!U1514)</f>
        <v>3.9805422196281728</v>
      </c>
    </row>
    <row r="1515" spans="2:34" x14ac:dyDescent="0.25">
      <c r="B1515" s="16">
        <v>238.99799999999999</v>
      </c>
      <c r="C1515" s="16">
        <v>8785</v>
      </c>
      <c r="D1515" s="16">
        <v>1512</v>
      </c>
      <c r="E1515" s="113">
        <v>143</v>
      </c>
      <c r="F1515" s="113">
        <v>143.19999999999999</v>
      </c>
      <c r="G1515" s="113">
        <v>142.9</v>
      </c>
      <c r="H1515" s="113">
        <f t="shared" si="166"/>
        <v>39.694444444444443</v>
      </c>
      <c r="I1515" s="113">
        <v>7</v>
      </c>
      <c r="J1515" s="113">
        <v>22.06</v>
      </c>
      <c r="K1515" s="113">
        <v>3.1</v>
      </c>
      <c r="L1515" s="185"/>
      <c r="M1515" s="16">
        <v>1512</v>
      </c>
      <c r="N1515" s="16">
        <f t="shared" si="168"/>
        <v>3.1140114090897213E-2</v>
      </c>
      <c r="O1515" s="16">
        <v>4</v>
      </c>
      <c r="P1515" s="16">
        <f t="shared" si="164"/>
        <v>9.1833785004516724</v>
      </c>
      <c r="Q1515" s="16">
        <f t="shared" si="169"/>
        <v>32.112920237897171</v>
      </c>
      <c r="R1515" s="113">
        <f t="shared" si="165"/>
        <v>329.49099999999999</v>
      </c>
      <c r="S1515" s="16">
        <f>IF(S1514=15800,15800,ROUND((((Q1515*60)/'Gearing Calculator'!$C$14)*'Track Data'!P1515),-2))</f>
        <v>8900</v>
      </c>
      <c r="T1515" s="16">
        <f t="shared" si="167"/>
        <v>3.9805422196281728</v>
      </c>
      <c r="U1515" s="16">
        <f>IF(AC1515=100,Braking!$AG$2354,IF(AC1515=50,Braking!$AG$1179,IF(AC1515=75,Braking!$AG$1767,0)))</f>
        <v>0</v>
      </c>
      <c r="V1515" s="16">
        <f>0.5*'Gearing Calculator'!$C$15*'Gearing Calculator'!$C$20*'Gearing Calculator'!$W$20*('Track Data'!Q1515^2)</f>
        <v>109.14640415439496</v>
      </c>
      <c r="W1515" s="16">
        <f>('Gearing Calculator'!$U$9*'Track Data'!T1515)+'Track Data'!V1515</f>
        <v>1168.7667430194144</v>
      </c>
      <c r="X1515" s="16">
        <f>('Gearing Calculator'!$U$9*9.81)*('Gearing Calculator'!$U$16/'Gearing Calculator'!$C$7)-(('Track Data'!W1515)*('Gearing Calculator'!$U$17/'Gearing Calculator'!$C$7))</f>
        <v>764.10460561036928</v>
      </c>
      <c r="Y1515" s="16">
        <f>('Gearing Calculator'!$U$9*9.81)*(('Gearing Calculator'!$C$7-'Gearing Calculator'!$U$16)/'Gearing Calculator'!$C$7)+(('Track Data'!W1515)*('Gearing Calculator'!$U$17/'Gearing Calculator'!$C$7))</f>
        <v>1847.3173943896309</v>
      </c>
      <c r="Z1515" s="16">
        <f>((X1515*COS('Gearing Calculator'!$C$21))/'Gearing Calculator'!$C$22)/2</f>
        <v>23.623697748501019</v>
      </c>
      <c r="AA1515" s="16">
        <f>Y1515/'Gearing Calculator'!$C$24</f>
        <v>25.794746813545352</v>
      </c>
      <c r="AB1515" s="16">
        <f t="shared" si="163"/>
        <v>125.06857303290765</v>
      </c>
      <c r="AC1515" s="16">
        <v>0</v>
      </c>
      <c r="AD1515" s="16">
        <v>0</v>
      </c>
      <c r="AE1515" s="16">
        <v>1512</v>
      </c>
      <c r="AF1515" s="16">
        <f>IF(AC1515=0,IF(O1515=6,INDEX(Acceleration!$V$4:$V$110,MATCH('Track Data'!S1515,Acceleration!$K$4:$K$110,0)),IF('Track Data'!O1515=5,INDEX(Acceleration!$U$4:$U$110,MATCH('Track Data'!S1515,Acceleration!$K$4:$K$110,0)),1)),U1515)</f>
        <v>1</v>
      </c>
      <c r="AG1515" s="16">
        <f>IF(AC1515=0,IF(O1515=4,INDEX(Acceleration!$T$4:$T$110,MATCH('Track Data'!S1515,Acceleration!$K$4:$K$110,0)),IF('Track Data'!O1515=3,INDEX(Acceleration!$S$4:$S$110,MATCH('Track Data'!S1515,Acceleration!$K$4:$K$110,0)),'Track Data'!AF1515)),'Track Data'!U1515)</f>
        <v>3.9805422196281728</v>
      </c>
      <c r="AH1515" s="16">
        <f>IF(AC1515=0,IF(O1515=2,INDEX(Acceleration!$R$4:$R$110,MATCH('Track Data'!S1515,Acceleration!$K$4:$K$110,0)),IF('Track Data'!O1515=1,INDEX(Acceleration!$Q$4:$Q$110,MATCH('Track Data'!S1515,Acceleration!$K$4:$K$110,0)),'Track Data'!AG1515)),'Track Data'!U1515)</f>
        <v>3.9805422196281728</v>
      </c>
    </row>
    <row r="1516" spans="2:34" x14ac:dyDescent="0.25">
      <c r="B1516" s="16">
        <v>239.023</v>
      </c>
      <c r="C1516" s="16">
        <v>8786</v>
      </c>
      <c r="D1516" s="16">
        <v>1513</v>
      </c>
      <c r="E1516" s="113">
        <v>143</v>
      </c>
      <c r="F1516" s="113">
        <v>143.80000000000001</v>
      </c>
      <c r="G1516" s="113">
        <v>143.5</v>
      </c>
      <c r="H1516" s="113">
        <f t="shared" si="166"/>
        <v>39.861111111111107</v>
      </c>
      <c r="I1516" s="113">
        <v>10.3</v>
      </c>
      <c r="J1516" s="113">
        <v>18.940000000000001</v>
      </c>
      <c r="K1516" s="113">
        <v>3.1</v>
      </c>
      <c r="L1516" s="185"/>
      <c r="M1516" s="16">
        <v>1513</v>
      </c>
      <c r="N1516" s="16">
        <f t="shared" si="168"/>
        <v>3.1020606044085616E-2</v>
      </c>
      <c r="O1516" s="16">
        <v>4</v>
      </c>
      <c r="P1516" s="16">
        <f t="shared" si="164"/>
        <v>9.1833785004516724</v>
      </c>
      <c r="Q1516" s="16">
        <f t="shared" si="169"/>
        <v>32.236636466058336</v>
      </c>
      <c r="R1516" s="113">
        <f t="shared" si="165"/>
        <v>329.49099999999999</v>
      </c>
      <c r="S1516" s="16">
        <f>IF(S1515=15800,15800,ROUND((((Q1516*60)/'Gearing Calculator'!$C$14)*'Track Data'!P1516),-2))</f>
        <v>9000</v>
      </c>
      <c r="T1516" s="16">
        <f t="shared" si="167"/>
        <v>3.9974107096499352</v>
      </c>
      <c r="U1516" s="16">
        <f>IF(AC1516=100,Braking!$AG$2354,IF(AC1516=50,Braking!$AG$1179,IF(AC1516=75,Braking!$AG$1767,0)))</f>
        <v>0</v>
      </c>
      <c r="V1516" s="16">
        <f>0.5*'Gearing Calculator'!$C$15*'Gearing Calculator'!$C$20*'Gearing Calculator'!$W$20*('Track Data'!Q1516^2)</f>
        <v>109.98900533144582</v>
      </c>
      <c r="W1516" s="16">
        <f>('Gearing Calculator'!$U$9*'Track Data'!T1516)+'Track Data'!V1516</f>
        <v>1174.0997362402586</v>
      </c>
      <c r="X1516" s="16">
        <f>('Gearing Calculator'!$U$9*9.81)*('Gearing Calculator'!$U$16/'Gearing Calculator'!$C$7)-(('Track Data'!W1516)*('Gearing Calculator'!$U$17/'Gearing Calculator'!$C$7))</f>
        <v>761.19776009499333</v>
      </c>
      <c r="Y1516" s="16">
        <f>('Gearing Calculator'!$U$9*9.81)*(('Gearing Calculator'!$C$7-'Gearing Calculator'!$U$16)/'Gearing Calculator'!$C$7)+(('Track Data'!W1516)*('Gearing Calculator'!$U$17/'Gearing Calculator'!$C$7))</f>
        <v>1850.2242399050067</v>
      </c>
      <c r="Z1516" s="16">
        <f>((X1516*COS('Gearing Calculator'!$C$21))/'Gearing Calculator'!$C$22)/2</f>
        <v>23.53382727873468</v>
      </c>
      <c r="AA1516" s="16">
        <f>Y1516/'Gearing Calculator'!$C$24</f>
        <v>25.835336126634122</v>
      </c>
      <c r="AB1516" s="16">
        <f t="shared" si="163"/>
        <v>125.97864817004556</v>
      </c>
      <c r="AC1516" s="16">
        <v>0</v>
      </c>
      <c r="AD1516" s="16">
        <v>0</v>
      </c>
      <c r="AE1516" s="16">
        <v>1513</v>
      </c>
      <c r="AF1516" s="16">
        <f>IF(AC1516=0,IF(O1516=6,INDEX(Acceleration!$V$4:$V$110,MATCH('Track Data'!S1516,Acceleration!$K$4:$K$110,0)),IF('Track Data'!O1516=5,INDEX(Acceleration!$U$4:$U$110,MATCH('Track Data'!S1516,Acceleration!$K$4:$K$110,0)),1)),U1516)</f>
        <v>1</v>
      </c>
      <c r="AG1516" s="16">
        <f>IF(AC1516=0,IF(O1516=4,INDEX(Acceleration!$T$4:$T$110,MATCH('Track Data'!S1516,Acceleration!$K$4:$K$110,0)),IF('Track Data'!O1516=3,INDEX(Acceleration!$S$4:$S$110,MATCH('Track Data'!S1516,Acceleration!$K$4:$K$110,0)),'Track Data'!AF1516)),'Track Data'!U1516)</f>
        <v>3.9974107096499352</v>
      </c>
      <c r="AH1516" s="16">
        <f>IF(AC1516=0,IF(O1516=2,INDEX(Acceleration!$R$4:$R$110,MATCH('Track Data'!S1516,Acceleration!$K$4:$K$110,0)),IF('Track Data'!O1516=1,INDEX(Acceleration!$Q$4:$Q$110,MATCH('Track Data'!S1516,Acceleration!$K$4:$K$110,0)),'Track Data'!AG1516)),'Track Data'!U1516)</f>
        <v>3.9974107096499352</v>
      </c>
    </row>
    <row r="1517" spans="2:34" x14ac:dyDescent="0.25">
      <c r="B1517" s="16">
        <v>239.048</v>
      </c>
      <c r="C1517" s="16">
        <v>8787</v>
      </c>
      <c r="D1517" s="16">
        <v>1514</v>
      </c>
      <c r="E1517" s="113">
        <v>144</v>
      </c>
      <c r="F1517" s="113">
        <v>144.1</v>
      </c>
      <c r="G1517" s="113">
        <v>143.80000000000001</v>
      </c>
      <c r="H1517" s="113">
        <f t="shared" si="166"/>
        <v>39.94444444444445</v>
      </c>
      <c r="I1517" s="113">
        <v>8.4</v>
      </c>
      <c r="J1517" s="113">
        <v>19.91</v>
      </c>
      <c r="K1517" s="113">
        <v>3.3</v>
      </c>
      <c r="L1517" s="185"/>
      <c r="M1517" s="16">
        <v>1514</v>
      </c>
      <c r="N1517" s="16">
        <f t="shared" si="168"/>
        <v>3.0901965658273078E-2</v>
      </c>
      <c r="O1517" s="16">
        <v>4</v>
      </c>
      <c r="P1517" s="16">
        <f t="shared" si="164"/>
        <v>9.1833785004516724</v>
      </c>
      <c r="Q1517" s="16">
        <f t="shared" si="169"/>
        <v>32.360400987381198</v>
      </c>
      <c r="R1517" s="113">
        <f t="shared" si="165"/>
        <v>329.49099999999999</v>
      </c>
      <c r="S1517" s="16">
        <f>IF(S1516=15800,15800,ROUND((((Q1517*60)/'Gearing Calculator'!$C$14)*'Track Data'!P1517),-2))</f>
        <v>9000</v>
      </c>
      <c r="T1517" s="16">
        <f t="shared" si="167"/>
        <v>3.9974107096499352</v>
      </c>
      <c r="U1517" s="16">
        <f>IF(AC1517=100,Braking!$AG$2354,IF(AC1517=50,Braking!$AG$1179,IF(AC1517=75,Braking!$AG$1767,0)))</f>
        <v>0</v>
      </c>
      <c r="V1517" s="16">
        <f>0.5*'Gearing Calculator'!$C$15*'Gearing Calculator'!$C$20*'Gearing Calculator'!$W$20*('Track Data'!Q1517^2)</f>
        <v>110.83517723046455</v>
      </c>
      <c r="W1517" s="16">
        <f>('Gearing Calculator'!$U$9*'Track Data'!T1517)+'Track Data'!V1517</f>
        <v>1174.9459081392772</v>
      </c>
      <c r="X1517" s="16">
        <f>('Gearing Calculator'!$U$9*9.81)*('Gearing Calculator'!$U$16/'Gearing Calculator'!$C$7)-(('Track Data'!W1517)*('Gearing Calculator'!$U$17/'Gearing Calculator'!$C$7))</f>
        <v>760.73653862179037</v>
      </c>
      <c r="Y1517" s="16">
        <f>('Gearing Calculator'!$U$9*9.81)*(('Gearing Calculator'!$C$7-'Gearing Calculator'!$U$16)/'Gearing Calculator'!$C$7)+(('Track Data'!W1517)*('Gearing Calculator'!$U$17/'Gearing Calculator'!$C$7))</f>
        <v>1850.6854613782098</v>
      </c>
      <c r="Z1517" s="16">
        <f>((X1517*COS('Gearing Calculator'!$C$21))/'Gearing Calculator'!$C$22)/2</f>
        <v>23.519567769502483</v>
      </c>
      <c r="AA1517" s="16">
        <f>Y1517/'Gearing Calculator'!$C$24</f>
        <v>25.841776325358161</v>
      </c>
      <c r="AB1517" s="16">
        <f t="shared" si="163"/>
        <v>126.82482006906429</v>
      </c>
      <c r="AC1517" s="16">
        <v>0</v>
      </c>
      <c r="AD1517" s="16">
        <v>0</v>
      </c>
      <c r="AE1517" s="16">
        <v>1514</v>
      </c>
      <c r="AF1517" s="16">
        <f>IF(AC1517=0,IF(O1517=6,INDEX(Acceleration!$V$4:$V$110,MATCH('Track Data'!S1517,Acceleration!$K$4:$K$110,0)),IF('Track Data'!O1517=5,INDEX(Acceleration!$U$4:$U$110,MATCH('Track Data'!S1517,Acceleration!$K$4:$K$110,0)),1)),U1517)</f>
        <v>1</v>
      </c>
      <c r="AG1517" s="16">
        <f>IF(AC1517=0,IF(O1517=4,INDEX(Acceleration!$T$4:$T$110,MATCH('Track Data'!S1517,Acceleration!$K$4:$K$110,0)),IF('Track Data'!O1517=3,INDEX(Acceleration!$S$4:$S$110,MATCH('Track Data'!S1517,Acceleration!$K$4:$K$110,0)),'Track Data'!AF1517)),'Track Data'!U1517)</f>
        <v>3.9974107096499352</v>
      </c>
      <c r="AH1517" s="16">
        <f>IF(AC1517=0,IF(O1517=2,INDEX(Acceleration!$R$4:$R$110,MATCH('Track Data'!S1517,Acceleration!$K$4:$K$110,0)),IF('Track Data'!O1517=1,INDEX(Acceleration!$Q$4:$Q$110,MATCH('Track Data'!S1517,Acceleration!$K$4:$K$110,0)),'Track Data'!AG1517)),'Track Data'!U1517)</f>
        <v>3.9974107096499352</v>
      </c>
    </row>
    <row r="1518" spans="2:34" x14ac:dyDescent="0.25">
      <c r="B1518" s="16">
        <v>239.072</v>
      </c>
      <c r="C1518" s="16">
        <v>8788</v>
      </c>
      <c r="D1518" s="16">
        <v>1515</v>
      </c>
      <c r="E1518" s="113">
        <v>148</v>
      </c>
      <c r="F1518" s="113">
        <v>143.5</v>
      </c>
      <c r="G1518" s="113">
        <v>144.30000000000001</v>
      </c>
      <c r="H1518" s="113">
        <f t="shared" si="166"/>
        <v>40.083333333333336</v>
      </c>
      <c r="I1518" s="113">
        <v>3.9</v>
      </c>
      <c r="J1518" s="113">
        <v>18.18</v>
      </c>
      <c r="K1518" s="113">
        <v>5.2</v>
      </c>
      <c r="L1518" s="185"/>
      <c r="M1518" s="16">
        <v>1515</v>
      </c>
      <c r="N1518" s="16">
        <f t="shared" si="168"/>
        <v>3.0784676186713683E-2</v>
      </c>
      <c r="O1518" s="16">
        <v>4</v>
      </c>
      <c r="P1518" s="16">
        <f t="shared" si="164"/>
        <v>9.1833785004516724</v>
      </c>
      <c r="Q1518" s="16">
        <f t="shared" si="169"/>
        <v>32.483693963024002</v>
      </c>
      <c r="R1518" s="113">
        <f t="shared" si="165"/>
        <v>329.49099999999999</v>
      </c>
      <c r="S1518" s="16">
        <f>IF(S1517=15800,15800,ROUND((((Q1518*60)/'Gearing Calculator'!$C$14)*'Track Data'!P1518),-2))</f>
        <v>9000</v>
      </c>
      <c r="T1518" s="16">
        <f t="shared" si="167"/>
        <v>3.9974107096499352</v>
      </c>
      <c r="U1518" s="16">
        <f>IF(AC1518=100,Braking!$AG$2354,IF(AC1518=50,Braking!$AG$1179,IF(AC1518=75,Braking!$AG$1767,0)))</f>
        <v>0</v>
      </c>
      <c r="V1518" s="16">
        <f>0.5*'Gearing Calculator'!$C$15*'Gearing Calculator'!$C$20*'Gearing Calculator'!$W$20*('Track Data'!Q1518^2)</f>
        <v>111.68134912948327</v>
      </c>
      <c r="W1518" s="16">
        <f>('Gearing Calculator'!$U$9*'Track Data'!T1518)+'Track Data'!V1518</f>
        <v>1175.792080038296</v>
      </c>
      <c r="X1518" s="16">
        <f>('Gearing Calculator'!$U$9*9.81)*('Gearing Calculator'!$U$16/'Gearing Calculator'!$C$7)-(('Track Data'!W1518)*('Gearing Calculator'!$U$17/'Gearing Calculator'!$C$7))</f>
        <v>760.27531714858719</v>
      </c>
      <c r="Y1518" s="16">
        <f>('Gearing Calculator'!$U$9*9.81)*(('Gearing Calculator'!$C$7-'Gearing Calculator'!$U$16)/'Gearing Calculator'!$C$7)+(('Track Data'!W1518)*('Gearing Calculator'!$U$17/'Gearing Calculator'!$C$7))</f>
        <v>1851.1466828514128</v>
      </c>
      <c r="Z1518" s="16">
        <f>((X1518*COS('Gearing Calculator'!$C$21))/'Gearing Calculator'!$C$22)/2</f>
        <v>23.505308260270279</v>
      </c>
      <c r="AA1518" s="16">
        <f>Y1518/'Gearing Calculator'!$C$24</f>
        <v>25.848216524082201</v>
      </c>
      <c r="AB1518" s="16">
        <f t="shared" si="163"/>
        <v>127.670991968083</v>
      </c>
      <c r="AC1518" s="16">
        <v>0</v>
      </c>
      <c r="AD1518" s="16">
        <v>0</v>
      </c>
      <c r="AE1518" s="16">
        <v>1515</v>
      </c>
      <c r="AF1518" s="16">
        <f>IF(AC1518=0,IF(O1518=6,INDEX(Acceleration!$V$4:$V$110,MATCH('Track Data'!S1518,Acceleration!$K$4:$K$110,0)),IF('Track Data'!O1518=5,INDEX(Acceleration!$U$4:$U$110,MATCH('Track Data'!S1518,Acceleration!$K$4:$K$110,0)),1)),U1518)</f>
        <v>1</v>
      </c>
      <c r="AG1518" s="16">
        <f>IF(AC1518=0,IF(O1518=4,INDEX(Acceleration!$T$4:$T$110,MATCH('Track Data'!S1518,Acceleration!$K$4:$K$110,0)),IF('Track Data'!O1518=3,INDEX(Acceleration!$S$4:$S$110,MATCH('Track Data'!S1518,Acceleration!$K$4:$K$110,0)),'Track Data'!AF1518)),'Track Data'!U1518)</f>
        <v>3.9974107096499352</v>
      </c>
      <c r="AH1518" s="16">
        <f>IF(AC1518=0,IF(O1518=2,INDEX(Acceleration!$R$4:$R$110,MATCH('Track Data'!S1518,Acceleration!$K$4:$K$110,0)),IF('Track Data'!O1518=1,INDEX(Acceleration!$Q$4:$Q$110,MATCH('Track Data'!S1518,Acceleration!$K$4:$K$110,0)),'Track Data'!AG1518)),'Track Data'!U1518)</f>
        <v>3.9974107096499352</v>
      </c>
    </row>
    <row r="1519" spans="2:34" x14ac:dyDescent="0.25">
      <c r="B1519" s="16">
        <v>239.09700000000001</v>
      </c>
      <c r="C1519" s="16">
        <v>8789</v>
      </c>
      <c r="D1519" s="16">
        <v>1516</v>
      </c>
      <c r="E1519" s="113">
        <v>147</v>
      </c>
      <c r="F1519" s="113">
        <v>143.6</v>
      </c>
      <c r="G1519" s="113">
        <v>144.6</v>
      </c>
      <c r="H1519" s="113">
        <f t="shared" si="166"/>
        <v>40.166666666666664</v>
      </c>
      <c r="I1519" s="113">
        <v>3.4</v>
      </c>
      <c r="J1519" s="113">
        <v>13.23</v>
      </c>
      <c r="K1519" s="113">
        <v>6.5</v>
      </c>
      <c r="L1519" s="185"/>
      <c r="M1519" s="16">
        <v>1516</v>
      </c>
      <c r="N1519" s="16">
        <f t="shared" si="168"/>
        <v>3.0668712185226401E-2</v>
      </c>
      <c r="O1519" s="16">
        <v>4</v>
      </c>
      <c r="P1519" s="16">
        <f t="shared" si="164"/>
        <v>9.1833785004516724</v>
      </c>
      <c r="Q1519" s="16">
        <f t="shared" si="169"/>
        <v>32.606520742064795</v>
      </c>
      <c r="R1519" s="113">
        <f t="shared" si="165"/>
        <v>329.49099999999999</v>
      </c>
      <c r="S1519" s="16">
        <f>IF(S1518=15800,15800,ROUND((((Q1519*60)/'Gearing Calculator'!$C$14)*'Track Data'!P1519),-2))</f>
        <v>9100</v>
      </c>
      <c r="T1519" s="16">
        <f t="shared" si="167"/>
        <v>4.0137124101447679</v>
      </c>
      <c r="U1519" s="16">
        <f>IF(AC1519=100,Braking!$AG$2354,IF(AC1519=50,Braking!$AG$1179,IF(AC1519=75,Braking!$AG$1767,0)))</f>
        <v>0</v>
      </c>
      <c r="V1519" s="16">
        <f>0.5*'Gearing Calculator'!$C$15*'Gearing Calculator'!$C$20*'Gearing Calculator'!$W$20*('Track Data'!Q1519^2)</f>
        <v>112.52752102850195</v>
      </c>
      <c r="W1519" s="16">
        <f>('Gearing Calculator'!$U$9*'Track Data'!T1519)+'Track Data'!V1519</f>
        <v>1180.977764609039</v>
      </c>
      <c r="X1519" s="16">
        <f>('Gearing Calculator'!$U$9*9.81)*('Gearing Calculator'!$U$16/'Gearing Calculator'!$C$7)-(('Track Data'!W1519)*('Gearing Calculator'!$U$17/'Gearing Calculator'!$C$7))</f>
        <v>757.44876490777403</v>
      </c>
      <c r="Y1519" s="16">
        <f>('Gearing Calculator'!$U$9*9.81)*(('Gearing Calculator'!$C$7-'Gearing Calculator'!$U$16)/'Gearing Calculator'!$C$7)+(('Track Data'!W1519)*('Gearing Calculator'!$U$17/'Gearing Calculator'!$C$7))</f>
        <v>1853.9732350922259</v>
      </c>
      <c r="Z1519" s="16">
        <f>((X1519*COS('Gearing Calculator'!$C$21))/'Gearing Calculator'!$C$22)/2</f>
        <v>23.41792020460743</v>
      </c>
      <c r="AA1519" s="16">
        <f>Y1519/'Gearing Calculator'!$C$24</f>
        <v>25.887684673750719</v>
      </c>
      <c r="AB1519" s="16">
        <f t="shared" si="163"/>
        <v>128.58237066908103</v>
      </c>
      <c r="AC1519" s="16">
        <v>0</v>
      </c>
      <c r="AD1519" s="16">
        <v>0</v>
      </c>
      <c r="AE1519" s="16">
        <v>1516</v>
      </c>
      <c r="AF1519" s="16">
        <f>IF(AC1519=0,IF(O1519=6,INDEX(Acceleration!$V$4:$V$110,MATCH('Track Data'!S1519,Acceleration!$K$4:$K$110,0)),IF('Track Data'!O1519=5,INDEX(Acceleration!$U$4:$U$110,MATCH('Track Data'!S1519,Acceleration!$K$4:$K$110,0)),1)),U1519)</f>
        <v>1</v>
      </c>
      <c r="AG1519" s="16">
        <f>IF(AC1519=0,IF(O1519=4,INDEX(Acceleration!$T$4:$T$110,MATCH('Track Data'!S1519,Acceleration!$K$4:$K$110,0)),IF('Track Data'!O1519=3,INDEX(Acceleration!$S$4:$S$110,MATCH('Track Data'!S1519,Acceleration!$K$4:$K$110,0)),'Track Data'!AF1519)),'Track Data'!U1519)</f>
        <v>4.0137124101447679</v>
      </c>
      <c r="AH1519" s="16">
        <f>IF(AC1519=0,IF(O1519=2,INDEX(Acceleration!$R$4:$R$110,MATCH('Track Data'!S1519,Acceleration!$K$4:$K$110,0)),IF('Track Data'!O1519=1,INDEX(Acceleration!$Q$4:$Q$110,MATCH('Track Data'!S1519,Acceleration!$K$4:$K$110,0)),'Track Data'!AG1519)),'Track Data'!U1519)</f>
        <v>4.0137124101447679</v>
      </c>
    </row>
    <row r="1520" spans="2:34" x14ac:dyDescent="0.25">
      <c r="B1520" s="16">
        <v>239.12299999999999</v>
      </c>
      <c r="C1520" s="16">
        <v>8790</v>
      </c>
      <c r="D1520" s="16">
        <v>1517</v>
      </c>
      <c r="E1520" s="113">
        <v>146</v>
      </c>
      <c r="F1520" s="113">
        <v>144.4</v>
      </c>
      <c r="G1520" s="113">
        <v>145.1</v>
      </c>
      <c r="H1520" s="113">
        <f t="shared" si="166"/>
        <v>40.30555555555555</v>
      </c>
      <c r="I1520" s="113">
        <v>4.2</v>
      </c>
      <c r="J1520" s="113">
        <v>8.51</v>
      </c>
      <c r="K1520" s="113">
        <v>7.8</v>
      </c>
      <c r="L1520" s="185"/>
      <c r="M1520" s="16">
        <v>1517</v>
      </c>
      <c r="N1520" s="16">
        <f t="shared" si="168"/>
        <v>3.0553583900866144E-2</v>
      </c>
      <c r="O1520" s="16">
        <v>4</v>
      </c>
      <c r="P1520" s="16">
        <f t="shared" si="164"/>
        <v>9.1833785004516724</v>
      </c>
      <c r="Q1520" s="16">
        <f t="shared" si="169"/>
        <v>32.729384652373028</v>
      </c>
      <c r="R1520" s="113">
        <f t="shared" si="165"/>
        <v>329.49099999999999</v>
      </c>
      <c r="S1520" s="16">
        <f>IF(S1519=15800,15800,ROUND((((Q1520*60)/'Gearing Calculator'!$C$14)*'Track Data'!P1520),-2))</f>
        <v>9100</v>
      </c>
      <c r="T1520" s="16">
        <f t="shared" si="167"/>
        <v>4.0137124101447679</v>
      </c>
      <c r="U1520" s="16">
        <f>IF(AC1520=100,Braking!$AG$2354,IF(AC1520=50,Braking!$AG$1179,IF(AC1520=75,Braking!$AG$1767,0)))</f>
        <v>0</v>
      </c>
      <c r="V1520" s="16">
        <f>0.5*'Gearing Calculator'!$C$15*'Gearing Calculator'!$C$20*'Gearing Calculator'!$W$20*('Track Data'!Q1520^2)</f>
        <v>113.37714367148136</v>
      </c>
      <c r="W1520" s="16">
        <f>('Gearing Calculator'!$U$9*'Track Data'!T1520)+'Track Data'!V1520</f>
        <v>1181.8273872520185</v>
      </c>
      <c r="X1520" s="16">
        <f>('Gearing Calculator'!$U$9*9.81)*('Gearing Calculator'!$U$16/'Gearing Calculator'!$C$7)-(('Track Data'!W1520)*('Gearing Calculator'!$U$17/'Gearing Calculator'!$C$7))</f>
        <v>756.98566254344814</v>
      </c>
      <c r="Y1520" s="16">
        <f>('Gearing Calculator'!$U$9*9.81)*(('Gearing Calculator'!$C$7-'Gearing Calculator'!$U$16)/'Gearing Calculator'!$C$7)+(('Track Data'!W1520)*('Gearing Calculator'!$U$17/'Gearing Calculator'!$C$7))</f>
        <v>1854.4363374565519</v>
      </c>
      <c r="Z1520" s="16">
        <f>((X1520*COS('Gearing Calculator'!$C$21))/'Gearing Calculator'!$C$22)/2</f>
        <v>23.403602544170468</v>
      </c>
      <c r="AA1520" s="16">
        <f>Y1520/'Gearing Calculator'!$C$24</f>
        <v>25.894151136023432</v>
      </c>
      <c r="AB1520" s="16">
        <f t="shared" si="163"/>
        <v>129.43199331206043</v>
      </c>
      <c r="AC1520" s="16">
        <v>0</v>
      </c>
      <c r="AD1520" s="16">
        <v>0</v>
      </c>
      <c r="AE1520" s="16">
        <v>1517</v>
      </c>
      <c r="AF1520" s="16">
        <f>IF(AC1520=0,IF(O1520=6,INDEX(Acceleration!$V$4:$V$110,MATCH('Track Data'!S1520,Acceleration!$K$4:$K$110,0)),IF('Track Data'!O1520=5,INDEX(Acceleration!$U$4:$U$110,MATCH('Track Data'!S1520,Acceleration!$K$4:$K$110,0)),1)),U1520)</f>
        <v>1</v>
      </c>
      <c r="AG1520" s="16">
        <f>IF(AC1520=0,IF(O1520=4,INDEX(Acceleration!$T$4:$T$110,MATCH('Track Data'!S1520,Acceleration!$K$4:$K$110,0)),IF('Track Data'!O1520=3,INDEX(Acceleration!$S$4:$S$110,MATCH('Track Data'!S1520,Acceleration!$K$4:$K$110,0)),'Track Data'!AF1520)),'Track Data'!U1520)</f>
        <v>4.0137124101447679</v>
      </c>
      <c r="AH1520" s="16">
        <f>IF(AC1520=0,IF(O1520=2,INDEX(Acceleration!$R$4:$R$110,MATCH('Track Data'!S1520,Acceleration!$K$4:$K$110,0)),IF('Track Data'!O1520=1,INDEX(Acceleration!$Q$4:$Q$110,MATCH('Track Data'!S1520,Acceleration!$K$4:$K$110,0)),'Track Data'!AG1520)),'Track Data'!U1520)</f>
        <v>4.0137124101447679</v>
      </c>
    </row>
    <row r="1521" spans="2:34" x14ac:dyDescent="0.25">
      <c r="B1521" s="16">
        <v>239.148</v>
      </c>
      <c r="C1521" s="16">
        <v>8791</v>
      </c>
      <c r="D1521" s="16">
        <v>1518</v>
      </c>
      <c r="E1521" s="113">
        <v>147</v>
      </c>
      <c r="F1521" s="113">
        <v>145.69999999999999</v>
      </c>
      <c r="G1521" s="113">
        <v>145.4</v>
      </c>
      <c r="H1521" s="113">
        <f t="shared" si="166"/>
        <v>40.388888888888893</v>
      </c>
      <c r="I1521" s="113">
        <v>3.2</v>
      </c>
      <c r="J1521" s="113">
        <v>7.48</v>
      </c>
      <c r="K1521" s="113">
        <v>6.1</v>
      </c>
      <c r="L1521" s="185"/>
      <c r="M1521" s="16">
        <v>1518</v>
      </c>
      <c r="N1521" s="16">
        <f t="shared" si="168"/>
        <v>3.0439742509214156E-2</v>
      </c>
      <c r="O1521" s="16">
        <v>4</v>
      </c>
      <c r="P1521" s="16">
        <f t="shared" si="164"/>
        <v>9.1833785004516724</v>
      </c>
      <c r="Q1521" s="16">
        <f t="shared" si="169"/>
        <v>32.851789061530283</v>
      </c>
      <c r="R1521" s="113">
        <f t="shared" si="165"/>
        <v>329.49099999999999</v>
      </c>
      <c r="S1521" s="16">
        <f>IF(S1520=15800,15800,ROUND((((Q1521*60)/'Gearing Calculator'!$C$14)*'Track Data'!P1521),-2))</f>
        <v>9100</v>
      </c>
      <c r="T1521" s="16">
        <f t="shared" si="167"/>
        <v>4.0137124101447679</v>
      </c>
      <c r="U1521" s="16">
        <f>IF(AC1521=100,Braking!$AG$2354,IF(AC1521=50,Braking!$AG$1179,IF(AC1521=75,Braking!$AG$1767,0)))</f>
        <v>0</v>
      </c>
      <c r="V1521" s="16">
        <f>0.5*'Gearing Calculator'!$C$15*'Gearing Calculator'!$C$20*'Gearing Calculator'!$W$20*('Track Data'!Q1521^2)</f>
        <v>114.22676631446083</v>
      </c>
      <c r="W1521" s="16">
        <f>('Gearing Calculator'!$U$9*'Track Data'!T1521)+'Track Data'!V1521</f>
        <v>1182.6770098949978</v>
      </c>
      <c r="X1521" s="16">
        <f>('Gearing Calculator'!$U$9*9.81)*('Gearing Calculator'!$U$16/'Gearing Calculator'!$C$7)-(('Track Data'!W1521)*('Gearing Calculator'!$U$17/'Gearing Calculator'!$C$7))</f>
        <v>756.52256017912237</v>
      </c>
      <c r="Y1521" s="16">
        <f>('Gearing Calculator'!$U$9*9.81)*(('Gearing Calculator'!$C$7-'Gearing Calculator'!$U$16)/'Gearing Calculator'!$C$7)+(('Track Data'!W1521)*('Gearing Calculator'!$U$17/'Gearing Calculator'!$C$7))</f>
        <v>1854.8994398208777</v>
      </c>
      <c r="Z1521" s="16">
        <f>((X1521*COS('Gearing Calculator'!$C$21))/'Gearing Calculator'!$C$22)/2</f>
        <v>23.389284883733502</v>
      </c>
      <c r="AA1521" s="16">
        <f>Y1521/'Gearing Calculator'!$C$24</f>
        <v>25.90061759829614</v>
      </c>
      <c r="AB1521" s="16">
        <f t="shared" si="163"/>
        <v>130.28161595503991</v>
      </c>
      <c r="AC1521" s="16">
        <v>0</v>
      </c>
      <c r="AD1521" s="16">
        <v>0</v>
      </c>
      <c r="AE1521" s="16">
        <v>1518</v>
      </c>
      <c r="AF1521" s="16">
        <f>IF(AC1521=0,IF(O1521=6,INDEX(Acceleration!$V$4:$V$110,MATCH('Track Data'!S1521,Acceleration!$K$4:$K$110,0)),IF('Track Data'!O1521=5,INDEX(Acceleration!$U$4:$U$110,MATCH('Track Data'!S1521,Acceleration!$K$4:$K$110,0)),1)),U1521)</f>
        <v>1</v>
      </c>
      <c r="AG1521" s="16">
        <f>IF(AC1521=0,IF(O1521=4,INDEX(Acceleration!$T$4:$T$110,MATCH('Track Data'!S1521,Acceleration!$K$4:$K$110,0)),IF('Track Data'!O1521=3,INDEX(Acceleration!$S$4:$S$110,MATCH('Track Data'!S1521,Acceleration!$K$4:$K$110,0)),'Track Data'!AF1521)),'Track Data'!U1521)</f>
        <v>4.0137124101447679</v>
      </c>
      <c r="AH1521" s="16">
        <f>IF(AC1521=0,IF(O1521=2,INDEX(Acceleration!$R$4:$R$110,MATCH('Track Data'!S1521,Acceleration!$K$4:$K$110,0)),IF('Track Data'!O1521=1,INDEX(Acceleration!$Q$4:$Q$110,MATCH('Track Data'!S1521,Acceleration!$K$4:$K$110,0)),'Track Data'!AG1521)),'Track Data'!U1521)</f>
        <v>4.0137124101447679</v>
      </c>
    </row>
    <row r="1522" spans="2:34" x14ac:dyDescent="0.25">
      <c r="B1522" s="16">
        <v>239.173</v>
      </c>
      <c r="C1522" s="16">
        <v>8792</v>
      </c>
      <c r="D1522" s="16">
        <v>1519</v>
      </c>
      <c r="E1522" s="113">
        <v>148</v>
      </c>
      <c r="F1522" s="113">
        <v>146.80000000000001</v>
      </c>
      <c r="G1522" s="113">
        <v>145.9</v>
      </c>
      <c r="H1522" s="113">
        <f t="shared" si="166"/>
        <v>40.527777777777779</v>
      </c>
      <c r="I1522" s="113">
        <v>2</v>
      </c>
      <c r="J1522" s="113">
        <v>12.25</v>
      </c>
      <c r="K1522" s="113">
        <v>3.5</v>
      </c>
      <c r="L1522" s="185"/>
      <c r="M1522" s="16">
        <v>1519</v>
      </c>
      <c r="N1522" s="16">
        <f t="shared" si="168"/>
        <v>3.032716421295038E-2</v>
      </c>
      <c r="O1522" s="16">
        <v>4</v>
      </c>
      <c r="P1522" s="16">
        <f t="shared" si="164"/>
        <v>9.1833785004516724</v>
      </c>
      <c r="Q1522" s="16">
        <f t="shared" si="169"/>
        <v>32.973739086787994</v>
      </c>
      <c r="R1522" s="113">
        <f t="shared" si="165"/>
        <v>329.49099999999999</v>
      </c>
      <c r="S1522" s="16">
        <f>IF(S1521=15800,15800,ROUND((((Q1522*60)/'Gearing Calculator'!$C$14)*'Track Data'!P1522),-2))</f>
        <v>9200</v>
      </c>
      <c r="T1522" s="16">
        <f t="shared" si="167"/>
        <v>4.097862104529133</v>
      </c>
      <c r="U1522" s="16">
        <f>IF(AC1522=100,Braking!$AG$2354,IF(AC1522=50,Braking!$AG$1179,IF(AC1522=75,Braking!$AG$1767,0)))</f>
        <v>0</v>
      </c>
      <c r="V1522" s="16">
        <f>0.5*'Gearing Calculator'!$C$15*'Gearing Calculator'!$C$20*'Gearing Calculator'!$W$20*('Track Data'!Q1522^2)</f>
        <v>115.07638895744029</v>
      </c>
      <c r="W1522" s="16">
        <f>('Gearing Calculator'!$U$9*'Track Data'!T1522)+'Track Data'!V1522</f>
        <v>1205.9272811830954</v>
      </c>
      <c r="X1522" s="16">
        <f>('Gearing Calculator'!$U$9*9.81)*('Gearing Calculator'!$U$16/'Gearing Calculator'!$C$7)-(('Track Data'!W1522)*('Gearing Calculator'!$U$17/'Gearing Calculator'!$C$7))</f>
        <v>743.8495744792865</v>
      </c>
      <c r="Y1522" s="16">
        <f>('Gearing Calculator'!$U$9*9.81)*(('Gearing Calculator'!$C$7-'Gearing Calculator'!$U$16)/'Gearing Calculator'!$C$7)+(('Track Data'!W1522)*('Gearing Calculator'!$U$17/'Gearing Calculator'!$C$7))</f>
        <v>1867.5724255207135</v>
      </c>
      <c r="Z1522" s="16">
        <f>((X1522*COS('Gearing Calculator'!$C$21))/'Gearing Calculator'!$C$22)/2</f>
        <v>22.997476247133481</v>
      </c>
      <c r="AA1522" s="16">
        <f>Y1522/'Gearing Calculator'!$C$24</f>
        <v>26.077574984445235</v>
      </c>
      <c r="AB1522" s="16">
        <f t="shared" si="163"/>
        <v>131.46783737555683</v>
      </c>
      <c r="AC1522" s="16">
        <v>0</v>
      </c>
      <c r="AD1522" s="16">
        <v>0</v>
      </c>
      <c r="AE1522" s="16">
        <v>1519</v>
      </c>
      <c r="AF1522" s="16">
        <f>IF(AC1522=0,IF(O1522=6,INDEX(Acceleration!$V$4:$V$110,MATCH('Track Data'!S1522,Acceleration!$K$4:$K$110,0)),IF('Track Data'!O1522=5,INDEX(Acceleration!$U$4:$U$110,MATCH('Track Data'!S1522,Acceleration!$K$4:$K$110,0)),1)),U1522)</f>
        <v>1</v>
      </c>
      <c r="AG1522" s="16">
        <f>IF(AC1522=0,IF(O1522=4,INDEX(Acceleration!$T$4:$T$110,MATCH('Track Data'!S1522,Acceleration!$K$4:$K$110,0)),IF('Track Data'!O1522=3,INDEX(Acceleration!$S$4:$S$110,MATCH('Track Data'!S1522,Acceleration!$K$4:$K$110,0)),'Track Data'!AF1522)),'Track Data'!U1522)</f>
        <v>4.097862104529133</v>
      </c>
      <c r="AH1522" s="16">
        <f>IF(AC1522=0,IF(O1522=2,INDEX(Acceleration!$R$4:$R$110,MATCH('Track Data'!S1522,Acceleration!$K$4:$K$110,0)),IF('Track Data'!O1522=1,INDEX(Acceleration!$Q$4:$Q$110,MATCH('Track Data'!S1522,Acceleration!$K$4:$K$110,0)),'Track Data'!AG1522)),'Track Data'!U1522)</f>
        <v>4.097862104529133</v>
      </c>
    </row>
    <row r="1523" spans="2:34" x14ac:dyDescent="0.25">
      <c r="B1523" s="16">
        <v>239.197</v>
      </c>
      <c r="C1523" s="16">
        <v>8793</v>
      </c>
      <c r="D1523" s="16">
        <v>1520</v>
      </c>
      <c r="E1523" s="113">
        <v>148</v>
      </c>
      <c r="F1523" s="113">
        <v>146.80000000000001</v>
      </c>
      <c r="G1523" s="113">
        <v>146.19999999999999</v>
      </c>
      <c r="H1523" s="113">
        <f t="shared" si="166"/>
        <v>40.611111111111107</v>
      </c>
      <c r="I1523" s="113">
        <v>2.2999999999999998</v>
      </c>
      <c r="J1523" s="113">
        <v>13.52</v>
      </c>
      <c r="K1523" s="113">
        <v>1.7</v>
      </c>
      <c r="L1523" s="185"/>
      <c r="M1523" s="16">
        <v>1520</v>
      </c>
      <c r="N1523" s="16">
        <f t="shared" si="168"/>
        <v>3.0213504661911098E-2</v>
      </c>
      <c r="O1523" s="16">
        <v>4</v>
      </c>
      <c r="P1523" s="16">
        <f t="shared" si="164"/>
        <v>9.1833785004516724</v>
      </c>
      <c r="Q1523" s="16">
        <f t="shared" si="169"/>
        <v>33.097782305958638</v>
      </c>
      <c r="R1523" s="113">
        <f t="shared" si="165"/>
        <v>329.49099999999999</v>
      </c>
      <c r="S1523" s="16">
        <f>IF(S1522=15800,15800,ROUND((((Q1523*60)/'Gearing Calculator'!$C$14)*'Track Data'!P1523),-2))</f>
        <v>9200</v>
      </c>
      <c r="T1523" s="16">
        <f t="shared" si="167"/>
        <v>4.097862104529133</v>
      </c>
      <c r="U1523" s="16">
        <f>IF(AC1523=100,Braking!$AG$2354,IF(AC1523=50,Braking!$AG$1179,IF(AC1523=75,Braking!$AG$1767,0)))</f>
        <v>0</v>
      </c>
      <c r="V1523" s="16">
        <f>0.5*'Gearing Calculator'!$C$15*'Gearing Calculator'!$C$20*'Gearing Calculator'!$W$20*('Track Data'!Q1523^2)</f>
        <v>115.94382440772702</v>
      </c>
      <c r="W1523" s="16">
        <f>('Gearing Calculator'!$U$9*'Track Data'!T1523)+'Track Data'!V1523</f>
        <v>1206.7947166333822</v>
      </c>
      <c r="X1523" s="16">
        <f>('Gearing Calculator'!$U$9*9.81)*('Gearing Calculator'!$U$16/'Gearing Calculator'!$C$7)-(('Track Data'!W1523)*('Gearing Calculator'!$U$17/'Gearing Calculator'!$C$7))</f>
        <v>743.37676291847504</v>
      </c>
      <c r="Y1523" s="16">
        <f>('Gearing Calculator'!$U$9*9.81)*(('Gearing Calculator'!$C$7-'Gearing Calculator'!$U$16)/'Gearing Calculator'!$C$7)+(('Track Data'!W1523)*('Gearing Calculator'!$U$17/'Gearing Calculator'!$C$7))</f>
        <v>1868.0452370815251</v>
      </c>
      <c r="Z1523" s="16">
        <f>((X1523*COS('Gearing Calculator'!$C$21))/'Gearing Calculator'!$C$22)/2</f>
        <v>22.982858409048752</v>
      </c>
      <c r="AA1523" s="16">
        <f>Y1523/'Gearing Calculator'!$C$24</f>
        <v>26.084177019665979</v>
      </c>
      <c r="AB1523" s="16">
        <f t="shared" si="163"/>
        <v>132.33527282584356</v>
      </c>
      <c r="AC1523" s="16">
        <v>0</v>
      </c>
      <c r="AD1523" s="16">
        <v>0</v>
      </c>
      <c r="AE1523" s="16">
        <v>1520</v>
      </c>
      <c r="AF1523" s="16">
        <f>IF(AC1523=0,IF(O1523=6,INDEX(Acceleration!$V$4:$V$110,MATCH('Track Data'!S1523,Acceleration!$K$4:$K$110,0)),IF('Track Data'!O1523=5,INDEX(Acceleration!$U$4:$U$110,MATCH('Track Data'!S1523,Acceleration!$K$4:$K$110,0)),1)),U1523)</f>
        <v>1</v>
      </c>
      <c r="AG1523" s="16">
        <f>IF(AC1523=0,IF(O1523=4,INDEX(Acceleration!$T$4:$T$110,MATCH('Track Data'!S1523,Acceleration!$K$4:$K$110,0)),IF('Track Data'!O1523=3,INDEX(Acceleration!$S$4:$S$110,MATCH('Track Data'!S1523,Acceleration!$K$4:$K$110,0)),'Track Data'!AF1523)),'Track Data'!U1523)</f>
        <v>4.097862104529133</v>
      </c>
      <c r="AH1523" s="16">
        <f>IF(AC1523=0,IF(O1523=2,INDEX(Acceleration!$R$4:$R$110,MATCH('Track Data'!S1523,Acceleration!$K$4:$K$110,0)),IF('Track Data'!O1523=1,INDEX(Acceleration!$Q$4:$Q$110,MATCH('Track Data'!S1523,Acceleration!$K$4:$K$110,0)),'Track Data'!AG1523)),'Track Data'!U1523)</f>
        <v>4.097862104529133</v>
      </c>
    </row>
    <row r="1524" spans="2:34" x14ac:dyDescent="0.25">
      <c r="B1524" s="16">
        <v>239.221</v>
      </c>
      <c r="C1524" s="16">
        <v>8794</v>
      </c>
      <c r="D1524" s="16">
        <v>1521</v>
      </c>
      <c r="E1524" s="113">
        <v>148</v>
      </c>
      <c r="F1524" s="113">
        <v>147.1</v>
      </c>
      <c r="G1524" s="113">
        <v>146.69999999999999</v>
      </c>
      <c r="H1524" s="113">
        <f t="shared" si="166"/>
        <v>40.749999999999993</v>
      </c>
      <c r="I1524" s="113">
        <v>6.4</v>
      </c>
      <c r="J1524" s="113">
        <v>12.46</v>
      </c>
      <c r="K1524" s="113">
        <v>1.8</v>
      </c>
      <c r="L1524" s="185"/>
      <c r="M1524" s="16">
        <v>1521</v>
      </c>
      <c r="N1524" s="16">
        <f t="shared" si="168"/>
        <v>3.0101113519491501E-2</v>
      </c>
      <c r="O1524" s="16">
        <v>4</v>
      </c>
      <c r="P1524" s="16">
        <f t="shared" si="164"/>
        <v>9.1833785004516724</v>
      </c>
      <c r="Q1524" s="16">
        <f t="shared" si="169"/>
        <v>33.221362370945705</v>
      </c>
      <c r="R1524" s="113">
        <f t="shared" si="165"/>
        <v>329.49099999999999</v>
      </c>
      <c r="S1524" s="16">
        <f>IF(S1523=15800,15800,ROUND((((Q1524*60)/'Gearing Calculator'!$C$14)*'Track Data'!P1524),-2))</f>
        <v>9200</v>
      </c>
      <c r="T1524" s="16">
        <f t="shared" si="167"/>
        <v>4.097862104529133</v>
      </c>
      <c r="U1524" s="16">
        <f>IF(AC1524=100,Braking!$AG$2354,IF(AC1524=50,Braking!$AG$1179,IF(AC1524=75,Braking!$AG$1767,0)))</f>
        <v>0</v>
      </c>
      <c r="V1524" s="16">
        <f>0.5*'Gearing Calculator'!$C$15*'Gearing Calculator'!$C$20*'Gearing Calculator'!$W$20*('Track Data'!Q1524^2)</f>
        <v>116.81125985801377</v>
      </c>
      <c r="W1524" s="16">
        <f>('Gearing Calculator'!$U$9*'Track Data'!T1524)+'Track Data'!V1524</f>
        <v>1207.6621520836688</v>
      </c>
      <c r="X1524" s="16">
        <f>('Gearing Calculator'!$U$9*9.81)*('Gearing Calculator'!$U$16/'Gearing Calculator'!$C$7)-(('Track Data'!W1524)*('Gearing Calculator'!$U$17/'Gearing Calculator'!$C$7))</f>
        <v>742.90395135766357</v>
      </c>
      <c r="Y1524" s="16">
        <f>('Gearing Calculator'!$U$9*9.81)*(('Gearing Calculator'!$C$7-'Gearing Calculator'!$U$16)/'Gearing Calculator'!$C$7)+(('Track Data'!W1524)*('Gearing Calculator'!$U$17/'Gearing Calculator'!$C$7))</f>
        <v>1868.5180486423365</v>
      </c>
      <c r="Z1524" s="16">
        <f>((X1524*COS('Gearing Calculator'!$C$21))/'Gearing Calculator'!$C$22)/2</f>
        <v>22.968240570964024</v>
      </c>
      <c r="AA1524" s="16">
        <f>Y1524/'Gearing Calculator'!$C$24</f>
        <v>26.090779054886717</v>
      </c>
      <c r="AB1524" s="16">
        <f t="shared" si="163"/>
        <v>133.20270827613029</v>
      </c>
      <c r="AC1524" s="16">
        <v>0</v>
      </c>
      <c r="AD1524" s="16">
        <v>0</v>
      </c>
      <c r="AE1524" s="16">
        <v>1521</v>
      </c>
      <c r="AF1524" s="16">
        <f>IF(AC1524=0,IF(O1524=6,INDEX(Acceleration!$V$4:$V$110,MATCH('Track Data'!S1524,Acceleration!$K$4:$K$110,0)),IF('Track Data'!O1524=5,INDEX(Acceleration!$U$4:$U$110,MATCH('Track Data'!S1524,Acceleration!$K$4:$K$110,0)),1)),U1524)</f>
        <v>1</v>
      </c>
      <c r="AG1524" s="16">
        <f>IF(AC1524=0,IF(O1524=4,INDEX(Acceleration!$T$4:$T$110,MATCH('Track Data'!S1524,Acceleration!$K$4:$K$110,0)),IF('Track Data'!O1524=3,INDEX(Acceleration!$S$4:$S$110,MATCH('Track Data'!S1524,Acceleration!$K$4:$K$110,0)),'Track Data'!AF1524)),'Track Data'!U1524)</f>
        <v>4.097862104529133</v>
      </c>
      <c r="AH1524" s="16">
        <f>IF(AC1524=0,IF(O1524=2,INDEX(Acceleration!$R$4:$R$110,MATCH('Track Data'!S1524,Acceleration!$K$4:$K$110,0)),IF('Track Data'!O1524=1,INDEX(Acceleration!$Q$4:$Q$110,MATCH('Track Data'!S1524,Acceleration!$K$4:$K$110,0)),'Track Data'!AG1524)),'Track Data'!U1524)</f>
        <v>4.097862104529133</v>
      </c>
    </row>
    <row r="1525" spans="2:34" x14ac:dyDescent="0.25">
      <c r="B1525" s="16">
        <v>239.24600000000001</v>
      </c>
      <c r="C1525" s="16">
        <v>8795</v>
      </c>
      <c r="D1525" s="16">
        <v>1522</v>
      </c>
      <c r="E1525" s="113">
        <v>148</v>
      </c>
      <c r="F1525" s="113">
        <v>147.30000000000001</v>
      </c>
      <c r="G1525" s="113">
        <v>147</v>
      </c>
      <c r="H1525" s="113">
        <f t="shared" si="166"/>
        <v>40.833333333333336</v>
      </c>
      <c r="I1525" s="113">
        <v>8</v>
      </c>
      <c r="J1525" s="113">
        <v>10.67</v>
      </c>
      <c r="K1525" s="113">
        <v>2.2000000000000002</v>
      </c>
      <c r="L1525" s="185"/>
      <c r="M1525" s="16">
        <v>1522</v>
      </c>
      <c r="N1525" s="16">
        <f t="shared" si="168"/>
        <v>2.998996736805511E-2</v>
      </c>
      <c r="O1525" s="16">
        <v>4</v>
      </c>
      <c r="P1525" s="16">
        <f t="shared" si="164"/>
        <v>9.1833785004516724</v>
      </c>
      <c r="Q1525" s="16">
        <f t="shared" si="169"/>
        <v>33.344484431323053</v>
      </c>
      <c r="R1525" s="113">
        <f t="shared" si="165"/>
        <v>329.49099999999999</v>
      </c>
      <c r="S1525" s="16">
        <f>IF(S1524=15800,15800,ROUND((((Q1525*60)/'Gearing Calculator'!$C$14)*'Track Data'!P1525),-2))</f>
        <v>9300</v>
      </c>
      <c r="T1525" s="16">
        <f t="shared" si="167"/>
        <v>4.1800060277373143</v>
      </c>
      <c r="U1525" s="16">
        <f>IF(AC1525=100,Braking!$AG$2354,IF(AC1525=50,Braking!$AG$1179,IF(AC1525=75,Braking!$AG$1767,0)))</f>
        <v>0</v>
      </c>
      <c r="V1525" s="16">
        <f>0.5*'Gearing Calculator'!$C$15*'Gearing Calculator'!$C$20*'Gearing Calculator'!$W$20*('Track Data'!Q1525^2)</f>
        <v>117.67869530830049</v>
      </c>
      <c r="W1525" s="16">
        <f>('Gearing Calculator'!$U$9*'Track Data'!T1525)+'Track Data'!V1525</f>
        <v>1230.3962998919735</v>
      </c>
      <c r="X1525" s="16">
        <f>('Gearing Calculator'!$U$9*9.81)*('Gearing Calculator'!$U$16/'Gearing Calculator'!$C$7)-(('Track Data'!W1525)*('Gearing Calculator'!$U$17/'Gearing Calculator'!$C$7))</f>
        <v>730.51228820231404</v>
      </c>
      <c r="Y1525" s="16">
        <f>('Gearing Calculator'!$U$9*9.81)*(('Gearing Calculator'!$C$7-'Gearing Calculator'!$U$16)/'Gearing Calculator'!$C$7)+(('Track Data'!W1525)*('Gearing Calculator'!$U$17/'Gearing Calculator'!$C$7))</f>
        <v>1880.909711797686</v>
      </c>
      <c r="Z1525" s="16">
        <f>((X1525*COS('Gearing Calculator'!$C$21))/'Gearing Calculator'!$C$22)/2</f>
        <v>22.585129537692112</v>
      </c>
      <c r="AA1525" s="16">
        <f>Y1525/'Gearing Calculator'!$C$24</f>
        <v>26.263808234745976</v>
      </c>
      <c r="AB1525" s="16">
        <f t="shared" si="163"/>
        <v>134.39871941924974</v>
      </c>
      <c r="AC1525" s="16">
        <v>0</v>
      </c>
      <c r="AD1525" s="16">
        <v>0</v>
      </c>
      <c r="AE1525" s="16">
        <v>1522</v>
      </c>
      <c r="AF1525" s="16">
        <f>IF(AC1525=0,IF(O1525=6,INDEX(Acceleration!$V$4:$V$110,MATCH('Track Data'!S1525,Acceleration!$K$4:$K$110,0)),IF('Track Data'!O1525=5,INDEX(Acceleration!$U$4:$U$110,MATCH('Track Data'!S1525,Acceleration!$K$4:$K$110,0)),1)),U1525)</f>
        <v>1</v>
      </c>
      <c r="AG1525" s="16">
        <f>IF(AC1525=0,IF(O1525=4,INDEX(Acceleration!$T$4:$T$110,MATCH('Track Data'!S1525,Acceleration!$K$4:$K$110,0)),IF('Track Data'!O1525=3,INDEX(Acceleration!$S$4:$S$110,MATCH('Track Data'!S1525,Acceleration!$K$4:$K$110,0)),'Track Data'!AF1525)),'Track Data'!U1525)</f>
        <v>4.1800060277373143</v>
      </c>
      <c r="AH1525" s="16">
        <f>IF(AC1525=0,IF(O1525=2,INDEX(Acceleration!$R$4:$R$110,MATCH('Track Data'!S1525,Acceleration!$K$4:$K$110,0)),IF('Track Data'!O1525=1,INDEX(Acceleration!$Q$4:$Q$110,MATCH('Track Data'!S1525,Acceleration!$K$4:$K$110,0)),'Track Data'!AG1525)),'Track Data'!U1525)</f>
        <v>4.1800060277373143</v>
      </c>
    </row>
    <row r="1526" spans="2:34" x14ac:dyDescent="0.25">
      <c r="B1526" s="16">
        <v>239.27</v>
      </c>
      <c r="C1526" s="16">
        <v>8796</v>
      </c>
      <c r="D1526" s="16">
        <v>1523</v>
      </c>
      <c r="E1526" s="113">
        <v>150</v>
      </c>
      <c r="F1526" s="113">
        <v>148.1</v>
      </c>
      <c r="G1526" s="113">
        <v>147.6</v>
      </c>
      <c r="H1526" s="113">
        <f t="shared" si="166"/>
        <v>41</v>
      </c>
      <c r="I1526" s="113">
        <v>7.8</v>
      </c>
      <c r="J1526" s="113">
        <v>10.45</v>
      </c>
      <c r="K1526" s="113">
        <v>2.9</v>
      </c>
      <c r="L1526" s="185"/>
      <c r="M1526" s="16">
        <v>1523</v>
      </c>
      <c r="N1526" s="16">
        <f t="shared" si="168"/>
        <v>2.987785224469227E-2</v>
      </c>
      <c r="O1526" s="16">
        <v>4</v>
      </c>
      <c r="P1526" s="16">
        <f t="shared" si="164"/>
        <v>9.1833785004516724</v>
      </c>
      <c r="Q1526" s="16">
        <f t="shared" si="169"/>
        <v>33.469607915932031</v>
      </c>
      <c r="R1526" s="113">
        <f t="shared" si="165"/>
        <v>329.49099999999999</v>
      </c>
      <c r="S1526" s="16">
        <f>IF(S1525=15800,15800,ROUND((((Q1526*60)/'Gearing Calculator'!$C$14)*'Track Data'!P1526),-2))</f>
        <v>9300</v>
      </c>
      <c r="T1526" s="16">
        <f t="shared" si="167"/>
        <v>4.1800060277373143</v>
      </c>
      <c r="U1526" s="16">
        <f>IF(AC1526=100,Braking!$AG$2354,IF(AC1526=50,Braking!$AG$1179,IF(AC1526=75,Braking!$AG$1767,0)))</f>
        <v>0</v>
      </c>
      <c r="V1526" s="16">
        <f>0.5*'Gearing Calculator'!$C$15*'Gearing Calculator'!$C$20*'Gearing Calculator'!$W$20*('Track Data'!Q1526^2)</f>
        <v>118.56351898425191</v>
      </c>
      <c r="W1526" s="16">
        <f>('Gearing Calculator'!$U$9*'Track Data'!T1526)+'Track Data'!V1526</f>
        <v>1231.2811235679249</v>
      </c>
      <c r="X1526" s="16">
        <f>('Gearing Calculator'!$U$9*9.81)*('Gearing Calculator'!$U$16/'Gearing Calculator'!$C$7)-(('Track Data'!W1526)*('Gearing Calculator'!$U$17/'Gearing Calculator'!$C$7))</f>
        <v>730.0299988710085</v>
      </c>
      <c r="Y1526" s="16">
        <f>('Gearing Calculator'!$U$9*9.81)*(('Gearing Calculator'!$C$7-'Gearing Calculator'!$U$16)/'Gearing Calculator'!$C$7)+(('Track Data'!W1526)*('Gearing Calculator'!$U$17/'Gearing Calculator'!$C$7))</f>
        <v>1881.3920011289915</v>
      </c>
      <c r="Z1526" s="16">
        <f>((X1526*COS('Gearing Calculator'!$C$21))/'Gearing Calculator'!$C$22)/2</f>
        <v>22.570218676919342</v>
      </c>
      <c r="AA1526" s="16">
        <f>Y1526/'Gearing Calculator'!$C$24</f>
        <v>26.270542611431697</v>
      </c>
      <c r="AB1526" s="16">
        <f t="shared" ref="AB1526:AB1589" si="170">(T1526*O1526)+V1526</f>
        <v>135.28354309520117</v>
      </c>
      <c r="AC1526" s="16">
        <v>0</v>
      </c>
      <c r="AD1526" s="16">
        <v>0</v>
      </c>
      <c r="AE1526" s="16">
        <v>1523</v>
      </c>
      <c r="AF1526" s="16">
        <f>IF(AC1526=0,IF(O1526=6,INDEX(Acceleration!$V$4:$V$110,MATCH('Track Data'!S1526,Acceleration!$K$4:$K$110,0)),IF('Track Data'!O1526=5,INDEX(Acceleration!$U$4:$U$110,MATCH('Track Data'!S1526,Acceleration!$K$4:$K$110,0)),1)),U1526)</f>
        <v>1</v>
      </c>
      <c r="AG1526" s="16">
        <f>IF(AC1526=0,IF(O1526=4,INDEX(Acceleration!$T$4:$T$110,MATCH('Track Data'!S1526,Acceleration!$K$4:$K$110,0)),IF('Track Data'!O1526=3,INDEX(Acceleration!$S$4:$S$110,MATCH('Track Data'!S1526,Acceleration!$K$4:$K$110,0)),'Track Data'!AF1526)),'Track Data'!U1526)</f>
        <v>4.1800060277373143</v>
      </c>
      <c r="AH1526" s="16">
        <f>IF(AC1526=0,IF(O1526=2,INDEX(Acceleration!$R$4:$R$110,MATCH('Track Data'!S1526,Acceleration!$K$4:$K$110,0)),IF('Track Data'!O1526=1,INDEX(Acceleration!$Q$4:$Q$110,MATCH('Track Data'!S1526,Acceleration!$K$4:$K$110,0)),'Track Data'!AG1526)),'Track Data'!U1526)</f>
        <v>4.1800060277373143</v>
      </c>
    </row>
    <row r="1527" spans="2:34" x14ac:dyDescent="0.25">
      <c r="B1527" s="16">
        <v>239.29400000000001</v>
      </c>
      <c r="C1527" s="16">
        <v>8797</v>
      </c>
      <c r="D1527" s="16">
        <v>1524</v>
      </c>
      <c r="E1527" s="113">
        <v>150</v>
      </c>
      <c r="F1527" s="113">
        <v>148.4</v>
      </c>
      <c r="G1527" s="113">
        <v>148</v>
      </c>
      <c r="H1527" s="113">
        <f t="shared" si="166"/>
        <v>41.111111111111107</v>
      </c>
      <c r="I1527" s="113">
        <v>6.7</v>
      </c>
      <c r="J1527" s="113">
        <v>9.9700000000000006</v>
      </c>
      <c r="K1527" s="113">
        <v>3.8</v>
      </c>
      <c r="L1527" s="185"/>
      <c r="M1527" s="16">
        <v>1524</v>
      </c>
      <c r="N1527" s="16">
        <f t="shared" si="168"/>
        <v>2.9766985193168935E-2</v>
      </c>
      <c r="O1527" s="16">
        <v>4</v>
      </c>
      <c r="P1527" s="16">
        <f t="shared" si="164"/>
        <v>9.1833785004516724</v>
      </c>
      <c r="Q1527" s="16">
        <f t="shared" si="169"/>
        <v>33.594265375234727</v>
      </c>
      <c r="R1527" s="113">
        <f t="shared" si="165"/>
        <v>329.49099999999999</v>
      </c>
      <c r="S1527" s="16">
        <f>IF(S1526=15800,15800,ROUND((((Q1527*60)/'Gearing Calculator'!$C$14)*'Track Data'!P1527),-2))</f>
        <v>9400</v>
      </c>
      <c r="T1527" s="16">
        <f t="shared" si="167"/>
        <v>4.2602060848935102</v>
      </c>
      <c r="U1527" s="16">
        <f>IF(AC1527=100,Braking!$AG$2354,IF(AC1527=50,Braking!$AG$1179,IF(AC1527=75,Braking!$AG$1767,0)))</f>
        <v>0</v>
      </c>
      <c r="V1527" s="16">
        <f>0.5*'Gearing Calculator'!$C$15*'Gearing Calculator'!$C$20*'Gearing Calculator'!$W$20*('Track Data'!Q1527^2)</f>
        <v>119.44834266020338</v>
      </c>
      <c r="W1527" s="16">
        <f>('Gearing Calculator'!$U$9*'Track Data'!T1527)+'Track Data'!V1527</f>
        <v>1253.5152024588558</v>
      </c>
      <c r="X1527" s="16">
        <f>('Gearing Calculator'!$U$9*9.81)*('Gearing Calculator'!$U$16/'Gearing Calculator'!$C$7)-(('Track Data'!W1527)*('Gearing Calculator'!$U$17/'Gearing Calculator'!$C$7))</f>
        <v>717.91090742720075</v>
      </c>
      <c r="Y1527" s="16">
        <f>('Gearing Calculator'!$U$9*9.81)*(('Gearing Calculator'!$C$7-'Gearing Calculator'!$U$16)/'Gearing Calculator'!$C$7)+(('Track Data'!W1527)*('Gearing Calculator'!$U$17/'Gearing Calculator'!$C$7))</f>
        <v>1893.5110925727993</v>
      </c>
      <c r="Z1527" s="16">
        <f>((X1527*COS('Gearing Calculator'!$C$21))/'Gearing Calculator'!$C$22)/2</f>
        <v>22.195534698897429</v>
      </c>
      <c r="AA1527" s="16">
        <f>Y1527/'Gearing Calculator'!$C$24</f>
        <v>26.439765775979719</v>
      </c>
      <c r="AB1527" s="16">
        <f t="shared" si="170"/>
        <v>136.48916699977741</v>
      </c>
      <c r="AC1527" s="16">
        <v>0</v>
      </c>
      <c r="AD1527" s="16">
        <v>0</v>
      </c>
      <c r="AE1527" s="16">
        <v>1524</v>
      </c>
      <c r="AF1527" s="16">
        <f>IF(AC1527=0,IF(O1527=6,INDEX(Acceleration!$V$4:$V$110,MATCH('Track Data'!S1527,Acceleration!$K$4:$K$110,0)),IF('Track Data'!O1527=5,INDEX(Acceleration!$U$4:$U$110,MATCH('Track Data'!S1527,Acceleration!$K$4:$K$110,0)),1)),U1527)</f>
        <v>1</v>
      </c>
      <c r="AG1527" s="16">
        <f>IF(AC1527=0,IF(O1527=4,INDEX(Acceleration!$T$4:$T$110,MATCH('Track Data'!S1527,Acceleration!$K$4:$K$110,0)),IF('Track Data'!O1527=3,INDEX(Acceleration!$S$4:$S$110,MATCH('Track Data'!S1527,Acceleration!$K$4:$K$110,0)),'Track Data'!AF1527)),'Track Data'!U1527)</f>
        <v>4.2602060848935102</v>
      </c>
      <c r="AH1527" s="16">
        <f>IF(AC1527=0,IF(O1527=2,INDEX(Acceleration!$R$4:$R$110,MATCH('Track Data'!S1527,Acceleration!$K$4:$K$110,0)),IF('Track Data'!O1527=1,INDEX(Acceleration!$Q$4:$Q$110,MATCH('Track Data'!S1527,Acceleration!$K$4:$K$110,0)),'Track Data'!AG1527)),'Track Data'!U1527)</f>
        <v>4.2602060848935102</v>
      </c>
    </row>
    <row r="1528" spans="2:34" x14ac:dyDescent="0.25">
      <c r="B1528" s="16">
        <v>239.31899999999999</v>
      </c>
      <c r="C1528" s="16">
        <v>8798</v>
      </c>
      <c r="D1528" s="16">
        <v>1525</v>
      </c>
      <c r="E1528" s="113">
        <v>151</v>
      </c>
      <c r="F1528" s="113">
        <v>148.5</v>
      </c>
      <c r="G1528" s="113">
        <v>148.4</v>
      </c>
      <c r="H1528" s="113">
        <f t="shared" si="166"/>
        <v>41.222222222222221</v>
      </c>
      <c r="I1528" s="113">
        <v>6</v>
      </c>
      <c r="J1528" s="113">
        <v>12.03</v>
      </c>
      <c r="K1528" s="113">
        <v>4.9000000000000004</v>
      </c>
      <c r="L1528" s="185"/>
      <c r="M1528" s="16">
        <v>1525</v>
      </c>
      <c r="N1528" s="16">
        <f t="shared" si="168"/>
        <v>2.9655251402483658E-2</v>
      </c>
      <c r="O1528" s="16">
        <v>4</v>
      </c>
      <c r="P1528" s="16">
        <f t="shared" si="164"/>
        <v>9.1833785004516724</v>
      </c>
      <c r="Q1528" s="16">
        <f t="shared" si="169"/>
        <v>33.720840414667634</v>
      </c>
      <c r="R1528" s="113">
        <f t="shared" si="165"/>
        <v>329.49099999999999</v>
      </c>
      <c r="S1528" s="16">
        <f>IF(S1527=15800,15800,ROUND((((Q1528*60)/'Gearing Calculator'!$C$14)*'Track Data'!P1528),-2))</f>
        <v>9400</v>
      </c>
      <c r="T1528" s="16">
        <f t="shared" si="167"/>
        <v>4.2602060848935102</v>
      </c>
      <c r="U1528" s="16">
        <f>IF(AC1528=100,Braking!$AG$2354,IF(AC1528=50,Braking!$AG$1179,IF(AC1528=75,Braking!$AG$1767,0)))</f>
        <v>0</v>
      </c>
      <c r="V1528" s="16">
        <f>0.5*'Gearing Calculator'!$C$15*'Gearing Calculator'!$C$20*'Gearing Calculator'!$W$20*('Track Data'!Q1528^2)</f>
        <v>120.35014308425366</v>
      </c>
      <c r="W1528" s="16">
        <f>('Gearing Calculator'!$U$9*'Track Data'!T1528)+'Track Data'!V1528</f>
        <v>1254.417002882906</v>
      </c>
      <c r="X1528" s="16">
        <f>('Gearing Calculator'!$U$9*9.81)*('Gearing Calculator'!$U$16/'Gearing Calculator'!$C$7)-(('Track Data'!W1528)*('Gearing Calculator'!$U$17/'Gearing Calculator'!$C$7))</f>
        <v>717.41936460877594</v>
      </c>
      <c r="Y1528" s="16">
        <f>('Gearing Calculator'!$U$9*9.81)*(('Gearing Calculator'!$C$7-'Gearing Calculator'!$U$16)/'Gearing Calculator'!$C$7)+(('Track Data'!W1528)*('Gearing Calculator'!$U$17/'Gearing Calculator'!$C$7))</f>
        <v>1894.002635391224</v>
      </c>
      <c r="Z1528" s="16">
        <f>((X1528*COS('Gearing Calculator'!$C$21))/'Gearing Calculator'!$C$22)/2</f>
        <v>22.180337749569219</v>
      </c>
      <c r="AA1528" s="16">
        <f>Y1528/'Gearing Calculator'!$C$24</f>
        <v>26.446629362382247</v>
      </c>
      <c r="AB1528" s="16">
        <f t="shared" si="170"/>
        <v>137.3909674238277</v>
      </c>
      <c r="AC1528" s="16">
        <v>0</v>
      </c>
      <c r="AD1528" s="16">
        <v>0</v>
      </c>
      <c r="AE1528" s="16">
        <v>1525</v>
      </c>
      <c r="AF1528" s="16">
        <f>IF(AC1528=0,IF(O1528=6,INDEX(Acceleration!$V$4:$V$110,MATCH('Track Data'!S1528,Acceleration!$K$4:$K$110,0)),IF('Track Data'!O1528=5,INDEX(Acceleration!$U$4:$U$110,MATCH('Track Data'!S1528,Acceleration!$K$4:$K$110,0)),1)),U1528)</f>
        <v>1</v>
      </c>
      <c r="AG1528" s="16">
        <f>IF(AC1528=0,IF(O1528=4,INDEX(Acceleration!$T$4:$T$110,MATCH('Track Data'!S1528,Acceleration!$K$4:$K$110,0)),IF('Track Data'!O1528=3,INDEX(Acceleration!$S$4:$S$110,MATCH('Track Data'!S1528,Acceleration!$K$4:$K$110,0)),'Track Data'!AF1528)),'Track Data'!U1528)</f>
        <v>4.2602060848935102</v>
      </c>
      <c r="AH1528" s="16">
        <f>IF(AC1528=0,IF(O1528=2,INDEX(Acceleration!$R$4:$R$110,MATCH('Track Data'!S1528,Acceleration!$K$4:$K$110,0)),IF('Track Data'!O1528=1,INDEX(Acceleration!$Q$4:$Q$110,MATCH('Track Data'!S1528,Acceleration!$K$4:$K$110,0)),'Track Data'!AG1528)),'Track Data'!U1528)</f>
        <v>4.2602060848935102</v>
      </c>
    </row>
    <row r="1529" spans="2:34" x14ac:dyDescent="0.25">
      <c r="B1529" s="16">
        <v>239.34299999999999</v>
      </c>
      <c r="C1529" s="16">
        <v>8799</v>
      </c>
      <c r="D1529" s="16">
        <v>1526</v>
      </c>
      <c r="E1529" s="113">
        <v>150</v>
      </c>
      <c r="F1529" s="113">
        <v>149.19999999999999</v>
      </c>
      <c r="G1529" s="113">
        <v>149</v>
      </c>
      <c r="H1529" s="113">
        <f t="shared" si="166"/>
        <v>41.388888888888886</v>
      </c>
      <c r="I1529" s="113">
        <v>5.9</v>
      </c>
      <c r="J1529" s="113">
        <v>11.35</v>
      </c>
      <c r="K1529" s="113">
        <v>6.5</v>
      </c>
      <c r="L1529" s="185"/>
      <c r="M1529" s="16">
        <v>1526</v>
      </c>
      <c r="N1529" s="16">
        <f t="shared" si="168"/>
        <v>2.9544766456117866E-2</v>
      </c>
      <c r="O1529" s="16">
        <v>4</v>
      </c>
      <c r="P1529" s="16">
        <f t="shared" si="164"/>
        <v>9.1833785004516724</v>
      </c>
      <c r="Q1529" s="16">
        <f t="shared" si="169"/>
        <v>33.846942113598224</v>
      </c>
      <c r="R1529" s="113">
        <f t="shared" si="165"/>
        <v>329.49099999999999</v>
      </c>
      <c r="S1529" s="16">
        <f>IF(S1528=15800,15800,ROUND((((Q1529*60)/'Gearing Calculator'!$C$14)*'Track Data'!P1529),-2))</f>
        <v>9400</v>
      </c>
      <c r="T1529" s="16">
        <f t="shared" si="167"/>
        <v>4.2602060848935102</v>
      </c>
      <c r="U1529" s="16">
        <f>IF(AC1529=100,Braking!$AG$2354,IF(AC1529=50,Braking!$AG$1179,IF(AC1529=75,Braking!$AG$1767,0)))</f>
        <v>0</v>
      </c>
      <c r="V1529" s="16">
        <f>0.5*'Gearing Calculator'!$C$15*'Gearing Calculator'!$C$20*'Gearing Calculator'!$W$20*('Track Data'!Q1529^2)</f>
        <v>121.2519435083039</v>
      </c>
      <c r="W1529" s="16">
        <f>('Gearing Calculator'!$U$9*'Track Data'!T1529)+'Track Data'!V1529</f>
        <v>1255.3188033069562</v>
      </c>
      <c r="X1529" s="16">
        <f>('Gearing Calculator'!$U$9*9.81)*('Gearing Calculator'!$U$16/'Gearing Calculator'!$C$7)-(('Track Data'!W1529)*('Gearing Calculator'!$U$17/'Gearing Calculator'!$C$7))</f>
        <v>716.92782179035112</v>
      </c>
      <c r="Y1529" s="16">
        <f>('Gearing Calculator'!$U$9*9.81)*(('Gearing Calculator'!$C$7-'Gearing Calculator'!$U$16)/'Gearing Calculator'!$C$7)+(('Track Data'!W1529)*('Gearing Calculator'!$U$17/'Gearing Calculator'!$C$7))</f>
        <v>1894.4941782096489</v>
      </c>
      <c r="Z1529" s="16">
        <f>((X1529*COS('Gearing Calculator'!$C$21))/'Gearing Calculator'!$C$22)/2</f>
        <v>22.165140800241005</v>
      </c>
      <c r="AA1529" s="16">
        <f>Y1529/'Gearing Calculator'!$C$24</f>
        <v>26.453492948784774</v>
      </c>
      <c r="AB1529" s="16">
        <f t="shared" si="170"/>
        <v>138.29276784787794</v>
      </c>
      <c r="AC1529" s="16">
        <v>0</v>
      </c>
      <c r="AD1529" s="16">
        <v>0</v>
      </c>
      <c r="AE1529" s="16">
        <v>1526</v>
      </c>
      <c r="AF1529" s="16">
        <f>IF(AC1529=0,IF(O1529=6,INDEX(Acceleration!$V$4:$V$110,MATCH('Track Data'!S1529,Acceleration!$K$4:$K$110,0)),IF('Track Data'!O1529=5,INDEX(Acceleration!$U$4:$U$110,MATCH('Track Data'!S1529,Acceleration!$K$4:$K$110,0)),1)),U1529)</f>
        <v>1</v>
      </c>
      <c r="AG1529" s="16">
        <f>IF(AC1529=0,IF(O1529=4,INDEX(Acceleration!$T$4:$T$110,MATCH('Track Data'!S1529,Acceleration!$K$4:$K$110,0)),IF('Track Data'!O1529=3,INDEX(Acceleration!$S$4:$S$110,MATCH('Track Data'!S1529,Acceleration!$K$4:$K$110,0)),'Track Data'!AF1529)),'Track Data'!U1529)</f>
        <v>4.2602060848935102</v>
      </c>
      <c r="AH1529" s="16">
        <f>IF(AC1529=0,IF(O1529=2,INDEX(Acceleration!$R$4:$R$110,MATCH('Track Data'!S1529,Acceleration!$K$4:$K$110,0)),IF('Track Data'!O1529=1,INDEX(Acceleration!$Q$4:$Q$110,MATCH('Track Data'!S1529,Acceleration!$K$4:$K$110,0)),'Track Data'!AG1529)),'Track Data'!U1529)</f>
        <v>4.2602060848935102</v>
      </c>
    </row>
    <row r="1530" spans="2:34" x14ac:dyDescent="0.25">
      <c r="B1530" s="16">
        <v>239.36699999999999</v>
      </c>
      <c r="C1530" s="16">
        <v>8800</v>
      </c>
      <c r="D1530" s="16">
        <v>1527</v>
      </c>
      <c r="E1530" s="113">
        <v>150</v>
      </c>
      <c r="F1530" s="113">
        <v>149.6</v>
      </c>
      <c r="G1530" s="113">
        <v>149.30000000000001</v>
      </c>
      <c r="H1530" s="113">
        <f t="shared" si="166"/>
        <v>41.472222222222221</v>
      </c>
      <c r="I1530" s="113">
        <v>5.9</v>
      </c>
      <c r="J1530" s="113">
        <v>11.13</v>
      </c>
      <c r="K1530" s="113">
        <v>7.4</v>
      </c>
      <c r="L1530" s="185"/>
      <c r="M1530" s="16">
        <v>1527</v>
      </c>
      <c r="N1530" s="16">
        <f t="shared" si="168"/>
        <v>2.9435507262273702E-2</v>
      </c>
      <c r="O1530" s="16">
        <v>4</v>
      </c>
      <c r="P1530" s="16">
        <f t="shared" si="164"/>
        <v>9.1833785004516724</v>
      </c>
      <c r="Q1530" s="16">
        <f t="shared" si="169"/>
        <v>33.972575742958554</v>
      </c>
      <c r="R1530" s="113">
        <f t="shared" si="165"/>
        <v>329.49099999999999</v>
      </c>
      <c r="S1530" s="16">
        <f>IF(S1529=15800,15800,ROUND((((Q1530*60)/'Gearing Calculator'!$C$14)*'Track Data'!P1530),-2))</f>
        <v>9500</v>
      </c>
      <c r="T1530" s="16">
        <f t="shared" si="167"/>
        <v>4.3385215745903674</v>
      </c>
      <c r="U1530" s="16">
        <f>IF(AC1530=100,Braking!$AG$2354,IF(AC1530=50,Braking!$AG$1179,IF(AC1530=75,Braking!$AG$1767,0)))</f>
        <v>0</v>
      </c>
      <c r="V1530" s="16">
        <f>0.5*'Gearing Calculator'!$C$15*'Gearing Calculator'!$C$20*'Gearing Calculator'!$W$20*('Track Data'!Q1530^2)</f>
        <v>122.15374393235416</v>
      </c>
      <c r="W1530" s="16">
        <f>('Gearing Calculator'!$U$9*'Track Data'!T1530)+'Track Data'!V1530</f>
        <v>1277.06818708831</v>
      </c>
      <c r="X1530" s="16">
        <f>('Gearing Calculator'!$U$9*9.81)*('Gearing Calculator'!$U$16/'Gearing Calculator'!$C$7)-(('Track Data'!W1530)*('Gearing Calculator'!$U$17/'Gearing Calculator'!$C$7))</f>
        <v>705.07292228290135</v>
      </c>
      <c r="Y1530" s="16">
        <f>('Gearing Calculator'!$U$9*9.81)*(('Gearing Calculator'!$C$7-'Gearing Calculator'!$U$16)/'Gearing Calculator'!$C$7)+(('Track Data'!W1530)*('Gearing Calculator'!$U$17/'Gearing Calculator'!$C$7))</f>
        <v>1906.3490777170987</v>
      </c>
      <c r="Z1530" s="16">
        <f>((X1530*COS('Gearing Calculator'!$C$21))/'Gearing Calculator'!$C$22)/2</f>
        <v>21.798624801323374</v>
      </c>
      <c r="AA1530" s="16">
        <f>Y1530/'Gearing Calculator'!$C$24</f>
        <v>26.619027107789286</v>
      </c>
      <c r="AB1530" s="16">
        <f t="shared" si="170"/>
        <v>139.50783023071563</v>
      </c>
      <c r="AC1530" s="16">
        <v>0</v>
      </c>
      <c r="AD1530" s="16">
        <v>0</v>
      </c>
      <c r="AE1530" s="16">
        <v>1527</v>
      </c>
      <c r="AF1530" s="16">
        <f>IF(AC1530=0,IF(O1530=6,INDEX(Acceleration!$V$4:$V$110,MATCH('Track Data'!S1530,Acceleration!$K$4:$K$110,0)),IF('Track Data'!O1530=5,INDEX(Acceleration!$U$4:$U$110,MATCH('Track Data'!S1530,Acceleration!$K$4:$K$110,0)),1)),U1530)</f>
        <v>1</v>
      </c>
      <c r="AG1530" s="16">
        <f>IF(AC1530=0,IF(O1530=4,INDEX(Acceleration!$T$4:$T$110,MATCH('Track Data'!S1530,Acceleration!$K$4:$K$110,0)),IF('Track Data'!O1530=3,INDEX(Acceleration!$S$4:$S$110,MATCH('Track Data'!S1530,Acceleration!$K$4:$K$110,0)),'Track Data'!AF1530)),'Track Data'!U1530)</f>
        <v>4.3385215745903674</v>
      </c>
      <c r="AH1530" s="16">
        <f>IF(AC1530=0,IF(O1530=2,INDEX(Acceleration!$R$4:$R$110,MATCH('Track Data'!S1530,Acceleration!$K$4:$K$110,0)),IF('Track Data'!O1530=1,INDEX(Acceleration!$Q$4:$Q$110,MATCH('Track Data'!S1530,Acceleration!$K$4:$K$110,0)),'Track Data'!AG1530)),'Track Data'!U1530)</f>
        <v>4.3385215745903674</v>
      </c>
    </row>
    <row r="1531" spans="2:34" x14ac:dyDescent="0.25">
      <c r="B1531" s="16">
        <v>239.39099999999999</v>
      </c>
      <c r="C1531" s="16">
        <v>8801</v>
      </c>
      <c r="D1531" s="16">
        <v>1528</v>
      </c>
      <c r="E1531" s="113">
        <v>152</v>
      </c>
      <c r="F1531" s="113">
        <v>150.30000000000001</v>
      </c>
      <c r="G1531" s="113">
        <v>149.9</v>
      </c>
      <c r="H1531" s="113">
        <f t="shared" si="166"/>
        <v>41.638888888888893</v>
      </c>
      <c r="I1531" s="113">
        <v>4.2</v>
      </c>
      <c r="J1531" s="113">
        <v>11.43</v>
      </c>
      <c r="K1531" s="113">
        <v>7.4</v>
      </c>
      <c r="L1531" s="185"/>
      <c r="M1531" s="16">
        <v>1528</v>
      </c>
      <c r="N1531" s="16">
        <f t="shared" si="168"/>
        <v>2.9325476051217925E-2</v>
      </c>
      <c r="O1531" s="16">
        <v>4</v>
      </c>
      <c r="P1531" s="16">
        <f t="shared" si="164"/>
        <v>9.1833785004516724</v>
      </c>
      <c r="Q1531" s="16">
        <f t="shared" si="169"/>
        <v>34.100043192937996</v>
      </c>
      <c r="R1531" s="113">
        <f t="shared" si="165"/>
        <v>329.49099999999999</v>
      </c>
      <c r="S1531" s="16">
        <f>IF(S1530=15800,15800,ROUND((((Q1531*60)/'Gearing Calculator'!$C$14)*'Track Data'!P1531),-2))</f>
        <v>9500</v>
      </c>
      <c r="T1531" s="16">
        <f t="shared" si="167"/>
        <v>4.3385215745903674</v>
      </c>
      <c r="U1531" s="16">
        <f>IF(AC1531=100,Braking!$AG$2354,IF(AC1531=50,Braking!$AG$1179,IF(AC1531=75,Braking!$AG$1767,0)))</f>
        <v>0</v>
      </c>
      <c r="V1531" s="16">
        <f>0.5*'Gearing Calculator'!$C$15*'Gearing Calculator'!$C$20*'Gearing Calculator'!$W$20*('Track Data'!Q1531^2)</f>
        <v>123.07212217926347</v>
      </c>
      <c r="W1531" s="16">
        <f>('Gearing Calculator'!$U$9*'Track Data'!T1531)+'Track Data'!V1531</f>
        <v>1277.9865653352192</v>
      </c>
      <c r="X1531" s="16">
        <f>('Gearing Calculator'!$U$9*9.81)*('Gearing Calculator'!$U$16/'Gearing Calculator'!$C$7)-(('Track Data'!W1531)*('Gearing Calculator'!$U$17/'Gearing Calculator'!$C$7))</f>
        <v>704.57234341885692</v>
      </c>
      <c r="Y1531" s="16">
        <f>('Gearing Calculator'!$U$9*9.81)*(('Gearing Calculator'!$C$7-'Gearing Calculator'!$U$16)/'Gearing Calculator'!$C$7)+(('Track Data'!W1531)*('Gearing Calculator'!$U$17/'Gearing Calculator'!$C$7))</f>
        <v>1906.8496565811431</v>
      </c>
      <c r="Z1531" s="16">
        <f>((X1531*COS('Gearing Calculator'!$C$21))/'Gearing Calculator'!$C$22)/2</f>
        <v>21.783148486043181</v>
      </c>
      <c r="AA1531" s="16">
        <f>Y1531/'Gearing Calculator'!$C$24</f>
        <v>26.626016867695977</v>
      </c>
      <c r="AB1531" s="16">
        <f t="shared" si="170"/>
        <v>140.42620847762495</v>
      </c>
      <c r="AC1531" s="16">
        <v>0</v>
      </c>
      <c r="AD1531" s="16">
        <v>0</v>
      </c>
      <c r="AE1531" s="16">
        <v>1528</v>
      </c>
      <c r="AF1531" s="16">
        <f>IF(AC1531=0,IF(O1531=6,INDEX(Acceleration!$V$4:$V$110,MATCH('Track Data'!S1531,Acceleration!$K$4:$K$110,0)),IF('Track Data'!O1531=5,INDEX(Acceleration!$U$4:$U$110,MATCH('Track Data'!S1531,Acceleration!$K$4:$K$110,0)),1)),U1531)</f>
        <v>1</v>
      </c>
      <c r="AG1531" s="16">
        <f>IF(AC1531=0,IF(O1531=4,INDEX(Acceleration!$T$4:$T$110,MATCH('Track Data'!S1531,Acceleration!$K$4:$K$110,0)),IF('Track Data'!O1531=3,INDEX(Acceleration!$S$4:$S$110,MATCH('Track Data'!S1531,Acceleration!$K$4:$K$110,0)),'Track Data'!AF1531)),'Track Data'!U1531)</f>
        <v>4.3385215745903674</v>
      </c>
      <c r="AH1531" s="16">
        <f>IF(AC1531=0,IF(O1531=2,INDEX(Acceleration!$R$4:$R$110,MATCH('Track Data'!S1531,Acceleration!$K$4:$K$110,0)),IF('Track Data'!O1531=1,INDEX(Acceleration!$Q$4:$Q$110,MATCH('Track Data'!S1531,Acceleration!$K$4:$K$110,0)),'Track Data'!AG1531)),'Track Data'!U1531)</f>
        <v>4.3385215745903674</v>
      </c>
    </row>
    <row r="1532" spans="2:34" x14ac:dyDescent="0.25">
      <c r="B1532" s="16">
        <v>239.41499999999999</v>
      </c>
      <c r="C1532" s="16">
        <v>8802</v>
      </c>
      <c r="D1532" s="16">
        <v>1529</v>
      </c>
      <c r="E1532" s="113">
        <v>152</v>
      </c>
      <c r="F1532" s="113">
        <v>150.30000000000001</v>
      </c>
      <c r="G1532" s="113">
        <v>150.30000000000001</v>
      </c>
      <c r="H1532" s="113">
        <f t="shared" si="166"/>
        <v>41.75</v>
      </c>
      <c r="I1532" s="113">
        <v>3.4</v>
      </c>
      <c r="J1532" s="113">
        <v>11.99</v>
      </c>
      <c r="K1532" s="113">
        <v>7.4</v>
      </c>
      <c r="L1532" s="185"/>
      <c r="M1532" s="16">
        <v>1529</v>
      </c>
      <c r="N1532" s="16">
        <f t="shared" si="168"/>
        <v>2.9216669591058467E-2</v>
      </c>
      <c r="O1532" s="16">
        <v>4</v>
      </c>
      <c r="P1532" s="16">
        <f t="shared" si="164"/>
        <v>9.1833785004516724</v>
      </c>
      <c r="Q1532" s="16">
        <f t="shared" si="169"/>
        <v>34.227035935199204</v>
      </c>
      <c r="R1532" s="113">
        <f t="shared" si="165"/>
        <v>329.49099999999999</v>
      </c>
      <c r="S1532" s="16">
        <f>IF(S1531=15800,15800,ROUND((((Q1532*60)/'Gearing Calculator'!$C$14)*'Track Data'!P1532),-2))</f>
        <v>9500</v>
      </c>
      <c r="T1532" s="16">
        <f t="shared" si="167"/>
        <v>4.3385215745903674</v>
      </c>
      <c r="U1532" s="16">
        <f>IF(AC1532=100,Braking!$AG$2354,IF(AC1532=50,Braking!$AG$1179,IF(AC1532=75,Braking!$AG$1767,0)))</f>
        <v>0</v>
      </c>
      <c r="V1532" s="16">
        <f>0.5*'Gearing Calculator'!$C$15*'Gearing Calculator'!$C$20*'Gearing Calculator'!$W$20*('Track Data'!Q1532^2)</f>
        <v>123.99050042617276</v>
      </c>
      <c r="W1532" s="16">
        <f>('Gearing Calculator'!$U$9*'Track Data'!T1532)+'Track Data'!V1532</f>
        <v>1278.9049435821285</v>
      </c>
      <c r="X1532" s="16">
        <f>('Gearing Calculator'!$U$9*9.81)*('Gearing Calculator'!$U$16/'Gearing Calculator'!$C$7)-(('Track Data'!W1532)*('Gearing Calculator'!$U$17/'Gearing Calculator'!$C$7))</f>
        <v>704.07176455481238</v>
      </c>
      <c r="Y1532" s="16">
        <f>('Gearing Calculator'!$U$9*9.81)*(('Gearing Calculator'!$C$7-'Gearing Calculator'!$U$16)/'Gearing Calculator'!$C$7)+(('Track Data'!W1532)*('Gearing Calculator'!$U$17/'Gearing Calculator'!$C$7))</f>
        <v>1907.3502354451875</v>
      </c>
      <c r="Z1532" s="16">
        <f>((X1532*COS('Gearing Calculator'!$C$21))/'Gearing Calculator'!$C$22)/2</f>
        <v>21.767672170762985</v>
      </c>
      <c r="AA1532" s="16">
        <f>Y1532/'Gearing Calculator'!$C$24</f>
        <v>26.633006627602668</v>
      </c>
      <c r="AB1532" s="16">
        <f t="shared" si="170"/>
        <v>141.34458672453422</v>
      </c>
      <c r="AC1532" s="16">
        <v>0</v>
      </c>
      <c r="AD1532" s="16">
        <v>0</v>
      </c>
      <c r="AE1532" s="16">
        <v>1529</v>
      </c>
      <c r="AF1532" s="16">
        <f>IF(AC1532=0,IF(O1532=6,INDEX(Acceleration!$V$4:$V$110,MATCH('Track Data'!S1532,Acceleration!$K$4:$K$110,0)),IF('Track Data'!O1532=5,INDEX(Acceleration!$U$4:$U$110,MATCH('Track Data'!S1532,Acceleration!$K$4:$K$110,0)),1)),U1532)</f>
        <v>1</v>
      </c>
      <c r="AG1532" s="16">
        <f>IF(AC1532=0,IF(O1532=4,INDEX(Acceleration!$T$4:$T$110,MATCH('Track Data'!S1532,Acceleration!$K$4:$K$110,0)),IF('Track Data'!O1532=3,INDEX(Acceleration!$S$4:$S$110,MATCH('Track Data'!S1532,Acceleration!$K$4:$K$110,0)),'Track Data'!AF1532)),'Track Data'!U1532)</f>
        <v>4.3385215745903674</v>
      </c>
      <c r="AH1532" s="16">
        <f>IF(AC1532=0,IF(O1532=2,INDEX(Acceleration!$R$4:$R$110,MATCH('Track Data'!S1532,Acceleration!$K$4:$K$110,0)),IF('Track Data'!O1532=1,INDEX(Acceleration!$Q$4:$Q$110,MATCH('Track Data'!S1532,Acceleration!$K$4:$K$110,0)),'Track Data'!AG1532)),'Track Data'!U1532)</f>
        <v>4.3385215745903674</v>
      </c>
    </row>
    <row r="1533" spans="2:34" x14ac:dyDescent="0.25">
      <c r="B1533" s="16">
        <v>239.43899999999999</v>
      </c>
      <c r="C1533" s="16">
        <v>8803</v>
      </c>
      <c r="D1533" s="16">
        <v>1530</v>
      </c>
      <c r="E1533" s="113">
        <v>153</v>
      </c>
      <c r="F1533" s="113">
        <v>150.19999999999999</v>
      </c>
      <c r="G1533" s="113">
        <v>150.6</v>
      </c>
      <c r="H1533" s="113">
        <f t="shared" si="166"/>
        <v>41.833333333333329</v>
      </c>
      <c r="I1533" s="113">
        <v>3</v>
      </c>
      <c r="J1533" s="113">
        <v>10.86</v>
      </c>
      <c r="K1533" s="113">
        <v>7.4</v>
      </c>
      <c r="L1533" s="185"/>
      <c r="M1533" s="16">
        <v>1530</v>
      </c>
      <c r="N1533" s="16">
        <f t="shared" si="168"/>
        <v>2.910906532805731E-2</v>
      </c>
      <c r="O1533" s="16">
        <v>4</v>
      </c>
      <c r="P1533" s="16">
        <f t="shared" si="164"/>
        <v>9.1833785004516724</v>
      </c>
      <c r="Q1533" s="16">
        <f t="shared" si="169"/>
        <v>34.35355923421325</v>
      </c>
      <c r="R1533" s="113">
        <f t="shared" si="165"/>
        <v>329.49099999999999</v>
      </c>
      <c r="S1533" s="16">
        <f>IF(S1532=15800,15800,ROUND((((Q1533*60)/'Gearing Calculator'!$C$14)*'Track Data'!P1533),-2))</f>
        <v>9600</v>
      </c>
      <c r="T1533" s="16">
        <f t="shared" si="167"/>
        <v>4.4150093246458333</v>
      </c>
      <c r="U1533" s="16">
        <f>IF(AC1533=100,Braking!$AG$2354,IF(AC1533=50,Braking!$AG$1179,IF(AC1533=75,Braking!$AG$1767,0)))</f>
        <v>0</v>
      </c>
      <c r="V1533" s="16">
        <f>0.5*'Gearing Calculator'!$C$15*'Gearing Calculator'!$C$20*'Gearing Calculator'!$W$20*('Track Data'!Q1533^2)</f>
        <v>124.90887867308206</v>
      </c>
      <c r="W1533" s="16">
        <f>('Gearing Calculator'!$U$9*'Track Data'!T1533)+'Track Data'!V1533</f>
        <v>1300.1843608938027</v>
      </c>
      <c r="X1533" s="16">
        <f>('Gearing Calculator'!$U$9*9.81)*('Gearing Calculator'!$U$16/'Gearing Calculator'!$C$7)-(('Track Data'!W1533)*('Gearing Calculator'!$U$17/'Gearing Calculator'!$C$7))</f>
        <v>692.47302886910268</v>
      </c>
      <c r="Y1533" s="16">
        <f>('Gearing Calculator'!$U$9*9.81)*(('Gearing Calculator'!$C$7-'Gearing Calculator'!$U$16)/'Gearing Calculator'!$C$7)+(('Track Data'!W1533)*('Gearing Calculator'!$U$17/'Gearing Calculator'!$C$7))</f>
        <v>1918.9489711308975</v>
      </c>
      <c r="Z1533" s="16">
        <f>((X1533*COS('Gearing Calculator'!$C$21))/'Gearing Calculator'!$C$22)/2</f>
        <v>21.409075947036413</v>
      </c>
      <c r="AA1533" s="16">
        <f>Y1533/'Gearing Calculator'!$C$24</f>
        <v>26.794963880470398</v>
      </c>
      <c r="AB1533" s="16">
        <f t="shared" si="170"/>
        <v>142.56891597166538</v>
      </c>
      <c r="AC1533" s="16">
        <v>0</v>
      </c>
      <c r="AD1533" s="16">
        <v>0</v>
      </c>
      <c r="AE1533" s="16">
        <v>1530</v>
      </c>
      <c r="AF1533" s="16">
        <f>IF(AC1533=0,IF(O1533=6,INDEX(Acceleration!$V$4:$V$110,MATCH('Track Data'!S1533,Acceleration!$K$4:$K$110,0)),IF('Track Data'!O1533=5,INDEX(Acceleration!$U$4:$U$110,MATCH('Track Data'!S1533,Acceleration!$K$4:$K$110,0)),1)),U1533)</f>
        <v>1</v>
      </c>
      <c r="AG1533" s="16">
        <f>IF(AC1533=0,IF(O1533=4,INDEX(Acceleration!$T$4:$T$110,MATCH('Track Data'!S1533,Acceleration!$K$4:$K$110,0)),IF('Track Data'!O1533=3,INDEX(Acceleration!$S$4:$S$110,MATCH('Track Data'!S1533,Acceleration!$K$4:$K$110,0)),'Track Data'!AF1533)),'Track Data'!U1533)</f>
        <v>4.4150093246458333</v>
      </c>
      <c r="AH1533" s="16">
        <f>IF(AC1533=0,IF(O1533=2,INDEX(Acceleration!$R$4:$R$110,MATCH('Track Data'!S1533,Acceleration!$K$4:$K$110,0)),IF('Track Data'!O1533=1,INDEX(Acceleration!$Q$4:$Q$110,MATCH('Track Data'!S1533,Acceleration!$K$4:$K$110,0)),'Track Data'!AG1533)),'Track Data'!U1533)</f>
        <v>4.4150093246458333</v>
      </c>
    </row>
    <row r="1534" spans="2:34" x14ac:dyDescent="0.25">
      <c r="B1534" s="16">
        <v>239.46299999999999</v>
      </c>
      <c r="C1534" s="16">
        <v>8804</v>
      </c>
      <c r="D1534" s="16">
        <v>1531</v>
      </c>
      <c r="E1534" s="113">
        <v>153</v>
      </c>
      <c r="F1534" s="113">
        <v>151.30000000000001</v>
      </c>
      <c r="G1534" s="113">
        <v>151.19999999999999</v>
      </c>
      <c r="H1534" s="113">
        <f t="shared" si="166"/>
        <v>41.999999999999993</v>
      </c>
      <c r="I1534" s="113">
        <v>3.2</v>
      </c>
      <c r="J1534" s="113">
        <v>8.2899999999999991</v>
      </c>
      <c r="K1534" s="113">
        <v>7.8</v>
      </c>
      <c r="L1534" s="185"/>
      <c r="M1534" s="16">
        <v>1531</v>
      </c>
      <c r="N1534" s="16">
        <f t="shared" si="168"/>
        <v>2.9000775496248136E-2</v>
      </c>
      <c r="O1534" s="16">
        <v>4</v>
      </c>
      <c r="P1534" s="16">
        <f t="shared" si="164"/>
        <v>9.1833785004516724</v>
      </c>
      <c r="Q1534" s="16">
        <f t="shared" si="169"/>
        <v>34.481836533280678</v>
      </c>
      <c r="R1534" s="113">
        <f t="shared" si="165"/>
        <v>329.49099999999999</v>
      </c>
      <c r="S1534" s="16">
        <f>IF(S1533=15800,15800,ROUND((((Q1534*60)/'Gearing Calculator'!$C$14)*'Track Data'!P1534),-2))</f>
        <v>9600</v>
      </c>
      <c r="T1534" s="16">
        <f t="shared" si="167"/>
        <v>4.4150093246458333</v>
      </c>
      <c r="U1534" s="16">
        <f>IF(AC1534=100,Braking!$AG$2354,IF(AC1534=50,Braking!$AG$1179,IF(AC1534=75,Braking!$AG$1767,0)))</f>
        <v>0</v>
      </c>
      <c r="V1534" s="16">
        <f>0.5*'Gearing Calculator'!$C$15*'Gearing Calculator'!$C$20*'Gearing Calculator'!$W$20*('Track Data'!Q1534^2)</f>
        <v>125.84344784692308</v>
      </c>
      <c r="W1534" s="16">
        <f>('Gearing Calculator'!$U$9*'Track Data'!T1534)+'Track Data'!V1534</f>
        <v>1301.1189300676438</v>
      </c>
      <c r="X1534" s="16">
        <f>('Gearing Calculator'!$U$9*9.81)*('Gearing Calculator'!$U$16/'Gearing Calculator'!$C$7)-(('Track Data'!W1534)*('Gearing Calculator'!$U$17/'Gearing Calculator'!$C$7))</f>
        <v>691.96362484414158</v>
      </c>
      <c r="Y1534" s="16">
        <f>('Gearing Calculator'!$U$9*9.81)*(('Gearing Calculator'!$C$7-'Gearing Calculator'!$U$16)/'Gearing Calculator'!$C$7)+(('Track Data'!W1534)*('Gearing Calculator'!$U$17/'Gearing Calculator'!$C$7))</f>
        <v>1919.4583751558584</v>
      </c>
      <c r="Z1534" s="16">
        <f>((X1534*COS('Gearing Calculator'!$C$21))/'Gearing Calculator'!$C$22)/2</f>
        <v>21.393326785692285</v>
      </c>
      <c r="AA1534" s="16">
        <f>Y1534/'Gearing Calculator'!$C$24</f>
        <v>26.802076869223484</v>
      </c>
      <c r="AB1534" s="16">
        <f t="shared" si="170"/>
        <v>143.50348514550643</v>
      </c>
      <c r="AC1534" s="16">
        <v>0</v>
      </c>
      <c r="AD1534" s="16">
        <v>0</v>
      </c>
      <c r="AE1534" s="16">
        <v>1531</v>
      </c>
      <c r="AF1534" s="16">
        <f>IF(AC1534=0,IF(O1534=6,INDEX(Acceleration!$V$4:$V$110,MATCH('Track Data'!S1534,Acceleration!$K$4:$K$110,0)),IF('Track Data'!O1534=5,INDEX(Acceleration!$U$4:$U$110,MATCH('Track Data'!S1534,Acceleration!$K$4:$K$110,0)),1)),U1534)</f>
        <v>1</v>
      </c>
      <c r="AG1534" s="16">
        <f>IF(AC1534=0,IF(O1534=4,INDEX(Acceleration!$T$4:$T$110,MATCH('Track Data'!S1534,Acceleration!$K$4:$K$110,0)),IF('Track Data'!O1534=3,INDEX(Acceleration!$S$4:$S$110,MATCH('Track Data'!S1534,Acceleration!$K$4:$K$110,0)),'Track Data'!AF1534)),'Track Data'!U1534)</f>
        <v>4.4150093246458333</v>
      </c>
      <c r="AH1534" s="16">
        <f>IF(AC1534=0,IF(O1534=2,INDEX(Acceleration!$R$4:$R$110,MATCH('Track Data'!S1534,Acceleration!$K$4:$K$110,0)),IF('Track Data'!O1534=1,INDEX(Acceleration!$Q$4:$Q$110,MATCH('Track Data'!S1534,Acceleration!$K$4:$K$110,0)),'Track Data'!AG1534)),'Track Data'!U1534)</f>
        <v>4.4150093246458333</v>
      </c>
    </row>
    <row r="1535" spans="2:34" x14ac:dyDescent="0.25">
      <c r="B1535" s="16">
        <v>239.48599999999999</v>
      </c>
      <c r="C1535" s="16">
        <v>8805</v>
      </c>
      <c r="D1535" s="16">
        <v>1532</v>
      </c>
      <c r="E1535" s="113">
        <v>153</v>
      </c>
      <c r="F1535" s="113">
        <v>152.1</v>
      </c>
      <c r="G1535" s="113">
        <v>151.6</v>
      </c>
      <c r="H1535" s="113">
        <f t="shared" si="166"/>
        <v>42.111111111111107</v>
      </c>
      <c r="I1535" s="113">
        <v>3.3</v>
      </c>
      <c r="J1535" s="113">
        <v>7.17</v>
      </c>
      <c r="K1535" s="113">
        <v>8.1</v>
      </c>
      <c r="L1535" s="185"/>
      <c r="M1535" s="16">
        <v>1532</v>
      </c>
      <c r="N1535" s="16">
        <f t="shared" si="168"/>
        <v>2.8893685301922802E-2</v>
      </c>
      <c r="O1535" s="16">
        <v>4</v>
      </c>
      <c r="P1535" s="16">
        <f t="shared" si="164"/>
        <v>9.1833785004516724</v>
      </c>
      <c r="Q1535" s="16">
        <f t="shared" si="169"/>
        <v>34.609638388130868</v>
      </c>
      <c r="R1535" s="113">
        <f t="shared" si="165"/>
        <v>329.49099999999999</v>
      </c>
      <c r="S1535" s="16">
        <f>IF(S1534=15800,15800,ROUND((((Q1535*60)/'Gearing Calculator'!$C$14)*'Track Data'!P1535),-2))</f>
        <v>9600</v>
      </c>
      <c r="T1535" s="16">
        <f t="shared" si="167"/>
        <v>4.4150093246458333</v>
      </c>
      <c r="U1535" s="16">
        <f>IF(AC1535=100,Braking!$AG$2354,IF(AC1535=50,Braking!$AG$1179,IF(AC1535=75,Braking!$AG$1767,0)))</f>
        <v>0</v>
      </c>
      <c r="V1535" s="16">
        <f>0.5*'Gearing Calculator'!$C$15*'Gearing Calculator'!$C$20*'Gearing Calculator'!$W$20*('Track Data'!Q1535^2)</f>
        <v>126.77801702076412</v>
      </c>
      <c r="W1535" s="16">
        <f>('Gearing Calculator'!$U$9*'Track Data'!T1535)+'Track Data'!V1535</f>
        <v>1302.0534992414848</v>
      </c>
      <c r="X1535" s="16">
        <f>('Gearing Calculator'!$U$9*9.81)*('Gearing Calculator'!$U$16/'Gearing Calculator'!$C$7)-(('Track Data'!W1535)*('Gearing Calculator'!$U$17/'Gearing Calculator'!$C$7))</f>
        <v>691.45422081918048</v>
      </c>
      <c r="Y1535" s="16">
        <f>('Gearing Calculator'!$U$9*9.81)*(('Gearing Calculator'!$C$7-'Gearing Calculator'!$U$16)/'Gearing Calculator'!$C$7)+(('Track Data'!W1535)*('Gearing Calculator'!$U$17/'Gearing Calculator'!$C$7))</f>
        <v>1919.9677791808194</v>
      </c>
      <c r="Z1535" s="16">
        <f>((X1535*COS('Gearing Calculator'!$C$21))/'Gearing Calculator'!$C$22)/2</f>
        <v>21.377577624348152</v>
      </c>
      <c r="AA1535" s="16">
        <f>Y1535/'Gearing Calculator'!$C$24</f>
        <v>26.809189857976566</v>
      </c>
      <c r="AB1535" s="16">
        <f t="shared" si="170"/>
        <v>144.43805431934746</v>
      </c>
      <c r="AC1535" s="16">
        <v>0</v>
      </c>
      <c r="AD1535" s="16">
        <v>0</v>
      </c>
      <c r="AE1535" s="16">
        <v>1532</v>
      </c>
      <c r="AF1535" s="16">
        <f>IF(AC1535=0,IF(O1535=6,INDEX(Acceleration!$V$4:$V$110,MATCH('Track Data'!S1535,Acceleration!$K$4:$K$110,0)),IF('Track Data'!O1535=5,INDEX(Acceleration!$U$4:$U$110,MATCH('Track Data'!S1535,Acceleration!$K$4:$K$110,0)),1)),U1535)</f>
        <v>1</v>
      </c>
      <c r="AG1535" s="16">
        <f>IF(AC1535=0,IF(O1535=4,INDEX(Acceleration!$T$4:$T$110,MATCH('Track Data'!S1535,Acceleration!$K$4:$K$110,0)),IF('Track Data'!O1535=3,INDEX(Acceleration!$S$4:$S$110,MATCH('Track Data'!S1535,Acceleration!$K$4:$K$110,0)),'Track Data'!AF1535)),'Track Data'!U1535)</f>
        <v>4.4150093246458333</v>
      </c>
      <c r="AH1535" s="16">
        <f>IF(AC1535=0,IF(O1535=2,INDEX(Acceleration!$R$4:$R$110,MATCH('Track Data'!S1535,Acceleration!$K$4:$K$110,0)),IF('Track Data'!O1535=1,INDEX(Acceleration!$Q$4:$Q$110,MATCH('Track Data'!S1535,Acceleration!$K$4:$K$110,0)),'Track Data'!AG1535)),'Track Data'!U1535)</f>
        <v>4.4150093246458333</v>
      </c>
    </row>
    <row r="1536" spans="2:34" x14ac:dyDescent="0.25">
      <c r="B1536" s="16">
        <v>239.51</v>
      </c>
      <c r="C1536" s="16">
        <v>8806</v>
      </c>
      <c r="D1536" s="16">
        <v>1533</v>
      </c>
      <c r="E1536" s="113">
        <v>155</v>
      </c>
      <c r="F1536" s="113">
        <v>152.80000000000001</v>
      </c>
      <c r="G1536" s="113">
        <v>152.19999999999999</v>
      </c>
      <c r="H1536" s="113">
        <f t="shared" si="166"/>
        <v>42.277777777777771</v>
      </c>
      <c r="I1536" s="113">
        <v>3.2</v>
      </c>
      <c r="J1536" s="113">
        <v>10.56</v>
      </c>
      <c r="K1536" s="113">
        <v>8.6999999999999993</v>
      </c>
      <c r="L1536" s="185"/>
      <c r="M1536" s="16">
        <v>1533</v>
      </c>
      <c r="N1536" s="16">
        <f t="shared" si="168"/>
        <v>2.8787772758056496E-2</v>
      </c>
      <c r="O1536" s="16">
        <v>4</v>
      </c>
      <c r="P1536" s="16">
        <f t="shared" si="164"/>
        <v>9.1833785004516724</v>
      </c>
      <c r="Q1536" s="16">
        <f t="shared" si="169"/>
        <v>34.736970046428539</v>
      </c>
      <c r="R1536" s="113">
        <f t="shared" si="165"/>
        <v>329.49099999999999</v>
      </c>
      <c r="S1536" s="16">
        <f>IF(S1535=15800,15800,ROUND((((Q1536*60)/'Gearing Calculator'!$C$14)*'Track Data'!P1536),-2))</f>
        <v>9700</v>
      </c>
      <c r="T1536" s="16">
        <f t="shared" si="167"/>
        <v>4.4897238194626912</v>
      </c>
      <c r="U1536" s="16">
        <f>IF(AC1536=100,Braking!$AG$2354,IF(AC1536=50,Braking!$AG$1179,IF(AC1536=75,Braking!$AG$1767,0)))</f>
        <v>0</v>
      </c>
      <c r="V1536" s="16">
        <f>0.5*'Gearing Calculator'!$C$15*'Gearing Calculator'!$C$20*'Gearing Calculator'!$W$20*('Track Data'!Q1536^2)</f>
        <v>127.71258619460514</v>
      </c>
      <c r="W1536" s="16">
        <f>('Gearing Calculator'!$U$9*'Track Data'!T1536)+'Track Data'!V1536</f>
        <v>1322.8770669355736</v>
      </c>
      <c r="X1536" s="16">
        <f>('Gearing Calculator'!$U$9*9.81)*('Gearing Calculator'!$U$16/'Gearing Calculator'!$C$7)-(('Track Data'!W1536)*('Gearing Calculator'!$U$17/'Gearing Calculator'!$C$7))</f>
        <v>680.10395430672702</v>
      </c>
      <c r="Y1536" s="16">
        <f>('Gearing Calculator'!$U$9*9.81)*(('Gearing Calculator'!$C$7-'Gearing Calculator'!$U$16)/'Gearing Calculator'!$C$7)+(('Track Data'!W1536)*('Gearing Calculator'!$U$17/'Gearing Calculator'!$C$7))</f>
        <v>1931.318045693273</v>
      </c>
      <c r="Z1536" s="16">
        <f>((X1536*COS('Gearing Calculator'!$C$21))/'Gearing Calculator'!$C$22)/2</f>
        <v>21.026663281617626</v>
      </c>
      <c r="AA1536" s="16">
        <f>Y1536/'Gearing Calculator'!$C$24</f>
        <v>26.967677647808557</v>
      </c>
      <c r="AB1536" s="16">
        <f t="shared" si="170"/>
        <v>145.67148147245589</v>
      </c>
      <c r="AC1536" s="16">
        <v>0</v>
      </c>
      <c r="AD1536" s="16">
        <v>0</v>
      </c>
      <c r="AE1536" s="16">
        <v>1533</v>
      </c>
      <c r="AF1536" s="16">
        <f>IF(AC1536=0,IF(O1536=6,INDEX(Acceleration!$V$4:$V$110,MATCH('Track Data'!S1536,Acceleration!$K$4:$K$110,0)),IF('Track Data'!O1536=5,INDEX(Acceleration!$U$4:$U$110,MATCH('Track Data'!S1536,Acceleration!$K$4:$K$110,0)),1)),U1536)</f>
        <v>1</v>
      </c>
      <c r="AG1536" s="16">
        <f>IF(AC1536=0,IF(O1536=4,INDEX(Acceleration!$T$4:$T$110,MATCH('Track Data'!S1536,Acceleration!$K$4:$K$110,0)),IF('Track Data'!O1536=3,INDEX(Acceleration!$S$4:$S$110,MATCH('Track Data'!S1536,Acceleration!$K$4:$K$110,0)),'Track Data'!AF1536)),'Track Data'!U1536)</f>
        <v>4.4897238194626912</v>
      </c>
      <c r="AH1536" s="16">
        <f>IF(AC1536=0,IF(O1536=2,INDEX(Acceleration!$R$4:$R$110,MATCH('Track Data'!S1536,Acceleration!$K$4:$K$110,0)),IF('Track Data'!O1536=1,INDEX(Acceleration!$Q$4:$Q$110,MATCH('Track Data'!S1536,Acceleration!$K$4:$K$110,0)),'Track Data'!AG1536)),'Track Data'!U1536)</f>
        <v>4.4897238194626912</v>
      </c>
    </row>
    <row r="1537" spans="2:34" x14ac:dyDescent="0.25">
      <c r="B1537" s="16">
        <v>239.53399999999999</v>
      </c>
      <c r="C1537" s="16">
        <v>8807</v>
      </c>
      <c r="D1537" s="16">
        <v>1534</v>
      </c>
      <c r="E1537" s="113">
        <v>155</v>
      </c>
      <c r="F1537" s="113">
        <v>153.30000000000001</v>
      </c>
      <c r="G1537" s="113">
        <v>152.6</v>
      </c>
      <c r="H1537" s="113">
        <f t="shared" si="166"/>
        <v>42.388888888888886</v>
      </c>
      <c r="I1537" s="113">
        <v>3.3</v>
      </c>
      <c r="J1537" s="113">
        <v>11.51</v>
      </c>
      <c r="K1537" s="113">
        <v>8.3000000000000007</v>
      </c>
      <c r="L1537" s="185"/>
      <c r="M1537" s="16">
        <v>1534</v>
      </c>
      <c r="N1537" s="16">
        <f t="shared" si="168"/>
        <v>2.8681253490559097E-2</v>
      </c>
      <c r="O1537" s="16">
        <v>4</v>
      </c>
      <c r="P1537" s="16">
        <f t="shared" si="164"/>
        <v>9.1833785004516724</v>
      </c>
      <c r="Q1537" s="16">
        <f t="shared" si="169"/>
        <v>34.865979631230772</v>
      </c>
      <c r="R1537" s="113">
        <f t="shared" si="165"/>
        <v>329.49099999999999</v>
      </c>
      <c r="S1537" s="16">
        <f>IF(S1536=15800,15800,ROUND((((Q1537*60)/'Gearing Calculator'!$C$14)*'Track Data'!P1537),-2))</f>
        <v>9700</v>
      </c>
      <c r="T1537" s="16">
        <f t="shared" si="167"/>
        <v>4.4897238194626912</v>
      </c>
      <c r="U1537" s="16">
        <f>IF(AC1537=100,Braking!$AG$2354,IF(AC1537=50,Braking!$AG$1179,IF(AC1537=75,Braking!$AG$1767,0)))</f>
        <v>0</v>
      </c>
      <c r="V1537" s="16">
        <f>0.5*'Gearing Calculator'!$C$15*'Gearing Calculator'!$C$20*'Gearing Calculator'!$W$20*('Track Data'!Q1537^2)</f>
        <v>128.66297093270904</v>
      </c>
      <c r="W1537" s="16">
        <f>('Gearing Calculator'!$U$9*'Track Data'!T1537)+'Track Data'!V1537</f>
        <v>1323.8274516736774</v>
      </c>
      <c r="X1537" s="16">
        <f>('Gearing Calculator'!$U$9*9.81)*('Gearing Calculator'!$U$16/'Gearing Calculator'!$C$7)-(('Track Data'!W1537)*('Gearing Calculator'!$U$17/'Gearing Calculator'!$C$7))</f>
        <v>679.58592971913868</v>
      </c>
      <c r="Y1537" s="16">
        <f>('Gearing Calculator'!$U$9*9.81)*(('Gearing Calculator'!$C$7-'Gearing Calculator'!$U$16)/'Gearing Calculator'!$C$7)+(('Track Data'!W1537)*('Gearing Calculator'!$U$17/'Gearing Calculator'!$C$7))</f>
        <v>1931.8360702808613</v>
      </c>
      <c r="Z1537" s="16">
        <f>((X1537*COS('Gearing Calculator'!$C$21))/'Gearing Calculator'!$C$22)/2</f>
        <v>21.010647599741578</v>
      </c>
      <c r="AA1537" s="16">
        <f>Y1537/'Gearing Calculator'!$C$24</f>
        <v>26.974911008529684</v>
      </c>
      <c r="AB1537" s="16">
        <f t="shared" si="170"/>
        <v>146.6218662105598</v>
      </c>
      <c r="AC1537" s="16">
        <v>0</v>
      </c>
      <c r="AD1537" s="16">
        <v>0</v>
      </c>
      <c r="AE1537" s="16">
        <v>1534</v>
      </c>
      <c r="AF1537" s="16">
        <f>IF(AC1537=0,IF(O1537=6,INDEX(Acceleration!$V$4:$V$110,MATCH('Track Data'!S1537,Acceleration!$K$4:$K$110,0)),IF('Track Data'!O1537=5,INDEX(Acceleration!$U$4:$U$110,MATCH('Track Data'!S1537,Acceleration!$K$4:$K$110,0)),1)),U1537)</f>
        <v>1</v>
      </c>
      <c r="AG1537" s="16">
        <f>IF(AC1537=0,IF(O1537=4,INDEX(Acceleration!$T$4:$T$110,MATCH('Track Data'!S1537,Acceleration!$K$4:$K$110,0)),IF('Track Data'!O1537=3,INDEX(Acceleration!$S$4:$S$110,MATCH('Track Data'!S1537,Acceleration!$K$4:$K$110,0)),'Track Data'!AF1537)),'Track Data'!U1537)</f>
        <v>4.4897238194626912</v>
      </c>
      <c r="AH1537" s="16">
        <f>IF(AC1537=0,IF(O1537=2,INDEX(Acceleration!$R$4:$R$110,MATCH('Track Data'!S1537,Acceleration!$K$4:$K$110,0)),IF('Track Data'!O1537=1,INDEX(Acceleration!$Q$4:$Q$110,MATCH('Track Data'!S1537,Acceleration!$K$4:$K$110,0)),'Track Data'!AG1537)),'Track Data'!U1537)</f>
        <v>4.4897238194626912</v>
      </c>
    </row>
    <row r="1538" spans="2:34" x14ac:dyDescent="0.25">
      <c r="B1538" s="16">
        <v>239.55699999999999</v>
      </c>
      <c r="C1538" s="16">
        <v>8808</v>
      </c>
      <c r="D1538" s="16">
        <v>1535</v>
      </c>
      <c r="E1538" s="113">
        <v>154</v>
      </c>
      <c r="F1538" s="113">
        <v>153.69999999999999</v>
      </c>
      <c r="G1538" s="113">
        <v>152.9</v>
      </c>
      <c r="H1538" s="113">
        <f t="shared" si="166"/>
        <v>42.472222222222221</v>
      </c>
      <c r="I1538" s="113">
        <v>4.8</v>
      </c>
      <c r="J1538" s="113">
        <v>10.8</v>
      </c>
      <c r="K1538" s="113">
        <v>7.7</v>
      </c>
      <c r="L1538" s="185"/>
      <c r="M1538" s="16">
        <v>1535</v>
      </c>
      <c r="N1538" s="16">
        <f t="shared" si="168"/>
        <v>2.8575907953659611E-2</v>
      </c>
      <c r="O1538" s="16">
        <v>4</v>
      </c>
      <c r="P1538" s="16">
        <f t="shared" si="164"/>
        <v>9.1833785004516724</v>
      </c>
      <c r="Q1538" s="16">
        <f t="shared" si="169"/>
        <v>34.994513616913217</v>
      </c>
      <c r="R1538" s="113">
        <f t="shared" si="165"/>
        <v>329.49099999999999</v>
      </c>
      <c r="S1538" s="16">
        <f>IF(S1537=15800,15800,ROUND((((Q1538*60)/'Gearing Calculator'!$C$14)*'Track Data'!P1538),-2))</f>
        <v>9700</v>
      </c>
      <c r="T1538" s="16">
        <f t="shared" si="167"/>
        <v>4.4897238194626912</v>
      </c>
      <c r="U1538" s="16">
        <f>IF(AC1538=100,Braking!$AG$2354,IF(AC1538=50,Braking!$AG$1179,IF(AC1538=75,Braking!$AG$1767,0)))</f>
        <v>0</v>
      </c>
      <c r="V1538" s="16">
        <f>0.5*'Gearing Calculator'!$C$15*'Gearing Calculator'!$C$20*'Gearing Calculator'!$W$20*('Track Data'!Q1538^2)</f>
        <v>129.61335567081289</v>
      </c>
      <c r="W1538" s="16">
        <f>('Gearing Calculator'!$U$9*'Track Data'!T1538)+'Track Data'!V1538</f>
        <v>1324.7778364117812</v>
      </c>
      <c r="X1538" s="16">
        <f>('Gearing Calculator'!$U$9*9.81)*('Gearing Calculator'!$U$16/'Gearing Calculator'!$C$7)-(('Track Data'!W1538)*('Gearing Calculator'!$U$17/'Gearing Calculator'!$C$7))</f>
        <v>679.06790513155045</v>
      </c>
      <c r="Y1538" s="16">
        <f>('Gearing Calculator'!$U$9*9.81)*(('Gearing Calculator'!$C$7-'Gearing Calculator'!$U$16)/'Gearing Calculator'!$C$7)+(('Track Data'!W1538)*('Gearing Calculator'!$U$17/'Gearing Calculator'!$C$7))</f>
        <v>1932.3540948684495</v>
      </c>
      <c r="Z1538" s="16">
        <f>((X1538*COS('Gearing Calculator'!$C$21))/'Gearing Calculator'!$C$22)/2</f>
        <v>20.994631917865529</v>
      </c>
      <c r="AA1538" s="16">
        <f>Y1538/'Gearing Calculator'!$C$24</f>
        <v>26.982144369250808</v>
      </c>
      <c r="AB1538" s="16">
        <f t="shared" si="170"/>
        <v>147.57225094866365</v>
      </c>
      <c r="AC1538" s="16">
        <v>0</v>
      </c>
      <c r="AD1538" s="16">
        <v>0</v>
      </c>
      <c r="AE1538" s="16">
        <v>1535</v>
      </c>
      <c r="AF1538" s="16">
        <f>IF(AC1538=0,IF(O1538=6,INDEX(Acceleration!$V$4:$V$110,MATCH('Track Data'!S1538,Acceleration!$K$4:$K$110,0)),IF('Track Data'!O1538=5,INDEX(Acceleration!$U$4:$U$110,MATCH('Track Data'!S1538,Acceleration!$K$4:$K$110,0)),1)),U1538)</f>
        <v>1</v>
      </c>
      <c r="AG1538" s="16">
        <f>IF(AC1538=0,IF(O1538=4,INDEX(Acceleration!$T$4:$T$110,MATCH('Track Data'!S1538,Acceleration!$K$4:$K$110,0)),IF('Track Data'!O1538=3,INDEX(Acceleration!$S$4:$S$110,MATCH('Track Data'!S1538,Acceleration!$K$4:$K$110,0)),'Track Data'!AF1538)),'Track Data'!U1538)</f>
        <v>4.4897238194626912</v>
      </c>
      <c r="AH1538" s="16">
        <f>IF(AC1538=0,IF(O1538=2,INDEX(Acceleration!$R$4:$R$110,MATCH('Track Data'!S1538,Acceleration!$K$4:$K$110,0)),IF('Track Data'!O1538=1,INDEX(Acceleration!$Q$4:$Q$110,MATCH('Track Data'!S1538,Acceleration!$K$4:$K$110,0)),'Track Data'!AG1538)),'Track Data'!U1538)</f>
        <v>4.4897238194626912</v>
      </c>
    </row>
    <row r="1539" spans="2:34" x14ac:dyDescent="0.25">
      <c r="B1539" s="16">
        <v>239.58099999999999</v>
      </c>
      <c r="C1539" s="16">
        <v>8809</v>
      </c>
      <c r="D1539" s="16">
        <v>1536</v>
      </c>
      <c r="E1539" s="113">
        <v>155</v>
      </c>
      <c r="F1539" s="113">
        <v>154.19999999999999</v>
      </c>
      <c r="G1539" s="113">
        <v>153.5</v>
      </c>
      <c r="H1539" s="113">
        <f t="shared" si="166"/>
        <v>42.638888888888886</v>
      </c>
      <c r="I1539" s="113">
        <v>5.9</v>
      </c>
      <c r="J1539" s="113">
        <v>11.43</v>
      </c>
      <c r="K1539" s="113">
        <v>6.7</v>
      </c>
      <c r="L1539" s="185"/>
      <c r="M1539" s="16">
        <v>1536</v>
      </c>
      <c r="N1539" s="16">
        <f t="shared" si="168"/>
        <v>2.8471714749034926E-2</v>
      </c>
      <c r="O1539" s="16">
        <v>4</v>
      </c>
      <c r="P1539" s="16">
        <f t="shared" si="164"/>
        <v>9.1833785004516724</v>
      </c>
      <c r="Q1539" s="16">
        <f t="shared" si="169"/>
        <v>35.122577224959585</v>
      </c>
      <c r="R1539" s="113">
        <f t="shared" si="165"/>
        <v>329.49099999999999</v>
      </c>
      <c r="S1539" s="16">
        <f>IF(S1538=15800,15800,ROUND((((Q1539*60)/'Gearing Calculator'!$C$14)*'Track Data'!P1539),-2))</f>
        <v>9800</v>
      </c>
      <c r="T1539" s="16">
        <f t="shared" si="167"/>
        <v>4.5627173195905479</v>
      </c>
      <c r="U1539" s="16">
        <f>IF(AC1539=100,Braking!$AG$2354,IF(AC1539=50,Braking!$AG$1179,IF(AC1539=75,Braking!$AG$1767,0)))</f>
        <v>0</v>
      </c>
      <c r="V1539" s="16">
        <f>0.5*'Gearing Calculator'!$C$15*'Gearing Calculator'!$C$20*'Gearing Calculator'!$W$20*('Track Data'!Q1539^2)</f>
        <v>130.56374040891674</v>
      </c>
      <c r="W1539" s="16">
        <f>('Gearing Calculator'!$U$9*'Track Data'!T1539)+'Track Data'!V1539</f>
        <v>1345.1590908839207</v>
      </c>
      <c r="X1539" s="16">
        <f>('Gearing Calculator'!$U$9*9.81)*('Gearing Calculator'!$U$16/'Gearing Calculator'!$C$7)-(('Track Data'!W1539)*('Gearing Calculator'!$U$17/'Gearing Calculator'!$C$7))</f>
        <v>667.95872953228047</v>
      </c>
      <c r="Y1539" s="16">
        <f>('Gearing Calculator'!$U$9*9.81)*(('Gearing Calculator'!$C$7-'Gearing Calculator'!$U$16)/'Gearing Calculator'!$C$7)+(('Track Data'!W1539)*('Gearing Calculator'!$U$17/'Gearing Calculator'!$C$7))</f>
        <v>1943.4632704677197</v>
      </c>
      <c r="Z1539" s="16">
        <f>((X1539*COS('Gearing Calculator'!$C$21))/'Gearing Calculator'!$C$22)/2</f>
        <v>20.651171343665041</v>
      </c>
      <c r="AA1539" s="16">
        <f>Y1539/'Gearing Calculator'!$C$24</f>
        <v>27.137265721304697</v>
      </c>
      <c r="AB1539" s="16">
        <f t="shared" si="170"/>
        <v>148.81460968727893</v>
      </c>
      <c r="AC1539" s="16">
        <v>0</v>
      </c>
      <c r="AD1539" s="16">
        <v>0</v>
      </c>
      <c r="AE1539" s="16">
        <v>1536</v>
      </c>
      <c r="AF1539" s="16">
        <f>IF(AC1539=0,IF(O1539=6,INDEX(Acceleration!$V$4:$V$110,MATCH('Track Data'!S1539,Acceleration!$K$4:$K$110,0)),IF('Track Data'!O1539=5,INDEX(Acceleration!$U$4:$U$110,MATCH('Track Data'!S1539,Acceleration!$K$4:$K$110,0)),1)),U1539)</f>
        <v>1</v>
      </c>
      <c r="AG1539" s="16">
        <f>IF(AC1539=0,IF(O1539=4,INDEX(Acceleration!$T$4:$T$110,MATCH('Track Data'!S1539,Acceleration!$K$4:$K$110,0)),IF('Track Data'!O1539=3,INDEX(Acceleration!$S$4:$S$110,MATCH('Track Data'!S1539,Acceleration!$K$4:$K$110,0)),'Track Data'!AF1539)),'Track Data'!U1539)</f>
        <v>4.5627173195905479</v>
      </c>
      <c r="AH1539" s="16">
        <f>IF(AC1539=0,IF(O1539=2,INDEX(Acceleration!$R$4:$R$110,MATCH('Track Data'!S1539,Acceleration!$K$4:$K$110,0)),IF('Track Data'!O1539=1,INDEX(Acceleration!$Q$4:$Q$110,MATCH('Track Data'!S1539,Acceleration!$K$4:$K$110,0)),'Track Data'!AG1539)),'Track Data'!U1539)</f>
        <v>4.5627173195905479</v>
      </c>
    </row>
    <row r="1540" spans="2:34" x14ac:dyDescent="0.25">
      <c r="B1540" s="16">
        <v>239.60400000000001</v>
      </c>
      <c r="C1540" s="16">
        <v>8810</v>
      </c>
      <c r="D1540" s="16">
        <v>1537</v>
      </c>
      <c r="E1540" s="113">
        <v>156</v>
      </c>
      <c r="F1540" s="113">
        <v>154.4</v>
      </c>
      <c r="G1540" s="113">
        <v>153.9</v>
      </c>
      <c r="H1540" s="113">
        <f t="shared" si="166"/>
        <v>42.75</v>
      </c>
      <c r="I1540" s="113">
        <v>6.3</v>
      </c>
      <c r="J1540" s="113">
        <v>12.52</v>
      </c>
      <c r="K1540" s="113">
        <v>6.3</v>
      </c>
      <c r="L1540" s="185"/>
      <c r="M1540" s="16">
        <v>1537</v>
      </c>
      <c r="N1540" s="16">
        <f t="shared" si="168"/>
        <v>2.8366986686516094E-2</v>
      </c>
      <c r="O1540" s="16">
        <v>4</v>
      </c>
      <c r="P1540" s="16">
        <f t="shared" ref="P1540:P1603" si="171">VLOOKUP(O1540,$AJ$5:$AK$10,2,FALSE)</f>
        <v>9.1833785004516724</v>
      </c>
      <c r="Q1540" s="16">
        <f t="shared" si="169"/>
        <v>35.252246248465227</v>
      </c>
      <c r="R1540" s="113">
        <f t="shared" ref="R1540:R1603" si="172">VLOOKUP(O1540,$AJ$5:$AL$10,3,FALSE)</f>
        <v>329.49099999999999</v>
      </c>
      <c r="S1540" s="16">
        <f>IF(S1539=15800,15800,ROUND((((Q1540*60)/'Gearing Calculator'!$C$14)*'Track Data'!P1540),-2))</f>
        <v>9800</v>
      </c>
      <c r="T1540" s="16">
        <f t="shared" si="167"/>
        <v>4.5627173195905479</v>
      </c>
      <c r="U1540" s="16">
        <f>IF(AC1540=100,Braking!$AG$2354,IF(AC1540=50,Braking!$AG$1179,IF(AC1540=75,Braking!$AG$1767,0)))</f>
        <v>0</v>
      </c>
      <c r="V1540" s="16">
        <f>0.5*'Gearing Calculator'!$C$15*'Gearing Calculator'!$C$20*'Gearing Calculator'!$W$20*('Track Data'!Q1540^2)</f>
        <v>131.52957641112764</v>
      </c>
      <c r="W1540" s="16">
        <f>('Gearing Calculator'!$U$9*'Track Data'!T1540)+'Track Data'!V1540</f>
        <v>1346.1249268861316</v>
      </c>
      <c r="X1540" s="16">
        <f>('Gearing Calculator'!$U$9*9.81)*('Gearing Calculator'!$U$16/'Gearing Calculator'!$C$7)-(('Track Data'!W1540)*('Gearing Calculator'!$U$17/'Gearing Calculator'!$C$7))</f>
        <v>667.43228295052938</v>
      </c>
      <c r="Y1540" s="16">
        <f>('Gearing Calculator'!$U$9*9.81)*(('Gearing Calculator'!$C$7-'Gearing Calculator'!$U$16)/'Gearing Calculator'!$C$7)+(('Track Data'!W1540)*('Gearing Calculator'!$U$17/'Gearing Calculator'!$C$7))</f>
        <v>1943.9897170494705</v>
      </c>
      <c r="Z1540" s="16">
        <f>((X1540*COS('Gearing Calculator'!$C$21))/'Gearing Calculator'!$C$22)/2</f>
        <v>20.634895280365981</v>
      </c>
      <c r="AA1540" s="16">
        <f>Y1540/'Gearing Calculator'!$C$24</f>
        <v>27.14461668131209</v>
      </c>
      <c r="AB1540" s="16">
        <f t="shared" si="170"/>
        <v>149.78044568948982</v>
      </c>
      <c r="AC1540" s="16">
        <v>0</v>
      </c>
      <c r="AD1540" s="16">
        <v>0</v>
      </c>
      <c r="AE1540" s="16">
        <v>1537</v>
      </c>
      <c r="AF1540" s="16">
        <f>IF(AC1540=0,IF(O1540=6,INDEX(Acceleration!$V$4:$V$110,MATCH('Track Data'!S1540,Acceleration!$K$4:$K$110,0)),IF('Track Data'!O1540=5,INDEX(Acceleration!$U$4:$U$110,MATCH('Track Data'!S1540,Acceleration!$K$4:$K$110,0)),1)),U1540)</f>
        <v>1</v>
      </c>
      <c r="AG1540" s="16">
        <f>IF(AC1540=0,IF(O1540=4,INDEX(Acceleration!$T$4:$T$110,MATCH('Track Data'!S1540,Acceleration!$K$4:$K$110,0)),IF('Track Data'!O1540=3,INDEX(Acceleration!$S$4:$S$110,MATCH('Track Data'!S1540,Acceleration!$K$4:$K$110,0)),'Track Data'!AF1540)),'Track Data'!U1540)</f>
        <v>4.5627173195905479</v>
      </c>
      <c r="AH1540" s="16">
        <f>IF(AC1540=0,IF(O1540=2,INDEX(Acceleration!$R$4:$R$110,MATCH('Track Data'!S1540,Acceleration!$K$4:$K$110,0)),IF('Track Data'!O1540=1,INDEX(Acceleration!$Q$4:$Q$110,MATCH('Track Data'!S1540,Acceleration!$K$4:$K$110,0)),'Track Data'!AG1540)),'Track Data'!U1540)</f>
        <v>4.5627173195905479</v>
      </c>
    </row>
    <row r="1541" spans="2:34" x14ac:dyDescent="0.25">
      <c r="B1541" s="16">
        <v>239.62700000000001</v>
      </c>
      <c r="C1541" s="16">
        <v>8811</v>
      </c>
      <c r="D1541" s="16">
        <v>1538</v>
      </c>
      <c r="E1541" s="113">
        <v>156</v>
      </c>
      <c r="F1541" s="113">
        <v>154.9</v>
      </c>
      <c r="G1541" s="113">
        <v>154.19999999999999</v>
      </c>
      <c r="H1541" s="113">
        <f t="shared" ref="H1541:H1604" si="173">G1541/3.6</f>
        <v>42.833333333333329</v>
      </c>
      <c r="I1541" s="113">
        <v>6.2</v>
      </c>
      <c r="J1541" s="113">
        <v>12.52</v>
      </c>
      <c r="K1541" s="113">
        <v>7.1</v>
      </c>
      <c r="L1541" s="185"/>
      <c r="M1541" s="16">
        <v>1538</v>
      </c>
      <c r="N1541" s="16">
        <f t="shared" si="168"/>
        <v>2.8263405856601503E-2</v>
      </c>
      <c r="O1541" s="16">
        <v>4</v>
      </c>
      <c r="P1541" s="16">
        <f t="shared" si="171"/>
        <v>9.1833785004516724</v>
      </c>
      <c r="Q1541" s="16">
        <f t="shared" si="169"/>
        <v>35.381440052683153</v>
      </c>
      <c r="R1541" s="113">
        <f t="shared" si="172"/>
        <v>329.49099999999999</v>
      </c>
      <c r="S1541" s="16">
        <f>IF(S1540=15800,15800,ROUND((((Q1541*60)/'Gearing Calculator'!$C$14)*'Track Data'!P1541),-2))</f>
        <v>9900</v>
      </c>
      <c r="T1541" s="16">
        <f t="shared" ref="T1541:T1604" si="174">AH1541</f>
        <v>4.634039974041646</v>
      </c>
      <c r="U1541" s="16">
        <f>IF(AC1541=100,Braking!$AG$2354,IF(AC1541=50,Braking!$AG$1179,IF(AC1541=75,Braking!$AG$1767,0)))</f>
        <v>0</v>
      </c>
      <c r="V1541" s="16">
        <f>0.5*'Gearing Calculator'!$C$15*'Gearing Calculator'!$C$20*'Gearing Calculator'!$W$20*('Track Data'!Q1541^2)</f>
        <v>132.49541241333858</v>
      </c>
      <c r="W1541" s="16">
        <f>('Gearing Calculator'!$U$9*'Track Data'!T1541)+'Track Data'!V1541</f>
        <v>1366.0768535032246</v>
      </c>
      <c r="X1541" s="16">
        <f>('Gearing Calculator'!$U$9*9.81)*('Gearing Calculator'!$U$16/'Gearing Calculator'!$C$7)-(('Track Data'!W1541)*('Gearing Calculator'!$U$17/'Gearing Calculator'!$C$7))</f>
        <v>656.55712035266163</v>
      </c>
      <c r="Y1541" s="16">
        <f>('Gearing Calculator'!$U$9*9.81)*(('Gearing Calculator'!$C$7-'Gearing Calculator'!$U$16)/'Gearing Calculator'!$C$7)+(('Track Data'!W1541)*('Gearing Calculator'!$U$17/'Gearing Calculator'!$C$7))</f>
        <v>1954.8648796473385</v>
      </c>
      <c r="Z1541" s="16">
        <f>((X1541*COS('Gearing Calculator'!$C$21))/'Gearing Calculator'!$C$22)/2</f>
        <v>20.298669648048776</v>
      </c>
      <c r="AA1541" s="16">
        <f>Y1541/'Gearing Calculator'!$C$24</f>
        <v>27.296470426975993</v>
      </c>
      <c r="AB1541" s="16">
        <f t="shared" si="170"/>
        <v>151.03157230950518</v>
      </c>
      <c r="AC1541" s="16">
        <v>0</v>
      </c>
      <c r="AD1541" s="16">
        <v>0</v>
      </c>
      <c r="AE1541" s="16">
        <v>1538</v>
      </c>
      <c r="AF1541" s="16">
        <f>IF(AC1541=0,IF(O1541=6,INDEX(Acceleration!$V$4:$V$110,MATCH('Track Data'!S1541,Acceleration!$K$4:$K$110,0)),IF('Track Data'!O1541=5,INDEX(Acceleration!$U$4:$U$110,MATCH('Track Data'!S1541,Acceleration!$K$4:$K$110,0)),1)),U1541)</f>
        <v>1</v>
      </c>
      <c r="AG1541" s="16">
        <f>IF(AC1541=0,IF(O1541=4,INDEX(Acceleration!$T$4:$T$110,MATCH('Track Data'!S1541,Acceleration!$K$4:$K$110,0)),IF('Track Data'!O1541=3,INDEX(Acceleration!$S$4:$S$110,MATCH('Track Data'!S1541,Acceleration!$K$4:$K$110,0)),'Track Data'!AF1541)),'Track Data'!U1541)</f>
        <v>4.634039974041646</v>
      </c>
      <c r="AH1541" s="16">
        <f>IF(AC1541=0,IF(O1541=2,INDEX(Acceleration!$R$4:$R$110,MATCH('Track Data'!S1541,Acceleration!$K$4:$K$110,0)),IF('Track Data'!O1541=1,INDEX(Acceleration!$Q$4:$Q$110,MATCH('Track Data'!S1541,Acceleration!$K$4:$K$110,0)),'Track Data'!AG1541)),'Track Data'!U1541)</f>
        <v>4.634039974041646</v>
      </c>
    </row>
    <row r="1542" spans="2:34" x14ac:dyDescent="0.25">
      <c r="B1542" s="16">
        <v>239.65</v>
      </c>
      <c r="C1542" s="16">
        <v>8812</v>
      </c>
      <c r="D1542" s="16">
        <v>1539</v>
      </c>
      <c r="E1542" s="113">
        <v>156</v>
      </c>
      <c r="F1542" s="113">
        <v>155.30000000000001</v>
      </c>
      <c r="G1542" s="113">
        <v>154.80000000000001</v>
      </c>
      <c r="H1542" s="113">
        <f t="shared" si="173"/>
        <v>43</v>
      </c>
      <c r="I1542" s="113">
        <v>6.2</v>
      </c>
      <c r="J1542" s="113">
        <v>11.17</v>
      </c>
      <c r="K1542" s="113">
        <v>8.3000000000000007</v>
      </c>
      <c r="L1542" s="185"/>
      <c r="M1542" s="16">
        <v>1539</v>
      </c>
      <c r="N1542" s="16">
        <f t="shared" ref="N1542:N1605" si="175">1/Q1542</f>
        <v>2.8159358770666939E-2</v>
      </c>
      <c r="O1542" s="16">
        <v>4</v>
      </c>
      <c r="P1542" s="16">
        <f t="shared" si="171"/>
        <v>9.1833785004516724</v>
      </c>
      <c r="Q1542" s="16">
        <f t="shared" ref="Q1542:Q1605" si="176">IF(AD1541=0,SQRT(Q1541^2+(2*T1541)),Q1541)</f>
        <v>35.512172281482513</v>
      </c>
      <c r="R1542" s="113">
        <f t="shared" si="172"/>
        <v>329.49099999999999</v>
      </c>
      <c r="S1542" s="16">
        <f>IF(S1541=15800,15800,ROUND((((Q1542*60)/'Gearing Calculator'!$C$14)*'Track Data'!P1542),-2))</f>
        <v>9900</v>
      </c>
      <c r="T1542" s="16">
        <f t="shared" si="174"/>
        <v>4.634039974041646</v>
      </c>
      <c r="U1542" s="16">
        <f>IF(AC1542=100,Braking!$AG$2354,IF(AC1542=50,Braking!$AG$1179,IF(AC1542=75,Braking!$AG$1767,0)))</f>
        <v>0</v>
      </c>
      <c r="V1542" s="16">
        <f>0.5*'Gearing Calculator'!$C$15*'Gearing Calculator'!$C$20*'Gearing Calculator'!$W$20*('Track Data'!Q1542^2)</f>
        <v>133.47634599504369</v>
      </c>
      <c r="W1542" s="16">
        <f>('Gearing Calculator'!$U$9*'Track Data'!T1542)+'Track Data'!V1542</f>
        <v>1367.0577870849297</v>
      </c>
      <c r="X1542" s="16">
        <f>('Gearing Calculator'!$U$9*9.81)*('Gearing Calculator'!$U$16/'Gearing Calculator'!$C$7)-(('Track Data'!W1542)*('Gearing Calculator'!$U$17/'Gearing Calculator'!$C$7))</f>
        <v>656.02244455901609</v>
      </c>
      <c r="Y1542" s="16">
        <f>('Gearing Calculator'!$U$9*9.81)*(('Gearing Calculator'!$C$7-'Gearing Calculator'!$U$16)/'Gearing Calculator'!$C$7)+(('Track Data'!W1542)*('Gearing Calculator'!$U$17/'Gearing Calculator'!$C$7))</f>
        <v>1955.3995554409839</v>
      </c>
      <c r="Z1542" s="16">
        <f>((X1542*COS('Gearing Calculator'!$C$21))/'Gearing Calculator'!$C$22)/2</f>
        <v>20.28213916354472</v>
      </c>
      <c r="AA1542" s="16">
        <f>Y1542/'Gearing Calculator'!$C$24</f>
        <v>27.303936294382591</v>
      </c>
      <c r="AB1542" s="16">
        <f t="shared" si="170"/>
        <v>152.01250589121028</v>
      </c>
      <c r="AC1542" s="16">
        <v>0</v>
      </c>
      <c r="AD1542" s="16">
        <v>0</v>
      </c>
      <c r="AE1542" s="16">
        <v>1539</v>
      </c>
      <c r="AF1542" s="16">
        <f>IF(AC1542=0,IF(O1542=6,INDEX(Acceleration!$V$4:$V$110,MATCH('Track Data'!S1542,Acceleration!$K$4:$K$110,0)),IF('Track Data'!O1542=5,INDEX(Acceleration!$U$4:$U$110,MATCH('Track Data'!S1542,Acceleration!$K$4:$K$110,0)),1)),U1542)</f>
        <v>1</v>
      </c>
      <c r="AG1542" s="16">
        <f>IF(AC1542=0,IF(O1542=4,INDEX(Acceleration!$T$4:$T$110,MATCH('Track Data'!S1542,Acceleration!$K$4:$K$110,0)),IF('Track Data'!O1542=3,INDEX(Acceleration!$S$4:$S$110,MATCH('Track Data'!S1542,Acceleration!$K$4:$K$110,0)),'Track Data'!AF1542)),'Track Data'!U1542)</f>
        <v>4.634039974041646</v>
      </c>
      <c r="AH1542" s="16">
        <f>IF(AC1542=0,IF(O1542=2,INDEX(Acceleration!$R$4:$R$110,MATCH('Track Data'!S1542,Acceleration!$K$4:$K$110,0)),IF('Track Data'!O1542=1,INDEX(Acceleration!$Q$4:$Q$110,MATCH('Track Data'!S1542,Acceleration!$K$4:$K$110,0)),'Track Data'!AG1542)),'Track Data'!U1542)</f>
        <v>4.634039974041646</v>
      </c>
    </row>
    <row r="1543" spans="2:34" x14ac:dyDescent="0.25">
      <c r="B1543" s="16">
        <v>239.673</v>
      </c>
      <c r="C1543" s="16">
        <v>8813</v>
      </c>
      <c r="D1543" s="16">
        <v>1540</v>
      </c>
      <c r="E1543" s="113">
        <v>157</v>
      </c>
      <c r="F1543" s="113">
        <v>155.4</v>
      </c>
      <c r="G1543" s="113">
        <v>155.19999999999999</v>
      </c>
      <c r="H1543" s="113">
        <f t="shared" si="173"/>
        <v>43.111111111111107</v>
      </c>
      <c r="I1543" s="113">
        <v>5.9</v>
      </c>
      <c r="J1543" s="113">
        <v>13.05</v>
      </c>
      <c r="K1543" s="113">
        <v>9.1</v>
      </c>
      <c r="L1543" s="185"/>
      <c r="M1543" s="16">
        <v>1540</v>
      </c>
      <c r="N1543" s="16">
        <f t="shared" si="175"/>
        <v>2.805645238545167E-2</v>
      </c>
      <c r="O1543" s="16">
        <v>4</v>
      </c>
      <c r="P1543" s="16">
        <f t="shared" si="171"/>
        <v>9.1833785004516724</v>
      </c>
      <c r="Q1543" s="16">
        <f t="shared" si="176"/>
        <v>35.642425003046277</v>
      </c>
      <c r="R1543" s="113">
        <f t="shared" si="172"/>
        <v>329.49099999999999</v>
      </c>
      <c r="S1543" s="16">
        <f>IF(S1542=15800,15800,ROUND((((Q1543*60)/'Gearing Calculator'!$C$14)*'Track Data'!P1543),-2))</f>
        <v>9900</v>
      </c>
      <c r="T1543" s="16">
        <f t="shared" si="174"/>
        <v>4.634039974041646</v>
      </c>
      <c r="U1543" s="16">
        <f>IF(AC1543=100,Braking!$AG$2354,IF(AC1543=50,Braking!$AG$1179,IF(AC1543=75,Braking!$AG$1767,0)))</f>
        <v>0</v>
      </c>
      <c r="V1543" s="16">
        <f>0.5*'Gearing Calculator'!$C$15*'Gearing Calculator'!$C$20*'Gearing Calculator'!$W$20*('Track Data'!Q1543^2)</f>
        <v>134.45727957674885</v>
      </c>
      <c r="W1543" s="16">
        <f>('Gearing Calculator'!$U$9*'Track Data'!T1543)+'Track Data'!V1543</f>
        <v>1368.0387206666348</v>
      </c>
      <c r="X1543" s="16">
        <f>('Gearing Calculator'!$U$9*9.81)*('Gearing Calculator'!$U$16/'Gearing Calculator'!$C$7)-(('Track Data'!W1543)*('Gearing Calculator'!$U$17/'Gearing Calculator'!$C$7))</f>
        <v>655.48776876537056</v>
      </c>
      <c r="Y1543" s="16">
        <f>('Gearing Calculator'!$U$9*9.81)*(('Gearing Calculator'!$C$7-'Gearing Calculator'!$U$16)/'Gearing Calculator'!$C$7)+(('Track Data'!W1543)*('Gearing Calculator'!$U$17/'Gearing Calculator'!$C$7))</f>
        <v>1955.9342312346294</v>
      </c>
      <c r="Z1543" s="16">
        <f>((X1543*COS('Gearing Calculator'!$C$21))/'Gearing Calculator'!$C$22)/2</f>
        <v>20.265608679040664</v>
      </c>
      <c r="AA1543" s="16">
        <f>Y1543/'Gearing Calculator'!$C$24</f>
        <v>27.311402161789189</v>
      </c>
      <c r="AB1543" s="16">
        <f t="shared" si="170"/>
        <v>152.99343947291544</v>
      </c>
      <c r="AC1543" s="16">
        <v>0</v>
      </c>
      <c r="AD1543" s="16">
        <v>0</v>
      </c>
      <c r="AE1543" s="16">
        <v>1540</v>
      </c>
      <c r="AF1543" s="16">
        <f>IF(AC1543=0,IF(O1543=6,INDEX(Acceleration!$V$4:$V$110,MATCH('Track Data'!S1543,Acceleration!$K$4:$K$110,0)),IF('Track Data'!O1543=5,INDEX(Acceleration!$U$4:$U$110,MATCH('Track Data'!S1543,Acceleration!$K$4:$K$110,0)),1)),U1543)</f>
        <v>1</v>
      </c>
      <c r="AG1543" s="16">
        <f>IF(AC1543=0,IF(O1543=4,INDEX(Acceleration!$T$4:$T$110,MATCH('Track Data'!S1543,Acceleration!$K$4:$K$110,0)),IF('Track Data'!O1543=3,INDEX(Acceleration!$S$4:$S$110,MATCH('Track Data'!S1543,Acceleration!$K$4:$K$110,0)),'Track Data'!AF1543)),'Track Data'!U1543)</f>
        <v>4.634039974041646</v>
      </c>
      <c r="AH1543" s="16">
        <f>IF(AC1543=0,IF(O1543=2,INDEX(Acceleration!$R$4:$R$110,MATCH('Track Data'!S1543,Acceleration!$K$4:$K$110,0)),IF('Track Data'!O1543=1,INDEX(Acceleration!$Q$4:$Q$110,MATCH('Track Data'!S1543,Acceleration!$K$4:$K$110,0)),'Track Data'!AG1543)),'Track Data'!U1543)</f>
        <v>4.634039974041646</v>
      </c>
    </row>
    <row r="1544" spans="2:34" x14ac:dyDescent="0.25">
      <c r="B1544" s="16">
        <v>239.696</v>
      </c>
      <c r="C1544" s="16">
        <v>8814</v>
      </c>
      <c r="D1544" s="16">
        <v>1541</v>
      </c>
      <c r="E1544" s="113">
        <v>157</v>
      </c>
      <c r="F1544" s="113">
        <v>155.69999999999999</v>
      </c>
      <c r="G1544" s="113">
        <v>155.5</v>
      </c>
      <c r="H1544" s="113">
        <f t="shared" si="173"/>
        <v>43.194444444444443</v>
      </c>
      <c r="I1544" s="113">
        <v>5.8</v>
      </c>
      <c r="J1544" s="113">
        <v>12.41</v>
      </c>
      <c r="K1544" s="113">
        <v>9.3000000000000007</v>
      </c>
      <c r="L1544" s="185"/>
      <c r="M1544" s="16">
        <v>1541</v>
      </c>
      <c r="N1544" s="16">
        <f t="shared" si="175"/>
        <v>2.7954666009047099E-2</v>
      </c>
      <c r="O1544" s="16">
        <v>4</v>
      </c>
      <c r="P1544" s="16">
        <f t="shared" si="171"/>
        <v>9.1833785004516724</v>
      </c>
      <c r="Q1544" s="16">
        <f t="shared" si="176"/>
        <v>35.77220345527882</v>
      </c>
      <c r="R1544" s="113">
        <f t="shared" si="172"/>
        <v>329.49099999999999</v>
      </c>
      <c r="S1544" s="16">
        <f>IF(S1543=15800,15800,ROUND((((Q1544*60)/'Gearing Calculator'!$C$14)*'Track Data'!P1544),-2))</f>
        <v>10000</v>
      </c>
      <c r="T1544" s="16">
        <f t="shared" si="174"/>
        <v>4.7666665052436255</v>
      </c>
      <c r="U1544" s="16">
        <f>IF(AC1544=100,Braking!$AG$2354,IF(AC1544=50,Braking!$AG$1179,IF(AC1544=75,Braking!$AG$1767,0)))</f>
        <v>0</v>
      </c>
      <c r="V1544" s="16">
        <f>0.5*'Gearing Calculator'!$C$15*'Gearing Calculator'!$C$20*'Gearing Calculator'!$W$20*('Track Data'!Q1544^2)</f>
        <v>135.43821315845403</v>
      </c>
      <c r="W1544" s="16">
        <f>('Gearing Calculator'!$U$9*'Track Data'!T1544)+'Track Data'!V1544</f>
        <v>1404.3248368543073</v>
      </c>
      <c r="X1544" s="16">
        <f>('Gearing Calculator'!$U$9*9.81)*('Gearing Calculator'!$U$16/'Gearing Calculator'!$C$7)-(('Track Data'!W1544)*('Gearing Calculator'!$U$17/'Gearing Calculator'!$C$7))</f>
        <v>635.70935732875353</v>
      </c>
      <c r="Y1544" s="16">
        <f>('Gearing Calculator'!$U$9*9.81)*(('Gearing Calculator'!$C$7-'Gearing Calculator'!$U$16)/'Gearing Calculator'!$C$7)+(('Track Data'!W1544)*('Gearing Calculator'!$U$17/'Gearing Calculator'!$C$7))</f>
        <v>1975.7126426712466</v>
      </c>
      <c r="Z1544" s="16">
        <f>((X1544*COS('Gearing Calculator'!$C$21))/'Gearing Calculator'!$C$22)/2</f>
        <v>19.654122751206337</v>
      </c>
      <c r="AA1544" s="16">
        <f>Y1544/'Gearing Calculator'!$C$24</f>
        <v>27.587575123149865</v>
      </c>
      <c r="AB1544" s="16">
        <f t="shared" si="170"/>
        <v>154.50487917942854</v>
      </c>
      <c r="AC1544" s="16">
        <v>0</v>
      </c>
      <c r="AD1544" s="16">
        <v>0</v>
      </c>
      <c r="AE1544" s="16">
        <v>1541</v>
      </c>
      <c r="AF1544" s="16">
        <f>IF(AC1544=0,IF(O1544=6,INDEX(Acceleration!$V$4:$V$110,MATCH('Track Data'!S1544,Acceleration!$K$4:$K$110,0)),IF('Track Data'!O1544=5,INDEX(Acceleration!$U$4:$U$110,MATCH('Track Data'!S1544,Acceleration!$K$4:$K$110,0)),1)),U1544)</f>
        <v>1</v>
      </c>
      <c r="AG1544" s="16">
        <f>IF(AC1544=0,IF(O1544=4,INDEX(Acceleration!$T$4:$T$110,MATCH('Track Data'!S1544,Acceleration!$K$4:$K$110,0)),IF('Track Data'!O1544=3,INDEX(Acceleration!$S$4:$S$110,MATCH('Track Data'!S1544,Acceleration!$K$4:$K$110,0)),'Track Data'!AF1544)),'Track Data'!U1544)</f>
        <v>4.7666665052436255</v>
      </c>
      <c r="AH1544" s="16">
        <f>IF(AC1544=0,IF(O1544=2,INDEX(Acceleration!$R$4:$R$110,MATCH('Track Data'!S1544,Acceleration!$K$4:$K$110,0)),IF('Track Data'!O1544=1,INDEX(Acceleration!$Q$4:$Q$110,MATCH('Track Data'!S1544,Acceleration!$K$4:$K$110,0)),'Track Data'!AG1544)),'Track Data'!U1544)</f>
        <v>4.7666665052436255</v>
      </c>
    </row>
    <row r="1545" spans="2:34" x14ac:dyDescent="0.25">
      <c r="B1545" s="16">
        <v>239.71899999999999</v>
      </c>
      <c r="C1545" s="16">
        <v>8815</v>
      </c>
      <c r="D1545" s="16">
        <v>1542</v>
      </c>
      <c r="E1545" s="113">
        <v>158</v>
      </c>
      <c r="F1545" s="113">
        <v>156</v>
      </c>
      <c r="G1545" s="113">
        <v>155.9</v>
      </c>
      <c r="H1545" s="113">
        <f t="shared" si="173"/>
        <v>43.305555555555557</v>
      </c>
      <c r="I1545" s="113">
        <v>5.0999999999999996</v>
      </c>
      <c r="J1545" s="113">
        <v>11.9</v>
      </c>
      <c r="K1545" s="113">
        <v>9.3000000000000007</v>
      </c>
      <c r="L1545" s="185"/>
      <c r="M1545" s="16">
        <v>1542</v>
      </c>
      <c r="N1545" s="16">
        <f t="shared" si="175"/>
        <v>2.7851113808091809E-2</v>
      </c>
      <c r="O1545" s="16">
        <v>4</v>
      </c>
      <c r="P1545" s="16">
        <f t="shared" si="171"/>
        <v>9.1833785004516724</v>
      </c>
      <c r="Q1545" s="16">
        <f t="shared" si="176"/>
        <v>35.905206768048963</v>
      </c>
      <c r="R1545" s="113">
        <f t="shared" si="172"/>
        <v>329.49099999999999</v>
      </c>
      <c r="S1545" s="16">
        <f>IF(S1544=15800,15800,ROUND((((Q1545*60)/'Gearing Calculator'!$C$14)*'Track Data'!P1545),-2))</f>
        <v>10000</v>
      </c>
      <c r="T1545" s="16">
        <f t="shared" si="174"/>
        <v>4.7666665052436255</v>
      </c>
      <c r="U1545" s="16">
        <f>IF(AC1545=100,Braking!$AG$2354,IF(AC1545=50,Braking!$AG$1179,IF(AC1545=75,Braking!$AG$1767,0)))</f>
        <v>0</v>
      </c>
      <c r="V1545" s="16">
        <f>0.5*'Gearing Calculator'!$C$15*'Gearing Calculator'!$C$20*'Gearing Calculator'!$W$20*('Track Data'!Q1545^2)</f>
        <v>136.44722112428397</v>
      </c>
      <c r="W1545" s="16">
        <f>('Gearing Calculator'!$U$9*'Track Data'!T1545)+'Track Data'!V1545</f>
        <v>1405.3338448201371</v>
      </c>
      <c r="X1545" s="16">
        <f>('Gearing Calculator'!$U$9*9.81)*('Gearing Calculator'!$U$16/'Gearing Calculator'!$C$7)-(('Track Data'!W1545)*('Gearing Calculator'!$U$17/'Gearing Calculator'!$C$7))</f>
        <v>635.15937907845546</v>
      </c>
      <c r="Y1545" s="16">
        <f>('Gearing Calculator'!$U$9*9.81)*(('Gearing Calculator'!$C$7-'Gearing Calculator'!$U$16)/'Gearing Calculator'!$C$7)+(('Track Data'!W1545)*('Gearing Calculator'!$U$17/'Gearing Calculator'!$C$7))</f>
        <v>1976.2626209215446</v>
      </c>
      <c r="Z1545" s="16">
        <f>((X1545*COS('Gearing Calculator'!$C$21))/'Gearing Calculator'!$C$22)/2</f>
        <v>19.637119163140131</v>
      </c>
      <c r="AA1545" s="16">
        <f>Y1545/'Gearing Calculator'!$C$24</f>
        <v>27.595254664176476</v>
      </c>
      <c r="AB1545" s="16">
        <f t="shared" si="170"/>
        <v>155.51388714525848</v>
      </c>
      <c r="AC1545" s="16">
        <v>0</v>
      </c>
      <c r="AD1545" s="16">
        <v>0</v>
      </c>
      <c r="AE1545" s="16">
        <v>1542</v>
      </c>
      <c r="AF1545" s="16">
        <f>IF(AC1545=0,IF(O1545=6,INDEX(Acceleration!$V$4:$V$110,MATCH('Track Data'!S1545,Acceleration!$K$4:$K$110,0)),IF('Track Data'!O1545=5,INDEX(Acceleration!$U$4:$U$110,MATCH('Track Data'!S1545,Acceleration!$K$4:$K$110,0)),1)),U1545)</f>
        <v>1</v>
      </c>
      <c r="AG1545" s="16">
        <f>IF(AC1545=0,IF(O1545=4,INDEX(Acceleration!$T$4:$T$110,MATCH('Track Data'!S1545,Acceleration!$K$4:$K$110,0)),IF('Track Data'!O1545=3,INDEX(Acceleration!$S$4:$S$110,MATCH('Track Data'!S1545,Acceleration!$K$4:$K$110,0)),'Track Data'!AF1545)),'Track Data'!U1545)</f>
        <v>4.7666665052436255</v>
      </c>
      <c r="AH1545" s="16">
        <f>IF(AC1545=0,IF(O1545=2,INDEX(Acceleration!$R$4:$R$110,MATCH('Track Data'!S1545,Acceleration!$K$4:$K$110,0)),IF('Track Data'!O1545=1,INDEX(Acceleration!$Q$4:$Q$110,MATCH('Track Data'!S1545,Acceleration!$K$4:$K$110,0)),'Track Data'!AG1545)),'Track Data'!U1545)</f>
        <v>4.7666665052436255</v>
      </c>
    </row>
    <row r="1546" spans="2:34" x14ac:dyDescent="0.25">
      <c r="B1546" s="16">
        <v>239.74299999999999</v>
      </c>
      <c r="C1546" s="16">
        <v>8816</v>
      </c>
      <c r="D1546" s="16">
        <v>1543</v>
      </c>
      <c r="E1546" s="113">
        <v>159</v>
      </c>
      <c r="F1546" s="113">
        <v>156.69999999999999</v>
      </c>
      <c r="G1546" s="113">
        <v>156.4</v>
      </c>
      <c r="H1546" s="113">
        <f t="shared" si="173"/>
        <v>43.444444444444443</v>
      </c>
      <c r="I1546" s="113">
        <v>4.2</v>
      </c>
      <c r="J1546" s="113">
        <v>9.84</v>
      </c>
      <c r="K1546" s="113">
        <v>9.3000000000000007</v>
      </c>
      <c r="L1546" s="185"/>
      <c r="M1546" s="16">
        <v>1543</v>
      </c>
      <c r="N1546" s="16">
        <f t="shared" si="175"/>
        <v>2.7748703909164736E-2</v>
      </c>
      <c r="O1546" s="16">
        <v>4</v>
      </c>
      <c r="P1546" s="16">
        <f t="shared" si="171"/>
        <v>9.1833785004516724</v>
      </c>
      <c r="Q1546" s="16">
        <f t="shared" si="176"/>
        <v>36.03771921288633</v>
      </c>
      <c r="R1546" s="113">
        <f t="shared" si="172"/>
        <v>329.49099999999999</v>
      </c>
      <c r="S1546" s="16">
        <f>IF(S1545=15800,15800,ROUND((((Q1546*60)/'Gearing Calculator'!$C$14)*'Track Data'!P1546),-2))</f>
        <v>10000</v>
      </c>
      <c r="T1546" s="16">
        <f t="shared" si="174"/>
        <v>4.7666665052436255</v>
      </c>
      <c r="U1546" s="16">
        <f>IF(AC1546=100,Braking!$AG$2354,IF(AC1546=50,Braking!$AG$1179,IF(AC1546=75,Braking!$AG$1767,0)))</f>
        <v>0</v>
      </c>
      <c r="V1546" s="16">
        <f>0.5*'Gearing Calculator'!$C$15*'Gearing Calculator'!$C$20*'Gearing Calculator'!$W$20*('Track Data'!Q1546^2)</f>
        <v>137.45622909011396</v>
      </c>
      <c r="W1546" s="16">
        <f>('Gearing Calculator'!$U$9*'Track Data'!T1546)+'Track Data'!V1546</f>
        <v>1406.3428527859671</v>
      </c>
      <c r="X1546" s="16">
        <f>('Gearing Calculator'!$U$9*9.81)*('Gearing Calculator'!$U$16/'Gearing Calculator'!$C$7)-(('Track Data'!W1546)*('Gearing Calculator'!$U$17/'Gearing Calculator'!$C$7))</f>
        <v>634.60940082815728</v>
      </c>
      <c r="Y1546" s="16">
        <f>('Gearing Calculator'!$U$9*9.81)*(('Gearing Calculator'!$C$7-'Gearing Calculator'!$U$16)/'Gearing Calculator'!$C$7)+(('Track Data'!W1546)*('Gearing Calculator'!$U$17/'Gearing Calculator'!$C$7))</f>
        <v>1976.8125991718427</v>
      </c>
      <c r="Z1546" s="16">
        <f>((X1546*COS('Gearing Calculator'!$C$21))/'Gearing Calculator'!$C$22)/2</f>
        <v>19.620115575073918</v>
      </c>
      <c r="AA1546" s="16">
        <f>Y1546/'Gearing Calculator'!$C$24</f>
        <v>27.602934205203095</v>
      </c>
      <c r="AB1546" s="16">
        <f t="shared" si="170"/>
        <v>156.52289511108847</v>
      </c>
      <c r="AC1546" s="16">
        <v>0</v>
      </c>
      <c r="AD1546" s="16">
        <v>0</v>
      </c>
      <c r="AE1546" s="16">
        <v>1543</v>
      </c>
      <c r="AF1546" s="16">
        <f>IF(AC1546=0,IF(O1546=6,INDEX(Acceleration!$V$4:$V$110,MATCH('Track Data'!S1546,Acceleration!$K$4:$K$110,0)),IF('Track Data'!O1546=5,INDEX(Acceleration!$U$4:$U$110,MATCH('Track Data'!S1546,Acceleration!$K$4:$K$110,0)),1)),U1546)</f>
        <v>1</v>
      </c>
      <c r="AG1546" s="16">
        <f>IF(AC1546=0,IF(O1546=4,INDEX(Acceleration!$T$4:$T$110,MATCH('Track Data'!S1546,Acceleration!$K$4:$K$110,0)),IF('Track Data'!O1546=3,INDEX(Acceleration!$S$4:$S$110,MATCH('Track Data'!S1546,Acceleration!$K$4:$K$110,0)),'Track Data'!AF1546)),'Track Data'!U1546)</f>
        <v>4.7666665052436255</v>
      </c>
      <c r="AH1546" s="16">
        <f>IF(AC1546=0,IF(O1546=2,INDEX(Acceleration!$R$4:$R$110,MATCH('Track Data'!S1546,Acceleration!$K$4:$K$110,0)),IF('Track Data'!O1546=1,INDEX(Acceleration!$Q$4:$Q$110,MATCH('Track Data'!S1546,Acceleration!$K$4:$K$110,0)),'Track Data'!AG1546)),'Track Data'!U1546)</f>
        <v>4.7666665052436255</v>
      </c>
    </row>
    <row r="1547" spans="2:34" x14ac:dyDescent="0.25">
      <c r="B1547" s="16">
        <v>239.76599999999999</v>
      </c>
      <c r="C1547" s="16">
        <v>8817</v>
      </c>
      <c r="D1547" s="16">
        <v>1544</v>
      </c>
      <c r="E1547" s="113">
        <v>159</v>
      </c>
      <c r="F1547" s="113">
        <v>157.19999999999999</v>
      </c>
      <c r="G1547" s="113">
        <v>156.80000000000001</v>
      </c>
      <c r="H1547" s="113">
        <f t="shared" si="173"/>
        <v>43.555555555555557</v>
      </c>
      <c r="I1547" s="113">
        <v>3.1</v>
      </c>
      <c r="J1547" s="113">
        <v>9.99</v>
      </c>
      <c r="K1547" s="113">
        <v>9.3000000000000007</v>
      </c>
      <c r="L1547" s="185"/>
      <c r="M1547" s="16">
        <v>1544</v>
      </c>
      <c r="N1547" s="16">
        <f t="shared" si="175"/>
        <v>2.7647415463991628E-2</v>
      </c>
      <c r="O1547" s="16">
        <v>4</v>
      </c>
      <c r="P1547" s="16">
        <f t="shared" si="171"/>
        <v>9.1833785004516724</v>
      </c>
      <c r="Q1547" s="16">
        <f t="shared" si="176"/>
        <v>36.169746184861786</v>
      </c>
      <c r="R1547" s="113">
        <f t="shared" si="172"/>
        <v>329.49099999999999</v>
      </c>
      <c r="S1547" s="16">
        <f>IF(S1546=15800,15800,ROUND((((Q1547*60)/'Gearing Calculator'!$C$14)*'Track Data'!P1547),-2))</f>
        <v>10100</v>
      </c>
      <c r="T1547" s="16">
        <f t="shared" si="174"/>
        <v>4.8341669554016056</v>
      </c>
      <c r="U1547" s="16">
        <f>IF(AC1547=100,Braking!$AG$2354,IF(AC1547=50,Braking!$AG$1179,IF(AC1547=75,Braking!$AG$1767,0)))</f>
        <v>0</v>
      </c>
      <c r="V1547" s="16">
        <f>0.5*'Gearing Calculator'!$C$15*'Gearing Calculator'!$C$20*'Gearing Calculator'!$W$20*('Track Data'!Q1547^2)</f>
        <v>138.46523705594393</v>
      </c>
      <c r="W1547" s="16">
        <f>('Gearing Calculator'!$U$9*'Track Data'!T1547)+'Track Data'!V1547</f>
        <v>1425.3204805838513</v>
      </c>
      <c r="X1547" s="16">
        <f>('Gearing Calculator'!$U$9*9.81)*('Gearing Calculator'!$U$16/'Gearing Calculator'!$C$7)-(('Track Data'!W1547)*('Gearing Calculator'!$U$17/'Gearing Calculator'!$C$7))</f>
        <v>624.26529762526195</v>
      </c>
      <c r="Y1547" s="16">
        <f>('Gearing Calculator'!$U$9*9.81)*(('Gearing Calculator'!$C$7-'Gearing Calculator'!$U$16)/'Gearing Calculator'!$C$7)+(('Track Data'!W1547)*('Gearing Calculator'!$U$17/'Gearing Calculator'!$C$7))</f>
        <v>1987.156702374738</v>
      </c>
      <c r="Z1547" s="16">
        <f>((X1547*COS('Gearing Calculator'!$C$21))/'Gearing Calculator'!$C$22)/2</f>
        <v>19.300308619651499</v>
      </c>
      <c r="AA1547" s="16">
        <f>Y1547/'Gearing Calculator'!$C$24</f>
        <v>27.747372580515435</v>
      </c>
      <c r="AB1547" s="16">
        <f t="shared" si="170"/>
        <v>157.80190487755036</v>
      </c>
      <c r="AC1547" s="16">
        <v>0</v>
      </c>
      <c r="AD1547" s="16">
        <v>0</v>
      </c>
      <c r="AE1547" s="16">
        <v>1544</v>
      </c>
      <c r="AF1547" s="16">
        <f>IF(AC1547=0,IF(O1547=6,INDEX(Acceleration!$V$4:$V$110,MATCH('Track Data'!S1547,Acceleration!$K$4:$K$110,0)),IF('Track Data'!O1547=5,INDEX(Acceleration!$U$4:$U$110,MATCH('Track Data'!S1547,Acceleration!$K$4:$K$110,0)),1)),U1547)</f>
        <v>1</v>
      </c>
      <c r="AG1547" s="16">
        <f>IF(AC1547=0,IF(O1547=4,INDEX(Acceleration!$T$4:$T$110,MATCH('Track Data'!S1547,Acceleration!$K$4:$K$110,0)),IF('Track Data'!O1547=3,INDEX(Acceleration!$S$4:$S$110,MATCH('Track Data'!S1547,Acceleration!$K$4:$K$110,0)),'Track Data'!AF1547)),'Track Data'!U1547)</f>
        <v>4.8341669554016056</v>
      </c>
      <c r="AH1547" s="16">
        <f>IF(AC1547=0,IF(O1547=2,INDEX(Acceleration!$R$4:$R$110,MATCH('Track Data'!S1547,Acceleration!$K$4:$K$110,0)),IF('Track Data'!O1547=1,INDEX(Acceleration!$Q$4:$Q$110,MATCH('Track Data'!S1547,Acceleration!$K$4:$K$110,0)),'Track Data'!AG1547)),'Track Data'!U1547)</f>
        <v>4.8341669554016056</v>
      </c>
    </row>
    <row r="1548" spans="2:34" x14ac:dyDescent="0.25">
      <c r="B1548" s="16">
        <v>239.78800000000001</v>
      </c>
      <c r="C1548" s="16">
        <v>8818</v>
      </c>
      <c r="D1548" s="16">
        <v>1545</v>
      </c>
      <c r="E1548" s="113">
        <v>160</v>
      </c>
      <c r="F1548" s="113">
        <v>157.1</v>
      </c>
      <c r="G1548" s="113">
        <v>157.19999999999999</v>
      </c>
      <c r="H1548" s="113">
        <f t="shared" si="173"/>
        <v>43.666666666666664</v>
      </c>
      <c r="I1548" s="113">
        <v>2.7</v>
      </c>
      <c r="J1548" s="113">
        <v>9.57</v>
      </c>
      <c r="K1548" s="113">
        <v>9.3000000000000007</v>
      </c>
      <c r="L1548" s="185"/>
      <c r="M1548" s="16">
        <v>1545</v>
      </c>
      <c r="N1548" s="16">
        <f t="shared" si="175"/>
        <v>2.7545817218101398E-2</v>
      </c>
      <c r="O1548" s="16">
        <v>4</v>
      </c>
      <c r="P1548" s="16">
        <f t="shared" si="171"/>
        <v>9.1833785004516724</v>
      </c>
      <c r="Q1548" s="16">
        <f t="shared" si="176"/>
        <v>36.303152383617146</v>
      </c>
      <c r="R1548" s="113">
        <f t="shared" si="172"/>
        <v>329.49099999999999</v>
      </c>
      <c r="S1548" s="16">
        <f>IF(S1547=15800,15800,ROUND((((Q1548*60)/'Gearing Calculator'!$C$14)*'Track Data'!P1548),-2))</f>
        <v>10100</v>
      </c>
      <c r="T1548" s="16">
        <f t="shared" si="174"/>
        <v>4.8341669554016056</v>
      </c>
      <c r="U1548" s="16">
        <f>IF(AC1548=100,Braking!$AG$2354,IF(AC1548=50,Braking!$AG$1179,IF(AC1548=75,Braking!$AG$1767,0)))</f>
        <v>0</v>
      </c>
      <c r="V1548" s="16">
        <f>0.5*'Gearing Calculator'!$C$15*'Gearing Calculator'!$C$20*'Gearing Calculator'!$W$20*('Track Data'!Q1548^2)</f>
        <v>139.48853351706339</v>
      </c>
      <c r="W1548" s="16">
        <f>('Gearing Calculator'!$U$9*'Track Data'!T1548)+'Track Data'!V1548</f>
        <v>1426.3437770449707</v>
      </c>
      <c r="X1548" s="16">
        <f>('Gearing Calculator'!$U$9*9.81)*('Gearing Calculator'!$U$16/'Gearing Calculator'!$C$7)-(('Track Data'!W1548)*('Gearing Calculator'!$U$17/'Gearing Calculator'!$C$7))</f>
        <v>623.70753116921651</v>
      </c>
      <c r="Y1548" s="16">
        <f>('Gearing Calculator'!$U$9*9.81)*(('Gearing Calculator'!$C$7-'Gearing Calculator'!$U$16)/'Gearing Calculator'!$C$7)+(('Track Data'!W1548)*('Gearing Calculator'!$U$17/'Gearing Calculator'!$C$7))</f>
        <v>1987.7144688307835</v>
      </c>
      <c r="Z1548" s="16">
        <f>((X1548*COS('Gearing Calculator'!$C$21))/'Gearing Calculator'!$C$22)/2</f>
        <v>19.283064244895577</v>
      </c>
      <c r="AA1548" s="16">
        <f>Y1548/'Gearing Calculator'!$C$24</f>
        <v>27.755160871016287</v>
      </c>
      <c r="AB1548" s="16">
        <f t="shared" si="170"/>
        <v>158.82520133866981</v>
      </c>
      <c r="AC1548" s="16">
        <v>0</v>
      </c>
      <c r="AD1548" s="16">
        <v>0</v>
      </c>
      <c r="AE1548" s="16">
        <v>1545</v>
      </c>
      <c r="AF1548" s="16">
        <f>IF(AC1548=0,IF(O1548=6,INDEX(Acceleration!$V$4:$V$110,MATCH('Track Data'!S1548,Acceleration!$K$4:$K$110,0)),IF('Track Data'!O1548=5,INDEX(Acceleration!$U$4:$U$110,MATCH('Track Data'!S1548,Acceleration!$K$4:$K$110,0)),1)),U1548)</f>
        <v>1</v>
      </c>
      <c r="AG1548" s="16">
        <f>IF(AC1548=0,IF(O1548=4,INDEX(Acceleration!$T$4:$T$110,MATCH('Track Data'!S1548,Acceleration!$K$4:$K$110,0)),IF('Track Data'!O1548=3,INDEX(Acceleration!$S$4:$S$110,MATCH('Track Data'!S1548,Acceleration!$K$4:$K$110,0)),'Track Data'!AF1548)),'Track Data'!U1548)</f>
        <v>4.8341669554016056</v>
      </c>
      <c r="AH1548" s="16">
        <f>IF(AC1548=0,IF(O1548=2,INDEX(Acceleration!$R$4:$R$110,MATCH('Track Data'!S1548,Acceleration!$K$4:$K$110,0)),IF('Track Data'!O1548=1,INDEX(Acceleration!$Q$4:$Q$110,MATCH('Track Data'!S1548,Acceleration!$K$4:$K$110,0)),'Track Data'!AG1548)),'Track Data'!U1548)</f>
        <v>4.8341669554016056</v>
      </c>
    </row>
    <row r="1549" spans="2:34" x14ac:dyDescent="0.25">
      <c r="B1549" s="16">
        <v>239.81100000000001</v>
      </c>
      <c r="C1549" s="16">
        <v>8819</v>
      </c>
      <c r="D1549" s="16">
        <v>1546</v>
      </c>
      <c r="E1549" s="113">
        <v>160</v>
      </c>
      <c r="F1549" s="113">
        <v>157.1</v>
      </c>
      <c r="G1549" s="113">
        <v>157.69999999999999</v>
      </c>
      <c r="H1549" s="113">
        <f t="shared" si="173"/>
        <v>43.80555555555555</v>
      </c>
      <c r="I1549" s="113">
        <v>2.6</v>
      </c>
      <c r="J1549" s="113">
        <v>8.61</v>
      </c>
      <c r="K1549" s="113">
        <v>9.3000000000000007</v>
      </c>
      <c r="L1549" s="185"/>
      <c r="M1549" s="16">
        <v>1546</v>
      </c>
      <c r="N1549" s="16">
        <f t="shared" si="175"/>
        <v>2.7445330857272601E-2</v>
      </c>
      <c r="O1549" s="16">
        <v>4</v>
      </c>
      <c r="P1549" s="16">
        <f t="shared" si="171"/>
        <v>9.1833785004516724</v>
      </c>
      <c r="Q1549" s="16">
        <f t="shared" si="176"/>
        <v>36.436070135223567</v>
      </c>
      <c r="R1549" s="113">
        <f t="shared" si="172"/>
        <v>329.49099999999999</v>
      </c>
      <c r="S1549" s="16">
        <f>IF(S1548=15800,15800,ROUND((((Q1549*60)/'Gearing Calculator'!$C$14)*'Track Data'!P1549),-2))</f>
        <v>10100</v>
      </c>
      <c r="T1549" s="16">
        <f t="shared" si="174"/>
        <v>4.8341669554016056</v>
      </c>
      <c r="U1549" s="16">
        <f>IF(AC1549=100,Braking!$AG$2354,IF(AC1549=50,Braking!$AG$1179,IF(AC1549=75,Braking!$AG$1767,0)))</f>
        <v>0</v>
      </c>
      <c r="V1549" s="16">
        <f>0.5*'Gearing Calculator'!$C$15*'Gearing Calculator'!$C$20*'Gearing Calculator'!$W$20*('Track Data'!Q1549^2)</f>
        <v>140.51182997818279</v>
      </c>
      <c r="W1549" s="16">
        <f>('Gearing Calculator'!$U$9*'Track Data'!T1549)+'Track Data'!V1549</f>
        <v>1427.36707350609</v>
      </c>
      <c r="X1549" s="16">
        <f>('Gearing Calculator'!$U$9*9.81)*('Gearing Calculator'!$U$16/'Gearing Calculator'!$C$7)-(('Track Data'!W1549)*('Gearing Calculator'!$U$17/'Gearing Calculator'!$C$7))</f>
        <v>623.14976471317107</v>
      </c>
      <c r="Y1549" s="16">
        <f>('Gearing Calculator'!$U$9*9.81)*(('Gearing Calculator'!$C$7-'Gearing Calculator'!$U$16)/'Gearing Calculator'!$C$7)+(('Track Data'!W1549)*('Gearing Calculator'!$U$17/'Gearing Calculator'!$C$7))</f>
        <v>1988.2722352868291</v>
      </c>
      <c r="Z1549" s="16">
        <f>((X1549*COS('Gearing Calculator'!$C$21))/'Gearing Calculator'!$C$22)/2</f>
        <v>19.265819870139662</v>
      </c>
      <c r="AA1549" s="16">
        <f>Y1549/'Gearing Calculator'!$C$24</f>
        <v>27.762949161517138</v>
      </c>
      <c r="AB1549" s="16">
        <f t="shared" si="170"/>
        <v>159.84849779978921</v>
      </c>
      <c r="AC1549" s="16">
        <v>0</v>
      </c>
      <c r="AD1549" s="16">
        <v>0</v>
      </c>
      <c r="AE1549" s="16">
        <v>1546</v>
      </c>
      <c r="AF1549" s="16">
        <f>IF(AC1549=0,IF(O1549=6,INDEX(Acceleration!$V$4:$V$110,MATCH('Track Data'!S1549,Acceleration!$K$4:$K$110,0)),IF('Track Data'!O1549=5,INDEX(Acceleration!$U$4:$U$110,MATCH('Track Data'!S1549,Acceleration!$K$4:$K$110,0)),1)),U1549)</f>
        <v>1</v>
      </c>
      <c r="AG1549" s="16">
        <f>IF(AC1549=0,IF(O1549=4,INDEX(Acceleration!$T$4:$T$110,MATCH('Track Data'!S1549,Acceleration!$K$4:$K$110,0)),IF('Track Data'!O1549=3,INDEX(Acceleration!$S$4:$S$110,MATCH('Track Data'!S1549,Acceleration!$K$4:$K$110,0)),'Track Data'!AF1549)),'Track Data'!U1549)</f>
        <v>4.8341669554016056</v>
      </c>
      <c r="AH1549" s="16">
        <f>IF(AC1549=0,IF(O1549=2,INDEX(Acceleration!$R$4:$R$110,MATCH('Track Data'!S1549,Acceleration!$K$4:$K$110,0)),IF('Track Data'!O1549=1,INDEX(Acceleration!$Q$4:$Q$110,MATCH('Track Data'!S1549,Acceleration!$K$4:$K$110,0)),'Track Data'!AG1549)),'Track Data'!U1549)</f>
        <v>4.8341669554016056</v>
      </c>
    </row>
    <row r="1550" spans="2:34" x14ac:dyDescent="0.25">
      <c r="B1550" s="16">
        <v>239.834</v>
      </c>
      <c r="C1550" s="16">
        <v>8820</v>
      </c>
      <c r="D1550" s="16">
        <v>1547</v>
      </c>
      <c r="E1550" s="113">
        <v>160</v>
      </c>
      <c r="F1550" s="113">
        <v>157.19999999999999</v>
      </c>
      <c r="G1550" s="113">
        <v>158.1</v>
      </c>
      <c r="H1550" s="113">
        <f t="shared" si="173"/>
        <v>43.916666666666664</v>
      </c>
      <c r="I1550" s="113">
        <v>3.4</v>
      </c>
      <c r="J1550" s="113">
        <v>6.01</v>
      </c>
      <c r="K1550" s="113">
        <v>9.3000000000000007</v>
      </c>
      <c r="L1550" s="185"/>
      <c r="M1550" s="16">
        <v>1547</v>
      </c>
      <c r="N1550" s="16">
        <f t="shared" si="175"/>
        <v>2.734593624768495E-2</v>
      </c>
      <c r="O1550" s="16">
        <v>4</v>
      </c>
      <c r="P1550" s="16">
        <f t="shared" si="171"/>
        <v>9.1833785004516724</v>
      </c>
      <c r="Q1550" s="16">
        <f t="shared" si="176"/>
        <v>36.568504765846441</v>
      </c>
      <c r="R1550" s="113">
        <f t="shared" si="172"/>
        <v>329.49099999999999</v>
      </c>
      <c r="S1550" s="16">
        <f>IF(S1549=15800,15800,ROUND((((Q1550*60)/'Gearing Calculator'!$C$14)*'Track Data'!P1550),-2))</f>
        <v>10200</v>
      </c>
      <c r="T1550" s="16">
        <f t="shared" si="174"/>
        <v>4.9001475789162257</v>
      </c>
      <c r="U1550" s="16">
        <f>IF(AC1550=100,Braking!$AG$2354,IF(AC1550=50,Braking!$AG$1179,IF(AC1550=75,Braking!$AG$1767,0)))</f>
        <v>0</v>
      </c>
      <c r="V1550" s="16">
        <f>0.5*'Gearing Calculator'!$C$15*'Gearing Calculator'!$C$20*'Gearing Calculator'!$W$20*('Track Data'!Q1550^2)</f>
        <v>141.53512643930222</v>
      </c>
      <c r="W1550" s="16">
        <f>('Gearing Calculator'!$U$9*'Track Data'!T1550)+'Track Data'!V1550</f>
        <v>1445.9544119468014</v>
      </c>
      <c r="X1550" s="16">
        <f>('Gearing Calculator'!$U$9*9.81)*('Gearing Calculator'!$U$16/'Gearing Calculator'!$C$7)-(('Track Data'!W1550)*('Gearing Calculator'!$U$17/'Gearing Calculator'!$C$7))</f>
        <v>613.01839586425206</v>
      </c>
      <c r="Y1550" s="16">
        <f>('Gearing Calculator'!$U$9*9.81)*(('Gearing Calculator'!$C$7-'Gearing Calculator'!$U$16)/'Gearing Calculator'!$C$7)+(('Track Data'!W1550)*('Gearing Calculator'!$U$17/'Gearing Calculator'!$C$7))</f>
        <v>1998.4036041357481</v>
      </c>
      <c r="Z1550" s="16">
        <f>((X1550*COS('Gearing Calculator'!$C$21))/'Gearing Calculator'!$C$22)/2</f>
        <v>18.952589988120749</v>
      </c>
      <c r="AA1550" s="16">
        <f>Y1550/'Gearing Calculator'!$C$24</f>
        <v>27.904417051727123</v>
      </c>
      <c r="AB1550" s="16">
        <f t="shared" si="170"/>
        <v>161.13571675496712</v>
      </c>
      <c r="AC1550" s="16">
        <v>0</v>
      </c>
      <c r="AD1550" s="16">
        <v>0</v>
      </c>
      <c r="AE1550" s="16">
        <v>1547</v>
      </c>
      <c r="AF1550" s="16">
        <f>IF(AC1550=0,IF(O1550=6,INDEX(Acceleration!$V$4:$V$110,MATCH('Track Data'!S1550,Acceleration!$K$4:$K$110,0)),IF('Track Data'!O1550=5,INDEX(Acceleration!$U$4:$U$110,MATCH('Track Data'!S1550,Acceleration!$K$4:$K$110,0)),1)),U1550)</f>
        <v>1</v>
      </c>
      <c r="AG1550" s="16">
        <f>IF(AC1550=0,IF(O1550=4,INDEX(Acceleration!$T$4:$T$110,MATCH('Track Data'!S1550,Acceleration!$K$4:$K$110,0)),IF('Track Data'!O1550=3,INDEX(Acceleration!$S$4:$S$110,MATCH('Track Data'!S1550,Acceleration!$K$4:$K$110,0)),'Track Data'!AF1550)),'Track Data'!U1550)</f>
        <v>4.9001475789162257</v>
      </c>
      <c r="AH1550" s="16">
        <f>IF(AC1550=0,IF(O1550=2,INDEX(Acceleration!$R$4:$R$110,MATCH('Track Data'!S1550,Acceleration!$K$4:$K$110,0)),IF('Track Data'!O1550=1,INDEX(Acceleration!$Q$4:$Q$110,MATCH('Track Data'!S1550,Acceleration!$K$4:$K$110,0)),'Track Data'!AG1550)),'Track Data'!U1550)</f>
        <v>4.9001475789162257</v>
      </c>
    </row>
    <row r="1551" spans="2:34" x14ac:dyDescent="0.25">
      <c r="B1551" s="16">
        <v>239.857</v>
      </c>
      <c r="C1551" s="16">
        <v>8821</v>
      </c>
      <c r="D1551" s="16">
        <v>1548</v>
      </c>
      <c r="E1551" s="113">
        <v>160</v>
      </c>
      <c r="F1551" s="113">
        <v>157.6</v>
      </c>
      <c r="G1551" s="113">
        <v>158.4</v>
      </c>
      <c r="H1551" s="113">
        <f t="shared" si="173"/>
        <v>44</v>
      </c>
      <c r="I1551" s="113">
        <v>3.3</v>
      </c>
      <c r="J1551" s="113">
        <v>5.25</v>
      </c>
      <c r="K1551" s="113">
        <v>9.1</v>
      </c>
      <c r="L1551" s="185"/>
      <c r="M1551" s="16">
        <v>1548</v>
      </c>
      <c r="N1551" s="16">
        <f t="shared" si="175"/>
        <v>2.7246279104461424E-2</v>
      </c>
      <c r="O1551" s="16">
        <v>4</v>
      </c>
      <c r="P1551" s="16">
        <f t="shared" si="171"/>
        <v>9.1833785004516724</v>
      </c>
      <c r="Q1551" s="16">
        <f t="shared" si="176"/>
        <v>36.702259276065909</v>
      </c>
      <c r="R1551" s="113">
        <f t="shared" si="172"/>
        <v>329.49099999999999</v>
      </c>
      <c r="S1551" s="16">
        <f>IF(S1550=15800,15800,ROUND((((Q1551*60)/'Gearing Calculator'!$C$14)*'Track Data'!P1551),-2))</f>
        <v>10200</v>
      </c>
      <c r="T1551" s="16">
        <f t="shared" si="174"/>
        <v>4.9001475789162257</v>
      </c>
      <c r="U1551" s="16">
        <f>IF(AC1551=100,Braking!$AG$2354,IF(AC1551=50,Braking!$AG$1179,IF(AC1551=75,Braking!$AG$1767,0)))</f>
        <v>0</v>
      </c>
      <c r="V1551" s="16">
        <f>0.5*'Gearing Calculator'!$C$15*'Gearing Calculator'!$C$20*'Gearing Calculator'!$W$20*('Track Data'!Q1551^2)</f>
        <v>142.57238967880718</v>
      </c>
      <c r="W1551" s="16">
        <f>('Gearing Calculator'!$U$9*'Track Data'!T1551)+'Track Data'!V1551</f>
        <v>1446.9916751863063</v>
      </c>
      <c r="X1551" s="16">
        <f>('Gearing Calculator'!$U$9*9.81)*('Gearing Calculator'!$U$16/'Gearing Calculator'!$C$7)-(('Track Data'!W1551)*('Gearing Calculator'!$U$17/'Gearing Calculator'!$C$7))</f>
        <v>612.45301656014306</v>
      </c>
      <c r="Y1551" s="16">
        <f>('Gearing Calculator'!$U$9*9.81)*(('Gearing Calculator'!$C$7-'Gearing Calculator'!$U$16)/'Gearing Calculator'!$C$7)+(('Track Data'!W1551)*('Gearing Calculator'!$U$17/'Gearing Calculator'!$C$7))</f>
        <v>1998.9689834398569</v>
      </c>
      <c r="Z1551" s="16">
        <f>((X1551*COS('Gearing Calculator'!$C$21))/'Gearing Calculator'!$C$22)/2</f>
        <v>18.935110248180091</v>
      </c>
      <c r="AA1551" s="16">
        <f>Y1551/'Gearing Calculator'!$C$24</f>
        <v>27.912311643120784</v>
      </c>
      <c r="AB1551" s="16">
        <f t="shared" si="170"/>
        <v>162.17297999447209</v>
      </c>
      <c r="AC1551" s="16">
        <v>0</v>
      </c>
      <c r="AD1551" s="16">
        <v>0</v>
      </c>
      <c r="AE1551" s="16">
        <v>1548</v>
      </c>
      <c r="AF1551" s="16">
        <f>IF(AC1551=0,IF(O1551=6,INDEX(Acceleration!$V$4:$V$110,MATCH('Track Data'!S1551,Acceleration!$K$4:$K$110,0)),IF('Track Data'!O1551=5,INDEX(Acceleration!$U$4:$U$110,MATCH('Track Data'!S1551,Acceleration!$K$4:$K$110,0)),1)),U1551)</f>
        <v>1</v>
      </c>
      <c r="AG1551" s="16">
        <f>IF(AC1551=0,IF(O1551=4,INDEX(Acceleration!$T$4:$T$110,MATCH('Track Data'!S1551,Acceleration!$K$4:$K$110,0)),IF('Track Data'!O1551=3,INDEX(Acceleration!$S$4:$S$110,MATCH('Track Data'!S1551,Acceleration!$K$4:$K$110,0)),'Track Data'!AF1551)),'Track Data'!U1551)</f>
        <v>4.9001475789162257</v>
      </c>
      <c r="AH1551" s="16">
        <f>IF(AC1551=0,IF(O1551=2,INDEX(Acceleration!$R$4:$R$110,MATCH('Track Data'!S1551,Acceleration!$K$4:$K$110,0)),IF('Track Data'!O1551=1,INDEX(Acceleration!$Q$4:$Q$110,MATCH('Track Data'!S1551,Acceleration!$K$4:$K$110,0)),'Track Data'!AG1551)),'Track Data'!U1551)</f>
        <v>4.9001475789162257</v>
      </c>
    </row>
    <row r="1552" spans="2:34" x14ac:dyDescent="0.25">
      <c r="B1552" s="16">
        <v>239.87899999999999</v>
      </c>
      <c r="C1552" s="16">
        <v>8822</v>
      </c>
      <c r="D1552" s="16">
        <v>1549</v>
      </c>
      <c r="E1552" s="113">
        <v>161</v>
      </c>
      <c r="F1552" s="113">
        <v>158.30000000000001</v>
      </c>
      <c r="G1552" s="113">
        <v>158.69999999999999</v>
      </c>
      <c r="H1552" s="113">
        <f t="shared" si="173"/>
        <v>44.083333333333329</v>
      </c>
      <c r="I1552" s="113">
        <v>3.2</v>
      </c>
      <c r="J1552" s="113">
        <v>4.76</v>
      </c>
      <c r="K1552" s="113">
        <v>8.8000000000000007</v>
      </c>
      <c r="L1552" s="185"/>
      <c r="M1552" s="16">
        <v>1549</v>
      </c>
      <c r="N1552" s="16">
        <f t="shared" si="175"/>
        <v>2.7147703625154809E-2</v>
      </c>
      <c r="O1552" s="16">
        <v>4</v>
      </c>
      <c r="P1552" s="16">
        <f t="shared" si="171"/>
        <v>9.1833785004516724</v>
      </c>
      <c r="Q1552" s="16">
        <f t="shared" si="176"/>
        <v>36.835528109766507</v>
      </c>
      <c r="R1552" s="113">
        <f t="shared" si="172"/>
        <v>329.49099999999999</v>
      </c>
      <c r="S1552" s="16">
        <f>IF(S1551=15800,15800,ROUND((((Q1552*60)/'Gearing Calculator'!$C$14)*'Track Data'!P1552),-2))</f>
        <v>10300</v>
      </c>
      <c r="T1552" s="16">
        <f t="shared" si="174"/>
        <v>4.9646507180018125</v>
      </c>
      <c r="U1552" s="16">
        <f>IF(AC1552=100,Braking!$AG$2354,IF(AC1552=50,Braking!$AG$1179,IF(AC1552=75,Braking!$AG$1767,0)))</f>
        <v>0</v>
      </c>
      <c r="V1552" s="16">
        <f>0.5*'Gearing Calculator'!$C$15*'Gearing Calculator'!$C$20*'Gearing Calculator'!$W$20*('Track Data'!Q1552^2)</f>
        <v>143.60965291831215</v>
      </c>
      <c r="W1552" s="16">
        <f>('Gearing Calculator'!$U$9*'Track Data'!T1552)+'Track Data'!V1552</f>
        <v>1465.1996740503946</v>
      </c>
      <c r="X1552" s="16">
        <f>('Gearing Calculator'!$U$9*9.81)*('Gearing Calculator'!$U$16/'Gearing Calculator'!$C$7)-(('Track Data'!W1552)*('Gearing Calculator'!$U$17/'Gearing Calculator'!$C$7))</f>
        <v>602.52841368699944</v>
      </c>
      <c r="Y1552" s="16">
        <f>('Gearing Calculator'!$U$9*9.81)*(('Gearing Calculator'!$C$7-'Gearing Calculator'!$U$16)/'Gearing Calculator'!$C$7)+(('Track Data'!W1552)*('Gearing Calculator'!$U$17/'Gearing Calculator'!$C$7))</f>
        <v>2008.8935863130005</v>
      </c>
      <c r="Z1552" s="16">
        <f>((X1552*COS('Gearing Calculator'!$C$21))/'Gearing Calculator'!$C$22)/2</f>
        <v>18.62827291618709</v>
      </c>
      <c r="AA1552" s="16">
        <f>Y1552/'Gearing Calculator'!$C$24</f>
        <v>28.050892386806311</v>
      </c>
      <c r="AB1552" s="16">
        <f t="shared" si="170"/>
        <v>163.4682557903194</v>
      </c>
      <c r="AC1552" s="16">
        <v>0</v>
      </c>
      <c r="AD1552" s="16">
        <v>0</v>
      </c>
      <c r="AE1552" s="16">
        <v>1549</v>
      </c>
      <c r="AF1552" s="16">
        <f>IF(AC1552=0,IF(O1552=6,INDEX(Acceleration!$V$4:$V$110,MATCH('Track Data'!S1552,Acceleration!$K$4:$K$110,0)),IF('Track Data'!O1552=5,INDEX(Acceleration!$U$4:$U$110,MATCH('Track Data'!S1552,Acceleration!$K$4:$K$110,0)),1)),U1552)</f>
        <v>1</v>
      </c>
      <c r="AG1552" s="16">
        <f>IF(AC1552=0,IF(O1552=4,INDEX(Acceleration!$T$4:$T$110,MATCH('Track Data'!S1552,Acceleration!$K$4:$K$110,0)),IF('Track Data'!O1552=3,INDEX(Acceleration!$S$4:$S$110,MATCH('Track Data'!S1552,Acceleration!$K$4:$K$110,0)),'Track Data'!AF1552)),'Track Data'!U1552)</f>
        <v>4.9646507180018125</v>
      </c>
      <c r="AH1552" s="16">
        <f>IF(AC1552=0,IF(O1552=2,INDEX(Acceleration!$R$4:$R$110,MATCH('Track Data'!S1552,Acceleration!$K$4:$K$110,0)),IF('Track Data'!O1552=1,INDEX(Acceleration!$Q$4:$Q$110,MATCH('Track Data'!S1552,Acceleration!$K$4:$K$110,0)),'Track Data'!AG1552)),'Track Data'!U1552)</f>
        <v>4.9646507180018125</v>
      </c>
    </row>
    <row r="1553" spans="2:34" x14ac:dyDescent="0.25">
      <c r="B1553" s="16">
        <v>239.90299999999999</v>
      </c>
      <c r="C1553" s="16">
        <v>8823</v>
      </c>
      <c r="D1553" s="16">
        <v>1550</v>
      </c>
      <c r="E1553" s="113">
        <v>162</v>
      </c>
      <c r="F1553" s="113">
        <v>159.30000000000001</v>
      </c>
      <c r="G1553" s="113">
        <v>159.19999999999999</v>
      </c>
      <c r="H1553" s="113">
        <f t="shared" si="173"/>
        <v>44.222222222222221</v>
      </c>
      <c r="I1553" s="113">
        <v>2.5</v>
      </c>
      <c r="J1553" s="113">
        <v>6.19</v>
      </c>
      <c r="K1553" s="113">
        <v>8.3000000000000007</v>
      </c>
      <c r="L1553" s="185"/>
      <c r="M1553" s="16">
        <v>1550</v>
      </c>
      <c r="N1553" s="16">
        <f t="shared" si="175"/>
        <v>2.7048913764905237E-2</v>
      </c>
      <c r="O1553" s="16">
        <v>4</v>
      </c>
      <c r="P1553" s="16">
        <f t="shared" si="171"/>
        <v>9.1833785004516724</v>
      </c>
      <c r="Q1553" s="16">
        <f t="shared" si="176"/>
        <v>36.970061300482072</v>
      </c>
      <c r="R1553" s="113">
        <f t="shared" si="172"/>
        <v>329.49099999999999</v>
      </c>
      <c r="S1553" s="16">
        <f>IF(S1552=15800,15800,ROUND((((Q1553*60)/'Gearing Calculator'!$C$14)*'Track Data'!P1553),-2))</f>
        <v>10300</v>
      </c>
      <c r="T1553" s="16">
        <f t="shared" si="174"/>
        <v>4.9646507180018125</v>
      </c>
      <c r="U1553" s="16">
        <f>IF(AC1553=100,Braking!$AG$2354,IF(AC1553=50,Braking!$AG$1179,IF(AC1553=75,Braking!$AG$1767,0)))</f>
        <v>0</v>
      </c>
      <c r="V1553" s="16">
        <f>0.5*'Gearing Calculator'!$C$15*'Gearing Calculator'!$C$20*'Gearing Calculator'!$W$20*('Track Data'!Q1553^2)</f>
        <v>144.66057018229878</v>
      </c>
      <c r="W1553" s="16">
        <f>('Gearing Calculator'!$U$9*'Track Data'!T1553)+'Track Data'!V1553</f>
        <v>1466.2505913143814</v>
      </c>
      <c r="X1553" s="16">
        <f>('Gearing Calculator'!$U$9*9.81)*('Gearing Calculator'!$U$16/'Gearing Calculator'!$C$7)-(('Track Data'!W1553)*('Gearing Calculator'!$U$17/'Gearing Calculator'!$C$7))</f>
        <v>601.9555920070635</v>
      </c>
      <c r="Y1553" s="16">
        <f>('Gearing Calculator'!$U$9*9.81)*(('Gearing Calculator'!$C$7-'Gearing Calculator'!$U$16)/'Gearing Calculator'!$C$7)+(('Track Data'!W1553)*('Gearing Calculator'!$U$17/'Gearing Calculator'!$C$7))</f>
        <v>2009.4664079929366</v>
      </c>
      <c r="Z1553" s="16">
        <f>((X1553*COS('Gearing Calculator'!$C$21))/'Gearing Calculator'!$C$22)/2</f>
        <v>18.610563081524091</v>
      </c>
      <c r="AA1553" s="16">
        <f>Y1553/'Gearing Calculator'!$C$24</f>
        <v>28.058890898728592</v>
      </c>
      <c r="AB1553" s="16">
        <f t="shared" si="170"/>
        <v>164.51917305430604</v>
      </c>
      <c r="AC1553" s="16">
        <v>0</v>
      </c>
      <c r="AD1553" s="16">
        <v>0</v>
      </c>
      <c r="AE1553" s="16">
        <v>1550</v>
      </c>
      <c r="AF1553" s="16">
        <f>IF(AC1553=0,IF(O1553=6,INDEX(Acceleration!$V$4:$V$110,MATCH('Track Data'!S1553,Acceleration!$K$4:$K$110,0)),IF('Track Data'!O1553=5,INDEX(Acceleration!$U$4:$U$110,MATCH('Track Data'!S1553,Acceleration!$K$4:$K$110,0)),1)),U1553)</f>
        <v>1</v>
      </c>
      <c r="AG1553" s="16">
        <f>IF(AC1553=0,IF(O1553=4,INDEX(Acceleration!$T$4:$T$110,MATCH('Track Data'!S1553,Acceleration!$K$4:$K$110,0)),IF('Track Data'!O1553=3,INDEX(Acceleration!$S$4:$S$110,MATCH('Track Data'!S1553,Acceleration!$K$4:$K$110,0)),'Track Data'!AF1553)),'Track Data'!U1553)</f>
        <v>4.9646507180018125</v>
      </c>
      <c r="AH1553" s="16">
        <f>IF(AC1553=0,IF(O1553=2,INDEX(Acceleration!$R$4:$R$110,MATCH('Track Data'!S1553,Acceleration!$K$4:$K$110,0)),IF('Track Data'!O1553=1,INDEX(Acceleration!$Q$4:$Q$110,MATCH('Track Data'!S1553,Acceleration!$K$4:$K$110,0)),'Track Data'!AG1553)),'Track Data'!U1553)</f>
        <v>4.9646507180018125</v>
      </c>
    </row>
    <row r="1554" spans="2:34" x14ac:dyDescent="0.25">
      <c r="B1554" s="16">
        <v>239.92500000000001</v>
      </c>
      <c r="C1554" s="16">
        <v>8824</v>
      </c>
      <c r="D1554" s="16">
        <v>1551</v>
      </c>
      <c r="E1554" s="113">
        <v>162</v>
      </c>
      <c r="F1554" s="113">
        <v>159.9</v>
      </c>
      <c r="G1554" s="113">
        <v>159.5</v>
      </c>
      <c r="H1554" s="113">
        <f t="shared" si="173"/>
        <v>44.305555555555557</v>
      </c>
      <c r="I1554" s="113">
        <v>2.6</v>
      </c>
      <c r="J1554" s="113">
        <v>5.76</v>
      </c>
      <c r="K1554" s="113">
        <v>7.8</v>
      </c>
      <c r="L1554" s="185"/>
      <c r="M1554" s="16">
        <v>1551</v>
      </c>
      <c r="N1554" s="16">
        <f t="shared" si="175"/>
        <v>2.6951194596547247E-2</v>
      </c>
      <c r="O1554" s="16">
        <v>4</v>
      </c>
      <c r="P1554" s="16">
        <f t="shared" si="171"/>
        <v>9.1833785004516724</v>
      </c>
      <c r="Q1554" s="16">
        <f t="shared" si="176"/>
        <v>37.104106699897869</v>
      </c>
      <c r="R1554" s="113">
        <f t="shared" si="172"/>
        <v>329.49099999999999</v>
      </c>
      <c r="S1554" s="16">
        <f>IF(S1553=15800,15800,ROUND((((Q1554*60)/'Gearing Calculator'!$C$14)*'Track Data'!P1554),-2))</f>
        <v>10300</v>
      </c>
      <c r="T1554" s="16">
        <f t="shared" si="174"/>
        <v>4.9646507180018125</v>
      </c>
      <c r="U1554" s="16">
        <f>IF(AC1554=100,Braking!$AG$2354,IF(AC1554=50,Braking!$AG$1179,IF(AC1554=75,Braking!$AG$1767,0)))</f>
        <v>0</v>
      </c>
      <c r="V1554" s="16">
        <f>0.5*'Gearing Calculator'!$C$15*'Gearing Calculator'!$C$20*'Gearing Calculator'!$W$20*('Track Data'!Q1554^2)</f>
        <v>145.71148744628545</v>
      </c>
      <c r="W1554" s="16">
        <f>('Gearing Calculator'!$U$9*'Track Data'!T1554)+'Track Data'!V1554</f>
        <v>1467.3015085783679</v>
      </c>
      <c r="X1554" s="16">
        <f>('Gearing Calculator'!$U$9*9.81)*('Gearing Calculator'!$U$16/'Gearing Calculator'!$C$7)-(('Track Data'!W1554)*('Gearing Calculator'!$U$17/'Gearing Calculator'!$C$7))</f>
        <v>601.38277032712767</v>
      </c>
      <c r="Y1554" s="16">
        <f>('Gearing Calculator'!$U$9*9.81)*(('Gearing Calculator'!$C$7-'Gearing Calculator'!$U$16)/'Gearing Calculator'!$C$7)+(('Track Data'!W1554)*('Gearing Calculator'!$U$17/'Gearing Calculator'!$C$7))</f>
        <v>2010.0392296728724</v>
      </c>
      <c r="Z1554" s="16">
        <f>((X1554*COS('Gearing Calculator'!$C$21))/'Gearing Calculator'!$C$22)/2</f>
        <v>18.592853246861097</v>
      </c>
      <c r="AA1554" s="16">
        <f>Y1554/'Gearing Calculator'!$C$24</f>
        <v>28.066889410650866</v>
      </c>
      <c r="AB1554" s="16">
        <f t="shared" si="170"/>
        <v>165.5700903182927</v>
      </c>
      <c r="AC1554" s="16">
        <v>0</v>
      </c>
      <c r="AD1554" s="16">
        <v>0</v>
      </c>
      <c r="AE1554" s="16">
        <v>1551</v>
      </c>
      <c r="AF1554" s="16">
        <f>IF(AC1554=0,IF(O1554=6,INDEX(Acceleration!$V$4:$V$110,MATCH('Track Data'!S1554,Acceleration!$K$4:$K$110,0)),IF('Track Data'!O1554=5,INDEX(Acceleration!$U$4:$U$110,MATCH('Track Data'!S1554,Acceleration!$K$4:$K$110,0)),1)),U1554)</f>
        <v>1</v>
      </c>
      <c r="AG1554" s="16">
        <f>IF(AC1554=0,IF(O1554=4,INDEX(Acceleration!$T$4:$T$110,MATCH('Track Data'!S1554,Acceleration!$K$4:$K$110,0)),IF('Track Data'!O1554=3,INDEX(Acceleration!$S$4:$S$110,MATCH('Track Data'!S1554,Acceleration!$K$4:$K$110,0)),'Track Data'!AF1554)),'Track Data'!U1554)</f>
        <v>4.9646507180018125</v>
      </c>
      <c r="AH1554" s="16">
        <f>IF(AC1554=0,IF(O1554=2,INDEX(Acceleration!$R$4:$R$110,MATCH('Track Data'!S1554,Acceleration!$K$4:$K$110,0)),IF('Track Data'!O1554=1,INDEX(Acceleration!$Q$4:$Q$110,MATCH('Track Data'!S1554,Acceleration!$K$4:$K$110,0)),'Track Data'!AG1554)),'Track Data'!U1554)</f>
        <v>4.9646507180018125</v>
      </c>
    </row>
    <row r="1555" spans="2:34" x14ac:dyDescent="0.25">
      <c r="B1555" s="16">
        <v>239.947</v>
      </c>
      <c r="C1555" s="16">
        <v>8825</v>
      </c>
      <c r="D1555" s="16">
        <v>1552</v>
      </c>
      <c r="E1555" s="113">
        <v>163</v>
      </c>
      <c r="F1555" s="113">
        <v>160.6</v>
      </c>
      <c r="G1555" s="113">
        <v>159.80000000000001</v>
      </c>
      <c r="H1555" s="113">
        <f t="shared" si="173"/>
        <v>44.388888888888893</v>
      </c>
      <c r="I1555" s="113">
        <v>2.6</v>
      </c>
      <c r="J1555" s="113">
        <v>6.89</v>
      </c>
      <c r="K1555" s="113">
        <v>6.2</v>
      </c>
      <c r="L1555" s="185"/>
      <c r="M1555" s="16">
        <v>1552</v>
      </c>
      <c r="N1555" s="16">
        <f t="shared" si="175"/>
        <v>2.6854526918381052E-2</v>
      </c>
      <c r="O1555" s="16">
        <v>4</v>
      </c>
      <c r="P1555" s="16">
        <f t="shared" si="171"/>
        <v>9.1833785004516724</v>
      </c>
      <c r="Q1555" s="16">
        <f t="shared" si="176"/>
        <v>37.237669575759028</v>
      </c>
      <c r="R1555" s="113">
        <f t="shared" si="172"/>
        <v>329.49099999999999</v>
      </c>
      <c r="S1555" s="16">
        <f>IF(S1554=15800,15800,ROUND((((Q1555*60)/'Gearing Calculator'!$C$14)*'Track Data'!P1555),-2))</f>
        <v>10400</v>
      </c>
      <c r="T1555" s="16">
        <f t="shared" si="174"/>
        <v>5.027717086325989</v>
      </c>
      <c r="U1555" s="16">
        <f>IF(AC1555=100,Braking!$AG$2354,IF(AC1555=50,Braking!$AG$1179,IF(AC1555=75,Braking!$AG$1767,0)))</f>
        <v>0</v>
      </c>
      <c r="V1555" s="16">
        <f>0.5*'Gearing Calculator'!$C$15*'Gearing Calculator'!$C$20*'Gearing Calculator'!$W$20*('Track Data'!Q1555^2)</f>
        <v>146.76240471027205</v>
      </c>
      <c r="W1555" s="16">
        <f>('Gearing Calculator'!$U$9*'Track Data'!T1555)+'Track Data'!V1555</f>
        <v>1485.1406930902501</v>
      </c>
      <c r="X1555" s="16">
        <f>('Gearing Calculator'!$U$9*9.81)*('Gearing Calculator'!$U$16/'Gearing Calculator'!$C$7)-(('Track Data'!W1555)*('Gearing Calculator'!$U$17/'Gearing Calculator'!$C$7))</f>
        <v>591.65919646364534</v>
      </c>
      <c r="Y1555" s="16">
        <f>('Gearing Calculator'!$U$9*9.81)*(('Gearing Calculator'!$C$7-'Gearing Calculator'!$U$16)/'Gearing Calculator'!$C$7)+(('Track Data'!W1555)*('Gearing Calculator'!$U$17/'Gearing Calculator'!$C$7))</f>
        <v>2019.7628035363546</v>
      </c>
      <c r="Z1555" s="16">
        <f>((X1555*COS('Gearing Calculator'!$C$21))/'Gearing Calculator'!$C$22)/2</f>
        <v>18.292231096046233</v>
      </c>
      <c r="AA1555" s="16">
        <f>Y1555/'Gearing Calculator'!$C$24</f>
        <v>28.202663115100936</v>
      </c>
      <c r="AB1555" s="16">
        <f t="shared" si="170"/>
        <v>166.87327305557602</v>
      </c>
      <c r="AC1555" s="16">
        <v>0</v>
      </c>
      <c r="AD1555" s="16">
        <v>0</v>
      </c>
      <c r="AE1555" s="16">
        <v>1552</v>
      </c>
      <c r="AF1555" s="16">
        <f>IF(AC1555=0,IF(O1555=6,INDEX(Acceleration!$V$4:$V$110,MATCH('Track Data'!S1555,Acceleration!$K$4:$K$110,0)),IF('Track Data'!O1555=5,INDEX(Acceleration!$U$4:$U$110,MATCH('Track Data'!S1555,Acceleration!$K$4:$K$110,0)),1)),U1555)</f>
        <v>1</v>
      </c>
      <c r="AG1555" s="16">
        <f>IF(AC1555=0,IF(O1555=4,INDEX(Acceleration!$T$4:$T$110,MATCH('Track Data'!S1555,Acceleration!$K$4:$K$110,0)),IF('Track Data'!O1555=3,INDEX(Acceleration!$S$4:$S$110,MATCH('Track Data'!S1555,Acceleration!$K$4:$K$110,0)),'Track Data'!AF1555)),'Track Data'!U1555)</f>
        <v>5.027717086325989</v>
      </c>
      <c r="AH1555" s="16">
        <f>IF(AC1555=0,IF(O1555=2,INDEX(Acceleration!$R$4:$R$110,MATCH('Track Data'!S1555,Acceleration!$K$4:$K$110,0)),IF('Track Data'!O1555=1,INDEX(Acceleration!$Q$4:$Q$110,MATCH('Track Data'!S1555,Acceleration!$K$4:$K$110,0)),'Track Data'!AG1555)),'Track Data'!U1555)</f>
        <v>5.027717086325989</v>
      </c>
    </row>
    <row r="1556" spans="2:34" x14ac:dyDescent="0.25">
      <c r="B1556" s="16">
        <v>239.97</v>
      </c>
      <c r="C1556" s="16">
        <v>8826</v>
      </c>
      <c r="D1556" s="16">
        <v>1553</v>
      </c>
      <c r="E1556" s="113">
        <v>163</v>
      </c>
      <c r="F1556" s="113">
        <v>161.4</v>
      </c>
      <c r="G1556" s="113">
        <v>160.30000000000001</v>
      </c>
      <c r="H1556" s="113">
        <f t="shared" si="173"/>
        <v>44.527777777777779</v>
      </c>
      <c r="I1556" s="113">
        <v>2.8</v>
      </c>
      <c r="J1556" s="113">
        <v>9.08</v>
      </c>
      <c r="K1556" s="113">
        <v>3.9</v>
      </c>
      <c r="L1556" s="185"/>
      <c r="M1556" s="16">
        <v>1553</v>
      </c>
      <c r="N1556" s="16">
        <f t="shared" si="175"/>
        <v>2.6757683712913229E-2</v>
      </c>
      <c r="O1556" s="16">
        <v>4</v>
      </c>
      <c r="P1556" s="16">
        <f t="shared" si="171"/>
        <v>9.1833785004516724</v>
      </c>
      <c r="Q1556" s="16">
        <f t="shared" si="176"/>
        <v>37.372442649712653</v>
      </c>
      <c r="R1556" s="113">
        <f t="shared" si="172"/>
        <v>329.49099999999999</v>
      </c>
      <c r="S1556" s="16">
        <f>IF(S1555=15800,15800,ROUND((((Q1556*60)/'Gearing Calculator'!$C$14)*'Track Data'!P1556),-2))</f>
        <v>10400</v>
      </c>
      <c r="T1556" s="16">
        <f t="shared" si="174"/>
        <v>5.027717086325989</v>
      </c>
      <c r="U1556" s="16">
        <f>IF(AC1556=100,Braking!$AG$2354,IF(AC1556=50,Braking!$AG$1179,IF(AC1556=75,Braking!$AG$1767,0)))</f>
        <v>0</v>
      </c>
      <c r="V1556" s="16">
        <f>0.5*'Gearing Calculator'!$C$15*'Gearing Calculator'!$C$20*'Gearing Calculator'!$W$20*('Track Data'!Q1556^2)</f>
        <v>147.8266718631055</v>
      </c>
      <c r="W1556" s="16">
        <f>('Gearing Calculator'!$U$9*'Track Data'!T1556)+'Track Data'!V1556</f>
        <v>1486.2049602430836</v>
      </c>
      <c r="X1556" s="16">
        <f>('Gearing Calculator'!$U$9*9.81)*('Gearing Calculator'!$U$16/'Gearing Calculator'!$C$7)-(('Track Data'!W1556)*('Gearing Calculator'!$U$17/'Gearing Calculator'!$C$7))</f>
        <v>591.07909818257417</v>
      </c>
      <c r="Y1556" s="16">
        <f>('Gearing Calculator'!$U$9*9.81)*(('Gearing Calculator'!$C$7-'Gearing Calculator'!$U$16)/'Gearing Calculator'!$C$7)+(('Track Data'!W1556)*('Gearing Calculator'!$U$17/'Gearing Calculator'!$C$7))</f>
        <v>2020.3429018174259</v>
      </c>
      <c r="Z1556" s="16">
        <f>((X1556*COS('Gearing Calculator'!$C$21))/'Gearing Calculator'!$C$22)/2</f>
        <v>18.274296291890064</v>
      </c>
      <c r="AA1556" s="16">
        <f>Y1556/'Gearing Calculator'!$C$24</f>
        <v>28.210763232781119</v>
      </c>
      <c r="AB1556" s="16">
        <f t="shared" si="170"/>
        <v>167.93754020840947</v>
      </c>
      <c r="AC1556" s="16">
        <v>0</v>
      </c>
      <c r="AD1556" s="16">
        <v>0</v>
      </c>
      <c r="AE1556" s="16">
        <v>1553</v>
      </c>
      <c r="AF1556" s="16">
        <f>IF(AC1556=0,IF(O1556=6,INDEX(Acceleration!$V$4:$V$110,MATCH('Track Data'!S1556,Acceleration!$K$4:$K$110,0)),IF('Track Data'!O1556=5,INDEX(Acceleration!$U$4:$U$110,MATCH('Track Data'!S1556,Acceleration!$K$4:$K$110,0)),1)),U1556)</f>
        <v>1</v>
      </c>
      <c r="AG1556" s="16">
        <f>IF(AC1556=0,IF(O1556=4,INDEX(Acceleration!$T$4:$T$110,MATCH('Track Data'!S1556,Acceleration!$K$4:$K$110,0)),IF('Track Data'!O1556=3,INDEX(Acceleration!$S$4:$S$110,MATCH('Track Data'!S1556,Acceleration!$K$4:$K$110,0)),'Track Data'!AF1556)),'Track Data'!U1556)</f>
        <v>5.027717086325989</v>
      </c>
      <c r="AH1556" s="16">
        <f>IF(AC1556=0,IF(O1556=2,INDEX(Acceleration!$R$4:$R$110,MATCH('Track Data'!S1556,Acceleration!$K$4:$K$110,0)),IF('Track Data'!O1556=1,INDEX(Acceleration!$Q$4:$Q$110,MATCH('Track Data'!S1556,Acceleration!$K$4:$K$110,0)),'Track Data'!AG1556)),'Track Data'!U1556)</f>
        <v>5.027717086325989</v>
      </c>
    </row>
    <row r="1557" spans="2:34" x14ac:dyDescent="0.25">
      <c r="B1557" s="16">
        <v>239.99199999999999</v>
      </c>
      <c r="C1557" s="16">
        <v>8827</v>
      </c>
      <c r="D1557" s="16">
        <v>1554</v>
      </c>
      <c r="E1557" s="113">
        <v>163</v>
      </c>
      <c r="F1557" s="113">
        <v>161.9</v>
      </c>
      <c r="G1557" s="113">
        <v>160.69999999999999</v>
      </c>
      <c r="H1557" s="113">
        <f t="shared" si="173"/>
        <v>44.638888888888886</v>
      </c>
      <c r="I1557" s="113">
        <v>3.7</v>
      </c>
      <c r="J1557" s="113">
        <v>10.37</v>
      </c>
      <c r="K1557" s="113">
        <v>2.2999999999999998</v>
      </c>
      <c r="L1557" s="185"/>
      <c r="M1557" s="16">
        <v>1554</v>
      </c>
      <c r="N1557" s="16">
        <f t="shared" si="175"/>
        <v>2.6661880719569792E-2</v>
      </c>
      <c r="O1557" s="16">
        <v>4</v>
      </c>
      <c r="P1557" s="16">
        <f t="shared" si="171"/>
        <v>9.1833785004516724</v>
      </c>
      <c r="Q1557" s="16">
        <f t="shared" si="176"/>
        <v>37.506731446217934</v>
      </c>
      <c r="R1557" s="113">
        <f t="shared" si="172"/>
        <v>329.49099999999999</v>
      </c>
      <c r="S1557" s="16">
        <f>IF(S1556=15800,15800,ROUND((((Q1557*60)/'Gearing Calculator'!$C$14)*'Track Data'!P1557),-2))</f>
        <v>10400</v>
      </c>
      <c r="T1557" s="16">
        <f t="shared" si="174"/>
        <v>5.027717086325989</v>
      </c>
      <c r="U1557" s="16">
        <f>IF(AC1557=100,Braking!$AG$2354,IF(AC1557=50,Braking!$AG$1179,IF(AC1557=75,Braking!$AG$1767,0)))</f>
        <v>0</v>
      </c>
      <c r="V1557" s="16">
        <f>0.5*'Gearing Calculator'!$C$15*'Gearing Calculator'!$C$20*'Gearing Calculator'!$W$20*('Track Data'!Q1557^2)</f>
        <v>148.89093901593898</v>
      </c>
      <c r="W1557" s="16">
        <f>('Gearing Calculator'!$U$9*'Track Data'!T1557)+'Track Data'!V1557</f>
        <v>1487.2692273959171</v>
      </c>
      <c r="X1557" s="16">
        <f>('Gearing Calculator'!$U$9*9.81)*('Gearing Calculator'!$U$16/'Gearing Calculator'!$C$7)-(('Track Data'!W1557)*('Gearing Calculator'!$U$17/'Gearing Calculator'!$C$7))</f>
        <v>590.498999901503</v>
      </c>
      <c r="Y1557" s="16">
        <f>('Gearing Calculator'!$U$9*9.81)*(('Gearing Calculator'!$C$7-'Gearing Calculator'!$U$16)/'Gearing Calculator'!$C$7)+(('Track Data'!W1557)*('Gearing Calculator'!$U$17/'Gearing Calculator'!$C$7))</f>
        <v>2020.9230000984971</v>
      </c>
      <c r="Z1557" s="16">
        <f>((X1557*COS('Gearing Calculator'!$C$21))/'Gearing Calculator'!$C$22)/2</f>
        <v>18.256361487733891</v>
      </c>
      <c r="AA1557" s="16">
        <f>Y1557/'Gearing Calculator'!$C$24</f>
        <v>28.218863350461302</v>
      </c>
      <c r="AB1557" s="16">
        <f t="shared" si="170"/>
        <v>169.00180736124292</v>
      </c>
      <c r="AC1557" s="16">
        <v>0</v>
      </c>
      <c r="AD1557" s="16">
        <v>0</v>
      </c>
      <c r="AE1557" s="16">
        <v>1554</v>
      </c>
      <c r="AF1557" s="16">
        <f>IF(AC1557=0,IF(O1557=6,INDEX(Acceleration!$V$4:$V$110,MATCH('Track Data'!S1557,Acceleration!$K$4:$K$110,0)),IF('Track Data'!O1557=5,INDEX(Acceleration!$U$4:$U$110,MATCH('Track Data'!S1557,Acceleration!$K$4:$K$110,0)),1)),U1557)</f>
        <v>1</v>
      </c>
      <c r="AG1557" s="16">
        <f>IF(AC1557=0,IF(O1557=4,INDEX(Acceleration!$T$4:$T$110,MATCH('Track Data'!S1557,Acceleration!$K$4:$K$110,0)),IF('Track Data'!O1557=3,INDEX(Acceleration!$S$4:$S$110,MATCH('Track Data'!S1557,Acceleration!$K$4:$K$110,0)),'Track Data'!AF1557)),'Track Data'!U1557)</f>
        <v>5.027717086325989</v>
      </c>
      <c r="AH1557" s="16">
        <f>IF(AC1557=0,IF(O1557=2,INDEX(Acceleration!$R$4:$R$110,MATCH('Track Data'!S1557,Acceleration!$K$4:$K$110,0)),IF('Track Data'!O1557=1,INDEX(Acceleration!$Q$4:$Q$110,MATCH('Track Data'!S1557,Acceleration!$K$4:$K$110,0)),'Track Data'!AG1557)),'Track Data'!U1557)</f>
        <v>5.027717086325989</v>
      </c>
    </row>
    <row r="1558" spans="2:34" x14ac:dyDescent="0.25">
      <c r="B1558" s="16">
        <v>240.01400000000001</v>
      </c>
      <c r="C1558" s="16">
        <v>8828</v>
      </c>
      <c r="D1558" s="16">
        <v>1555</v>
      </c>
      <c r="E1558" s="113">
        <v>163</v>
      </c>
      <c r="F1558" s="113">
        <v>162.30000000000001</v>
      </c>
      <c r="G1558" s="113">
        <v>161</v>
      </c>
      <c r="H1558" s="113">
        <f t="shared" si="173"/>
        <v>44.722222222222221</v>
      </c>
      <c r="I1558" s="113">
        <v>4.7</v>
      </c>
      <c r="J1558" s="113">
        <v>10.41</v>
      </c>
      <c r="K1558" s="113">
        <v>2.5</v>
      </c>
      <c r="L1558" s="185"/>
      <c r="M1558" s="16">
        <v>1555</v>
      </c>
      <c r="N1558" s="16">
        <f t="shared" si="175"/>
        <v>2.6567099448835819E-2</v>
      </c>
      <c r="O1558" s="16">
        <v>4</v>
      </c>
      <c r="P1558" s="16">
        <f t="shared" si="171"/>
        <v>9.1833785004516724</v>
      </c>
      <c r="Q1558" s="16">
        <f t="shared" si="176"/>
        <v>37.640541148492609</v>
      </c>
      <c r="R1558" s="113">
        <f t="shared" si="172"/>
        <v>329.49099999999999</v>
      </c>
      <c r="S1558" s="16">
        <f>IF(S1557=15800,15800,ROUND((((Q1558*60)/'Gearing Calculator'!$C$14)*'Track Data'!P1558),-2))</f>
        <v>10500</v>
      </c>
      <c r="T1558" s="16">
        <f t="shared" si="174"/>
        <v>5.0893858465595123</v>
      </c>
      <c r="U1558" s="16">
        <f>IF(AC1558=100,Braking!$AG$2354,IF(AC1558=50,Braking!$AG$1179,IF(AC1558=75,Braking!$AG$1767,0)))</f>
        <v>0</v>
      </c>
      <c r="V1558" s="16">
        <f>0.5*'Gearing Calculator'!$C$15*'Gearing Calculator'!$C$20*'Gearing Calculator'!$W$20*('Track Data'!Q1558^2)</f>
        <v>149.95520616877249</v>
      </c>
      <c r="W1558" s="16">
        <f>('Gearing Calculator'!$U$9*'Track Data'!T1558)+'Track Data'!V1558</f>
        <v>1504.7497185229147</v>
      </c>
      <c r="X1558" s="16">
        <f>('Gearing Calculator'!$U$9*9.81)*('Gearing Calculator'!$U$16/'Gearing Calculator'!$C$7)-(('Track Data'!W1558)*('Gearing Calculator'!$U$17/'Gearing Calculator'!$C$7))</f>
        <v>580.97093842929314</v>
      </c>
      <c r="Y1558" s="16">
        <f>('Gearing Calculator'!$U$9*9.81)*(('Gearing Calculator'!$C$7-'Gearing Calculator'!$U$16)/'Gearing Calculator'!$C$7)+(('Track Data'!W1558)*('Gearing Calculator'!$U$17/'Gearing Calculator'!$C$7))</f>
        <v>2030.4510615707068</v>
      </c>
      <c r="Z1558" s="16">
        <f>((X1558*COS('Gearing Calculator'!$C$21))/'Gearing Calculator'!$C$22)/2</f>
        <v>17.961783961704167</v>
      </c>
      <c r="AA1558" s="16">
        <f>Y1558/'Gearing Calculator'!$C$24</f>
        <v>28.351907046171618</v>
      </c>
      <c r="AB1558" s="16">
        <f t="shared" si="170"/>
        <v>170.31274955501056</v>
      </c>
      <c r="AC1558" s="16">
        <v>0</v>
      </c>
      <c r="AD1558" s="16">
        <v>0</v>
      </c>
      <c r="AE1558" s="16">
        <v>1555</v>
      </c>
      <c r="AF1558" s="16">
        <f>IF(AC1558=0,IF(O1558=6,INDEX(Acceleration!$V$4:$V$110,MATCH('Track Data'!S1558,Acceleration!$K$4:$K$110,0)),IF('Track Data'!O1558=5,INDEX(Acceleration!$U$4:$U$110,MATCH('Track Data'!S1558,Acceleration!$K$4:$K$110,0)),1)),U1558)</f>
        <v>1</v>
      </c>
      <c r="AG1558" s="16">
        <f>IF(AC1558=0,IF(O1558=4,INDEX(Acceleration!$T$4:$T$110,MATCH('Track Data'!S1558,Acceleration!$K$4:$K$110,0)),IF('Track Data'!O1558=3,INDEX(Acceleration!$S$4:$S$110,MATCH('Track Data'!S1558,Acceleration!$K$4:$K$110,0)),'Track Data'!AF1558)),'Track Data'!U1558)</f>
        <v>5.0893858465595123</v>
      </c>
      <c r="AH1558" s="16">
        <f>IF(AC1558=0,IF(O1558=2,INDEX(Acceleration!$R$4:$R$110,MATCH('Track Data'!S1558,Acceleration!$K$4:$K$110,0)),IF('Track Data'!O1558=1,INDEX(Acceleration!$Q$4:$Q$110,MATCH('Track Data'!S1558,Acceleration!$K$4:$K$110,0)),'Track Data'!AG1558)),'Track Data'!U1558)</f>
        <v>5.0893858465595123</v>
      </c>
    </row>
    <row r="1559" spans="2:34" x14ac:dyDescent="0.25">
      <c r="B1559" s="16">
        <v>240.036</v>
      </c>
      <c r="C1559" s="16">
        <v>8829</v>
      </c>
      <c r="D1559" s="16">
        <v>1556</v>
      </c>
      <c r="E1559" s="113">
        <v>164</v>
      </c>
      <c r="F1559" s="113">
        <v>162.80000000000001</v>
      </c>
      <c r="G1559" s="113">
        <v>161.30000000000001</v>
      </c>
      <c r="H1559" s="113">
        <f t="shared" si="173"/>
        <v>44.805555555555557</v>
      </c>
      <c r="I1559" s="113">
        <v>5.5</v>
      </c>
      <c r="J1559" s="113">
        <v>10.5</v>
      </c>
      <c r="K1559" s="113">
        <v>3.4</v>
      </c>
      <c r="L1559" s="185"/>
      <c r="M1559" s="16">
        <v>1556</v>
      </c>
      <c r="N1559" s="16">
        <f t="shared" si="175"/>
        <v>2.6472177772275285E-2</v>
      </c>
      <c r="O1559" s="16">
        <v>4</v>
      </c>
      <c r="P1559" s="16">
        <f t="shared" si="171"/>
        <v>9.1833785004516724</v>
      </c>
      <c r="Q1559" s="16">
        <f t="shared" si="176"/>
        <v>37.775509389609617</v>
      </c>
      <c r="R1559" s="113">
        <f t="shared" si="172"/>
        <v>329.49099999999999</v>
      </c>
      <c r="S1559" s="16">
        <f>IF(S1558=15800,15800,ROUND((((Q1559*60)/'Gearing Calculator'!$C$14)*'Track Data'!P1559),-2))</f>
        <v>10500</v>
      </c>
      <c r="T1559" s="16">
        <f t="shared" si="174"/>
        <v>5.0893858465595123</v>
      </c>
      <c r="U1559" s="16">
        <f>IF(AC1559=100,Braking!$AG$2354,IF(AC1559=50,Braking!$AG$1179,IF(AC1559=75,Braking!$AG$1767,0)))</f>
        <v>0</v>
      </c>
      <c r="V1559" s="16">
        <f>0.5*'Gearing Calculator'!$C$15*'Gearing Calculator'!$C$20*'Gearing Calculator'!$W$20*('Track Data'!Q1559^2)</f>
        <v>151.03252736477222</v>
      </c>
      <c r="W1559" s="16">
        <f>('Gearing Calculator'!$U$9*'Track Data'!T1559)+'Track Data'!V1559</f>
        <v>1505.8270397189144</v>
      </c>
      <c r="X1559" s="16">
        <f>('Gearing Calculator'!$U$9*9.81)*('Gearing Calculator'!$U$16/'Gearing Calculator'!$C$7)-(('Track Data'!W1559)*('Gearing Calculator'!$U$17/'Gearing Calculator'!$C$7))</f>
        <v>580.38372480318708</v>
      </c>
      <c r="Y1559" s="16">
        <f>('Gearing Calculator'!$U$9*9.81)*(('Gearing Calculator'!$C$7-'Gearing Calculator'!$U$16)/'Gearing Calculator'!$C$7)+(('Track Data'!W1559)*('Gearing Calculator'!$U$17/'Gearing Calculator'!$C$7))</f>
        <v>2031.0382751968129</v>
      </c>
      <c r="Z1559" s="16">
        <f>((X1559*COS('Gearing Calculator'!$C$21))/'Gearing Calculator'!$C$22)/2</f>
        <v>17.943629173583435</v>
      </c>
      <c r="AA1559" s="16">
        <f>Y1559/'Gearing Calculator'!$C$24</f>
        <v>28.360106517933684</v>
      </c>
      <c r="AB1559" s="16">
        <f t="shared" si="170"/>
        <v>171.39007075101028</v>
      </c>
      <c r="AC1559" s="16">
        <v>0</v>
      </c>
      <c r="AD1559" s="16">
        <v>0</v>
      </c>
      <c r="AE1559" s="16">
        <v>1556</v>
      </c>
      <c r="AF1559" s="16">
        <f>IF(AC1559=0,IF(O1559=6,INDEX(Acceleration!$V$4:$V$110,MATCH('Track Data'!S1559,Acceleration!$K$4:$K$110,0)),IF('Track Data'!O1559=5,INDEX(Acceleration!$U$4:$U$110,MATCH('Track Data'!S1559,Acceleration!$K$4:$K$110,0)),1)),U1559)</f>
        <v>1</v>
      </c>
      <c r="AG1559" s="16">
        <f>IF(AC1559=0,IF(O1559=4,INDEX(Acceleration!$T$4:$T$110,MATCH('Track Data'!S1559,Acceleration!$K$4:$K$110,0)),IF('Track Data'!O1559=3,INDEX(Acceleration!$S$4:$S$110,MATCH('Track Data'!S1559,Acceleration!$K$4:$K$110,0)),'Track Data'!AF1559)),'Track Data'!U1559)</f>
        <v>5.0893858465595123</v>
      </c>
      <c r="AH1559" s="16">
        <f>IF(AC1559=0,IF(O1559=2,INDEX(Acceleration!$R$4:$R$110,MATCH('Track Data'!S1559,Acceleration!$K$4:$K$110,0)),IF('Track Data'!O1559=1,INDEX(Acceleration!$Q$4:$Q$110,MATCH('Track Data'!S1559,Acceleration!$K$4:$K$110,0)),'Track Data'!AG1559)),'Track Data'!U1559)</f>
        <v>5.0893858465595123</v>
      </c>
    </row>
    <row r="1560" spans="2:34" x14ac:dyDescent="0.25">
      <c r="B1560" s="16">
        <v>240.05799999999999</v>
      </c>
      <c r="C1560" s="16">
        <v>8830</v>
      </c>
      <c r="D1560" s="16">
        <v>1557</v>
      </c>
      <c r="E1560" s="113">
        <v>164</v>
      </c>
      <c r="F1560" s="113">
        <v>163</v>
      </c>
      <c r="G1560" s="113">
        <v>161.69999999999999</v>
      </c>
      <c r="H1560" s="113">
        <f t="shared" si="173"/>
        <v>44.916666666666664</v>
      </c>
      <c r="I1560" s="113">
        <v>6.1</v>
      </c>
      <c r="J1560" s="113">
        <v>10.43</v>
      </c>
      <c r="K1560" s="113">
        <v>4.3</v>
      </c>
      <c r="L1560" s="185"/>
      <c r="M1560" s="16">
        <v>1557</v>
      </c>
      <c r="N1560" s="16">
        <f t="shared" si="175"/>
        <v>2.6378266316910023E-2</v>
      </c>
      <c r="O1560" s="16">
        <v>4</v>
      </c>
      <c r="P1560" s="16">
        <f t="shared" si="171"/>
        <v>9.1833785004516724</v>
      </c>
      <c r="Q1560" s="16">
        <f t="shared" si="176"/>
        <v>37.909997116032642</v>
      </c>
      <c r="R1560" s="113">
        <f t="shared" si="172"/>
        <v>329.49099999999999</v>
      </c>
      <c r="S1560" s="16">
        <f>IF(S1559=15800,15800,ROUND((((Q1560*60)/'Gearing Calculator'!$C$14)*'Track Data'!P1560),-2))</f>
        <v>10600</v>
      </c>
      <c r="T1560" s="16">
        <f t="shared" si="174"/>
        <v>5.090329986012093</v>
      </c>
      <c r="U1560" s="16">
        <f>IF(AC1560=100,Braking!$AG$2354,IF(AC1560=50,Braking!$AG$1179,IF(AC1560=75,Braking!$AG$1767,0)))</f>
        <v>0</v>
      </c>
      <c r="V1560" s="16">
        <f>0.5*'Gearing Calculator'!$C$15*'Gearing Calculator'!$C$20*'Gearing Calculator'!$W$20*('Track Data'!Q1560^2)</f>
        <v>152.10984856077189</v>
      </c>
      <c r="W1560" s="16">
        <f>('Gearing Calculator'!$U$9*'Track Data'!T1560)+'Track Data'!V1560</f>
        <v>1507.1556908371911</v>
      </c>
      <c r="X1560" s="16">
        <f>('Gearing Calculator'!$U$9*9.81)*('Gearing Calculator'!$U$16/'Gearing Calculator'!$C$7)-(('Track Data'!W1560)*('Gearing Calculator'!$U$17/'Gearing Calculator'!$C$7))</f>
        <v>579.65951920518137</v>
      </c>
      <c r="Y1560" s="16">
        <f>('Gearing Calculator'!$U$9*9.81)*(('Gearing Calculator'!$C$7-'Gearing Calculator'!$U$16)/'Gearing Calculator'!$C$7)+(('Track Data'!W1560)*('Gearing Calculator'!$U$17/'Gearing Calculator'!$C$7))</f>
        <v>2031.7624807948187</v>
      </c>
      <c r="Z1560" s="16">
        <f>((X1560*COS('Gearing Calculator'!$C$21))/'Gearing Calculator'!$C$22)/2</f>
        <v>17.921239026960261</v>
      </c>
      <c r="AA1560" s="16">
        <f>Y1560/'Gearing Calculator'!$C$24</f>
        <v>28.37021885710087</v>
      </c>
      <c r="AB1560" s="16">
        <f t="shared" si="170"/>
        <v>172.47116850482027</v>
      </c>
      <c r="AC1560" s="16">
        <v>0</v>
      </c>
      <c r="AD1560" s="16">
        <v>0</v>
      </c>
      <c r="AE1560" s="16">
        <v>1557</v>
      </c>
      <c r="AF1560" s="16">
        <f>IF(AC1560=0,IF(O1560=6,INDEX(Acceleration!$V$4:$V$110,MATCH('Track Data'!S1560,Acceleration!$K$4:$K$110,0)),IF('Track Data'!O1560=5,INDEX(Acceleration!$U$4:$U$110,MATCH('Track Data'!S1560,Acceleration!$K$4:$K$110,0)),1)),U1560)</f>
        <v>1</v>
      </c>
      <c r="AG1560" s="16">
        <f>IF(AC1560=0,IF(O1560=4,INDEX(Acceleration!$T$4:$T$110,MATCH('Track Data'!S1560,Acceleration!$K$4:$K$110,0)),IF('Track Data'!O1560=3,INDEX(Acceleration!$S$4:$S$110,MATCH('Track Data'!S1560,Acceleration!$K$4:$K$110,0)),'Track Data'!AF1560)),'Track Data'!U1560)</f>
        <v>5.090329986012093</v>
      </c>
      <c r="AH1560" s="16">
        <f>IF(AC1560=0,IF(O1560=2,INDEX(Acceleration!$R$4:$R$110,MATCH('Track Data'!S1560,Acceleration!$K$4:$K$110,0)),IF('Track Data'!O1560=1,INDEX(Acceleration!$Q$4:$Q$110,MATCH('Track Data'!S1560,Acceleration!$K$4:$K$110,0)),'Track Data'!AG1560)),'Track Data'!U1560)</f>
        <v>5.090329986012093</v>
      </c>
    </row>
    <row r="1561" spans="2:34" x14ac:dyDescent="0.25">
      <c r="B1561" s="16">
        <v>240.08099999999999</v>
      </c>
      <c r="C1561" s="16">
        <v>8831</v>
      </c>
      <c r="D1561" s="16">
        <v>1558</v>
      </c>
      <c r="E1561" s="113">
        <v>165</v>
      </c>
      <c r="F1561" s="113">
        <v>163.30000000000001</v>
      </c>
      <c r="G1561" s="113">
        <v>162.19999999999999</v>
      </c>
      <c r="H1561" s="113">
        <f t="shared" si="173"/>
        <v>45.05555555555555</v>
      </c>
      <c r="I1561" s="113">
        <v>6.1</v>
      </c>
      <c r="J1561" s="113">
        <v>11.77</v>
      </c>
      <c r="K1561" s="113">
        <v>5.3</v>
      </c>
      <c r="L1561" s="185"/>
      <c r="M1561" s="16">
        <v>1558</v>
      </c>
      <c r="N1561" s="16">
        <f t="shared" si="175"/>
        <v>2.6285330143286191E-2</v>
      </c>
      <c r="O1561" s="16">
        <v>4</v>
      </c>
      <c r="P1561" s="16">
        <f t="shared" si="171"/>
        <v>9.1833785004516724</v>
      </c>
      <c r="Q1561" s="16">
        <f t="shared" si="176"/>
        <v>38.04403424072725</v>
      </c>
      <c r="R1561" s="113">
        <f t="shared" si="172"/>
        <v>329.49099999999999</v>
      </c>
      <c r="S1561" s="16">
        <f>IF(S1560=15800,15800,ROUND((((Q1561*60)/'Gearing Calculator'!$C$14)*'Track Data'!P1561),-2))</f>
        <v>10600</v>
      </c>
      <c r="T1561" s="16">
        <f t="shared" si="174"/>
        <v>5.090329986012093</v>
      </c>
      <c r="U1561" s="16">
        <f>IF(AC1561=100,Braking!$AG$2354,IF(AC1561=50,Braking!$AG$1179,IF(AC1561=75,Braking!$AG$1767,0)))</f>
        <v>0</v>
      </c>
      <c r="V1561" s="16">
        <f>0.5*'Gearing Calculator'!$C$15*'Gearing Calculator'!$C$20*'Gearing Calculator'!$W$20*('Track Data'!Q1561^2)</f>
        <v>153.18736961221094</v>
      </c>
      <c r="W1561" s="16">
        <f>('Gearing Calculator'!$U$9*'Track Data'!T1561)+'Track Data'!V1561</f>
        <v>1508.23321188863</v>
      </c>
      <c r="X1561" s="16">
        <f>('Gearing Calculator'!$U$9*9.81)*('Gearing Calculator'!$U$16/'Gearing Calculator'!$C$7)-(('Track Data'!W1561)*('Gearing Calculator'!$U$17/'Gearing Calculator'!$C$7))</f>
        <v>579.072196644212</v>
      </c>
      <c r="Y1561" s="16">
        <f>('Gearing Calculator'!$U$9*9.81)*(('Gearing Calculator'!$C$7-'Gearing Calculator'!$U$16)/'Gearing Calculator'!$C$7)+(('Track Data'!W1561)*('Gearing Calculator'!$U$17/'Gearing Calculator'!$C$7))</f>
        <v>2032.349803355788</v>
      </c>
      <c r="Z1561" s="16">
        <f>((X1561*COS('Gearing Calculator'!$C$21))/'Gearing Calculator'!$C$22)/2</f>
        <v>17.903080870918085</v>
      </c>
      <c r="AA1561" s="16">
        <f>Y1561/'Gearing Calculator'!$C$24</f>
        <v>28.378419849958998</v>
      </c>
      <c r="AB1561" s="16">
        <f t="shared" si="170"/>
        <v>173.54868955625932</v>
      </c>
      <c r="AC1561" s="16">
        <v>0</v>
      </c>
      <c r="AD1561" s="16">
        <v>0</v>
      </c>
      <c r="AE1561" s="16">
        <v>1558</v>
      </c>
      <c r="AF1561" s="16">
        <f>IF(AC1561=0,IF(O1561=6,INDEX(Acceleration!$V$4:$V$110,MATCH('Track Data'!S1561,Acceleration!$K$4:$K$110,0)),IF('Track Data'!O1561=5,INDEX(Acceleration!$U$4:$U$110,MATCH('Track Data'!S1561,Acceleration!$K$4:$K$110,0)),1)),U1561)</f>
        <v>1</v>
      </c>
      <c r="AG1561" s="16">
        <f>IF(AC1561=0,IF(O1561=4,INDEX(Acceleration!$T$4:$T$110,MATCH('Track Data'!S1561,Acceleration!$K$4:$K$110,0)),IF('Track Data'!O1561=3,INDEX(Acceleration!$S$4:$S$110,MATCH('Track Data'!S1561,Acceleration!$K$4:$K$110,0)),'Track Data'!AF1561)),'Track Data'!U1561)</f>
        <v>5.090329986012093</v>
      </c>
      <c r="AH1561" s="16">
        <f>IF(AC1561=0,IF(O1561=2,INDEX(Acceleration!$R$4:$R$110,MATCH('Track Data'!S1561,Acceleration!$K$4:$K$110,0)),IF('Track Data'!O1561=1,INDEX(Acceleration!$Q$4:$Q$110,MATCH('Track Data'!S1561,Acceleration!$K$4:$K$110,0)),'Track Data'!AG1561)),'Track Data'!U1561)</f>
        <v>5.090329986012093</v>
      </c>
    </row>
    <row r="1562" spans="2:34" x14ac:dyDescent="0.25">
      <c r="B1562" s="16">
        <v>240.102</v>
      </c>
      <c r="C1562" s="16">
        <v>8832</v>
      </c>
      <c r="D1562" s="16">
        <v>1559</v>
      </c>
      <c r="E1562" s="113">
        <v>166</v>
      </c>
      <c r="F1562" s="113">
        <v>163.5</v>
      </c>
      <c r="G1562" s="113">
        <v>162.5</v>
      </c>
      <c r="H1562" s="113">
        <f t="shared" si="173"/>
        <v>45.138888888888886</v>
      </c>
      <c r="I1562" s="113">
        <v>6</v>
      </c>
      <c r="J1562" s="113">
        <v>11.48</v>
      </c>
      <c r="K1562" s="113">
        <v>4.0999999999999996</v>
      </c>
      <c r="L1562" s="185"/>
      <c r="M1562" s="16">
        <v>1559</v>
      </c>
      <c r="N1562" s="16">
        <f t="shared" si="175"/>
        <v>2.6193369399368147E-2</v>
      </c>
      <c r="O1562" s="16">
        <v>4</v>
      </c>
      <c r="P1562" s="16">
        <f t="shared" si="171"/>
        <v>9.1833785004516724</v>
      </c>
      <c r="Q1562" s="16">
        <f t="shared" si="176"/>
        <v>38.177600779536313</v>
      </c>
      <c r="R1562" s="113">
        <f t="shared" si="172"/>
        <v>329.49099999999999</v>
      </c>
      <c r="S1562" s="16">
        <f>IF(S1561=15800,15800,ROUND((((Q1562*60)/'Gearing Calculator'!$C$14)*'Track Data'!P1562),-2))</f>
        <v>10600</v>
      </c>
      <c r="T1562" s="16">
        <f t="shared" si="174"/>
        <v>5.090329986012093</v>
      </c>
      <c r="U1562" s="16">
        <f>IF(AC1562=100,Braking!$AG$2354,IF(AC1562=50,Braking!$AG$1179,IF(AC1562=75,Braking!$AG$1767,0)))</f>
        <v>0</v>
      </c>
      <c r="V1562" s="16">
        <f>0.5*'Gearing Calculator'!$C$15*'Gearing Calculator'!$C$20*'Gearing Calculator'!$W$20*('Track Data'!Q1562^2)</f>
        <v>154.26489066364999</v>
      </c>
      <c r="W1562" s="16">
        <f>('Gearing Calculator'!$U$9*'Track Data'!T1562)+'Track Data'!V1562</f>
        <v>1509.3107329400691</v>
      </c>
      <c r="X1562" s="16">
        <f>('Gearing Calculator'!$U$9*9.81)*('Gearing Calculator'!$U$16/'Gearing Calculator'!$C$7)-(('Track Data'!W1562)*('Gearing Calculator'!$U$17/'Gearing Calculator'!$C$7))</f>
        <v>578.48487408324252</v>
      </c>
      <c r="Y1562" s="16">
        <f>('Gearing Calculator'!$U$9*9.81)*(('Gearing Calculator'!$C$7-'Gearing Calculator'!$U$16)/'Gearing Calculator'!$C$7)+(('Track Data'!W1562)*('Gearing Calculator'!$U$17/'Gearing Calculator'!$C$7))</f>
        <v>2032.9371259167574</v>
      </c>
      <c r="Z1562" s="16">
        <f>((X1562*COS('Gearing Calculator'!$C$21))/'Gearing Calculator'!$C$22)/2</f>
        <v>17.884922714875909</v>
      </c>
      <c r="AA1562" s="16">
        <f>Y1562/'Gearing Calculator'!$C$24</f>
        <v>28.386620842817127</v>
      </c>
      <c r="AB1562" s="16">
        <f t="shared" si="170"/>
        <v>174.62621060769837</v>
      </c>
      <c r="AC1562" s="16">
        <v>0</v>
      </c>
      <c r="AD1562" s="16">
        <v>0</v>
      </c>
      <c r="AE1562" s="16">
        <v>1559</v>
      </c>
      <c r="AF1562" s="16">
        <f>IF(AC1562=0,IF(O1562=6,INDEX(Acceleration!$V$4:$V$110,MATCH('Track Data'!S1562,Acceleration!$K$4:$K$110,0)),IF('Track Data'!O1562=5,INDEX(Acceleration!$U$4:$U$110,MATCH('Track Data'!S1562,Acceleration!$K$4:$K$110,0)),1)),U1562)</f>
        <v>1</v>
      </c>
      <c r="AG1562" s="16">
        <f>IF(AC1562=0,IF(O1562=4,INDEX(Acceleration!$T$4:$T$110,MATCH('Track Data'!S1562,Acceleration!$K$4:$K$110,0)),IF('Track Data'!O1562=3,INDEX(Acceleration!$S$4:$S$110,MATCH('Track Data'!S1562,Acceleration!$K$4:$K$110,0)),'Track Data'!AF1562)),'Track Data'!U1562)</f>
        <v>5.090329986012093</v>
      </c>
      <c r="AH1562" s="16">
        <f>IF(AC1562=0,IF(O1562=2,INDEX(Acceleration!$R$4:$R$110,MATCH('Track Data'!S1562,Acceleration!$K$4:$K$110,0)),IF('Track Data'!O1562=1,INDEX(Acceleration!$Q$4:$Q$110,MATCH('Track Data'!S1562,Acceleration!$K$4:$K$110,0)),'Track Data'!AG1562)),'Track Data'!U1562)</f>
        <v>5.090329986012093</v>
      </c>
    </row>
    <row r="1563" spans="2:34" x14ac:dyDescent="0.25">
      <c r="B1563" s="16">
        <v>240.124</v>
      </c>
      <c r="C1563" s="16">
        <v>8833</v>
      </c>
      <c r="D1563" s="16">
        <v>1560</v>
      </c>
      <c r="E1563" s="113">
        <v>166</v>
      </c>
      <c r="F1563" s="113">
        <v>163.69999999999999</v>
      </c>
      <c r="G1563" s="113">
        <v>162.9</v>
      </c>
      <c r="H1563" s="113">
        <f t="shared" si="173"/>
        <v>45.25</v>
      </c>
      <c r="I1563" s="113">
        <v>5.6</v>
      </c>
      <c r="J1563" s="113">
        <v>10.130000000000001</v>
      </c>
      <c r="K1563" s="113">
        <v>2.9</v>
      </c>
      <c r="L1563" s="185"/>
      <c r="M1563" s="16">
        <v>1560</v>
      </c>
      <c r="N1563" s="16">
        <f t="shared" si="175"/>
        <v>2.6102367140663711E-2</v>
      </c>
      <c r="O1563" s="16">
        <v>4</v>
      </c>
      <c r="P1563" s="16">
        <f t="shared" si="171"/>
        <v>9.1833785004516724</v>
      </c>
      <c r="Q1563" s="16">
        <f t="shared" si="176"/>
        <v>38.310701654416036</v>
      </c>
      <c r="R1563" s="113">
        <f t="shared" si="172"/>
        <v>329.49099999999999</v>
      </c>
      <c r="S1563" s="16">
        <f>IF(S1562=15800,15800,ROUND((((Q1563*60)/'Gearing Calculator'!$C$14)*'Track Data'!P1563),-2))</f>
        <v>10700</v>
      </c>
      <c r="T1563" s="16">
        <f t="shared" si="174"/>
        <v>5.0910600987779038</v>
      </c>
      <c r="U1563" s="16">
        <f>IF(AC1563=100,Braking!$AG$2354,IF(AC1563=50,Braking!$AG$1179,IF(AC1563=75,Braking!$AG$1767,0)))</f>
        <v>0</v>
      </c>
      <c r="V1563" s="16">
        <f>0.5*'Gearing Calculator'!$C$15*'Gearing Calculator'!$C$20*'Gearing Calculator'!$W$20*('Track Data'!Q1563^2)</f>
        <v>155.34241171508901</v>
      </c>
      <c r="W1563" s="16">
        <f>('Gearing Calculator'!$U$9*'Track Data'!T1563)+'Track Data'!V1563</f>
        <v>1510.5826100097668</v>
      </c>
      <c r="X1563" s="16">
        <f>('Gearing Calculator'!$U$9*9.81)*('Gearing Calculator'!$U$16/'Gearing Calculator'!$C$7)-(('Track Data'!W1563)*('Gearing Calculator'!$U$17/'Gearing Calculator'!$C$7))</f>
        <v>577.79161421902415</v>
      </c>
      <c r="Y1563" s="16">
        <f>('Gearing Calculator'!$U$9*9.81)*(('Gearing Calculator'!$C$7-'Gearing Calculator'!$U$16)/'Gearing Calculator'!$C$7)+(('Track Data'!W1563)*('Gearing Calculator'!$U$17/'Gearing Calculator'!$C$7))</f>
        <v>2033.6303857809758</v>
      </c>
      <c r="Z1563" s="16">
        <f>((X1563*COS('Gearing Calculator'!$C$21))/'Gearing Calculator'!$C$22)/2</f>
        <v>17.863489312468424</v>
      </c>
      <c r="AA1563" s="16">
        <f>Y1563/'Gearing Calculator'!$C$24</f>
        <v>28.396301075747221</v>
      </c>
      <c r="AB1563" s="16">
        <f t="shared" si="170"/>
        <v>175.70665211020062</v>
      </c>
      <c r="AC1563" s="16">
        <v>0</v>
      </c>
      <c r="AD1563" s="16">
        <v>0</v>
      </c>
      <c r="AE1563" s="16">
        <v>1560</v>
      </c>
      <c r="AF1563" s="16">
        <f>IF(AC1563=0,IF(O1563=6,INDEX(Acceleration!$V$4:$V$110,MATCH('Track Data'!S1563,Acceleration!$K$4:$K$110,0)),IF('Track Data'!O1563=5,INDEX(Acceleration!$U$4:$U$110,MATCH('Track Data'!S1563,Acceleration!$K$4:$K$110,0)),1)),U1563)</f>
        <v>1</v>
      </c>
      <c r="AG1563" s="16">
        <f>IF(AC1563=0,IF(O1563=4,INDEX(Acceleration!$T$4:$T$110,MATCH('Track Data'!S1563,Acceleration!$K$4:$K$110,0)),IF('Track Data'!O1563=3,INDEX(Acceleration!$S$4:$S$110,MATCH('Track Data'!S1563,Acceleration!$K$4:$K$110,0)),'Track Data'!AF1563)),'Track Data'!U1563)</f>
        <v>5.0910600987779038</v>
      </c>
      <c r="AH1563" s="16">
        <f>IF(AC1563=0,IF(O1563=2,INDEX(Acceleration!$R$4:$R$110,MATCH('Track Data'!S1563,Acceleration!$K$4:$K$110,0)),IF('Track Data'!O1563=1,INDEX(Acceleration!$Q$4:$Q$110,MATCH('Track Data'!S1563,Acceleration!$K$4:$K$110,0)),'Track Data'!AG1563)),'Track Data'!U1563)</f>
        <v>5.0910600987779038</v>
      </c>
    </row>
    <row r="1564" spans="2:34" x14ac:dyDescent="0.25">
      <c r="B1564" s="16">
        <v>240.14599999999999</v>
      </c>
      <c r="C1564" s="16">
        <v>8834</v>
      </c>
      <c r="D1564" s="16">
        <v>1561</v>
      </c>
      <c r="E1564" s="113">
        <v>167</v>
      </c>
      <c r="F1564" s="113">
        <v>164.2</v>
      </c>
      <c r="G1564" s="113">
        <v>163.19999999999999</v>
      </c>
      <c r="H1564" s="113">
        <f t="shared" si="173"/>
        <v>45.333333333333329</v>
      </c>
      <c r="I1564" s="113">
        <v>5</v>
      </c>
      <c r="J1564" s="113">
        <v>9.74</v>
      </c>
      <c r="K1564" s="113">
        <v>1.6</v>
      </c>
      <c r="L1564" s="185"/>
      <c r="M1564" s="16">
        <v>1561</v>
      </c>
      <c r="N1564" s="16">
        <f t="shared" si="175"/>
        <v>2.6012293981241691E-2</v>
      </c>
      <c r="O1564" s="16">
        <v>4</v>
      </c>
      <c r="P1564" s="16">
        <f t="shared" si="171"/>
        <v>9.1833785004516724</v>
      </c>
      <c r="Q1564" s="16">
        <f t="shared" si="176"/>
        <v>38.443360694029231</v>
      </c>
      <c r="R1564" s="113">
        <f t="shared" si="172"/>
        <v>329.49099999999999</v>
      </c>
      <c r="S1564" s="16">
        <f>IF(S1563=15800,15800,ROUND((((Q1564*60)/'Gearing Calculator'!$C$14)*'Track Data'!P1564),-2))</f>
        <v>10700</v>
      </c>
      <c r="T1564" s="16">
        <f t="shared" si="174"/>
        <v>5.0910600987779038</v>
      </c>
      <c r="U1564" s="16">
        <f>IF(AC1564=100,Braking!$AG$2354,IF(AC1564=50,Braking!$AG$1179,IF(AC1564=75,Braking!$AG$1767,0)))</f>
        <v>0</v>
      </c>
      <c r="V1564" s="16">
        <f>0.5*'Gearing Calculator'!$C$15*'Gearing Calculator'!$C$20*'Gearing Calculator'!$W$20*('Track Data'!Q1564^2)</f>
        <v>156.42008731679834</v>
      </c>
      <c r="W1564" s="16">
        <f>('Gearing Calculator'!$U$9*'Track Data'!T1564)+'Track Data'!V1564</f>
        <v>1511.6602856114762</v>
      </c>
      <c r="X1564" s="16">
        <f>('Gearing Calculator'!$U$9*9.81)*('Gearing Calculator'!$U$16/'Gearing Calculator'!$C$7)-(('Track Data'!W1564)*('Gearing Calculator'!$U$17/'Gearing Calculator'!$C$7))</f>
        <v>577.20420741760256</v>
      </c>
      <c r="Y1564" s="16">
        <f>('Gearing Calculator'!$U$9*9.81)*(('Gearing Calculator'!$C$7-'Gearing Calculator'!$U$16)/'Gearing Calculator'!$C$7)+(('Track Data'!W1564)*('Gearing Calculator'!$U$17/'Gearing Calculator'!$C$7))</f>
        <v>2034.2177925823976</v>
      </c>
      <c r="Z1564" s="16">
        <f>((X1564*COS('Gearing Calculator'!$C$21))/'Gearing Calculator'!$C$22)/2</f>
        <v>17.845328551977897</v>
      </c>
      <c r="AA1564" s="16">
        <f>Y1564/'Gearing Calculator'!$C$24</f>
        <v>28.404503244884616</v>
      </c>
      <c r="AB1564" s="16">
        <f t="shared" si="170"/>
        <v>176.78432771190995</v>
      </c>
      <c r="AC1564" s="16">
        <v>0</v>
      </c>
      <c r="AD1564" s="16">
        <v>0</v>
      </c>
      <c r="AE1564" s="16">
        <v>1561</v>
      </c>
      <c r="AF1564" s="16">
        <f>IF(AC1564=0,IF(O1564=6,INDEX(Acceleration!$V$4:$V$110,MATCH('Track Data'!S1564,Acceleration!$K$4:$K$110,0)),IF('Track Data'!O1564=5,INDEX(Acceleration!$U$4:$U$110,MATCH('Track Data'!S1564,Acceleration!$K$4:$K$110,0)),1)),U1564)</f>
        <v>1</v>
      </c>
      <c r="AG1564" s="16">
        <f>IF(AC1564=0,IF(O1564=4,INDEX(Acceleration!$T$4:$T$110,MATCH('Track Data'!S1564,Acceleration!$K$4:$K$110,0)),IF('Track Data'!O1564=3,INDEX(Acceleration!$S$4:$S$110,MATCH('Track Data'!S1564,Acceleration!$K$4:$K$110,0)),'Track Data'!AF1564)),'Track Data'!U1564)</f>
        <v>5.0910600987779038</v>
      </c>
      <c r="AH1564" s="16">
        <f>IF(AC1564=0,IF(O1564=2,INDEX(Acceleration!$R$4:$R$110,MATCH('Track Data'!S1564,Acceleration!$K$4:$K$110,0)),IF('Track Data'!O1564=1,INDEX(Acceleration!$Q$4:$Q$110,MATCH('Track Data'!S1564,Acceleration!$K$4:$K$110,0)),'Track Data'!AG1564)),'Track Data'!U1564)</f>
        <v>5.0910600987779038</v>
      </c>
    </row>
    <row r="1565" spans="2:34" x14ac:dyDescent="0.25">
      <c r="B1565" s="16">
        <v>240.16800000000001</v>
      </c>
      <c r="C1565" s="16">
        <v>8835</v>
      </c>
      <c r="D1565" s="16">
        <v>1562</v>
      </c>
      <c r="E1565" s="113">
        <v>167</v>
      </c>
      <c r="F1565" s="113">
        <v>164.7</v>
      </c>
      <c r="G1565" s="113">
        <v>163.5</v>
      </c>
      <c r="H1565" s="113">
        <f t="shared" si="173"/>
        <v>45.416666666666664</v>
      </c>
      <c r="I1565" s="113">
        <v>3.9</v>
      </c>
      <c r="J1565" s="113">
        <v>9.9</v>
      </c>
      <c r="K1565" s="113">
        <v>0.6</v>
      </c>
      <c r="L1565" s="185"/>
      <c r="M1565" s="16">
        <v>1562</v>
      </c>
      <c r="N1565" s="16">
        <f t="shared" si="175"/>
        <v>2.5923146896482462E-2</v>
      </c>
      <c r="O1565" s="16">
        <v>4</v>
      </c>
      <c r="P1565" s="16">
        <f t="shared" si="171"/>
        <v>9.1833785004516724</v>
      </c>
      <c r="Q1565" s="16">
        <f t="shared" si="176"/>
        <v>38.575563529892698</v>
      </c>
      <c r="R1565" s="113">
        <f t="shared" si="172"/>
        <v>329.49099999999999</v>
      </c>
      <c r="S1565" s="16">
        <f>IF(S1564=15800,15800,ROUND((((Q1565*60)/'Gearing Calculator'!$C$14)*'Track Data'!P1565),-2))</f>
        <v>10700</v>
      </c>
      <c r="T1565" s="16">
        <f t="shared" si="174"/>
        <v>5.0910600987779038</v>
      </c>
      <c r="U1565" s="16">
        <f>IF(AC1565=100,Braking!$AG$2354,IF(AC1565=50,Braking!$AG$1179,IF(AC1565=75,Braking!$AG$1767,0)))</f>
        <v>0</v>
      </c>
      <c r="V1565" s="16">
        <f>0.5*'Gearing Calculator'!$C$15*'Gearing Calculator'!$C$20*'Gearing Calculator'!$W$20*('Track Data'!Q1565^2)</f>
        <v>157.49776291850765</v>
      </c>
      <c r="W1565" s="16">
        <f>('Gearing Calculator'!$U$9*'Track Data'!T1565)+'Track Data'!V1565</f>
        <v>1512.7379612131854</v>
      </c>
      <c r="X1565" s="16">
        <f>('Gearing Calculator'!$U$9*9.81)*('Gearing Calculator'!$U$16/'Gearing Calculator'!$C$7)-(('Track Data'!W1565)*('Gearing Calculator'!$U$17/'Gearing Calculator'!$C$7))</f>
        <v>576.61680061618108</v>
      </c>
      <c r="Y1565" s="16">
        <f>('Gearing Calculator'!$U$9*9.81)*(('Gearing Calculator'!$C$7-'Gearing Calculator'!$U$16)/'Gearing Calculator'!$C$7)+(('Track Data'!W1565)*('Gearing Calculator'!$U$17/'Gearing Calculator'!$C$7))</f>
        <v>2034.8051993838189</v>
      </c>
      <c r="Z1565" s="16">
        <f>((X1565*COS('Gearing Calculator'!$C$21))/'Gearing Calculator'!$C$22)/2</f>
        <v>17.827167791487376</v>
      </c>
      <c r="AA1565" s="16">
        <f>Y1565/'Gearing Calculator'!$C$24</f>
        <v>28.412705414022</v>
      </c>
      <c r="AB1565" s="16">
        <f t="shared" si="170"/>
        <v>177.86200331361925</v>
      </c>
      <c r="AC1565" s="16">
        <v>0</v>
      </c>
      <c r="AD1565" s="16">
        <v>0</v>
      </c>
      <c r="AE1565" s="16">
        <v>1562</v>
      </c>
      <c r="AF1565" s="16">
        <f>IF(AC1565=0,IF(O1565=6,INDEX(Acceleration!$V$4:$V$110,MATCH('Track Data'!S1565,Acceleration!$K$4:$K$110,0)),IF('Track Data'!O1565=5,INDEX(Acceleration!$U$4:$U$110,MATCH('Track Data'!S1565,Acceleration!$K$4:$K$110,0)),1)),U1565)</f>
        <v>1</v>
      </c>
      <c r="AG1565" s="16">
        <f>IF(AC1565=0,IF(O1565=4,INDEX(Acceleration!$T$4:$T$110,MATCH('Track Data'!S1565,Acceleration!$K$4:$K$110,0)),IF('Track Data'!O1565=3,INDEX(Acceleration!$S$4:$S$110,MATCH('Track Data'!S1565,Acceleration!$K$4:$K$110,0)),'Track Data'!AF1565)),'Track Data'!U1565)</f>
        <v>5.0910600987779038</v>
      </c>
      <c r="AH1565" s="16">
        <f>IF(AC1565=0,IF(O1565=2,INDEX(Acceleration!$R$4:$R$110,MATCH('Track Data'!S1565,Acceleration!$K$4:$K$110,0)),IF('Track Data'!O1565=1,INDEX(Acceleration!$Q$4:$Q$110,MATCH('Track Data'!S1565,Acceleration!$K$4:$K$110,0)),'Track Data'!AG1565)),'Track Data'!U1565)</f>
        <v>5.0910600987779038</v>
      </c>
    </row>
    <row r="1566" spans="2:34" x14ac:dyDescent="0.25">
      <c r="B1566" s="16">
        <v>240.19</v>
      </c>
      <c r="C1566" s="16">
        <v>8836</v>
      </c>
      <c r="D1566" s="16">
        <v>1563</v>
      </c>
      <c r="E1566" s="113">
        <v>168</v>
      </c>
      <c r="F1566" s="113">
        <v>165.5</v>
      </c>
      <c r="G1566" s="113">
        <v>164</v>
      </c>
      <c r="H1566" s="113">
        <f t="shared" si="173"/>
        <v>45.555555555555557</v>
      </c>
      <c r="I1566" s="113">
        <v>2.8</v>
      </c>
      <c r="J1566" s="113">
        <v>11.43</v>
      </c>
      <c r="K1566" s="113">
        <v>0.6</v>
      </c>
      <c r="L1566" s="185"/>
      <c r="M1566" s="16">
        <v>1563</v>
      </c>
      <c r="N1566" s="16">
        <f t="shared" si="175"/>
        <v>2.5834910125537593E-2</v>
      </c>
      <c r="O1566" s="16">
        <v>4</v>
      </c>
      <c r="P1566" s="16">
        <f t="shared" si="171"/>
        <v>9.1833785004516724</v>
      </c>
      <c r="Q1566" s="16">
        <f t="shared" si="176"/>
        <v>38.707314836427798</v>
      </c>
      <c r="R1566" s="113">
        <f t="shared" si="172"/>
        <v>329.49099999999999</v>
      </c>
      <c r="S1566" s="16">
        <f>IF(S1565=15800,15800,ROUND((((Q1566*60)/'Gearing Calculator'!$C$14)*'Track Data'!P1566),-2))</f>
        <v>10800</v>
      </c>
      <c r="T1566" s="16">
        <f t="shared" si="174"/>
        <v>5.0915802945625561</v>
      </c>
      <c r="U1566" s="16">
        <f>IF(AC1566=100,Braking!$AG$2354,IF(AC1566=50,Braking!$AG$1179,IF(AC1566=75,Braking!$AG$1767,0)))</f>
        <v>0</v>
      </c>
      <c r="V1566" s="16">
        <f>0.5*'Gearing Calculator'!$C$15*'Gearing Calculator'!$C$20*'Gearing Calculator'!$W$20*('Track Data'!Q1566^2)</f>
        <v>158.57543852021698</v>
      </c>
      <c r="W1566" s="16">
        <f>('Gearing Calculator'!$U$9*'Track Data'!T1566)+'Track Data'!V1566</f>
        <v>1513.9541129327692</v>
      </c>
      <c r="X1566" s="16">
        <f>('Gearing Calculator'!$U$9*9.81)*('Gearing Calculator'!$U$16/'Gearing Calculator'!$C$7)-(('Track Data'!W1566)*('Gearing Calculator'!$U$17/'Gearing Calculator'!$C$7))</f>
        <v>575.95391487346694</v>
      </c>
      <c r="Y1566" s="16">
        <f>('Gearing Calculator'!$U$9*9.81)*(('Gearing Calculator'!$C$7-'Gearing Calculator'!$U$16)/'Gearing Calculator'!$C$7)+(('Track Data'!W1566)*('Gearing Calculator'!$U$17/'Gearing Calculator'!$C$7))</f>
        <v>2035.468085126533</v>
      </c>
      <c r="Z1566" s="16">
        <f>((X1566*COS('Gearing Calculator'!$C$21))/'Gearing Calculator'!$C$22)/2</f>
        <v>17.806673460851638</v>
      </c>
      <c r="AA1566" s="16">
        <f>Y1566/'Gearing Calculator'!$C$24</f>
        <v>28.421961522339686</v>
      </c>
      <c r="AB1566" s="16">
        <f t="shared" si="170"/>
        <v>178.94175969846719</v>
      </c>
      <c r="AC1566" s="16">
        <v>0</v>
      </c>
      <c r="AD1566" s="16">
        <v>0</v>
      </c>
      <c r="AE1566" s="16">
        <v>1563</v>
      </c>
      <c r="AF1566" s="16">
        <f>IF(AC1566=0,IF(O1566=6,INDEX(Acceleration!$V$4:$V$110,MATCH('Track Data'!S1566,Acceleration!$K$4:$K$110,0)),IF('Track Data'!O1566=5,INDEX(Acceleration!$U$4:$U$110,MATCH('Track Data'!S1566,Acceleration!$K$4:$K$110,0)),1)),U1566)</f>
        <v>1</v>
      </c>
      <c r="AG1566" s="16">
        <f>IF(AC1566=0,IF(O1566=4,INDEX(Acceleration!$T$4:$T$110,MATCH('Track Data'!S1566,Acceleration!$K$4:$K$110,0)),IF('Track Data'!O1566=3,INDEX(Acceleration!$S$4:$S$110,MATCH('Track Data'!S1566,Acceleration!$K$4:$K$110,0)),'Track Data'!AF1566)),'Track Data'!U1566)</f>
        <v>5.0915802945625561</v>
      </c>
      <c r="AH1566" s="16">
        <f>IF(AC1566=0,IF(O1566=2,INDEX(Acceleration!$R$4:$R$110,MATCH('Track Data'!S1566,Acceleration!$K$4:$K$110,0)),IF('Track Data'!O1566=1,INDEX(Acceleration!$Q$4:$Q$110,MATCH('Track Data'!S1566,Acceleration!$K$4:$K$110,0)),'Track Data'!AG1566)),'Track Data'!U1566)</f>
        <v>5.0915802945625561</v>
      </c>
    </row>
    <row r="1567" spans="2:34" x14ac:dyDescent="0.25">
      <c r="B1567" s="16">
        <v>240.21199999999999</v>
      </c>
      <c r="C1567" s="16">
        <v>8837</v>
      </c>
      <c r="D1567" s="16">
        <v>1564</v>
      </c>
      <c r="E1567" s="113">
        <v>167</v>
      </c>
      <c r="F1567" s="113">
        <v>165.9</v>
      </c>
      <c r="G1567" s="113">
        <v>164.3</v>
      </c>
      <c r="H1567" s="113">
        <f t="shared" si="173"/>
        <v>45.638888888888893</v>
      </c>
      <c r="I1567" s="113">
        <v>2.6</v>
      </c>
      <c r="J1567" s="113">
        <v>12.46</v>
      </c>
      <c r="K1567" s="113">
        <v>0.6</v>
      </c>
      <c r="L1567" s="185"/>
      <c r="M1567" s="16">
        <v>1564</v>
      </c>
      <c r="N1567" s="16">
        <f t="shared" si="175"/>
        <v>2.5747559401318197E-2</v>
      </c>
      <c r="O1567" s="16">
        <v>4</v>
      </c>
      <c r="P1567" s="16">
        <f t="shared" si="171"/>
        <v>9.1833785004516724</v>
      </c>
      <c r="Q1567" s="16">
        <f t="shared" si="176"/>
        <v>38.838632602544962</v>
      </c>
      <c r="R1567" s="113">
        <f t="shared" si="172"/>
        <v>329.49099999999999</v>
      </c>
      <c r="S1567" s="16">
        <f>IF(S1566=15800,15800,ROUND((((Q1567*60)/'Gearing Calculator'!$C$14)*'Track Data'!P1567),-2))</f>
        <v>10800</v>
      </c>
      <c r="T1567" s="16">
        <f t="shared" si="174"/>
        <v>5.0915802945625561</v>
      </c>
      <c r="U1567" s="16">
        <f>IF(AC1567=100,Braking!$AG$2354,IF(AC1567=50,Braking!$AG$1179,IF(AC1567=75,Braking!$AG$1767,0)))</f>
        <v>0</v>
      </c>
      <c r="V1567" s="16">
        <f>0.5*'Gearing Calculator'!$C$15*'Gearing Calculator'!$C$20*'Gearing Calculator'!$W$20*('Track Data'!Q1567^2)</f>
        <v>159.65322423696995</v>
      </c>
      <c r="W1567" s="16">
        <f>('Gearing Calculator'!$U$9*'Track Data'!T1567)+'Track Data'!V1567</f>
        <v>1515.0318986495222</v>
      </c>
      <c r="X1567" s="16">
        <f>('Gearing Calculator'!$U$9*9.81)*('Gearing Calculator'!$U$16/'Gearing Calculator'!$C$7)-(('Track Data'!W1567)*('Gearing Calculator'!$U$17/'Gearing Calculator'!$C$7))</f>
        <v>575.36644805182641</v>
      </c>
      <c r="Y1567" s="16">
        <f>('Gearing Calculator'!$U$9*9.81)*(('Gearing Calculator'!$C$7-'Gearing Calculator'!$U$16)/'Gearing Calculator'!$C$7)+(('Track Data'!W1567)*('Gearing Calculator'!$U$17/'Gearing Calculator'!$C$7))</f>
        <v>2036.0555519481736</v>
      </c>
      <c r="Z1567" s="16">
        <f>((X1567*COS('Gearing Calculator'!$C$21))/'Gearing Calculator'!$C$22)/2</f>
        <v>17.788510844725771</v>
      </c>
      <c r="AA1567" s="16">
        <f>Y1567/'Gearing Calculator'!$C$24</f>
        <v>28.430164529560646</v>
      </c>
      <c r="AB1567" s="16">
        <f t="shared" si="170"/>
        <v>180.01954541522016</v>
      </c>
      <c r="AC1567" s="16">
        <v>0</v>
      </c>
      <c r="AD1567" s="16">
        <v>0</v>
      </c>
      <c r="AE1567" s="16">
        <v>1564</v>
      </c>
      <c r="AF1567" s="16">
        <f>IF(AC1567=0,IF(O1567=6,INDEX(Acceleration!$V$4:$V$110,MATCH('Track Data'!S1567,Acceleration!$K$4:$K$110,0)),IF('Track Data'!O1567=5,INDEX(Acceleration!$U$4:$U$110,MATCH('Track Data'!S1567,Acceleration!$K$4:$K$110,0)),1)),U1567)</f>
        <v>1</v>
      </c>
      <c r="AG1567" s="16">
        <f>IF(AC1567=0,IF(O1567=4,INDEX(Acceleration!$T$4:$T$110,MATCH('Track Data'!S1567,Acceleration!$K$4:$K$110,0)),IF('Track Data'!O1567=3,INDEX(Acceleration!$S$4:$S$110,MATCH('Track Data'!S1567,Acceleration!$K$4:$K$110,0)),'Track Data'!AF1567)),'Track Data'!U1567)</f>
        <v>5.0915802945625561</v>
      </c>
      <c r="AH1567" s="16">
        <f>IF(AC1567=0,IF(O1567=2,INDEX(Acceleration!$R$4:$R$110,MATCH('Track Data'!S1567,Acceleration!$K$4:$K$110,0)),IF('Track Data'!O1567=1,INDEX(Acceleration!$Q$4:$Q$110,MATCH('Track Data'!S1567,Acceleration!$K$4:$K$110,0)),'Track Data'!AG1567)),'Track Data'!U1567)</f>
        <v>5.0915802945625561</v>
      </c>
    </row>
    <row r="1568" spans="2:34" x14ac:dyDescent="0.25">
      <c r="B1568" s="16">
        <v>240.233</v>
      </c>
      <c r="C1568" s="16">
        <v>8838</v>
      </c>
      <c r="D1568" s="16">
        <v>1565</v>
      </c>
      <c r="E1568" s="113">
        <v>166</v>
      </c>
      <c r="F1568" s="113">
        <v>166.3</v>
      </c>
      <c r="G1568" s="113">
        <v>164.6</v>
      </c>
      <c r="H1568" s="113">
        <f t="shared" si="173"/>
        <v>45.722222222222221</v>
      </c>
      <c r="I1568" s="113">
        <v>3.4</v>
      </c>
      <c r="J1568" s="113">
        <v>13.12</v>
      </c>
      <c r="K1568" s="113">
        <v>0.6</v>
      </c>
      <c r="L1568" s="185"/>
      <c r="M1568" s="16">
        <v>1565</v>
      </c>
      <c r="N1568" s="16">
        <f t="shared" si="175"/>
        <v>2.5661088755220274E-2</v>
      </c>
      <c r="O1568" s="16">
        <v>4</v>
      </c>
      <c r="P1568" s="16">
        <f t="shared" si="171"/>
        <v>9.1833785004516724</v>
      </c>
      <c r="Q1568" s="16">
        <f t="shared" si="176"/>
        <v>38.969507862232405</v>
      </c>
      <c r="R1568" s="113">
        <f t="shared" si="172"/>
        <v>329.49099999999999</v>
      </c>
      <c r="S1568" s="16">
        <f>IF(S1567=15800,15800,ROUND((((Q1568*60)/'Gearing Calculator'!$C$14)*'Track Data'!P1568),-2))</f>
        <v>10900</v>
      </c>
      <c r="T1568" s="16">
        <f t="shared" si="174"/>
        <v>5.0918945322567692</v>
      </c>
      <c r="U1568" s="16">
        <f>IF(AC1568=100,Braking!$AG$2354,IF(AC1568=50,Braking!$AG$1179,IF(AC1568=75,Braking!$AG$1767,0)))</f>
        <v>0</v>
      </c>
      <c r="V1568" s="16">
        <f>0.5*'Gearing Calculator'!$C$15*'Gearing Calculator'!$C$20*'Gearing Calculator'!$W$20*('Track Data'!Q1568^2)</f>
        <v>160.73100995372292</v>
      </c>
      <c r="W1568" s="16">
        <f>('Gearing Calculator'!$U$9*'Track Data'!T1568)+'Track Data'!V1568</f>
        <v>1516.1933344404747</v>
      </c>
      <c r="X1568" s="16">
        <f>('Gearing Calculator'!$U$9*9.81)*('Gearing Calculator'!$U$16/'Gearing Calculator'!$C$7)-(('Track Data'!W1568)*('Gearing Calculator'!$U$17/'Gearing Calculator'!$C$7))</f>
        <v>574.73338622697133</v>
      </c>
      <c r="Y1568" s="16">
        <f>('Gearing Calculator'!$U$9*9.81)*(('Gearing Calculator'!$C$7-'Gearing Calculator'!$U$16)/'Gearing Calculator'!$C$7)+(('Track Data'!W1568)*('Gearing Calculator'!$U$17/'Gearing Calculator'!$C$7))</f>
        <v>2036.6886137730287</v>
      </c>
      <c r="Z1568" s="16">
        <f>((X1568*COS('Gearing Calculator'!$C$21))/'Gearing Calculator'!$C$22)/2</f>
        <v>17.768938575305217</v>
      </c>
      <c r="AA1568" s="16">
        <f>Y1568/'Gearing Calculator'!$C$24</f>
        <v>28.439004195954222</v>
      </c>
      <c r="AB1568" s="16">
        <f t="shared" si="170"/>
        <v>181.09858808274998</v>
      </c>
      <c r="AC1568" s="16">
        <v>0</v>
      </c>
      <c r="AD1568" s="16">
        <v>0</v>
      </c>
      <c r="AE1568" s="16">
        <v>1565</v>
      </c>
      <c r="AF1568" s="16">
        <f>IF(AC1568=0,IF(O1568=6,INDEX(Acceleration!$V$4:$V$110,MATCH('Track Data'!S1568,Acceleration!$K$4:$K$110,0)),IF('Track Data'!O1568=5,INDEX(Acceleration!$U$4:$U$110,MATCH('Track Data'!S1568,Acceleration!$K$4:$K$110,0)),1)),U1568)</f>
        <v>1</v>
      </c>
      <c r="AG1568" s="16">
        <f>IF(AC1568=0,IF(O1568=4,INDEX(Acceleration!$T$4:$T$110,MATCH('Track Data'!S1568,Acceleration!$K$4:$K$110,0)),IF('Track Data'!O1568=3,INDEX(Acceleration!$S$4:$S$110,MATCH('Track Data'!S1568,Acceleration!$K$4:$K$110,0)),'Track Data'!AF1568)),'Track Data'!U1568)</f>
        <v>5.0918945322567692</v>
      </c>
      <c r="AH1568" s="16">
        <f>IF(AC1568=0,IF(O1568=2,INDEX(Acceleration!$R$4:$R$110,MATCH('Track Data'!S1568,Acceleration!$K$4:$K$110,0)),IF('Track Data'!O1568=1,INDEX(Acceleration!$Q$4:$Q$110,MATCH('Track Data'!S1568,Acceleration!$K$4:$K$110,0)),'Track Data'!AG1568)),'Track Data'!U1568)</f>
        <v>5.0918945322567692</v>
      </c>
    </row>
    <row r="1569" spans="2:34" x14ac:dyDescent="0.25">
      <c r="B1569" s="16">
        <v>240.255</v>
      </c>
      <c r="C1569" s="16">
        <v>8839</v>
      </c>
      <c r="D1569" s="16">
        <v>1566</v>
      </c>
      <c r="E1569" s="113">
        <v>166</v>
      </c>
      <c r="F1569" s="113">
        <v>166.9</v>
      </c>
      <c r="G1569" s="113">
        <v>165</v>
      </c>
      <c r="H1569" s="113">
        <f t="shared" si="173"/>
        <v>45.833333333333336</v>
      </c>
      <c r="I1569" s="113">
        <v>5.2</v>
      </c>
      <c r="J1569" s="113">
        <v>13.68</v>
      </c>
      <c r="K1569" s="113">
        <v>1.3</v>
      </c>
      <c r="L1569" s="185"/>
      <c r="M1569" s="16">
        <v>1566</v>
      </c>
      <c r="N1569" s="16">
        <f t="shared" si="175"/>
        <v>2.5575478250610455E-2</v>
      </c>
      <c r="O1569" s="16">
        <v>4</v>
      </c>
      <c r="P1569" s="16">
        <f t="shared" si="171"/>
        <v>9.1833785004516724</v>
      </c>
      <c r="Q1569" s="16">
        <f t="shared" si="176"/>
        <v>39.099953095740496</v>
      </c>
      <c r="R1569" s="113">
        <f t="shared" si="172"/>
        <v>329.49099999999999</v>
      </c>
      <c r="S1569" s="16">
        <f>IF(S1568=15800,15800,ROUND((((Q1569*60)/'Gearing Calculator'!$C$14)*'Track Data'!P1569),-2))</f>
        <v>10900</v>
      </c>
      <c r="T1569" s="16">
        <f t="shared" si="174"/>
        <v>5.0918945322567692</v>
      </c>
      <c r="U1569" s="16">
        <f>IF(AC1569=100,Braking!$AG$2354,IF(AC1569=50,Braking!$AG$1179,IF(AC1569=75,Braking!$AG$1767,0)))</f>
        <v>0</v>
      </c>
      <c r="V1569" s="16">
        <f>0.5*'Gearing Calculator'!$C$15*'Gearing Calculator'!$C$20*'Gearing Calculator'!$W$20*('Track Data'!Q1569^2)</f>
        <v>161.80886218831102</v>
      </c>
      <c r="W1569" s="16">
        <f>('Gearing Calculator'!$U$9*'Track Data'!T1569)+'Track Data'!V1569</f>
        <v>1517.2711866750628</v>
      </c>
      <c r="X1569" s="16">
        <f>('Gearing Calculator'!$U$9*9.81)*('Gearing Calculator'!$U$16/'Gearing Calculator'!$C$7)-(('Track Data'!W1569)*('Gearing Calculator'!$U$17/'Gearing Calculator'!$C$7))</f>
        <v>574.14588314856792</v>
      </c>
      <c r="Y1569" s="16">
        <f>('Gearing Calculator'!$U$9*9.81)*(('Gearing Calculator'!$C$7-'Gearing Calculator'!$U$16)/'Gearing Calculator'!$C$7)+(('Track Data'!W1569)*('Gearing Calculator'!$U$17/'Gearing Calculator'!$C$7))</f>
        <v>2037.2761168514321</v>
      </c>
      <c r="Z1569" s="16">
        <f>((X1569*COS('Gearing Calculator'!$C$21))/'Gearing Calculator'!$C$22)/2</f>
        <v>17.750774838234911</v>
      </c>
      <c r="AA1569" s="16">
        <f>Y1569/'Gearing Calculator'!$C$24</f>
        <v>28.447207709441194</v>
      </c>
      <c r="AB1569" s="16">
        <f t="shared" si="170"/>
        <v>182.17644031733809</v>
      </c>
      <c r="AC1569" s="16">
        <v>0</v>
      </c>
      <c r="AD1569" s="16">
        <v>0</v>
      </c>
      <c r="AE1569" s="16">
        <v>1566</v>
      </c>
      <c r="AF1569" s="16">
        <f>IF(AC1569=0,IF(O1569=6,INDEX(Acceleration!$V$4:$V$110,MATCH('Track Data'!S1569,Acceleration!$K$4:$K$110,0)),IF('Track Data'!O1569=5,INDEX(Acceleration!$U$4:$U$110,MATCH('Track Data'!S1569,Acceleration!$K$4:$K$110,0)),1)),U1569)</f>
        <v>1</v>
      </c>
      <c r="AG1569" s="16">
        <f>IF(AC1569=0,IF(O1569=4,INDEX(Acceleration!$T$4:$T$110,MATCH('Track Data'!S1569,Acceleration!$K$4:$K$110,0)),IF('Track Data'!O1569=3,INDEX(Acceleration!$S$4:$S$110,MATCH('Track Data'!S1569,Acceleration!$K$4:$K$110,0)),'Track Data'!AF1569)),'Track Data'!U1569)</f>
        <v>5.0918945322567692</v>
      </c>
      <c r="AH1569" s="16">
        <f>IF(AC1569=0,IF(O1569=2,INDEX(Acceleration!$R$4:$R$110,MATCH('Track Data'!S1569,Acceleration!$K$4:$K$110,0)),IF('Track Data'!O1569=1,INDEX(Acceleration!$Q$4:$Q$110,MATCH('Track Data'!S1569,Acceleration!$K$4:$K$110,0)),'Track Data'!AG1569)),'Track Data'!U1569)</f>
        <v>5.0918945322567692</v>
      </c>
    </row>
    <row r="1570" spans="2:34" x14ac:dyDescent="0.25">
      <c r="B1570" s="16">
        <v>240.27699999999999</v>
      </c>
      <c r="C1570" s="16">
        <v>8840</v>
      </c>
      <c r="D1570" s="16">
        <v>1567</v>
      </c>
      <c r="E1570" s="113">
        <v>168</v>
      </c>
      <c r="F1570" s="113">
        <v>167.5</v>
      </c>
      <c r="G1570" s="113">
        <v>165.3</v>
      </c>
      <c r="H1570" s="113">
        <f t="shared" si="173"/>
        <v>45.916666666666671</v>
      </c>
      <c r="I1570" s="113">
        <v>5</v>
      </c>
      <c r="J1570" s="113">
        <v>21.61</v>
      </c>
      <c r="K1570" s="113">
        <v>2.2000000000000002</v>
      </c>
      <c r="L1570" s="185"/>
      <c r="M1570" s="16">
        <v>1567</v>
      </c>
      <c r="N1570" s="16">
        <f t="shared" si="175"/>
        <v>2.5490718909367268E-2</v>
      </c>
      <c r="O1570" s="16">
        <v>4</v>
      </c>
      <c r="P1570" s="16">
        <f t="shared" si="171"/>
        <v>9.1833785004516724</v>
      </c>
      <c r="Q1570" s="16">
        <f t="shared" si="176"/>
        <v>39.229964582620006</v>
      </c>
      <c r="R1570" s="113">
        <f t="shared" si="172"/>
        <v>329.49099999999999</v>
      </c>
      <c r="S1570" s="16">
        <f>IF(S1569=15800,15800,ROUND((((Q1570*60)/'Gearing Calculator'!$C$14)*'Track Data'!P1570),-2))</f>
        <v>10900</v>
      </c>
      <c r="T1570" s="16">
        <f t="shared" si="174"/>
        <v>5.0918945322567692</v>
      </c>
      <c r="U1570" s="16">
        <f>IF(AC1570=100,Braking!$AG$2354,IF(AC1570=50,Braking!$AG$1179,IF(AC1570=75,Braking!$AG$1767,0)))</f>
        <v>0</v>
      </c>
      <c r="V1570" s="16">
        <f>0.5*'Gearing Calculator'!$C$15*'Gearing Calculator'!$C$20*'Gearing Calculator'!$W$20*('Track Data'!Q1570^2)</f>
        <v>162.88671442289913</v>
      </c>
      <c r="W1570" s="16">
        <f>('Gearing Calculator'!$U$9*'Track Data'!T1570)+'Track Data'!V1570</f>
        <v>1518.349038909651</v>
      </c>
      <c r="X1570" s="16">
        <f>('Gearing Calculator'!$U$9*9.81)*('Gearing Calculator'!$U$16/'Gearing Calculator'!$C$7)-(('Track Data'!W1570)*('Gearing Calculator'!$U$17/'Gearing Calculator'!$C$7))</f>
        <v>573.5583800701645</v>
      </c>
      <c r="Y1570" s="16">
        <f>('Gearing Calculator'!$U$9*9.81)*(('Gearing Calculator'!$C$7-'Gearing Calculator'!$U$16)/'Gearing Calculator'!$C$7)+(('Track Data'!W1570)*('Gearing Calculator'!$U$17/'Gearing Calculator'!$C$7))</f>
        <v>2037.8636199298355</v>
      </c>
      <c r="Z1570" s="16">
        <f>((X1570*COS('Gearing Calculator'!$C$21))/'Gearing Calculator'!$C$22)/2</f>
        <v>17.732611101164608</v>
      </c>
      <c r="AA1570" s="16">
        <f>Y1570/'Gearing Calculator'!$C$24</f>
        <v>28.455411222928166</v>
      </c>
      <c r="AB1570" s="16">
        <f t="shared" si="170"/>
        <v>183.2542925519262</v>
      </c>
      <c r="AC1570" s="16">
        <v>0</v>
      </c>
      <c r="AD1570" s="16">
        <v>0</v>
      </c>
      <c r="AE1570" s="16">
        <v>1567</v>
      </c>
      <c r="AF1570" s="16">
        <f>IF(AC1570=0,IF(O1570=6,INDEX(Acceleration!$V$4:$V$110,MATCH('Track Data'!S1570,Acceleration!$K$4:$K$110,0)),IF('Track Data'!O1570=5,INDEX(Acceleration!$U$4:$U$110,MATCH('Track Data'!S1570,Acceleration!$K$4:$K$110,0)),1)),U1570)</f>
        <v>1</v>
      </c>
      <c r="AG1570" s="16">
        <f>IF(AC1570=0,IF(O1570=4,INDEX(Acceleration!$T$4:$T$110,MATCH('Track Data'!S1570,Acceleration!$K$4:$K$110,0)),IF('Track Data'!O1570=3,INDEX(Acceleration!$S$4:$S$110,MATCH('Track Data'!S1570,Acceleration!$K$4:$K$110,0)),'Track Data'!AF1570)),'Track Data'!U1570)</f>
        <v>5.0918945322567692</v>
      </c>
      <c r="AH1570" s="16">
        <f>IF(AC1570=0,IF(O1570=2,INDEX(Acceleration!$R$4:$R$110,MATCH('Track Data'!S1570,Acceleration!$K$4:$K$110,0)),IF('Track Data'!O1570=1,INDEX(Acceleration!$Q$4:$Q$110,MATCH('Track Data'!S1570,Acceleration!$K$4:$K$110,0)),'Track Data'!AG1570)),'Track Data'!U1570)</f>
        <v>5.0918945322567692</v>
      </c>
    </row>
    <row r="1571" spans="2:34" x14ac:dyDescent="0.25">
      <c r="B1571" s="16">
        <v>240.298</v>
      </c>
      <c r="C1571" s="16">
        <v>8841</v>
      </c>
      <c r="D1571" s="16">
        <v>1568</v>
      </c>
      <c r="E1571" s="113">
        <v>169</v>
      </c>
      <c r="F1571" s="113">
        <v>167.5</v>
      </c>
      <c r="G1571" s="113">
        <v>165.7</v>
      </c>
      <c r="H1571" s="113">
        <f t="shared" si="173"/>
        <v>46.027777777777771</v>
      </c>
      <c r="I1571" s="113">
        <v>2.9</v>
      </c>
      <c r="J1571" s="113">
        <v>27.43</v>
      </c>
      <c r="K1571" s="113">
        <v>3.1</v>
      </c>
      <c r="L1571" s="185"/>
      <c r="M1571" s="16">
        <v>1568</v>
      </c>
      <c r="N1571" s="16">
        <f t="shared" si="175"/>
        <v>2.5406796720164691E-2</v>
      </c>
      <c r="O1571" s="16">
        <v>4</v>
      </c>
      <c r="P1571" s="16">
        <f t="shared" si="171"/>
        <v>9.1833785004516724</v>
      </c>
      <c r="Q1571" s="16">
        <f t="shared" si="176"/>
        <v>39.359546621094779</v>
      </c>
      <c r="R1571" s="113">
        <f t="shared" si="172"/>
        <v>329.49099999999999</v>
      </c>
      <c r="S1571" s="16">
        <f>IF(S1570=15800,15800,ROUND((((Q1571*60)/'Gearing Calculator'!$C$14)*'Track Data'!P1571),-2))</f>
        <v>11000</v>
      </c>
      <c r="T1571" s="16">
        <f t="shared" si="174"/>
        <v>5.034800645540809</v>
      </c>
      <c r="U1571" s="16">
        <f>IF(AC1571=100,Braking!$AG$2354,IF(AC1571=50,Braking!$AG$1179,IF(AC1571=75,Braking!$AG$1767,0)))</f>
        <v>0</v>
      </c>
      <c r="V1571" s="16">
        <f>0.5*'Gearing Calculator'!$C$15*'Gearing Calculator'!$C$20*'Gearing Calculator'!$W$20*('Track Data'!Q1571^2)</f>
        <v>163.96456665748721</v>
      </c>
      <c r="W1571" s="16">
        <f>('Gearing Calculator'!$U$9*'Track Data'!T1571)+'Track Data'!V1571</f>
        <v>1504.2284985004505</v>
      </c>
      <c r="X1571" s="16">
        <f>('Gearing Calculator'!$U$9*9.81)*('Gearing Calculator'!$U$16/'Gearing Calculator'!$C$7)-(('Track Data'!W1571)*('Gearing Calculator'!$U$17/'Gearing Calculator'!$C$7))</f>
        <v>581.25503893759731</v>
      </c>
      <c r="Y1571" s="16">
        <f>('Gearing Calculator'!$U$9*9.81)*(('Gearing Calculator'!$C$7-'Gearing Calculator'!$U$16)/'Gearing Calculator'!$C$7)+(('Track Data'!W1571)*('Gearing Calculator'!$U$17/'Gearing Calculator'!$C$7))</f>
        <v>2030.1669610624026</v>
      </c>
      <c r="Z1571" s="16">
        <f>((X1571*COS('Gearing Calculator'!$C$21))/'Gearing Calculator'!$C$22)/2</f>
        <v>17.970567450887575</v>
      </c>
      <c r="AA1571" s="16">
        <f>Y1571/'Gearing Calculator'!$C$24</f>
        <v>28.347940050189465</v>
      </c>
      <c r="AB1571" s="16">
        <f t="shared" si="170"/>
        <v>184.10376923965043</v>
      </c>
      <c r="AC1571" s="16">
        <v>0</v>
      </c>
      <c r="AD1571" s="16">
        <v>0</v>
      </c>
      <c r="AE1571" s="16">
        <v>1568</v>
      </c>
      <c r="AF1571" s="16">
        <f>IF(AC1571=0,IF(O1571=6,INDEX(Acceleration!$V$4:$V$110,MATCH('Track Data'!S1571,Acceleration!$K$4:$K$110,0)),IF('Track Data'!O1571=5,INDEX(Acceleration!$U$4:$U$110,MATCH('Track Data'!S1571,Acceleration!$K$4:$K$110,0)),1)),U1571)</f>
        <v>1</v>
      </c>
      <c r="AG1571" s="16">
        <f>IF(AC1571=0,IF(O1571=4,INDEX(Acceleration!$T$4:$T$110,MATCH('Track Data'!S1571,Acceleration!$K$4:$K$110,0)),IF('Track Data'!O1571=3,INDEX(Acceleration!$S$4:$S$110,MATCH('Track Data'!S1571,Acceleration!$K$4:$K$110,0)),'Track Data'!AF1571)),'Track Data'!U1571)</f>
        <v>5.034800645540809</v>
      </c>
      <c r="AH1571" s="16">
        <f>IF(AC1571=0,IF(O1571=2,INDEX(Acceleration!$R$4:$R$110,MATCH('Track Data'!S1571,Acceleration!$K$4:$K$110,0)),IF('Track Data'!O1571=1,INDEX(Acceleration!$Q$4:$Q$110,MATCH('Track Data'!S1571,Acceleration!$K$4:$K$110,0)),'Track Data'!AG1571)),'Track Data'!U1571)</f>
        <v>5.034800645540809</v>
      </c>
    </row>
    <row r="1572" spans="2:34" x14ac:dyDescent="0.25">
      <c r="B1572" s="16">
        <v>240.31899999999999</v>
      </c>
      <c r="C1572" s="16">
        <v>8842</v>
      </c>
      <c r="D1572" s="16">
        <v>1569</v>
      </c>
      <c r="E1572" s="113">
        <v>168</v>
      </c>
      <c r="F1572" s="113">
        <v>167.3</v>
      </c>
      <c r="G1572" s="113">
        <v>166</v>
      </c>
      <c r="H1572" s="113">
        <f t="shared" si="173"/>
        <v>46.111111111111107</v>
      </c>
      <c r="I1572" s="113">
        <v>3.8</v>
      </c>
      <c r="J1572" s="113">
        <v>25.95</v>
      </c>
      <c r="K1572" s="113">
        <v>4.0999999999999996</v>
      </c>
      <c r="L1572" s="185"/>
      <c r="M1572" s="16">
        <v>1569</v>
      </c>
      <c r="N1572" s="16">
        <f t="shared" si="175"/>
        <v>2.5324625238190648E-2</v>
      </c>
      <c r="O1572" s="16">
        <v>4</v>
      </c>
      <c r="P1572" s="16">
        <f t="shared" si="171"/>
        <v>9.1833785004516724</v>
      </c>
      <c r="Q1572" s="16">
        <f t="shared" si="176"/>
        <v>39.487257584051278</v>
      </c>
      <c r="R1572" s="113">
        <f t="shared" si="172"/>
        <v>329.49099999999999</v>
      </c>
      <c r="S1572" s="16">
        <f>IF(S1571=15800,15800,ROUND((((Q1572*60)/'Gearing Calculator'!$C$14)*'Track Data'!P1572),-2))</f>
        <v>11000</v>
      </c>
      <c r="T1572" s="16">
        <f t="shared" si="174"/>
        <v>5.034800645540809</v>
      </c>
      <c r="U1572" s="16">
        <f>IF(AC1572=100,Braking!$AG$2354,IF(AC1572=50,Braking!$AG$1179,IF(AC1572=75,Braking!$AG$1767,0)))</f>
        <v>0</v>
      </c>
      <c r="V1572" s="16">
        <f>0.5*'Gearing Calculator'!$C$15*'Gearing Calculator'!$C$20*'Gearing Calculator'!$W$20*('Track Data'!Q1572^2)</f>
        <v>165.0303332581353</v>
      </c>
      <c r="W1572" s="16">
        <f>('Gearing Calculator'!$U$9*'Track Data'!T1572)+'Track Data'!V1572</f>
        <v>1505.2942651010985</v>
      </c>
      <c r="X1572" s="16">
        <f>('Gearing Calculator'!$U$9*9.81)*('Gearing Calculator'!$U$16/'Gearing Calculator'!$C$7)-(('Track Data'!W1572)*('Gearing Calculator'!$U$17/'Gearing Calculator'!$C$7))</f>
        <v>580.67412335506435</v>
      </c>
      <c r="Y1572" s="16">
        <f>('Gearing Calculator'!$U$9*9.81)*(('Gearing Calculator'!$C$7-'Gearing Calculator'!$U$16)/'Gearing Calculator'!$C$7)+(('Track Data'!W1572)*('Gearing Calculator'!$U$17/'Gearing Calculator'!$C$7))</f>
        <v>2030.7478766449358</v>
      </c>
      <c r="Z1572" s="16">
        <f>((X1572*COS('Gearing Calculator'!$C$21))/'Gearing Calculator'!$C$22)/2</f>
        <v>17.952607378355111</v>
      </c>
      <c r="AA1572" s="16">
        <f>Y1572/'Gearing Calculator'!$C$24</f>
        <v>28.356051580139322</v>
      </c>
      <c r="AB1572" s="16">
        <f t="shared" si="170"/>
        <v>185.16953584029852</v>
      </c>
      <c r="AC1572" s="16">
        <v>0</v>
      </c>
      <c r="AD1572" s="16">
        <v>0</v>
      </c>
      <c r="AE1572" s="16">
        <v>1569</v>
      </c>
      <c r="AF1572" s="16">
        <f>IF(AC1572=0,IF(O1572=6,INDEX(Acceleration!$V$4:$V$110,MATCH('Track Data'!S1572,Acceleration!$K$4:$K$110,0)),IF('Track Data'!O1572=5,INDEX(Acceleration!$U$4:$U$110,MATCH('Track Data'!S1572,Acceleration!$K$4:$K$110,0)),1)),U1572)</f>
        <v>1</v>
      </c>
      <c r="AG1572" s="16">
        <f>IF(AC1572=0,IF(O1572=4,INDEX(Acceleration!$T$4:$T$110,MATCH('Track Data'!S1572,Acceleration!$K$4:$K$110,0)),IF('Track Data'!O1572=3,INDEX(Acceleration!$S$4:$S$110,MATCH('Track Data'!S1572,Acceleration!$K$4:$K$110,0)),'Track Data'!AF1572)),'Track Data'!U1572)</f>
        <v>5.034800645540809</v>
      </c>
      <c r="AH1572" s="16">
        <f>IF(AC1572=0,IF(O1572=2,INDEX(Acceleration!$R$4:$R$110,MATCH('Track Data'!S1572,Acceleration!$K$4:$K$110,0)),IF('Track Data'!O1572=1,INDEX(Acceleration!$Q$4:$Q$110,MATCH('Track Data'!S1572,Acceleration!$K$4:$K$110,0)),'Track Data'!AG1572)),'Track Data'!U1572)</f>
        <v>5.034800645540809</v>
      </c>
    </row>
    <row r="1573" spans="2:34" x14ac:dyDescent="0.25">
      <c r="B1573" s="16">
        <v>240.34100000000001</v>
      </c>
      <c r="C1573" s="16">
        <v>8843</v>
      </c>
      <c r="D1573" s="16">
        <v>1570</v>
      </c>
      <c r="E1573" s="113">
        <v>167</v>
      </c>
      <c r="F1573" s="113">
        <v>167.9</v>
      </c>
      <c r="G1573" s="113">
        <v>166.6</v>
      </c>
      <c r="H1573" s="113">
        <f t="shared" si="173"/>
        <v>46.277777777777779</v>
      </c>
      <c r="I1573" s="113">
        <v>9.5</v>
      </c>
      <c r="J1573" s="113">
        <v>18.77</v>
      </c>
      <c r="K1573" s="113">
        <v>3.6</v>
      </c>
      <c r="L1573" s="185"/>
      <c r="M1573" s="16">
        <v>1570</v>
      </c>
      <c r="N1573" s="16">
        <f t="shared" si="175"/>
        <v>2.5243245918492571E-2</v>
      </c>
      <c r="O1573" s="16">
        <v>4</v>
      </c>
      <c r="P1573" s="16">
        <f t="shared" si="171"/>
        <v>9.1833785004516724</v>
      </c>
      <c r="Q1573" s="16">
        <f t="shared" si="176"/>
        <v>39.614556829532965</v>
      </c>
      <c r="R1573" s="113">
        <f t="shared" si="172"/>
        <v>329.49099999999999</v>
      </c>
      <c r="S1573" s="16">
        <f>IF(S1572=15800,15800,ROUND((((Q1573*60)/'Gearing Calculator'!$C$14)*'Track Data'!P1573),-2))</f>
        <v>11000</v>
      </c>
      <c r="T1573" s="16">
        <f t="shared" si="174"/>
        <v>5.034800645540809</v>
      </c>
      <c r="U1573" s="16">
        <f>IF(AC1573=100,Braking!$AG$2354,IF(AC1573=50,Braking!$AG$1179,IF(AC1573=75,Braking!$AG$1767,0)))</f>
        <v>0</v>
      </c>
      <c r="V1573" s="16">
        <f>0.5*'Gearing Calculator'!$C$15*'Gearing Calculator'!$C$20*'Gearing Calculator'!$W$20*('Track Data'!Q1573^2)</f>
        <v>166.09609985878342</v>
      </c>
      <c r="W1573" s="16">
        <f>('Gearing Calculator'!$U$9*'Track Data'!T1573)+'Track Data'!V1573</f>
        <v>1506.3600317017467</v>
      </c>
      <c r="X1573" s="16">
        <f>('Gearing Calculator'!$U$9*9.81)*('Gearing Calculator'!$U$16/'Gearing Calculator'!$C$7)-(('Track Data'!W1573)*('Gearing Calculator'!$U$17/'Gearing Calculator'!$C$7))</f>
        <v>580.09320777253117</v>
      </c>
      <c r="Y1573" s="16">
        <f>('Gearing Calculator'!$U$9*9.81)*(('Gearing Calculator'!$C$7-'Gearing Calculator'!$U$16)/'Gearing Calculator'!$C$7)+(('Track Data'!W1573)*('Gearing Calculator'!$U$17/'Gearing Calculator'!$C$7))</f>
        <v>2031.328792227469</v>
      </c>
      <c r="Z1573" s="16">
        <f>((X1573*COS('Gearing Calculator'!$C$21))/'Gearing Calculator'!$C$22)/2</f>
        <v>17.93464730582264</v>
      </c>
      <c r="AA1573" s="16">
        <f>Y1573/'Gearing Calculator'!$C$24</f>
        <v>28.36416311008918</v>
      </c>
      <c r="AB1573" s="16">
        <f t="shared" si="170"/>
        <v>186.23530244094667</v>
      </c>
      <c r="AC1573" s="16">
        <v>0</v>
      </c>
      <c r="AD1573" s="16">
        <v>0</v>
      </c>
      <c r="AE1573" s="16">
        <v>1570</v>
      </c>
      <c r="AF1573" s="16">
        <f>IF(AC1573=0,IF(O1573=6,INDEX(Acceleration!$V$4:$V$110,MATCH('Track Data'!S1573,Acceleration!$K$4:$K$110,0)),IF('Track Data'!O1573=5,INDEX(Acceleration!$U$4:$U$110,MATCH('Track Data'!S1573,Acceleration!$K$4:$K$110,0)),1)),U1573)</f>
        <v>1</v>
      </c>
      <c r="AG1573" s="16">
        <f>IF(AC1573=0,IF(O1573=4,INDEX(Acceleration!$T$4:$T$110,MATCH('Track Data'!S1573,Acceleration!$K$4:$K$110,0)),IF('Track Data'!O1573=3,INDEX(Acceleration!$S$4:$S$110,MATCH('Track Data'!S1573,Acceleration!$K$4:$K$110,0)),'Track Data'!AF1573)),'Track Data'!U1573)</f>
        <v>5.034800645540809</v>
      </c>
      <c r="AH1573" s="16">
        <f>IF(AC1573=0,IF(O1573=2,INDEX(Acceleration!$R$4:$R$110,MATCH('Track Data'!S1573,Acceleration!$K$4:$K$110,0)),IF('Track Data'!O1573=1,INDEX(Acceleration!$Q$4:$Q$110,MATCH('Track Data'!S1573,Acceleration!$K$4:$K$110,0)),'Track Data'!AG1573)),'Track Data'!U1573)</f>
        <v>5.034800645540809</v>
      </c>
    </row>
    <row r="1574" spans="2:34" x14ac:dyDescent="0.25">
      <c r="B1574" s="16">
        <v>240.363</v>
      </c>
      <c r="C1574" s="16">
        <v>8844</v>
      </c>
      <c r="D1574" s="16">
        <v>1571</v>
      </c>
      <c r="E1574" s="113">
        <v>168</v>
      </c>
      <c r="F1574" s="113">
        <v>168.3</v>
      </c>
      <c r="G1574" s="113">
        <v>166.9</v>
      </c>
      <c r="H1574" s="113">
        <f t="shared" si="173"/>
        <v>46.361111111111114</v>
      </c>
      <c r="I1574" s="113">
        <v>9.1999999999999993</v>
      </c>
      <c r="J1574" s="113">
        <v>20.85</v>
      </c>
      <c r="K1574" s="113">
        <v>3</v>
      </c>
      <c r="L1574" s="185"/>
      <c r="M1574" s="16">
        <v>1571</v>
      </c>
      <c r="N1574" s="16">
        <f t="shared" si="175"/>
        <v>2.5162646114451202E-2</v>
      </c>
      <c r="O1574" s="16">
        <v>4</v>
      </c>
      <c r="P1574" s="16">
        <f t="shared" si="171"/>
        <v>9.1833785004516724</v>
      </c>
      <c r="Q1574" s="16">
        <f t="shared" si="176"/>
        <v>39.741448313962827</v>
      </c>
      <c r="R1574" s="113">
        <f t="shared" si="172"/>
        <v>329.49099999999999</v>
      </c>
      <c r="S1574" s="16">
        <f>IF(S1573=15800,15800,ROUND((((Q1574*60)/'Gearing Calculator'!$C$14)*'Track Data'!P1574),-2))</f>
        <v>11100</v>
      </c>
      <c r="T1574" s="16">
        <f t="shared" si="174"/>
        <v>4.9785390315224571</v>
      </c>
      <c r="U1574" s="16">
        <f>IF(AC1574=100,Braking!$AG$2354,IF(AC1574=50,Braking!$AG$1179,IF(AC1574=75,Braking!$AG$1767,0)))</f>
        <v>0</v>
      </c>
      <c r="V1574" s="16">
        <f>0.5*'Gearing Calculator'!$C$15*'Gearing Calculator'!$C$20*'Gearing Calculator'!$W$20*('Track Data'!Q1574^2)</f>
        <v>167.16186645943151</v>
      </c>
      <c r="W1574" s="16">
        <f>('Gearing Calculator'!$U$9*'Track Data'!T1574)+'Track Data'!V1574</f>
        <v>1492.4489566507095</v>
      </c>
      <c r="X1574" s="16">
        <f>('Gearing Calculator'!$U$9*9.81)*('Gearing Calculator'!$U$16/'Gearing Calculator'!$C$7)-(('Track Data'!W1574)*('Gearing Calculator'!$U$17/'Gearing Calculator'!$C$7))</f>
        <v>587.67569371459365</v>
      </c>
      <c r="Y1574" s="16">
        <f>('Gearing Calculator'!$U$9*9.81)*(('Gearing Calculator'!$C$7-'Gearing Calculator'!$U$16)/'Gearing Calculator'!$C$7)+(('Track Data'!W1574)*('Gearing Calculator'!$U$17/'Gearing Calculator'!$C$7))</f>
        <v>2023.7463062854063</v>
      </c>
      <c r="Z1574" s="16">
        <f>((X1574*COS('Gearing Calculator'!$C$21))/'Gearing Calculator'!$C$22)/2</f>
        <v>18.169073789791355</v>
      </c>
      <c r="AA1574" s="16">
        <f>Y1574/'Gearing Calculator'!$C$24</f>
        <v>28.258286174329911</v>
      </c>
      <c r="AB1574" s="16">
        <f t="shared" si="170"/>
        <v>187.07602258552134</v>
      </c>
      <c r="AC1574" s="16">
        <v>0</v>
      </c>
      <c r="AD1574" s="16">
        <v>0</v>
      </c>
      <c r="AE1574" s="16">
        <v>1571</v>
      </c>
      <c r="AF1574" s="16">
        <f>IF(AC1574=0,IF(O1574=6,INDEX(Acceleration!$V$4:$V$110,MATCH('Track Data'!S1574,Acceleration!$K$4:$K$110,0)),IF('Track Data'!O1574=5,INDEX(Acceleration!$U$4:$U$110,MATCH('Track Data'!S1574,Acceleration!$K$4:$K$110,0)),1)),U1574)</f>
        <v>1</v>
      </c>
      <c r="AG1574" s="16">
        <f>IF(AC1574=0,IF(O1574=4,INDEX(Acceleration!$T$4:$T$110,MATCH('Track Data'!S1574,Acceleration!$K$4:$K$110,0)),IF('Track Data'!O1574=3,INDEX(Acceleration!$S$4:$S$110,MATCH('Track Data'!S1574,Acceleration!$K$4:$K$110,0)),'Track Data'!AF1574)),'Track Data'!U1574)</f>
        <v>4.9785390315224571</v>
      </c>
      <c r="AH1574" s="16">
        <f>IF(AC1574=0,IF(O1574=2,INDEX(Acceleration!$R$4:$R$110,MATCH('Track Data'!S1574,Acceleration!$K$4:$K$110,0)),IF('Track Data'!O1574=1,INDEX(Acceleration!$Q$4:$Q$110,MATCH('Track Data'!S1574,Acceleration!$K$4:$K$110,0)),'Track Data'!AG1574)),'Track Data'!U1574)</f>
        <v>4.9785390315224571</v>
      </c>
    </row>
    <row r="1575" spans="2:34" x14ac:dyDescent="0.25">
      <c r="B1575" s="16">
        <v>240.38399999999999</v>
      </c>
      <c r="C1575" s="16">
        <v>8845</v>
      </c>
      <c r="D1575" s="16">
        <v>1572</v>
      </c>
      <c r="E1575" s="113">
        <v>170</v>
      </c>
      <c r="F1575" s="113">
        <v>168</v>
      </c>
      <c r="G1575" s="113">
        <v>167.2</v>
      </c>
      <c r="H1575" s="113">
        <f t="shared" si="173"/>
        <v>46.444444444444443</v>
      </c>
      <c r="I1575" s="113">
        <v>6</v>
      </c>
      <c r="J1575" s="113">
        <v>21.74</v>
      </c>
      <c r="K1575" s="113">
        <v>2.2999999999999998</v>
      </c>
      <c r="L1575" s="185"/>
      <c r="M1575" s="16">
        <v>1572</v>
      </c>
      <c r="N1575" s="16">
        <f t="shared" si="175"/>
        <v>2.5083701360181683E-2</v>
      </c>
      <c r="O1575" s="16">
        <v>4</v>
      </c>
      <c r="P1575" s="16">
        <f t="shared" si="171"/>
        <v>9.1833785004516724</v>
      </c>
      <c r="Q1575" s="16">
        <f t="shared" si="176"/>
        <v>39.866524706254793</v>
      </c>
      <c r="R1575" s="113">
        <f t="shared" si="172"/>
        <v>329.49099999999999</v>
      </c>
      <c r="S1575" s="16">
        <f>IF(S1574=15800,15800,ROUND((((Q1575*60)/'Gearing Calculator'!$C$14)*'Track Data'!P1575),-2))</f>
        <v>11100</v>
      </c>
      <c r="T1575" s="16">
        <f t="shared" si="174"/>
        <v>4.9785390315224571</v>
      </c>
      <c r="U1575" s="16">
        <f>IF(AC1575=100,Braking!$AG$2354,IF(AC1575=50,Braking!$AG$1179,IF(AC1575=75,Braking!$AG$1767,0)))</f>
        <v>0</v>
      </c>
      <c r="V1575" s="16">
        <f>0.5*'Gearing Calculator'!$C$15*'Gearing Calculator'!$C$20*'Gearing Calculator'!$W$20*('Track Data'!Q1575^2)</f>
        <v>168.21572360162421</v>
      </c>
      <c r="W1575" s="16">
        <f>('Gearing Calculator'!$U$9*'Track Data'!T1575)+'Track Data'!V1575</f>
        <v>1493.5028137929023</v>
      </c>
      <c r="X1575" s="16">
        <f>('Gearing Calculator'!$U$9*9.81)*('Gearing Calculator'!$U$16/'Gearing Calculator'!$C$7)-(('Track Data'!W1575)*('Gearing Calculator'!$U$17/'Gearing Calculator'!$C$7))</f>
        <v>587.10126960026025</v>
      </c>
      <c r="Y1575" s="16">
        <f>('Gearing Calculator'!$U$9*9.81)*(('Gearing Calculator'!$C$7-'Gearing Calculator'!$U$16)/'Gearing Calculator'!$C$7)+(('Track Data'!W1575)*('Gearing Calculator'!$U$17/'Gearing Calculator'!$C$7))</f>
        <v>2024.3207303997397</v>
      </c>
      <c r="Z1575" s="16">
        <f>((X1575*COS('Gearing Calculator'!$C$21))/'Gearing Calculator'!$C$22)/2</f>
        <v>18.151314412924854</v>
      </c>
      <c r="AA1575" s="16">
        <f>Y1575/'Gearing Calculator'!$C$24</f>
        <v>28.266307061611016</v>
      </c>
      <c r="AB1575" s="16">
        <f t="shared" si="170"/>
        <v>188.12987972771404</v>
      </c>
      <c r="AC1575" s="16">
        <v>0</v>
      </c>
      <c r="AD1575" s="16">
        <v>0</v>
      </c>
      <c r="AE1575" s="16">
        <v>1572</v>
      </c>
      <c r="AF1575" s="16">
        <f>IF(AC1575=0,IF(O1575=6,INDEX(Acceleration!$V$4:$V$110,MATCH('Track Data'!S1575,Acceleration!$K$4:$K$110,0)),IF('Track Data'!O1575=5,INDEX(Acceleration!$U$4:$U$110,MATCH('Track Data'!S1575,Acceleration!$K$4:$K$110,0)),1)),U1575)</f>
        <v>1</v>
      </c>
      <c r="AG1575" s="16">
        <f>IF(AC1575=0,IF(O1575=4,INDEX(Acceleration!$T$4:$T$110,MATCH('Track Data'!S1575,Acceleration!$K$4:$K$110,0)),IF('Track Data'!O1575=3,INDEX(Acceleration!$S$4:$S$110,MATCH('Track Data'!S1575,Acceleration!$K$4:$K$110,0)),'Track Data'!AF1575)),'Track Data'!U1575)</f>
        <v>4.9785390315224571</v>
      </c>
      <c r="AH1575" s="16">
        <f>IF(AC1575=0,IF(O1575=2,INDEX(Acceleration!$R$4:$R$110,MATCH('Track Data'!S1575,Acceleration!$K$4:$K$110,0)),IF('Track Data'!O1575=1,INDEX(Acceleration!$Q$4:$Q$110,MATCH('Track Data'!S1575,Acceleration!$K$4:$K$110,0)),'Track Data'!AG1575)),'Track Data'!U1575)</f>
        <v>4.9785390315224571</v>
      </c>
    </row>
    <row r="1576" spans="2:34" x14ac:dyDescent="0.25">
      <c r="B1576" s="16">
        <v>240.405</v>
      </c>
      <c r="C1576" s="16">
        <v>8846</v>
      </c>
      <c r="D1576" s="16">
        <v>1573</v>
      </c>
      <c r="E1576" s="113">
        <v>172</v>
      </c>
      <c r="F1576" s="113">
        <v>167.9</v>
      </c>
      <c r="G1576" s="113">
        <v>167.5</v>
      </c>
      <c r="H1576" s="113">
        <f t="shared" si="173"/>
        <v>46.527777777777779</v>
      </c>
      <c r="I1576" s="113">
        <v>4.5999999999999996</v>
      </c>
      <c r="J1576" s="113">
        <v>20.13</v>
      </c>
      <c r="K1576" s="113">
        <v>2</v>
      </c>
      <c r="L1576" s="185"/>
      <c r="M1576" s="16">
        <v>1573</v>
      </c>
      <c r="N1576" s="16">
        <f t="shared" si="175"/>
        <v>2.5005495012605031E-2</v>
      </c>
      <c r="O1576" s="16">
        <v>4</v>
      </c>
      <c r="P1576" s="16">
        <f t="shared" si="171"/>
        <v>9.1833785004516724</v>
      </c>
      <c r="Q1576" s="16">
        <f t="shared" si="176"/>
        <v>39.991209911897748</v>
      </c>
      <c r="R1576" s="113">
        <f t="shared" si="172"/>
        <v>329.49099999999999</v>
      </c>
      <c r="S1576" s="16">
        <f>IF(S1575=15800,15800,ROUND((((Q1576*60)/'Gearing Calculator'!$C$14)*'Track Data'!P1576),-2))</f>
        <v>11100</v>
      </c>
      <c r="T1576" s="16">
        <f t="shared" si="174"/>
        <v>4.9785390315224571</v>
      </c>
      <c r="U1576" s="16">
        <f>IF(AC1576=100,Braking!$AG$2354,IF(AC1576=50,Braking!$AG$1179,IF(AC1576=75,Braking!$AG$1767,0)))</f>
        <v>0</v>
      </c>
      <c r="V1576" s="16">
        <f>0.5*'Gearing Calculator'!$C$15*'Gearing Calculator'!$C$20*'Gearing Calculator'!$W$20*('Track Data'!Q1576^2)</f>
        <v>169.26958074381687</v>
      </c>
      <c r="W1576" s="16">
        <f>('Gearing Calculator'!$U$9*'Track Data'!T1576)+'Track Data'!V1576</f>
        <v>1494.5566709350951</v>
      </c>
      <c r="X1576" s="16">
        <f>('Gearing Calculator'!$U$9*9.81)*('Gearing Calculator'!$U$16/'Gearing Calculator'!$C$7)-(('Track Data'!W1576)*('Gearing Calculator'!$U$17/'Gearing Calculator'!$C$7))</f>
        <v>586.52684548592674</v>
      </c>
      <c r="Y1576" s="16">
        <f>('Gearing Calculator'!$U$9*9.81)*(('Gearing Calculator'!$C$7-'Gearing Calculator'!$U$16)/'Gearing Calculator'!$C$7)+(('Track Data'!W1576)*('Gearing Calculator'!$U$17/'Gearing Calculator'!$C$7))</f>
        <v>2024.8951545140733</v>
      </c>
      <c r="Z1576" s="16">
        <f>((X1576*COS('Gearing Calculator'!$C$21))/'Gearing Calculator'!$C$22)/2</f>
        <v>18.133555036058354</v>
      </c>
      <c r="AA1576" s="16">
        <f>Y1576/'Gearing Calculator'!$C$24</f>
        <v>28.274327948892125</v>
      </c>
      <c r="AB1576" s="16">
        <f t="shared" si="170"/>
        <v>189.18373686990671</v>
      </c>
      <c r="AC1576" s="16">
        <v>0</v>
      </c>
      <c r="AD1576" s="16">
        <v>0</v>
      </c>
      <c r="AE1576" s="16">
        <v>1573</v>
      </c>
      <c r="AF1576" s="16">
        <f>IF(AC1576=0,IF(O1576=6,INDEX(Acceleration!$V$4:$V$110,MATCH('Track Data'!S1576,Acceleration!$K$4:$K$110,0)),IF('Track Data'!O1576=5,INDEX(Acceleration!$U$4:$U$110,MATCH('Track Data'!S1576,Acceleration!$K$4:$K$110,0)),1)),U1576)</f>
        <v>1</v>
      </c>
      <c r="AG1576" s="16">
        <f>IF(AC1576=0,IF(O1576=4,INDEX(Acceleration!$T$4:$T$110,MATCH('Track Data'!S1576,Acceleration!$K$4:$K$110,0)),IF('Track Data'!O1576=3,INDEX(Acceleration!$S$4:$S$110,MATCH('Track Data'!S1576,Acceleration!$K$4:$K$110,0)),'Track Data'!AF1576)),'Track Data'!U1576)</f>
        <v>4.9785390315224571</v>
      </c>
      <c r="AH1576" s="16">
        <f>IF(AC1576=0,IF(O1576=2,INDEX(Acceleration!$R$4:$R$110,MATCH('Track Data'!S1576,Acceleration!$K$4:$K$110,0)),IF('Track Data'!O1576=1,INDEX(Acceleration!$Q$4:$Q$110,MATCH('Track Data'!S1576,Acceleration!$K$4:$K$110,0)),'Track Data'!AG1576)),'Track Data'!U1576)</f>
        <v>4.9785390315224571</v>
      </c>
    </row>
    <row r="1577" spans="2:34" x14ac:dyDescent="0.25">
      <c r="B1577" s="16">
        <v>240.42599999999999</v>
      </c>
      <c r="C1577" s="16">
        <v>8847</v>
      </c>
      <c r="D1577" s="16">
        <v>1574</v>
      </c>
      <c r="E1577" s="113">
        <v>170</v>
      </c>
      <c r="F1577" s="113">
        <v>168.6</v>
      </c>
      <c r="G1577" s="113">
        <v>167.8</v>
      </c>
      <c r="H1577" s="113">
        <f t="shared" si="173"/>
        <v>46.611111111111114</v>
      </c>
      <c r="I1577" s="113">
        <v>5</v>
      </c>
      <c r="J1577" s="113">
        <v>16.48</v>
      </c>
      <c r="K1577" s="113">
        <v>2.9</v>
      </c>
      <c r="L1577" s="185"/>
      <c r="M1577" s="16">
        <v>1574</v>
      </c>
      <c r="N1577" s="16">
        <f t="shared" si="175"/>
        <v>2.4928015631939988E-2</v>
      </c>
      <c r="O1577" s="16">
        <v>4</v>
      </c>
      <c r="P1577" s="16">
        <f t="shared" si="171"/>
        <v>9.1833785004516724</v>
      </c>
      <c r="Q1577" s="16">
        <f t="shared" si="176"/>
        <v>40.115507578497791</v>
      </c>
      <c r="R1577" s="113">
        <f t="shared" si="172"/>
        <v>329.49099999999999</v>
      </c>
      <c r="S1577" s="16">
        <f>IF(S1576=15800,15800,ROUND((((Q1577*60)/'Gearing Calculator'!$C$14)*'Track Data'!P1577),-2))</f>
        <v>11200</v>
      </c>
      <c r="T1577" s="16">
        <f t="shared" si="174"/>
        <v>4.923085627255757</v>
      </c>
      <c r="U1577" s="16">
        <f>IF(AC1577=100,Braking!$AG$2354,IF(AC1577=50,Braking!$AG$1179,IF(AC1577=75,Braking!$AG$1767,0)))</f>
        <v>0</v>
      </c>
      <c r="V1577" s="16">
        <f>0.5*'Gearing Calculator'!$C$15*'Gearing Calculator'!$C$20*'Gearing Calculator'!$W$20*('Track Data'!Q1577^2)</f>
        <v>170.32343788600954</v>
      </c>
      <c r="W1577" s="16">
        <f>('Gearing Calculator'!$U$9*'Track Data'!T1577)+'Track Data'!V1577</f>
        <v>1480.848831861492</v>
      </c>
      <c r="X1577" s="16">
        <f>('Gearing Calculator'!$U$9*9.81)*('Gearing Calculator'!$U$16/'Gearing Calculator'!$C$7)-(('Track Data'!W1577)*('Gearing Calculator'!$U$17/'Gearing Calculator'!$C$7))</f>
        <v>593.99855394054396</v>
      </c>
      <c r="Y1577" s="16">
        <f>('Gearing Calculator'!$U$9*9.81)*(('Gearing Calculator'!$C$7-'Gearing Calculator'!$U$16)/'Gearing Calculator'!$C$7)+(('Track Data'!W1577)*('Gearing Calculator'!$U$17/'Gearing Calculator'!$C$7))</f>
        <v>2017.4234460594562</v>
      </c>
      <c r="Z1577" s="16">
        <f>((X1577*COS('Gearing Calculator'!$C$21))/'Gearing Calculator'!$C$22)/2</f>
        <v>18.364556630474603</v>
      </c>
      <c r="AA1577" s="16">
        <f>Y1577/'Gearing Calculator'!$C$24</f>
        <v>28.169997838410403</v>
      </c>
      <c r="AB1577" s="16">
        <f t="shared" si="170"/>
        <v>190.01578039503258</v>
      </c>
      <c r="AC1577" s="16">
        <v>0</v>
      </c>
      <c r="AD1577" s="16">
        <v>0</v>
      </c>
      <c r="AE1577" s="16">
        <v>1574</v>
      </c>
      <c r="AF1577" s="16">
        <f>IF(AC1577=0,IF(O1577=6,INDEX(Acceleration!$V$4:$V$110,MATCH('Track Data'!S1577,Acceleration!$K$4:$K$110,0)),IF('Track Data'!O1577=5,INDEX(Acceleration!$U$4:$U$110,MATCH('Track Data'!S1577,Acceleration!$K$4:$K$110,0)),1)),U1577)</f>
        <v>1</v>
      </c>
      <c r="AG1577" s="16">
        <f>IF(AC1577=0,IF(O1577=4,INDEX(Acceleration!$T$4:$T$110,MATCH('Track Data'!S1577,Acceleration!$K$4:$K$110,0)),IF('Track Data'!O1577=3,INDEX(Acceleration!$S$4:$S$110,MATCH('Track Data'!S1577,Acceleration!$K$4:$K$110,0)),'Track Data'!AF1577)),'Track Data'!U1577)</f>
        <v>4.923085627255757</v>
      </c>
      <c r="AH1577" s="16">
        <f>IF(AC1577=0,IF(O1577=2,INDEX(Acceleration!$R$4:$R$110,MATCH('Track Data'!S1577,Acceleration!$K$4:$K$110,0)),IF('Track Data'!O1577=1,INDEX(Acceleration!$Q$4:$Q$110,MATCH('Track Data'!S1577,Acceleration!$K$4:$K$110,0)),'Track Data'!AG1577)),'Track Data'!U1577)</f>
        <v>4.923085627255757</v>
      </c>
    </row>
    <row r="1578" spans="2:34" x14ac:dyDescent="0.25">
      <c r="B1578" s="16">
        <v>240.447</v>
      </c>
      <c r="C1578" s="16">
        <v>8848</v>
      </c>
      <c r="D1578" s="16">
        <v>1575</v>
      </c>
      <c r="E1578" s="113">
        <v>169</v>
      </c>
      <c r="F1578" s="113">
        <v>169.2</v>
      </c>
      <c r="G1578" s="113">
        <v>168.1</v>
      </c>
      <c r="H1578" s="113">
        <f t="shared" si="173"/>
        <v>46.694444444444443</v>
      </c>
      <c r="I1578" s="113">
        <v>5.4</v>
      </c>
      <c r="J1578" s="113">
        <v>15.61</v>
      </c>
      <c r="K1578" s="113">
        <v>3.9</v>
      </c>
      <c r="L1578" s="185"/>
      <c r="M1578" s="16">
        <v>1575</v>
      </c>
      <c r="N1578" s="16">
        <f t="shared" si="175"/>
        <v>2.4852103153915062E-2</v>
      </c>
      <c r="O1578" s="16">
        <v>4</v>
      </c>
      <c r="P1578" s="16">
        <f t="shared" si="171"/>
        <v>9.1833785004516724</v>
      </c>
      <c r="Q1578" s="16">
        <f t="shared" si="176"/>
        <v>40.23804318720066</v>
      </c>
      <c r="R1578" s="113">
        <f t="shared" si="172"/>
        <v>329.49099999999999</v>
      </c>
      <c r="S1578" s="16">
        <f>IF(S1577=15800,15800,ROUND((((Q1578*60)/'Gearing Calculator'!$C$14)*'Track Data'!P1578),-2))</f>
        <v>11200</v>
      </c>
      <c r="T1578" s="16">
        <f t="shared" si="174"/>
        <v>4.923085627255757</v>
      </c>
      <c r="U1578" s="16">
        <f>IF(AC1578=100,Braking!$AG$2354,IF(AC1578=50,Braking!$AG$1179,IF(AC1578=75,Braking!$AG$1767,0)))</f>
        <v>0</v>
      </c>
      <c r="V1578" s="16">
        <f>0.5*'Gearing Calculator'!$C$15*'Gearing Calculator'!$C$20*'Gearing Calculator'!$W$20*('Track Data'!Q1578^2)</f>
        <v>171.36555665158707</v>
      </c>
      <c r="W1578" s="16">
        <f>('Gearing Calculator'!$U$9*'Track Data'!T1578)+'Track Data'!V1578</f>
        <v>1481.8909506270695</v>
      </c>
      <c r="X1578" s="16">
        <f>('Gearing Calculator'!$U$9*9.81)*('Gearing Calculator'!$U$16/'Gearing Calculator'!$C$7)-(('Track Data'!W1578)*('Gearing Calculator'!$U$17/'Gearing Calculator'!$C$7))</f>
        <v>593.43052804312333</v>
      </c>
      <c r="Y1578" s="16">
        <f>('Gearing Calculator'!$U$9*9.81)*(('Gearing Calculator'!$C$7-'Gearing Calculator'!$U$16)/'Gearing Calculator'!$C$7)+(('Track Data'!W1578)*('Gearing Calculator'!$U$17/'Gearing Calculator'!$C$7))</f>
        <v>2017.9914719568767</v>
      </c>
      <c r="Z1578" s="16">
        <f>((X1578*COS('Gearing Calculator'!$C$21))/'Gearing Calculator'!$C$22)/2</f>
        <v>18.346995066239213</v>
      </c>
      <c r="AA1578" s="16">
        <f>Y1578/'Gearing Calculator'!$C$24</f>
        <v>28.177929385123491</v>
      </c>
      <c r="AB1578" s="16">
        <f t="shared" si="170"/>
        <v>191.05789916061011</v>
      </c>
      <c r="AC1578" s="16">
        <v>0</v>
      </c>
      <c r="AD1578" s="16">
        <v>0</v>
      </c>
      <c r="AE1578" s="16">
        <v>1575</v>
      </c>
      <c r="AF1578" s="16">
        <f>IF(AC1578=0,IF(O1578=6,INDEX(Acceleration!$V$4:$V$110,MATCH('Track Data'!S1578,Acceleration!$K$4:$K$110,0)),IF('Track Data'!O1578=5,INDEX(Acceleration!$U$4:$U$110,MATCH('Track Data'!S1578,Acceleration!$K$4:$K$110,0)),1)),U1578)</f>
        <v>1</v>
      </c>
      <c r="AG1578" s="16">
        <f>IF(AC1578=0,IF(O1578=4,INDEX(Acceleration!$T$4:$T$110,MATCH('Track Data'!S1578,Acceleration!$K$4:$K$110,0)),IF('Track Data'!O1578=3,INDEX(Acceleration!$S$4:$S$110,MATCH('Track Data'!S1578,Acceleration!$K$4:$K$110,0)),'Track Data'!AF1578)),'Track Data'!U1578)</f>
        <v>4.923085627255757</v>
      </c>
      <c r="AH1578" s="16">
        <f>IF(AC1578=0,IF(O1578=2,INDEX(Acceleration!$R$4:$R$110,MATCH('Track Data'!S1578,Acceleration!$K$4:$K$110,0)),IF('Track Data'!O1578=1,INDEX(Acceleration!$Q$4:$Q$110,MATCH('Track Data'!S1578,Acceleration!$K$4:$K$110,0)),'Track Data'!AG1578)),'Track Data'!U1578)</f>
        <v>4.923085627255757</v>
      </c>
    </row>
    <row r="1579" spans="2:34" x14ac:dyDescent="0.25">
      <c r="B1579" s="16">
        <v>240.46899999999999</v>
      </c>
      <c r="C1579" s="16">
        <v>8849</v>
      </c>
      <c r="D1579" s="16">
        <v>1576</v>
      </c>
      <c r="E1579" s="113">
        <v>171</v>
      </c>
      <c r="F1579" s="113">
        <v>169.8</v>
      </c>
      <c r="G1579" s="113">
        <v>168.4</v>
      </c>
      <c r="H1579" s="113">
        <f t="shared" si="173"/>
        <v>46.777777777777779</v>
      </c>
      <c r="I1579" s="113">
        <v>5.0999999999999996</v>
      </c>
      <c r="J1579" s="113">
        <v>15.8</v>
      </c>
      <c r="K1579" s="113">
        <v>4.9000000000000004</v>
      </c>
      <c r="L1579" s="185"/>
      <c r="M1579" s="16">
        <v>1576</v>
      </c>
      <c r="N1579" s="16">
        <f t="shared" si="175"/>
        <v>2.4776880000022677E-2</v>
      </c>
      <c r="O1579" s="16">
        <v>4</v>
      </c>
      <c r="P1579" s="16">
        <f t="shared" si="171"/>
        <v>9.1833785004516724</v>
      </c>
      <c r="Q1579" s="16">
        <f t="shared" si="176"/>
        <v>40.360206773374401</v>
      </c>
      <c r="R1579" s="113">
        <f t="shared" si="172"/>
        <v>329.49099999999999</v>
      </c>
      <c r="S1579" s="16">
        <f>IF(S1578=15800,15800,ROUND((((Q1579*60)/'Gearing Calculator'!$C$14)*'Track Data'!P1579),-2))</f>
        <v>11200</v>
      </c>
      <c r="T1579" s="16">
        <f t="shared" si="174"/>
        <v>4.923085627255757</v>
      </c>
      <c r="U1579" s="16">
        <f>IF(AC1579=100,Braking!$AG$2354,IF(AC1579=50,Braking!$AG$1179,IF(AC1579=75,Braking!$AG$1767,0)))</f>
        <v>0</v>
      </c>
      <c r="V1579" s="16">
        <f>0.5*'Gearing Calculator'!$C$15*'Gearing Calculator'!$C$20*'Gearing Calculator'!$W$20*('Track Data'!Q1579^2)</f>
        <v>172.40767541716454</v>
      </c>
      <c r="W1579" s="16">
        <f>('Gearing Calculator'!$U$9*'Track Data'!T1579)+'Track Data'!V1579</f>
        <v>1482.933069392647</v>
      </c>
      <c r="X1579" s="16">
        <f>('Gearing Calculator'!$U$9*9.81)*('Gearing Calculator'!$U$16/'Gearing Calculator'!$C$7)-(('Track Data'!W1579)*('Gearing Calculator'!$U$17/'Gearing Calculator'!$C$7))</f>
        <v>592.86250214570282</v>
      </c>
      <c r="Y1579" s="16">
        <f>('Gearing Calculator'!$U$9*9.81)*(('Gearing Calculator'!$C$7-'Gearing Calculator'!$U$16)/'Gearing Calculator'!$C$7)+(('Track Data'!W1579)*('Gearing Calculator'!$U$17/'Gearing Calculator'!$C$7))</f>
        <v>2018.5594978542972</v>
      </c>
      <c r="Z1579" s="16">
        <f>((X1579*COS('Gearing Calculator'!$C$21))/'Gearing Calculator'!$C$22)/2</f>
        <v>18.329433502003823</v>
      </c>
      <c r="AA1579" s="16">
        <f>Y1579/'Gearing Calculator'!$C$24</f>
        <v>28.185860931836579</v>
      </c>
      <c r="AB1579" s="16">
        <f t="shared" si="170"/>
        <v>192.10001792618758</v>
      </c>
      <c r="AC1579" s="16">
        <v>0</v>
      </c>
      <c r="AD1579" s="16">
        <v>0</v>
      </c>
      <c r="AE1579" s="16">
        <v>1576</v>
      </c>
      <c r="AF1579" s="16">
        <f>IF(AC1579=0,IF(O1579=6,INDEX(Acceleration!$V$4:$V$110,MATCH('Track Data'!S1579,Acceleration!$K$4:$K$110,0)),IF('Track Data'!O1579=5,INDEX(Acceleration!$U$4:$U$110,MATCH('Track Data'!S1579,Acceleration!$K$4:$K$110,0)),1)),U1579)</f>
        <v>1</v>
      </c>
      <c r="AG1579" s="16">
        <f>IF(AC1579=0,IF(O1579=4,INDEX(Acceleration!$T$4:$T$110,MATCH('Track Data'!S1579,Acceleration!$K$4:$K$110,0)),IF('Track Data'!O1579=3,INDEX(Acceleration!$S$4:$S$110,MATCH('Track Data'!S1579,Acceleration!$K$4:$K$110,0)),'Track Data'!AF1579)),'Track Data'!U1579)</f>
        <v>4.923085627255757</v>
      </c>
      <c r="AH1579" s="16">
        <f>IF(AC1579=0,IF(O1579=2,INDEX(Acceleration!$R$4:$R$110,MATCH('Track Data'!S1579,Acceleration!$K$4:$K$110,0)),IF('Track Data'!O1579=1,INDEX(Acceleration!$Q$4:$Q$110,MATCH('Track Data'!S1579,Acceleration!$K$4:$K$110,0)),'Track Data'!AG1579)),'Track Data'!U1579)</f>
        <v>4.923085627255757</v>
      </c>
    </row>
    <row r="1580" spans="2:34" x14ac:dyDescent="0.25">
      <c r="B1580" s="16">
        <v>240.49</v>
      </c>
      <c r="C1580" s="16">
        <v>8850</v>
      </c>
      <c r="D1580" s="16">
        <v>1577</v>
      </c>
      <c r="E1580" s="113">
        <v>172</v>
      </c>
      <c r="F1580" s="113">
        <v>170</v>
      </c>
      <c r="G1580" s="113">
        <v>168.8</v>
      </c>
      <c r="H1580" s="113">
        <f t="shared" si="173"/>
        <v>46.888888888888893</v>
      </c>
      <c r="I1580" s="113">
        <v>3.9</v>
      </c>
      <c r="J1580" s="113">
        <v>22.18</v>
      </c>
      <c r="K1580" s="113">
        <v>5.5</v>
      </c>
      <c r="L1580" s="185"/>
      <c r="M1580" s="16">
        <v>1577</v>
      </c>
      <c r="N1580" s="16">
        <f t="shared" si="175"/>
        <v>2.470233580066172E-2</v>
      </c>
      <c r="O1580" s="16">
        <v>4</v>
      </c>
      <c r="P1580" s="16">
        <f t="shared" si="171"/>
        <v>9.1833785004516724</v>
      </c>
      <c r="Q1580" s="16">
        <f t="shared" si="176"/>
        <v>40.482001705005253</v>
      </c>
      <c r="R1580" s="113">
        <f t="shared" si="172"/>
        <v>329.49099999999999</v>
      </c>
      <c r="S1580" s="16">
        <f>IF(S1579=15800,15800,ROUND((((Q1580*60)/'Gearing Calculator'!$C$14)*'Track Data'!P1580),-2))</f>
        <v>11300</v>
      </c>
      <c r="T1580" s="16">
        <f t="shared" si="174"/>
        <v>4.8684172215804464</v>
      </c>
      <c r="U1580" s="16">
        <f>IF(AC1580=100,Braking!$AG$2354,IF(AC1580=50,Braking!$AG$1179,IF(AC1580=75,Braking!$AG$1767,0)))</f>
        <v>0</v>
      </c>
      <c r="V1580" s="16">
        <f>0.5*'Gearing Calculator'!$C$15*'Gearing Calculator'!$C$20*'Gearing Calculator'!$W$20*('Track Data'!Q1580^2)</f>
        <v>173.44979418274204</v>
      </c>
      <c r="W1580" s="16">
        <f>('Gearing Calculator'!$U$9*'Track Data'!T1580)+'Track Data'!V1580</f>
        <v>1469.4224585674569</v>
      </c>
      <c r="X1580" s="16">
        <f>('Gearing Calculator'!$U$9*9.81)*('Gearing Calculator'!$U$16/'Gearing Calculator'!$C$7)-(('Track Data'!W1580)*('Gearing Calculator'!$U$17/'Gearing Calculator'!$C$7))</f>
        <v>600.22670773548157</v>
      </c>
      <c r="Y1580" s="16">
        <f>('Gearing Calculator'!$U$9*9.81)*(('Gearing Calculator'!$C$7-'Gearing Calculator'!$U$16)/'Gearing Calculator'!$C$7)+(('Track Data'!W1580)*('Gearing Calculator'!$U$17/'Gearing Calculator'!$C$7))</f>
        <v>2011.1952922645185</v>
      </c>
      <c r="Z1580" s="16">
        <f>((X1580*COS('Gearing Calculator'!$C$21))/'Gearing Calculator'!$C$22)/2</f>
        <v>18.557111447841862</v>
      </c>
      <c r="AA1580" s="16">
        <f>Y1580/'Gearing Calculator'!$C$24</f>
        <v>28.083031921917573</v>
      </c>
      <c r="AB1580" s="16">
        <f t="shared" si="170"/>
        <v>192.92346306906381</v>
      </c>
      <c r="AC1580" s="16">
        <v>0</v>
      </c>
      <c r="AD1580" s="16">
        <v>0</v>
      </c>
      <c r="AE1580" s="16">
        <v>1577</v>
      </c>
      <c r="AF1580" s="16">
        <f>IF(AC1580=0,IF(O1580=6,INDEX(Acceleration!$V$4:$V$110,MATCH('Track Data'!S1580,Acceleration!$K$4:$K$110,0)),IF('Track Data'!O1580=5,INDEX(Acceleration!$U$4:$U$110,MATCH('Track Data'!S1580,Acceleration!$K$4:$K$110,0)),1)),U1580)</f>
        <v>1</v>
      </c>
      <c r="AG1580" s="16">
        <f>IF(AC1580=0,IF(O1580=4,INDEX(Acceleration!$T$4:$T$110,MATCH('Track Data'!S1580,Acceleration!$K$4:$K$110,0)),IF('Track Data'!O1580=3,INDEX(Acceleration!$S$4:$S$110,MATCH('Track Data'!S1580,Acceleration!$K$4:$K$110,0)),'Track Data'!AF1580)),'Track Data'!U1580)</f>
        <v>4.8684172215804464</v>
      </c>
      <c r="AH1580" s="16">
        <f>IF(AC1580=0,IF(O1580=2,INDEX(Acceleration!$R$4:$R$110,MATCH('Track Data'!S1580,Acceleration!$K$4:$K$110,0)),IF('Track Data'!O1580=1,INDEX(Acceleration!$Q$4:$Q$110,MATCH('Track Data'!S1580,Acceleration!$K$4:$K$110,0)),'Track Data'!AG1580)),'Track Data'!U1580)</f>
        <v>4.8684172215804464</v>
      </c>
    </row>
    <row r="1581" spans="2:34" x14ac:dyDescent="0.25">
      <c r="B1581" s="16">
        <v>240.511</v>
      </c>
      <c r="C1581" s="16">
        <v>8851</v>
      </c>
      <c r="D1581" s="16">
        <v>1578</v>
      </c>
      <c r="E1581" s="113">
        <v>171</v>
      </c>
      <c r="F1581" s="113">
        <v>169.6</v>
      </c>
      <c r="G1581" s="113">
        <v>169.1</v>
      </c>
      <c r="H1581" s="113">
        <f t="shared" si="173"/>
        <v>46.972222222222221</v>
      </c>
      <c r="I1581" s="113">
        <v>4.4000000000000004</v>
      </c>
      <c r="J1581" s="113">
        <v>20.079999999999998</v>
      </c>
      <c r="K1581" s="113">
        <v>5.3</v>
      </c>
      <c r="L1581" s="185"/>
      <c r="M1581" s="16">
        <v>1578</v>
      </c>
      <c r="N1581" s="16">
        <f t="shared" si="175"/>
        <v>2.4629277116939914E-2</v>
      </c>
      <c r="O1581" s="16">
        <v>4</v>
      </c>
      <c r="P1581" s="16">
        <f t="shared" si="171"/>
        <v>9.1833785004516724</v>
      </c>
      <c r="Q1581" s="16">
        <f t="shared" si="176"/>
        <v>40.602084878577465</v>
      </c>
      <c r="R1581" s="113">
        <f t="shared" si="172"/>
        <v>329.49099999999999</v>
      </c>
      <c r="S1581" s="16">
        <f>IF(S1580=15800,15800,ROUND((((Q1581*60)/'Gearing Calculator'!$C$14)*'Track Data'!P1581),-2))</f>
        <v>11300</v>
      </c>
      <c r="T1581" s="16">
        <f t="shared" si="174"/>
        <v>4.8684172215804464</v>
      </c>
      <c r="U1581" s="16">
        <f>IF(AC1581=100,Braking!$AG$2354,IF(AC1581=50,Braking!$AG$1179,IF(AC1581=75,Braking!$AG$1767,0)))</f>
        <v>0</v>
      </c>
      <c r="V1581" s="16">
        <f>0.5*'Gearing Calculator'!$C$15*'Gearing Calculator'!$C$20*'Gearing Calculator'!$W$20*('Track Data'!Q1581^2)</f>
        <v>174.48034074020615</v>
      </c>
      <c r="W1581" s="16">
        <f>('Gearing Calculator'!$U$9*'Track Data'!T1581)+'Track Data'!V1581</f>
        <v>1470.453005124921</v>
      </c>
      <c r="X1581" s="16">
        <f>('Gearing Calculator'!$U$9*9.81)*('Gearing Calculator'!$U$16/'Gearing Calculator'!$C$7)-(('Track Data'!W1581)*('Gearing Calculator'!$U$17/'Gearing Calculator'!$C$7))</f>
        <v>599.66498948179208</v>
      </c>
      <c r="Y1581" s="16">
        <f>('Gearing Calculator'!$U$9*9.81)*(('Gearing Calculator'!$C$7-'Gearing Calculator'!$U$16)/'Gearing Calculator'!$C$7)+(('Track Data'!W1581)*('Gearing Calculator'!$U$17/'Gearing Calculator'!$C$7))</f>
        <v>2011.7570105182081</v>
      </c>
      <c r="Z1581" s="16">
        <f>((X1581*COS('Gearing Calculator'!$C$21))/'Gearing Calculator'!$C$22)/2</f>
        <v>18.53974489600126</v>
      </c>
      <c r="AA1581" s="16">
        <f>Y1581/'Gearing Calculator'!$C$24</f>
        <v>28.090875392768048</v>
      </c>
      <c r="AB1581" s="16">
        <f t="shared" si="170"/>
        <v>193.95400962652792</v>
      </c>
      <c r="AC1581" s="16">
        <v>0</v>
      </c>
      <c r="AD1581" s="16">
        <v>0</v>
      </c>
      <c r="AE1581" s="16">
        <v>1578</v>
      </c>
      <c r="AF1581" s="16">
        <f>IF(AC1581=0,IF(O1581=6,INDEX(Acceleration!$V$4:$V$110,MATCH('Track Data'!S1581,Acceleration!$K$4:$K$110,0)),IF('Track Data'!O1581=5,INDEX(Acceleration!$U$4:$U$110,MATCH('Track Data'!S1581,Acceleration!$K$4:$K$110,0)),1)),U1581)</f>
        <v>1</v>
      </c>
      <c r="AG1581" s="16">
        <f>IF(AC1581=0,IF(O1581=4,INDEX(Acceleration!$T$4:$T$110,MATCH('Track Data'!S1581,Acceleration!$K$4:$K$110,0)),IF('Track Data'!O1581=3,INDEX(Acceleration!$S$4:$S$110,MATCH('Track Data'!S1581,Acceleration!$K$4:$K$110,0)),'Track Data'!AF1581)),'Track Data'!U1581)</f>
        <v>4.8684172215804464</v>
      </c>
      <c r="AH1581" s="16">
        <f>IF(AC1581=0,IF(O1581=2,INDEX(Acceleration!$R$4:$R$110,MATCH('Track Data'!S1581,Acceleration!$K$4:$K$110,0)),IF('Track Data'!O1581=1,INDEX(Acceleration!$Q$4:$Q$110,MATCH('Track Data'!S1581,Acceleration!$K$4:$K$110,0)),'Track Data'!AG1581)),'Track Data'!U1581)</f>
        <v>4.8684172215804464</v>
      </c>
    </row>
    <row r="1582" spans="2:34" x14ac:dyDescent="0.25">
      <c r="B1582" s="16">
        <v>240.53200000000001</v>
      </c>
      <c r="C1582" s="16">
        <v>8852</v>
      </c>
      <c r="D1582" s="16">
        <v>1579</v>
      </c>
      <c r="E1582" s="113">
        <v>171</v>
      </c>
      <c r="F1582" s="113">
        <v>170.1</v>
      </c>
      <c r="G1582" s="113">
        <v>169.4</v>
      </c>
      <c r="H1582" s="113">
        <f t="shared" si="173"/>
        <v>47.055555555555557</v>
      </c>
      <c r="I1582" s="113">
        <v>6.7</v>
      </c>
      <c r="J1582" s="113">
        <v>15.98</v>
      </c>
      <c r="K1582" s="113">
        <v>5.2</v>
      </c>
      <c r="L1582" s="185"/>
      <c r="M1582" s="16">
        <v>1579</v>
      </c>
      <c r="N1582" s="16">
        <f t="shared" si="175"/>
        <v>2.4556862849060151E-2</v>
      </c>
      <c r="O1582" s="16">
        <v>4</v>
      </c>
      <c r="P1582" s="16">
        <f t="shared" si="171"/>
        <v>9.1833785004516724</v>
      </c>
      <c r="Q1582" s="16">
        <f t="shared" si="176"/>
        <v>40.721813944498713</v>
      </c>
      <c r="R1582" s="113">
        <f t="shared" si="172"/>
        <v>329.49099999999999</v>
      </c>
      <c r="S1582" s="16">
        <f>IF(S1581=15800,15800,ROUND((((Q1582*60)/'Gearing Calculator'!$C$14)*'Track Data'!P1582),-2))</f>
        <v>11300</v>
      </c>
      <c r="T1582" s="16">
        <f t="shared" si="174"/>
        <v>4.8684172215804464</v>
      </c>
      <c r="U1582" s="16">
        <f>IF(AC1582=100,Braking!$AG$2354,IF(AC1582=50,Braking!$AG$1179,IF(AC1582=75,Braking!$AG$1767,0)))</f>
        <v>0</v>
      </c>
      <c r="V1582" s="16">
        <f>0.5*'Gearing Calculator'!$C$15*'Gearing Calculator'!$C$20*'Gearing Calculator'!$W$20*('Track Data'!Q1582^2)</f>
        <v>175.51088729767034</v>
      </c>
      <c r="W1582" s="16">
        <f>('Gearing Calculator'!$U$9*'Track Data'!T1582)+'Track Data'!V1582</f>
        <v>1471.483551682385</v>
      </c>
      <c r="X1582" s="16">
        <f>('Gearing Calculator'!$U$9*9.81)*('Gearing Calculator'!$U$16/'Gearing Calculator'!$C$7)-(('Track Data'!W1582)*('Gearing Calculator'!$U$17/'Gearing Calculator'!$C$7))</f>
        <v>599.10327122810259</v>
      </c>
      <c r="Y1582" s="16">
        <f>('Gearing Calculator'!$U$9*9.81)*(('Gearing Calculator'!$C$7-'Gearing Calculator'!$U$16)/'Gearing Calculator'!$C$7)+(('Track Data'!W1582)*('Gearing Calculator'!$U$17/'Gearing Calculator'!$C$7))</f>
        <v>2012.3187287718974</v>
      </c>
      <c r="Z1582" s="16">
        <f>((X1582*COS('Gearing Calculator'!$C$21))/'Gearing Calculator'!$C$22)/2</f>
        <v>18.522378344160657</v>
      </c>
      <c r="AA1582" s="16">
        <f>Y1582/'Gearing Calculator'!$C$24</f>
        <v>28.098718863618522</v>
      </c>
      <c r="AB1582" s="16">
        <f t="shared" si="170"/>
        <v>194.98455618399211</v>
      </c>
      <c r="AC1582" s="16">
        <v>0</v>
      </c>
      <c r="AD1582" s="16">
        <v>0</v>
      </c>
      <c r="AE1582" s="16">
        <v>1579</v>
      </c>
      <c r="AF1582" s="16">
        <f>IF(AC1582=0,IF(O1582=6,INDEX(Acceleration!$V$4:$V$110,MATCH('Track Data'!S1582,Acceleration!$K$4:$K$110,0)),IF('Track Data'!O1582=5,INDEX(Acceleration!$U$4:$U$110,MATCH('Track Data'!S1582,Acceleration!$K$4:$K$110,0)),1)),U1582)</f>
        <v>1</v>
      </c>
      <c r="AG1582" s="16">
        <f>IF(AC1582=0,IF(O1582=4,INDEX(Acceleration!$T$4:$T$110,MATCH('Track Data'!S1582,Acceleration!$K$4:$K$110,0)),IF('Track Data'!O1582=3,INDEX(Acceleration!$S$4:$S$110,MATCH('Track Data'!S1582,Acceleration!$K$4:$K$110,0)),'Track Data'!AF1582)),'Track Data'!U1582)</f>
        <v>4.8684172215804464</v>
      </c>
      <c r="AH1582" s="16">
        <f>IF(AC1582=0,IF(O1582=2,INDEX(Acceleration!$R$4:$R$110,MATCH('Track Data'!S1582,Acceleration!$K$4:$K$110,0)),IF('Track Data'!O1582=1,INDEX(Acceleration!$Q$4:$Q$110,MATCH('Track Data'!S1582,Acceleration!$K$4:$K$110,0)),'Track Data'!AG1582)),'Track Data'!U1582)</f>
        <v>4.8684172215804464</v>
      </c>
    </row>
    <row r="1583" spans="2:34" x14ac:dyDescent="0.25">
      <c r="B1583" s="16">
        <v>240.554</v>
      </c>
      <c r="C1583" s="16">
        <v>8853</v>
      </c>
      <c r="D1583" s="16">
        <v>1580</v>
      </c>
      <c r="E1583" s="113">
        <v>171</v>
      </c>
      <c r="F1583" s="113">
        <v>171</v>
      </c>
      <c r="G1583" s="113">
        <v>169.7</v>
      </c>
      <c r="H1583" s="113">
        <f t="shared" si="173"/>
        <v>47.138888888888886</v>
      </c>
      <c r="I1583" s="113">
        <v>7.2</v>
      </c>
      <c r="J1583" s="113">
        <v>13.79</v>
      </c>
      <c r="K1583" s="113">
        <v>5.0999999999999996</v>
      </c>
      <c r="L1583" s="185"/>
      <c r="M1583" s="16">
        <v>1580</v>
      </c>
      <c r="N1583" s="16">
        <f t="shared" si="175"/>
        <v>2.4485083578915493E-2</v>
      </c>
      <c r="O1583" s="16">
        <v>4</v>
      </c>
      <c r="P1583" s="16">
        <f t="shared" si="171"/>
        <v>9.1833785004516724</v>
      </c>
      <c r="Q1583" s="16">
        <f t="shared" si="176"/>
        <v>40.841192017049778</v>
      </c>
      <c r="R1583" s="113">
        <f t="shared" si="172"/>
        <v>329.49099999999999</v>
      </c>
      <c r="S1583" s="16">
        <f>IF(S1582=15800,15800,ROUND((((Q1583*60)/'Gearing Calculator'!$C$14)*'Track Data'!P1583),-2))</f>
        <v>11400</v>
      </c>
      <c r="T1583" s="16">
        <f t="shared" si="174"/>
        <v>4.8145114177629384</v>
      </c>
      <c r="U1583" s="16">
        <f>IF(AC1583=100,Braking!$AG$2354,IF(AC1583=50,Braking!$AG$1179,IF(AC1583=75,Braking!$AG$1767,0)))</f>
        <v>0</v>
      </c>
      <c r="V1583" s="16">
        <f>0.5*'Gearing Calculator'!$C$15*'Gearing Calculator'!$C$20*'Gearing Calculator'!$W$20*('Track Data'!Q1583^2)</f>
        <v>176.54143385513444</v>
      </c>
      <c r="W1583" s="16">
        <f>('Gearing Calculator'!$U$9*'Track Data'!T1583)+'Track Data'!V1583</f>
        <v>1458.1643732636287</v>
      </c>
      <c r="X1583" s="16">
        <f>('Gearing Calculator'!$U$9*9.81)*('Gearing Calculator'!$U$16/'Gearing Calculator'!$C$7)-(('Track Data'!W1583)*('Gearing Calculator'!$U$17/'Gearing Calculator'!$C$7))</f>
        <v>606.36313308274134</v>
      </c>
      <c r="Y1583" s="16">
        <f>('Gearing Calculator'!$U$9*9.81)*(('Gearing Calculator'!$C$7-'Gearing Calculator'!$U$16)/'Gearing Calculator'!$C$7)+(('Track Data'!W1583)*('Gearing Calculator'!$U$17/'Gearing Calculator'!$C$7))</f>
        <v>2005.0588669172587</v>
      </c>
      <c r="Z1583" s="16">
        <f>((X1583*COS('Gearing Calculator'!$C$21))/'Gearing Calculator'!$C$22)/2</f>
        <v>18.746830311719286</v>
      </c>
      <c r="AA1583" s="16">
        <f>Y1583/'Gearing Calculator'!$C$24</f>
        <v>27.99734684221578</v>
      </c>
      <c r="AB1583" s="16">
        <f t="shared" si="170"/>
        <v>195.79947952618619</v>
      </c>
      <c r="AC1583" s="16">
        <v>0</v>
      </c>
      <c r="AD1583" s="16">
        <v>0</v>
      </c>
      <c r="AE1583" s="16">
        <v>1580</v>
      </c>
      <c r="AF1583" s="16">
        <f>IF(AC1583=0,IF(O1583=6,INDEX(Acceleration!$V$4:$V$110,MATCH('Track Data'!S1583,Acceleration!$K$4:$K$110,0)),IF('Track Data'!O1583=5,INDEX(Acceleration!$U$4:$U$110,MATCH('Track Data'!S1583,Acceleration!$K$4:$K$110,0)),1)),U1583)</f>
        <v>1</v>
      </c>
      <c r="AG1583" s="16">
        <f>IF(AC1583=0,IF(O1583=4,INDEX(Acceleration!$T$4:$T$110,MATCH('Track Data'!S1583,Acceleration!$K$4:$K$110,0)),IF('Track Data'!O1583=3,INDEX(Acceleration!$S$4:$S$110,MATCH('Track Data'!S1583,Acceleration!$K$4:$K$110,0)),'Track Data'!AF1583)),'Track Data'!U1583)</f>
        <v>4.8145114177629384</v>
      </c>
      <c r="AH1583" s="16">
        <f>IF(AC1583=0,IF(O1583=2,INDEX(Acceleration!$R$4:$R$110,MATCH('Track Data'!S1583,Acceleration!$K$4:$K$110,0)),IF('Track Data'!O1583=1,INDEX(Acceleration!$Q$4:$Q$110,MATCH('Track Data'!S1583,Acceleration!$K$4:$K$110,0)),'Track Data'!AG1583)),'Track Data'!U1583)</f>
        <v>4.8145114177629384</v>
      </c>
    </row>
    <row r="1584" spans="2:34" x14ac:dyDescent="0.25">
      <c r="B1584" s="16">
        <v>240.57400000000001</v>
      </c>
      <c r="C1584" s="16">
        <v>8854</v>
      </c>
      <c r="D1584" s="16">
        <v>1581</v>
      </c>
      <c r="E1584" s="113">
        <v>172</v>
      </c>
      <c r="F1584" s="113">
        <v>171.4</v>
      </c>
      <c r="G1584" s="113">
        <v>170</v>
      </c>
      <c r="H1584" s="113">
        <f t="shared" si="173"/>
        <v>47.222222222222221</v>
      </c>
      <c r="I1584" s="113">
        <v>5.8</v>
      </c>
      <c r="J1584" s="113">
        <v>14.33</v>
      </c>
      <c r="K1584" s="113">
        <v>5</v>
      </c>
      <c r="L1584" s="185"/>
      <c r="M1584" s="16">
        <v>1581</v>
      </c>
      <c r="N1584" s="16">
        <f t="shared" si="175"/>
        <v>2.4414714537713121E-2</v>
      </c>
      <c r="O1584" s="16">
        <v>4</v>
      </c>
      <c r="P1584" s="16">
        <f t="shared" si="171"/>
        <v>9.1833785004516724</v>
      </c>
      <c r="Q1584" s="16">
        <f t="shared" si="176"/>
        <v>40.958906091460207</v>
      </c>
      <c r="R1584" s="113">
        <f t="shared" si="172"/>
        <v>329.49099999999999</v>
      </c>
      <c r="S1584" s="16">
        <f>IF(S1583=15800,15800,ROUND((((Q1584*60)/'Gearing Calculator'!$C$14)*'Track Data'!P1584),-2))</f>
        <v>11400</v>
      </c>
      <c r="T1584" s="16">
        <f t="shared" si="174"/>
        <v>4.8145114177629384</v>
      </c>
      <c r="U1584" s="16">
        <f>IF(AC1584=100,Braking!$AG$2354,IF(AC1584=50,Braking!$AG$1179,IF(AC1584=75,Braking!$AG$1767,0)))</f>
        <v>0</v>
      </c>
      <c r="V1584" s="16">
        <f>0.5*'Gearing Calculator'!$C$15*'Gearing Calculator'!$C$20*'Gearing Calculator'!$W$20*('Track Data'!Q1584^2)</f>
        <v>177.56056963204648</v>
      </c>
      <c r="W1584" s="16">
        <f>('Gearing Calculator'!$U$9*'Track Data'!T1584)+'Track Data'!V1584</f>
        <v>1459.1835090405407</v>
      </c>
      <c r="X1584" s="16">
        <f>('Gearing Calculator'!$U$9*9.81)*('Gearing Calculator'!$U$16/'Gearing Calculator'!$C$7)-(('Track Data'!W1584)*('Gearing Calculator'!$U$17/'Gearing Calculator'!$C$7))</f>
        <v>605.80763448373762</v>
      </c>
      <c r="Y1584" s="16">
        <f>('Gearing Calculator'!$U$9*9.81)*(('Gearing Calculator'!$C$7-'Gearing Calculator'!$U$16)/'Gearing Calculator'!$C$7)+(('Track Data'!W1584)*('Gearing Calculator'!$U$17/'Gearing Calculator'!$C$7))</f>
        <v>2005.6143655162623</v>
      </c>
      <c r="Z1584" s="16">
        <f>((X1584*COS('Gearing Calculator'!$C$21))/'Gearing Calculator'!$C$22)/2</f>
        <v>18.729656051930476</v>
      </c>
      <c r="AA1584" s="16">
        <f>Y1584/'Gearing Calculator'!$C$24</f>
        <v>28.00510346582583</v>
      </c>
      <c r="AB1584" s="16">
        <f t="shared" si="170"/>
        <v>196.81861530309823</v>
      </c>
      <c r="AC1584" s="16">
        <v>0</v>
      </c>
      <c r="AD1584" s="16">
        <v>0</v>
      </c>
      <c r="AE1584" s="16">
        <v>1581</v>
      </c>
      <c r="AF1584" s="16">
        <f>IF(AC1584=0,IF(O1584=6,INDEX(Acceleration!$V$4:$V$110,MATCH('Track Data'!S1584,Acceleration!$K$4:$K$110,0)),IF('Track Data'!O1584=5,INDEX(Acceleration!$U$4:$U$110,MATCH('Track Data'!S1584,Acceleration!$K$4:$K$110,0)),1)),U1584)</f>
        <v>1</v>
      </c>
      <c r="AG1584" s="16">
        <f>IF(AC1584=0,IF(O1584=4,INDEX(Acceleration!$T$4:$T$110,MATCH('Track Data'!S1584,Acceleration!$K$4:$K$110,0)),IF('Track Data'!O1584=3,INDEX(Acceleration!$S$4:$S$110,MATCH('Track Data'!S1584,Acceleration!$K$4:$K$110,0)),'Track Data'!AF1584)),'Track Data'!U1584)</f>
        <v>4.8145114177629384</v>
      </c>
      <c r="AH1584" s="16">
        <f>IF(AC1584=0,IF(O1584=2,INDEX(Acceleration!$R$4:$R$110,MATCH('Track Data'!S1584,Acceleration!$K$4:$K$110,0)),IF('Track Data'!O1584=1,INDEX(Acceleration!$Q$4:$Q$110,MATCH('Track Data'!S1584,Acceleration!$K$4:$K$110,0)),'Track Data'!AG1584)),'Track Data'!U1584)</f>
        <v>4.8145114177629384</v>
      </c>
    </row>
    <row r="1585" spans="2:34" x14ac:dyDescent="0.25">
      <c r="B1585" s="16">
        <v>240.596</v>
      </c>
      <c r="C1585" s="16">
        <v>8855</v>
      </c>
      <c r="D1585" s="16">
        <v>1582</v>
      </c>
      <c r="E1585" s="113">
        <v>174</v>
      </c>
      <c r="F1585" s="113">
        <v>171.5</v>
      </c>
      <c r="G1585" s="113">
        <v>170.2</v>
      </c>
      <c r="H1585" s="113">
        <f t="shared" si="173"/>
        <v>47.277777777777771</v>
      </c>
      <c r="I1585" s="113">
        <v>4</v>
      </c>
      <c r="J1585" s="113">
        <v>16.079999999999998</v>
      </c>
      <c r="K1585" s="113">
        <v>5</v>
      </c>
      <c r="L1585" s="185"/>
      <c r="M1585" s="16">
        <v>1582</v>
      </c>
      <c r="N1585" s="16">
        <f t="shared" si="175"/>
        <v>2.4344948742416619E-2</v>
      </c>
      <c r="O1585" s="16">
        <v>4</v>
      </c>
      <c r="P1585" s="16">
        <f t="shared" si="171"/>
        <v>9.1833785004516724</v>
      </c>
      <c r="Q1585" s="16">
        <f t="shared" si="176"/>
        <v>41.076282828958391</v>
      </c>
      <c r="R1585" s="113">
        <f t="shared" si="172"/>
        <v>329.49099999999999</v>
      </c>
      <c r="S1585" s="16">
        <f>IF(S1584=15800,15800,ROUND((((Q1585*60)/'Gearing Calculator'!$C$14)*'Track Data'!P1585),-2))</f>
        <v>11400</v>
      </c>
      <c r="T1585" s="16">
        <f t="shared" si="174"/>
        <v>4.8145114177629384</v>
      </c>
      <c r="U1585" s="16">
        <f>IF(AC1585=100,Braking!$AG$2354,IF(AC1585=50,Braking!$AG$1179,IF(AC1585=75,Braking!$AG$1767,0)))</f>
        <v>0</v>
      </c>
      <c r="V1585" s="16">
        <f>0.5*'Gearing Calculator'!$C$15*'Gearing Calculator'!$C$20*'Gearing Calculator'!$W$20*('Track Data'!Q1585^2)</f>
        <v>178.57970540895852</v>
      </c>
      <c r="W1585" s="16">
        <f>('Gearing Calculator'!$U$9*'Track Data'!T1585)+'Track Data'!V1585</f>
        <v>1460.2026448174527</v>
      </c>
      <c r="X1585" s="16">
        <f>('Gearing Calculator'!$U$9*9.81)*('Gearing Calculator'!$U$16/'Gearing Calculator'!$C$7)-(('Track Data'!W1585)*('Gearing Calculator'!$U$17/'Gearing Calculator'!$C$7))</f>
        <v>605.25213588473378</v>
      </c>
      <c r="Y1585" s="16">
        <f>('Gearing Calculator'!$U$9*9.81)*(('Gearing Calculator'!$C$7-'Gearing Calculator'!$U$16)/'Gearing Calculator'!$C$7)+(('Track Data'!W1585)*('Gearing Calculator'!$U$17/'Gearing Calculator'!$C$7))</f>
        <v>2006.1698641152661</v>
      </c>
      <c r="Z1585" s="16">
        <f>((X1585*COS('Gearing Calculator'!$C$21))/'Gearing Calculator'!$C$22)/2</f>
        <v>18.712481792141659</v>
      </c>
      <c r="AA1585" s="16">
        <f>Y1585/'Gearing Calculator'!$C$24</f>
        <v>28.012860089435883</v>
      </c>
      <c r="AB1585" s="16">
        <f t="shared" si="170"/>
        <v>197.83775108001026</v>
      </c>
      <c r="AC1585" s="16">
        <v>0</v>
      </c>
      <c r="AD1585" s="16">
        <v>0</v>
      </c>
      <c r="AE1585" s="16">
        <v>1582</v>
      </c>
      <c r="AF1585" s="16">
        <f>IF(AC1585=0,IF(O1585=6,INDEX(Acceleration!$V$4:$V$110,MATCH('Track Data'!S1585,Acceleration!$K$4:$K$110,0)),IF('Track Data'!O1585=5,INDEX(Acceleration!$U$4:$U$110,MATCH('Track Data'!S1585,Acceleration!$K$4:$K$110,0)),1)),U1585)</f>
        <v>1</v>
      </c>
      <c r="AG1585" s="16">
        <f>IF(AC1585=0,IF(O1585=4,INDEX(Acceleration!$T$4:$T$110,MATCH('Track Data'!S1585,Acceleration!$K$4:$K$110,0)),IF('Track Data'!O1585=3,INDEX(Acceleration!$S$4:$S$110,MATCH('Track Data'!S1585,Acceleration!$K$4:$K$110,0)),'Track Data'!AF1585)),'Track Data'!U1585)</f>
        <v>4.8145114177629384</v>
      </c>
      <c r="AH1585" s="16">
        <f>IF(AC1585=0,IF(O1585=2,INDEX(Acceleration!$R$4:$R$110,MATCH('Track Data'!S1585,Acceleration!$K$4:$K$110,0)),IF('Track Data'!O1585=1,INDEX(Acceleration!$Q$4:$Q$110,MATCH('Track Data'!S1585,Acceleration!$K$4:$K$110,0)),'Track Data'!AG1585)),'Track Data'!U1585)</f>
        <v>4.8145114177629384</v>
      </c>
    </row>
    <row r="1586" spans="2:34" x14ac:dyDescent="0.25">
      <c r="B1586" s="16">
        <v>240.61600000000001</v>
      </c>
      <c r="C1586" s="16">
        <v>8856</v>
      </c>
      <c r="D1586" s="16">
        <v>1583</v>
      </c>
      <c r="E1586" s="113">
        <v>173</v>
      </c>
      <c r="F1586" s="113">
        <v>171.8</v>
      </c>
      <c r="G1586" s="113">
        <v>170.5</v>
      </c>
      <c r="H1586" s="113">
        <f t="shared" si="173"/>
        <v>47.361111111111107</v>
      </c>
      <c r="I1586" s="113">
        <v>4</v>
      </c>
      <c r="J1586" s="113">
        <v>17.59</v>
      </c>
      <c r="K1586" s="113">
        <v>5</v>
      </c>
      <c r="L1586" s="185"/>
      <c r="M1586" s="16">
        <v>1583</v>
      </c>
      <c r="N1586" s="16">
        <f t="shared" si="175"/>
        <v>2.4275777623012439E-2</v>
      </c>
      <c r="O1586" s="16">
        <v>4</v>
      </c>
      <c r="P1586" s="16">
        <f t="shared" si="171"/>
        <v>9.1833785004516724</v>
      </c>
      <c r="Q1586" s="16">
        <f t="shared" si="176"/>
        <v>41.193325113179533</v>
      </c>
      <c r="R1586" s="113">
        <f t="shared" si="172"/>
        <v>329.49099999999999</v>
      </c>
      <c r="S1586" s="16">
        <f>IF(S1585=15800,15800,ROUND((((Q1586*60)/'Gearing Calculator'!$C$14)*'Track Data'!P1586),-2))</f>
        <v>11500</v>
      </c>
      <c r="T1586" s="16">
        <f t="shared" si="174"/>
        <v>4.7613465980864698</v>
      </c>
      <c r="U1586" s="16">
        <f>IF(AC1586=100,Braking!$AG$2354,IF(AC1586=50,Braking!$AG$1179,IF(AC1586=75,Braking!$AG$1767,0)))</f>
        <v>0</v>
      </c>
      <c r="V1586" s="16">
        <f>0.5*'Gearing Calculator'!$C$15*'Gearing Calculator'!$C$20*'Gearing Calculator'!$W$20*('Track Data'!Q1586^2)</f>
        <v>179.59884118587058</v>
      </c>
      <c r="W1586" s="16">
        <f>('Gearing Calculator'!$U$9*'Track Data'!T1586)+'Track Data'!V1586</f>
        <v>1447.0693055964889</v>
      </c>
      <c r="X1586" s="16">
        <f>('Gearing Calculator'!$U$9*9.81)*('Gearing Calculator'!$U$16/'Gearing Calculator'!$C$7)-(('Track Data'!W1586)*('Gearing Calculator'!$U$17/'Gearing Calculator'!$C$7))</f>
        <v>612.41070268492297</v>
      </c>
      <c r="Y1586" s="16">
        <f>('Gearing Calculator'!$U$9*9.81)*(('Gearing Calculator'!$C$7-'Gearing Calculator'!$U$16)/'Gearing Calculator'!$C$7)+(('Track Data'!W1586)*('Gearing Calculator'!$U$17/'Gearing Calculator'!$C$7))</f>
        <v>1999.0112973150772</v>
      </c>
      <c r="Z1586" s="16">
        <f>((X1586*COS('Gearing Calculator'!$C$21))/'Gearing Calculator'!$C$22)/2</f>
        <v>18.933802036985668</v>
      </c>
      <c r="AA1586" s="16">
        <f>Y1586/'Gearing Calculator'!$C$24</f>
        <v>27.912902486741551</v>
      </c>
      <c r="AB1586" s="16">
        <f t="shared" si="170"/>
        <v>198.64422757821646</v>
      </c>
      <c r="AC1586" s="16">
        <v>0</v>
      </c>
      <c r="AD1586" s="16">
        <v>0</v>
      </c>
      <c r="AE1586" s="16">
        <v>1583</v>
      </c>
      <c r="AF1586" s="16">
        <f>IF(AC1586=0,IF(O1586=6,INDEX(Acceleration!$V$4:$V$110,MATCH('Track Data'!S1586,Acceleration!$K$4:$K$110,0)),IF('Track Data'!O1586=5,INDEX(Acceleration!$U$4:$U$110,MATCH('Track Data'!S1586,Acceleration!$K$4:$K$110,0)),1)),U1586)</f>
        <v>1</v>
      </c>
      <c r="AG1586" s="16">
        <f>IF(AC1586=0,IF(O1586=4,INDEX(Acceleration!$T$4:$T$110,MATCH('Track Data'!S1586,Acceleration!$K$4:$K$110,0)),IF('Track Data'!O1586=3,INDEX(Acceleration!$S$4:$S$110,MATCH('Track Data'!S1586,Acceleration!$K$4:$K$110,0)),'Track Data'!AF1586)),'Track Data'!U1586)</f>
        <v>4.7613465980864698</v>
      </c>
      <c r="AH1586" s="16">
        <f>IF(AC1586=0,IF(O1586=2,INDEX(Acceleration!$R$4:$R$110,MATCH('Track Data'!S1586,Acceleration!$K$4:$K$110,0)),IF('Track Data'!O1586=1,INDEX(Acceleration!$Q$4:$Q$110,MATCH('Track Data'!S1586,Acceleration!$K$4:$K$110,0)),'Track Data'!AG1586)),'Track Data'!U1586)</f>
        <v>4.7613465980864698</v>
      </c>
    </row>
    <row r="1587" spans="2:34" x14ac:dyDescent="0.25">
      <c r="B1587" s="16">
        <v>240.637</v>
      </c>
      <c r="C1587" s="16">
        <v>8857</v>
      </c>
      <c r="D1587" s="16">
        <v>1584</v>
      </c>
      <c r="E1587" s="113">
        <v>172</v>
      </c>
      <c r="F1587" s="113">
        <v>172.2</v>
      </c>
      <c r="G1587" s="113">
        <v>170.8</v>
      </c>
      <c r="H1587" s="113">
        <f t="shared" si="173"/>
        <v>47.44444444444445</v>
      </c>
      <c r="I1587" s="113">
        <v>5.4</v>
      </c>
      <c r="J1587" s="113">
        <v>15.78</v>
      </c>
      <c r="K1587" s="113">
        <v>5</v>
      </c>
      <c r="L1587" s="185"/>
      <c r="M1587" s="16">
        <v>1584</v>
      </c>
      <c r="N1587" s="16">
        <f t="shared" si="175"/>
        <v>2.4207946964037649E-2</v>
      </c>
      <c r="O1587" s="16">
        <v>4</v>
      </c>
      <c r="P1587" s="16">
        <f t="shared" si="171"/>
        <v>9.1833785004516724</v>
      </c>
      <c r="Q1587" s="16">
        <f t="shared" si="176"/>
        <v>41.308748795821458</v>
      </c>
      <c r="R1587" s="113">
        <f t="shared" si="172"/>
        <v>329.49099999999999</v>
      </c>
      <c r="S1587" s="16">
        <f>IF(S1586=15800,15800,ROUND((((Q1587*60)/'Gearing Calculator'!$C$14)*'Track Data'!P1587),-2))</f>
        <v>11500</v>
      </c>
      <c r="T1587" s="16">
        <f t="shared" si="174"/>
        <v>4.7613465980864698</v>
      </c>
      <c r="U1587" s="16">
        <f>IF(AC1587=100,Braking!$AG$2354,IF(AC1587=50,Braking!$AG$1179,IF(AC1587=75,Braking!$AG$1767,0)))</f>
        <v>0</v>
      </c>
      <c r="V1587" s="16">
        <f>0.5*'Gearing Calculator'!$C$15*'Gearing Calculator'!$C$20*'Gearing Calculator'!$W$20*('Track Data'!Q1587^2)</f>
        <v>180.60672303375355</v>
      </c>
      <c r="W1587" s="16">
        <f>('Gearing Calculator'!$U$9*'Track Data'!T1587)+'Track Data'!V1587</f>
        <v>1448.0771874443717</v>
      </c>
      <c r="X1587" s="16">
        <f>('Gearing Calculator'!$U$9*9.81)*('Gearing Calculator'!$U$16/'Gearing Calculator'!$C$7)-(('Track Data'!W1587)*('Gearing Calculator'!$U$17/'Gearing Calculator'!$C$7))</f>
        <v>611.86133824581293</v>
      </c>
      <c r="Y1587" s="16">
        <f>('Gearing Calculator'!$U$9*9.81)*(('Gearing Calculator'!$C$7-'Gearing Calculator'!$U$16)/'Gearing Calculator'!$C$7)+(('Track Data'!W1587)*('Gearing Calculator'!$U$17/'Gearing Calculator'!$C$7))</f>
        <v>1999.5606617541871</v>
      </c>
      <c r="Z1587" s="16">
        <f>((X1587*COS('Gearing Calculator'!$C$21))/'Gearing Calculator'!$C$22)/2</f>
        <v>18.916817426020078</v>
      </c>
      <c r="AA1587" s="16">
        <f>Y1587/'Gearing Calculator'!$C$24</f>
        <v>27.920573456905228</v>
      </c>
      <c r="AB1587" s="16">
        <f t="shared" si="170"/>
        <v>199.65210942609943</v>
      </c>
      <c r="AC1587" s="16">
        <v>0</v>
      </c>
      <c r="AD1587" s="16">
        <v>0</v>
      </c>
      <c r="AE1587" s="16">
        <v>1584</v>
      </c>
      <c r="AF1587" s="16">
        <f>IF(AC1587=0,IF(O1587=6,INDEX(Acceleration!$V$4:$V$110,MATCH('Track Data'!S1587,Acceleration!$K$4:$K$110,0)),IF('Track Data'!O1587=5,INDEX(Acceleration!$U$4:$U$110,MATCH('Track Data'!S1587,Acceleration!$K$4:$K$110,0)),1)),U1587)</f>
        <v>1</v>
      </c>
      <c r="AG1587" s="16">
        <f>IF(AC1587=0,IF(O1587=4,INDEX(Acceleration!$T$4:$T$110,MATCH('Track Data'!S1587,Acceleration!$K$4:$K$110,0)),IF('Track Data'!O1587=3,INDEX(Acceleration!$S$4:$S$110,MATCH('Track Data'!S1587,Acceleration!$K$4:$K$110,0)),'Track Data'!AF1587)),'Track Data'!U1587)</f>
        <v>4.7613465980864698</v>
      </c>
      <c r="AH1587" s="16">
        <f>IF(AC1587=0,IF(O1587=2,INDEX(Acceleration!$R$4:$R$110,MATCH('Track Data'!S1587,Acceleration!$K$4:$K$110,0)),IF('Track Data'!O1587=1,INDEX(Acceleration!$Q$4:$Q$110,MATCH('Track Data'!S1587,Acceleration!$K$4:$K$110,0)),'Track Data'!AG1587)),'Track Data'!U1587)</f>
        <v>4.7613465980864698</v>
      </c>
    </row>
    <row r="1588" spans="2:34" x14ac:dyDescent="0.25">
      <c r="B1588" s="16">
        <v>240.65799999999999</v>
      </c>
      <c r="C1588" s="16">
        <v>8858</v>
      </c>
      <c r="D1588" s="16">
        <v>1585</v>
      </c>
      <c r="E1588" s="113">
        <v>173</v>
      </c>
      <c r="F1588" s="113">
        <v>172.4</v>
      </c>
      <c r="G1588" s="113">
        <v>171.1</v>
      </c>
      <c r="H1588" s="113">
        <f t="shared" si="173"/>
        <v>47.527777777777779</v>
      </c>
      <c r="I1588" s="113">
        <v>6.2</v>
      </c>
      <c r="J1588" s="113">
        <v>15.46</v>
      </c>
      <c r="K1588" s="113">
        <v>4.7</v>
      </c>
      <c r="L1588" s="185"/>
      <c r="M1588" s="16">
        <v>1585</v>
      </c>
      <c r="N1588" s="16">
        <f t="shared" si="175"/>
        <v>2.4140681737223006E-2</v>
      </c>
      <c r="O1588" s="16">
        <v>4</v>
      </c>
      <c r="P1588" s="16">
        <f t="shared" si="171"/>
        <v>9.1833785004516724</v>
      </c>
      <c r="Q1588" s="16">
        <f t="shared" si="176"/>
        <v>41.423850862425304</v>
      </c>
      <c r="R1588" s="113">
        <f t="shared" si="172"/>
        <v>329.49099999999999</v>
      </c>
      <c r="S1588" s="16">
        <f>IF(S1587=15800,15800,ROUND((((Q1588*60)/'Gearing Calculator'!$C$14)*'Track Data'!P1588),-2))</f>
        <v>11500</v>
      </c>
      <c r="T1588" s="16">
        <f t="shared" si="174"/>
        <v>4.7613465980864698</v>
      </c>
      <c r="U1588" s="16">
        <f>IF(AC1588=100,Braking!$AG$2354,IF(AC1588=50,Braking!$AG$1179,IF(AC1588=75,Braking!$AG$1767,0)))</f>
        <v>0</v>
      </c>
      <c r="V1588" s="16">
        <f>0.5*'Gearing Calculator'!$C$15*'Gearing Calculator'!$C$20*'Gearing Calculator'!$W$20*('Track Data'!Q1588^2)</f>
        <v>181.6146048816365</v>
      </c>
      <c r="W1588" s="16">
        <f>('Gearing Calculator'!$U$9*'Track Data'!T1588)+'Track Data'!V1588</f>
        <v>1449.0850692922547</v>
      </c>
      <c r="X1588" s="16">
        <f>('Gearing Calculator'!$U$9*9.81)*('Gearing Calculator'!$U$16/'Gearing Calculator'!$C$7)-(('Track Data'!W1588)*('Gearing Calculator'!$U$17/'Gearing Calculator'!$C$7))</f>
        <v>611.31197380670267</v>
      </c>
      <c r="Y1588" s="16">
        <f>('Gearing Calculator'!$U$9*9.81)*(('Gearing Calculator'!$C$7-'Gearing Calculator'!$U$16)/'Gearing Calculator'!$C$7)+(('Track Data'!W1588)*('Gearing Calculator'!$U$17/'Gearing Calculator'!$C$7))</f>
        <v>2000.1100261932975</v>
      </c>
      <c r="Z1588" s="16">
        <f>((X1588*COS('Gearing Calculator'!$C$21))/'Gearing Calculator'!$C$22)/2</f>
        <v>18.899832815054477</v>
      </c>
      <c r="AA1588" s="16">
        <f>Y1588/'Gearing Calculator'!$C$24</f>
        <v>27.928244427068911</v>
      </c>
      <c r="AB1588" s="16">
        <f t="shared" si="170"/>
        <v>200.65999127398237</v>
      </c>
      <c r="AC1588" s="16">
        <v>0</v>
      </c>
      <c r="AD1588" s="16">
        <v>0</v>
      </c>
      <c r="AE1588" s="16">
        <v>1585</v>
      </c>
      <c r="AF1588" s="16">
        <f>IF(AC1588=0,IF(O1588=6,INDEX(Acceleration!$V$4:$V$110,MATCH('Track Data'!S1588,Acceleration!$K$4:$K$110,0)),IF('Track Data'!O1588=5,INDEX(Acceleration!$U$4:$U$110,MATCH('Track Data'!S1588,Acceleration!$K$4:$K$110,0)),1)),U1588)</f>
        <v>1</v>
      </c>
      <c r="AG1588" s="16">
        <f>IF(AC1588=0,IF(O1588=4,INDEX(Acceleration!$T$4:$T$110,MATCH('Track Data'!S1588,Acceleration!$K$4:$K$110,0)),IF('Track Data'!O1588=3,INDEX(Acceleration!$S$4:$S$110,MATCH('Track Data'!S1588,Acceleration!$K$4:$K$110,0)),'Track Data'!AF1588)),'Track Data'!U1588)</f>
        <v>4.7613465980864698</v>
      </c>
      <c r="AH1588" s="16">
        <f>IF(AC1588=0,IF(O1588=2,INDEX(Acceleration!$R$4:$R$110,MATCH('Track Data'!S1588,Acceleration!$K$4:$K$110,0)),IF('Track Data'!O1588=1,INDEX(Acceleration!$Q$4:$Q$110,MATCH('Track Data'!S1588,Acceleration!$K$4:$K$110,0)),'Track Data'!AG1588)),'Track Data'!U1588)</f>
        <v>4.7613465980864698</v>
      </c>
    </row>
    <row r="1589" spans="2:34" x14ac:dyDescent="0.25">
      <c r="B1589" s="16">
        <v>240.679</v>
      </c>
      <c r="C1589" s="16">
        <v>8859</v>
      </c>
      <c r="D1589" s="16">
        <v>1586</v>
      </c>
      <c r="E1589" s="113">
        <v>174</v>
      </c>
      <c r="F1589" s="113">
        <v>172.6</v>
      </c>
      <c r="G1589" s="113">
        <v>171.4</v>
      </c>
      <c r="H1589" s="113">
        <f t="shared" si="173"/>
        <v>47.611111111111114</v>
      </c>
      <c r="I1589" s="113">
        <v>6.2</v>
      </c>
      <c r="J1589" s="113">
        <v>17.21</v>
      </c>
      <c r="K1589" s="113">
        <v>4.2</v>
      </c>
      <c r="L1589" s="185"/>
      <c r="M1589" s="16">
        <v>1586</v>
      </c>
      <c r="N1589" s="16">
        <f t="shared" si="175"/>
        <v>2.4073974130294645E-2</v>
      </c>
      <c r="O1589" s="16">
        <v>4</v>
      </c>
      <c r="P1589" s="16">
        <f t="shared" si="171"/>
        <v>9.1833785004516724</v>
      </c>
      <c r="Q1589" s="16">
        <f t="shared" si="176"/>
        <v>41.538633986550721</v>
      </c>
      <c r="R1589" s="113">
        <f t="shared" si="172"/>
        <v>329.49099999999999</v>
      </c>
      <c r="S1589" s="16">
        <f>IF(S1588=15800,15800,ROUND((((Q1589*60)/'Gearing Calculator'!$C$14)*'Track Data'!P1589),-2))</f>
        <v>11600</v>
      </c>
      <c r="T1589" s="16">
        <f t="shared" si="174"/>
        <v>4.763148941458887</v>
      </c>
      <c r="U1589" s="16">
        <f>IF(AC1589=100,Braking!$AG$2354,IF(AC1589=50,Braking!$AG$1179,IF(AC1589=75,Braking!$AG$1767,0)))</f>
        <v>0</v>
      </c>
      <c r="V1589" s="16">
        <f>0.5*'Gearing Calculator'!$C$15*'Gearing Calculator'!$C$20*'Gearing Calculator'!$W$20*('Track Data'!Q1589^2)</f>
        <v>182.62248672951941</v>
      </c>
      <c r="W1589" s="16">
        <f>('Gearing Calculator'!$U$9*'Track Data'!T1589)+'Track Data'!V1589</f>
        <v>1450.572734945875</v>
      </c>
      <c r="X1589" s="16">
        <f>('Gearing Calculator'!$U$9*9.81)*('Gearing Calculator'!$U$16/'Gearing Calculator'!$C$7)-(('Track Data'!W1589)*('Gearing Calculator'!$U$17/'Gearing Calculator'!$C$7))</f>
        <v>610.50109442723851</v>
      </c>
      <c r="Y1589" s="16">
        <f>('Gearing Calculator'!$U$9*9.81)*(('Gearing Calculator'!$C$7-'Gearing Calculator'!$U$16)/'Gearing Calculator'!$C$7)+(('Track Data'!W1589)*('Gearing Calculator'!$U$17/'Gearing Calculator'!$C$7))</f>
        <v>2000.9209055727615</v>
      </c>
      <c r="Z1589" s="16">
        <f>((X1589*COS('Gearing Calculator'!$C$21))/'Gearing Calculator'!$C$22)/2</f>
        <v>18.874762989234423</v>
      </c>
      <c r="AA1589" s="16">
        <f>Y1589/'Gearing Calculator'!$C$24</f>
        <v>27.939567022933122</v>
      </c>
      <c r="AB1589" s="16">
        <f t="shared" si="170"/>
        <v>201.67508249535496</v>
      </c>
      <c r="AC1589" s="16">
        <v>0</v>
      </c>
      <c r="AD1589" s="16">
        <v>0</v>
      </c>
      <c r="AE1589" s="16">
        <v>1586</v>
      </c>
      <c r="AF1589" s="16">
        <f>IF(AC1589=0,IF(O1589=6,INDEX(Acceleration!$V$4:$V$110,MATCH('Track Data'!S1589,Acceleration!$K$4:$K$110,0)),IF('Track Data'!O1589=5,INDEX(Acceleration!$U$4:$U$110,MATCH('Track Data'!S1589,Acceleration!$K$4:$K$110,0)),1)),U1589)</f>
        <v>1</v>
      </c>
      <c r="AG1589" s="16">
        <f>IF(AC1589=0,IF(O1589=4,INDEX(Acceleration!$T$4:$T$110,MATCH('Track Data'!S1589,Acceleration!$K$4:$K$110,0)),IF('Track Data'!O1589=3,INDEX(Acceleration!$S$4:$S$110,MATCH('Track Data'!S1589,Acceleration!$K$4:$K$110,0)),'Track Data'!AF1589)),'Track Data'!U1589)</f>
        <v>4.763148941458887</v>
      </c>
      <c r="AH1589" s="16">
        <f>IF(AC1589=0,IF(O1589=2,INDEX(Acceleration!$R$4:$R$110,MATCH('Track Data'!S1589,Acceleration!$K$4:$K$110,0)),IF('Track Data'!O1589=1,INDEX(Acceleration!$Q$4:$Q$110,MATCH('Track Data'!S1589,Acceleration!$K$4:$K$110,0)),'Track Data'!AG1589)),'Track Data'!U1589)</f>
        <v>4.763148941458887</v>
      </c>
    </row>
    <row r="1590" spans="2:34" x14ac:dyDescent="0.25">
      <c r="B1590" s="16">
        <v>240.7</v>
      </c>
      <c r="C1590" s="16">
        <v>8860</v>
      </c>
      <c r="D1590" s="16">
        <v>1587</v>
      </c>
      <c r="E1590" s="113">
        <v>174</v>
      </c>
      <c r="F1590" s="113">
        <v>172.9</v>
      </c>
      <c r="G1590" s="113">
        <v>171.8</v>
      </c>
      <c r="H1590" s="113">
        <f t="shared" si="173"/>
        <v>47.722222222222221</v>
      </c>
      <c r="I1590" s="113">
        <v>5.8</v>
      </c>
      <c r="J1590" s="113">
        <v>18.87</v>
      </c>
      <c r="K1590" s="113">
        <v>3.5</v>
      </c>
      <c r="L1590" s="185"/>
      <c r="M1590" s="16">
        <v>1587</v>
      </c>
      <c r="N1590" s="16">
        <f t="shared" si="175"/>
        <v>2.4007791541353688E-2</v>
      </c>
      <c r="O1590" s="16">
        <v>4</v>
      </c>
      <c r="P1590" s="16">
        <f t="shared" si="171"/>
        <v>9.1833785004516724</v>
      </c>
      <c r="Q1590" s="16">
        <f t="shared" si="176"/>
        <v>41.653144075226116</v>
      </c>
      <c r="R1590" s="113">
        <f t="shared" si="172"/>
        <v>329.49099999999999</v>
      </c>
      <c r="S1590" s="16">
        <f>IF(S1589=15800,15800,ROUND((((Q1590*60)/'Gearing Calculator'!$C$14)*'Track Data'!P1590),-2))</f>
        <v>11600</v>
      </c>
      <c r="T1590" s="16">
        <f t="shared" si="174"/>
        <v>4.763148941458887</v>
      </c>
      <c r="U1590" s="16">
        <f>IF(AC1590=100,Braking!$AG$2354,IF(AC1590=50,Braking!$AG$1179,IF(AC1590=75,Braking!$AG$1767,0)))</f>
        <v>0</v>
      </c>
      <c r="V1590" s="16">
        <f>0.5*'Gearing Calculator'!$C$15*'Gearing Calculator'!$C$20*'Gearing Calculator'!$W$20*('Track Data'!Q1590^2)</f>
        <v>183.63075009744745</v>
      </c>
      <c r="W1590" s="16">
        <f>('Gearing Calculator'!$U$9*'Track Data'!T1590)+'Track Data'!V1590</f>
        <v>1451.5809983138031</v>
      </c>
      <c r="X1590" s="16">
        <f>('Gearing Calculator'!$U$9*9.81)*('Gearing Calculator'!$U$16/'Gearing Calculator'!$C$7)-(('Track Data'!W1590)*('Gearing Calculator'!$U$17/'Gearing Calculator'!$C$7))</f>
        <v>609.9515220336483</v>
      </c>
      <c r="Y1590" s="16">
        <f>('Gearing Calculator'!$U$9*9.81)*(('Gearing Calculator'!$C$7-'Gearing Calculator'!$U$16)/'Gearing Calculator'!$C$7)+(('Track Data'!W1590)*('Gearing Calculator'!$U$17/'Gearing Calculator'!$C$7))</f>
        <v>2001.4704779663516</v>
      </c>
      <c r="Z1590" s="16">
        <f>((X1590*COS('Gearing Calculator'!$C$21))/'Gearing Calculator'!$C$22)/2</f>
        <v>18.857771948974005</v>
      </c>
      <c r="AA1590" s="16">
        <f>Y1590/'Gearing Calculator'!$C$24</f>
        <v>27.947240896838832</v>
      </c>
      <c r="AB1590" s="16">
        <f t="shared" ref="AB1590:AB1653" si="177">(T1590*O1590)+V1590</f>
        <v>202.68334586328299</v>
      </c>
      <c r="AC1590" s="16">
        <v>0</v>
      </c>
      <c r="AD1590" s="16">
        <v>0</v>
      </c>
      <c r="AE1590" s="16">
        <v>1587</v>
      </c>
      <c r="AF1590" s="16">
        <f>IF(AC1590=0,IF(O1590=6,INDEX(Acceleration!$V$4:$V$110,MATCH('Track Data'!S1590,Acceleration!$K$4:$K$110,0)),IF('Track Data'!O1590=5,INDEX(Acceleration!$U$4:$U$110,MATCH('Track Data'!S1590,Acceleration!$K$4:$K$110,0)),1)),U1590)</f>
        <v>1</v>
      </c>
      <c r="AG1590" s="16">
        <f>IF(AC1590=0,IF(O1590=4,INDEX(Acceleration!$T$4:$T$110,MATCH('Track Data'!S1590,Acceleration!$K$4:$K$110,0)),IF('Track Data'!O1590=3,INDEX(Acceleration!$S$4:$S$110,MATCH('Track Data'!S1590,Acceleration!$K$4:$K$110,0)),'Track Data'!AF1590)),'Track Data'!U1590)</f>
        <v>4.763148941458887</v>
      </c>
      <c r="AH1590" s="16">
        <f>IF(AC1590=0,IF(O1590=2,INDEX(Acceleration!$R$4:$R$110,MATCH('Track Data'!S1590,Acceleration!$K$4:$K$110,0)),IF('Track Data'!O1590=1,INDEX(Acceleration!$Q$4:$Q$110,MATCH('Track Data'!S1590,Acceleration!$K$4:$K$110,0)),'Track Data'!AG1590)),'Track Data'!U1590)</f>
        <v>4.763148941458887</v>
      </c>
    </row>
    <row r="1591" spans="2:34" x14ac:dyDescent="0.25">
      <c r="B1591" s="16">
        <v>240.721</v>
      </c>
      <c r="C1591" s="16">
        <v>8861</v>
      </c>
      <c r="D1591" s="16">
        <v>1588</v>
      </c>
      <c r="E1591" s="113">
        <v>174</v>
      </c>
      <c r="F1591" s="113">
        <v>173.1</v>
      </c>
      <c r="G1591" s="113">
        <v>172.1</v>
      </c>
      <c r="H1591" s="113">
        <f t="shared" si="173"/>
        <v>47.80555555555555</v>
      </c>
      <c r="I1591" s="113">
        <v>5.8</v>
      </c>
      <c r="J1591" s="113">
        <v>16.82</v>
      </c>
      <c r="K1591" s="113">
        <v>3.4</v>
      </c>
      <c r="L1591" s="185"/>
      <c r="M1591" s="16">
        <v>1588</v>
      </c>
      <c r="N1591" s="16">
        <f t="shared" si="175"/>
        <v>2.3942151802838842E-2</v>
      </c>
      <c r="O1591" s="16">
        <v>4</v>
      </c>
      <c r="P1591" s="16">
        <f t="shared" si="171"/>
        <v>9.1833785004516724</v>
      </c>
      <c r="Q1591" s="16">
        <f t="shared" si="176"/>
        <v>41.767340222169551</v>
      </c>
      <c r="R1591" s="113">
        <f t="shared" si="172"/>
        <v>329.49099999999999</v>
      </c>
      <c r="S1591" s="16">
        <f>IF(S1590=15800,15800,ROUND((((Q1591*60)/'Gearing Calculator'!$C$14)*'Track Data'!P1591),-2))</f>
        <v>11600</v>
      </c>
      <c r="T1591" s="16">
        <f t="shared" si="174"/>
        <v>4.763148941458887</v>
      </c>
      <c r="U1591" s="16">
        <f>IF(AC1591=100,Braking!$AG$2354,IF(AC1591=50,Braking!$AG$1179,IF(AC1591=75,Braking!$AG$1767,0)))</f>
        <v>0</v>
      </c>
      <c r="V1591" s="16">
        <f>0.5*'Gearing Calculator'!$C$15*'Gearing Calculator'!$C$20*'Gearing Calculator'!$W$20*('Track Data'!Q1591^2)</f>
        <v>184.63901346537548</v>
      </c>
      <c r="W1591" s="16">
        <f>('Gearing Calculator'!$U$9*'Track Data'!T1591)+'Track Data'!V1591</f>
        <v>1452.5892616817312</v>
      </c>
      <c r="X1591" s="16">
        <f>('Gearing Calculator'!$U$9*9.81)*('Gearing Calculator'!$U$16/'Gearing Calculator'!$C$7)-(('Track Data'!W1591)*('Gearing Calculator'!$U$17/'Gearing Calculator'!$C$7))</f>
        <v>609.40194964005809</v>
      </c>
      <c r="Y1591" s="16">
        <f>('Gearing Calculator'!$U$9*9.81)*(('Gearing Calculator'!$C$7-'Gearing Calculator'!$U$16)/'Gearing Calculator'!$C$7)+(('Track Data'!W1591)*('Gearing Calculator'!$U$17/'Gearing Calculator'!$C$7))</f>
        <v>2002.0200503599419</v>
      </c>
      <c r="Z1591" s="16">
        <f>((X1591*COS('Gearing Calculator'!$C$21))/'Gearing Calculator'!$C$22)/2</f>
        <v>18.84078090871359</v>
      </c>
      <c r="AA1591" s="16">
        <f>Y1591/'Gearing Calculator'!$C$24</f>
        <v>27.954914770744544</v>
      </c>
      <c r="AB1591" s="16">
        <f t="shared" si="177"/>
        <v>203.69160923121103</v>
      </c>
      <c r="AC1591" s="16">
        <v>0</v>
      </c>
      <c r="AD1591" s="16">
        <v>0</v>
      </c>
      <c r="AE1591" s="16">
        <v>1588</v>
      </c>
      <c r="AF1591" s="16">
        <f>IF(AC1591=0,IF(O1591=6,INDEX(Acceleration!$V$4:$V$110,MATCH('Track Data'!S1591,Acceleration!$K$4:$K$110,0)),IF('Track Data'!O1591=5,INDEX(Acceleration!$U$4:$U$110,MATCH('Track Data'!S1591,Acceleration!$K$4:$K$110,0)),1)),U1591)</f>
        <v>1</v>
      </c>
      <c r="AG1591" s="16">
        <f>IF(AC1591=0,IF(O1591=4,INDEX(Acceleration!$T$4:$T$110,MATCH('Track Data'!S1591,Acceleration!$K$4:$K$110,0)),IF('Track Data'!O1591=3,INDEX(Acceleration!$S$4:$S$110,MATCH('Track Data'!S1591,Acceleration!$K$4:$K$110,0)),'Track Data'!AF1591)),'Track Data'!U1591)</f>
        <v>4.763148941458887</v>
      </c>
      <c r="AH1591" s="16">
        <f>IF(AC1591=0,IF(O1591=2,INDEX(Acceleration!$R$4:$R$110,MATCH('Track Data'!S1591,Acceleration!$K$4:$K$110,0)),IF('Track Data'!O1591=1,INDEX(Acceleration!$Q$4:$Q$110,MATCH('Track Data'!S1591,Acceleration!$K$4:$K$110,0)),'Track Data'!AG1591)),'Track Data'!U1591)</f>
        <v>4.763148941458887</v>
      </c>
    </row>
    <row r="1592" spans="2:34" x14ac:dyDescent="0.25">
      <c r="B1592" s="16">
        <v>240.74100000000001</v>
      </c>
      <c r="C1592" s="16">
        <v>8862</v>
      </c>
      <c r="D1592" s="16">
        <v>1589</v>
      </c>
      <c r="E1592" s="113">
        <v>175</v>
      </c>
      <c r="F1592" s="113">
        <v>173.4</v>
      </c>
      <c r="G1592" s="113">
        <v>172.3</v>
      </c>
      <c r="H1592" s="113">
        <f t="shared" si="173"/>
        <v>47.861111111111114</v>
      </c>
      <c r="I1592" s="113">
        <v>5.8</v>
      </c>
      <c r="J1592" s="113">
        <v>15.65</v>
      </c>
      <c r="K1592" s="113">
        <v>4.9000000000000004</v>
      </c>
      <c r="L1592" s="185"/>
      <c r="M1592" s="16">
        <v>1589</v>
      </c>
      <c r="N1592" s="16">
        <f t="shared" si="175"/>
        <v>2.3877047534050077E-2</v>
      </c>
      <c r="O1592" s="16">
        <v>4</v>
      </c>
      <c r="P1592" s="16">
        <f t="shared" si="171"/>
        <v>9.1833785004516724</v>
      </c>
      <c r="Q1592" s="16">
        <f t="shared" si="176"/>
        <v>41.881224995424624</v>
      </c>
      <c r="R1592" s="113">
        <f t="shared" si="172"/>
        <v>329.49099999999999</v>
      </c>
      <c r="S1592" s="16">
        <f>IF(S1591=15800,15800,ROUND((((Q1592*60)/'Gearing Calculator'!$C$14)*'Track Data'!P1592),-2))</f>
        <v>11700</v>
      </c>
      <c r="T1592" s="16">
        <f t="shared" si="174"/>
        <v>4.7647239379777231</v>
      </c>
      <c r="U1592" s="16">
        <f>IF(AC1592=100,Braking!$AG$2354,IF(AC1592=50,Braking!$AG$1179,IF(AC1592=75,Braking!$AG$1767,0)))</f>
        <v>0</v>
      </c>
      <c r="V1592" s="16">
        <f>0.5*'Gearing Calculator'!$C$15*'Gearing Calculator'!$C$20*'Gearing Calculator'!$W$20*('Track Data'!Q1592^2)</f>
        <v>185.64727683330349</v>
      </c>
      <c r="W1592" s="16">
        <f>('Gearing Calculator'!$U$9*'Track Data'!T1592)+'Track Data'!V1592</f>
        <v>1454.0167891229733</v>
      </c>
      <c r="X1592" s="16">
        <f>('Gearing Calculator'!$U$9*9.81)*('Gearing Calculator'!$U$16/'Gearing Calculator'!$C$7)-(('Track Data'!W1592)*('Gearing Calculator'!$U$17/'Gearing Calculator'!$C$7))</f>
        <v>608.62384969340303</v>
      </c>
      <c r="Y1592" s="16">
        <f>('Gearing Calculator'!$U$9*9.81)*(('Gearing Calculator'!$C$7-'Gearing Calculator'!$U$16)/'Gearing Calculator'!$C$7)+(('Track Data'!W1592)*('Gearing Calculator'!$U$17/'Gearing Calculator'!$C$7))</f>
        <v>2002.7981503065971</v>
      </c>
      <c r="Z1592" s="16">
        <f>((X1592*COS('Gearing Calculator'!$C$21))/'Gearing Calculator'!$C$22)/2</f>
        <v>18.816724519283479</v>
      </c>
      <c r="AA1592" s="16">
        <f>Y1592/'Gearing Calculator'!$C$24</f>
        <v>27.965779655783013</v>
      </c>
      <c r="AB1592" s="16">
        <f t="shared" si="177"/>
        <v>204.70617258521438</v>
      </c>
      <c r="AC1592" s="16">
        <v>0</v>
      </c>
      <c r="AD1592" s="16">
        <v>0</v>
      </c>
      <c r="AE1592" s="16">
        <v>1589</v>
      </c>
      <c r="AF1592" s="16">
        <f>IF(AC1592=0,IF(O1592=6,INDEX(Acceleration!$V$4:$V$110,MATCH('Track Data'!S1592,Acceleration!$K$4:$K$110,0)),IF('Track Data'!O1592=5,INDEX(Acceleration!$U$4:$U$110,MATCH('Track Data'!S1592,Acceleration!$K$4:$K$110,0)),1)),U1592)</f>
        <v>1</v>
      </c>
      <c r="AG1592" s="16">
        <f>IF(AC1592=0,IF(O1592=4,INDEX(Acceleration!$T$4:$T$110,MATCH('Track Data'!S1592,Acceleration!$K$4:$K$110,0)),IF('Track Data'!O1592=3,INDEX(Acceleration!$S$4:$S$110,MATCH('Track Data'!S1592,Acceleration!$K$4:$K$110,0)),'Track Data'!AF1592)),'Track Data'!U1592)</f>
        <v>4.7647239379777231</v>
      </c>
      <c r="AH1592" s="16">
        <f>IF(AC1592=0,IF(O1592=2,INDEX(Acceleration!$R$4:$R$110,MATCH('Track Data'!S1592,Acceleration!$K$4:$K$110,0)),IF('Track Data'!O1592=1,INDEX(Acceleration!$Q$4:$Q$110,MATCH('Track Data'!S1592,Acceleration!$K$4:$K$110,0)),'Track Data'!AG1592)),'Track Data'!U1592)</f>
        <v>4.7647239379777231</v>
      </c>
    </row>
    <row r="1593" spans="2:34" x14ac:dyDescent="0.25">
      <c r="B1593" s="16">
        <v>240.762</v>
      </c>
      <c r="C1593" s="16">
        <v>8863</v>
      </c>
      <c r="D1593" s="16">
        <v>1590</v>
      </c>
      <c r="E1593" s="113">
        <v>175</v>
      </c>
      <c r="F1593" s="113">
        <v>173.6</v>
      </c>
      <c r="G1593" s="113">
        <v>172.6</v>
      </c>
      <c r="H1593" s="113">
        <f t="shared" si="173"/>
        <v>47.944444444444443</v>
      </c>
      <c r="I1593" s="113">
        <v>5</v>
      </c>
      <c r="J1593" s="113">
        <v>17.309999999999999</v>
      </c>
      <c r="K1593" s="113">
        <v>6.5</v>
      </c>
      <c r="L1593" s="185"/>
      <c r="M1593" s="16">
        <v>1590</v>
      </c>
      <c r="N1593" s="16">
        <f t="shared" si="175"/>
        <v>2.3812450227692357E-2</v>
      </c>
      <c r="O1593" s="16">
        <v>4</v>
      </c>
      <c r="P1593" s="16">
        <f t="shared" si="171"/>
        <v>9.1833785004516724</v>
      </c>
      <c r="Q1593" s="16">
        <f t="shared" si="176"/>
        <v>41.994838432756659</v>
      </c>
      <c r="R1593" s="113">
        <f t="shared" si="172"/>
        <v>329.49099999999999</v>
      </c>
      <c r="S1593" s="16">
        <f>IF(S1592=15800,15800,ROUND((((Q1593*60)/'Gearing Calculator'!$C$14)*'Track Data'!P1593),-2))</f>
        <v>11700</v>
      </c>
      <c r="T1593" s="16">
        <f t="shared" si="174"/>
        <v>4.7647239379777231</v>
      </c>
      <c r="U1593" s="16">
        <f>IF(AC1593=100,Braking!$AG$2354,IF(AC1593=50,Braking!$AG$1179,IF(AC1593=75,Braking!$AG$1767,0)))</f>
        <v>0</v>
      </c>
      <c r="V1593" s="16">
        <f>0.5*'Gearing Calculator'!$C$15*'Gearing Calculator'!$C$20*'Gearing Calculator'!$W$20*('Track Data'!Q1593^2)</f>
        <v>186.65587359649464</v>
      </c>
      <c r="W1593" s="16">
        <f>('Gearing Calculator'!$U$9*'Track Data'!T1593)+'Track Data'!V1593</f>
        <v>1455.0253858861643</v>
      </c>
      <c r="X1593" s="16">
        <f>('Gearing Calculator'!$U$9*9.81)*('Gearing Calculator'!$U$16/'Gearing Calculator'!$C$7)-(('Track Data'!W1593)*('Gearing Calculator'!$U$17/'Gearing Calculator'!$C$7))</f>
        <v>608.07409557662584</v>
      </c>
      <c r="Y1593" s="16">
        <f>('Gearing Calculator'!$U$9*9.81)*(('Gearing Calculator'!$C$7-'Gearing Calculator'!$U$16)/'Gearing Calculator'!$C$7)+(('Track Data'!W1593)*('Gearing Calculator'!$U$17/'Gearing Calculator'!$C$7))</f>
        <v>2003.3479044233741</v>
      </c>
      <c r="Z1593" s="16">
        <f>((X1593*COS('Gearing Calculator'!$C$21))/'Gearing Calculator'!$C$22)/2</f>
        <v>18.799727860716864</v>
      </c>
      <c r="AA1593" s="16">
        <f>Y1593/'Gearing Calculator'!$C$24</f>
        <v>27.973456067153919</v>
      </c>
      <c r="AB1593" s="16">
        <f t="shared" si="177"/>
        <v>205.71476934840553</v>
      </c>
      <c r="AC1593" s="16">
        <v>0</v>
      </c>
      <c r="AD1593" s="16">
        <v>0</v>
      </c>
      <c r="AE1593" s="16">
        <v>1590</v>
      </c>
      <c r="AF1593" s="16">
        <f>IF(AC1593=0,IF(O1593=6,INDEX(Acceleration!$V$4:$V$110,MATCH('Track Data'!S1593,Acceleration!$K$4:$K$110,0)),IF('Track Data'!O1593=5,INDEX(Acceleration!$U$4:$U$110,MATCH('Track Data'!S1593,Acceleration!$K$4:$K$110,0)),1)),U1593)</f>
        <v>1</v>
      </c>
      <c r="AG1593" s="16">
        <f>IF(AC1593=0,IF(O1593=4,INDEX(Acceleration!$T$4:$T$110,MATCH('Track Data'!S1593,Acceleration!$K$4:$K$110,0)),IF('Track Data'!O1593=3,INDEX(Acceleration!$S$4:$S$110,MATCH('Track Data'!S1593,Acceleration!$K$4:$K$110,0)),'Track Data'!AF1593)),'Track Data'!U1593)</f>
        <v>4.7647239379777231</v>
      </c>
      <c r="AH1593" s="16">
        <f>IF(AC1593=0,IF(O1593=2,INDEX(Acceleration!$R$4:$R$110,MATCH('Track Data'!S1593,Acceleration!$K$4:$K$110,0)),IF('Track Data'!O1593=1,INDEX(Acceleration!$Q$4:$Q$110,MATCH('Track Data'!S1593,Acceleration!$K$4:$K$110,0)),'Track Data'!AG1593)),'Track Data'!U1593)</f>
        <v>4.7647239379777231</v>
      </c>
    </row>
    <row r="1594" spans="2:34" x14ac:dyDescent="0.25">
      <c r="B1594" s="16">
        <v>240.78200000000001</v>
      </c>
      <c r="C1594" s="16">
        <v>8864</v>
      </c>
      <c r="D1594" s="16">
        <v>1591</v>
      </c>
      <c r="E1594" s="113">
        <v>176</v>
      </c>
      <c r="F1594" s="113">
        <v>173.5</v>
      </c>
      <c r="G1594" s="113">
        <v>172.9</v>
      </c>
      <c r="H1594" s="113">
        <f t="shared" si="173"/>
        <v>48.027777777777779</v>
      </c>
      <c r="I1594" s="113">
        <v>4.5999999999999996</v>
      </c>
      <c r="J1594" s="113">
        <v>16.39</v>
      </c>
      <c r="K1594" s="113">
        <v>8</v>
      </c>
      <c r="L1594" s="185"/>
      <c r="M1594" s="16">
        <v>1591</v>
      </c>
      <c r="N1594" s="16">
        <f t="shared" si="175"/>
        <v>2.3748374387834739E-2</v>
      </c>
      <c r="O1594" s="16">
        <v>4</v>
      </c>
      <c r="P1594" s="16">
        <f t="shared" si="171"/>
        <v>9.1833785004516724</v>
      </c>
      <c r="Q1594" s="16">
        <f t="shared" si="176"/>
        <v>42.108145326875785</v>
      </c>
      <c r="R1594" s="113">
        <f t="shared" si="172"/>
        <v>329.49099999999999</v>
      </c>
      <c r="S1594" s="16">
        <f>IF(S1593=15800,15800,ROUND((((Q1594*60)/'Gearing Calculator'!$C$14)*'Track Data'!P1594),-2))</f>
        <v>11700</v>
      </c>
      <c r="T1594" s="16">
        <f t="shared" si="174"/>
        <v>4.7647239379777231</v>
      </c>
      <c r="U1594" s="16">
        <f>IF(AC1594=100,Braking!$AG$2354,IF(AC1594=50,Braking!$AG$1179,IF(AC1594=75,Braking!$AG$1767,0)))</f>
        <v>0</v>
      </c>
      <c r="V1594" s="16">
        <f>0.5*'Gearing Calculator'!$C$15*'Gearing Calculator'!$C$20*'Gearing Calculator'!$W$20*('Track Data'!Q1594^2)</f>
        <v>187.66447035968574</v>
      </c>
      <c r="W1594" s="16">
        <f>('Gearing Calculator'!$U$9*'Track Data'!T1594)+'Track Data'!V1594</f>
        <v>1456.0339826493555</v>
      </c>
      <c r="X1594" s="16">
        <f>('Gearing Calculator'!$U$9*9.81)*('Gearing Calculator'!$U$16/'Gearing Calculator'!$C$7)-(('Track Data'!W1594)*('Gearing Calculator'!$U$17/'Gearing Calculator'!$C$7))</f>
        <v>607.52434145984842</v>
      </c>
      <c r="Y1594" s="16">
        <f>('Gearing Calculator'!$U$9*9.81)*(('Gearing Calculator'!$C$7-'Gearing Calculator'!$U$16)/'Gearing Calculator'!$C$7)+(('Track Data'!W1594)*('Gearing Calculator'!$U$17/'Gearing Calculator'!$C$7))</f>
        <v>2003.8976585401515</v>
      </c>
      <c r="Z1594" s="16">
        <f>((X1594*COS('Gearing Calculator'!$C$21))/'Gearing Calculator'!$C$22)/2</f>
        <v>18.782731202150238</v>
      </c>
      <c r="AA1594" s="16">
        <f>Y1594/'Gearing Calculator'!$C$24</f>
        <v>27.981132478524831</v>
      </c>
      <c r="AB1594" s="16">
        <f t="shared" si="177"/>
        <v>206.72336611159662</v>
      </c>
      <c r="AC1594" s="16">
        <v>0</v>
      </c>
      <c r="AD1594" s="16">
        <v>0</v>
      </c>
      <c r="AE1594" s="16">
        <v>1591</v>
      </c>
      <c r="AF1594" s="16">
        <f>IF(AC1594=0,IF(O1594=6,INDEX(Acceleration!$V$4:$V$110,MATCH('Track Data'!S1594,Acceleration!$K$4:$K$110,0)),IF('Track Data'!O1594=5,INDEX(Acceleration!$U$4:$U$110,MATCH('Track Data'!S1594,Acceleration!$K$4:$K$110,0)),1)),U1594)</f>
        <v>1</v>
      </c>
      <c r="AG1594" s="16">
        <f>IF(AC1594=0,IF(O1594=4,INDEX(Acceleration!$T$4:$T$110,MATCH('Track Data'!S1594,Acceleration!$K$4:$K$110,0)),IF('Track Data'!O1594=3,INDEX(Acceleration!$S$4:$S$110,MATCH('Track Data'!S1594,Acceleration!$K$4:$K$110,0)),'Track Data'!AF1594)),'Track Data'!U1594)</f>
        <v>4.7647239379777231</v>
      </c>
      <c r="AH1594" s="16">
        <f>IF(AC1594=0,IF(O1594=2,INDEX(Acceleration!$R$4:$R$110,MATCH('Track Data'!S1594,Acceleration!$K$4:$K$110,0)),IF('Track Data'!O1594=1,INDEX(Acceleration!$Q$4:$Q$110,MATCH('Track Data'!S1594,Acceleration!$K$4:$K$110,0)),'Track Data'!AG1594)),'Track Data'!U1594)</f>
        <v>4.7647239379777231</v>
      </c>
    </row>
    <row r="1595" spans="2:34" x14ac:dyDescent="0.25">
      <c r="B1595" s="16">
        <v>240.803</v>
      </c>
      <c r="C1595" s="16">
        <v>8865</v>
      </c>
      <c r="D1595" s="16">
        <v>1592</v>
      </c>
      <c r="E1595" s="113">
        <v>176</v>
      </c>
      <c r="F1595" s="113">
        <v>173.5</v>
      </c>
      <c r="G1595" s="113">
        <v>173.2</v>
      </c>
      <c r="H1595" s="113">
        <f t="shared" si="173"/>
        <v>48.111111111111107</v>
      </c>
      <c r="I1595" s="113">
        <v>3.7</v>
      </c>
      <c r="J1595" s="113">
        <v>14.64</v>
      </c>
      <c r="K1595" s="113">
        <v>9.1</v>
      </c>
      <c r="L1595" s="185"/>
      <c r="M1595" s="16">
        <v>1592</v>
      </c>
      <c r="N1595" s="16">
        <f t="shared" si="175"/>
        <v>2.3684813036063655E-2</v>
      </c>
      <c r="O1595" s="16">
        <v>4</v>
      </c>
      <c r="P1595" s="16">
        <f t="shared" si="171"/>
        <v>9.1833785004516724</v>
      </c>
      <c r="Q1595" s="16">
        <f t="shared" si="176"/>
        <v>42.22114814574855</v>
      </c>
      <c r="R1595" s="113">
        <f t="shared" si="172"/>
        <v>329.49099999999999</v>
      </c>
      <c r="S1595" s="16">
        <f>IF(S1594=15800,15800,ROUND((((Q1595*60)/'Gearing Calculator'!$C$14)*'Track Data'!P1595),-2))</f>
        <v>11800</v>
      </c>
      <c r="T1595" s="16">
        <f t="shared" si="174"/>
        <v>4.7660756877167536</v>
      </c>
      <c r="U1595" s="16">
        <f>IF(AC1595=100,Braking!$AG$2354,IF(AC1595=50,Braking!$AG$1179,IF(AC1595=75,Braking!$AG$1767,0)))</f>
        <v>0</v>
      </c>
      <c r="V1595" s="16">
        <f>0.5*'Gearing Calculator'!$C$15*'Gearing Calculator'!$C$20*'Gearing Calculator'!$W$20*('Track Data'!Q1595^2)</f>
        <v>188.67306712287686</v>
      </c>
      <c r="W1595" s="16">
        <f>('Gearing Calculator'!$U$9*'Track Data'!T1595)+'Track Data'!V1595</f>
        <v>1457.4024151930764</v>
      </c>
      <c r="X1595" s="16">
        <f>('Gearing Calculator'!$U$9*9.81)*('Gearing Calculator'!$U$16/'Gearing Calculator'!$C$7)-(('Track Data'!W1595)*('Gearing Calculator'!$U$17/'Gearing Calculator'!$C$7))</f>
        <v>606.7784522681535</v>
      </c>
      <c r="Y1595" s="16">
        <f>('Gearing Calculator'!$U$9*9.81)*(('Gearing Calculator'!$C$7-'Gearing Calculator'!$U$16)/'Gearing Calculator'!$C$7)+(('Track Data'!W1595)*('Gearing Calculator'!$U$17/'Gearing Calculator'!$C$7))</f>
        <v>2004.6435477318464</v>
      </c>
      <c r="Z1595" s="16">
        <f>((X1595*COS('Gearing Calculator'!$C$21))/'Gearing Calculator'!$C$22)/2</f>
        <v>18.75967066738956</v>
      </c>
      <c r="AA1595" s="16">
        <f>Y1595/'Gearing Calculator'!$C$24</f>
        <v>27.991547593387693</v>
      </c>
      <c r="AB1595" s="16">
        <f t="shared" si="177"/>
        <v>207.73736987374389</v>
      </c>
      <c r="AC1595" s="16">
        <v>0</v>
      </c>
      <c r="AD1595" s="16">
        <v>0</v>
      </c>
      <c r="AE1595" s="16">
        <v>1592</v>
      </c>
      <c r="AF1595" s="16">
        <f>IF(AC1595=0,IF(O1595=6,INDEX(Acceleration!$V$4:$V$110,MATCH('Track Data'!S1595,Acceleration!$K$4:$K$110,0)),IF('Track Data'!O1595=5,INDEX(Acceleration!$U$4:$U$110,MATCH('Track Data'!S1595,Acceleration!$K$4:$K$110,0)),1)),U1595)</f>
        <v>1</v>
      </c>
      <c r="AG1595" s="16">
        <f>IF(AC1595=0,IF(O1595=4,INDEX(Acceleration!$T$4:$T$110,MATCH('Track Data'!S1595,Acceleration!$K$4:$K$110,0)),IF('Track Data'!O1595=3,INDEX(Acceleration!$S$4:$S$110,MATCH('Track Data'!S1595,Acceleration!$K$4:$K$110,0)),'Track Data'!AF1595)),'Track Data'!U1595)</f>
        <v>4.7660756877167536</v>
      </c>
      <c r="AH1595" s="16">
        <f>IF(AC1595=0,IF(O1595=2,INDEX(Acceleration!$R$4:$R$110,MATCH('Track Data'!S1595,Acceleration!$K$4:$K$110,0)),IF('Track Data'!O1595=1,INDEX(Acceleration!$Q$4:$Q$110,MATCH('Track Data'!S1595,Acceleration!$K$4:$K$110,0)),'Track Data'!AG1595)),'Track Data'!U1595)</f>
        <v>4.7660756877167536</v>
      </c>
    </row>
    <row r="1596" spans="2:34" x14ac:dyDescent="0.25">
      <c r="B1596" s="16">
        <v>240.82400000000001</v>
      </c>
      <c r="C1596" s="16">
        <v>8866</v>
      </c>
      <c r="D1596" s="16">
        <v>1593</v>
      </c>
      <c r="E1596" s="113">
        <v>176</v>
      </c>
      <c r="F1596" s="113">
        <v>173.9</v>
      </c>
      <c r="G1596" s="113">
        <v>173.4</v>
      </c>
      <c r="H1596" s="113">
        <f t="shared" si="173"/>
        <v>48.166666666666664</v>
      </c>
      <c r="I1596" s="113">
        <v>3.6</v>
      </c>
      <c r="J1596" s="113">
        <v>12.09</v>
      </c>
      <c r="K1596" s="113">
        <v>8.3000000000000007</v>
      </c>
      <c r="L1596" s="185"/>
      <c r="M1596" s="16">
        <v>1593</v>
      </c>
      <c r="N1596" s="16">
        <f t="shared" si="175"/>
        <v>2.3621741507095867E-2</v>
      </c>
      <c r="O1596" s="16">
        <v>4</v>
      </c>
      <c r="P1596" s="16">
        <f t="shared" si="171"/>
        <v>9.1833785004516724</v>
      </c>
      <c r="Q1596" s="16">
        <f t="shared" si="176"/>
        <v>42.333881255097317</v>
      </c>
      <c r="R1596" s="113">
        <f t="shared" si="172"/>
        <v>329.49099999999999</v>
      </c>
      <c r="S1596" s="16">
        <f>IF(S1595=15800,15800,ROUND((((Q1596*60)/'Gearing Calculator'!$C$14)*'Track Data'!P1596),-2))</f>
        <v>11800</v>
      </c>
      <c r="T1596" s="16">
        <f t="shared" si="174"/>
        <v>4.7660756877167536</v>
      </c>
      <c r="U1596" s="16">
        <f>IF(AC1596=100,Braking!$AG$2354,IF(AC1596=50,Braking!$AG$1179,IF(AC1596=75,Braking!$AG$1767,0)))</f>
        <v>0</v>
      </c>
      <c r="V1596" s="16">
        <f>0.5*'Gearing Calculator'!$C$15*'Gearing Calculator'!$C$20*'Gearing Calculator'!$W$20*('Track Data'!Q1596^2)</f>
        <v>189.68195002445276</v>
      </c>
      <c r="W1596" s="16">
        <f>('Gearing Calculator'!$U$9*'Track Data'!T1596)+'Track Data'!V1596</f>
        <v>1458.4112980946525</v>
      </c>
      <c r="X1596" s="16">
        <f>('Gearing Calculator'!$U$9*9.81)*('Gearing Calculator'!$U$16/'Gearing Calculator'!$C$7)-(('Track Data'!W1596)*('Gearing Calculator'!$U$17/'Gearing Calculator'!$C$7))</f>
        <v>606.22854218641487</v>
      </c>
      <c r="Y1596" s="16">
        <f>('Gearing Calculator'!$U$9*9.81)*(('Gearing Calculator'!$C$7-'Gearing Calculator'!$U$16)/'Gearing Calculator'!$C$7)+(('Track Data'!W1596)*('Gearing Calculator'!$U$17/'Gearing Calculator'!$C$7))</f>
        <v>2005.1934578135852</v>
      </c>
      <c r="Z1596" s="16">
        <f>((X1596*COS('Gearing Calculator'!$C$21))/'Gearing Calculator'!$C$22)/2</f>
        <v>18.742669186879613</v>
      </c>
      <c r="AA1596" s="16">
        <f>Y1596/'Gearing Calculator'!$C$24</f>
        <v>27.999226182552579</v>
      </c>
      <c r="AB1596" s="16">
        <f t="shared" si="177"/>
        <v>208.74625277531976</v>
      </c>
      <c r="AC1596" s="16">
        <v>0</v>
      </c>
      <c r="AD1596" s="16">
        <v>0</v>
      </c>
      <c r="AE1596" s="16">
        <v>1593</v>
      </c>
      <c r="AF1596" s="16">
        <f>IF(AC1596=0,IF(O1596=6,INDEX(Acceleration!$V$4:$V$110,MATCH('Track Data'!S1596,Acceleration!$K$4:$K$110,0)),IF('Track Data'!O1596=5,INDEX(Acceleration!$U$4:$U$110,MATCH('Track Data'!S1596,Acceleration!$K$4:$K$110,0)),1)),U1596)</f>
        <v>1</v>
      </c>
      <c r="AG1596" s="16">
        <f>IF(AC1596=0,IF(O1596=4,INDEX(Acceleration!$T$4:$T$110,MATCH('Track Data'!S1596,Acceleration!$K$4:$K$110,0)),IF('Track Data'!O1596=3,INDEX(Acceleration!$S$4:$S$110,MATCH('Track Data'!S1596,Acceleration!$K$4:$K$110,0)),'Track Data'!AF1596)),'Track Data'!U1596)</f>
        <v>4.7660756877167536</v>
      </c>
      <c r="AH1596" s="16">
        <f>IF(AC1596=0,IF(O1596=2,INDEX(Acceleration!$R$4:$R$110,MATCH('Track Data'!S1596,Acceleration!$K$4:$K$110,0)),IF('Track Data'!O1596=1,INDEX(Acceleration!$Q$4:$Q$110,MATCH('Track Data'!S1596,Acceleration!$K$4:$K$110,0)),'Track Data'!AG1596)),'Track Data'!U1596)</f>
        <v>4.7660756877167536</v>
      </c>
    </row>
    <row r="1597" spans="2:34" x14ac:dyDescent="0.25">
      <c r="B1597" s="16">
        <v>240.845</v>
      </c>
      <c r="C1597" s="16">
        <v>8867</v>
      </c>
      <c r="D1597" s="16">
        <v>1594</v>
      </c>
      <c r="E1597" s="113">
        <v>176</v>
      </c>
      <c r="F1597" s="113">
        <v>174.2</v>
      </c>
      <c r="G1597" s="113">
        <v>173.7</v>
      </c>
      <c r="H1597" s="113">
        <f t="shared" si="173"/>
        <v>48.249999999999993</v>
      </c>
      <c r="I1597" s="113">
        <v>2.9</v>
      </c>
      <c r="J1597" s="113">
        <v>11.86</v>
      </c>
      <c r="K1597" s="113">
        <v>7.6</v>
      </c>
      <c r="L1597" s="185"/>
      <c r="M1597" s="16">
        <v>1594</v>
      </c>
      <c r="N1597" s="16">
        <f t="shared" si="175"/>
        <v>2.3559171178802574E-2</v>
      </c>
      <c r="O1597" s="16">
        <v>4</v>
      </c>
      <c r="P1597" s="16">
        <f t="shared" si="171"/>
        <v>9.1833785004516724</v>
      </c>
      <c r="Q1597" s="16">
        <f t="shared" si="176"/>
        <v>42.446314957792431</v>
      </c>
      <c r="R1597" s="113">
        <f t="shared" si="172"/>
        <v>329.49099999999999</v>
      </c>
      <c r="S1597" s="16">
        <f>IF(S1596=15800,15800,ROUND((((Q1597*60)/'Gearing Calculator'!$C$14)*'Track Data'!P1597),-2))</f>
        <v>11800</v>
      </c>
      <c r="T1597" s="16">
        <f t="shared" si="174"/>
        <v>4.7660756877167536</v>
      </c>
      <c r="U1597" s="16">
        <f>IF(AC1597=100,Braking!$AG$2354,IF(AC1597=50,Braking!$AG$1179,IF(AC1597=75,Braking!$AG$1767,0)))</f>
        <v>0</v>
      </c>
      <c r="V1597" s="16">
        <f>0.5*'Gearing Calculator'!$C$15*'Gearing Calculator'!$C$20*'Gearing Calculator'!$W$20*('Track Data'!Q1597^2)</f>
        <v>190.69083292602863</v>
      </c>
      <c r="W1597" s="16">
        <f>('Gearing Calculator'!$U$9*'Track Data'!T1597)+'Track Data'!V1597</f>
        <v>1459.4201809962283</v>
      </c>
      <c r="X1597" s="16">
        <f>('Gearing Calculator'!$U$9*9.81)*('Gearing Calculator'!$U$16/'Gearing Calculator'!$C$7)-(('Track Data'!W1597)*('Gearing Calculator'!$U$17/'Gearing Calculator'!$C$7))</f>
        <v>605.67863210467647</v>
      </c>
      <c r="Y1597" s="16">
        <f>('Gearing Calculator'!$U$9*9.81)*(('Gearing Calculator'!$C$7-'Gearing Calculator'!$U$16)/'Gearing Calculator'!$C$7)+(('Track Data'!W1597)*('Gearing Calculator'!$U$17/'Gearing Calculator'!$C$7))</f>
        <v>2005.7433678953234</v>
      </c>
      <c r="Z1597" s="16">
        <f>((X1597*COS('Gearing Calculator'!$C$21))/'Gearing Calculator'!$C$22)/2</f>
        <v>18.725667706369666</v>
      </c>
      <c r="AA1597" s="16">
        <f>Y1597/'Gearing Calculator'!$C$24</f>
        <v>28.006904771717462</v>
      </c>
      <c r="AB1597" s="16">
        <f t="shared" si="177"/>
        <v>209.75513567689563</v>
      </c>
      <c r="AC1597" s="16">
        <v>0</v>
      </c>
      <c r="AD1597" s="16">
        <v>0</v>
      </c>
      <c r="AE1597" s="16">
        <v>1594</v>
      </c>
      <c r="AF1597" s="16">
        <f>IF(AC1597=0,IF(O1597=6,INDEX(Acceleration!$V$4:$V$110,MATCH('Track Data'!S1597,Acceleration!$K$4:$K$110,0)),IF('Track Data'!O1597=5,INDEX(Acceleration!$U$4:$U$110,MATCH('Track Data'!S1597,Acceleration!$K$4:$K$110,0)),1)),U1597)</f>
        <v>1</v>
      </c>
      <c r="AG1597" s="16">
        <f>IF(AC1597=0,IF(O1597=4,INDEX(Acceleration!$T$4:$T$110,MATCH('Track Data'!S1597,Acceleration!$K$4:$K$110,0)),IF('Track Data'!O1597=3,INDEX(Acceleration!$S$4:$S$110,MATCH('Track Data'!S1597,Acceleration!$K$4:$K$110,0)),'Track Data'!AF1597)),'Track Data'!U1597)</f>
        <v>4.7660756877167536</v>
      </c>
      <c r="AH1597" s="16">
        <f>IF(AC1597=0,IF(O1597=2,INDEX(Acceleration!$R$4:$R$110,MATCH('Track Data'!S1597,Acceleration!$K$4:$K$110,0)),IF('Track Data'!O1597=1,INDEX(Acceleration!$Q$4:$Q$110,MATCH('Track Data'!S1597,Acceleration!$K$4:$K$110,0)),'Track Data'!AG1597)),'Track Data'!U1597)</f>
        <v>4.7660756877167536</v>
      </c>
    </row>
    <row r="1598" spans="2:34" x14ac:dyDescent="0.25">
      <c r="B1598" s="16">
        <v>240.86600000000001</v>
      </c>
      <c r="C1598" s="16">
        <v>8868</v>
      </c>
      <c r="D1598" s="16">
        <v>1595</v>
      </c>
      <c r="E1598" s="113">
        <v>177</v>
      </c>
      <c r="F1598" s="113">
        <v>174.5</v>
      </c>
      <c r="G1598" s="113">
        <v>173.9</v>
      </c>
      <c r="H1598" s="113">
        <f t="shared" si="173"/>
        <v>48.305555555555557</v>
      </c>
      <c r="I1598" s="113">
        <v>2.6</v>
      </c>
      <c r="J1598" s="113">
        <v>10.4</v>
      </c>
      <c r="K1598" s="113">
        <v>6.9</v>
      </c>
      <c r="L1598" s="185"/>
      <c r="M1598" s="16">
        <v>1595</v>
      </c>
      <c r="N1598" s="16">
        <f t="shared" si="175"/>
        <v>2.3497095448135084E-2</v>
      </c>
      <c r="O1598" s="16">
        <v>4</v>
      </c>
      <c r="P1598" s="16">
        <f t="shared" si="171"/>
        <v>9.1833785004516724</v>
      </c>
      <c r="Q1598" s="16">
        <f t="shared" si="176"/>
        <v>42.558451626810239</v>
      </c>
      <c r="R1598" s="113">
        <f t="shared" si="172"/>
        <v>329.49099999999999</v>
      </c>
      <c r="S1598" s="16">
        <f>IF(S1597=15800,15800,ROUND((((Q1598*60)/'Gearing Calculator'!$C$14)*'Track Data'!P1598),-2))</f>
        <v>11800</v>
      </c>
      <c r="T1598" s="16">
        <f t="shared" si="174"/>
        <v>4.7660756877167536</v>
      </c>
      <c r="U1598" s="16">
        <f>IF(AC1598=100,Braking!$AG$2354,IF(AC1598=50,Braking!$AG$1179,IF(AC1598=75,Braking!$AG$1767,0)))</f>
        <v>0</v>
      </c>
      <c r="V1598" s="16">
        <f>0.5*'Gearing Calculator'!$C$15*'Gearing Calculator'!$C$20*'Gearing Calculator'!$W$20*('Track Data'!Q1598^2)</f>
        <v>191.69971582760454</v>
      </c>
      <c r="W1598" s="16">
        <f>('Gearing Calculator'!$U$9*'Track Data'!T1598)+'Track Data'!V1598</f>
        <v>1460.4290638978041</v>
      </c>
      <c r="X1598" s="16">
        <f>('Gearing Calculator'!$U$9*9.81)*('Gearing Calculator'!$U$16/'Gearing Calculator'!$C$7)-(('Track Data'!W1598)*('Gearing Calculator'!$U$17/'Gearing Calculator'!$C$7))</f>
        <v>605.12872202293795</v>
      </c>
      <c r="Y1598" s="16">
        <f>('Gearing Calculator'!$U$9*9.81)*(('Gearing Calculator'!$C$7-'Gearing Calculator'!$U$16)/'Gearing Calculator'!$C$7)+(('Track Data'!W1598)*('Gearing Calculator'!$U$17/'Gearing Calculator'!$C$7))</f>
        <v>2006.2932779770622</v>
      </c>
      <c r="Z1598" s="16">
        <f>((X1598*COS('Gearing Calculator'!$C$21))/'Gearing Calculator'!$C$22)/2</f>
        <v>18.708666225859723</v>
      </c>
      <c r="AA1598" s="16">
        <f>Y1598/'Gearing Calculator'!$C$24</f>
        <v>28.014583360882348</v>
      </c>
      <c r="AB1598" s="16">
        <f t="shared" si="177"/>
        <v>210.76401857847156</v>
      </c>
      <c r="AC1598" s="16">
        <v>0</v>
      </c>
      <c r="AD1598" s="16">
        <v>0</v>
      </c>
      <c r="AE1598" s="16">
        <v>1595</v>
      </c>
      <c r="AF1598" s="16">
        <f>IF(AC1598=0,IF(O1598=6,INDEX(Acceleration!$V$4:$V$110,MATCH('Track Data'!S1598,Acceleration!$K$4:$K$110,0)),IF('Track Data'!O1598=5,INDEX(Acceleration!$U$4:$U$110,MATCH('Track Data'!S1598,Acceleration!$K$4:$K$110,0)),1)),U1598)</f>
        <v>1</v>
      </c>
      <c r="AG1598" s="16">
        <f>IF(AC1598=0,IF(O1598=4,INDEX(Acceleration!$T$4:$T$110,MATCH('Track Data'!S1598,Acceleration!$K$4:$K$110,0)),IF('Track Data'!O1598=3,INDEX(Acceleration!$S$4:$S$110,MATCH('Track Data'!S1598,Acceleration!$K$4:$K$110,0)),'Track Data'!AF1598)),'Track Data'!U1598)</f>
        <v>4.7660756877167536</v>
      </c>
      <c r="AH1598" s="16">
        <f>IF(AC1598=0,IF(O1598=2,INDEX(Acceleration!$R$4:$R$110,MATCH('Track Data'!S1598,Acceleration!$K$4:$K$110,0)),IF('Track Data'!O1598=1,INDEX(Acceleration!$Q$4:$Q$110,MATCH('Track Data'!S1598,Acceleration!$K$4:$K$110,0)),'Track Data'!AG1598)),'Track Data'!U1598)</f>
        <v>4.7660756877167536</v>
      </c>
    </row>
    <row r="1599" spans="2:34" x14ac:dyDescent="0.25">
      <c r="B1599" s="16">
        <v>240.886</v>
      </c>
      <c r="C1599" s="16">
        <v>8869</v>
      </c>
      <c r="D1599" s="16">
        <v>1596</v>
      </c>
      <c r="E1599" s="113">
        <v>178</v>
      </c>
      <c r="F1599" s="113">
        <v>174.8</v>
      </c>
      <c r="G1599" s="113">
        <v>174.2</v>
      </c>
      <c r="H1599" s="113">
        <f t="shared" si="173"/>
        <v>48.388888888888886</v>
      </c>
      <c r="I1599" s="113">
        <v>1.8</v>
      </c>
      <c r="J1599" s="113">
        <v>10.38</v>
      </c>
      <c r="K1599" s="113">
        <v>5.9</v>
      </c>
      <c r="L1599" s="185"/>
      <c r="M1599" s="16">
        <v>1596</v>
      </c>
      <c r="N1599" s="16">
        <f t="shared" si="175"/>
        <v>2.3435507833194667E-2</v>
      </c>
      <c r="O1599" s="16">
        <v>4</v>
      </c>
      <c r="P1599" s="16">
        <f t="shared" si="171"/>
        <v>9.1833785004516724</v>
      </c>
      <c r="Q1599" s="16">
        <f t="shared" si="176"/>
        <v>42.670293603946305</v>
      </c>
      <c r="R1599" s="113">
        <f t="shared" si="172"/>
        <v>329.49099999999999</v>
      </c>
      <c r="S1599" s="16">
        <f>IF(S1598=15800,15800,ROUND((((Q1599*60)/'Gearing Calculator'!$C$14)*'Track Data'!P1599),-2))</f>
        <v>11900</v>
      </c>
      <c r="T1599" s="16">
        <f t="shared" si="174"/>
        <v>4.7672081529321577</v>
      </c>
      <c r="U1599" s="16">
        <f>IF(AC1599=100,Braking!$AG$2354,IF(AC1599=50,Braking!$AG$1179,IF(AC1599=75,Braking!$AG$1767,0)))</f>
        <v>0</v>
      </c>
      <c r="V1599" s="16">
        <f>0.5*'Gearing Calculator'!$C$15*'Gearing Calculator'!$C$20*'Gearing Calculator'!$W$20*('Track Data'!Q1599^2)</f>
        <v>192.70859872918047</v>
      </c>
      <c r="W1599" s="16">
        <f>('Gearing Calculator'!$U$9*'Track Data'!T1599)+'Track Data'!V1599</f>
        <v>1461.7394090397208</v>
      </c>
      <c r="X1599" s="16">
        <f>('Gearing Calculator'!$U$9*9.81)*('Gearing Calculator'!$U$16/'Gearing Calculator'!$C$7)-(('Track Data'!W1599)*('Gearing Calculator'!$U$17/'Gearing Calculator'!$C$7))</f>
        <v>604.41449443223189</v>
      </c>
      <c r="Y1599" s="16">
        <f>('Gearing Calculator'!$U$9*9.81)*(('Gearing Calculator'!$C$7-'Gearing Calculator'!$U$16)/'Gearing Calculator'!$C$7)+(('Track Data'!W1599)*('Gearing Calculator'!$U$17/'Gearing Calculator'!$C$7))</f>
        <v>2007.007505567768</v>
      </c>
      <c r="Z1599" s="16">
        <f>((X1599*COS('Gearing Calculator'!$C$21))/'Gearing Calculator'!$C$22)/2</f>
        <v>18.686584567664504</v>
      </c>
      <c r="AA1599" s="16">
        <f>Y1599/'Gearing Calculator'!$C$24</f>
        <v>28.02455637360093</v>
      </c>
      <c r="AB1599" s="16">
        <f t="shared" si="177"/>
        <v>211.77743134090909</v>
      </c>
      <c r="AC1599" s="16">
        <v>0</v>
      </c>
      <c r="AD1599" s="16">
        <v>0</v>
      </c>
      <c r="AE1599" s="16">
        <v>1596</v>
      </c>
      <c r="AF1599" s="16">
        <f>IF(AC1599=0,IF(O1599=6,INDEX(Acceleration!$V$4:$V$110,MATCH('Track Data'!S1599,Acceleration!$K$4:$K$110,0)),IF('Track Data'!O1599=5,INDEX(Acceleration!$U$4:$U$110,MATCH('Track Data'!S1599,Acceleration!$K$4:$K$110,0)),1)),U1599)</f>
        <v>1</v>
      </c>
      <c r="AG1599" s="16">
        <f>IF(AC1599=0,IF(O1599=4,INDEX(Acceleration!$T$4:$T$110,MATCH('Track Data'!S1599,Acceleration!$K$4:$K$110,0)),IF('Track Data'!O1599=3,INDEX(Acceleration!$S$4:$S$110,MATCH('Track Data'!S1599,Acceleration!$K$4:$K$110,0)),'Track Data'!AF1599)),'Track Data'!U1599)</f>
        <v>4.7672081529321577</v>
      </c>
      <c r="AH1599" s="16">
        <f>IF(AC1599=0,IF(O1599=2,INDEX(Acceleration!$R$4:$R$110,MATCH('Track Data'!S1599,Acceleration!$K$4:$K$110,0)),IF('Track Data'!O1599=1,INDEX(Acceleration!$Q$4:$Q$110,MATCH('Track Data'!S1599,Acceleration!$K$4:$K$110,0)),'Track Data'!AG1599)),'Track Data'!U1599)</f>
        <v>4.7672081529321577</v>
      </c>
    </row>
    <row r="1600" spans="2:34" x14ac:dyDescent="0.25">
      <c r="B1600" s="16">
        <v>240.90600000000001</v>
      </c>
      <c r="C1600" s="16">
        <v>8870</v>
      </c>
      <c r="D1600" s="16">
        <v>1597</v>
      </c>
      <c r="E1600" s="113">
        <v>178</v>
      </c>
      <c r="F1600" s="113">
        <v>174.9</v>
      </c>
      <c r="G1600" s="113">
        <v>174.4</v>
      </c>
      <c r="H1600" s="113">
        <f t="shared" si="173"/>
        <v>48.444444444444443</v>
      </c>
      <c r="I1600" s="113">
        <v>1.7</v>
      </c>
      <c r="J1600" s="113">
        <v>9.61</v>
      </c>
      <c r="K1600" s="113">
        <v>4</v>
      </c>
      <c r="L1600" s="185"/>
      <c r="M1600" s="16">
        <v>1597</v>
      </c>
      <c r="N1600" s="16">
        <f t="shared" si="175"/>
        <v>2.3374387507802276E-2</v>
      </c>
      <c r="O1600" s="16">
        <v>4</v>
      </c>
      <c r="P1600" s="16">
        <f t="shared" si="171"/>
        <v>9.1833785004516724</v>
      </c>
      <c r="Q1600" s="16">
        <f t="shared" si="176"/>
        <v>42.781869671074979</v>
      </c>
      <c r="R1600" s="113">
        <f t="shared" si="172"/>
        <v>329.49099999999999</v>
      </c>
      <c r="S1600" s="16">
        <f>IF(S1599=15800,15800,ROUND((((Q1600*60)/'Gearing Calculator'!$C$14)*'Track Data'!P1600),-2))</f>
        <v>11900</v>
      </c>
      <c r="T1600" s="16">
        <f t="shared" si="174"/>
        <v>4.7672081529321577</v>
      </c>
      <c r="U1600" s="16">
        <f>IF(AC1600=100,Braking!$AG$2354,IF(AC1600=50,Braking!$AG$1179,IF(AC1600=75,Braking!$AG$1767,0)))</f>
        <v>0</v>
      </c>
      <c r="V1600" s="16">
        <f>0.5*'Gearing Calculator'!$C$15*'Gearing Calculator'!$C$20*'Gearing Calculator'!$W$20*('Track Data'!Q1600^2)</f>
        <v>193.71772135099312</v>
      </c>
      <c r="W1600" s="16">
        <f>('Gearing Calculator'!$U$9*'Track Data'!T1600)+'Track Data'!V1600</f>
        <v>1462.7485316615334</v>
      </c>
      <c r="X1600" s="16">
        <f>('Gearing Calculator'!$U$9*9.81)*('Gearing Calculator'!$U$16/'Gearing Calculator'!$C$7)-(('Track Data'!W1600)*('Gearing Calculator'!$U$17/'Gearing Calculator'!$C$7))</f>
        <v>603.86445368659304</v>
      </c>
      <c r="Y1600" s="16">
        <f>('Gearing Calculator'!$U$9*9.81)*(('Gearing Calculator'!$C$7-'Gearing Calculator'!$U$16)/'Gearing Calculator'!$C$7)+(('Track Data'!W1600)*('Gearing Calculator'!$U$17/'Gearing Calculator'!$C$7))</f>
        <v>2007.5575463134069</v>
      </c>
      <c r="Z1600" s="16">
        <f>((X1600*COS('Gearing Calculator'!$C$21))/'Gearing Calculator'!$C$22)/2</f>
        <v>18.669579047440017</v>
      </c>
      <c r="AA1600" s="16">
        <f>Y1600/'Gearing Calculator'!$C$24</f>
        <v>28.032236787272115</v>
      </c>
      <c r="AB1600" s="16">
        <f t="shared" si="177"/>
        <v>212.78655396272174</v>
      </c>
      <c r="AC1600" s="16">
        <v>0</v>
      </c>
      <c r="AD1600" s="16">
        <v>0</v>
      </c>
      <c r="AE1600" s="16">
        <v>1597</v>
      </c>
      <c r="AF1600" s="16">
        <f>IF(AC1600=0,IF(O1600=6,INDEX(Acceleration!$V$4:$V$110,MATCH('Track Data'!S1600,Acceleration!$K$4:$K$110,0)),IF('Track Data'!O1600=5,INDEX(Acceleration!$U$4:$U$110,MATCH('Track Data'!S1600,Acceleration!$K$4:$K$110,0)),1)),U1600)</f>
        <v>1</v>
      </c>
      <c r="AG1600" s="16">
        <f>IF(AC1600=0,IF(O1600=4,INDEX(Acceleration!$T$4:$T$110,MATCH('Track Data'!S1600,Acceleration!$K$4:$K$110,0)),IF('Track Data'!O1600=3,INDEX(Acceleration!$S$4:$S$110,MATCH('Track Data'!S1600,Acceleration!$K$4:$K$110,0)),'Track Data'!AF1600)),'Track Data'!U1600)</f>
        <v>4.7672081529321577</v>
      </c>
      <c r="AH1600" s="16">
        <f>IF(AC1600=0,IF(O1600=2,INDEX(Acceleration!$R$4:$R$110,MATCH('Track Data'!S1600,Acceleration!$K$4:$K$110,0)),IF('Track Data'!O1600=1,INDEX(Acceleration!$Q$4:$Q$110,MATCH('Track Data'!S1600,Acceleration!$K$4:$K$110,0)),'Track Data'!AG1600)),'Track Data'!U1600)</f>
        <v>4.7672081529321577</v>
      </c>
    </row>
    <row r="1601" spans="2:34" x14ac:dyDescent="0.25">
      <c r="B1601" s="16">
        <v>240.92699999999999</v>
      </c>
      <c r="C1601" s="16">
        <v>8870</v>
      </c>
      <c r="D1601" s="16">
        <v>1598</v>
      </c>
      <c r="E1601" s="113">
        <v>178</v>
      </c>
      <c r="F1601" s="113">
        <v>175</v>
      </c>
      <c r="G1601" s="113">
        <v>174.6</v>
      </c>
      <c r="H1601" s="113">
        <f t="shared" si="173"/>
        <v>48.5</v>
      </c>
      <c r="I1601" s="113">
        <v>1.8</v>
      </c>
      <c r="J1601" s="113">
        <v>8.61</v>
      </c>
      <c r="K1601" s="113">
        <v>2.1</v>
      </c>
      <c r="L1601" s="185"/>
      <c r="M1601" s="16">
        <v>1598</v>
      </c>
      <c r="N1601" s="16">
        <f t="shared" si="175"/>
        <v>2.3313742911026683E-2</v>
      </c>
      <c r="O1601" s="16">
        <v>4</v>
      </c>
      <c r="P1601" s="16">
        <f t="shared" si="171"/>
        <v>9.1833785004516724</v>
      </c>
      <c r="Q1601" s="16">
        <f t="shared" si="176"/>
        <v>42.893155501300086</v>
      </c>
      <c r="R1601" s="113">
        <f t="shared" si="172"/>
        <v>329.49099999999999</v>
      </c>
      <c r="S1601" s="16">
        <f>IF(S1600=15800,15800,ROUND((((Q1601*60)/'Gearing Calculator'!$C$14)*'Track Data'!P1601),-2))</f>
        <v>11900</v>
      </c>
      <c r="T1601" s="16">
        <f t="shared" si="174"/>
        <v>4.7672081529321577</v>
      </c>
      <c r="U1601" s="16">
        <f>IF(AC1601=100,Braking!$AG$2354,IF(AC1601=50,Braking!$AG$1179,IF(AC1601=75,Braking!$AG$1767,0)))</f>
        <v>0</v>
      </c>
      <c r="V1601" s="16">
        <f>0.5*'Gearing Calculator'!$C$15*'Gearing Calculator'!$C$20*'Gearing Calculator'!$W$20*('Track Data'!Q1601^2)</f>
        <v>194.72684397280582</v>
      </c>
      <c r="W1601" s="16">
        <f>('Gearing Calculator'!$U$9*'Track Data'!T1601)+'Track Data'!V1601</f>
        <v>1463.7576542833463</v>
      </c>
      <c r="X1601" s="16">
        <f>('Gearing Calculator'!$U$9*9.81)*('Gearing Calculator'!$U$16/'Gearing Calculator'!$C$7)-(('Track Data'!W1601)*('Gearing Calculator'!$U$17/'Gearing Calculator'!$C$7))</f>
        <v>603.31441294095396</v>
      </c>
      <c r="Y1601" s="16">
        <f>('Gearing Calculator'!$U$9*9.81)*(('Gearing Calculator'!$C$7-'Gearing Calculator'!$U$16)/'Gearing Calculator'!$C$7)+(('Track Data'!W1601)*('Gearing Calculator'!$U$17/'Gearing Calculator'!$C$7))</f>
        <v>2008.1075870590462</v>
      </c>
      <c r="Z1601" s="16">
        <f>((X1601*COS('Gearing Calculator'!$C$21))/'Gearing Calculator'!$C$22)/2</f>
        <v>18.65257352721552</v>
      </c>
      <c r="AA1601" s="16">
        <f>Y1601/'Gearing Calculator'!$C$24</f>
        <v>28.039917200943304</v>
      </c>
      <c r="AB1601" s="16">
        <f t="shared" si="177"/>
        <v>213.79567658453445</v>
      </c>
      <c r="AC1601" s="16">
        <v>0</v>
      </c>
      <c r="AD1601" s="16">
        <v>0</v>
      </c>
      <c r="AE1601" s="16">
        <v>1598</v>
      </c>
      <c r="AF1601" s="16">
        <f>IF(AC1601=0,IF(O1601=6,INDEX(Acceleration!$V$4:$V$110,MATCH('Track Data'!S1601,Acceleration!$K$4:$K$110,0)),IF('Track Data'!O1601=5,INDEX(Acceleration!$U$4:$U$110,MATCH('Track Data'!S1601,Acceleration!$K$4:$K$110,0)),1)),U1601)</f>
        <v>1</v>
      </c>
      <c r="AG1601" s="16">
        <f>IF(AC1601=0,IF(O1601=4,INDEX(Acceleration!$T$4:$T$110,MATCH('Track Data'!S1601,Acceleration!$K$4:$K$110,0)),IF('Track Data'!O1601=3,INDEX(Acceleration!$S$4:$S$110,MATCH('Track Data'!S1601,Acceleration!$K$4:$K$110,0)),'Track Data'!AF1601)),'Track Data'!U1601)</f>
        <v>4.7672081529321577</v>
      </c>
      <c r="AH1601" s="16">
        <f>IF(AC1601=0,IF(O1601=2,INDEX(Acceleration!$R$4:$R$110,MATCH('Track Data'!S1601,Acceleration!$K$4:$K$110,0)),IF('Track Data'!O1601=1,INDEX(Acceleration!$Q$4:$Q$110,MATCH('Track Data'!S1601,Acceleration!$K$4:$K$110,0)),'Track Data'!AG1601)),'Track Data'!U1601)</f>
        <v>4.7672081529321577</v>
      </c>
    </row>
    <row r="1602" spans="2:34" x14ac:dyDescent="0.25">
      <c r="B1602" s="16">
        <v>240.947</v>
      </c>
      <c r="C1602" s="16">
        <v>8872</v>
      </c>
      <c r="D1602" s="16">
        <v>1599</v>
      </c>
      <c r="E1602" s="113">
        <v>178</v>
      </c>
      <c r="F1602" s="113">
        <v>175.6</v>
      </c>
      <c r="G1602" s="113">
        <v>174.9</v>
      </c>
      <c r="H1602" s="113">
        <f t="shared" si="173"/>
        <v>48.583333333333336</v>
      </c>
      <c r="I1602" s="113">
        <v>2.2999999999999998</v>
      </c>
      <c r="J1602" s="113">
        <v>6.91</v>
      </c>
      <c r="K1602" s="113">
        <v>0.3</v>
      </c>
      <c r="L1602" s="185"/>
      <c r="M1602" s="16">
        <v>1599</v>
      </c>
      <c r="N1602" s="16">
        <f t="shared" si="175"/>
        <v>2.3253567903348062E-2</v>
      </c>
      <c r="O1602" s="16">
        <v>4</v>
      </c>
      <c r="P1602" s="16">
        <f t="shared" si="171"/>
        <v>9.1833785004516724</v>
      </c>
      <c r="Q1602" s="16">
        <f t="shared" si="176"/>
        <v>43.004153347840415</v>
      </c>
      <c r="R1602" s="113">
        <f t="shared" si="172"/>
        <v>329.49099999999999</v>
      </c>
      <c r="S1602" s="16">
        <f>IF(S1601=15800,15800,ROUND((((Q1602*60)/'Gearing Calculator'!$C$14)*'Track Data'!P1602),-2))</f>
        <v>12000</v>
      </c>
      <c r="T1602" s="16">
        <f t="shared" si="174"/>
        <v>4.7681251638049051</v>
      </c>
      <c r="U1602" s="16">
        <f>IF(AC1602=100,Braking!$AG$2354,IF(AC1602=50,Braking!$AG$1179,IF(AC1602=75,Braking!$AG$1767,0)))</f>
        <v>0</v>
      </c>
      <c r="V1602" s="16">
        <f>0.5*'Gearing Calculator'!$C$15*'Gearing Calculator'!$C$20*'Gearing Calculator'!$W$20*('Track Data'!Q1602^2)</f>
        <v>195.7359665946185</v>
      </c>
      <c r="W1602" s="16">
        <f>('Gearing Calculator'!$U$9*'Track Data'!T1602)+'Track Data'!V1602</f>
        <v>1465.0108851994842</v>
      </c>
      <c r="X1602" s="16">
        <f>('Gearing Calculator'!$U$9*9.81)*('Gearing Calculator'!$U$16/'Gearing Calculator'!$C$7)-(('Track Data'!W1602)*('Gearing Calculator'!$U$17/'Gearing Calculator'!$C$7))</f>
        <v>602.63131650384105</v>
      </c>
      <c r="Y1602" s="16">
        <f>('Gearing Calculator'!$U$9*9.81)*(('Gearing Calculator'!$C$7-'Gearing Calculator'!$U$16)/'Gearing Calculator'!$C$7)+(('Track Data'!W1602)*('Gearing Calculator'!$U$17/'Gearing Calculator'!$C$7))</f>
        <v>2008.7906834961591</v>
      </c>
      <c r="Z1602" s="16">
        <f>((X1602*COS('Gearing Calculator'!$C$21))/'Gearing Calculator'!$C$22)/2</f>
        <v>18.631454345829951</v>
      </c>
      <c r="AA1602" s="16">
        <f>Y1602/'Gearing Calculator'!$C$24</f>
        <v>28.049455518342402</v>
      </c>
      <c r="AB1602" s="16">
        <f t="shared" si="177"/>
        <v>214.80846724983812</v>
      </c>
      <c r="AC1602" s="16">
        <v>0</v>
      </c>
      <c r="AD1602" s="16">
        <v>0</v>
      </c>
      <c r="AE1602" s="16">
        <v>1599</v>
      </c>
      <c r="AF1602" s="16">
        <f>IF(AC1602=0,IF(O1602=6,INDEX(Acceleration!$V$4:$V$110,MATCH('Track Data'!S1602,Acceleration!$K$4:$K$110,0)),IF('Track Data'!O1602=5,INDEX(Acceleration!$U$4:$U$110,MATCH('Track Data'!S1602,Acceleration!$K$4:$K$110,0)),1)),U1602)</f>
        <v>1</v>
      </c>
      <c r="AG1602" s="16">
        <f>IF(AC1602=0,IF(O1602=4,INDEX(Acceleration!$T$4:$T$110,MATCH('Track Data'!S1602,Acceleration!$K$4:$K$110,0)),IF('Track Data'!O1602=3,INDEX(Acceleration!$S$4:$S$110,MATCH('Track Data'!S1602,Acceleration!$K$4:$K$110,0)),'Track Data'!AF1602)),'Track Data'!U1602)</f>
        <v>4.7681251638049051</v>
      </c>
      <c r="AH1602" s="16">
        <f>IF(AC1602=0,IF(O1602=2,INDEX(Acceleration!$R$4:$R$110,MATCH('Track Data'!S1602,Acceleration!$K$4:$K$110,0)),IF('Track Data'!O1602=1,INDEX(Acceleration!$Q$4:$Q$110,MATCH('Track Data'!S1602,Acceleration!$K$4:$K$110,0)),'Track Data'!AG1602)),'Track Data'!U1602)</f>
        <v>4.7681251638049051</v>
      </c>
    </row>
    <row r="1603" spans="2:34" x14ac:dyDescent="0.25">
      <c r="B1603" s="16">
        <v>240.96799999999999</v>
      </c>
      <c r="C1603" s="16">
        <v>8873</v>
      </c>
      <c r="D1603" s="16">
        <v>1600</v>
      </c>
      <c r="E1603" s="113">
        <v>178</v>
      </c>
      <c r="F1603" s="113">
        <v>176.2</v>
      </c>
      <c r="G1603" s="113">
        <v>175.1</v>
      </c>
      <c r="H1603" s="113">
        <f t="shared" si="173"/>
        <v>48.638888888888886</v>
      </c>
      <c r="I1603" s="113">
        <v>2.2000000000000002</v>
      </c>
      <c r="J1603" s="113">
        <v>9.91</v>
      </c>
      <c r="K1603" s="113">
        <v>-1.2</v>
      </c>
      <c r="L1603" s="185"/>
      <c r="M1603" s="16">
        <v>1600</v>
      </c>
      <c r="N1603" s="16">
        <f t="shared" si="175"/>
        <v>2.3193845013838161E-2</v>
      </c>
      <c r="O1603" s="16">
        <v>4</v>
      </c>
      <c r="P1603" s="16">
        <f t="shared" si="171"/>
        <v>9.1833785004516724</v>
      </c>
      <c r="Q1603" s="16">
        <f t="shared" si="176"/>
        <v>43.114886703923787</v>
      </c>
      <c r="R1603" s="113">
        <f t="shared" si="172"/>
        <v>329.49099999999999</v>
      </c>
      <c r="S1603" s="16">
        <f>IF(S1602=15800,15800,ROUND((((Q1603*60)/'Gearing Calculator'!$C$14)*'Track Data'!P1603),-2))</f>
        <v>12000</v>
      </c>
      <c r="T1603" s="16">
        <f t="shared" si="174"/>
        <v>4.7681251638049051</v>
      </c>
      <c r="U1603" s="16">
        <f>IF(AC1603=100,Braking!$AG$2354,IF(AC1603=50,Braking!$AG$1179,IF(AC1603=75,Braking!$AG$1767,0)))</f>
        <v>0</v>
      </c>
      <c r="V1603" s="16">
        <f>0.5*'Gearing Calculator'!$C$15*'Gearing Calculator'!$C$20*'Gearing Calculator'!$W$20*('Track Data'!Q1603^2)</f>
        <v>196.74528332929273</v>
      </c>
      <c r="W1603" s="16">
        <f>('Gearing Calculator'!$U$9*'Track Data'!T1603)+'Track Data'!V1603</f>
        <v>1466.0202019341584</v>
      </c>
      <c r="X1603" s="16">
        <f>('Gearing Calculator'!$U$9*9.81)*('Gearing Calculator'!$U$16/'Gearing Calculator'!$C$7)-(('Track Data'!W1603)*('Gearing Calculator'!$U$17/'Gearing Calculator'!$C$7))</f>
        <v>602.08116995343585</v>
      </c>
      <c r="Y1603" s="16">
        <f>('Gearing Calculator'!$U$9*9.81)*(('Gearing Calculator'!$C$7-'Gearing Calculator'!$U$16)/'Gearing Calculator'!$C$7)+(('Track Data'!W1603)*('Gearing Calculator'!$U$17/'Gearing Calculator'!$C$7))</f>
        <v>2009.3408300465642</v>
      </c>
      <c r="Z1603" s="16">
        <f>((X1603*COS('Gearing Calculator'!$C$21))/'Gearing Calculator'!$C$22)/2</f>
        <v>18.614445554456719</v>
      </c>
      <c r="AA1603" s="16">
        <f>Y1603/'Gearing Calculator'!$C$24</f>
        <v>28.057137409402998</v>
      </c>
      <c r="AB1603" s="16">
        <f t="shared" si="177"/>
        <v>215.81778398451235</v>
      </c>
      <c r="AC1603" s="16">
        <v>0</v>
      </c>
      <c r="AD1603" s="16">
        <v>0</v>
      </c>
      <c r="AE1603" s="16">
        <v>1600</v>
      </c>
      <c r="AF1603" s="16">
        <f>IF(AC1603=0,IF(O1603=6,INDEX(Acceleration!$V$4:$V$110,MATCH('Track Data'!S1603,Acceleration!$K$4:$K$110,0)),IF('Track Data'!O1603=5,INDEX(Acceleration!$U$4:$U$110,MATCH('Track Data'!S1603,Acceleration!$K$4:$K$110,0)),1)),U1603)</f>
        <v>1</v>
      </c>
      <c r="AG1603" s="16">
        <f>IF(AC1603=0,IF(O1603=4,INDEX(Acceleration!$T$4:$T$110,MATCH('Track Data'!S1603,Acceleration!$K$4:$K$110,0)),IF('Track Data'!O1603=3,INDEX(Acceleration!$S$4:$S$110,MATCH('Track Data'!S1603,Acceleration!$K$4:$K$110,0)),'Track Data'!AF1603)),'Track Data'!U1603)</f>
        <v>4.7681251638049051</v>
      </c>
      <c r="AH1603" s="16">
        <f>IF(AC1603=0,IF(O1603=2,INDEX(Acceleration!$R$4:$R$110,MATCH('Track Data'!S1603,Acceleration!$K$4:$K$110,0)),IF('Track Data'!O1603=1,INDEX(Acceleration!$Q$4:$Q$110,MATCH('Track Data'!S1603,Acceleration!$K$4:$K$110,0)),'Track Data'!AG1603)),'Track Data'!U1603)</f>
        <v>4.7681251638049051</v>
      </c>
    </row>
    <row r="1604" spans="2:34" x14ac:dyDescent="0.25">
      <c r="B1604" s="16">
        <v>240.988</v>
      </c>
      <c r="C1604" s="16">
        <v>8874</v>
      </c>
      <c r="D1604" s="16">
        <v>1601</v>
      </c>
      <c r="E1604" s="113">
        <v>179</v>
      </c>
      <c r="F1604" s="113">
        <v>176.4</v>
      </c>
      <c r="G1604" s="113">
        <v>175.4</v>
      </c>
      <c r="H1604" s="113">
        <f t="shared" si="173"/>
        <v>48.722222222222221</v>
      </c>
      <c r="I1604" s="113">
        <v>2.2000000000000002</v>
      </c>
      <c r="J1604" s="113">
        <v>9.77</v>
      </c>
      <c r="K1604" s="113">
        <v>-1.2</v>
      </c>
      <c r="L1604" s="185"/>
      <c r="M1604" s="16">
        <v>1601</v>
      </c>
      <c r="N1604" s="16">
        <f t="shared" si="175"/>
        <v>2.3134579937872705E-2</v>
      </c>
      <c r="O1604" s="16">
        <v>4</v>
      </c>
      <c r="P1604" s="16">
        <f t="shared" ref="P1604:P1667" si="178">VLOOKUP(O1604,$AJ$5:$AK$10,2,FALSE)</f>
        <v>9.1833785004516724</v>
      </c>
      <c r="Q1604" s="16">
        <f t="shared" si="176"/>
        <v>43.225336387584008</v>
      </c>
      <c r="R1604" s="113">
        <f t="shared" ref="R1604:R1667" si="179">VLOOKUP(O1604,$AJ$5:$AL$10,3,FALSE)</f>
        <v>329.49099999999999</v>
      </c>
      <c r="S1604" s="16">
        <f>IF(S1603=15800,15800,ROUND((((Q1604*60)/'Gearing Calculator'!$C$14)*'Track Data'!P1604),-2))</f>
        <v>12000</v>
      </c>
      <c r="T1604" s="16">
        <f t="shared" si="174"/>
        <v>4.7681251638049051</v>
      </c>
      <c r="U1604" s="16">
        <f>IF(AC1604=100,Braking!$AG$2354,IF(AC1604=50,Braking!$AG$1179,IF(AC1604=75,Braking!$AG$1767,0)))</f>
        <v>0</v>
      </c>
      <c r="V1604" s="16">
        <f>0.5*'Gearing Calculator'!$C$15*'Gearing Calculator'!$C$20*'Gearing Calculator'!$W$20*('Track Data'!Q1604^2)</f>
        <v>197.75460006396699</v>
      </c>
      <c r="W1604" s="16">
        <f>('Gearing Calculator'!$U$9*'Track Data'!T1604)+'Track Data'!V1604</f>
        <v>1467.0295186688327</v>
      </c>
      <c r="X1604" s="16">
        <f>('Gearing Calculator'!$U$9*9.81)*('Gearing Calculator'!$U$16/'Gearing Calculator'!$C$7)-(('Track Data'!W1604)*('Gearing Calculator'!$U$17/'Gearing Calculator'!$C$7))</f>
        <v>601.53102340303064</v>
      </c>
      <c r="Y1604" s="16">
        <f>('Gearing Calculator'!$U$9*9.81)*(('Gearing Calculator'!$C$7-'Gearing Calculator'!$U$16)/'Gearing Calculator'!$C$7)+(('Track Data'!W1604)*('Gearing Calculator'!$U$17/'Gearing Calculator'!$C$7))</f>
        <v>2009.8909765969693</v>
      </c>
      <c r="Z1604" s="16">
        <f>((X1604*COS('Gearing Calculator'!$C$21))/'Gearing Calculator'!$C$22)/2</f>
        <v>18.597436763083486</v>
      </c>
      <c r="AA1604" s="16">
        <f>Y1604/'Gearing Calculator'!$C$24</f>
        <v>28.064819300463594</v>
      </c>
      <c r="AB1604" s="16">
        <f t="shared" si="177"/>
        <v>216.8271007191866</v>
      </c>
      <c r="AC1604" s="16">
        <v>0</v>
      </c>
      <c r="AD1604" s="16">
        <v>0</v>
      </c>
      <c r="AE1604" s="16">
        <v>1601</v>
      </c>
      <c r="AF1604" s="16">
        <f>IF(AC1604=0,IF(O1604=6,INDEX(Acceleration!$V$4:$V$110,MATCH('Track Data'!S1604,Acceleration!$K$4:$K$110,0)),IF('Track Data'!O1604=5,INDEX(Acceleration!$U$4:$U$110,MATCH('Track Data'!S1604,Acceleration!$K$4:$K$110,0)),1)),U1604)</f>
        <v>1</v>
      </c>
      <c r="AG1604" s="16">
        <f>IF(AC1604=0,IF(O1604=4,INDEX(Acceleration!$T$4:$T$110,MATCH('Track Data'!S1604,Acceleration!$K$4:$K$110,0)),IF('Track Data'!O1604=3,INDEX(Acceleration!$S$4:$S$110,MATCH('Track Data'!S1604,Acceleration!$K$4:$K$110,0)),'Track Data'!AF1604)),'Track Data'!U1604)</f>
        <v>4.7681251638049051</v>
      </c>
      <c r="AH1604" s="16">
        <f>IF(AC1604=0,IF(O1604=2,INDEX(Acceleration!$R$4:$R$110,MATCH('Track Data'!S1604,Acceleration!$K$4:$K$110,0)),IF('Track Data'!O1604=1,INDEX(Acceleration!$Q$4:$Q$110,MATCH('Track Data'!S1604,Acceleration!$K$4:$K$110,0)),'Track Data'!AG1604)),'Track Data'!U1604)</f>
        <v>4.7681251638049051</v>
      </c>
    </row>
    <row r="1605" spans="2:34" x14ac:dyDescent="0.25">
      <c r="B1605" s="16">
        <v>241.00899999999999</v>
      </c>
      <c r="C1605" s="16">
        <v>8875</v>
      </c>
      <c r="D1605" s="16">
        <v>1602</v>
      </c>
      <c r="E1605" s="113">
        <v>179</v>
      </c>
      <c r="F1605" s="113">
        <v>176.7</v>
      </c>
      <c r="G1605" s="113">
        <v>175.6</v>
      </c>
      <c r="H1605" s="113">
        <f t="shared" ref="H1605:H1668" si="180">G1605/3.6</f>
        <v>48.777777777777771</v>
      </c>
      <c r="I1605" s="113">
        <v>2.4</v>
      </c>
      <c r="J1605" s="113">
        <v>9.6199999999999992</v>
      </c>
      <c r="K1605" s="113">
        <v>-1.2</v>
      </c>
      <c r="L1605" s="185"/>
      <c r="M1605" s="16">
        <v>1602</v>
      </c>
      <c r="N1605" s="16">
        <f t="shared" si="175"/>
        <v>2.307576685613617E-2</v>
      </c>
      <c r="O1605" s="16">
        <v>4</v>
      </c>
      <c r="P1605" s="16">
        <f t="shared" si="178"/>
        <v>9.1833785004516724</v>
      </c>
      <c r="Q1605" s="16">
        <f t="shared" si="176"/>
        <v>43.33550456781834</v>
      </c>
      <c r="R1605" s="113">
        <f t="shared" si="179"/>
        <v>329.49099999999999</v>
      </c>
      <c r="S1605" s="16">
        <f>IF(S1604=15800,15800,ROUND((((Q1605*60)/'Gearing Calculator'!$C$14)*'Track Data'!P1605),-2))</f>
        <v>12100</v>
      </c>
      <c r="T1605" s="16">
        <f t="shared" ref="T1605:T1668" si="181">AH1605</f>
        <v>4.8208358613991411</v>
      </c>
      <c r="U1605" s="16">
        <f>IF(AC1605=100,Braking!$AG$2354,IF(AC1605=50,Braking!$AG$1179,IF(AC1605=75,Braking!$AG$1767,0)))</f>
        <v>0</v>
      </c>
      <c r="V1605" s="16">
        <f>0.5*'Gearing Calculator'!$C$15*'Gearing Calculator'!$C$20*'Gearing Calculator'!$W$20*('Track Data'!Q1605^2)</f>
        <v>198.76391679864125</v>
      </c>
      <c r="W1605" s="16">
        <f>('Gearing Calculator'!$U$9*'Track Data'!T1605)+'Track Data'!V1605</f>
        <v>1482.0704231030925</v>
      </c>
      <c r="X1605" s="16">
        <f>('Gearing Calculator'!$U$9*9.81)*('Gearing Calculator'!$U$16/'Gearing Calculator'!$C$7)-(('Track Data'!W1605)*('Gearing Calculator'!$U$17/'Gearing Calculator'!$C$7))</f>
        <v>593.33270328684546</v>
      </c>
      <c r="Y1605" s="16">
        <f>('Gearing Calculator'!$U$9*9.81)*(('Gearing Calculator'!$C$7-'Gearing Calculator'!$U$16)/'Gearing Calculator'!$C$7)+(('Track Data'!W1605)*('Gearing Calculator'!$U$17/'Gearing Calculator'!$C$7))</f>
        <v>2018.0892967131545</v>
      </c>
      <c r="Z1605" s="16">
        <f>((X1605*COS('Gearing Calculator'!$C$21))/'Gearing Calculator'!$C$22)/2</f>
        <v>18.343970634168443</v>
      </c>
      <c r="AA1605" s="16">
        <f>Y1605/'Gearing Calculator'!$C$24</f>
        <v>28.179295346829878</v>
      </c>
      <c r="AB1605" s="16">
        <f t="shared" si="177"/>
        <v>218.0472602442378</v>
      </c>
      <c r="AC1605" s="16">
        <v>0</v>
      </c>
      <c r="AD1605" s="16">
        <v>0</v>
      </c>
      <c r="AE1605" s="16">
        <v>1602</v>
      </c>
      <c r="AF1605" s="16">
        <f>IF(AC1605=0,IF(O1605=6,INDEX(Acceleration!$V$4:$V$110,MATCH('Track Data'!S1605,Acceleration!$K$4:$K$110,0)),IF('Track Data'!O1605=5,INDEX(Acceleration!$U$4:$U$110,MATCH('Track Data'!S1605,Acceleration!$K$4:$K$110,0)),1)),U1605)</f>
        <v>1</v>
      </c>
      <c r="AG1605" s="16">
        <f>IF(AC1605=0,IF(O1605=4,INDEX(Acceleration!$T$4:$T$110,MATCH('Track Data'!S1605,Acceleration!$K$4:$K$110,0)),IF('Track Data'!O1605=3,INDEX(Acceleration!$S$4:$S$110,MATCH('Track Data'!S1605,Acceleration!$K$4:$K$110,0)),'Track Data'!AF1605)),'Track Data'!U1605)</f>
        <v>4.8208358613991411</v>
      </c>
      <c r="AH1605" s="16">
        <f>IF(AC1605=0,IF(O1605=2,INDEX(Acceleration!$R$4:$R$110,MATCH('Track Data'!S1605,Acceleration!$K$4:$K$110,0)),IF('Track Data'!O1605=1,INDEX(Acceleration!$Q$4:$Q$110,MATCH('Track Data'!S1605,Acceleration!$K$4:$K$110,0)),'Track Data'!AG1605)),'Track Data'!U1605)</f>
        <v>4.8208358613991411</v>
      </c>
    </row>
    <row r="1606" spans="2:34" x14ac:dyDescent="0.25">
      <c r="B1606" s="16">
        <v>241.029</v>
      </c>
      <c r="C1606" s="16">
        <v>8876</v>
      </c>
      <c r="D1606" s="16">
        <v>1603</v>
      </c>
      <c r="E1606" s="113">
        <v>179</v>
      </c>
      <c r="F1606" s="113">
        <v>177.2</v>
      </c>
      <c r="G1606" s="113">
        <v>175.9</v>
      </c>
      <c r="H1606" s="113">
        <f t="shared" si="180"/>
        <v>48.861111111111114</v>
      </c>
      <c r="I1606" s="113">
        <v>3.5</v>
      </c>
      <c r="J1606" s="113">
        <v>8.7100000000000009</v>
      </c>
      <c r="K1606" s="113">
        <v>-1.2</v>
      </c>
      <c r="L1606" s="185"/>
      <c r="M1606" s="16">
        <v>1603</v>
      </c>
      <c r="N1606" s="16">
        <f t="shared" ref="N1606:N1669" si="182">1/Q1606</f>
        <v>2.3016757291565708E-2</v>
      </c>
      <c r="O1606" s="16">
        <v>4</v>
      </c>
      <c r="P1606" s="16">
        <f t="shared" si="178"/>
        <v>9.1833785004516724</v>
      </c>
      <c r="Q1606" s="16">
        <f t="shared" ref="Q1606:Q1669" si="183">IF(AD1605=0,SQRT(Q1605^2+(2*T1605)),Q1605)</f>
        <v>43.446606632396538</v>
      </c>
      <c r="R1606" s="113">
        <f t="shared" si="179"/>
        <v>329.49099999999999</v>
      </c>
      <c r="S1606" s="16">
        <f>IF(S1605=15800,15800,ROUND((((Q1606*60)/'Gearing Calculator'!$C$14)*'Track Data'!P1606),-2))</f>
        <v>12100</v>
      </c>
      <c r="T1606" s="16">
        <f t="shared" si="181"/>
        <v>4.8208358613991411</v>
      </c>
      <c r="U1606" s="16">
        <f>IF(AC1606=100,Braking!$AG$2354,IF(AC1606=50,Braking!$AG$1179,IF(AC1606=75,Braking!$AG$1767,0)))</f>
        <v>0</v>
      </c>
      <c r="V1606" s="16">
        <f>0.5*'Gearing Calculator'!$C$15*'Gearing Calculator'!$C$20*'Gearing Calculator'!$W$20*('Track Data'!Q1606^2)</f>
        <v>199.78439133378225</v>
      </c>
      <c r="W1606" s="16">
        <f>('Gearing Calculator'!$U$9*'Track Data'!T1606)+'Track Data'!V1606</f>
        <v>1483.0908976382334</v>
      </c>
      <c r="X1606" s="16">
        <f>('Gearing Calculator'!$U$9*9.81)*('Gearing Calculator'!$U$16/'Gearing Calculator'!$C$7)-(('Track Data'!W1606)*('Gearing Calculator'!$U$17/'Gearing Calculator'!$C$7))</f>
        <v>592.7764749731781</v>
      </c>
      <c r="Y1606" s="16">
        <f>('Gearing Calculator'!$U$9*9.81)*(('Gearing Calculator'!$C$7-'Gearing Calculator'!$U$16)/'Gearing Calculator'!$C$7)+(('Track Data'!W1606)*('Gearing Calculator'!$U$17/'Gearing Calculator'!$C$7))</f>
        <v>2018.6455250268218</v>
      </c>
      <c r="Z1606" s="16">
        <f>((X1606*COS('Gearing Calculator'!$C$21))/'Gearing Calculator'!$C$22)/2</f>
        <v>18.326773813910126</v>
      </c>
      <c r="AA1606" s="16">
        <f>Y1606/'Gearing Calculator'!$C$24</f>
        <v>28.18706215970413</v>
      </c>
      <c r="AB1606" s="16">
        <f t="shared" si="177"/>
        <v>219.06773477937881</v>
      </c>
      <c r="AC1606" s="16">
        <v>0</v>
      </c>
      <c r="AD1606" s="16">
        <v>0</v>
      </c>
      <c r="AE1606" s="16">
        <v>1603</v>
      </c>
      <c r="AF1606" s="16">
        <f>IF(AC1606=0,IF(O1606=6,INDEX(Acceleration!$V$4:$V$110,MATCH('Track Data'!S1606,Acceleration!$K$4:$K$110,0)),IF('Track Data'!O1606=5,INDEX(Acceleration!$U$4:$U$110,MATCH('Track Data'!S1606,Acceleration!$K$4:$K$110,0)),1)),U1606)</f>
        <v>1</v>
      </c>
      <c r="AG1606" s="16">
        <f>IF(AC1606=0,IF(O1606=4,INDEX(Acceleration!$T$4:$T$110,MATCH('Track Data'!S1606,Acceleration!$K$4:$K$110,0)),IF('Track Data'!O1606=3,INDEX(Acceleration!$S$4:$S$110,MATCH('Track Data'!S1606,Acceleration!$K$4:$K$110,0)),'Track Data'!AF1606)),'Track Data'!U1606)</f>
        <v>4.8208358613991411</v>
      </c>
      <c r="AH1606" s="16">
        <f>IF(AC1606=0,IF(O1606=2,INDEX(Acceleration!$R$4:$R$110,MATCH('Track Data'!S1606,Acceleration!$K$4:$K$110,0)),IF('Track Data'!O1606=1,INDEX(Acceleration!$Q$4:$Q$110,MATCH('Track Data'!S1606,Acceleration!$K$4:$K$110,0)),'Track Data'!AG1606)),'Track Data'!U1606)</f>
        <v>4.8208358613991411</v>
      </c>
    </row>
    <row r="1607" spans="2:34" x14ac:dyDescent="0.25">
      <c r="B1607" s="16">
        <v>241.04900000000001</v>
      </c>
      <c r="C1607" s="16">
        <v>8877</v>
      </c>
      <c r="D1607" s="16">
        <v>1604</v>
      </c>
      <c r="E1607" s="113">
        <v>179</v>
      </c>
      <c r="F1607" s="113">
        <v>177.7</v>
      </c>
      <c r="G1607" s="113">
        <v>176.1</v>
      </c>
      <c r="H1607" s="113">
        <f t="shared" si="180"/>
        <v>48.916666666666664</v>
      </c>
      <c r="I1607" s="113">
        <v>3.7</v>
      </c>
      <c r="J1607" s="113">
        <v>10.46</v>
      </c>
      <c r="K1607" s="113">
        <v>-1.1000000000000001</v>
      </c>
      <c r="L1607" s="185"/>
      <c r="M1607" s="16">
        <v>1604</v>
      </c>
      <c r="N1607" s="16">
        <f t="shared" si="182"/>
        <v>2.2958198123381967E-2</v>
      </c>
      <c r="O1607" s="16">
        <v>4</v>
      </c>
      <c r="P1607" s="16">
        <f t="shared" si="178"/>
        <v>9.1833785004516724</v>
      </c>
      <c r="Q1607" s="16">
        <f t="shared" si="183"/>
        <v>43.557425309503785</v>
      </c>
      <c r="R1607" s="113">
        <f t="shared" si="179"/>
        <v>329.49099999999999</v>
      </c>
      <c r="S1607" s="16">
        <f>IF(S1606=15800,15800,ROUND((((Q1607*60)/'Gearing Calculator'!$C$14)*'Track Data'!P1607),-2))</f>
        <v>12100</v>
      </c>
      <c r="T1607" s="16">
        <f t="shared" si="181"/>
        <v>4.8208358613991411</v>
      </c>
      <c r="U1607" s="16">
        <f>IF(AC1607=100,Braking!$AG$2354,IF(AC1607=50,Braking!$AG$1179,IF(AC1607=75,Braking!$AG$1767,0)))</f>
        <v>0</v>
      </c>
      <c r="V1607" s="16">
        <f>0.5*'Gearing Calculator'!$C$15*'Gearing Calculator'!$C$20*'Gearing Calculator'!$W$20*('Track Data'!Q1607^2)</f>
        <v>200.8048658689232</v>
      </c>
      <c r="W1607" s="16">
        <f>('Gearing Calculator'!$U$9*'Track Data'!T1607)+'Track Data'!V1607</f>
        <v>1484.1113721733743</v>
      </c>
      <c r="X1607" s="16">
        <f>('Gearing Calculator'!$U$9*9.81)*('Gearing Calculator'!$U$16/'Gearing Calculator'!$C$7)-(('Track Data'!W1607)*('Gearing Calculator'!$U$17/'Gearing Calculator'!$C$7))</f>
        <v>592.22024665951074</v>
      </c>
      <c r="Y1607" s="16">
        <f>('Gearing Calculator'!$U$9*9.81)*(('Gearing Calculator'!$C$7-'Gearing Calculator'!$U$16)/'Gearing Calculator'!$C$7)+(('Track Data'!W1607)*('Gearing Calculator'!$U$17/'Gearing Calculator'!$C$7))</f>
        <v>2019.2017533404892</v>
      </c>
      <c r="Z1607" s="16">
        <f>((X1607*COS('Gearing Calculator'!$C$21))/'Gearing Calculator'!$C$22)/2</f>
        <v>18.309576993651806</v>
      </c>
      <c r="AA1607" s="16">
        <f>Y1607/'Gearing Calculator'!$C$24</f>
        <v>28.194828972578385</v>
      </c>
      <c r="AB1607" s="16">
        <f t="shared" si="177"/>
        <v>220.08820931451976</v>
      </c>
      <c r="AC1607" s="16">
        <v>0</v>
      </c>
      <c r="AD1607" s="16">
        <v>0</v>
      </c>
      <c r="AE1607" s="16">
        <v>1604</v>
      </c>
      <c r="AF1607" s="16">
        <f>IF(AC1607=0,IF(O1607=6,INDEX(Acceleration!$V$4:$V$110,MATCH('Track Data'!S1607,Acceleration!$K$4:$K$110,0)),IF('Track Data'!O1607=5,INDEX(Acceleration!$U$4:$U$110,MATCH('Track Data'!S1607,Acceleration!$K$4:$K$110,0)),1)),U1607)</f>
        <v>1</v>
      </c>
      <c r="AG1607" s="16">
        <f>IF(AC1607=0,IF(O1607=4,INDEX(Acceleration!$T$4:$T$110,MATCH('Track Data'!S1607,Acceleration!$K$4:$K$110,0)),IF('Track Data'!O1607=3,INDEX(Acceleration!$S$4:$S$110,MATCH('Track Data'!S1607,Acceleration!$K$4:$K$110,0)),'Track Data'!AF1607)),'Track Data'!U1607)</f>
        <v>4.8208358613991411</v>
      </c>
      <c r="AH1607" s="16">
        <f>IF(AC1607=0,IF(O1607=2,INDEX(Acceleration!$R$4:$R$110,MATCH('Track Data'!S1607,Acceleration!$K$4:$K$110,0)),IF('Track Data'!O1607=1,INDEX(Acceleration!$Q$4:$Q$110,MATCH('Track Data'!S1607,Acceleration!$K$4:$K$110,0)),'Track Data'!AG1607)),'Track Data'!U1607)</f>
        <v>4.8208358613991411</v>
      </c>
    </row>
    <row r="1608" spans="2:34" x14ac:dyDescent="0.25">
      <c r="B1608" s="16">
        <v>241.06899999999999</v>
      </c>
      <c r="C1608" s="16">
        <v>8878</v>
      </c>
      <c r="D1608" s="16">
        <v>1605</v>
      </c>
      <c r="E1608" s="113">
        <v>180</v>
      </c>
      <c r="F1608" s="113">
        <v>178</v>
      </c>
      <c r="G1608" s="113">
        <v>176.4</v>
      </c>
      <c r="H1608" s="113">
        <f t="shared" si="180"/>
        <v>49</v>
      </c>
      <c r="I1608" s="113">
        <v>3.8</v>
      </c>
      <c r="J1608" s="113">
        <v>10.86</v>
      </c>
      <c r="K1608" s="113">
        <v>-0.9</v>
      </c>
      <c r="L1608" s="185"/>
      <c r="M1608" s="16">
        <v>1605</v>
      </c>
      <c r="N1608" s="16">
        <f t="shared" si="182"/>
        <v>2.2900083651092976E-2</v>
      </c>
      <c r="O1608" s="16">
        <v>4</v>
      </c>
      <c r="P1608" s="16">
        <f t="shared" si="178"/>
        <v>9.1833785004516724</v>
      </c>
      <c r="Q1608" s="16">
        <f t="shared" si="183"/>
        <v>43.667962756645736</v>
      </c>
      <c r="R1608" s="113">
        <f t="shared" si="179"/>
        <v>329.49099999999999</v>
      </c>
      <c r="S1608" s="16">
        <f>IF(S1607=15800,15800,ROUND((((Q1608*60)/'Gearing Calculator'!$C$14)*'Track Data'!P1608),-2))</f>
        <v>12200</v>
      </c>
      <c r="T1608" s="16">
        <f t="shared" si="181"/>
        <v>4.8209066787706405</v>
      </c>
      <c r="U1608" s="16">
        <f>IF(AC1608=100,Braking!$AG$2354,IF(AC1608=50,Braking!$AG$1179,IF(AC1608=75,Braking!$AG$1767,0)))</f>
        <v>0</v>
      </c>
      <c r="V1608" s="16">
        <f>0.5*'Gearing Calculator'!$C$15*'Gearing Calculator'!$C$20*'Gearing Calculator'!$W$20*('Track Data'!Q1608^2)</f>
        <v>201.82534040406415</v>
      </c>
      <c r="W1608" s="16">
        <f>('Gearing Calculator'!$U$9*'Track Data'!T1608)+'Track Data'!V1608</f>
        <v>1485.1506982928086</v>
      </c>
      <c r="X1608" s="16">
        <f>('Gearing Calculator'!$U$9*9.81)*('Gearing Calculator'!$U$16/'Gearing Calculator'!$C$7)-(('Track Data'!W1608)*('Gearing Calculator'!$U$17/'Gearing Calculator'!$C$7))</f>
        <v>591.65374294495837</v>
      </c>
      <c r="Y1608" s="16">
        <f>('Gearing Calculator'!$U$9*9.81)*(('Gearing Calculator'!$C$7-'Gearing Calculator'!$U$16)/'Gearing Calculator'!$C$7)+(('Track Data'!W1608)*('Gearing Calculator'!$U$17/'Gearing Calculator'!$C$7))</f>
        <v>2019.7682570550417</v>
      </c>
      <c r="Z1608" s="16">
        <f>((X1608*COS('Gearing Calculator'!$C$21))/'Gearing Calculator'!$C$22)/2</f>
        <v>18.292062490496445</v>
      </c>
      <c r="AA1608" s="16">
        <f>Y1608/'Gearing Calculator'!$C$24</f>
        <v>28.202739264513159</v>
      </c>
      <c r="AB1608" s="16">
        <f t="shared" si="177"/>
        <v>221.10896711914671</v>
      </c>
      <c r="AC1608" s="16">
        <v>0</v>
      </c>
      <c r="AD1608" s="16">
        <v>0</v>
      </c>
      <c r="AE1608" s="16">
        <v>1605</v>
      </c>
      <c r="AF1608" s="16">
        <f>IF(AC1608=0,IF(O1608=6,INDEX(Acceleration!$V$4:$V$110,MATCH('Track Data'!S1608,Acceleration!$K$4:$K$110,0)),IF('Track Data'!O1608=5,INDEX(Acceleration!$U$4:$U$110,MATCH('Track Data'!S1608,Acceleration!$K$4:$K$110,0)),1)),U1608)</f>
        <v>1</v>
      </c>
      <c r="AG1608" s="16">
        <f>IF(AC1608=0,IF(O1608=4,INDEX(Acceleration!$T$4:$T$110,MATCH('Track Data'!S1608,Acceleration!$K$4:$K$110,0)),IF('Track Data'!O1608=3,INDEX(Acceleration!$S$4:$S$110,MATCH('Track Data'!S1608,Acceleration!$K$4:$K$110,0)),'Track Data'!AF1608)),'Track Data'!U1608)</f>
        <v>4.8209066787706405</v>
      </c>
      <c r="AH1608" s="16">
        <f>IF(AC1608=0,IF(O1608=2,INDEX(Acceleration!$R$4:$R$110,MATCH('Track Data'!S1608,Acceleration!$K$4:$K$110,0)),IF('Track Data'!O1608=1,INDEX(Acceleration!$Q$4:$Q$110,MATCH('Track Data'!S1608,Acceleration!$K$4:$K$110,0)),'Track Data'!AG1608)),'Track Data'!U1608)</f>
        <v>4.8209066787706405</v>
      </c>
    </row>
    <row r="1609" spans="2:34" x14ac:dyDescent="0.25">
      <c r="B1609" s="16">
        <v>241.09</v>
      </c>
      <c r="C1609" s="16">
        <v>8879</v>
      </c>
      <c r="D1609" s="16">
        <v>1606</v>
      </c>
      <c r="E1609" s="113">
        <v>180</v>
      </c>
      <c r="F1609" s="113">
        <v>178.4</v>
      </c>
      <c r="G1609" s="113">
        <v>176.8</v>
      </c>
      <c r="H1609" s="113">
        <f t="shared" si="180"/>
        <v>49.111111111111114</v>
      </c>
      <c r="I1609" s="113">
        <v>4.0999999999999996</v>
      </c>
      <c r="J1609" s="113">
        <v>12.45</v>
      </c>
      <c r="K1609" s="113">
        <v>-0.4</v>
      </c>
      <c r="L1609" s="185"/>
      <c r="M1609" s="16">
        <v>1606</v>
      </c>
      <c r="N1609" s="16">
        <f t="shared" si="182"/>
        <v>2.2842407430661849E-2</v>
      </c>
      <c r="O1609" s="16">
        <v>4</v>
      </c>
      <c r="P1609" s="16">
        <f t="shared" si="178"/>
        <v>9.1833785004516724</v>
      </c>
      <c r="Q1609" s="16">
        <f t="shared" si="183"/>
        <v>43.778222721729357</v>
      </c>
      <c r="R1609" s="113">
        <f t="shared" si="179"/>
        <v>329.49099999999999</v>
      </c>
      <c r="S1609" s="16">
        <f>IF(S1608=15800,15800,ROUND((((Q1609*60)/'Gearing Calculator'!$C$14)*'Track Data'!P1609),-2))</f>
        <v>12200</v>
      </c>
      <c r="T1609" s="16">
        <f t="shared" si="181"/>
        <v>4.8209066787706405</v>
      </c>
      <c r="U1609" s="16">
        <f>IF(AC1609=100,Braking!$AG$2354,IF(AC1609=50,Braking!$AG$1179,IF(AC1609=75,Braking!$AG$1767,0)))</f>
        <v>0</v>
      </c>
      <c r="V1609" s="16">
        <f>0.5*'Gearing Calculator'!$C$15*'Gearing Calculator'!$C$20*'Gearing Calculator'!$W$20*('Track Data'!Q1609^2)</f>
        <v>202.84582992982635</v>
      </c>
      <c r="W1609" s="16">
        <f>('Gearing Calculator'!$U$9*'Track Data'!T1609)+'Track Data'!V1609</f>
        <v>1486.1711878185708</v>
      </c>
      <c r="X1609" s="16">
        <f>('Gearing Calculator'!$U$9*9.81)*('Gearing Calculator'!$U$16/'Gearing Calculator'!$C$7)-(('Track Data'!W1609)*('Gearing Calculator'!$U$17/'Gearing Calculator'!$C$7))</f>
        <v>591.09750646037867</v>
      </c>
      <c r="Y1609" s="16">
        <f>('Gearing Calculator'!$U$9*9.81)*(('Gearing Calculator'!$C$7-'Gearing Calculator'!$U$16)/'Gearing Calculator'!$C$7)+(('Track Data'!W1609)*('Gearing Calculator'!$U$17/'Gearing Calculator'!$C$7))</f>
        <v>2020.3244935396215</v>
      </c>
      <c r="Z1609" s="16">
        <f>((X1609*COS('Gearing Calculator'!$C$21))/'Gearing Calculator'!$C$22)/2</f>
        <v>18.274865417619356</v>
      </c>
      <c r="AA1609" s="16">
        <f>Y1609/'Gearing Calculator'!$C$24</f>
        <v>28.210506191480757</v>
      </c>
      <c r="AB1609" s="16">
        <f t="shared" si="177"/>
        <v>222.12945664490891</v>
      </c>
      <c r="AC1609" s="16">
        <v>0</v>
      </c>
      <c r="AD1609" s="16">
        <v>0</v>
      </c>
      <c r="AE1609" s="16">
        <v>1606</v>
      </c>
      <c r="AF1609" s="16">
        <f>IF(AC1609=0,IF(O1609=6,INDEX(Acceleration!$V$4:$V$110,MATCH('Track Data'!S1609,Acceleration!$K$4:$K$110,0)),IF('Track Data'!O1609=5,INDEX(Acceleration!$U$4:$U$110,MATCH('Track Data'!S1609,Acceleration!$K$4:$K$110,0)),1)),U1609)</f>
        <v>1</v>
      </c>
      <c r="AG1609" s="16">
        <f>IF(AC1609=0,IF(O1609=4,INDEX(Acceleration!$T$4:$T$110,MATCH('Track Data'!S1609,Acceleration!$K$4:$K$110,0)),IF('Track Data'!O1609=3,INDEX(Acceleration!$S$4:$S$110,MATCH('Track Data'!S1609,Acceleration!$K$4:$K$110,0)),'Track Data'!AF1609)),'Track Data'!U1609)</f>
        <v>4.8209066787706405</v>
      </c>
      <c r="AH1609" s="16">
        <f>IF(AC1609=0,IF(O1609=2,INDEX(Acceleration!$R$4:$R$110,MATCH('Track Data'!S1609,Acceleration!$K$4:$K$110,0)),IF('Track Data'!O1609=1,INDEX(Acceleration!$Q$4:$Q$110,MATCH('Track Data'!S1609,Acceleration!$K$4:$K$110,0)),'Track Data'!AG1609)),'Track Data'!U1609)</f>
        <v>4.8209066787706405</v>
      </c>
    </row>
    <row r="1610" spans="2:34" x14ac:dyDescent="0.25">
      <c r="B1610" s="16">
        <v>241.11</v>
      </c>
      <c r="C1610" s="16">
        <v>8880</v>
      </c>
      <c r="D1610" s="16">
        <v>1607</v>
      </c>
      <c r="E1610" s="113">
        <v>180</v>
      </c>
      <c r="F1610" s="113">
        <v>178.8</v>
      </c>
      <c r="G1610" s="113">
        <v>177.1</v>
      </c>
      <c r="H1610" s="113">
        <f t="shared" si="180"/>
        <v>49.194444444444443</v>
      </c>
      <c r="I1610" s="113">
        <v>4.7</v>
      </c>
      <c r="J1610" s="113">
        <v>12.44</v>
      </c>
      <c r="K1610" s="113">
        <v>-0.1</v>
      </c>
      <c r="L1610" s="185"/>
      <c r="M1610" s="16">
        <v>1607</v>
      </c>
      <c r="N1610" s="16">
        <f t="shared" si="182"/>
        <v>2.2785164817033347E-2</v>
      </c>
      <c r="O1610" s="16">
        <v>4</v>
      </c>
      <c r="P1610" s="16">
        <f t="shared" si="178"/>
        <v>9.1833785004516724</v>
      </c>
      <c r="Q1610" s="16">
        <f t="shared" si="183"/>
        <v>43.888205682516592</v>
      </c>
      <c r="R1610" s="113">
        <f t="shared" si="179"/>
        <v>329.49099999999999</v>
      </c>
      <c r="S1610" s="16">
        <f>IF(S1609=15800,15800,ROUND((((Q1610*60)/'Gearing Calculator'!$C$14)*'Track Data'!P1610),-2))</f>
        <v>12200</v>
      </c>
      <c r="T1610" s="16">
        <f t="shared" si="181"/>
        <v>4.8209066787706405</v>
      </c>
      <c r="U1610" s="16">
        <f>IF(AC1610=100,Braking!$AG$2354,IF(AC1610=50,Braking!$AG$1179,IF(AC1610=75,Braking!$AG$1767,0)))</f>
        <v>0</v>
      </c>
      <c r="V1610" s="16">
        <f>0.5*'Gearing Calculator'!$C$15*'Gearing Calculator'!$C$20*'Gearing Calculator'!$W$20*('Track Data'!Q1610^2)</f>
        <v>203.8663194555885</v>
      </c>
      <c r="W1610" s="16">
        <f>('Gearing Calculator'!$U$9*'Track Data'!T1610)+'Track Data'!V1610</f>
        <v>1487.1916773443331</v>
      </c>
      <c r="X1610" s="16">
        <f>('Gearing Calculator'!$U$9*9.81)*('Gearing Calculator'!$U$16/'Gearing Calculator'!$C$7)-(('Track Data'!W1610)*('Gearing Calculator'!$U$17/'Gearing Calculator'!$C$7))</f>
        <v>590.54126997579885</v>
      </c>
      <c r="Y1610" s="16">
        <f>('Gearing Calculator'!$U$9*9.81)*(('Gearing Calculator'!$C$7-'Gearing Calculator'!$U$16)/'Gearing Calculator'!$C$7)+(('Track Data'!W1610)*('Gearing Calculator'!$U$17/'Gearing Calculator'!$C$7))</f>
        <v>2020.8807300242011</v>
      </c>
      <c r="Z1610" s="16">
        <f>((X1610*COS('Gearing Calculator'!$C$21))/'Gearing Calculator'!$C$22)/2</f>
        <v>18.257668344742264</v>
      </c>
      <c r="AA1610" s="16">
        <f>Y1610/'Gearing Calculator'!$C$24</f>
        <v>28.218273118448348</v>
      </c>
      <c r="AB1610" s="16">
        <f t="shared" si="177"/>
        <v>223.14994617067106</v>
      </c>
      <c r="AC1610" s="16">
        <v>0</v>
      </c>
      <c r="AD1610" s="16">
        <v>0</v>
      </c>
      <c r="AE1610" s="16">
        <v>1607</v>
      </c>
      <c r="AF1610" s="16">
        <f>IF(AC1610=0,IF(O1610=6,INDEX(Acceleration!$V$4:$V$110,MATCH('Track Data'!S1610,Acceleration!$K$4:$K$110,0)),IF('Track Data'!O1610=5,INDEX(Acceleration!$U$4:$U$110,MATCH('Track Data'!S1610,Acceleration!$K$4:$K$110,0)),1)),U1610)</f>
        <v>1</v>
      </c>
      <c r="AG1610" s="16">
        <f>IF(AC1610=0,IF(O1610=4,INDEX(Acceleration!$T$4:$T$110,MATCH('Track Data'!S1610,Acceleration!$K$4:$K$110,0)),IF('Track Data'!O1610=3,INDEX(Acceleration!$S$4:$S$110,MATCH('Track Data'!S1610,Acceleration!$K$4:$K$110,0)),'Track Data'!AF1610)),'Track Data'!U1610)</f>
        <v>4.8209066787706405</v>
      </c>
      <c r="AH1610" s="16">
        <f>IF(AC1610=0,IF(O1610=2,INDEX(Acceleration!$R$4:$R$110,MATCH('Track Data'!S1610,Acceleration!$K$4:$K$110,0)),IF('Track Data'!O1610=1,INDEX(Acceleration!$Q$4:$Q$110,MATCH('Track Data'!S1610,Acceleration!$K$4:$K$110,0)),'Track Data'!AG1610)),'Track Data'!U1610)</f>
        <v>4.8209066787706405</v>
      </c>
    </row>
    <row r="1611" spans="2:34" x14ac:dyDescent="0.25">
      <c r="B1611" s="16">
        <v>241.13</v>
      </c>
      <c r="C1611" s="16">
        <v>8881</v>
      </c>
      <c r="D1611" s="16">
        <v>1608</v>
      </c>
      <c r="E1611" s="113">
        <v>180</v>
      </c>
      <c r="F1611" s="113">
        <v>179.3</v>
      </c>
      <c r="G1611" s="113">
        <v>177.4</v>
      </c>
      <c r="H1611" s="113">
        <f t="shared" si="180"/>
        <v>49.277777777777779</v>
      </c>
      <c r="I1611" s="113">
        <v>4.9000000000000004</v>
      </c>
      <c r="J1611" s="113">
        <v>12.04</v>
      </c>
      <c r="K1611" s="113">
        <v>0</v>
      </c>
      <c r="L1611" s="185"/>
      <c r="M1611" s="16">
        <v>1608</v>
      </c>
      <c r="N1611" s="16">
        <f t="shared" si="182"/>
        <v>2.2728350404240986E-2</v>
      </c>
      <c r="O1611" s="16">
        <v>4</v>
      </c>
      <c r="P1611" s="16">
        <f t="shared" si="178"/>
        <v>9.1833785004516724</v>
      </c>
      <c r="Q1611" s="16">
        <f t="shared" si="183"/>
        <v>43.997913716316404</v>
      </c>
      <c r="R1611" s="113">
        <f t="shared" si="179"/>
        <v>329.49099999999999</v>
      </c>
      <c r="S1611" s="16">
        <f>IF(S1610=15800,15800,ROUND((((Q1611*60)/'Gearing Calculator'!$C$14)*'Track Data'!P1611),-2))</f>
        <v>12300</v>
      </c>
      <c r="T1611" s="16">
        <f t="shared" si="181"/>
        <v>4.8207797244267363</v>
      </c>
      <c r="U1611" s="16">
        <f>IF(AC1611=100,Braking!$AG$2354,IF(AC1611=50,Braking!$AG$1179,IF(AC1611=75,Braking!$AG$1767,0)))</f>
        <v>0</v>
      </c>
      <c r="V1611" s="16">
        <f>0.5*'Gearing Calculator'!$C$15*'Gearing Calculator'!$C$20*'Gearing Calculator'!$W$20*('Track Data'!Q1611^2)</f>
        <v>204.8868089813507</v>
      </c>
      <c r="W1611" s="16">
        <f>('Gearing Calculator'!$U$9*'Track Data'!T1611)+'Track Data'!V1611</f>
        <v>1488.1783716237478</v>
      </c>
      <c r="X1611" s="16">
        <f>('Gearing Calculator'!$U$9*9.81)*('Gearing Calculator'!$U$16/'Gearing Calculator'!$C$7)-(('Track Data'!W1611)*('Gearing Calculator'!$U$17/'Gearing Calculator'!$C$7))</f>
        <v>590.00345420848203</v>
      </c>
      <c r="Y1611" s="16">
        <f>('Gearing Calculator'!$U$9*9.81)*(('Gearing Calculator'!$C$7-'Gearing Calculator'!$U$16)/'Gearing Calculator'!$C$7)+(('Track Data'!W1611)*('Gearing Calculator'!$U$17/'Gearing Calculator'!$C$7))</f>
        <v>2021.418545791518</v>
      </c>
      <c r="Z1611" s="16">
        <f>((X1611*COS('Gearing Calculator'!$C$21))/'Gearing Calculator'!$C$22)/2</f>
        <v>18.24104078218318</v>
      </c>
      <c r="AA1611" s="16">
        <f>Y1611/'Gearing Calculator'!$C$24</f>
        <v>28.225782830419018</v>
      </c>
      <c r="AB1611" s="16">
        <f t="shared" si="177"/>
        <v>224.16992787905764</v>
      </c>
      <c r="AC1611" s="16">
        <v>0</v>
      </c>
      <c r="AD1611" s="16">
        <v>0</v>
      </c>
      <c r="AE1611" s="16">
        <v>1608</v>
      </c>
      <c r="AF1611" s="16">
        <f>IF(AC1611=0,IF(O1611=6,INDEX(Acceleration!$V$4:$V$110,MATCH('Track Data'!S1611,Acceleration!$K$4:$K$110,0)),IF('Track Data'!O1611=5,INDEX(Acceleration!$U$4:$U$110,MATCH('Track Data'!S1611,Acceleration!$K$4:$K$110,0)),1)),U1611)</f>
        <v>1</v>
      </c>
      <c r="AG1611" s="16">
        <f>IF(AC1611=0,IF(O1611=4,INDEX(Acceleration!$T$4:$T$110,MATCH('Track Data'!S1611,Acceleration!$K$4:$K$110,0)),IF('Track Data'!O1611=3,INDEX(Acceleration!$S$4:$S$110,MATCH('Track Data'!S1611,Acceleration!$K$4:$K$110,0)),'Track Data'!AF1611)),'Track Data'!U1611)</f>
        <v>4.8207797244267363</v>
      </c>
      <c r="AH1611" s="16">
        <f>IF(AC1611=0,IF(O1611=2,INDEX(Acceleration!$R$4:$R$110,MATCH('Track Data'!S1611,Acceleration!$K$4:$K$110,0)),IF('Track Data'!O1611=1,INDEX(Acceleration!$Q$4:$Q$110,MATCH('Track Data'!S1611,Acceleration!$K$4:$K$110,0)),'Track Data'!AG1611)),'Track Data'!U1611)</f>
        <v>4.8207797244267363</v>
      </c>
    </row>
    <row r="1612" spans="2:34" x14ac:dyDescent="0.25">
      <c r="B1612" s="16">
        <v>241.15</v>
      </c>
      <c r="C1612" s="16">
        <v>8882</v>
      </c>
      <c r="D1612" s="16">
        <v>1609</v>
      </c>
      <c r="E1612" s="113">
        <v>181</v>
      </c>
      <c r="F1612" s="113">
        <v>179.8</v>
      </c>
      <c r="G1612" s="113">
        <v>177.7</v>
      </c>
      <c r="H1612" s="113">
        <f t="shared" si="180"/>
        <v>49.361111111111107</v>
      </c>
      <c r="I1612" s="113">
        <v>4.9000000000000004</v>
      </c>
      <c r="J1612" s="113">
        <v>14.84</v>
      </c>
      <c r="K1612" s="113">
        <v>0</v>
      </c>
      <c r="L1612" s="185"/>
      <c r="M1612" s="16">
        <v>1609</v>
      </c>
      <c r="N1612" s="16">
        <f t="shared" si="182"/>
        <v>2.2671960359707376E-2</v>
      </c>
      <c r="O1612" s="16">
        <v>4</v>
      </c>
      <c r="P1612" s="16">
        <f t="shared" si="178"/>
        <v>9.1833785004516724</v>
      </c>
      <c r="Q1612" s="16">
        <f t="shared" si="183"/>
        <v>44.107345996299493</v>
      </c>
      <c r="R1612" s="113">
        <f t="shared" si="179"/>
        <v>329.49099999999999</v>
      </c>
      <c r="S1612" s="16">
        <f>IF(S1611=15800,15800,ROUND((((Q1612*60)/'Gearing Calculator'!$C$14)*'Track Data'!P1612),-2))</f>
        <v>12300</v>
      </c>
      <c r="T1612" s="16">
        <f t="shared" si="181"/>
        <v>4.8207797244267363</v>
      </c>
      <c r="U1612" s="16">
        <f>IF(AC1612=100,Braking!$AG$2354,IF(AC1612=50,Braking!$AG$1179,IF(AC1612=75,Braking!$AG$1767,0)))</f>
        <v>0</v>
      </c>
      <c r="V1612" s="16">
        <f>0.5*'Gearing Calculator'!$C$15*'Gearing Calculator'!$C$20*'Gearing Calculator'!$W$20*('Track Data'!Q1612^2)</f>
        <v>205.90727163341737</v>
      </c>
      <c r="W1612" s="16">
        <f>('Gearing Calculator'!$U$9*'Track Data'!T1612)+'Track Data'!V1612</f>
        <v>1489.1988342758145</v>
      </c>
      <c r="X1612" s="16">
        <f>('Gearing Calculator'!$U$9*9.81)*('Gearing Calculator'!$U$16/'Gearing Calculator'!$C$7)-(('Track Data'!W1612)*('Gearing Calculator'!$U$17/'Gearing Calculator'!$C$7))</f>
        <v>589.44723237190158</v>
      </c>
      <c r="Y1612" s="16">
        <f>('Gearing Calculator'!$U$9*9.81)*(('Gearing Calculator'!$C$7-'Gearing Calculator'!$U$16)/'Gearing Calculator'!$C$7)+(('Track Data'!W1612)*('Gearing Calculator'!$U$17/'Gearing Calculator'!$C$7))</f>
        <v>2021.9747676280986</v>
      </c>
      <c r="Z1612" s="16">
        <f>((X1612*COS('Gearing Calculator'!$C$21))/'Gearing Calculator'!$C$22)/2</f>
        <v>18.223844162175904</v>
      </c>
      <c r="AA1612" s="16">
        <f>Y1612/'Gearing Calculator'!$C$24</f>
        <v>28.233549552851414</v>
      </c>
      <c r="AB1612" s="16">
        <f t="shared" si="177"/>
        <v>225.19039053112431</v>
      </c>
      <c r="AC1612" s="16">
        <v>0</v>
      </c>
      <c r="AD1612" s="16">
        <v>0</v>
      </c>
      <c r="AE1612" s="16">
        <v>1609</v>
      </c>
      <c r="AF1612" s="16">
        <f>IF(AC1612=0,IF(O1612=6,INDEX(Acceleration!$V$4:$V$110,MATCH('Track Data'!S1612,Acceleration!$K$4:$K$110,0)),IF('Track Data'!O1612=5,INDEX(Acceleration!$U$4:$U$110,MATCH('Track Data'!S1612,Acceleration!$K$4:$K$110,0)),1)),U1612)</f>
        <v>1</v>
      </c>
      <c r="AG1612" s="16">
        <f>IF(AC1612=0,IF(O1612=4,INDEX(Acceleration!$T$4:$T$110,MATCH('Track Data'!S1612,Acceleration!$K$4:$K$110,0)),IF('Track Data'!O1612=3,INDEX(Acceleration!$S$4:$S$110,MATCH('Track Data'!S1612,Acceleration!$K$4:$K$110,0)),'Track Data'!AF1612)),'Track Data'!U1612)</f>
        <v>4.8207797244267363</v>
      </c>
      <c r="AH1612" s="16">
        <f>IF(AC1612=0,IF(O1612=2,INDEX(Acceleration!$R$4:$R$110,MATCH('Track Data'!S1612,Acceleration!$K$4:$K$110,0)),IF('Track Data'!O1612=1,INDEX(Acceleration!$Q$4:$Q$110,MATCH('Track Data'!S1612,Acceleration!$K$4:$K$110,0)),'Track Data'!AG1612)),'Track Data'!U1612)</f>
        <v>4.8207797244267363</v>
      </c>
    </row>
    <row r="1613" spans="2:34" x14ac:dyDescent="0.25">
      <c r="B1613" s="16">
        <v>241.17</v>
      </c>
      <c r="C1613" s="16">
        <v>8883</v>
      </c>
      <c r="D1613" s="16">
        <v>1610</v>
      </c>
      <c r="E1613" s="113">
        <v>181</v>
      </c>
      <c r="F1613" s="113">
        <v>180.2</v>
      </c>
      <c r="G1613" s="113">
        <v>177.9</v>
      </c>
      <c r="H1613" s="113">
        <f t="shared" si="180"/>
        <v>49.416666666666664</v>
      </c>
      <c r="I1613" s="113">
        <v>4.5999999999999996</v>
      </c>
      <c r="J1613" s="113">
        <v>14.94</v>
      </c>
      <c r="K1613" s="113">
        <v>0</v>
      </c>
      <c r="L1613" s="185"/>
      <c r="M1613" s="16">
        <v>1610</v>
      </c>
      <c r="N1613" s="16">
        <f t="shared" si="182"/>
        <v>2.2615987961798603E-2</v>
      </c>
      <c r="O1613" s="16">
        <v>4</v>
      </c>
      <c r="P1613" s="16">
        <f t="shared" si="178"/>
        <v>9.1833785004516724</v>
      </c>
      <c r="Q1613" s="16">
        <f t="shared" si="183"/>
        <v>44.216507441069226</v>
      </c>
      <c r="R1613" s="113">
        <f t="shared" si="179"/>
        <v>329.49099999999999</v>
      </c>
      <c r="S1613" s="16">
        <f>IF(S1612=15800,15800,ROUND((((Q1613*60)/'Gearing Calculator'!$C$14)*'Track Data'!P1613),-2))</f>
        <v>12300</v>
      </c>
      <c r="T1613" s="16">
        <f t="shared" si="181"/>
        <v>4.8207797244267363</v>
      </c>
      <c r="U1613" s="16">
        <f>IF(AC1613=100,Braking!$AG$2354,IF(AC1613=50,Braking!$AG$1179,IF(AC1613=75,Braking!$AG$1767,0)))</f>
        <v>0</v>
      </c>
      <c r="V1613" s="16">
        <f>0.5*'Gearing Calculator'!$C$15*'Gearing Calculator'!$C$20*'Gearing Calculator'!$W$20*('Track Data'!Q1613^2)</f>
        <v>206.92773428548401</v>
      </c>
      <c r="W1613" s="16">
        <f>('Gearing Calculator'!$U$9*'Track Data'!T1613)+'Track Data'!V1613</f>
        <v>1490.2192969278813</v>
      </c>
      <c r="X1613" s="16">
        <f>('Gearing Calculator'!$U$9*9.81)*('Gearing Calculator'!$U$16/'Gearing Calculator'!$C$7)-(('Track Data'!W1613)*('Gearing Calculator'!$U$17/'Gearing Calculator'!$C$7))</f>
        <v>588.89101053532124</v>
      </c>
      <c r="Y1613" s="16">
        <f>('Gearing Calculator'!$U$9*9.81)*(('Gearing Calculator'!$C$7-'Gearing Calculator'!$U$16)/'Gearing Calculator'!$C$7)+(('Track Data'!W1613)*('Gearing Calculator'!$U$17/'Gearing Calculator'!$C$7))</f>
        <v>2022.5309894646789</v>
      </c>
      <c r="Z1613" s="16">
        <f>((X1613*COS('Gearing Calculator'!$C$21))/'Gearing Calculator'!$C$22)/2</f>
        <v>18.206647542168628</v>
      </c>
      <c r="AA1613" s="16">
        <f>Y1613/'Gearing Calculator'!$C$24</f>
        <v>28.241316275283804</v>
      </c>
      <c r="AB1613" s="16">
        <f t="shared" si="177"/>
        <v>226.21085318319095</v>
      </c>
      <c r="AC1613" s="16">
        <v>0</v>
      </c>
      <c r="AD1613" s="16">
        <v>0</v>
      </c>
      <c r="AE1613" s="16">
        <v>1610</v>
      </c>
      <c r="AF1613" s="16">
        <f>IF(AC1613=0,IF(O1613=6,INDEX(Acceleration!$V$4:$V$110,MATCH('Track Data'!S1613,Acceleration!$K$4:$K$110,0)),IF('Track Data'!O1613=5,INDEX(Acceleration!$U$4:$U$110,MATCH('Track Data'!S1613,Acceleration!$K$4:$K$110,0)),1)),U1613)</f>
        <v>1</v>
      </c>
      <c r="AG1613" s="16">
        <f>IF(AC1613=0,IF(O1613=4,INDEX(Acceleration!$T$4:$T$110,MATCH('Track Data'!S1613,Acceleration!$K$4:$K$110,0)),IF('Track Data'!O1613=3,INDEX(Acceleration!$S$4:$S$110,MATCH('Track Data'!S1613,Acceleration!$K$4:$K$110,0)),'Track Data'!AF1613)),'Track Data'!U1613)</f>
        <v>4.8207797244267363</v>
      </c>
      <c r="AH1613" s="16">
        <f>IF(AC1613=0,IF(O1613=2,INDEX(Acceleration!$R$4:$R$110,MATCH('Track Data'!S1613,Acceleration!$K$4:$K$110,0)),IF('Track Data'!O1613=1,INDEX(Acceleration!$Q$4:$Q$110,MATCH('Track Data'!S1613,Acceleration!$K$4:$K$110,0)),'Track Data'!AG1613)),'Track Data'!U1613)</f>
        <v>4.8207797244267363</v>
      </c>
    </row>
    <row r="1614" spans="2:34" x14ac:dyDescent="0.25">
      <c r="B1614" s="16">
        <v>241.19</v>
      </c>
      <c r="C1614" s="16">
        <v>8884</v>
      </c>
      <c r="D1614" s="16">
        <v>1611</v>
      </c>
      <c r="E1614" s="113">
        <v>181</v>
      </c>
      <c r="F1614" s="113">
        <v>180.6</v>
      </c>
      <c r="G1614" s="113">
        <v>178.2</v>
      </c>
      <c r="H1614" s="113">
        <f t="shared" si="180"/>
        <v>49.499999999999993</v>
      </c>
      <c r="I1614" s="113">
        <v>4.5999999999999996</v>
      </c>
      <c r="J1614" s="113">
        <v>16.350000000000001</v>
      </c>
      <c r="K1614" s="113">
        <v>0</v>
      </c>
      <c r="L1614" s="185"/>
      <c r="M1614" s="16">
        <v>1611</v>
      </c>
      <c r="N1614" s="16">
        <f t="shared" si="182"/>
        <v>2.2560428080417295E-2</v>
      </c>
      <c r="O1614" s="16">
        <v>4</v>
      </c>
      <c r="P1614" s="16">
        <f t="shared" si="178"/>
        <v>9.1833785004516724</v>
      </c>
      <c r="Q1614" s="16">
        <f t="shared" si="183"/>
        <v>44.325400051606792</v>
      </c>
      <c r="R1614" s="113">
        <f t="shared" si="179"/>
        <v>329.49099999999999</v>
      </c>
      <c r="S1614" s="16">
        <f>IF(S1613=15800,15800,ROUND((((Q1614*60)/'Gearing Calculator'!$C$14)*'Track Data'!P1614),-2))</f>
        <v>12300</v>
      </c>
      <c r="T1614" s="16">
        <f t="shared" si="181"/>
        <v>4.8207797244267363</v>
      </c>
      <c r="U1614" s="16">
        <f>IF(AC1614=100,Braking!$AG$2354,IF(AC1614=50,Braking!$AG$1179,IF(AC1614=75,Braking!$AG$1767,0)))</f>
        <v>0</v>
      </c>
      <c r="V1614" s="16">
        <f>0.5*'Gearing Calculator'!$C$15*'Gearing Calculator'!$C$20*'Gearing Calculator'!$W$20*('Track Data'!Q1614^2)</f>
        <v>207.94819693755062</v>
      </c>
      <c r="W1614" s="16">
        <f>('Gearing Calculator'!$U$9*'Track Data'!T1614)+'Track Data'!V1614</f>
        <v>1491.2397595799478</v>
      </c>
      <c r="X1614" s="16">
        <f>('Gearing Calculator'!$U$9*9.81)*('Gearing Calculator'!$U$16/'Gearing Calculator'!$C$7)-(('Track Data'!W1614)*('Gearing Calculator'!$U$17/'Gearing Calculator'!$C$7))</f>
        <v>588.33478869874091</v>
      </c>
      <c r="Y1614" s="16">
        <f>('Gearing Calculator'!$U$9*9.81)*(('Gearing Calculator'!$C$7-'Gearing Calculator'!$U$16)/'Gearing Calculator'!$C$7)+(('Track Data'!W1614)*('Gearing Calculator'!$U$17/'Gearing Calculator'!$C$7))</f>
        <v>2023.0872113012592</v>
      </c>
      <c r="Z1614" s="16">
        <f>((X1614*COS('Gearing Calculator'!$C$21))/'Gearing Calculator'!$C$22)/2</f>
        <v>18.189450922161356</v>
      </c>
      <c r="AA1614" s="16">
        <f>Y1614/'Gearing Calculator'!$C$24</f>
        <v>28.249082997716197</v>
      </c>
      <c r="AB1614" s="16">
        <f t="shared" si="177"/>
        <v>227.23131583525756</v>
      </c>
      <c r="AC1614" s="16">
        <v>0</v>
      </c>
      <c r="AD1614" s="16">
        <v>0</v>
      </c>
      <c r="AE1614" s="16">
        <v>1611</v>
      </c>
      <c r="AF1614" s="16">
        <f>IF(AC1614=0,IF(O1614=6,INDEX(Acceleration!$V$4:$V$110,MATCH('Track Data'!S1614,Acceleration!$K$4:$K$110,0)),IF('Track Data'!O1614=5,INDEX(Acceleration!$U$4:$U$110,MATCH('Track Data'!S1614,Acceleration!$K$4:$K$110,0)),1)),U1614)</f>
        <v>1</v>
      </c>
      <c r="AG1614" s="16">
        <f>IF(AC1614=0,IF(O1614=4,INDEX(Acceleration!$T$4:$T$110,MATCH('Track Data'!S1614,Acceleration!$K$4:$K$110,0)),IF('Track Data'!O1614=3,INDEX(Acceleration!$S$4:$S$110,MATCH('Track Data'!S1614,Acceleration!$K$4:$K$110,0)),'Track Data'!AF1614)),'Track Data'!U1614)</f>
        <v>4.8207797244267363</v>
      </c>
      <c r="AH1614" s="16">
        <f>IF(AC1614=0,IF(O1614=2,INDEX(Acceleration!$R$4:$R$110,MATCH('Track Data'!S1614,Acceleration!$K$4:$K$110,0)),IF('Track Data'!O1614=1,INDEX(Acceleration!$Q$4:$Q$110,MATCH('Track Data'!S1614,Acceleration!$K$4:$K$110,0)),'Track Data'!AG1614)),'Track Data'!U1614)</f>
        <v>4.8207797244267363</v>
      </c>
    </row>
    <row r="1615" spans="2:34" x14ac:dyDescent="0.25">
      <c r="B1615" s="16">
        <v>241.21</v>
      </c>
      <c r="C1615" s="16">
        <v>8885</v>
      </c>
      <c r="D1615" s="16">
        <v>1612</v>
      </c>
      <c r="E1615" s="113">
        <v>181</v>
      </c>
      <c r="F1615" s="113">
        <v>180.7</v>
      </c>
      <c r="G1615" s="113">
        <v>178.5</v>
      </c>
      <c r="H1615" s="113">
        <f t="shared" si="180"/>
        <v>49.583333333333329</v>
      </c>
      <c r="I1615" s="113">
        <v>4.8</v>
      </c>
      <c r="J1615" s="113">
        <v>17.77</v>
      </c>
      <c r="K1615" s="113">
        <v>0.7</v>
      </c>
      <c r="L1615" s="185"/>
      <c r="M1615" s="16">
        <v>1612</v>
      </c>
      <c r="N1615" s="16">
        <f t="shared" si="182"/>
        <v>2.2505275673255474E-2</v>
      </c>
      <c r="O1615" s="16">
        <v>4</v>
      </c>
      <c r="P1615" s="16">
        <f t="shared" si="178"/>
        <v>9.1833785004516724</v>
      </c>
      <c r="Q1615" s="16">
        <f t="shared" si="183"/>
        <v>44.434025804374706</v>
      </c>
      <c r="R1615" s="113">
        <f t="shared" si="179"/>
        <v>329.49099999999999</v>
      </c>
      <c r="S1615" s="16">
        <f>IF(S1614=15800,15800,ROUND((((Q1615*60)/'Gearing Calculator'!$C$14)*'Track Data'!P1615),-2))</f>
        <v>12400</v>
      </c>
      <c r="T1615" s="16">
        <f t="shared" si="181"/>
        <v>4.820458184523007</v>
      </c>
      <c r="U1615" s="16">
        <f>IF(AC1615=100,Braking!$AG$2354,IF(AC1615=50,Braking!$AG$1179,IF(AC1615=75,Braking!$AG$1767,0)))</f>
        <v>0</v>
      </c>
      <c r="V1615" s="16">
        <f>0.5*'Gearing Calculator'!$C$15*'Gearing Calculator'!$C$20*'Gearing Calculator'!$W$20*('Track Data'!Q1615^2)</f>
        <v>208.96865958961732</v>
      </c>
      <c r="W1615" s="16">
        <f>('Gearing Calculator'!$U$9*'Track Data'!T1615)+'Track Data'!V1615</f>
        <v>1492.1746283096418</v>
      </c>
      <c r="X1615" s="16">
        <f>('Gearing Calculator'!$U$9*9.81)*('Gearing Calculator'!$U$16/'Gearing Calculator'!$C$7)-(('Track Data'!W1615)*('Gearing Calculator'!$U$17/'Gearing Calculator'!$C$7))</f>
        <v>587.82522139538219</v>
      </c>
      <c r="Y1615" s="16">
        <f>('Gearing Calculator'!$U$9*9.81)*(('Gearing Calculator'!$C$7-'Gearing Calculator'!$U$16)/'Gearing Calculator'!$C$7)+(('Track Data'!W1615)*('Gearing Calculator'!$U$17/'Gearing Calculator'!$C$7))</f>
        <v>2023.5967786046178</v>
      </c>
      <c r="Z1615" s="16">
        <f>((X1615*COS('Gearing Calculator'!$C$21))/'Gearing Calculator'!$C$22)/2</f>
        <v>18.173696712765576</v>
      </c>
      <c r="AA1615" s="16">
        <f>Y1615/'Gearing Calculator'!$C$24</f>
        <v>28.256198266383358</v>
      </c>
      <c r="AB1615" s="16">
        <f t="shared" si="177"/>
        <v>228.25049232770934</v>
      </c>
      <c r="AC1615" s="16">
        <v>0</v>
      </c>
      <c r="AD1615" s="16">
        <v>0</v>
      </c>
      <c r="AE1615" s="16">
        <v>1612</v>
      </c>
      <c r="AF1615" s="16">
        <f>IF(AC1615=0,IF(O1615=6,INDEX(Acceleration!$V$4:$V$110,MATCH('Track Data'!S1615,Acceleration!$K$4:$K$110,0)),IF('Track Data'!O1615=5,INDEX(Acceleration!$U$4:$U$110,MATCH('Track Data'!S1615,Acceleration!$K$4:$K$110,0)),1)),U1615)</f>
        <v>1</v>
      </c>
      <c r="AG1615" s="16">
        <f>IF(AC1615=0,IF(O1615=4,INDEX(Acceleration!$T$4:$T$110,MATCH('Track Data'!S1615,Acceleration!$K$4:$K$110,0)),IF('Track Data'!O1615=3,INDEX(Acceleration!$S$4:$S$110,MATCH('Track Data'!S1615,Acceleration!$K$4:$K$110,0)),'Track Data'!AF1615)),'Track Data'!U1615)</f>
        <v>4.820458184523007</v>
      </c>
      <c r="AH1615" s="16">
        <f>IF(AC1615=0,IF(O1615=2,INDEX(Acceleration!$R$4:$R$110,MATCH('Track Data'!S1615,Acceleration!$K$4:$K$110,0)),IF('Track Data'!O1615=1,INDEX(Acceleration!$Q$4:$Q$110,MATCH('Track Data'!S1615,Acceleration!$K$4:$K$110,0)),'Track Data'!AG1615)),'Track Data'!U1615)</f>
        <v>4.820458184523007</v>
      </c>
    </row>
    <row r="1616" spans="2:34" x14ac:dyDescent="0.25">
      <c r="B1616" s="16">
        <v>241.23</v>
      </c>
      <c r="C1616" s="16">
        <v>8886</v>
      </c>
      <c r="D1616" s="16">
        <v>1613</v>
      </c>
      <c r="E1616" s="113">
        <v>182</v>
      </c>
      <c r="F1616" s="113">
        <v>180.6</v>
      </c>
      <c r="G1616" s="113">
        <v>178.8</v>
      </c>
      <c r="H1616" s="113">
        <f t="shared" si="180"/>
        <v>49.666666666666671</v>
      </c>
      <c r="I1616" s="113">
        <v>5.8</v>
      </c>
      <c r="J1616" s="113">
        <v>18.28</v>
      </c>
      <c r="K1616" s="113">
        <v>1.5</v>
      </c>
      <c r="L1616" s="185"/>
      <c r="M1616" s="16">
        <v>1613</v>
      </c>
      <c r="N1616" s="16">
        <f t="shared" si="182"/>
        <v>2.2450529422306704E-2</v>
      </c>
      <c r="O1616" s="16">
        <v>4</v>
      </c>
      <c r="P1616" s="16">
        <f t="shared" si="178"/>
        <v>9.1833785004516724</v>
      </c>
      <c r="Q1616" s="16">
        <f t="shared" si="183"/>
        <v>44.542379432994856</v>
      </c>
      <c r="R1616" s="113">
        <f t="shared" si="179"/>
        <v>329.49099999999999</v>
      </c>
      <c r="S1616" s="16">
        <f>IF(S1615=15800,15800,ROUND((((Q1616*60)/'Gearing Calculator'!$C$14)*'Track Data'!P1616),-2))</f>
        <v>12400</v>
      </c>
      <c r="T1616" s="16">
        <f t="shared" si="181"/>
        <v>4.820458184523007</v>
      </c>
      <c r="U1616" s="16">
        <f>IF(AC1616=100,Braking!$AG$2354,IF(AC1616=50,Braking!$AG$1179,IF(AC1616=75,Braking!$AG$1767,0)))</f>
        <v>0</v>
      </c>
      <c r="V1616" s="16">
        <f>0.5*'Gearing Calculator'!$C$15*'Gearing Calculator'!$C$20*'Gearing Calculator'!$W$20*('Track Data'!Q1616^2)</f>
        <v>209.98905417811713</v>
      </c>
      <c r="W1616" s="16">
        <f>('Gearing Calculator'!$U$9*'Track Data'!T1616)+'Track Data'!V1616</f>
        <v>1493.1950228981416</v>
      </c>
      <c r="X1616" s="16">
        <f>('Gearing Calculator'!$U$9*9.81)*('Gearing Calculator'!$U$16/'Gearing Calculator'!$C$7)-(('Track Data'!W1616)*('Gearing Calculator'!$U$17/'Gearing Calculator'!$C$7))</f>
        <v>587.26903665809402</v>
      </c>
      <c r="Y1616" s="16">
        <f>('Gearing Calculator'!$U$9*9.81)*(('Gearing Calculator'!$C$7-'Gearing Calculator'!$U$16)/'Gearing Calculator'!$C$7)+(('Track Data'!W1616)*('Gearing Calculator'!$U$17/'Gearing Calculator'!$C$7))</f>
        <v>2024.1529633419059</v>
      </c>
      <c r="Z1616" s="16">
        <f>((X1616*COS('Gearing Calculator'!$C$21))/'Gearing Calculator'!$C$22)/2</f>
        <v>18.15650123975108</v>
      </c>
      <c r="AA1616" s="16">
        <f>Y1616/'Gearing Calculator'!$C$24</f>
        <v>28.263964470785197</v>
      </c>
      <c r="AB1616" s="16">
        <f t="shared" si="177"/>
        <v>229.27088691620915</v>
      </c>
      <c r="AC1616" s="16">
        <v>0</v>
      </c>
      <c r="AD1616" s="16">
        <v>0</v>
      </c>
      <c r="AE1616" s="16">
        <v>1613</v>
      </c>
      <c r="AF1616" s="16">
        <f>IF(AC1616=0,IF(O1616=6,INDEX(Acceleration!$V$4:$V$110,MATCH('Track Data'!S1616,Acceleration!$K$4:$K$110,0)),IF('Track Data'!O1616=5,INDEX(Acceleration!$U$4:$U$110,MATCH('Track Data'!S1616,Acceleration!$K$4:$K$110,0)),1)),U1616)</f>
        <v>1</v>
      </c>
      <c r="AG1616" s="16">
        <f>IF(AC1616=0,IF(O1616=4,INDEX(Acceleration!$T$4:$T$110,MATCH('Track Data'!S1616,Acceleration!$K$4:$K$110,0)),IF('Track Data'!O1616=3,INDEX(Acceleration!$S$4:$S$110,MATCH('Track Data'!S1616,Acceleration!$K$4:$K$110,0)),'Track Data'!AF1616)),'Track Data'!U1616)</f>
        <v>4.820458184523007</v>
      </c>
      <c r="AH1616" s="16">
        <f>IF(AC1616=0,IF(O1616=2,INDEX(Acceleration!$R$4:$R$110,MATCH('Track Data'!S1616,Acceleration!$K$4:$K$110,0)),IF('Track Data'!O1616=1,INDEX(Acceleration!$Q$4:$Q$110,MATCH('Track Data'!S1616,Acceleration!$K$4:$K$110,0)),'Track Data'!AG1616)),'Track Data'!U1616)</f>
        <v>4.820458184523007</v>
      </c>
    </row>
    <row r="1617" spans="2:34" x14ac:dyDescent="0.25">
      <c r="B1617" s="16">
        <v>241.249</v>
      </c>
      <c r="C1617" s="16">
        <v>8887</v>
      </c>
      <c r="D1617" s="16">
        <v>1614</v>
      </c>
      <c r="E1617" s="113">
        <v>182</v>
      </c>
      <c r="F1617" s="113">
        <v>180.6</v>
      </c>
      <c r="G1617" s="113">
        <v>179</v>
      </c>
      <c r="H1617" s="113">
        <f t="shared" si="180"/>
        <v>49.722222222222221</v>
      </c>
      <c r="I1617" s="113">
        <v>6</v>
      </c>
      <c r="J1617" s="113">
        <v>17.21</v>
      </c>
      <c r="K1617" s="113">
        <v>2.1</v>
      </c>
      <c r="L1617" s="185"/>
      <c r="M1617" s="16">
        <v>1614</v>
      </c>
      <c r="N1617" s="16">
        <f t="shared" si="182"/>
        <v>2.2396180763970486E-2</v>
      </c>
      <c r="O1617" s="16">
        <v>4</v>
      </c>
      <c r="P1617" s="16">
        <f t="shared" si="178"/>
        <v>9.1833785004516724</v>
      </c>
      <c r="Q1617" s="16">
        <f t="shared" si="183"/>
        <v>44.650470119831091</v>
      </c>
      <c r="R1617" s="113">
        <f t="shared" si="179"/>
        <v>329.49099999999999</v>
      </c>
      <c r="S1617" s="16">
        <f>IF(S1616=15800,15800,ROUND((((Q1617*60)/'Gearing Calculator'!$C$14)*'Track Data'!P1617),-2))</f>
        <v>12400</v>
      </c>
      <c r="T1617" s="16">
        <f t="shared" si="181"/>
        <v>4.820458184523007</v>
      </c>
      <c r="U1617" s="16">
        <f>IF(AC1617=100,Braking!$AG$2354,IF(AC1617=50,Braking!$AG$1179,IF(AC1617=75,Braking!$AG$1767,0)))</f>
        <v>0</v>
      </c>
      <c r="V1617" s="16">
        <f>0.5*'Gearing Calculator'!$C$15*'Gearing Calculator'!$C$20*'Gearing Calculator'!$W$20*('Track Data'!Q1617^2)</f>
        <v>211.00944876661697</v>
      </c>
      <c r="W1617" s="16">
        <f>('Gearing Calculator'!$U$9*'Track Data'!T1617)+'Track Data'!V1617</f>
        <v>1494.2154174866414</v>
      </c>
      <c r="X1617" s="16">
        <f>('Gearing Calculator'!$U$9*9.81)*('Gearing Calculator'!$U$16/'Gearing Calculator'!$C$7)-(('Track Data'!W1617)*('Gearing Calculator'!$U$17/'Gearing Calculator'!$C$7))</f>
        <v>586.71285192080586</v>
      </c>
      <c r="Y1617" s="16">
        <f>('Gearing Calculator'!$U$9*9.81)*(('Gearing Calculator'!$C$7-'Gearing Calculator'!$U$16)/'Gearing Calculator'!$C$7)+(('Track Data'!W1617)*('Gearing Calculator'!$U$17/'Gearing Calculator'!$C$7))</f>
        <v>2024.7091480791942</v>
      </c>
      <c r="Z1617" s="16">
        <f>((X1617*COS('Gearing Calculator'!$C$21))/'Gearing Calculator'!$C$22)/2</f>
        <v>18.139305766736584</v>
      </c>
      <c r="AA1617" s="16">
        <f>Y1617/'Gearing Calculator'!$C$24</f>
        <v>28.271730675187037</v>
      </c>
      <c r="AB1617" s="16">
        <f t="shared" si="177"/>
        <v>230.29128150470899</v>
      </c>
      <c r="AC1617" s="16">
        <v>0</v>
      </c>
      <c r="AD1617" s="16">
        <v>0</v>
      </c>
      <c r="AE1617" s="16">
        <v>1614</v>
      </c>
      <c r="AF1617" s="16">
        <f>IF(AC1617=0,IF(O1617=6,INDEX(Acceleration!$V$4:$V$110,MATCH('Track Data'!S1617,Acceleration!$K$4:$K$110,0)),IF('Track Data'!O1617=5,INDEX(Acceleration!$U$4:$U$110,MATCH('Track Data'!S1617,Acceleration!$K$4:$K$110,0)),1)),U1617)</f>
        <v>1</v>
      </c>
      <c r="AG1617" s="16">
        <f>IF(AC1617=0,IF(O1617=4,INDEX(Acceleration!$T$4:$T$110,MATCH('Track Data'!S1617,Acceleration!$K$4:$K$110,0)),IF('Track Data'!O1617=3,INDEX(Acceleration!$S$4:$S$110,MATCH('Track Data'!S1617,Acceleration!$K$4:$K$110,0)),'Track Data'!AF1617)),'Track Data'!U1617)</f>
        <v>4.820458184523007</v>
      </c>
      <c r="AH1617" s="16">
        <f>IF(AC1617=0,IF(O1617=2,INDEX(Acceleration!$R$4:$R$110,MATCH('Track Data'!S1617,Acceleration!$K$4:$K$110,0)),IF('Track Data'!O1617=1,INDEX(Acceleration!$Q$4:$Q$110,MATCH('Track Data'!S1617,Acceleration!$K$4:$K$110,0)),'Track Data'!AG1617)),'Track Data'!U1617)</f>
        <v>4.820458184523007</v>
      </c>
    </row>
    <row r="1618" spans="2:34" x14ac:dyDescent="0.25">
      <c r="B1618" s="16">
        <v>241.26900000000001</v>
      </c>
      <c r="C1618" s="16">
        <v>8888</v>
      </c>
      <c r="D1618" s="16">
        <v>1615</v>
      </c>
      <c r="E1618" s="113">
        <v>183</v>
      </c>
      <c r="F1618" s="113">
        <v>180.8</v>
      </c>
      <c r="G1618" s="113">
        <v>179.3</v>
      </c>
      <c r="H1618" s="113">
        <f t="shared" si="180"/>
        <v>49.805555555555557</v>
      </c>
      <c r="I1618" s="113">
        <v>6.2</v>
      </c>
      <c r="J1618" s="113">
        <v>15.6</v>
      </c>
      <c r="K1618" s="113">
        <v>2.9</v>
      </c>
      <c r="L1618" s="185"/>
      <c r="M1618" s="16">
        <v>1615</v>
      </c>
      <c r="N1618" s="16">
        <f t="shared" si="182"/>
        <v>2.2342224908927712E-2</v>
      </c>
      <c r="O1618" s="16">
        <v>4</v>
      </c>
      <c r="P1618" s="16">
        <f t="shared" si="178"/>
        <v>9.1833785004516724</v>
      </c>
      <c r="Q1618" s="16">
        <f t="shared" si="183"/>
        <v>44.75829976988598</v>
      </c>
      <c r="R1618" s="113">
        <f t="shared" si="179"/>
        <v>329.49099999999999</v>
      </c>
      <c r="S1618" s="16">
        <f>IF(S1617=15800,15800,ROUND((((Q1618*60)/'Gearing Calculator'!$C$14)*'Track Data'!P1618),-2))</f>
        <v>12500</v>
      </c>
      <c r="T1618" s="16">
        <f t="shared" si="181"/>
        <v>4.8199451432580522</v>
      </c>
      <c r="U1618" s="16">
        <f>IF(AC1618=100,Braking!$AG$2354,IF(AC1618=50,Braking!$AG$1179,IF(AC1618=75,Braking!$AG$1767,0)))</f>
        <v>0</v>
      </c>
      <c r="V1618" s="16">
        <f>0.5*'Gearing Calculator'!$C$15*'Gearing Calculator'!$C$20*'Gearing Calculator'!$W$20*('Track Data'!Q1618^2)</f>
        <v>212.02984335511681</v>
      </c>
      <c r="W1618" s="16">
        <f>('Gearing Calculator'!$U$9*'Track Data'!T1618)+'Track Data'!V1618</f>
        <v>1495.0992404904102</v>
      </c>
      <c r="X1618" s="16">
        <f>('Gearing Calculator'!$U$9*9.81)*('Gearing Calculator'!$U$16/'Gearing Calculator'!$C$7)-(('Track Data'!W1618)*('Gearing Calculator'!$U$17/'Gearing Calculator'!$C$7))</f>
        <v>586.23110802417955</v>
      </c>
      <c r="Y1618" s="16">
        <f>('Gearing Calculator'!$U$9*9.81)*(('Gearing Calculator'!$C$7-'Gearing Calculator'!$U$16)/'Gearing Calculator'!$C$7)+(('Track Data'!W1618)*('Gearing Calculator'!$U$17/'Gearing Calculator'!$C$7))</f>
        <v>2025.1908919758205</v>
      </c>
      <c r="Z1618" s="16">
        <f>((X1618*COS('Gearing Calculator'!$C$21))/'Gearing Calculator'!$C$22)/2</f>
        <v>18.124411769079032</v>
      </c>
      <c r="AA1618" s="16">
        <f>Y1618/'Gearing Calculator'!$C$24</f>
        <v>28.278457435775223</v>
      </c>
      <c r="AB1618" s="16">
        <f t="shared" si="177"/>
        <v>231.30962392814902</v>
      </c>
      <c r="AC1618" s="16">
        <v>0</v>
      </c>
      <c r="AD1618" s="16">
        <v>0</v>
      </c>
      <c r="AE1618" s="16">
        <v>1615</v>
      </c>
      <c r="AF1618" s="16">
        <f>IF(AC1618=0,IF(O1618=6,INDEX(Acceleration!$V$4:$V$110,MATCH('Track Data'!S1618,Acceleration!$K$4:$K$110,0)),IF('Track Data'!O1618=5,INDEX(Acceleration!$U$4:$U$110,MATCH('Track Data'!S1618,Acceleration!$K$4:$K$110,0)),1)),U1618)</f>
        <v>1</v>
      </c>
      <c r="AG1618" s="16">
        <f>IF(AC1618=0,IF(O1618=4,INDEX(Acceleration!$T$4:$T$110,MATCH('Track Data'!S1618,Acceleration!$K$4:$K$110,0)),IF('Track Data'!O1618=3,INDEX(Acceleration!$S$4:$S$110,MATCH('Track Data'!S1618,Acceleration!$K$4:$K$110,0)),'Track Data'!AF1618)),'Track Data'!U1618)</f>
        <v>4.8199451432580522</v>
      </c>
      <c r="AH1618" s="16">
        <f>IF(AC1618=0,IF(O1618=2,INDEX(Acceleration!$R$4:$R$110,MATCH('Track Data'!S1618,Acceleration!$K$4:$K$110,0)),IF('Track Data'!O1618=1,INDEX(Acceleration!$Q$4:$Q$110,MATCH('Track Data'!S1618,Acceleration!$K$4:$K$110,0)),'Track Data'!AG1618)),'Track Data'!U1618)</f>
        <v>4.8199451432580522</v>
      </c>
    </row>
    <row r="1619" spans="2:34" x14ac:dyDescent="0.25">
      <c r="B1619" s="16">
        <v>241.28899999999999</v>
      </c>
      <c r="C1619" s="16">
        <v>8889</v>
      </c>
      <c r="D1619" s="16">
        <v>1616</v>
      </c>
      <c r="E1619" s="113">
        <v>183</v>
      </c>
      <c r="F1619" s="113">
        <v>181</v>
      </c>
      <c r="G1619" s="113">
        <v>179.6</v>
      </c>
      <c r="H1619" s="113">
        <f t="shared" si="180"/>
        <v>49.888888888888886</v>
      </c>
      <c r="I1619" s="113">
        <v>5.7</v>
      </c>
      <c r="J1619" s="113">
        <v>14</v>
      </c>
      <c r="K1619" s="113">
        <v>3.9</v>
      </c>
      <c r="L1619" s="185"/>
      <c r="M1619" s="16">
        <v>1616</v>
      </c>
      <c r="N1619" s="16">
        <f t="shared" si="182"/>
        <v>2.2288662828970032E-2</v>
      </c>
      <c r="O1619" s="16">
        <v>4</v>
      </c>
      <c r="P1619" s="16">
        <f t="shared" si="178"/>
        <v>9.1833785004516724</v>
      </c>
      <c r="Q1619" s="16">
        <f t="shared" si="183"/>
        <v>44.865858830267491</v>
      </c>
      <c r="R1619" s="113">
        <f t="shared" si="179"/>
        <v>329.49099999999999</v>
      </c>
      <c r="S1619" s="16">
        <f>IF(S1618=15800,15800,ROUND((((Q1619*60)/'Gearing Calculator'!$C$14)*'Track Data'!P1619),-2))</f>
        <v>12500</v>
      </c>
      <c r="T1619" s="16">
        <f t="shared" si="181"/>
        <v>4.8199451432580522</v>
      </c>
      <c r="U1619" s="16">
        <f>IF(AC1619=100,Braking!$AG$2354,IF(AC1619=50,Braking!$AG$1179,IF(AC1619=75,Braking!$AG$1767,0)))</f>
        <v>0</v>
      </c>
      <c r="V1619" s="16">
        <f>0.5*'Gearing Calculator'!$C$15*'Gearing Calculator'!$C$20*'Gearing Calculator'!$W$20*('Track Data'!Q1619^2)</f>
        <v>213.05012934304168</v>
      </c>
      <c r="W1619" s="16">
        <f>('Gearing Calculator'!$U$9*'Track Data'!T1619)+'Track Data'!V1619</f>
        <v>1496.119526478335</v>
      </c>
      <c r="X1619" s="16">
        <f>('Gearing Calculator'!$U$9*9.81)*('Gearing Calculator'!$U$16/'Gearing Calculator'!$C$7)-(('Track Data'!W1619)*('Gearing Calculator'!$U$17/'Gearing Calculator'!$C$7))</f>
        <v>585.67498248162156</v>
      </c>
      <c r="Y1619" s="16">
        <f>('Gearing Calculator'!$U$9*9.81)*(('Gearing Calculator'!$C$7-'Gearing Calculator'!$U$16)/'Gearing Calculator'!$C$7)+(('Track Data'!W1619)*('Gearing Calculator'!$U$17/'Gearing Calculator'!$C$7))</f>
        <v>2025.7470175183785</v>
      </c>
      <c r="Z1619" s="16">
        <f>((X1619*COS('Gearing Calculator'!$C$21))/'Gearing Calculator'!$C$22)/2</f>
        <v>18.107218126178378</v>
      </c>
      <c r="AA1619" s="16">
        <f>Y1619/'Gearing Calculator'!$C$24</f>
        <v>28.286222813620089</v>
      </c>
      <c r="AB1619" s="16">
        <f t="shared" si="177"/>
        <v>232.32990991607389</v>
      </c>
      <c r="AC1619" s="16">
        <v>0</v>
      </c>
      <c r="AD1619" s="16">
        <v>0</v>
      </c>
      <c r="AE1619" s="16">
        <v>1616</v>
      </c>
      <c r="AF1619" s="16">
        <f>IF(AC1619=0,IF(O1619=6,INDEX(Acceleration!$V$4:$V$110,MATCH('Track Data'!S1619,Acceleration!$K$4:$K$110,0)),IF('Track Data'!O1619=5,INDEX(Acceleration!$U$4:$U$110,MATCH('Track Data'!S1619,Acceleration!$K$4:$K$110,0)),1)),U1619)</f>
        <v>1</v>
      </c>
      <c r="AG1619" s="16">
        <f>IF(AC1619=0,IF(O1619=4,INDEX(Acceleration!$T$4:$T$110,MATCH('Track Data'!S1619,Acceleration!$K$4:$K$110,0)),IF('Track Data'!O1619=3,INDEX(Acceleration!$S$4:$S$110,MATCH('Track Data'!S1619,Acceleration!$K$4:$K$110,0)),'Track Data'!AF1619)),'Track Data'!U1619)</f>
        <v>4.8199451432580522</v>
      </c>
      <c r="AH1619" s="16">
        <f>IF(AC1619=0,IF(O1619=2,INDEX(Acceleration!$R$4:$R$110,MATCH('Track Data'!S1619,Acceleration!$K$4:$K$110,0)),IF('Track Data'!O1619=1,INDEX(Acceleration!$Q$4:$Q$110,MATCH('Track Data'!S1619,Acceleration!$K$4:$K$110,0)),'Track Data'!AG1619)),'Track Data'!U1619)</f>
        <v>4.8199451432580522</v>
      </c>
    </row>
    <row r="1620" spans="2:34" x14ac:dyDescent="0.25">
      <c r="B1620" s="16">
        <v>241.309</v>
      </c>
      <c r="C1620" s="16">
        <v>8890</v>
      </c>
      <c r="D1620" s="16">
        <v>1617</v>
      </c>
      <c r="E1620" s="113">
        <v>184</v>
      </c>
      <c r="F1620" s="113">
        <v>181.3</v>
      </c>
      <c r="G1620" s="113">
        <v>180</v>
      </c>
      <c r="H1620" s="113">
        <f t="shared" si="180"/>
        <v>50</v>
      </c>
      <c r="I1620" s="113">
        <v>4.5999999999999996</v>
      </c>
      <c r="J1620" s="113">
        <v>12.85</v>
      </c>
      <c r="K1620" s="113">
        <v>4.7</v>
      </c>
      <c r="L1620" s="185"/>
      <c r="M1620" s="16">
        <v>1617</v>
      </c>
      <c r="N1620" s="16">
        <f t="shared" si="182"/>
        <v>2.2235484131949982E-2</v>
      </c>
      <c r="O1620" s="16">
        <v>4</v>
      </c>
      <c r="P1620" s="16">
        <f t="shared" si="178"/>
        <v>9.1833785004516724</v>
      </c>
      <c r="Q1620" s="16">
        <f t="shared" si="183"/>
        <v>44.973160650147854</v>
      </c>
      <c r="R1620" s="113">
        <f t="shared" si="179"/>
        <v>329.49099999999999</v>
      </c>
      <c r="S1620" s="16">
        <f>IF(S1619=15800,15800,ROUND((((Q1620*60)/'Gearing Calculator'!$C$14)*'Track Data'!P1620),-2))</f>
        <v>12500</v>
      </c>
      <c r="T1620" s="16">
        <f t="shared" si="181"/>
        <v>4.8199451432580522</v>
      </c>
      <c r="U1620" s="16">
        <f>IF(AC1620=100,Braking!$AG$2354,IF(AC1620=50,Braking!$AG$1179,IF(AC1620=75,Braking!$AG$1767,0)))</f>
        <v>0</v>
      </c>
      <c r="V1620" s="16">
        <f>0.5*'Gearing Calculator'!$C$15*'Gearing Calculator'!$C$20*'Gearing Calculator'!$W$20*('Track Data'!Q1620^2)</f>
        <v>214.07041533096651</v>
      </c>
      <c r="W1620" s="16">
        <f>('Gearing Calculator'!$U$9*'Track Data'!T1620)+'Track Data'!V1620</f>
        <v>1497.1398124662601</v>
      </c>
      <c r="X1620" s="16">
        <f>('Gearing Calculator'!$U$9*9.81)*('Gearing Calculator'!$U$16/'Gearing Calculator'!$C$7)-(('Track Data'!W1620)*('Gearing Calculator'!$U$17/'Gearing Calculator'!$C$7))</f>
        <v>585.11885693906333</v>
      </c>
      <c r="Y1620" s="16">
        <f>('Gearing Calculator'!$U$9*9.81)*(('Gearing Calculator'!$C$7-'Gearing Calculator'!$U$16)/'Gearing Calculator'!$C$7)+(('Track Data'!W1620)*('Gearing Calculator'!$U$17/'Gearing Calculator'!$C$7))</f>
        <v>2026.3031430609367</v>
      </c>
      <c r="Z1620" s="16">
        <f>((X1620*COS('Gearing Calculator'!$C$21))/'Gearing Calculator'!$C$22)/2</f>
        <v>18.090024483277713</v>
      </c>
      <c r="AA1620" s="16">
        <f>Y1620/'Gearing Calculator'!$C$24</f>
        <v>28.293988191464958</v>
      </c>
      <c r="AB1620" s="16">
        <f t="shared" si="177"/>
        <v>233.35019590399872</v>
      </c>
      <c r="AC1620" s="16">
        <v>0</v>
      </c>
      <c r="AD1620" s="16">
        <v>0</v>
      </c>
      <c r="AE1620" s="16">
        <v>1617</v>
      </c>
      <c r="AF1620" s="16">
        <f>IF(AC1620=0,IF(O1620=6,INDEX(Acceleration!$V$4:$V$110,MATCH('Track Data'!S1620,Acceleration!$K$4:$K$110,0)),IF('Track Data'!O1620=5,INDEX(Acceleration!$U$4:$U$110,MATCH('Track Data'!S1620,Acceleration!$K$4:$K$110,0)),1)),U1620)</f>
        <v>1</v>
      </c>
      <c r="AG1620" s="16">
        <f>IF(AC1620=0,IF(O1620=4,INDEX(Acceleration!$T$4:$T$110,MATCH('Track Data'!S1620,Acceleration!$K$4:$K$110,0)),IF('Track Data'!O1620=3,INDEX(Acceleration!$S$4:$S$110,MATCH('Track Data'!S1620,Acceleration!$K$4:$K$110,0)),'Track Data'!AF1620)),'Track Data'!U1620)</f>
        <v>4.8199451432580522</v>
      </c>
      <c r="AH1620" s="16">
        <f>IF(AC1620=0,IF(O1620=2,INDEX(Acceleration!$R$4:$R$110,MATCH('Track Data'!S1620,Acceleration!$K$4:$K$110,0)),IF('Track Data'!O1620=1,INDEX(Acceleration!$Q$4:$Q$110,MATCH('Track Data'!S1620,Acceleration!$K$4:$K$110,0)),'Track Data'!AG1620)),'Track Data'!U1620)</f>
        <v>4.8199451432580522</v>
      </c>
    </row>
    <row r="1621" spans="2:34" x14ac:dyDescent="0.25">
      <c r="B1621" s="16">
        <v>241.32900000000001</v>
      </c>
      <c r="C1621" s="16">
        <v>8891</v>
      </c>
      <c r="D1621" s="16">
        <v>1618</v>
      </c>
      <c r="E1621" s="113">
        <v>184</v>
      </c>
      <c r="F1621" s="113">
        <v>181.7</v>
      </c>
      <c r="G1621" s="113">
        <v>180.3</v>
      </c>
      <c r="H1621" s="113">
        <f t="shared" si="180"/>
        <v>50.083333333333336</v>
      </c>
      <c r="I1621" s="113">
        <v>3.5</v>
      </c>
      <c r="J1621" s="113">
        <v>11.99</v>
      </c>
      <c r="K1621" s="113">
        <v>5.5</v>
      </c>
      <c r="L1621" s="185"/>
      <c r="M1621" s="16">
        <v>1618</v>
      </c>
      <c r="N1621" s="16">
        <f t="shared" si="182"/>
        <v>2.2182684265997669E-2</v>
      </c>
      <c r="O1621" s="16">
        <v>4</v>
      </c>
      <c r="P1621" s="16">
        <f t="shared" si="178"/>
        <v>9.1833785004516724</v>
      </c>
      <c r="Q1621" s="16">
        <f t="shared" si="183"/>
        <v>45.080207066411347</v>
      </c>
      <c r="R1621" s="113">
        <f t="shared" si="179"/>
        <v>329.49099999999999</v>
      </c>
      <c r="S1621" s="16">
        <f>IF(S1620=15800,15800,ROUND((((Q1621*60)/'Gearing Calculator'!$C$14)*'Track Data'!P1621),-2))</f>
        <v>12600</v>
      </c>
      <c r="T1621" s="16">
        <f t="shared" si="181"/>
        <v>4.8192435869194066</v>
      </c>
      <c r="U1621" s="16">
        <f>IF(AC1621=100,Braking!$AG$2354,IF(AC1621=50,Braking!$AG$1179,IF(AC1621=75,Braking!$AG$1767,0)))</f>
        <v>0</v>
      </c>
      <c r="V1621" s="16">
        <f>0.5*'Gearing Calculator'!$C$15*'Gearing Calculator'!$C$20*'Gearing Calculator'!$W$20*('Track Data'!Q1621^2)</f>
        <v>215.09070131889138</v>
      </c>
      <c r="W1621" s="16">
        <f>('Gearing Calculator'!$U$9*'Track Data'!T1621)+'Track Data'!V1621</f>
        <v>1497.9733441568374</v>
      </c>
      <c r="X1621" s="16">
        <f>('Gearing Calculator'!$U$9*9.81)*('Gearing Calculator'!$U$16/'Gearing Calculator'!$C$7)-(('Track Data'!W1621)*('Gearing Calculator'!$U$17/'Gearing Calculator'!$C$7))</f>
        <v>584.6645252427079</v>
      </c>
      <c r="Y1621" s="16">
        <f>('Gearing Calculator'!$U$9*9.81)*(('Gearing Calculator'!$C$7-'Gearing Calculator'!$U$16)/'Gearing Calculator'!$C$7)+(('Track Data'!W1621)*('Gearing Calculator'!$U$17/'Gearing Calculator'!$C$7))</f>
        <v>2026.7574747572921</v>
      </c>
      <c r="Z1621" s="16">
        <f>((X1621*COS('Gearing Calculator'!$C$21))/'Gearing Calculator'!$C$22)/2</f>
        <v>18.075977984155134</v>
      </c>
      <c r="AA1621" s="16">
        <f>Y1621/'Gearing Calculator'!$C$24</f>
        <v>28.300332185795575</v>
      </c>
      <c r="AB1621" s="16">
        <f t="shared" si="177"/>
        <v>234.367675666569</v>
      </c>
      <c r="AC1621" s="16">
        <v>0</v>
      </c>
      <c r="AD1621" s="16">
        <v>0</v>
      </c>
      <c r="AE1621" s="16">
        <v>1618</v>
      </c>
      <c r="AF1621" s="16">
        <f>IF(AC1621=0,IF(O1621=6,INDEX(Acceleration!$V$4:$V$110,MATCH('Track Data'!S1621,Acceleration!$K$4:$K$110,0)),IF('Track Data'!O1621=5,INDEX(Acceleration!$U$4:$U$110,MATCH('Track Data'!S1621,Acceleration!$K$4:$K$110,0)),1)),U1621)</f>
        <v>1</v>
      </c>
      <c r="AG1621" s="16">
        <f>IF(AC1621=0,IF(O1621=4,INDEX(Acceleration!$T$4:$T$110,MATCH('Track Data'!S1621,Acceleration!$K$4:$K$110,0)),IF('Track Data'!O1621=3,INDEX(Acceleration!$S$4:$S$110,MATCH('Track Data'!S1621,Acceleration!$K$4:$K$110,0)),'Track Data'!AF1621)),'Track Data'!U1621)</f>
        <v>4.8192435869194066</v>
      </c>
      <c r="AH1621" s="16">
        <f>IF(AC1621=0,IF(O1621=2,INDEX(Acceleration!$R$4:$R$110,MATCH('Track Data'!S1621,Acceleration!$K$4:$K$110,0)),IF('Track Data'!O1621=1,INDEX(Acceleration!$Q$4:$Q$110,MATCH('Track Data'!S1621,Acceleration!$K$4:$K$110,0)),'Track Data'!AG1621)),'Track Data'!U1621)</f>
        <v>4.8192435869194066</v>
      </c>
    </row>
    <row r="1622" spans="2:34" x14ac:dyDescent="0.25">
      <c r="B1622" s="16">
        <v>241.34899999999999</v>
      </c>
      <c r="C1622" s="16">
        <v>8892</v>
      </c>
      <c r="D1622" s="16">
        <v>1619</v>
      </c>
      <c r="E1622" s="113">
        <v>185</v>
      </c>
      <c r="F1622" s="113">
        <v>182.2</v>
      </c>
      <c r="G1622" s="113">
        <v>180.6</v>
      </c>
      <c r="H1622" s="113">
        <f t="shared" si="180"/>
        <v>50.166666666666664</v>
      </c>
      <c r="I1622" s="113">
        <v>2.9</v>
      </c>
      <c r="J1622" s="113">
        <v>12.03</v>
      </c>
      <c r="K1622" s="113">
        <v>6.3</v>
      </c>
      <c r="L1622" s="185"/>
      <c r="M1622" s="16">
        <v>1619</v>
      </c>
      <c r="N1622" s="16">
        <f t="shared" si="182"/>
        <v>2.2130266358199504E-2</v>
      </c>
      <c r="O1622" s="16">
        <v>4</v>
      </c>
      <c r="P1622" s="16">
        <f t="shared" si="178"/>
        <v>9.1833785004516724</v>
      </c>
      <c r="Q1622" s="16">
        <f t="shared" si="183"/>
        <v>45.186984368558633</v>
      </c>
      <c r="R1622" s="113">
        <f t="shared" si="179"/>
        <v>329.49099999999999</v>
      </c>
      <c r="S1622" s="16">
        <f>IF(S1621=15800,15800,ROUND((((Q1622*60)/'Gearing Calculator'!$C$14)*'Track Data'!P1622),-2))</f>
        <v>12600</v>
      </c>
      <c r="T1622" s="16">
        <f t="shared" si="181"/>
        <v>4.8192435869194066</v>
      </c>
      <c r="U1622" s="16">
        <f>IF(AC1622=100,Braking!$AG$2354,IF(AC1622=50,Braking!$AG$1179,IF(AC1622=75,Braking!$AG$1767,0)))</f>
        <v>0</v>
      </c>
      <c r="V1622" s="16">
        <f>0.5*'Gearing Calculator'!$C$15*'Gearing Calculator'!$C$20*'Gearing Calculator'!$W$20*('Track Data'!Q1622^2)</f>
        <v>216.11083880137048</v>
      </c>
      <c r="W1622" s="16">
        <f>('Gearing Calculator'!$U$9*'Track Data'!T1622)+'Track Data'!V1622</f>
        <v>1498.9934816393163</v>
      </c>
      <c r="X1622" s="16">
        <f>('Gearing Calculator'!$U$9*9.81)*('Gearing Calculator'!$U$16/'Gearing Calculator'!$C$7)-(('Track Data'!W1622)*('Gearing Calculator'!$U$17/'Gearing Calculator'!$C$7))</f>
        <v>584.10848064575987</v>
      </c>
      <c r="Y1622" s="16">
        <f>('Gearing Calculator'!$U$9*9.81)*(('Gearing Calculator'!$C$7-'Gearing Calculator'!$U$16)/'Gearing Calculator'!$C$7)+(('Track Data'!W1622)*('Gearing Calculator'!$U$17/'Gearing Calculator'!$C$7))</f>
        <v>2027.3135193542403</v>
      </c>
      <c r="Z1622" s="16">
        <f>((X1622*COS('Gearing Calculator'!$C$21))/'Gearing Calculator'!$C$22)/2</f>
        <v>18.058786843836728</v>
      </c>
      <c r="AA1622" s="16">
        <f>Y1622/'Gearing Calculator'!$C$24</f>
        <v>28.308096433368231</v>
      </c>
      <c r="AB1622" s="16">
        <f t="shared" si="177"/>
        <v>235.3878131490481</v>
      </c>
      <c r="AC1622" s="16">
        <v>0</v>
      </c>
      <c r="AD1622" s="16">
        <v>0</v>
      </c>
      <c r="AE1622" s="16">
        <v>1619</v>
      </c>
      <c r="AF1622" s="16">
        <f>IF(AC1622=0,IF(O1622=6,INDEX(Acceleration!$V$4:$V$110,MATCH('Track Data'!S1622,Acceleration!$K$4:$K$110,0)),IF('Track Data'!O1622=5,INDEX(Acceleration!$U$4:$U$110,MATCH('Track Data'!S1622,Acceleration!$K$4:$K$110,0)),1)),U1622)</f>
        <v>1</v>
      </c>
      <c r="AG1622" s="16">
        <f>IF(AC1622=0,IF(O1622=4,INDEX(Acceleration!$T$4:$T$110,MATCH('Track Data'!S1622,Acceleration!$K$4:$K$110,0)),IF('Track Data'!O1622=3,INDEX(Acceleration!$S$4:$S$110,MATCH('Track Data'!S1622,Acceleration!$K$4:$K$110,0)),'Track Data'!AF1622)),'Track Data'!U1622)</f>
        <v>4.8192435869194066</v>
      </c>
      <c r="AH1622" s="16">
        <f>IF(AC1622=0,IF(O1622=2,INDEX(Acceleration!$R$4:$R$110,MATCH('Track Data'!S1622,Acceleration!$K$4:$K$110,0)),IF('Track Data'!O1622=1,INDEX(Acceleration!$Q$4:$Q$110,MATCH('Track Data'!S1622,Acceleration!$K$4:$K$110,0)),'Track Data'!AG1622)),'Track Data'!U1622)</f>
        <v>4.8192435869194066</v>
      </c>
    </row>
    <row r="1623" spans="2:34" x14ac:dyDescent="0.25">
      <c r="B1623" s="16">
        <v>241.369</v>
      </c>
      <c r="C1623" s="16">
        <v>8893</v>
      </c>
      <c r="D1623" s="16">
        <v>1620</v>
      </c>
      <c r="E1623" s="113">
        <v>185</v>
      </c>
      <c r="F1623" s="113">
        <v>182.7</v>
      </c>
      <c r="G1623" s="113">
        <v>180.9</v>
      </c>
      <c r="H1623" s="113">
        <f t="shared" si="180"/>
        <v>50.25</v>
      </c>
      <c r="I1623" s="113">
        <v>2.7</v>
      </c>
      <c r="J1623" s="113">
        <v>10.78</v>
      </c>
      <c r="K1623" s="113">
        <v>6.9</v>
      </c>
      <c r="L1623" s="185"/>
      <c r="M1623" s="16">
        <v>1620</v>
      </c>
      <c r="N1623" s="16">
        <f t="shared" si="182"/>
        <v>2.2078218294993412E-2</v>
      </c>
      <c r="O1623" s="16">
        <v>4</v>
      </c>
      <c r="P1623" s="16">
        <f t="shared" si="178"/>
        <v>9.1833785004516724</v>
      </c>
      <c r="Q1623" s="16">
        <f t="shared" si="183"/>
        <v>45.293509948978354</v>
      </c>
      <c r="R1623" s="113">
        <f t="shared" si="179"/>
        <v>329.49099999999999</v>
      </c>
      <c r="S1623" s="16">
        <f>IF(S1622=15800,15800,ROUND((((Q1623*60)/'Gearing Calculator'!$C$14)*'Track Data'!P1623),-2))</f>
        <v>12600</v>
      </c>
      <c r="T1623" s="16">
        <f t="shared" si="181"/>
        <v>4.8192435869194066</v>
      </c>
      <c r="U1623" s="16">
        <f>IF(AC1623=100,Braking!$AG$2354,IF(AC1623=50,Braking!$AG$1179,IF(AC1623=75,Braking!$AG$1767,0)))</f>
        <v>0</v>
      </c>
      <c r="V1623" s="16">
        <f>0.5*'Gearing Calculator'!$C$15*'Gearing Calculator'!$C$20*'Gearing Calculator'!$W$20*('Track Data'!Q1623^2)</f>
        <v>217.13097628384958</v>
      </c>
      <c r="W1623" s="16">
        <f>('Gearing Calculator'!$U$9*'Track Data'!T1623)+'Track Data'!V1623</f>
        <v>1500.0136191217955</v>
      </c>
      <c r="X1623" s="16">
        <f>('Gearing Calculator'!$U$9*9.81)*('Gearing Calculator'!$U$16/'Gearing Calculator'!$C$7)-(('Track Data'!W1623)*('Gearing Calculator'!$U$17/'Gearing Calculator'!$C$7))</f>
        <v>583.55243604881173</v>
      </c>
      <c r="Y1623" s="16">
        <f>('Gearing Calculator'!$U$9*9.81)*(('Gearing Calculator'!$C$7-'Gearing Calculator'!$U$16)/'Gearing Calculator'!$C$7)+(('Track Data'!W1623)*('Gearing Calculator'!$U$17/'Gearing Calculator'!$C$7))</f>
        <v>2027.8695639511884</v>
      </c>
      <c r="Z1623" s="16">
        <f>((X1623*COS('Gearing Calculator'!$C$21))/'Gearing Calculator'!$C$22)/2</f>
        <v>18.041595703518322</v>
      </c>
      <c r="AA1623" s="16">
        <f>Y1623/'Gearing Calculator'!$C$24</f>
        <v>28.31586068094089</v>
      </c>
      <c r="AB1623" s="16">
        <f t="shared" si="177"/>
        <v>236.4079506315272</v>
      </c>
      <c r="AC1623" s="16">
        <v>0</v>
      </c>
      <c r="AD1623" s="16">
        <v>0</v>
      </c>
      <c r="AE1623" s="16">
        <v>1620</v>
      </c>
      <c r="AF1623" s="16">
        <f>IF(AC1623=0,IF(O1623=6,INDEX(Acceleration!$V$4:$V$110,MATCH('Track Data'!S1623,Acceleration!$K$4:$K$110,0)),IF('Track Data'!O1623=5,INDEX(Acceleration!$U$4:$U$110,MATCH('Track Data'!S1623,Acceleration!$K$4:$K$110,0)),1)),U1623)</f>
        <v>1</v>
      </c>
      <c r="AG1623" s="16">
        <f>IF(AC1623=0,IF(O1623=4,INDEX(Acceleration!$T$4:$T$110,MATCH('Track Data'!S1623,Acceleration!$K$4:$K$110,0)),IF('Track Data'!O1623=3,INDEX(Acceleration!$S$4:$S$110,MATCH('Track Data'!S1623,Acceleration!$K$4:$K$110,0)),'Track Data'!AF1623)),'Track Data'!U1623)</f>
        <v>4.8192435869194066</v>
      </c>
      <c r="AH1623" s="16">
        <f>IF(AC1623=0,IF(O1623=2,INDEX(Acceleration!$R$4:$R$110,MATCH('Track Data'!S1623,Acceleration!$K$4:$K$110,0)),IF('Track Data'!O1623=1,INDEX(Acceleration!$Q$4:$Q$110,MATCH('Track Data'!S1623,Acceleration!$K$4:$K$110,0)),'Track Data'!AG1623)),'Track Data'!U1623)</f>
        <v>4.8192435869194066</v>
      </c>
    </row>
    <row r="1624" spans="2:34" x14ac:dyDescent="0.25">
      <c r="B1624" s="16">
        <v>241.38800000000001</v>
      </c>
      <c r="C1624" s="16">
        <v>8894</v>
      </c>
      <c r="D1624" s="16">
        <v>1621</v>
      </c>
      <c r="E1624" s="113">
        <v>185</v>
      </c>
      <c r="F1624" s="113">
        <v>183</v>
      </c>
      <c r="G1624" s="113">
        <v>181.3</v>
      </c>
      <c r="H1624" s="113">
        <f t="shared" si="180"/>
        <v>50.361111111111114</v>
      </c>
      <c r="I1624" s="113">
        <v>2.7</v>
      </c>
      <c r="J1624" s="113">
        <v>12.13</v>
      </c>
      <c r="K1624" s="113">
        <v>6.9</v>
      </c>
      <c r="L1624" s="185"/>
      <c r="M1624" s="16">
        <v>1621</v>
      </c>
      <c r="N1624" s="16">
        <f t="shared" si="182"/>
        <v>2.2026535747555014E-2</v>
      </c>
      <c r="O1624" s="16">
        <v>4</v>
      </c>
      <c r="P1624" s="16">
        <f t="shared" si="178"/>
        <v>9.1833785004516724</v>
      </c>
      <c r="Q1624" s="16">
        <f t="shared" si="183"/>
        <v>45.399785579582201</v>
      </c>
      <c r="R1624" s="113">
        <f t="shared" si="179"/>
        <v>329.49099999999999</v>
      </c>
      <c r="S1624" s="16">
        <f>IF(S1623=15800,15800,ROUND((((Q1624*60)/'Gearing Calculator'!$C$14)*'Track Data'!P1624),-2))</f>
        <v>12600</v>
      </c>
      <c r="T1624" s="16">
        <f t="shared" si="181"/>
        <v>4.8192435869194066</v>
      </c>
      <c r="U1624" s="16">
        <f>IF(AC1624=100,Braking!$AG$2354,IF(AC1624=50,Braking!$AG$1179,IF(AC1624=75,Braking!$AG$1767,0)))</f>
        <v>0</v>
      </c>
      <c r="V1624" s="16">
        <f>0.5*'Gearing Calculator'!$C$15*'Gearing Calculator'!$C$20*'Gearing Calculator'!$W$20*('Track Data'!Q1624^2)</f>
        <v>218.15111376632868</v>
      </c>
      <c r="W1624" s="16">
        <f>('Gearing Calculator'!$U$9*'Track Data'!T1624)+'Track Data'!V1624</f>
        <v>1501.0337566042747</v>
      </c>
      <c r="X1624" s="16">
        <f>('Gearing Calculator'!$U$9*9.81)*('Gearing Calculator'!$U$16/'Gearing Calculator'!$C$7)-(('Track Data'!W1624)*('Gearing Calculator'!$U$17/'Gearing Calculator'!$C$7))</f>
        <v>582.99639145186359</v>
      </c>
      <c r="Y1624" s="16">
        <f>('Gearing Calculator'!$U$9*9.81)*(('Gearing Calculator'!$C$7-'Gearing Calculator'!$U$16)/'Gearing Calculator'!$C$7)+(('Track Data'!W1624)*('Gearing Calculator'!$U$17/'Gearing Calculator'!$C$7))</f>
        <v>2028.4256085481366</v>
      </c>
      <c r="Z1624" s="16">
        <f>((X1624*COS('Gearing Calculator'!$C$21))/'Gearing Calculator'!$C$22)/2</f>
        <v>18.024404563199912</v>
      </c>
      <c r="AA1624" s="16">
        <f>Y1624/'Gearing Calculator'!$C$24</f>
        <v>28.323624928513546</v>
      </c>
      <c r="AB1624" s="16">
        <f t="shared" si="177"/>
        <v>237.4280881140063</v>
      </c>
      <c r="AC1624" s="16">
        <v>0</v>
      </c>
      <c r="AD1624" s="16">
        <v>0</v>
      </c>
      <c r="AE1624" s="16">
        <v>1621</v>
      </c>
      <c r="AF1624" s="16">
        <f>IF(AC1624=0,IF(O1624=6,INDEX(Acceleration!$V$4:$V$110,MATCH('Track Data'!S1624,Acceleration!$K$4:$K$110,0)),IF('Track Data'!O1624=5,INDEX(Acceleration!$U$4:$U$110,MATCH('Track Data'!S1624,Acceleration!$K$4:$K$110,0)),1)),U1624)</f>
        <v>1</v>
      </c>
      <c r="AG1624" s="16">
        <f>IF(AC1624=0,IF(O1624=4,INDEX(Acceleration!$T$4:$T$110,MATCH('Track Data'!S1624,Acceleration!$K$4:$K$110,0)),IF('Track Data'!O1624=3,INDEX(Acceleration!$S$4:$S$110,MATCH('Track Data'!S1624,Acceleration!$K$4:$K$110,0)),'Track Data'!AF1624)),'Track Data'!U1624)</f>
        <v>4.8192435869194066</v>
      </c>
      <c r="AH1624" s="16">
        <f>IF(AC1624=0,IF(O1624=2,INDEX(Acceleration!$R$4:$R$110,MATCH('Track Data'!S1624,Acceleration!$K$4:$K$110,0)),IF('Track Data'!O1624=1,INDEX(Acceleration!$Q$4:$Q$110,MATCH('Track Data'!S1624,Acceleration!$K$4:$K$110,0)),'Track Data'!AG1624)),'Track Data'!U1624)</f>
        <v>4.8192435869194066</v>
      </c>
    </row>
    <row r="1625" spans="2:34" x14ac:dyDescent="0.25">
      <c r="B1625" s="16">
        <v>241.40799999999999</v>
      </c>
      <c r="C1625" s="16">
        <v>8895</v>
      </c>
      <c r="D1625" s="16">
        <v>1622</v>
      </c>
      <c r="E1625" s="113">
        <v>185</v>
      </c>
      <c r="F1625" s="113">
        <v>183.2</v>
      </c>
      <c r="G1625" s="113">
        <v>181.6</v>
      </c>
      <c r="H1625" s="113">
        <f t="shared" si="180"/>
        <v>50.444444444444443</v>
      </c>
      <c r="I1625" s="113">
        <v>3.1</v>
      </c>
      <c r="J1625" s="113">
        <v>13.95</v>
      </c>
      <c r="K1625" s="113">
        <v>6.9</v>
      </c>
      <c r="L1625" s="185"/>
      <c r="M1625" s="16">
        <v>1622</v>
      </c>
      <c r="N1625" s="16">
        <f t="shared" si="182"/>
        <v>2.1975214457662515E-2</v>
      </c>
      <c r="O1625" s="16">
        <v>4</v>
      </c>
      <c r="P1625" s="16">
        <f t="shared" si="178"/>
        <v>9.1833785004516724</v>
      </c>
      <c r="Q1625" s="16">
        <f t="shared" si="183"/>
        <v>45.505813011590931</v>
      </c>
      <c r="R1625" s="113">
        <f t="shared" si="179"/>
        <v>329.49099999999999</v>
      </c>
      <c r="S1625" s="16">
        <f>IF(S1624=15800,15800,ROUND((((Q1625*60)/'Gearing Calculator'!$C$14)*'Track Data'!P1625),-2))</f>
        <v>12700</v>
      </c>
      <c r="T1625" s="16">
        <f t="shared" si="181"/>
        <v>4.8183564077382988</v>
      </c>
      <c r="U1625" s="16">
        <f>IF(AC1625=100,Braking!$AG$2354,IF(AC1625=50,Braking!$AG$1179,IF(AC1625=75,Braking!$AG$1767,0)))</f>
        <v>0</v>
      </c>
      <c r="V1625" s="16">
        <f>0.5*'Gearing Calculator'!$C$15*'Gearing Calculator'!$C$20*'Gearing Calculator'!$W$20*('Track Data'!Q1625^2)</f>
        <v>219.17125124880778</v>
      </c>
      <c r="W1625" s="16">
        <f>('Gearing Calculator'!$U$9*'Track Data'!T1625)+'Track Data'!V1625</f>
        <v>1501.8177269887428</v>
      </c>
      <c r="X1625" s="16">
        <f>('Gearing Calculator'!$U$9*9.81)*('Gearing Calculator'!$U$16/'Gearing Calculator'!$C$7)-(('Track Data'!W1625)*('Gearing Calculator'!$U$17/'Gearing Calculator'!$C$7))</f>
        <v>582.56907405206425</v>
      </c>
      <c r="Y1625" s="16">
        <f>('Gearing Calculator'!$U$9*9.81)*(('Gearing Calculator'!$C$7-'Gearing Calculator'!$U$16)/'Gearing Calculator'!$C$7)+(('Track Data'!W1625)*('Gearing Calculator'!$U$17/'Gearing Calculator'!$C$7))</f>
        <v>2028.8529259479358</v>
      </c>
      <c r="Z1625" s="16">
        <f>((X1625*COS('Gearing Calculator'!$C$21))/'Gearing Calculator'!$C$22)/2</f>
        <v>18.011193260687907</v>
      </c>
      <c r="AA1625" s="16">
        <f>Y1625/'Gearing Calculator'!$C$24</f>
        <v>28.329591712657038</v>
      </c>
      <c r="AB1625" s="16">
        <f t="shared" si="177"/>
        <v>238.44467687976098</v>
      </c>
      <c r="AC1625" s="16">
        <v>0</v>
      </c>
      <c r="AD1625" s="16">
        <v>0</v>
      </c>
      <c r="AE1625" s="16">
        <v>1622</v>
      </c>
      <c r="AF1625" s="16">
        <f>IF(AC1625=0,IF(O1625=6,INDEX(Acceleration!$V$4:$V$110,MATCH('Track Data'!S1625,Acceleration!$K$4:$K$110,0)),IF('Track Data'!O1625=5,INDEX(Acceleration!$U$4:$U$110,MATCH('Track Data'!S1625,Acceleration!$K$4:$K$110,0)),1)),U1625)</f>
        <v>1</v>
      </c>
      <c r="AG1625" s="16">
        <f>IF(AC1625=0,IF(O1625=4,INDEX(Acceleration!$T$4:$T$110,MATCH('Track Data'!S1625,Acceleration!$K$4:$K$110,0)),IF('Track Data'!O1625=3,INDEX(Acceleration!$S$4:$S$110,MATCH('Track Data'!S1625,Acceleration!$K$4:$K$110,0)),'Track Data'!AF1625)),'Track Data'!U1625)</f>
        <v>4.8183564077382988</v>
      </c>
      <c r="AH1625" s="16">
        <f>IF(AC1625=0,IF(O1625=2,INDEX(Acceleration!$R$4:$R$110,MATCH('Track Data'!S1625,Acceleration!$K$4:$K$110,0)),IF('Track Data'!O1625=1,INDEX(Acceleration!$Q$4:$Q$110,MATCH('Track Data'!S1625,Acceleration!$K$4:$K$110,0)),'Track Data'!AG1625)),'Track Data'!U1625)</f>
        <v>4.8183564077382988</v>
      </c>
    </row>
    <row r="1626" spans="2:34" x14ac:dyDescent="0.25">
      <c r="B1626" s="16">
        <v>241.428</v>
      </c>
      <c r="C1626" s="16">
        <v>8896</v>
      </c>
      <c r="D1626" s="16">
        <v>1623</v>
      </c>
      <c r="E1626" s="113">
        <v>185</v>
      </c>
      <c r="F1626" s="113">
        <v>183.6</v>
      </c>
      <c r="G1626" s="113">
        <v>181.9</v>
      </c>
      <c r="H1626" s="113">
        <f t="shared" si="180"/>
        <v>50.527777777777779</v>
      </c>
      <c r="I1626" s="113">
        <v>4.4000000000000004</v>
      </c>
      <c r="J1626" s="113">
        <v>14.63</v>
      </c>
      <c r="K1626" s="113">
        <v>6.9</v>
      </c>
      <c r="L1626" s="185"/>
      <c r="M1626" s="16">
        <v>1623</v>
      </c>
      <c r="N1626" s="16">
        <f t="shared" si="182"/>
        <v>2.1924259585668879E-2</v>
      </c>
      <c r="O1626" s="16">
        <v>4</v>
      </c>
      <c r="P1626" s="16">
        <f t="shared" si="178"/>
        <v>9.1833785004516724</v>
      </c>
      <c r="Q1626" s="16">
        <f t="shared" si="183"/>
        <v>45.611574525128546</v>
      </c>
      <c r="R1626" s="113">
        <f t="shared" si="179"/>
        <v>329.49099999999999</v>
      </c>
      <c r="S1626" s="16">
        <f>IF(S1625=15800,15800,ROUND((((Q1626*60)/'Gearing Calculator'!$C$14)*'Track Data'!P1626),-2))</f>
        <v>12700</v>
      </c>
      <c r="T1626" s="16">
        <f t="shared" si="181"/>
        <v>4.8183564077382988</v>
      </c>
      <c r="U1626" s="16">
        <f>IF(AC1626=100,Braking!$AG$2354,IF(AC1626=50,Braking!$AG$1179,IF(AC1626=75,Braking!$AG$1767,0)))</f>
        <v>0</v>
      </c>
      <c r="V1626" s="16">
        <f>0.5*'Gearing Calculator'!$C$15*'Gearing Calculator'!$C$20*'Gearing Calculator'!$W$20*('Track Data'!Q1626^2)</f>
        <v>220.19120093319782</v>
      </c>
      <c r="W1626" s="16">
        <f>('Gearing Calculator'!$U$9*'Track Data'!T1626)+'Track Data'!V1626</f>
        <v>1502.837676673133</v>
      </c>
      <c r="X1626" s="16">
        <f>('Gearing Calculator'!$U$9*9.81)*('Gearing Calculator'!$U$16/'Gearing Calculator'!$C$7)-(('Track Data'!W1626)*('Gearing Calculator'!$U$17/'Gearing Calculator'!$C$7))</f>
        <v>582.01313181789999</v>
      </c>
      <c r="Y1626" s="16">
        <f>('Gearing Calculator'!$U$9*9.81)*(('Gearing Calculator'!$C$7-'Gearing Calculator'!$U$16)/'Gearing Calculator'!$C$7)+(('Track Data'!W1626)*('Gearing Calculator'!$U$17/'Gearing Calculator'!$C$7))</f>
        <v>2029.4088681820999</v>
      </c>
      <c r="Z1626" s="16">
        <f>((X1626*COS('Gearing Calculator'!$C$21))/'Gearing Calculator'!$C$22)/2</f>
        <v>17.994005285103029</v>
      </c>
      <c r="AA1626" s="16">
        <f>Y1626/'Gearing Calculator'!$C$24</f>
        <v>28.337354530901901</v>
      </c>
      <c r="AB1626" s="16">
        <f t="shared" si="177"/>
        <v>239.46462656415102</v>
      </c>
      <c r="AC1626" s="16">
        <v>0</v>
      </c>
      <c r="AD1626" s="16">
        <v>0</v>
      </c>
      <c r="AE1626" s="16">
        <v>1623</v>
      </c>
      <c r="AF1626" s="16">
        <f>IF(AC1626=0,IF(O1626=6,INDEX(Acceleration!$V$4:$V$110,MATCH('Track Data'!S1626,Acceleration!$K$4:$K$110,0)),IF('Track Data'!O1626=5,INDEX(Acceleration!$U$4:$U$110,MATCH('Track Data'!S1626,Acceleration!$K$4:$K$110,0)),1)),U1626)</f>
        <v>1</v>
      </c>
      <c r="AG1626" s="16">
        <f>IF(AC1626=0,IF(O1626=4,INDEX(Acceleration!$T$4:$T$110,MATCH('Track Data'!S1626,Acceleration!$K$4:$K$110,0)),IF('Track Data'!O1626=3,INDEX(Acceleration!$S$4:$S$110,MATCH('Track Data'!S1626,Acceleration!$K$4:$K$110,0)),'Track Data'!AF1626)),'Track Data'!U1626)</f>
        <v>4.8183564077382988</v>
      </c>
      <c r="AH1626" s="16">
        <f>IF(AC1626=0,IF(O1626=2,INDEX(Acceleration!$R$4:$R$110,MATCH('Track Data'!S1626,Acceleration!$K$4:$K$110,0)),IF('Track Data'!O1626=1,INDEX(Acceleration!$Q$4:$Q$110,MATCH('Track Data'!S1626,Acceleration!$K$4:$K$110,0)),'Track Data'!AG1626)),'Track Data'!U1626)</f>
        <v>4.8183564077382988</v>
      </c>
    </row>
    <row r="1627" spans="2:34" x14ac:dyDescent="0.25">
      <c r="B1627" s="16">
        <v>241.447</v>
      </c>
      <c r="C1627" s="16">
        <v>8897</v>
      </c>
      <c r="D1627" s="16">
        <v>1624</v>
      </c>
      <c r="E1627" s="113">
        <v>185</v>
      </c>
      <c r="F1627" s="113">
        <v>184</v>
      </c>
      <c r="G1627" s="113">
        <v>182.2</v>
      </c>
      <c r="H1627" s="113">
        <f t="shared" si="180"/>
        <v>50.611111111111107</v>
      </c>
      <c r="I1627" s="113">
        <v>5.6</v>
      </c>
      <c r="J1627" s="113">
        <v>12.23</v>
      </c>
      <c r="K1627" s="113">
        <v>6.8</v>
      </c>
      <c r="L1627" s="185"/>
      <c r="M1627" s="16">
        <v>1624</v>
      </c>
      <c r="N1627" s="16">
        <f t="shared" si="182"/>
        <v>2.1873657531541562E-2</v>
      </c>
      <c r="O1627" s="16">
        <v>4</v>
      </c>
      <c r="P1627" s="16">
        <f t="shared" si="178"/>
        <v>9.1833785004516724</v>
      </c>
      <c r="Q1627" s="16">
        <f t="shared" si="183"/>
        <v>45.717091371573844</v>
      </c>
      <c r="R1627" s="113">
        <f t="shared" si="179"/>
        <v>329.49099999999999</v>
      </c>
      <c r="S1627" s="16">
        <f>IF(S1626=15800,15800,ROUND((((Q1627*60)/'Gearing Calculator'!$C$14)*'Track Data'!P1627),-2))</f>
        <v>12700</v>
      </c>
      <c r="T1627" s="16">
        <f t="shared" si="181"/>
        <v>4.8183564077382988</v>
      </c>
      <c r="U1627" s="16">
        <f>IF(AC1627=100,Braking!$AG$2354,IF(AC1627=50,Braking!$AG$1179,IF(AC1627=75,Braking!$AG$1767,0)))</f>
        <v>0</v>
      </c>
      <c r="V1627" s="16">
        <f>0.5*'Gearing Calculator'!$C$15*'Gearing Calculator'!$C$20*'Gearing Calculator'!$W$20*('Track Data'!Q1627^2)</f>
        <v>221.21115061758786</v>
      </c>
      <c r="W1627" s="16">
        <f>('Gearing Calculator'!$U$9*'Track Data'!T1627)+'Track Data'!V1627</f>
        <v>1503.857626357523</v>
      </c>
      <c r="X1627" s="16">
        <f>('Gearing Calculator'!$U$9*9.81)*('Gearing Calculator'!$U$16/'Gearing Calculator'!$C$7)-(('Track Data'!W1627)*('Gearing Calculator'!$U$17/'Gearing Calculator'!$C$7))</f>
        <v>581.45718958373595</v>
      </c>
      <c r="Y1627" s="16">
        <f>('Gearing Calculator'!$U$9*9.81)*(('Gearing Calculator'!$C$7-'Gearing Calculator'!$U$16)/'Gearing Calculator'!$C$7)+(('Track Data'!W1627)*('Gearing Calculator'!$U$17/'Gearing Calculator'!$C$7))</f>
        <v>2029.9648104162641</v>
      </c>
      <c r="Z1627" s="16">
        <f>((X1627*COS('Gearing Calculator'!$C$21))/'Gearing Calculator'!$C$22)/2</f>
        <v>17.976817309518161</v>
      </c>
      <c r="AA1627" s="16">
        <f>Y1627/'Gearing Calculator'!$C$24</f>
        <v>28.345117349146765</v>
      </c>
      <c r="AB1627" s="16">
        <f t="shared" si="177"/>
        <v>240.48457624854106</v>
      </c>
      <c r="AC1627" s="16">
        <v>0</v>
      </c>
      <c r="AD1627" s="16">
        <v>0</v>
      </c>
      <c r="AE1627" s="16">
        <v>1624</v>
      </c>
      <c r="AF1627" s="16">
        <f>IF(AC1627=0,IF(O1627=6,INDEX(Acceleration!$V$4:$V$110,MATCH('Track Data'!S1627,Acceleration!$K$4:$K$110,0)),IF('Track Data'!O1627=5,INDEX(Acceleration!$U$4:$U$110,MATCH('Track Data'!S1627,Acceleration!$K$4:$K$110,0)),1)),U1627)</f>
        <v>1</v>
      </c>
      <c r="AG1627" s="16">
        <f>IF(AC1627=0,IF(O1627=4,INDEX(Acceleration!$T$4:$T$110,MATCH('Track Data'!S1627,Acceleration!$K$4:$K$110,0)),IF('Track Data'!O1627=3,INDEX(Acceleration!$S$4:$S$110,MATCH('Track Data'!S1627,Acceleration!$K$4:$K$110,0)),'Track Data'!AF1627)),'Track Data'!U1627)</f>
        <v>4.8183564077382988</v>
      </c>
      <c r="AH1627" s="16">
        <f>IF(AC1627=0,IF(O1627=2,INDEX(Acceleration!$R$4:$R$110,MATCH('Track Data'!S1627,Acceleration!$K$4:$K$110,0)),IF('Track Data'!O1627=1,INDEX(Acceleration!$Q$4:$Q$110,MATCH('Track Data'!S1627,Acceleration!$K$4:$K$110,0)),'Track Data'!AG1627)),'Track Data'!U1627)</f>
        <v>4.8183564077382988</v>
      </c>
    </row>
    <row r="1628" spans="2:34" x14ac:dyDescent="0.25">
      <c r="B1628" s="16">
        <v>241.46600000000001</v>
      </c>
      <c r="C1628" s="16">
        <v>8898</v>
      </c>
      <c r="D1628" s="16">
        <v>1625</v>
      </c>
      <c r="E1628" s="113">
        <v>186</v>
      </c>
      <c r="F1628" s="113">
        <v>184.5</v>
      </c>
      <c r="G1628" s="113">
        <v>182.5</v>
      </c>
      <c r="H1628" s="113">
        <f t="shared" si="180"/>
        <v>50.694444444444443</v>
      </c>
      <c r="I1628" s="113">
        <v>5.7</v>
      </c>
      <c r="J1628" s="113">
        <v>13.17</v>
      </c>
      <c r="K1628" s="113">
        <v>6.1</v>
      </c>
      <c r="L1628" s="185"/>
      <c r="M1628" s="16">
        <v>1625</v>
      </c>
      <c r="N1628" s="16">
        <f t="shared" si="182"/>
        <v>2.1823404242394179E-2</v>
      </c>
      <c r="O1628" s="16">
        <v>4</v>
      </c>
      <c r="P1628" s="16">
        <f t="shared" si="178"/>
        <v>9.1833785004516724</v>
      </c>
      <c r="Q1628" s="16">
        <f t="shared" si="183"/>
        <v>45.822365241138613</v>
      </c>
      <c r="R1628" s="113">
        <f t="shared" si="179"/>
        <v>329.49099999999999</v>
      </c>
      <c r="S1628" s="16">
        <f>IF(S1627=15800,15800,ROUND((((Q1628*60)/'Gearing Calculator'!$C$14)*'Track Data'!P1628),-2))</f>
        <v>12800</v>
      </c>
      <c r="T1628" s="16">
        <f t="shared" si="181"/>
        <v>4.792705712495037</v>
      </c>
      <c r="U1628" s="16">
        <f>IF(AC1628=100,Braking!$AG$2354,IF(AC1628=50,Braking!$AG$1179,IF(AC1628=75,Braking!$AG$1767,0)))</f>
        <v>0</v>
      </c>
      <c r="V1628" s="16">
        <f>0.5*'Gearing Calculator'!$C$15*'Gearing Calculator'!$C$20*'Gearing Calculator'!$W$20*('Track Data'!Q1628^2)</f>
        <v>222.2311003019779</v>
      </c>
      <c r="W1628" s="16">
        <f>('Gearing Calculator'!$U$9*'Track Data'!T1628)+'Track Data'!V1628</f>
        <v>1498.0493609681566</v>
      </c>
      <c r="X1628" s="16">
        <f>('Gearing Calculator'!$U$9*9.81)*('Gearing Calculator'!$U$16/'Gearing Calculator'!$C$7)-(('Track Data'!W1628)*('Gearing Calculator'!$U$17/'Gearing Calculator'!$C$7))</f>
        <v>584.62309088906716</v>
      </c>
      <c r="Y1628" s="16">
        <f>('Gearing Calculator'!$U$9*9.81)*(('Gearing Calculator'!$C$7-'Gearing Calculator'!$U$16)/'Gearing Calculator'!$C$7)+(('Track Data'!W1628)*('Gearing Calculator'!$U$17/'Gearing Calculator'!$C$7))</f>
        <v>2026.798909110933</v>
      </c>
      <c r="Z1628" s="16">
        <f>((X1628*COS('Gearing Calculator'!$C$21))/'Gearing Calculator'!$C$22)/2</f>
        <v>18.074696964986256</v>
      </c>
      <c r="AA1628" s="16">
        <f>Y1628/'Gearing Calculator'!$C$24</f>
        <v>28.300910748345135</v>
      </c>
      <c r="AB1628" s="16">
        <f t="shared" si="177"/>
        <v>241.40192315195804</v>
      </c>
      <c r="AC1628" s="16">
        <v>0</v>
      </c>
      <c r="AD1628" s="16">
        <v>0</v>
      </c>
      <c r="AE1628" s="16">
        <v>1625</v>
      </c>
      <c r="AF1628" s="16">
        <f>IF(AC1628=0,IF(O1628=6,INDEX(Acceleration!$V$4:$V$110,MATCH('Track Data'!S1628,Acceleration!$K$4:$K$110,0)),IF('Track Data'!O1628=5,INDEX(Acceleration!$U$4:$U$110,MATCH('Track Data'!S1628,Acceleration!$K$4:$K$110,0)),1)),U1628)</f>
        <v>1</v>
      </c>
      <c r="AG1628" s="16">
        <f>IF(AC1628=0,IF(O1628=4,INDEX(Acceleration!$T$4:$T$110,MATCH('Track Data'!S1628,Acceleration!$K$4:$K$110,0)),IF('Track Data'!O1628=3,INDEX(Acceleration!$S$4:$S$110,MATCH('Track Data'!S1628,Acceleration!$K$4:$K$110,0)),'Track Data'!AF1628)),'Track Data'!U1628)</f>
        <v>4.792705712495037</v>
      </c>
      <c r="AH1628" s="16">
        <f>IF(AC1628=0,IF(O1628=2,INDEX(Acceleration!$R$4:$R$110,MATCH('Track Data'!S1628,Acceleration!$K$4:$K$110,0)),IF('Track Data'!O1628=1,INDEX(Acceleration!$Q$4:$Q$110,MATCH('Track Data'!S1628,Acceleration!$K$4:$K$110,0)),'Track Data'!AG1628)),'Track Data'!U1628)</f>
        <v>4.792705712495037</v>
      </c>
    </row>
    <row r="1629" spans="2:34" x14ac:dyDescent="0.25">
      <c r="B1629" s="16">
        <v>241.48599999999999</v>
      </c>
      <c r="C1629" s="16">
        <v>8900</v>
      </c>
      <c r="D1629" s="16">
        <v>1626</v>
      </c>
      <c r="E1629" s="113">
        <v>186</v>
      </c>
      <c r="F1629" s="113">
        <v>184.9</v>
      </c>
      <c r="G1629" s="113">
        <v>182.8</v>
      </c>
      <c r="H1629" s="113">
        <f t="shared" si="180"/>
        <v>50.777777777777779</v>
      </c>
      <c r="I1629" s="113">
        <v>5.6</v>
      </c>
      <c r="J1629" s="113">
        <v>13.72</v>
      </c>
      <c r="K1629" s="113">
        <v>5.5</v>
      </c>
      <c r="L1629" s="185"/>
      <c r="M1629" s="16">
        <v>1626</v>
      </c>
      <c r="N1629" s="16">
        <f t="shared" si="182"/>
        <v>2.1773760514102698E-2</v>
      </c>
      <c r="O1629" s="16">
        <v>4</v>
      </c>
      <c r="P1629" s="16">
        <f t="shared" si="178"/>
        <v>9.1833785004516724</v>
      </c>
      <c r="Q1629" s="16">
        <f t="shared" si="183"/>
        <v>45.926839295963951</v>
      </c>
      <c r="R1629" s="113">
        <f t="shared" si="179"/>
        <v>329.49099999999999</v>
      </c>
      <c r="S1629" s="16">
        <f>IF(S1628=15800,15800,ROUND((((Q1629*60)/'Gearing Calculator'!$C$14)*'Track Data'!P1629),-2))</f>
        <v>12800</v>
      </c>
      <c r="T1629" s="16">
        <f t="shared" si="181"/>
        <v>4.792705712495037</v>
      </c>
      <c r="U1629" s="16">
        <f>IF(AC1629=100,Braking!$AG$2354,IF(AC1629=50,Braking!$AG$1179,IF(AC1629=75,Braking!$AG$1767,0)))</f>
        <v>0</v>
      </c>
      <c r="V1629" s="16">
        <f>0.5*'Gearing Calculator'!$C$15*'Gearing Calculator'!$C$20*'Gearing Calculator'!$W$20*('Track Data'!Q1629^2)</f>
        <v>223.24562024719884</v>
      </c>
      <c r="W1629" s="16">
        <f>('Gearing Calculator'!$U$9*'Track Data'!T1629)+'Track Data'!V1629</f>
        <v>1499.0638809133775</v>
      </c>
      <c r="X1629" s="16">
        <f>('Gearing Calculator'!$U$9*9.81)*('Gearing Calculator'!$U$16/'Gearing Calculator'!$C$7)-(('Track Data'!W1629)*('Gearing Calculator'!$U$17/'Gearing Calculator'!$C$7))</f>
        <v>584.07010823356734</v>
      </c>
      <c r="Y1629" s="16">
        <f>('Gearing Calculator'!$U$9*9.81)*(('Gearing Calculator'!$C$7-'Gearing Calculator'!$U$16)/'Gearing Calculator'!$C$7)+(('Track Data'!W1629)*('Gearing Calculator'!$U$17/'Gearing Calculator'!$C$7))</f>
        <v>2027.3518917664328</v>
      </c>
      <c r="Z1629" s="16">
        <f>((X1629*COS('Gearing Calculator'!$C$21))/'Gearing Calculator'!$C$22)/2</f>
        <v>18.057600490213336</v>
      </c>
      <c r="AA1629" s="16">
        <f>Y1629/'Gearing Calculator'!$C$24</f>
        <v>28.308632240945283</v>
      </c>
      <c r="AB1629" s="16">
        <f t="shared" si="177"/>
        <v>242.41644309717898</v>
      </c>
      <c r="AC1629" s="16">
        <v>0</v>
      </c>
      <c r="AD1629" s="16">
        <v>0</v>
      </c>
      <c r="AE1629" s="16">
        <v>1626</v>
      </c>
      <c r="AF1629" s="16">
        <f>IF(AC1629=0,IF(O1629=6,INDEX(Acceleration!$V$4:$V$110,MATCH('Track Data'!S1629,Acceleration!$K$4:$K$110,0)),IF('Track Data'!O1629=5,INDEX(Acceleration!$U$4:$U$110,MATCH('Track Data'!S1629,Acceleration!$K$4:$K$110,0)),1)),U1629)</f>
        <v>1</v>
      </c>
      <c r="AG1629" s="16">
        <f>IF(AC1629=0,IF(O1629=4,INDEX(Acceleration!$T$4:$T$110,MATCH('Track Data'!S1629,Acceleration!$K$4:$K$110,0)),IF('Track Data'!O1629=3,INDEX(Acceleration!$S$4:$S$110,MATCH('Track Data'!S1629,Acceleration!$K$4:$K$110,0)),'Track Data'!AF1629)),'Track Data'!U1629)</f>
        <v>4.792705712495037</v>
      </c>
      <c r="AH1629" s="16">
        <f>IF(AC1629=0,IF(O1629=2,INDEX(Acceleration!$R$4:$R$110,MATCH('Track Data'!S1629,Acceleration!$K$4:$K$110,0)),IF('Track Data'!O1629=1,INDEX(Acceleration!$Q$4:$Q$110,MATCH('Track Data'!S1629,Acceleration!$K$4:$K$110,0)),'Track Data'!AG1629)),'Track Data'!U1629)</f>
        <v>4.792705712495037</v>
      </c>
    </row>
    <row r="1630" spans="2:34" x14ac:dyDescent="0.25">
      <c r="B1630" s="16">
        <v>241.506</v>
      </c>
      <c r="C1630" s="16">
        <v>8901</v>
      </c>
      <c r="D1630" s="16">
        <v>1627</v>
      </c>
      <c r="E1630" s="113">
        <v>186</v>
      </c>
      <c r="F1630" s="113">
        <v>185</v>
      </c>
      <c r="G1630" s="113">
        <v>183.1</v>
      </c>
      <c r="H1630" s="113">
        <f t="shared" si="180"/>
        <v>50.861111111111107</v>
      </c>
      <c r="I1630" s="113">
        <v>5.5</v>
      </c>
      <c r="J1630" s="113">
        <v>14.92</v>
      </c>
      <c r="K1630" s="113">
        <v>4.9000000000000004</v>
      </c>
      <c r="L1630" s="185"/>
      <c r="M1630" s="16">
        <v>1627</v>
      </c>
      <c r="N1630" s="16">
        <f t="shared" si="182"/>
        <v>2.1724454039360935E-2</v>
      </c>
      <c r="O1630" s="16">
        <v>4</v>
      </c>
      <c r="P1630" s="16">
        <f t="shared" si="178"/>
        <v>9.1833785004516724</v>
      </c>
      <c r="Q1630" s="16">
        <f t="shared" si="183"/>
        <v>46.031076232717922</v>
      </c>
      <c r="R1630" s="113">
        <f t="shared" si="179"/>
        <v>329.49099999999999</v>
      </c>
      <c r="S1630" s="16">
        <f>IF(S1629=15800,15800,ROUND((((Q1630*60)/'Gearing Calculator'!$C$14)*'Track Data'!P1630),-2))</f>
        <v>12800</v>
      </c>
      <c r="T1630" s="16">
        <f t="shared" si="181"/>
        <v>4.792705712495037</v>
      </c>
      <c r="U1630" s="16">
        <f>IF(AC1630=100,Braking!$AG$2354,IF(AC1630=50,Braking!$AG$1179,IF(AC1630=75,Braking!$AG$1767,0)))</f>
        <v>0</v>
      </c>
      <c r="V1630" s="16">
        <f>0.5*'Gearing Calculator'!$C$15*'Gearing Calculator'!$C$20*'Gearing Calculator'!$W$20*('Track Data'!Q1630^2)</f>
        <v>224.26014019241984</v>
      </c>
      <c r="W1630" s="16">
        <f>('Gearing Calculator'!$U$9*'Track Data'!T1630)+'Track Data'!V1630</f>
        <v>1500.0784008585986</v>
      </c>
      <c r="X1630" s="16">
        <f>('Gearing Calculator'!$U$9*9.81)*('Gearing Calculator'!$U$16/'Gearing Calculator'!$C$7)-(('Track Data'!W1630)*('Gearing Calculator'!$U$17/'Gearing Calculator'!$C$7))</f>
        <v>583.51712557806741</v>
      </c>
      <c r="Y1630" s="16">
        <f>('Gearing Calculator'!$U$9*9.81)*(('Gearing Calculator'!$C$7-'Gearing Calculator'!$U$16)/'Gearing Calculator'!$C$7)+(('Track Data'!W1630)*('Gearing Calculator'!$U$17/'Gearing Calculator'!$C$7))</f>
        <v>2027.9048744219326</v>
      </c>
      <c r="Z1630" s="16">
        <f>((X1630*COS('Gearing Calculator'!$C$21))/'Gearing Calculator'!$C$22)/2</f>
        <v>18.040504015440412</v>
      </c>
      <c r="AA1630" s="16">
        <f>Y1630/'Gearing Calculator'!$C$24</f>
        <v>28.316353733545427</v>
      </c>
      <c r="AB1630" s="16">
        <f t="shared" si="177"/>
        <v>243.43096304239998</v>
      </c>
      <c r="AC1630" s="16">
        <v>0</v>
      </c>
      <c r="AD1630" s="16">
        <v>0</v>
      </c>
      <c r="AE1630" s="16">
        <v>1627</v>
      </c>
      <c r="AF1630" s="16">
        <f>IF(AC1630=0,IF(O1630=6,INDEX(Acceleration!$V$4:$V$110,MATCH('Track Data'!S1630,Acceleration!$K$4:$K$110,0)),IF('Track Data'!O1630=5,INDEX(Acceleration!$U$4:$U$110,MATCH('Track Data'!S1630,Acceleration!$K$4:$K$110,0)),1)),U1630)</f>
        <v>1</v>
      </c>
      <c r="AG1630" s="16">
        <f>IF(AC1630=0,IF(O1630=4,INDEX(Acceleration!$T$4:$T$110,MATCH('Track Data'!S1630,Acceleration!$K$4:$K$110,0)),IF('Track Data'!O1630=3,INDEX(Acceleration!$S$4:$S$110,MATCH('Track Data'!S1630,Acceleration!$K$4:$K$110,0)),'Track Data'!AF1630)),'Track Data'!U1630)</f>
        <v>4.792705712495037</v>
      </c>
      <c r="AH1630" s="16">
        <f>IF(AC1630=0,IF(O1630=2,INDEX(Acceleration!$R$4:$R$110,MATCH('Track Data'!S1630,Acceleration!$K$4:$K$110,0)),IF('Track Data'!O1630=1,INDEX(Acceleration!$Q$4:$Q$110,MATCH('Track Data'!S1630,Acceleration!$K$4:$K$110,0)),'Track Data'!AG1630)),'Track Data'!U1630)</f>
        <v>4.792705712495037</v>
      </c>
    </row>
    <row r="1631" spans="2:34" x14ac:dyDescent="0.25">
      <c r="B1631" s="16">
        <v>241.52500000000001</v>
      </c>
      <c r="C1631" s="16">
        <v>8901</v>
      </c>
      <c r="D1631" s="16">
        <v>1628</v>
      </c>
      <c r="E1631" s="113">
        <v>186</v>
      </c>
      <c r="F1631" s="113">
        <v>185.1</v>
      </c>
      <c r="G1631" s="113">
        <v>183.3</v>
      </c>
      <c r="H1631" s="113">
        <f t="shared" si="180"/>
        <v>50.916666666666671</v>
      </c>
      <c r="I1631" s="113">
        <v>5.5</v>
      </c>
      <c r="J1631" s="113">
        <v>16.64</v>
      </c>
      <c r="K1631" s="113">
        <v>4.5</v>
      </c>
      <c r="L1631" s="185"/>
      <c r="M1631" s="16">
        <v>1628</v>
      </c>
      <c r="N1631" s="16">
        <f t="shared" si="182"/>
        <v>2.167548101684116E-2</v>
      </c>
      <c r="O1631" s="16">
        <v>4</v>
      </c>
      <c r="P1631" s="16">
        <f t="shared" si="178"/>
        <v>9.1833785004516724</v>
      </c>
      <c r="Q1631" s="16">
        <f t="shared" si="183"/>
        <v>46.135077658624127</v>
      </c>
      <c r="R1631" s="113">
        <f t="shared" si="179"/>
        <v>329.49099999999999</v>
      </c>
      <c r="S1631" s="16">
        <f>IF(S1630=15800,15800,ROUND((((Q1631*60)/'Gearing Calculator'!$C$14)*'Track Data'!P1631),-2))</f>
        <v>12800</v>
      </c>
      <c r="T1631" s="16">
        <f t="shared" si="181"/>
        <v>4.792705712495037</v>
      </c>
      <c r="U1631" s="16">
        <f>IF(AC1631=100,Braking!$AG$2354,IF(AC1631=50,Braking!$AG$1179,IF(AC1631=75,Braking!$AG$1767,0)))</f>
        <v>0</v>
      </c>
      <c r="V1631" s="16">
        <f>0.5*'Gearing Calculator'!$C$15*'Gearing Calculator'!$C$20*'Gearing Calculator'!$W$20*('Track Data'!Q1631^2)</f>
        <v>225.27466013764078</v>
      </c>
      <c r="W1631" s="16">
        <f>('Gearing Calculator'!$U$9*'Track Data'!T1631)+'Track Data'!V1631</f>
        <v>1501.0929208038194</v>
      </c>
      <c r="X1631" s="16">
        <f>('Gearing Calculator'!$U$9*9.81)*('Gearing Calculator'!$U$16/'Gearing Calculator'!$C$7)-(('Track Data'!W1631)*('Gearing Calculator'!$U$17/'Gearing Calculator'!$C$7))</f>
        <v>582.9641429225677</v>
      </c>
      <c r="Y1631" s="16">
        <f>('Gearing Calculator'!$U$9*9.81)*(('Gearing Calculator'!$C$7-'Gearing Calculator'!$U$16)/'Gearing Calculator'!$C$7)+(('Track Data'!W1631)*('Gearing Calculator'!$U$17/'Gearing Calculator'!$C$7))</f>
        <v>2028.4578570774324</v>
      </c>
      <c r="Z1631" s="16">
        <f>((X1631*COS('Gearing Calculator'!$C$21))/'Gearing Calculator'!$C$22)/2</f>
        <v>18.023407540667492</v>
      </c>
      <c r="AA1631" s="16">
        <f>Y1631/'Gearing Calculator'!$C$24</f>
        <v>28.324075226145574</v>
      </c>
      <c r="AB1631" s="16">
        <f t="shared" si="177"/>
        <v>244.44548298762092</v>
      </c>
      <c r="AC1631" s="16">
        <v>0</v>
      </c>
      <c r="AD1631" s="16">
        <v>0</v>
      </c>
      <c r="AE1631" s="16">
        <v>1628</v>
      </c>
      <c r="AF1631" s="16">
        <f>IF(AC1631=0,IF(O1631=6,INDEX(Acceleration!$V$4:$V$110,MATCH('Track Data'!S1631,Acceleration!$K$4:$K$110,0)),IF('Track Data'!O1631=5,INDEX(Acceleration!$U$4:$U$110,MATCH('Track Data'!S1631,Acceleration!$K$4:$K$110,0)),1)),U1631)</f>
        <v>1</v>
      </c>
      <c r="AG1631" s="16">
        <f>IF(AC1631=0,IF(O1631=4,INDEX(Acceleration!$T$4:$T$110,MATCH('Track Data'!S1631,Acceleration!$K$4:$K$110,0)),IF('Track Data'!O1631=3,INDEX(Acceleration!$S$4:$S$110,MATCH('Track Data'!S1631,Acceleration!$K$4:$K$110,0)),'Track Data'!AF1631)),'Track Data'!U1631)</f>
        <v>4.792705712495037</v>
      </c>
      <c r="AH1631" s="16">
        <f>IF(AC1631=0,IF(O1631=2,INDEX(Acceleration!$R$4:$R$110,MATCH('Track Data'!S1631,Acceleration!$K$4:$K$110,0)),IF('Track Data'!O1631=1,INDEX(Acceleration!$Q$4:$Q$110,MATCH('Track Data'!S1631,Acceleration!$K$4:$K$110,0)),'Track Data'!AG1631)),'Track Data'!U1631)</f>
        <v>4.792705712495037</v>
      </c>
    </row>
    <row r="1632" spans="2:34" x14ac:dyDescent="0.25">
      <c r="B1632" s="16">
        <v>241.54400000000001</v>
      </c>
      <c r="C1632" s="16">
        <v>8902</v>
      </c>
      <c r="D1632" s="16">
        <v>1629</v>
      </c>
      <c r="E1632" s="113">
        <v>186</v>
      </c>
      <c r="F1632" s="113">
        <v>185.5</v>
      </c>
      <c r="G1632" s="113">
        <v>183.6</v>
      </c>
      <c r="H1632" s="113">
        <f t="shared" si="180"/>
        <v>51</v>
      </c>
      <c r="I1632" s="113">
        <v>6.2</v>
      </c>
      <c r="J1632" s="113">
        <v>17.62</v>
      </c>
      <c r="K1632" s="113">
        <v>5.5</v>
      </c>
      <c r="L1632" s="185"/>
      <c r="M1632" s="16">
        <v>1629</v>
      </c>
      <c r="N1632" s="16">
        <f t="shared" si="182"/>
        <v>2.162683770493139E-2</v>
      </c>
      <c r="O1632" s="16">
        <v>4</v>
      </c>
      <c r="P1632" s="16">
        <f t="shared" si="178"/>
        <v>9.1833785004516724</v>
      </c>
      <c r="Q1632" s="16">
        <f t="shared" si="183"/>
        <v>46.238845162831097</v>
      </c>
      <c r="R1632" s="113">
        <f t="shared" si="179"/>
        <v>329.49099999999999</v>
      </c>
      <c r="S1632" s="16">
        <f>IF(S1631=15800,15800,ROUND((((Q1632*60)/'Gearing Calculator'!$C$14)*'Track Data'!P1632),-2))</f>
        <v>12900</v>
      </c>
      <c r="T1632" s="16">
        <f t="shared" si="181"/>
        <v>4.7672560072758658</v>
      </c>
      <c r="U1632" s="16">
        <f>IF(AC1632=100,Braking!$AG$2354,IF(AC1632=50,Braking!$AG$1179,IF(AC1632=75,Braking!$AG$1767,0)))</f>
        <v>0</v>
      </c>
      <c r="V1632" s="16">
        <f>0.5*'Gearing Calculator'!$C$15*'Gearing Calculator'!$C$20*'Gearing Calculator'!$W$20*('Track Data'!Q1632^2)</f>
        <v>226.28918008286169</v>
      </c>
      <c r="W1632" s="16">
        <f>('Gearing Calculator'!$U$9*'Track Data'!T1632)+'Track Data'!V1632</f>
        <v>1495.3327292196973</v>
      </c>
      <c r="X1632" s="16">
        <f>('Gearing Calculator'!$U$9*9.81)*('Gearing Calculator'!$U$16/'Gearing Calculator'!$C$7)-(('Track Data'!W1632)*('Gearing Calculator'!$U$17/'Gearing Calculator'!$C$7))</f>
        <v>586.10384072090108</v>
      </c>
      <c r="Y1632" s="16">
        <f>('Gearing Calculator'!$U$9*9.81)*(('Gearing Calculator'!$C$7-'Gearing Calculator'!$U$16)/'Gearing Calculator'!$C$7)+(('Track Data'!W1632)*('Gearing Calculator'!$U$17/'Gearing Calculator'!$C$7))</f>
        <v>2025.3181592790988</v>
      </c>
      <c r="Z1632" s="16">
        <f>((X1632*COS('Gearing Calculator'!$C$21))/'Gearing Calculator'!$C$22)/2</f>
        <v>18.120477066573848</v>
      </c>
      <c r="AA1632" s="16">
        <f>Y1632/'Gearing Calculator'!$C$24</f>
        <v>28.280234514189402</v>
      </c>
      <c r="AB1632" s="16">
        <f t="shared" si="177"/>
        <v>245.35820411196516</v>
      </c>
      <c r="AC1632" s="16">
        <v>0</v>
      </c>
      <c r="AD1632" s="16">
        <v>0</v>
      </c>
      <c r="AE1632" s="16">
        <v>1629</v>
      </c>
      <c r="AF1632" s="16">
        <f>IF(AC1632=0,IF(O1632=6,INDEX(Acceleration!$V$4:$V$110,MATCH('Track Data'!S1632,Acceleration!$K$4:$K$110,0)),IF('Track Data'!O1632=5,INDEX(Acceleration!$U$4:$U$110,MATCH('Track Data'!S1632,Acceleration!$K$4:$K$110,0)),1)),U1632)</f>
        <v>1</v>
      </c>
      <c r="AG1632" s="16">
        <f>IF(AC1632=0,IF(O1632=4,INDEX(Acceleration!$T$4:$T$110,MATCH('Track Data'!S1632,Acceleration!$K$4:$K$110,0)),IF('Track Data'!O1632=3,INDEX(Acceleration!$S$4:$S$110,MATCH('Track Data'!S1632,Acceleration!$K$4:$K$110,0)),'Track Data'!AF1632)),'Track Data'!U1632)</f>
        <v>4.7672560072758658</v>
      </c>
      <c r="AH1632" s="16">
        <f>IF(AC1632=0,IF(O1632=2,INDEX(Acceleration!$R$4:$R$110,MATCH('Track Data'!S1632,Acceleration!$K$4:$K$110,0)),IF('Track Data'!O1632=1,INDEX(Acceleration!$Q$4:$Q$110,MATCH('Track Data'!S1632,Acceleration!$K$4:$K$110,0)),'Track Data'!AG1632)),'Track Data'!U1632)</f>
        <v>4.7672560072758658</v>
      </c>
    </row>
    <row r="1633" spans="2:34" x14ac:dyDescent="0.25">
      <c r="B1633" s="16">
        <v>241.56399999999999</v>
      </c>
      <c r="C1633" s="16">
        <v>8903</v>
      </c>
      <c r="D1633" s="16">
        <v>1630</v>
      </c>
      <c r="E1633" s="113">
        <v>186</v>
      </c>
      <c r="F1633" s="113">
        <v>185.8</v>
      </c>
      <c r="G1633" s="113">
        <v>183.9</v>
      </c>
      <c r="H1633" s="113">
        <f t="shared" si="180"/>
        <v>51.083333333333336</v>
      </c>
      <c r="I1633" s="113">
        <v>6.8</v>
      </c>
      <c r="J1633" s="113">
        <v>15.81</v>
      </c>
      <c r="K1633" s="113">
        <v>6.5</v>
      </c>
      <c r="L1633" s="185"/>
      <c r="M1633" s="16">
        <v>1630</v>
      </c>
      <c r="N1633" s="16">
        <f t="shared" si="182"/>
        <v>2.1578776135099554E-2</v>
      </c>
      <c r="O1633" s="16">
        <v>4</v>
      </c>
      <c r="P1633" s="16">
        <f t="shared" si="178"/>
        <v>9.1833785004516724</v>
      </c>
      <c r="Q1633" s="16">
        <f t="shared" si="183"/>
        <v>46.341831146457949</v>
      </c>
      <c r="R1633" s="113">
        <f t="shared" si="179"/>
        <v>329.49099999999999</v>
      </c>
      <c r="S1633" s="16">
        <f>IF(S1632=15800,15800,ROUND((((Q1633*60)/'Gearing Calculator'!$C$14)*'Track Data'!P1633),-2))</f>
        <v>12900</v>
      </c>
      <c r="T1633" s="16">
        <f t="shared" si="181"/>
        <v>4.7672560072758658</v>
      </c>
      <c r="U1633" s="16">
        <f>IF(AC1633=100,Braking!$AG$2354,IF(AC1633=50,Braking!$AG$1179,IF(AC1633=75,Braking!$AG$1767,0)))</f>
        <v>0</v>
      </c>
      <c r="V1633" s="16">
        <f>0.5*'Gearing Calculator'!$C$15*'Gearing Calculator'!$C$20*'Gearing Calculator'!$W$20*('Track Data'!Q1633^2)</f>
        <v>227.29831283448183</v>
      </c>
      <c r="W1633" s="16">
        <f>('Gearing Calculator'!$U$9*'Track Data'!T1633)+'Track Data'!V1633</f>
        <v>1496.3418619713173</v>
      </c>
      <c r="X1633" s="16">
        <f>('Gearing Calculator'!$U$9*9.81)*('Gearing Calculator'!$U$16/'Gearing Calculator'!$C$7)-(('Track Data'!W1633)*('Gearing Calculator'!$U$17/'Gearing Calculator'!$C$7))</f>
        <v>585.55379445382539</v>
      </c>
      <c r="Y1633" s="16">
        <f>('Gearing Calculator'!$U$9*9.81)*(('Gearing Calculator'!$C$7-'Gearing Calculator'!$U$16)/'Gearing Calculator'!$C$7)+(('Track Data'!W1633)*('Gearing Calculator'!$U$17/'Gearing Calculator'!$C$7))</f>
        <v>2025.8682055461745</v>
      </c>
      <c r="Z1633" s="16">
        <f>((X1633*COS('Gearing Calculator'!$C$21))/'Gearing Calculator'!$C$22)/2</f>
        <v>18.103471375643995</v>
      </c>
      <c r="AA1633" s="16">
        <f>Y1633/'Gearing Calculator'!$C$24</f>
        <v>28.287915004958364</v>
      </c>
      <c r="AB1633" s="16">
        <f t="shared" si="177"/>
        <v>246.36733686358531</v>
      </c>
      <c r="AC1633" s="16">
        <v>0</v>
      </c>
      <c r="AD1633" s="16">
        <v>0</v>
      </c>
      <c r="AE1633" s="16">
        <v>1630</v>
      </c>
      <c r="AF1633" s="16">
        <f>IF(AC1633=0,IF(O1633=6,INDEX(Acceleration!$V$4:$V$110,MATCH('Track Data'!S1633,Acceleration!$K$4:$K$110,0)),IF('Track Data'!O1633=5,INDEX(Acceleration!$U$4:$U$110,MATCH('Track Data'!S1633,Acceleration!$K$4:$K$110,0)),1)),U1633)</f>
        <v>1</v>
      </c>
      <c r="AG1633" s="16">
        <f>IF(AC1633=0,IF(O1633=4,INDEX(Acceleration!$T$4:$T$110,MATCH('Track Data'!S1633,Acceleration!$K$4:$K$110,0)),IF('Track Data'!O1633=3,INDEX(Acceleration!$S$4:$S$110,MATCH('Track Data'!S1633,Acceleration!$K$4:$K$110,0)),'Track Data'!AF1633)),'Track Data'!U1633)</f>
        <v>4.7672560072758658</v>
      </c>
      <c r="AH1633" s="16">
        <f>IF(AC1633=0,IF(O1633=2,INDEX(Acceleration!$R$4:$R$110,MATCH('Track Data'!S1633,Acceleration!$K$4:$K$110,0)),IF('Track Data'!O1633=1,INDEX(Acceleration!$Q$4:$Q$110,MATCH('Track Data'!S1633,Acceleration!$K$4:$K$110,0)),'Track Data'!AG1633)),'Track Data'!U1633)</f>
        <v>4.7672560072758658</v>
      </c>
    </row>
    <row r="1634" spans="2:34" x14ac:dyDescent="0.25">
      <c r="B1634" s="16">
        <v>241.583</v>
      </c>
      <c r="C1634" s="16">
        <v>8904</v>
      </c>
      <c r="D1634" s="16">
        <v>1631</v>
      </c>
      <c r="E1634" s="113">
        <v>187</v>
      </c>
      <c r="F1634" s="113">
        <v>186.1</v>
      </c>
      <c r="G1634" s="113">
        <v>184.2</v>
      </c>
      <c r="H1634" s="113">
        <f t="shared" si="180"/>
        <v>51.166666666666664</v>
      </c>
      <c r="I1634" s="113">
        <v>6.5</v>
      </c>
      <c r="J1634" s="113">
        <v>15.43</v>
      </c>
      <c r="K1634" s="113">
        <v>7.3</v>
      </c>
      <c r="L1634" s="185"/>
      <c r="M1634" s="16">
        <v>1631</v>
      </c>
      <c r="N1634" s="16">
        <f t="shared" si="182"/>
        <v>2.1531033571004884E-2</v>
      </c>
      <c r="O1634" s="16">
        <v>4</v>
      </c>
      <c r="P1634" s="16">
        <f t="shared" si="178"/>
        <v>9.1833785004516724</v>
      </c>
      <c r="Q1634" s="16">
        <f t="shared" si="183"/>
        <v>46.444588770074944</v>
      </c>
      <c r="R1634" s="113">
        <f t="shared" si="179"/>
        <v>329.49099999999999</v>
      </c>
      <c r="S1634" s="16">
        <f>IF(S1633=15800,15800,ROUND((((Q1634*60)/'Gearing Calculator'!$C$14)*'Track Data'!P1634),-2))</f>
        <v>12900</v>
      </c>
      <c r="T1634" s="16">
        <f t="shared" si="181"/>
        <v>4.7672560072758658</v>
      </c>
      <c r="U1634" s="16">
        <f>IF(AC1634=100,Braking!$AG$2354,IF(AC1634=50,Braking!$AG$1179,IF(AC1634=75,Braking!$AG$1767,0)))</f>
        <v>0</v>
      </c>
      <c r="V1634" s="16">
        <f>0.5*'Gearing Calculator'!$C$15*'Gearing Calculator'!$C$20*'Gearing Calculator'!$W$20*('Track Data'!Q1634^2)</f>
        <v>228.30744558610192</v>
      </c>
      <c r="W1634" s="16">
        <f>('Gearing Calculator'!$U$9*'Track Data'!T1634)+'Track Data'!V1634</f>
        <v>1497.3509947229375</v>
      </c>
      <c r="X1634" s="16">
        <f>('Gearing Calculator'!$U$9*9.81)*('Gearing Calculator'!$U$16/'Gearing Calculator'!$C$7)-(('Track Data'!W1634)*('Gearing Calculator'!$U$17/'Gearing Calculator'!$C$7))</f>
        <v>585.00374818674959</v>
      </c>
      <c r="Y1634" s="16">
        <f>('Gearing Calculator'!$U$9*9.81)*(('Gearing Calculator'!$C$7-'Gearing Calculator'!$U$16)/'Gearing Calculator'!$C$7)+(('Track Data'!W1634)*('Gearing Calculator'!$U$17/'Gearing Calculator'!$C$7))</f>
        <v>2026.4182518132504</v>
      </c>
      <c r="Z1634" s="16">
        <f>((X1634*COS('Gearing Calculator'!$C$21))/'Gearing Calculator'!$C$22)/2</f>
        <v>18.086465684714138</v>
      </c>
      <c r="AA1634" s="16">
        <f>Y1634/'Gearing Calculator'!$C$24</f>
        <v>28.29559549572733</v>
      </c>
      <c r="AB1634" s="16">
        <f t="shared" si="177"/>
        <v>247.37646961520539</v>
      </c>
      <c r="AC1634" s="16">
        <v>0</v>
      </c>
      <c r="AD1634" s="16">
        <v>0</v>
      </c>
      <c r="AE1634" s="16">
        <v>1631</v>
      </c>
      <c r="AF1634" s="16">
        <f>IF(AC1634=0,IF(O1634=6,INDEX(Acceleration!$V$4:$V$110,MATCH('Track Data'!S1634,Acceleration!$K$4:$K$110,0)),IF('Track Data'!O1634=5,INDEX(Acceleration!$U$4:$U$110,MATCH('Track Data'!S1634,Acceleration!$K$4:$K$110,0)),1)),U1634)</f>
        <v>1</v>
      </c>
      <c r="AG1634" s="16">
        <f>IF(AC1634=0,IF(O1634=4,INDEX(Acceleration!$T$4:$T$110,MATCH('Track Data'!S1634,Acceleration!$K$4:$K$110,0)),IF('Track Data'!O1634=3,INDEX(Acceleration!$S$4:$S$110,MATCH('Track Data'!S1634,Acceleration!$K$4:$K$110,0)),'Track Data'!AF1634)),'Track Data'!U1634)</f>
        <v>4.7672560072758658</v>
      </c>
      <c r="AH1634" s="16">
        <f>IF(AC1634=0,IF(O1634=2,INDEX(Acceleration!$R$4:$R$110,MATCH('Track Data'!S1634,Acceleration!$K$4:$K$110,0)),IF('Track Data'!O1634=1,INDEX(Acceleration!$Q$4:$Q$110,MATCH('Track Data'!S1634,Acceleration!$K$4:$K$110,0)),'Track Data'!AG1634)),'Track Data'!U1634)</f>
        <v>4.7672560072758658</v>
      </c>
    </row>
    <row r="1635" spans="2:34" x14ac:dyDescent="0.25">
      <c r="B1635" s="16">
        <v>241.602</v>
      </c>
      <c r="C1635" s="16">
        <v>8905</v>
      </c>
      <c r="D1635" s="16">
        <v>1632</v>
      </c>
      <c r="E1635" s="113">
        <v>188</v>
      </c>
      <c r="F1635" s="113">
        <v>186.3</v>
      </c>
      <c r="G1635" s="113">
        <v>184.5</v>
      </c>
      <c r="H1635" s="113">
        <f t="shared" si="180"/>
        <v>51.25</v>
      </c>
      <c r="I1635" s="113">
        <v>5.5</v>
      </c>
      <c r="J1635" s="113">
        <v>17.38</v>
      </c>
      <c r="K1635" s="113">
        <v>7.8</v>
      </c>
      <c r="L1635" s="185"/>
      <c r="M1635" s="16">
        <v>1632</v>
      </c>
      <c r="N1635" s="16">
        <f t="shared" si="182"/>
        <v>2.1483606499222759E-2</v>
      </c>
      <c r="O1635" s="16">
        <v>4</v>
      </c>
      <c r="P1635" s="16">
        <f t="shared" si="178"/>
        <v>9.1833785004516724</v>
      </c>
      <c r="Q1635" s="16">
        <f t="shared" si="183"/>
        <v>46.547119546067755</v>
      </c>
      <c r="R1635" s="113">
        <f t="shared" si="179"/>
        <v>329.49099999999999</v>
      </c>
      <c r="S1635" s="16">
        <f>IF(S1634=15800,15800,ROUND((((Q1635*60)/'Gearing Calculator'!$C$14)*'Track Data'!P1635),-2))</f>
        <v>13000</v>
      </c>
      <c r="T1635" s="16">
        <f t="shared" si="181"/>
        <v>4.7177985984598587</v>
      </c>
      <c r="U1635" s="16">
        <f>IF(AC1635=100,Braking!$AG$2354,IF(AC1635=50,Braking!$AG$1179,IF(AC1635=75,Braking!$AG$1767,0)))</f>
        <v>0</v>
      </c>
      <c r="V1635" s="16">
        <f>0.5*'Gearing Calculator'!$C$15*'Gearing Calculator'!$C$20*'Gearing Calculator'!$W$20*('Track Data'!Q1635^2)</f>
        <v>229.31657833772206</v>
      </c>
      <c r="W1635" s="16">
        <f>('Gearing Calculator'!$U$9*'Track Data'!T1635)+'Track Data'!V1635</f>
        <v>1485.1945652477366</v>
      </c>
      <c r="X1635" s="16">
        <f>('Gearing Calculator'!$U$9*9.81)*('Gearing Calculator'!$U$16/'Gearing Calculator'!$C$7)-(('Track Data'!W1635)*('Gearing Calculator'!$U$17/'Gearing Calculator'!$C$7))</f>
        <v>591.62983245868452</v>
      </c>
      <c r="Y1635" s="16">
        <f>('Gearing Calculator'!$U$9*9.81)*(('Gearing Calculator'!$C$7-'Gearing Calculator'!$U$16)/'Gearing Calculator'!$C$7)+(('Track Data'!W1635)*('Gearing Calculator'!$U$17/'Gearing Calculator'!$C$7))</f>
        <v>2019.7921675413154</v>
      </c>
      <c r="Z1635" s="16">
        <f>((X1635*COS('Gearing Calculator'!$C$21))/'Gearing Calculator'!$C$22)/2</f>
        <v>18.291323253883281</v>
      </c>
      <c r="AA1635" s="16">
        <f>Y1635/'Gearing Calculator'!$C$24</f>
        <v>28.203073135098418</v>
      </c>
      <c r="AB1635" s="16">
        <f t="shared" si="177"/>
        <v>248.18777273156149</v>
      </c>
      <c r="AC1635" s="16">
        <v>0</v>
      </c>
      <c r="AD1635" s="16">
        <v>0</v>
      </c>
      <c r="AE1635" s="16">
        <v>1632</v>
      </c>
      <c r="AF1635" s="16">
        <f>IF(AC1635=0,IF(O1635=6,INDEX(Acceleration!$V$4:$V$110,MATCH('Track Data'!S1635,Acceleration!$K$4:$K$110,0)),IF('Track Data'!O1635=5,INDEX(Acceleration!$U$4:$U$110,MATCH('Track Data'!S1635,Acceleration!$K$4:$K$110,0)),1)),U1635)</f>
        <v>1</v>
      </c>
      <c r="AG1635" s="16">
        <f>IF(AC1635=0,IF(O1635=4,INDEX(Acceleration!$T$4:$T$110,MATCH('Track Data'!S1635,Acceleration!$K$4:$K$110,0)),IF('Track Data'!O1635=3,INDEX(Acceleration!$S$4:$S$110,MATCH('Track Data'!S1635,Acceleration!$K$4:$K$110,0)),'Track Data'!AF1635)),'Track Data'!U1635)</f>
        <v>4.7177985984598587</v>
      </c>
      <c r="AH1635" s="16">
        <f>IF(AC1635=0,IF(O1635=2,INDEX(Acceleration!$R$4:$R$110,MATCH('Track Data'!S1635,Acceleration!$K$4:$K$110,0)),IF('Track Data'!O1635=1,INDEX(Acceleration!$Q$4:$Q$110,MATCH('Track Data'!S1635,Acceleration!$K$4:$K$110,0)),'Track Data'!AG1635)),'Track Data'!U1635)</f>
        <v>4.7177985984598587</v>
      </c>
    </row>
    <row r="1636" spans="2:34" x14ac:dyDescent="0.25">
      <c r="B1636" s="16">
        <v>241.62100000000001</v>
      </c>
      <c r="C1636" s="16">
        <v>8906</v>
      </c>
      <c r="D1636" s="16">
        <v>1633</v>
      </c>
      <c r="E1636" s="113">
        <v>188</v>
      </c>
      <c r="F1636" s="113">
        <v>186.3</v>
      </c>
      <c r="G1636" s="113">
        <v>184.8</v>
      </c>
      <c r="H1636" s="113">
        <f t="shared" si="180"/>
        <v>51.333333333333336</v>
      </c>
      <c r="I1636" s="113">
        <v>5.0999999999999996</v>
      </c>
      <c r="J1636" s="113">
        <v>18.670000000000002</v>
      </c>
      <c r="K1636" s="113">
        <v>6.1</v>
      </c>
      <c r="L1636" s="185"/>
      <c r="M1636" s="16">
        <v>1633</v>
      </c>
      <c r="N1636" s="16">
        <f t="shared" si="182"/>
        <v>2.1436978660265713E-2</v>
      </c>
      <c r="O1636" s="16">
        <v>4</v>
      </c>
      <c r="P1636" s="16">
        <f t="shared" si="178"/>
        <v>9.1833785004516724</v>
      </c>
      <c r="Q1636" s="16">
        <f t="shared" si="183"/>
        <v>46.648364764832252</v>
      </c>
      <c r="R1636" s="113">
        <f t="shared" si="179"/>
        <v>329.49099999999999</v>
      </c>
      <c r="S1636" s="16">
        <f>IF(S1635=15800,15800,ROUND((((Q1636*60)/'Gearing Calculator'!$C$14)*'Track Data'!P1636),-2))</f>
        <v>13000</v>
      </c>
      <c r="T1636" s="16">
        <f t="shared" si="181"/>
        <v>4.7177985984598587</v>
      </c>
      <c r="U1636" s="16">
        <f>IF(AC1636=100,Braking!$AG$2354,IF(AC1636=50,Braking!$AG$1179,IF(AC1636=75,Braking!$AG$1767,0)))</f>
        <v>0</v>
      </c>
      <c r="V1636" s="16">
        <f>0.5*'Gearing Calculator'!$C$15*'Gearing Calculator'!$C$20*'Gearing Calculator'!$W$20*('Track Data'!Q1636^2)</f>
        <v>230.31524194504411</v>
      </c>
      <c r="W1636" s="16">
        <f>('Gearing Calculator'!$U$9*'Track Data'!T1636)+'Track Data'!V1636</f>
        <v>1486.1932288550586</v>
      </c>
      <c r="X1636" s="16">
        <f>('Gearing Calculator'!$U$9*9.81)*('Gearing Calculator'!$U$16/'Gearing Calculator'!$C$7)-(('Track Data'!W1636)*('Gearing Calculator'!$U$17/'Gearing Calculator'!$C$7))</f>
        <v>591.08549259022811</v>
      </c>
      <c r="Y1636" s="16">
        <f>('Gearing Calculator'!$U$9*9.81)*(('Gearing Calculator'!$C$7-'Gearing Calculator'!$U$16)/'Gearing Calculator'!$C$7)+(('Track Data'!W1636)*('Gearing Calculator'!$U$17/'Gearing Calculator'!$C$7))</f>
        <v>2020.3365074097719</v>
      </c>
      <c r="Z1636" s="16">
        <f>((X1636*COS('Gearing Calculator'!$C$21))/'Gearing Calculator'!$C$22)/2</f>
        <v>18.274493986750937</v>
      </c>
      <c r="AA1636" s="16">
        <f>Y1636/'Gearing Calculator'!$C$24</f>
        <v>28.210673945403133</v>
      </c>
      <c r="AB1636" s="16">
        <f t="shared" si="177"/>
        <v>249.18643633888354</v>
      </c>
      <c r="AC1636" s="16">
        <v>0</v>
      </c>
      <c r="AD1636" s="16">
        <v>0</v>
      </c>
      <c r="AE1636" s="16">
        <v>1633</v>
      </c>
      <c r="AF1636" s="16">
        <f>IF(AC1636=0,IF(O1636=6,INDEX(Acceleration!$V$4:$V$110,MATCH('Track Data'!S1636,Acceleration!$K$4:$K$110,0)),IF('Track Data'!O1636=5,INDEX(Acceleration!$U$4:$U$110,MATCH('Track Data'!S1636,Acceleration!$K$4:$K$110,0)),1)),U1636)</f>
        <v>1</v>
      </c>
      <c r="AG1636" s="16">
        <f>IF(AC1636=0,IF(O1636=4,INDEX(Acceleration!$T$4:$T$110,MATCH('Track Data'!S1636,Acceleration!$K$4:$K$110,0)),IF('Track Data'!O1636=3,INDEX(Acceleration!$S$4:$S$110,MATCH('Track Data'!S1636,Acceleration!$K$4:$K$110,0)),'Track Data'!AF1636)),'Track Data'!U1636)</f>
        <v>4.7177985984598587</v>
      </c>
      <c r="AH1636" s="16">
        <f>IF(AC1636=0,IF(O1636=2,INDEX(Acceleration!$R$4:$R$110,MATCH('Track Data'!S1636,Acceleration!$K$4:$K$110,0)),IF('Track Data'!O1636=1,INDEX(Acceleration!$Q$4:$Q$110,MATCH('Track Data'!S1636,Acceleration!$K$4:$K$110,0)),'Track Data'!AG1636)),'Track Data'!U1636)</f>
        <v>4.7177985984598587</v>
      </c>
    </row>
    <row r="1637" spans="2:34" x14ac:dyDescent="0.25">
      <c r="B1637" s="16">
        <v>241.64099999999999</v>
      </c>
      <c r="C1637" s="16">
        <v>8907</v>
      </c>
      <c r="D1637" s="16">
        <v>1634</v>
      </c>
      <c r="E1637" s="113">
        <v>188</v>
      </c>
      <c r="F1637" s="113">
        <v>186.3</v>
      </c>
      <c r="G1637" s="113">
        <v>185.1</v>
      </c>
      <c r="H1637" s="113">
        <f t="shared" si="180"/>
        <v>51.416666666666664</v>
      </c>
      <c r="I1637" s="113">
        <v>5.0999999999999996</v>
      </c>
      <c r="J1637" s="113">
        <v>16.57</v>
      </c>
      <c r="K1637" s="113">
        <v>4.3</v>
      </c>
      <c r="L1637" s="185"/>
      <c r="M1637" s="16">
        <v>1634</v>
      </c>
      <c r="N1637" s="16">
        <f t="shared" si="182"/>
        <v>2.1390653111378489E-2</v>
      </c>
      <c r="O1637" s="16">
        <v>4</v>
      </c>
      <c r="P1637" s="16">
        <f t="shared" si="178"/>
        <v>9.1833785004516724</v>
      </c>
      <c r="Q1637" s="16">
        <f t="shared" si="183"/>
        <v>46.74939071720361</v>
      </c>
      <c r="R1637" s="113">
        <f t="shared" si="179"/>
        <v>329.49099999999999</v>
      </c>
      <c r="S1637" s="16">
        <f>IF(S1636=15800,15800,ROUND((((Q1637*60)/'Gearing Calculator'!$C$14)*'Track Data'!P1637),-2))</f>
        <v>13000</v>
      </c>
      <c r="T1637" s="16">
        <f t="shared" si="181"/>
        <v>4.7177985984598587</v>
      </c>
      <c r="U1637" s="16">
        <f>IF(AC1637=100,Braking!$AG$2354,IF(AC1637=50,Braking!$AG$1179,IF(AC1637=75,Braking!$AG$1767,0)))</f>
        <v>0</v>
      </c>
      <c r="V1637" s="16">
        <f>0.5*'Gearing Calculator'!$C$15*'Gearing Calculator'!$C$20*'Gearing Calculator'!$W$20*('Track Data'!Q1637^2)</f>
        <v>231.31390555236612</v>
      </c>
      <c r="W1637" s="16">
        <f>('Gearing Calculator'!$U$9*'Track Data'!T1637)+'Track Data'!V1637</f>
        <v>1487.1918924623806</v>
      </c>
      <c r="X1637" s="16">
        <f>('Gearing Calculator'!$U$9*9.81)*('Gearing Calculator'!$U$16/'Gearing Calculator'!$C$7)-(('Track Data'!W1637)*('Gearing Calculator'!$U$17/'Gearing Calculator'!$C$7))</f>
        <v>590.54115272177171</v>
      </c>
      <c r="Y1637" s="16">
        <f>('Gearing Calculator'!$U$9*9.81)*(('Gearing Calculator'!$C$7-'Gearing Calculator'!$U$16)/'Gearing Calculator'!$C$7)+(('Track Data'!W1637)*('Gearing Calculator'!$U$17/'Gearing Calculator'!$C$7))</f>
        <v>2020.8808472782284</v>
      </c>
      <c r="Z1637" s="16">
        <f>((X1637*COS('Gearing Calculator'!$C$21))/'Gearing Calculator'!$C$22)/2</f>
        <v>18.257664719618589</v>
      </c>
      <c r="AA1637" s="16">
        <f>Y1637/'Gearing Calculator'!$C$24</f>
        <v>28.218274755707846</v>
      </c>
      <c r="AB1637" s="16">
        <f t="shared" si="177"/>
        <v>250.18509994620555</v>
      </c>
      <c r="AC1637" s="16">
        <v>0</v>
      </c>
      <c r="AD1637" s="16">
        <v>0</v>
      </c>
      <c r="AE1637" s="16">
        <v>1634</v>
      </c>
      <c r="AF1637" s="16">
        <f>IF(AC1637=0,IF(O1637=6,INDEX(Acceleration!$V$4:$V$110,MATCH('Track Data'!S1637,Acceleration!$K$4:$K$110,0)),IF('Track Data'!O1637=5,INDEX(Acceleration!$U$4:$U$110,MATCH('Track Data'!S1637,Acceleration!$K$4:$K$110,0)),1)),U1637)</f>
        <v>1</v>
      </c>
      <c r="AG1637" s="16">
        <f>IF(AC1637=0,IF(O1637=4,INDEX(Acceleration!$T$4:$T$110,MATCH('Track Data'!S1637,Acceleration!$K$4:$K$110,0)),IF('Track Data'!O1637=3,INDEX(Acceleration!$S$4:$S$110,MATCH('Track Data'!S1637,Acceleration!$K$4:$K$110,0)),'Track Data'!AF1637)),'Track Data'!U1637)</f>
        <v>4.7177985984598587</v>
      </c>
      <c r="AH1637" s="16">
        <f>IF(AC1637=0,IF(O1637=2,INDEX(Acceleration!$R$4:$R$110,MATCH('Track Data'!S1637,Acceleration!$K$4:$K$110,0)),IF('Track Data'!O1637=1,INDEX(Acceleration!$Q$4:$Q$110,MATCH('Track Data'!S1637,Acceleration!$K$4:$K$110,0)),'Track Data'!AG1637)),'Track Data'!U1637)</f>
        <v>4.7177985984598587</v>
      </c>
    </row>
    <row r="1638" spans="2:34" x14ac:dyDescent="0.25">
      <c r="B1638" s="16">
        <v>241.66</v>
      </c>
      <c r="C1638" s="16">
        <v>8908</v>
      </c>
      <c r="D1638" s="16">
        <v>1635</v>
      </c>
      <c r="E1638" s="113">
        <v>189</v>
      </c>
      <c r="F1638" s="113">
        <v>186.6</v>
      </c>
      <c r="G1638" s="113">
        <v>185.3</v>
      </c>
      <c r="H1638" s="113">
        <f t="shared" si="180"/>
        <v>51.472222222222221</v>
      </c>
      <c r="I1638" s="113">
        <v>5</v>
      </c>
      <c r="J1638" s="113">
        <v>13.91</v>
      </c>
      <c r="K1638" s="113">
        <v>2.6</v>
      </c>
      <c r="L1638" s="185"/>
      <c r="M1638" s="16">
        <v>1635</v>
      </c>
      <c r="N1638" s="16">
        <f t="shared" si="182"/>
        <v>2.1344626600351149E-2</v>
      </c>
      <c r="O1638" s="16">
        <v>4</v>
      </c>
      <c r="P1638" s="16">
        <f t="shared" si="178"/>
        <v>9.1833785004516724</v>
      </c>
      <c r="Q1638" s="16">
        <f t="shared" si="183"/>
        <v>46.850198821634507</v>
      </c>
      <c r="R1638" s="113">
        <f t="shared" si="179"/>
        <v>329.49099999999999</v>
      </c>
      <c r="S1638" s="16">
        <f>IF(S1637=15800,15800,ROUND((((Q1638*60)/'Gearing Calculator'!$C$14)*'Track Data'!P1638),-2))</f>
        <v>13000</v>
      </c>
      <c r="T1638" s="16">
        <f t="shared" si="181"/>
        <v>4.7177985984598587</v>
      </c>
      <c r="U1638" s="16">
        <f>IF(AC1638=100,Braking!$AG$2354,IF(AC1638=50,Braking!$AG$1179,IF(AC1638=75,Braking!$AG$1767,0)))</f>
        <v>0</v>
      </c>
      <c r="V1638" s="16">
        <f>0.5*'Gearing Calculator'!$C$15*'Gearing Calculator'!$C$20*'Gearing Calculator'!$W$20*('Track Data'!Q1638^2)</f>
        <v>232.31256915968817</v>
      </c>
      <c r="W1638" s="16">
        <f>('Gearing Calculator'!$U$9*'Track Data'!T1638)+'Track Data'!V1638</f>
        <v>1488.1905560697026</v>
      </c>
      <c r="X1638" s="16">
        <f>('Gearing Calculator'!$U$9*9.81)*('Gearing Calculator'!$U$16/'Gearing Calculator'!$C$7)-(('Track Data'!W1638)*('Gearing Calculator'!$U$17/'Gearing Calculator'!$C$7))</f>
        <v>589.99681285331542</v>
      </c>
      <c r="Y1638" s="16">
        <f>('Gearing Calculator'!$U$9*9.81)*(('Gearing Calculator'!$C$7-'Gearing Calculator'!$U$16)/'Gearing Calculator'!$C$7)+(('Track Data'!W1638)*('Gearing Calculator'!$U$17/'Gearing Calculator'!$C$7))</f>
        <v>2021.4251871466845</v>
      </c>
      <c r="Z1638" s="16">
        <f>((X1638*COS('Gearing Calculator'!$C$21))/'Gearing Calculator'!$C$22)/2</f>
        <v>18.240835452486245</v>
      </c>
      <c r="AA1638" s="16">
        <f>Y1638/'Gearing Calculator'!$C$24</f>
        <v>28.225875566012554</v>
      </c>
      <c r="AB1638" s="16">
        <f t="shared" si="177"/>
        <v>251.1837635535276</v>
      </c>
      <c r="AC1638" s="16">
        <v>0</v>
      </c>
      <c r="AD1638" s="16">
        <v>0</v>
      </c>
      <c r="AE1638" s="16">
        <v>1635</v>
      </c>
      <c r="AF1638" s="16">
        <f>IF(AC1638=0,IF(O1638=6,INDEX(Acceleration!$V$4:$V$110,MATCH('Track Data'!S1638,Acceleration!$K$4:$K$110,0)),IF('Track Data'!O1638=5,INDEX(Acceleration!$U$4:$U$110,MATCH('Track Data'!S1638,Acceleration!$K$4:$K$110,0)),1)),U1638)</f>
        <v>1</v>
      </c>
      <c r="AG1638" s="16">
        <f>IF(AC1638=0,IF(O1638=4,INDEX(Acceleration!$T$4:$T$110,MATCH('Track Data'!S1638,Acceleration!$K$4:$K$110,0)),IF('Track Data'!O1638=3,INDEX(Acceleration!$S$4:$S$110,MATCH('Track Data'!S1638,Acceleration!$K$4:$K$110,0)),'Track Data'!AF1638)),'Track Data'!U1638)</f>
        <v>4.7177985984598587</v>
      </c>
      <c r="AH1638" s="16">
        <f>IF(AC1638=0,IF(O1638=2,INDEX(Acceleration!$R$4:$R$110,MATCH('Track Data'!S1638,Acceleration!$K$4:$K$110,0)),IF('Track Data'!O1638=1,INDEX(Acceleration!$Q$4:$Q$110,MATCH('Track Data'!S1638,Acceleration!$K$4:$K$110,0)),'Track Data'!AG1638)),'Track Data'!U1638)</f>
        <v>4.7177985984598587</v>
      </c>
    </row>
    <row r="1639" spans="2:34" x14ac:dyDescent="0.25">
      <c r="B1639" s="16">
        <v>241.679</v>
      </c>
      <c r="C1639" s="16">
        <v>8909</v>
      </c>
      <c r="D1639" s="16">
        <v>1636</v>
      </c>
      <c r="E1639" s="113">
        <v>189</v>
      </c>
      <c r="F1639" s="113">
        <v>186.8</v>
      </c>
      <c r="G1639" s="113">
        <v>185.5</v>
      </c>
      <c r="H1639" s="113">
        <f t="shared" si="180"/>
        <v>51.527777777777779</v>
      </c>
      <c r="I1639" s="113">
        <v>4.5</v>
      </c>
      <c r="J1639" s="113">
        <v>13.54</v>
      </c>
      <c r="K1639" s="113">
        <v>1.7</v>
      </c>
      <c r="L1639" s="185"/>
      <c r="M1639" s="16">
        <v>1636</v>
      </c>
      <c r="N1639" s="16">
        <f t="shared" si="182"/>
        <v>2.1298895923748704E-2</v>
      </c>
      <c r="O1639" s="16">
        <v>4</v>
      </c>
      <c r="P1639" s="16">
        <f t="shared" si="178"/>
        <v>9.1833785004516724</v>
      </c>
      <c r="Q1639" s="16">
        <f t="shared" si="183"/>
        <v>46.950790481349763</v>
      </c>
      <c r="R1639" s="113">
        <f t="shared" si="179"/>
        <v>329.49099999999999</v>
      </c>
      <c r="S1639" s="16">
        <f>IF(S1638=15800,15800,ROUND((((Q1639*60)/'Gearing Calculator'!$C$14)*'Track Data'!P1639),-2))</f>
        <v>13100</v>
      </c>
      <c r="T1639" s="16">
        <f t="shared" si="181"/>
        <v>4.668899545953348</v>
      </c>
      <c r="U1639" s="16">
        <f>IF(AC1639=100,Braking!$AG$2354,IF(AC1639=50,Braking!$AG$1179,IF(AC1639=75,Braking!$AG$1767,0)))</f>
        <v>0</v>
      </c>
      <c r="V1639" s="16">
        <f>0.5*'Gearing Calculator'!$C$15*'Gearing Calculator'!$C$20*'Gearing Calculator'!$W$20*('Track Data'!Q1639^2)</f>
        <v>233.31123276701015</v>
      </c>
      <c r="W1639" s="16">
        <f>('Gearing Calculator'!$U$9*'Track Data'!T1639)+'Track Data'!V1639</f>
        <v>1476.1722918997914</v>
      </c>
      <c r="X1639" s="16">
        <f>('Gearing Calculator'!$U$9*9.81)*('Gearing Calculator'!$U$16/'Gearing Calculator'!$C$7)-(('Track Data'!W1639)*('Gearing Calculator'!$U$17/'Gearing Calculator'!$C$7))</f>
        <v>596.54758759804304</v>
      </c>
      <c r="Y1639" s="16">
        <f>('Gearing Calculator'!$U$9*9.81)*(('Gearing Calculator'!$C$7-'Gearing Calculator'!$U$16)/'Gearing Calculator'!$C$7)+(('Track Data'!W1639)*('Gearing Calculator'!$U$17/'Gearing Calculator'!$C$7))</f>
        <v>2014.874412401957</v>
      </c>
      <c r="Z1639" s="16">
        <f>((X1639*COS('Gearing Calculator'!$C$21))/'Gearing Calculator'!$C$22)/2</f>
        <v>18.44336468925788</v>
      </c>
      <c r="AA1639" s="16">
        <f>Y1639/'Gearing Calculator'!$C$24</f>
        <v>28.134404778975092</v>
      </c>
      <c r="AB1639" s="16">
        <f t="shared" si="177"/>
        <v>251.98683095082356</v>
      </c>
      <c r="AC1639" s="16">
        <v>0</v>
      </c>
      <c r="AD1639" s="16">
        <v>0</v>
      </c>
      <c r="AE1639" s="16">
        <v>1636</v>
      </c>
      <c r="AF1639" s="16">
        <f>IF(AC1639=0,IF(O1639=6,INDEX(Acceleration!$V$4:$V$110,MATCH('Track Data'!S1639,Acceleration!$K$4:$K$110,0)),IF('Track Data'!O1639=5,INDEX(Acceleration!$U$4:$U$110,MATCH('Track Data'!S1639,Acceleration!$K$4:$K$110,0)),1)),U1639)</f>
        <v>1</v>
      </c>
      <c r="AG1639" s="16">
        <f>IF(AC1639=0,IF(O1639=4,INDEX(Acceleration!$T$4:$T$110,MATCH('Track Data'!S1639,Acceleration!$K$4:$K$110,0)),IF('Track Data'!O1639=3,INDEX(Acceleration!$S$4:$S$110,MATCH('Track Data'!S1639,Acceleration!$K$4:$K$110,0)),'Track Data'!AF1639)),'Track Data'!U1639)</f>
        <v>4.668899545953348</v>
      </c>
      <c r="AH1639" s="16">
        <f>IF(AC1639=0,IF(O1639=2,INDEX(Acceleration!$R$4:$R$110,MATCH('Track Data'!S1639,Acceleration!$K$4:$K$110,0)),IF('Track Data'!O1639=1,INDEX(Acceleration!$Q$4:$Q$110,MATCH('Track Data'!S1639,Acceleration!$K$4:$K$110,0)),'Track Data'!AG1639)),'Track Data'!U1639)</f>
        <v>4.668899545953348</v>
      </c>
    </row>
    <row r="1640" spans="2:34" x14ac:dyDescent="0.25">
      <c r="B1640" s="16">
        <v>241.69900000000001</v>
      </c>
      <c r="C1640" s="16">
        <v>8910</v>
      </c>
      <c r="D1640" s="16">
        <v>1637</v>
      </c>
      <c r="E1640" s="113">
        <v>189</v>
      </c>
      <c r="F1640" s="113">
        <v>186.8</v>
      </c>
      <c r="G1640" s="113">
        <v>185.7</v>
      </c>
      <c r="H1640" s="113">
        <f t="shared" si="180"/>
        <v>51.583333333333329</v>
      </c>
      <c r="I1640" s="113">
        <v>3.5</v>
      </c>
      <c r="J1640" s="113">
        <v>13.85</v>
      </c>
      <c r="K1640" s="113">
        <v>0.7</v>
      </c>
      <c r="L1640" s="185"/>
      <c r="M1640" s="16">
        <v>1637</v>
      </c>
      <c r="N1640" s="16">
        <f t="shared" si="182"/>
        <v>2.1253927391420496E-2</v>
      </c>
      <c r="O1640" s="16">
        <v>4</v>
      </c>
      <c r="P1640" s="16">
        <f t="shared" si="178"/>
        <v>9.1833785004516724</v>
      </c>
      <c r="Q1640" s="16">
        <f t="shared" si="183"/>
        <v>47.050127799141102</v>
      </c>
      <c r="R1640" s="113">
        <f t="shared" si="179"/>
        <v>329.49099999999999</v>
      </c>
      <c r="S1640" s="16">
        <f>IF(S1639=15800,15800,ROUND((((Q1640*60)/'Gearing Calculator'!$C$14)*'Track Data'!P1640),-2))</f>
        <v>13100</v>
      </c>
      <c r="T1640" s="16">
        <f t="shared" si="181"/>
        <v>4.668899545953348</v>
      </c>
      <c r="U1640" s="16">
        <f>IF(AC1640=100,Braking!$AG$2354,IF(AC1640=50,Braking!$AG$1179,IF(AC1640=75,Braking!$AG$1767,0)))</f>
        <v>0</v>
      </c>
      <c r="V1640" s="16">
        <f>0.5*'Gearing Calculator'!$C$15*'Gearing Calculator'!$C$20*'Gearing Calculator'!$W$20*('Track Data'!Q1640^2)</f>
        <v>234.29954542289761</v>
      </c>
      <c r="W1640" s="16">
        <f>('Gearing Calculator'!$U$9*'Track Data'!T1640)+'Track Data'!V1640</f>
        <v>1477.1606045556789</v>
      </c>
      <c r="X1640" s="16">
        <f>('Gearing Calculator'!$U$9*9.81)*('Gearing Calculator'!$U$16/'Gearing Calculator'!$C$7)-(('Track Data'!W1640)*('Gearing Calculator'!$U$17/'Gearing Calculator'!$C$7))</f>
        <v>596.00888970502353</v>
      </c>
      <c r="Y1640" s="16">
        <f>('Gearing Calculator'!$U$9*9.81)*(('Gearing Calculator'!$C$7-'Gearing Calculator'!$U$16)/'Gearing Calculator'!$C$7)+(('Track Data'!W1640)*('Gearing Calculator'!$U$17/'Gearing Calculator'!$C$7))</f>
        <v>2015.4131102949764</v>
      </c>
      <c r="Z1640" s="16">
        <f>((X1640*COS('Gearing Calculator'!$C$21))/'Gearing Calculator'!$C$22)/2</f>
        <v>18.426709854161995</v>
      </c>
      <c r="AA1640" s="16">
        <f>Y1640/'Gearing Calculator'!$C$24</f>
        <v>28.141926808379257</v>
      </c>
      <c r="AB1640" s="16">
        <f t="shared" si="177"/>
        <v>252.97514360671101</v>
      </c>
      <c r="AC1640" s="16">
        <v>0</v>
      </c>
      <c r="AD1640" s="16">
        <v>0</v>
      </c>
      <c r="AE1640" s="16">
        <v>1637</v>
      </c>
      <c r="AF1640" s="16">
        <f>IF(AC1640=0,IF(O1640=6,INDEX(Acceleration!$V$4:$V$110,MATCH('Track Data'!S1640,Acceleration!$K$4:$K$110,0)),IF('Track Data'!O1640=5,INDEX(Acceleration!$U$4:$U$110,MATCH('Track Data'!S1640,Acceleration!$K$4:$K$110,0)),1)),U1640)</f>
        <v>1</v>
      </c>
      <c r="AG1640" s="16">
        <f>IF(AC1640=0,IF(O1640=4,INDEX(Acceleration!$T$4:$T$110,MATCH('Track Data'!S1640,Acceleration!$K$4:$K$110,0)),IF('Track Data'!O1640=3,INDEX(Acceleration!$S$4:$S$110,MATCH('Track Data'!S1640,Acceleration!$K$4:$K$110,0)),'Track Data'!AF1640)),'Track Data'!U1640)</f>
        <v>4.668899545953348</v>
      </c>
      <c r="AH1640" s="16">
        <f>IF(AC1640=0,IF(O1640=2,INDEX(Acceleration!$R$4:$R$110,MATCH('Track Data'!S1640,Acceleration!$K$4:$K$110,0)),IF('Track Data'!O1640=1,INDEX(Acceleration!$Q$4:$Q$110,MATCH('Track Data'!S1640,Acceleration!$K$4:$K$110,0)),'Track Data'!AG1640)),'Track Data'!U1640)</f>
        <v>4.668899545953348</v>
      </c>
    </row>
    <row r="1641" spans="2:34" x14ac:dyDescent="0.25">
      <c r="B1641" s="16">
        <v>241.71799999999999</v>
      </c>
      <c r="C1641" s="16">
        <v>8911</v>
      </c>
      <c r="D1641" s="16">
        <v>1638</v>
      </c>
      <c r="E1641" s="113">
        <v>190</v>
      </c>
      <c r="F1641" s="113">
        <v>186.8</v>
      </c>
      <c r="G1641" s="113">
        <v>186</v>
      </c>
      <c r="H1641" s="113">
        <f t="shared" si="180"/>
        <v>51.666666666666664</v>
      </c>
      <c r="I1641" s="113">
        <v>2.7</v>
      </c>
      <c r="J1641" s="113">
        <v>11.69</v>
      </c>
      <c r="K1641" s="113">
        <v>-0.1</v>
      </c>
      <c r="L1641" s="185"/>
      <c r="M1641" s="16">
        <v>1638</v>
      </c>
      <c r="N1641" s="16">
        <f t="shared" si="182"/>
        <v>2.1209242488927152E-2</v>
      </c>
      <c r="O1641" s="16">
        <v>4</v>
      </c>
      <c r="P1641" s="16">
        <f t="shared" si="178"/>
        <v>9.1833785004516724</v>
      </c>
      <c r="Q1641" s="16">
        <f t="shared" si="183"/>
        <v>47.149255826655597</v>
      </c>
      <c r="R1641" s="113">
        <f t="shared" si="179"/>
        <v>329.49099999999999</v>
      </c>
      <c r="S1641" s="16">
        <f>IF(S1640=15800,15800,ROUND((((Q1641*60)/'Gearing Calculator'!$C$14)*'Track Data'!P1641),-2))</f>
        <v>13100</v>
      </c>
      <c r="T1641" s="16">
        <f t="shared" si="181"/>
        <v>4.668899545953348</v>
      </c>
      <c r="U1641" s="16">
        <f>IF(AC1641=100,Braking!$AG$2354,IF(AC1641=50,Braking!$AG$1179,IF(AC1641=75,Braking!$AG$1767,0)))</f>
        <v>0</v>
      </c>
      <c r="V1641" s="16">
        <f>0.5*'Gearing Calculator'!$C$15*'Gearing Calculator'!$C$20*'Gearing Calculator'!$W$20*('Track Data'!Q1641^2)</f>
        <v>235.28785807878495</v>
      </c>
      <c r="W1641" s="16">
        <f>('Gearing Calculator'!$U$9*'Track Data'!T1641)+'Track Data'!V1641</f>
        <v>1478.1489172115662</v>
      </c>
      <c r="X1641" s="16">
        <f>('Gearing Calculator'!$U$9*9.81)*('Gearing Calculator'!$U$16/'Gearing Calculator'!$C$7)-(('Track Data'!W1641)*('Gearing Calculator'!$U$17/'Gearing Calculator'!$C$7))</f>
        <v>595.47019181200415</v>
      </c>
      <c r="Y1641" s="16">
        <f>('Gearing Calculator'!$U$9*9.81)*(('Gearing Calculator'!$C$7-'Gearing Calculator'!$U$16)/'Gearing Calculator'!$C$7)+(('Track Data'!W1641)*('Gearing Calculator'!$U$17/'Gearing Calculator'!$C$7))</f>
        <v>2015.951808187996</v>
      </c>
      <c r="Z1641" s="16">
        <f>((X1641*COS('Gearing Calculator'!$C$21))/'Gearing Calculator'!$C$22)/2</f>
        <v>18.410055019066114</v>
      </c>
      <c r="AA1641" s="16">
        <f>Y1641/'Gearing Calculator'!$C$24</f>
        <v>28.149448837783424</v>
      </c>
      <c r="AB1641" s="16">
        <f t="shared" si="177"/>
        <v>253.96345626259836</v>
      </c>
      <c r="AC1641" s="16">
        <v>0</v>
      </c>
      <c r="AD1641" s="16">
        <v>0</v>
      </c>
      <c r="AE1641" s="16">
        <v>1638</v>
      </c>
      <c r="AF1641" s="16">
        <f>IF(AC1641=0,IF(O1641=6,INDEX(Acceleration!$V$4:$V$110,MATCH('Track Data'!S1641,Acceleration!$K$4:$K$110,0)),IF('Track Data'!O1641=5,INDEX(Acceleration!$U$4:$U$110,MATCH('Track Data'!S1641,Acceleration!$K$4:$K$110,0)),1)),U1641)</f>
        <v>1</v>
      </c>
      <c r="AG1641" s="16">
        <f>IF(AC1641=0,IF(O1641=4,INDEX(Acceleration!$T$4:$T$110,MATCH('Track Data'!S1641,Acceleration!$K$4:$K$110,0)),IF('Track Data'!O1641=3,INDEX(Acceleration!$S$4:$S$110,MATCH('Track Data'!S1641,Acceleration!$K$4:$K$110,0)),'Track Data'!AF1641)),'Track Data'!U1641)</f>
        <v>4.668899545953348</v>
      </c>
      <c r="AH1641" s="16">
        <f>IF(AC1641=0,IF(O1641=2,INDEX(Acceleration!$R$4:$R$110,MATCH('Track Data'!S1641,Acceleration!$K$4:$K$110,0)),IF('Track Data'!O1641=1,INDEX(Acceleration!$Q$4:$Q$110,MATCH('Track Data'!S1641,Acceleration!$K$4:$K$110,0)),'Track Data'!AG1641)),'Track Data'!U1641)</f>
        <v>4.668899545953348</v>
      </c>
    </row>
    <row r="1642" spans="2:34" x14ac:dyDescent="0.25">
      <c r="B1642" s="16">
        <v>241.73699999999999</v>
      </c>
      <c r="C1642" s="16">
        <v>8912</v>
      </c>
      <c r="D1642" s="16">
        <v>1639</v>
      </c>
      <c r="E1642" s="113">
        <v>190</v>
      </c>
      <c r="F1642" s="113">
        <v>187.1</v>
      </c>
      <c r="G1642" s="113">
        <v>186.3</v>
      </c>
      <c r="H1642" s="113">
        <f t="shared" si="180"/>
        <v>51.75</v>
      </c>
      <c r="I1642" s="113">
        <v>2.1</v>
      </c>
      <c r="J1642" s="113">
        <v>10.119999999999999</v>
      </c>
      <c r="K1642" s="113">
        <v>-0.9</v>
      </c>
      <c r="L1642" s="185"/>
      <c r="M1642" s="16">
        <v>1639</v>
      </c>
      <c r="N1642" s="16">
        <f t="shared" si="182"/>
        <v>2.1164838247188962E-2</v>
      </c>
      <c r="O1642" s="16">
        <v>4</v>
      </c>
      <c r="P1642" s="16">
        <f t="shared" si="178"/>
        <v>9.1833785004516724</v>
      </c>
      <c r="Q1642" s="16">
        <f t="shared" si="183"/>
        <v>47.248175881184274</v>
      </c>
      <c r="R1642" s="113">
        <f t="shared" si="179"/>
        <v>329.49099999999999</v>
      </c>
      <c r="S1642" s="16">
        <f>IF(S1641=15800,15800,ROUND((((Q1642*60)/'Gearing Calculator'!$C$14)*'Track Data'!P1642),-2))</f>
        <v>13200</v>
      </c>
      <c r="T1642" s="16">
        <f t="shared" si="181"/>
        <v>4.6205446580837366</v>
      </c>
      <c r="U1642" s="16">
        <f>IF(AC1642=100,Braking!$AG$2354,IF(AC1642=50,Braking!$AG$1179,IF(AC1642=75,Braking!$AG$1767,0)))</f>
        <v>0</v>
      </c>
      <c r="V1642" s="16">
        <f>0.5*'Gearing Calculator'!$C$15*'Gearing Calculator'!$C$20*'Gearing Calculator'!$W$20*('Track Data'!Q1642^2)</f>
        <v>236.27617073467235</v>
      </c>
      <c r="W1642" s="16">
        <f>('Gearing Calculator'!$U$9*'Track Data'!T1642)+'Track Data'!V1642</f>
        <v>1466.2651587165631</v>
      </c>
      <c r="X1642" s="16">
        <f>('Gearing Calculator'!$U$9*9.81)*('Gearing Calculator'!$U$16/'Gearing Calculator'!$C$7)-(('Track Data'!W1642)*('Gearing Calculator'!$U$17/'Gearing Calculator'!$C$7))</f>
        <v>601.94765177801219</v>
      </c>
      <c r="Y1642" s="16">
        <f>('Gearing Calculator'!$U$9*9.81)*(('Gearing Calculator'!$C$7-'Gearing Calculator'!$U$16)/'Gearing Calculator'!$C$7)+(('Track Data'!W1642)*('Gearing Calculator'!$U$17/'Gearing Calculator'!$C$7))</f>
        <v>2009.4743482219878</v>
      </c>
      <c r="Z1642" s="16">
        <f>((X1642*COS('Gearing Calculator'!$C$21))/'Gearing Calculator'!$C$22)/2</f>
        <v>18.61031759475463</v>
      </c>
      <c r="AA1642" s="16">
        <f>Y1642/'Gearing Calculator'!$C$24</f>
        <v>28.059001770958041</v>
      </c>
      <c r="AB1642" s="16">
        <f t="shared" si="177"/>
        <v>254.7583493670073</v>
      </c>
      <c r="AC1642" s="16">
        <v>0</v>
      </c>
      <c r="AD1642" s="16">
        <v>0</v>
      </c>
      <c r="AE1642" s="16">
        <v>1639</v>
      </c>
      <c r="AF1642" s="16">
        <f>IF(AC1642=0,IF(O1642=6,INDEX(Acceleration!$V$4:$V$110,MATCH('Track Data'!S1642,Acceleration!$K$4:$K$110,0)),IF('Track Data'!O1642=5,INDEX(Acceleration!$U$4:$U$110,MATCH('Track Data'!S1642,Acceleration!$K$4:$K$110,0)),1)),U1642)</f>
        <v>1</v>
      </c>
      <c r="AG1642" s="16">
        <f>IF(AC1642=0,IF(O1642=4,INDEX(Acceleration!$T$4:$T$110,MATCH('Track Data'!S1642,Acceleration!$K$4:$K$110,0)),IF('Track Data'!O1642=3,INDEX(Acceleration!$S$4:$S$110,MATCH('Track Data'!S1642,Acceleration!$K$4:$K$110,0)),'Track Data'!AF1642)),'Track Data'!U1642)</f>
        <v>4.6205446580837366</v>
      </c>
      <c r="AH1642" s="16">
        <f>IF(AC1642=0,IF(O1642=2,INDEX(Acceleration!$R$4:$R$110,MATCH('Track Data'!S1642,Acceleration!$K$4:$K$110,0)),IF('Track Data'!O1642=1,INDEX(Acceleration!$Q$4:$Q$110,MATCH('Track Data'!S1642,Acceleration!$K$4:$K$110,0)),'Track Data'!AG1642)),'Track Data'!U1642)</f>
        <v>4.6205446580837366</v>
      </c>
    </row>
    <row r="1643" spans="2:34" x14ac:dyDescent="0.25">
      <c r="B1643" s="16">
        <v>241.756</v>
      </c>
      <c r="C1643" s="16">
        <v>8913</v>
      </c>
      <c r="D1643" s="16">
        <v>1640</v>
      </c>
      <c r="E1643" s="113">
        <v>190</v>
      </c>
      <c r="F1643" s="113">
        <v>187.6</v>
      </c>
      <c r="G1643" s="113">
        <v>186.5</v>
      </c>
      <c r="H1643" s="113">
        <f t="shared" si="180"/>
        <v>51.805555555555557</v>
      </c>
      <c r="I1643" s="113">
        <v>2</v>
      </c>
      <c r="J1643" s="113">
        <v>9.51</v>
      </c>
      <c r="K1643" s="113">
        <v>-1.5</v>
      </c>
      <c r="L1643" s="185"/>
      <c r="M1643" s="16">
        <v>1640</v>
      </c>
      <c r="N1643" s="16">
        <f t="shared" si="182"/>
        <v>2.1121167336644625E-2</v>
      </c>
      <c r="O1643" s="16">
        <v>4</v>
      </c>
      <c r="P1643" s="16">
        <f t="shared" si="178"/>
        <v>9.1833785004516724</v>
      </c>
      <c r="Q1643" s="16">
        <f t="shared" si="183"/>
        <v>47.345867965594323</v>
      </c>
      <c r="R1643" s="113">
        <f t="shared" si="179"/>
        <v>329.49099999999999</v>
      </c>
      <c r="S1643" s="16">
        <f>IF(S1642=15800,15800,ROUND((((Q1643*60)/'Gearing Calculator'!$C$14)*'Track Data'!P1643),-2))</f>
        <v>13200</v>
      </c>
      <c r="T1643" s="16">
        <f t="shared" si="181"/>
        <v>4.6205446580837366</v>
      </c>
      <c r="U1643" s="16">
        <f>IF(AC1643=100,Braking!$AG$2354,IF(AC1643=50,Braking!$AG$1179,IF(AC1643=75,Braking!$AG$1767,0)))</f>
        <v>0</v>
      </c>
      <c r="V1643" s="16">
        <f>0.5*'Gearing Calculator'!$C$15*'Gearing Calculator'!$C$20*'Gearing Calculator'!$W$20*('Track Data'!Q1643^2)</f>
        <v>237.2542476278955</v>
      </c>
      <c r="W1643" s="16">
        <f>('Gearing Calculator'!$U$9*'Track Data'!T1643)+'Track Data'!V1643</f>
        <v>1467.2432356097861</v>
      </c>
      <c r="X1643" s="16">
        <f>('Gearing Calculator'!$U$9*9.81)*('Gearing Calculator'!$U$16/'Gearing Calculator'!$C$7)-(('Track Data'!W1643)*('Gearing Calculator'!$U$17/'Gearing Calculator'!$C$7))</f>
        <v>601.41453307468328</v>
      </c>
      <c r="Y1643" s="16">
        <f>('Gearing Calculator'!$U$9*9.81)*(('Gearing Calculator'!$C$7-'Gearing Calculator'!$U$16)/'Gearing Calculator'!$C$7)+(('Track Data'!W1643)*('Gearing Calculator'!$U$17/'Gearing Calculator'!$C$7))</f>
        <v>2010.0074669253167</v>
      </c>
      <c r="Z1643" s="16">
        <f>((X1643*COS('Gearing Calculator'!$C$21))/'Gearing Calculator'!$C$22)/2</f>
        <v>18.593835250558506</v>
      </c>
      <c r="AA1643" s="16">
        <f>Y1643/'Gearing Calculator'!$C$24</f>
        <v>28.066445896161266</v>
      </c>
      <c r="AB1643" s="16">
        <f t="shared" si="177"/>
        <v>255.73642626023044</v>
      </c>
      <c r="AC1643" s="16">
        <v>0</v>
      </c>
      <c r="AD1643" s="16">
        <v>0</v>
      </c>
      <c r="AE1643" s="16">
        <v>1640</v>
      </c>
      <c r="AF1643" s="16">
        <f>IF(AC1643=0,IF(O1643=6,INDEX(Acceleration!$V$4:$V$110,MATCH('Track Data'!S1643,Acceleration!$K$4:$K$110,0)),IF('Track Data'!O1643=5,INDEX(Acceleration!$U$4:$U$110,MATCH('Track Data'!S1643,Acceleration!$K$4:$K$110,0)),1)),U1643)</f>
        <v>1</v>
      </c>
      <c r="AG1643" s="16">
        <f>IF(AC1643=0,IF(O1643=4,INDEX(Acceleration!$T$4:$T$110,MATCH('Track Data'!S1643,Acceleration!$K$4:$K$110,0)),IF('Track Data'!O1643=3,INDEX(Acceleration!$S$4:$S$110,MATCH('Track Data'!S1643,Acceleration!$K$4:$K$110,0)),'Track Data'!AF1643)),'Track Data'!U1643)</f>
        <v>4.6205446580837366</v>
      </c>
      <c r="AH1643" s="16">
        <f>IF(AC1643=0,IF(O1643=2,INDEX(Acceleration!$R$4:$R$110,MATCH('Track Data'!S1643,Acceleration!$K$4:$K$110,0)),IF('Track Data'!O1643=1,INDEX(Acceleration!$Q$4:$Q$110,MATCH('Track Data'!S1643,Acceleration!$K$4:$K$110,0)),'Track Data'!AG1643)),'Track Data'!U1643)</f>
        <v>4.6205446580837366</v>
      </c>
    </row>
    <row r="1644" spans="2:34" x14ac:dyDescent="0.25">
      <c r="B1644" s="16">
        <v>241.77600000000001</v>
      </c>
      <c r="C1644" s="16">
        <v>8914</v>
      </c>
      <c r="D1644" s="16">
        <v>1641</v>
      </c>
      <c r="E1644" s="113">
        <v>190</v>
      </c>
      <c r="F1644" s="113">
        <v>187.9</v>
      </c>
      <c r="G1644" s="113">
        <v>186.8</v>
      </c>
      <c r="H1644" s="113">
        <f t="shared" si="180"/>
        <v>51.888888888888893</v>
      </c>
      <c r="I1644" s="113">
        <v>1.8</v>
      </c>
      <c r="J1644" s="113">
        <v>8.2799999999999994</v>
      </c>
      <c r="K1644" s="113">
        <v>-1.8</v>
      </c>
      <c r="L1644" s="185"/>
      <c r="M1644" s="16">
        <v>1641</v>
      </c>
      <c r="N1644" s="16">
        <f t="shared" si="182"/>
        <v>2.107776564315433E-2</v>
      </c>
      <c r="O1644" s="16">
        <v>4</v>
      </c>
      <c r="P1644" s="16">
        <f t="shared" si="178"/>
        <v>9.1833785004516724</v>
      </c>
      <c r="Q1644" s="16">
        <f t="shared" si="183"/>
        <v>47.443358889645005</v>
      </c>
      <c r="R1644" s="113">
        <f t="shared" si="179"/>
        <v>329.49099999999999</v>
      </c>
      <c r="S1644" s="16">
        <f>IF(S1643=15800,15800,ROUND((((Q1644*60)/'Gearing Calculator'!$C$14)*'Track Data'!P1644),-2))</f>
        <v>13200</v>
      </c>
      <c r="T1644" s="16">
        <f t="shared" si="181"/>
        <v>4.6205446580837366</v>
      </c>
      <c r="U1644" s="16">
        <f>IF(AC1644=100,Braking!$AG$2354,IF(AC1644=50,Braking!$AG$1179,IF(AC1644=75,Braking!$AG$1767,0)))</f>
        <v>0</v>
      </c>
      <c r="V1644" s="16">
        <f>0.5*'Gearing Calculator'!$C$15*'Gearing Calculator'!$C$20*'Gearing Calculator'!$W$20*('Track Data'!Q1644^2)</f>
        <v>238.23232452111864</v>
      </c>
      <c r="W1644" s="16">
        <f>('Gearing Calculator'!$U$9*'Track Data'!T1644)+'Track Data'!V1644</f>
        <v>1468.2213125030094</v>
      </c>
      <c r="X1644" s="16">
        <f>('Gearing Calculator'!$U$9*9.81)*('Gearing Calculator'!$U$16/'Gearing Calculator'!$C$7)-(('Track Data'!W1644)*('Gearing Calculator'!$U$17/'Gearing Calculator'!$C$7))</f>
        <v>600.88141437135437</v>
      </c>
      <c r="Y1644" s="16">
        <f>('Gearing Calculator'!$U$9*9.81)*(('Gearing Calculator'!$C$7-'Gearing Calculator'!$U$16)/'Gearing Calculator'!$C$7)+(('Track Data'!W1644)*('Gearing Calculator'!$U$17/'Gearing Calculator'!$C$7))</f>
        <v>2010.5405856286457</v>
      </c>
      <c r="Z1644" s="16">
        <f>((X1644*COS('Gearing Calculator'!$C$21))/'Gearing Calculator'!$C$22)/2</f>
        <v>18.577352906362378</v>
      </c>
      <c r="AA1644" s="16">
        <f>Y1644/'Gearing Calculator'!$C$24</f>
        <v>28.073890021364495</v>
      </c>
      <c r="AB1644" s="16">
        <f t="shared" si="177"/>
        <v>256.71450315345356</v>
      </c>
      <c r="AC1644" s="16">
        <v>0</v>
      </c>
      <c r="AD1644" s="16">
        <v>0</v>
      </c>
      <c r="AE1644" s="16">
        <v>1641</v>
      </c>
      <c r="AF1644" s="16">
        <f>IF(AC1644=0,IF(O1644=6,INDEX(Acceleration!$V$4:$V$110,MATCH('Track Data'!S1644,Acceleration!$K$4:$K$110,0)),IF('Track Data'!O1644=5,INDEX(Acceleration!$U$4:$U$110,MATCH('Track Data'!S1644,Acceleration!$K$4:$K$110,0)),1)),U1644)</f>
        <v>1</v>
      </c>
      <c r="AG1644" s="16">
        <f>IF(AC1644=0,IF(O1644=4,INDEX(Acceleration!$T$4:$T$110,MATCH('Track Data'!S1644,Acceleration!$K$4:$K$110,0)),IF('Track Data'!O1644=3,INDEX(Acceleration!$S$4:$S$110,MATCH('Track Data'!S1644,Acceleration!$K$4:$K$110,0)),'Track Data'!AF1644)),'Track Data'!U1644)</f>
        <v>4.6205446580837366</v>
      </c>
      <c r="AH1644" s="16">
        <f>IF(AC1644=0,IF(O1644=2,INDEX(Acceleration!$R$4:$R$110,MATCH('Track Data'!S1644,Acceleration!$K$4:$K$110,0)),IF('Track Data'!O1644=1,INDEX(Acceleration!$Q$4:$Q$110,MATCH('Track Data'!S1644,Acceleration!$K$4:$K$110,0)),'Track Data'!AG1644)),'Track Data'!U1644)</f>
        <v>4.6205446580837366</v>
      </c>
    </row>
    <row r="1645" spans="2:34" x14ac:dyDescent="0.25">
      <c r="B1645" s="16">
        <v>241.79400000000001</v>
      </c>
      <c r="C1645" s="16">
        <v>8915</v>
      </c>
      <c r="D1645" s="16">
        <v>1642</v>
      </c>
      <c r="E1645" s="113">
        <v>191</v>
      </c>
      <c r="F1645" s="113">
        <v>188.2</v>
      </c>
      <c r="G1645" s="113">
        <v>187.1</v>
      </c>
      <c r="H1645" s="113">
        <f t="shared" si="180"/>
        <v>51.972222222222221</v>
      </c>
      <c r="I1645" s="113">
        <v>1.8</v>
      </c>
      <c r="J1645" s="113">
        <v>10.029999999999999</v>
      </c>
      <c r="K1645" s="113">
        <v>-1.8</v>
      </c>
      <c r="L1645" s="185"/>
      <c r="M1645" s="16">
        <v>1642</v>
      </c>
      <c r="N1645" s="16">
        <f t="shared" si="182"/>
        <v>2.1034630411977263E-2</v>
      </c>
      <c r="O1645" s="16">
        <v>4</v>
      </c>
      <c r="P1645" s="16">
        <f t="shared" si="178"/>
        <v>9.1833785004516724</v>
      </c>
      <c r="Q1645" s="16">
        <f t="shared" si="183"/>
        <v>47.540649890886272</v>
      </c>
      <c r="R1645" s="113">
        <f t="shared" si="179"/>
        <v>329.49099999999999</v>
      </c>
      <c r="S1645" s="16">
        <f>IF(S1644=15800,15800,ROUND((((Q1645*60)/'Gearing Calculator'!$C$14)*'Track Data'!P1645),-2))</f>
        <v>13200</v>
      </c>
      <c r="T1645" s="16">
        <f t="shared" si="181"/>
        <v>4.6205446580837366</v>
      </c>
      <c r="U1645" s="16">
        <f>IF(AC1645=100,Braking!$AG$2354,IF(AC1645=50,Braking!$AG$1179,IF(AC1645=75,Braking!$AG$1767,0)))</f>
        <v>0</v>
      </c>
      <c r="V1645" s="16">
        <f>0.5*'Gearing Calculator'!$C$15*'Gearing Calculator'!$C$20*'Gearing Calculator'!$W$20*('Track Data'!Q1645^2)</f>
        <v>239.21040141434179</v>
      </c>
      <c r="W1645" s="16">
        <f>('Gearing Calculator'!$U$9*'Track Data'!T1645)+'Track Data'!V1645</f>
        <v>1469.1993893962324</v>
      </c>
      <c r="X1645" s="16">
        <f>('Gearing Calculator'!$U$9*9.81)*('Gearing Calculator'!$U$16/'Gearing Calculator'!$C$7)-(('Track Data'!W1645)*('Gearing Calculator'!$U$17/'Gearing Calculator'!$C$7))</f>
        <v>600.34829566802546</v>
      </c>
      <c r="Y1645" s="16">
        <f>('Gearing Calculator'!$U$9*9.81)*(('Gearing Calculator'!$C$7-'Gearing Calculator'!$U$16)/'Gearing Calculator'!$C$7)+(('Track Data'!W1645)*('Gearing Calculator'!$U$17/'Gearing Calculator'!$C$7))</f>
        <v>2011.0737043319746</v>
      </c>
      <c r="Z1645" s="16">
        <f>((X1645*COS('Gearing Calculator'!$C$21))/'Gearing Calculator'!$C$22)/2</f>
        <v>18.560870562166251</v>
      </c>
      <c r="AA1645" s="16">
        <f>Y1645/'Gearing Calculator'!$C$24</f>
        <v>28.08133414656772</v>
      </c>
      <c r="AB1645" s="16">
        <f t="shared" si="177"/>
        <v>257.69258004667671</v>
      </c>
      <c r="AC1645" s="16">
        <v>0</v>
      </c>
      <c r="AD1645" s="16">
        <v>0</v>
      </c>
      <c r="AE1645" s="16">
        <v>1642</v>
      </c>
      <c r="AF1645" s="16">
        <f>IF(AC1645=0,IF(O1645=6,INDEX(Acceleration!$V$4:$V$110,MATCH('Track Data'!S1645,Acceleration!$K$4:$K$110,0)),IF('Track Data'!O1645=5,INDEX(Acceleration!$U$4:$U$110,MATCH('Track Data'!S1645,Acceleration!$K$4:$K$110,0)),1)),U1645)</f>
        <v>1</v>
      </c>
      <c r="AG1645" s="16">
        <f>IF(AC1645=0,IF(O1645=4,INDEX(Acceleration!$T$4:$T$110,MATCH('Track Data'!S1645,Acceleration!$K$4:$K$110,0)),IF('Track Data'!O1645=3,INDEX(Acceleration!$S$4:$S$110,MATCH('Track Data'!S1645,Acceleration!$K$4:$K$110,0)),'Track Data'!AF1645)),'Track Data'!U1645)</f>
        <v>4.6205446580837366</v>
      </c>
      <c r="AH1645" s="16">
        <f>IF(AC1645=0,IF(O1645=2,INDEX(Acceleration!$R$4:$R$110,MATCH('Track Data'!S1645,Acceleration!$K$4:$K$110,0)),IF('Track Data'!O1645=1,INDEX(Acceleration!$Q$4:$Q$110,MATCH('Track Data'!S1645,Acceleration!$K$4:$K$110,0)),'Track Data'!AG1645)),'Track Data'!U1645)</f>
        <v>4.6205446580837366</v>
      </c>
    </row>
    <row r="1646" spans="2:34" x14ac:dyDescent="0.25">
      <c r="B1646" s="16">
        <v>241.81399999999999</v>
      </c>
      <c r="C1646" s="16">
        <v>8916</v>
      </c>
      <c r="D1646" s="16">
        <v>1643</v>
      </c>
      <c r="E1646" s="113">
        <v>191</v>
      </c>
      <c r="F1646" s="113">
        <v>188.4</v>
      </c>
      <c r="G1646" s="113">
        <v>187.3</v>
      </c>
      <c r="H1646" s="113">
        <f t="shared" si="180"/>
        <v>52.027777777777779</v>
      </c>
      <c r="I1646" s="113">
        <v>2.5</v>
      </c>
      <c r="J1646" s="113">
        <v>10.63</v>
      </c>
      <c r="K1646" s="113">
        <v>-1.8</v>
      </c>
      <c r="L1646" s="185"/>
      <c r="M1646" s="16">
        <v>1643</v>
      </c>
      <c r="N1646" s="16">
        <f t="shared" si="182"/>
        <v>2.0991758927674509E-2</v>
      </c>
      <c r="O1646" s="16">
        <v>4</v>
      </c>
      <c r="P1646" s="16">
        <f t="shared" si="178"/>
        <v>9.1833785004516724</v>
      </c>
      <c r="Q1646" s="16">
        <f t="shared" si="183"/>
        <v>47.637742194230746</v>
      </c>
      <c r="R1646" s="113">
        <f t="shared" si="179"/>
        <v>329.49099999999999</v>
      </c>
      <c r="S1646" s="16">
        <f>IF(S1645=15800,15800,ROUND((((Q1646*60)/'Gearing Calculator'!$C$14)*'Track Data'!P1646),-2))</f>
        <v>13300</v>
      </c>
      <c r="T1646" s="16">
        <f t="shared" si="181"/>
        <v>4.5727201699956463</v>
      </c>
      <c r="U1646" s="16">
        <f>IF(AC1646=100,Braking!$AG$2354,IF(AC1646=50,Braking!$AG$1179,IF(AC1646=75,Braking!$AG$1767,0)))</f>
        <v>0</v>
      </c>
      <c r="V1646" s="16">
        <f>0.5*'Gearing Calculator'!$C$15*'Gearing Calculator'!$C$20*'Gearing Calculator'!$W$20*('Track Data'!Q1646^2)</f>
        <v>240.18847830756494</v>
      </c>
      <c r="W1646" s="16">
        <f>('Gearing Calculator'!$U$9*'Track Data'!T1646)+'Track Data'!V1646</f>
        <v>1457.446587560406</v>
      </c>
      <c r="X1646" s="16">
        <f>('Gearing Calculator'!$U$9*9.81)*('Gearing Calculator'!$U$16/'Gearing Calculator'!$C$7)-(('Track Data'!W1646)*('Gearing Calculator'!$U$17/'Gearing Calculator'!$C$7))</f>
        <v>606.75437531126306</v>
      </c>
      <c r="Y1646" s="16">
        <f>('Gearing Calculator'!$U$9*9.81)*(('Gearing Calculator'!$C$7-'Gearing Calculator'!$U$16)/'Gearing Calculator'!$C$7)+(('Track Data'!W1646)*('Gearing Calculator'!$U$17/'Gearing Calculator'!$C$7))</f>
        <v>2004.6676246887369</v>
      </c>
      <c r="Z1646" s="16">
        <f>((X1646*COS('Gearing Calculator'!$C$21))/'Gearing Calculator'!$C$22)/2</f>
        <v>18.758926284031432</v>
      </c>
      <c r="AA1646" s="16">
        <f>Y1646/'Gearing Calculator'!$C$24</f>
        <v>27.991883788461109</v>
      </c>
      <c r="AB1646" s="16">
        <f t="shared" si="177"/>
        <v>258.47935898754753</v>
      </c>
      <c r="AC1646" s="16">
        <v>0</v>
      </c>
      <c r="AD1646" s="16">
        <v>0</v>
      </c>
      <c r="AE1646" s="16">
        <v>1643</v>
      </c>
      <c r="AF1646" s="16">
        <f>IF(AC1646=0,IF(O1646=6,INDEX(Acceleration!$V$4:$V$110,MATCH('Track Data'!S1646,Acceleration!$K$4:$K$110,0)),IF('Track Data'!O1646=5,INDEX(Acceleration!$U$4:$U$110,MATCH('Track Data'!S1646,Acceleration!$K$4:$K$110,0)),1)),U1646)</f>
        <v>1</v>
      </c>
      <c r="AG1646" s="16">
        <f>IF(AC1646=0,IF(O1646=4,INDEX(Acceleration!$T$4:$T$110,MATCH('Track Data'!S1646,Acceleration!$K$4:$K$110,0)),IF('Track Data'!O1646=3,INDEX(Acceleration!$S$4:$S$110,MATCH('Track Data'!S1646,Acceleration!$K$4:$K$110,0)),'Track Data'!AF1646)),'Track Data'!U1646)</f>
        <v>4.5727201699956463</v>
      </c>
      <c r="AH1646" s="16">
        <f>IF(AC1646=0,IF(O1646=2,INDEX(Acceleration!$R$4:$R$110,MATCH('Track Data'!S1646,Acceleration!$K$4:$K$110,0)),IF('Track Data'!O1646=1,INDEX(Acceleration!$Q$4:$Q$110,MATCH('Track Data'!S1646,Acceleration!$K$4:$K$110,0)),'Track Data'!AG1646)),'Track Data'!U1646)</f>
        <v>4.5727201699956463</v>
      </c>
    </row>
    <row r="1647" spans="2:34" x14ac:dyDescent="0.25">
      <c r="B1647" s="16">
        <v>241.833</v>
      </c>
      <c r="C1647" s="16">
        <v>8917</v>
      </c>
      <c r="D1647" s="16">
        <v>1644</v>
      </c>
      <c r="E1647" s="113">
        <v>191</v>
      </c>
      <c r="F1647" s="113">
        <v>188.8</v>
      </c>
      <c r="G1647" s="113">
        <v>187.6</v>
      </c>
      <c r="H1647" s="113">
        <f t="shared" si="180"/>
        <v>52.111111111111107</v>
      </c>
      <c r="I1647" s="113">
        <v>3.1</v>
      </c>
      <c r="J1647" s="113">
        <v>10.29</v>
      </c>
      <c r="K1647" s="113">
        <v>-1.8</v>
      </c>
      <c r="L1647" s="185"/>
      <c r="M1647" s="16">
        <v>1644</v>
      </c>
      <c r="N1647" s="16">
        <f t="shared" si="182"/>
        <v>2.0949588220138319E-2</v>
      </c>
      <c r="O1647" s="16">
        <v>4</v>
      </c>
      <c r="P1647" s="16">
        <f t="shared" si="178"/>
        <v>9.1833785004516724</v>
      </c>
      <c r="Q1647" s="16">
        <f t="shared" si="183"/>
        <v>47.733635119315849</v>
      </c>
      <c r="R1647" s="113">
        <f t="shared" si="179"/>
        <v>329.49099999999999</v>
      </c>
      <c r="S1647" s="16">
        <f>IF(S1646=15800,15800,ROUND((((Q1647*60)/'Gearing Calculator'!$C$14)*'Track Data'!P1647),-2))</f>
        <v>13300</v>
      </c>
      <c r="T1647" s="16">
        <f t="shared" si="181"/>
        <v>4.5727201699956463</v>
      </c>
      <c r="U1647" s="16">
        <f>IF(AC1647=100,Braking!$AG$2354,IF(AC1647=50,Braking!$AG$1179,IF(AC1647=75,Braking!$AG$1767,0)))</f>
        <v>0</v>
      </c>
      <c r="V1647" s="16">
        <f>0.5*'Gearing Calculator'!$C$15*'Gearing Calculator'!$C$20*'Gearing Calculator'!$W$20*('Track Data'!Q1647^2)</f>
        <v>241.1564317131496</v>
      </c>
      <c r="W1647" s="16">
        <f>('Gearing Calculator'!$U$9*'Track Data'!T1647)+'Track Data'!V1647</f>
        <v>1458.4145409659907</v>
      </c>
      <c r="X1647" s="16">
        <f>('Gearing Calculator'!$U$9*9.81)*('Gearing Calculator'!$U$16/'Gearing Calculator'!$C$7)-(('Track Data'!W1647)*('Gearing Calculator'!$U$17/'Gearing Calculator'!$C$7))</f>
        <v>606.22677460006776</v>
      </c>
      <c r="Y1647" s="16">
        <f>('Gearing Calculator'!$U$9*9.81)*(('Gearing Calculator'!$C$7-'Gearing Calculator'!$U$16)/'Gearing Calculator'!$C$7)+(('Track Data'!W1647)*('Gearing Calculator'!$U$17/'Gearing Calculator'!$C$7))</f>
        <v>2005.1952253999323</v>
      </c>
      <c r="Z1647" s="16">
        <f>((X1647*COS('Gearing Calculator'!$C$21))/'Gearing Calculator'!$C$22)/2</f>
        <v>18.742614538700156</v>
      </c>
      <c r="AA1647" s="16">
        <f>Y1647/'Gearing Calculator'!$C$24</f>
        <v>27.999250863986553</v>
      </c>
      <c r="AB1647" s="16">
        <f t="shared" si="177"/>
        <v>259.44731239313217</v>
      </c>
      <c r="AC1647" s="16">
        <v>0</v>
      </c>
      <c r="AD1647" s="16">
        <v>0</v>
      </c>
      <c r="AE1647" s="16">
        <v>1644</v>
      </c>
      <c r="AF1647" s="16">
        <f>IF(AC1647=0,IF(O1647=6,INDEX(Acceleration!$V$4:$V$110,MATCH('Track Data'!S1647,Acceleration!$K$4:$K$110,0)),IF('Track Data'!O1647=5,INDEX(Acceleration!$U$4:$U$110,MATCH('Track Data'!S1647,Acceleration!$K$4:$K$110,0)),1)),U1647)</f>
        <v>1</v>
      </c>
      <c r="AG1647" s="16">
        <f>IF(AC1647=0,IF(O1647=4,INDEX(Acceleration!$T$4:$T$110,MATCH('Track Data'!S1647,Acceleration!$K$4:$K$110,0)),IF('Track Data'!O1647=3,INDEX(Acceleration!$S$4:$S$110,MATCH('Track Data'!S1647,Acceleration!$K$4:$K$110,0)),'Track Data'!AF1647)),'Track Data'!U1647)</f>
        <v>4.5727201699956463</v>
      </c>
      <c r="AH1647" s="16">
        <f>IF(AC1647=0,IF(O1647=2,INDEX(Acceleration!$R$4:$R$110,MATCH('Track Data'!S1647,Acceleration!$K$4:$K$110,0)),IF('Track Data'!O1647=1,INDEX(Acceleration!$Q$4:$Q$110,MATCH('Track Data'!S1647,Acceleration!$K$4:$K$110,0)),'Track Data'!AG1647)),'Track Data'!U1647)</f>
        <v>4.5727201699956463</v>
      </c>
    </row>
    <row r="1648" spans="2:34" x14ac:dyDescent="0.25">
      <c r="B1648" s="16">
        <v>241.852</v>
      </c>
      <c r="C1648" s="16">
        <v>8918</v>
      </c>
      <c r="D1648" s="16">
        <v>1645</v>
      </c>
      <c r="E1648" s="113">
        <v>191</v>
      </c>
      <c r="F1648" s="113">
        <v>189.3</v>
      </c>
      <c r="G1648" s="113">
        <v>187.8</v>
      </c>
      <c r="H1648" s="113">
        <f t="shared" si="180"/>
        <v>52.166666666666671</v>
      </c>
      <c r="I1648" s="113">
        <v>4.0999999999999996</v>
      </c>
      <c r="J1648" s="113">
        <v>9.4</v>
      </c>
      <c r="K1648" s="113">
        <v>-1.4</v>
      </c>
      <c r="L1648" s="185"/>
      <c r="M1648" s="16">
        <v>1645</v>
      </c>
      <c r="N1648" s="16">
        <f t="shared" si="182"/>
        <v>2.09076706481061E-2</v>
      </c>
      <c r="O1648" s="16">
        <v>4</v>
      </c>
      <c r="P1648" s="16">
        <f t="shared" si="178"/>
        <v>9.1833785004516724</v>
      </c>
      <c r="Q1648" s="16">
        <f t="shared" si="183"/>
        <v>47.829335789282865</v>
      </c>
      <c r="R1648" s="113">
        <f t="shared" si="179"/>
        <v>329.49099999999999</v>
      </c>
      <c r="S1648" s="16">
        <f>IF(S1647=15800,15800,ROUND((((Q1648*60)/'Gearing Calculator'!$C$14)*'Track Data'!P1648),-2))</f>
        <v>13300</v>
      </c>
      <c r="T1648" s="16">
        <f t="shared" si="181"/>
        <v>4.5727201699956463</v>
      </c>
      <c r="U1648" s="16">
        <f>IF(AC1648=100,Braking!$AG$2354,IF(AC1648=50,Braking!$AG$1179,IF(AC1648=75,Braking!$AG$1767,0)))</f>
        <v>0</v>
      </c>
      <c r="V1648" s="16">
        <f>0.5*'Gearing Calculator'!$C$15*'Gearing Calculator'!$C$20*'Gearing Calculator'!$W$20*('Track Data'!Q1648^2)</f>
        <v>242.12438511873427</v>
      </c>
      <c r="W1648" s="16">
        <f>('Gearing Calculator'!$U$9*'Track Data'!T1648)+'Track Data'!V1648</f>
        <v>1459.3824943715754</v>
      </c>
      <c r="X1648" s="16">
        <f>('Gearing Calculator'!$U$9*9.81)*('Gearing Calculator'!$U$16/'Gearing Calculator'!$C$7)-(('Track Data'!W1648)*('Gearing Calculator'!$U$17/'Gearing Calculator'!$C$7))</f>
        <v>605.69917388887256</v>
      </c>
      <c r="Y1648" s="16">
        <f>('Gearing Calculator'!$U$9*9.81)*(('Gearing Calculator'!$C$7-'Gearing Calculator'!$U$16)/'Gearing Calculator'!$C$7)+(('Track Data'!W1648)*('Gearing Calculator'!$U$17/'Gearing Calculator'!$C$7))</f>
        <v>2005.7228261111275</v>
      </c>
      <c r="Z1648" s="16">
        <f>((X1648*COS('Gearing Calculator'!$C$21))/'Gearing Calculator'!$C$22)/2</f>
        <v>18.726302793368884</v>
      </c>
      <c r="AA1648" s="16">
        <f>Y1648/'Gearing Calculator'!$C$24</f>
        <v>28.00661793951199</v>
      </c>
      <c r="AB1648" s="16">
        <f t="shared" si="177"/>
        <v>260.41526579871686</v>
      </c>
      <c r="AC1648" s="16">
        <v>0</v>
      </c>
      <c r="AD1648" s="16">
        <v>0</v>
      </c>
      <c r="AE1648" s="16">
        <v>1645</v>
      </c>
      <c r="AF1648" s="16">
        <f>IF(AC1648=0,IF(O1648=6,INDEX(Acceleration!$V$4:$V$110,MATCH('Track Data'!S1648,Acceleration!$K$4:$K$110,0)),IF('Track Data'!O1648=5,INDEX(Acceleration!$U$4:$U$110,MATCH('Track Data'!S1648,Acceleration!$K$4:$K$110,0)),1)),U1648)</f>
        <v>1</v>
      </c>
      <c r="AG1648" s="16">
        <f>IF(AC1648=0,IF(O1648=4,INDEX(Acceleration!$T$4:$T$110,MATCH('Track Data'!S1648,Acceleration!$K$4:$K$110,0)),IF('Track Data'!O1648=3,INDEX(Acceleration!$S$4:$S$110,MATCH('Track Data'!S1648,Acceleration!$K$4:$K$110,0)),'Track Data'!AF1648)),'Track Data'!U1648)</f>
        <v>4.5727201699956463</v>
      </c>
      <c r="AH1648" s="16">
        <f>IF(AC1648=0,IF(O1648=2,INDEX(Acceleration!$R$4:$R$110,MATCH('Track Data'!S1648,Acceleration!$K$4:$K$110,0)),IF('Track Data'!O1648=1,INDEX(Acceleration!$Q$4:$Q$110,MATCH('Track Data'!S1648,Acceleration!$K$4:$K$110,0)),'Track Data'!AG1648)),'Track Data'!U1648)</f>
        <v>4.5727201699956463</v>
      </c>
    </row>
    <row r="1649" spans="2:34" x14ac:dyDescent="0.25">
      <c r="B1649" s="16">
        <v>241.87100000000001</v>
      </c>
      <c r="C1649" s="16">
        <v>8919</v>
      </c>
      <c r="D1649" s="16">
        <v>1646</v>
      </c>
      <c r="E1649" s="113">
        <v>192</v>
      </c>
      <c r="F1649" s="113">
        <v>189.9</v>
      </c>
      <c r="G1649" s="113">
        <v>188</v>
      </c>
      <c r="H1649" s="113">
        <f t="shared" si="180"/>
        <v>52.222222222222221</v>
      </c>
      <c r="I1649" s="113">
        <v>4.0999999999999996</v>
      </c>
      <c r="J1649" s="113">
        <v>10.95</v>
      </c>
      <c r="K1649" s="113">
        <v>-0.8</v>
      </c>
      <c r="L1649" s="185"/>
      <c r="M1649" s="16">
        <v>1646</v>
      </c>
      <c r="N1649" s="16">
        <f t="shared" si="182"/>
        <v>2.0866003689202009E-2</v>
      </c>
      <c r="O1649" s="16">
        <v>4</v>
      </c>
      <c r="P1649" s="16">
        <f t="shared" si="178"/>
        <v>9.1833785004516724</v>
      </c>
      <c r="Q1649" s="16">
        <f t="shared" si="183"/>
        <v>47.924845355869081</v>
      </c>
      <c r="R1649" s="113">
        <f t="shared" si="179"/>
        <v>329.49099999999999</v>
      </c>
      <c r="S1649" s="16">
        <f>IF(S1648=15800,15800,ROUND((((Q1649*60)/'Gearing Calculator'!$C$14)*'Track Data'!P1649),-2))</f>
        <v>13300</v>
      </c>
      <c r="T1649" s="16">
        <f t="shared" si="181"/>
        <v>4.5727201699956463</v>
      </c>
      <c r="U1649" s="16">
        <f>IF(AC1649=100,Braking!$AG$2354,IF(AC1649=50,Braking!$AG$1179,IF(AC1649=75,Braking!$AG$1767,0)))</f>
        <v>0</v>
      </c>
      <c r="V1649" s="16">
        <f>0.5*'Gearing Calculator'!$C$15*'Gearing Calculator'!$C$20*'Gearing Calculator'!$W$20*('Track Data'!Q1649^2)</f>
        <v>243.09233852431899</v>
      </c>
      <c r="W1649" s="16">
        <f>('Gearing Calculator'!$U$9*'Track Data'!T1649)+'Track Data'!V1649</f>
        <v>1460.3504477771601</v>
      </c>
      <c r="X1649" s="16">
        <f>('Gearing Calculator'!$U$9*9.81)*('Gearing Calculator'!$U$16/'Gearing Calculator'!$C$7)-(('Track Data'!W1649)*('Gearing Calculator'!$U$17/'Gearing Calculator'!$C$7))</f>
        <v>605.17157317767737</v>
      </c>
      <c r="Y1649" s="16">
        <f>('Gearing Calculator'!$U$9*9.81)*(('Gearing Calculator'!$C$7-'Gearing Calculator'!$U$16)/'Gearing Calculator'!$C$7)+(('Track Data'!W1649)*('Gearing Calculator'!$U$17/'Gearing Calculator'!$C$7))</f>
        <v>2006.2504268223227</v>
      </c>
      <c r="Z1649" s="16">
        <f>((X1649*COS('Gearing Calculator'!$C$21))/'Gearing Calculator'!$C$22)/2</f>
        <v>18.709991048037612</v>
      </c>
      <c r="AA1649" s="16">
        <f>Y1649/'Gearing Calculator'!$C$24</f>
        <v>28.013985015037431</v>
      </c>
      <c r="AB1649" s="16">
        <f t="shared" si="177"/>
        <v>261.38321920430155</v>
      </c>
      <c r="AC1649" s="16">
        <v>0</v>
      </c>
      <c r="AD1649" s="16">
        <v>0</v>
      </c>
      <c r="AE1649" s="16">
        <v>1646</v>
      </c>
      <c r="AF1649" s="16">
        <f>IF(AC1649=0,IF(O1649=6,INDEX(Acceleration!$V$4:$V$110,MATCH('Track Data'!S1649,Acceleration!$K$4:$K$110,0)),IF('Track Data'!O1649=5,INDEX(Acceleration!$U$4:$U$110,MATCH('Track Data'!S1649,Acceleration!$K$4:$K$110,0)),1)),U1649)</f>
        <v>1</v>
      </c>
      <c r="AG1649" s="16">
        <f>IF(AC1649=0,IF(O1649=4,INDEX(Acceleration!$T$4:$T$110,MATCH('Track Data'!S1649,Acceleration!$K$4:$K$110,0)),IF('Track Data'!O1649=3,INDEX(Acceleration!$S$4:$S$110,MATCH('Track Data'!S1649,Acceleration!$K$4:$K$110,0)),'Track Data'!AF1649)),'Track Data'!U1649)</f>
        <v>4.5727201699956463</v>
      </c>
      <c r="AH1649" s="16">
        <f>IF(AC1649=0,IF(O1649=2,INDEX(Acceleration!$R$4:$R$110,MATCH('Track Data'!S1649,Acceleration!$K$4:$K$110,0)),IF('Track Data'!O1649=1,INDEX(Acceleration!$Q$4:$Q$110,MATCH('Track Data'!S1649,Acceleration!$K$4:$K$110,0)),'Track Data'!AG1649)),'Track Data'!U1649)</f>
        <v>4.5727201699956463</v>
      </c>
    </row>
    <row r="1650" spans="2:34" x14ac:dyDescent="0.25">
      <c r="B1650" s="16">
        <v>241.88900000000001</v>
      </c>
      <c r="C1650" s="16">
        <v>8920</v>
      </c>
      <c r="D1650" s="16">
        <v>1647</v>
      </c>
      <c r="E1650" s="113">
        <v>192</v>
      </c>
      <c r="F1650" s="113">
        <v>190.2</v>
      </c>
      <c r="G1650" s="113">
        <v>188.1</v>
      </c>
      <c r="H1650" s="113">
        <f t="shared" si="180"/>
        <v>52.25</v>
      </c>
      <c r="I1650" s="113">
        <v>4.0999999999999996</v>
      </c>
      <c r="J1650" s="113">
        <v>10.79</v>
      </c>
      <c r="K1650" s="113">
        <v>-0.5</v>
      </c>
      <c r="L1650" s="185"/>
      <c r="M1650" s="16">
        <v>1647</v>
      </c>
      <c r="N1650" s="16">
        <f t="shared" si="182"/>
        <v>2.0824584856098515E-2</v>
      </c>
      <c r="O1650" s="16">
        <v>4</v>
      </c>
      <c r="P1650" s="16">
        <f t="shared" si="178"/>
        <v>9.1833785004516724</v>
      </c>
      <c r="Q1650" s="16">
        <f t="shared" si="183"/>
        <v>48.020164959358041</v>
      </c>
      <c r="R1650" s="113">
        <f t="shared" si="179"/>
        <v>329.49099999999999</v>
      </c>
      <c r="S1650" s="16">
        <f>IF(S1649=15800,15800,ROUND((((Q1650*60)/'Gearing Calculator'!$C$14)*'Track Data'!P1650),-2))</f>
        <v>13400</v>
      </c>
      <c r="T1650" s="16">
        <f t="shared" si="181"/>
        <v>4.5254127277249072</v>
      </c>
      <c r="U1650" s="16">
        <f>IF(AC1650=100,Braking!$AG$2354,IF(AC1650=50,Braking!$AG$1179,IF(AC1650=75,Braking!$AG$1767,0)))</f>
        <v>0</v>
      </c>
      <c r="V1650" s="16">
        <f>0.5*'Gearing Calculator'!$C$15*'Gearing Calculator'!$C$20*'Gearing Calculator'!$W$20*('Track Data'!Q1650^2)</f>
        <v>244.06029192990368</v>
      </c>
      <c r="W1650" s="16">
        <f>('Gearing Calculator'!$U$9*'Track Data'!T1650)+'Track Data'!V1650</f>
        <v>1448.7251600502741</v>
      </c>
      <c r="X1650" s="16">
        <f>('Gearing Calculator'!$U$9*9.81)*('Gearing Calculator'!$U$16/'Gearing Calculator'!$C$7)-(('Track Data'!W1650)*('Gearing Calculator'!$U$17/'Gearing Calculator'!$C$7))</f>
        <v>611.50814892312792</v>
      </c>
      <c r="Y1650" s="16">
        <f>('Gearing Calculator'!$U$9*9.81)*(('Gearing Calculator'!$C$7-'Gearing Calculator'!$U$16)/'Gearing Calculator'!$C$7)+(('Track Data'!W1650)*('Gearing Calculator'!$U$17/'Gearing Calculator'!$C$7))</f>
        <v>1999.9138510768721</v>
      </c>
      <c r="Z1650" s="16">
        <f>((X1650*COS('Gearing Calculator'!$C$21))/'Gearing Calculator'!$C$22)/2</f>
        <v>18.905897929205313</v>
      </c>
      <c r="AA1650" s="16">
        <f>Y1650/'Gearing Calculator'!$C$24</f>
        <v>27.925505164463214</v>
      </c>
      <c r="AB1650" s="16">
        <f t="shared" si="177"/>
        <v>262.16194284080331</v>
      </c>
      <c r="AC1650" s="16">
        <v>0</v>
      </c>
      <c r="AD1650" s="16">
        <v>0</v>
      </c>
      <c r="AE1650" s="16">
        <v>1647</v>
      </c>
      <c r="AF1650" s="16">
        <f>IF(AC1650=0,IF(O1650=6,INDEX(Acceleration!$V$4:$V$110,MATCH('Track Data'!S1650,Acceleration!$K$4:$K$110,0)),IF('Track Data'!O1650=5,INDEX(Acceleration!$U$4:$U$110,MATCH('Track Data'!S1650,Acceleration!$K$4:$K$110,0)),1)),U1650)</f>
        <v>1</v>
      </c>
      <c r="AG1650" s="16">
        <f>IF(AC1650=0,IF(O1650=4,INDEX(Acceleration!$T$4:$T$110,MATCH('Track Data'!S1650,Acceleration!$K$4:$K$110,0)),IF('Track Data'!O1650=3,INDEX(Acceleration!$S$4:$S$110,MATCH('Track Data'!S1650,Acceleration!$K$4:$K$110,0)),'Track Data'!AF1650)),'Track Data'!U1650)</f>
        <v>4.5254127277249072</v>
      </c>
      <c r="AH1650" s="16">
        <f>IF(AC1650=0,IF(O1650=2,INDEX(Acceleration!$R$4:$R$110,MATCH('Track Data'!S1650,Acceleration!$K$4:$K$110,0)),IF('Track Data'!O1650=1,INDEX(Acceleration!$Q$4:$Q$110,MATCH('Track Data'!S1650,Acceleration!$K$4:$K$110,0)),'Track Data'!AG1650)),'Track Data'!U1650)</f>
        <v>4.5254127277249072</v>
      </c>
    </row>
    <row r="1651" spans="2:34" x14ac:dyDescent="0.25">
      <c r="B1651" s="16">
        <v>241.90899999999999</v>
      </c>
      <c r="C1651" s="16">
        <v>8921</v>
      </c>
      <c r="D1651" s="16">
        <v>1648</v>
      </c>
      <c r="E1651" s="113">
        <v>192</v>
      </c>
      <c r="F1651" s="113">
        <v>190.6</v>
      </c>
      <c r="G1651" s="113">
        <v>188.3</v>
      </c>
      <c r="H1651" s="113">
        <f t="shared" si="180"/>
        <v>52.305555555555557</v>
      </c>
      <c r="I1651" s="113">
        <v>4.0999999999999996</v>
      </c>
      <c r="J1651" s="113">
        <v>12.46</v>
      </c>
      <c r="K1651" s="113">
        <v>0.1</v>
      </c>
      <c r="L1651" s="185"/>
      <c r="M1651" s="16">
        <v>1648</v>
      </c>
      <c r="N1651" s="16">
        <f t="shared" si="182"/>
        <v>2.07838364066899E-2</v>
      </c>
      <c r="O1651" s="16">
        <v>4</v>
      </c>
      <c r="P1651" s="16">
        <f t="shared" si="178"/>
        <v>9.1833785004516724</v>
      </c>
      <c r="Q1651" s="16">
        <f t="shared" si="183"/>
        <v>48.114312508643494</v>
      </c>
      <c r="R1651" s="113">
        <f t="shared" si="179"/>
        <v>329.49099999999999</v>
      </c>
      <c r="S1651" s="16">
        <f>IF(S1650=15800,15800,ROUND((((Q1651*60)/'Gearing Calculator'!$C$14)*'Track Data'!P1651),-2))</f>
        <v>13400</v>
      </c>
      <c r="T1651" s="16">
        <f t="shared" si="181"/>
        <v>4.5254127277249072</v>
      </c>
      <c r="U1651" s="16">
        <f>IF(AC1651=100,Braking!$AG$2354,IF(AC1651=50,Braking!$AG$1179,IF(AC1651=75,Braking!$AG$1767,0)))</f>
        <v>0</v>
      </c>
      <c r="V1651" s="16">
        <f>0.5*'Gearing Calculator'!$C$15*'Gearing Calculator'!$C$20*'Gearing Calculator'!$W$20*('Track Data'!Q1651^2)</f>
        <v>245.0182312961085</v>
      </c>
      <c r="W1651" s="16">
        <f>('Gearing Calculator'!$U$9*'Track Data'!T1651)+'Track Data'!V1651</f>
        <v>1449.6830994164789</v>
      </c>
      <c r="X1651" s="16">
        <f>('Gearing Calculator'!$U$9*9.81)*('Gearing Calculator'!$U$16/'Gearing Calculator'!$C$7)-(('Track Data'!W1651)*('Gearing Calculator'!$U$17/'Gearing Calculator'!$C$7))</f>
        <v>610.9860065472908</v>
      </c>
      <c r="Y1651" s="16">
        <f>('Gearing Calculator'!$U$9*9.81)*(('Gearing Calculator'!$C$7-'Gearing Calculator'!$U$16)/'Gearing Calculator'!$C$7)+(('Track Data'!W1651)*('Gearing Calculator'!$U$17/'Gearing Calculator'!$C$7))</f>
        <v>2000.4359934527092</v>
      </c>
      <c r="Z1651" s="16">
        <f>((X1651*COS('Gearing Calculator'!$C$21))/'Gearing Calculator'!$C$22)/2</f>
        <v>18.889754938340069</v>
      </c>
      <c r="AA1651" s="16">
        <f>Y1651/'Gearing Calculator'!$C$24</f>
        <v>27.932796023319543</v>
      </c>
      <c r="AB1651" s="16">
        <f t="shared" si="177"/>
        <v>263.11988220700812</v>
      </c>
      <c r="AC1651" s="16">
        <v>0</v>
      </c>
      <c r="AD1651" s="16">
        <v>0</v>
      </c>
      <c r="AE1651" s="16">
        <v>1648</v>
      </c>
      <c r="AF1651" s="16">
        <f>IF(AC1651=0,IF(O1651=6,INDEX(Acceleration!$V$4:$V$110,MATCH('Track Data'!S1651,Acceleration!$K$4:$K$110,0)),IF('Track Data'!O1651=5,INDEX(Acceleration!$U$4:$U$110,MATCH('Track Data'!S1651,Acceleration!$K$4:$K$110,0)),1)),U1651)</f>
        <v>1</v>
      </c>
      <c r="AG1651" s="16">
        <f>IF(AC1651=0,IF(O1651=4,INDEX(Acceleration!$T$4:$T$110,MATCH('Track Data'!S1651,Acceleration!$K$4:$K$110,0)),IF('Track Data'!O1651=3,INDEX(Acceleration!$S$4:$S$110,MATCH('Track Data'!S1651,Acceleration!$K$4:$K$110,0)),'Track Data'!AF1651)),'Track Data'!U1651)</f>
        <v>4.5254127277249072</v>
      </c>
      <c r="AH1651" s="16">
        <f>IF(AC1651=0,IF(O1651=2,INDEX(Acceleration!$R$4:$R$110,MATCH('Track Data'!S1651,Acceleration!$K$4:$K$110,0)),IF('Track Data'!O1651=1,INDEX(Acceleration!$Q$4:$Q$110,MATCH('Track Data'!S1651,Acceleration!$K$4:$K$110,0)),'Track Data'!AG1651)),'Track Data'!U1651)</f>
        <v>4.5254127277249072</v>
      </c>
    </row>
    <row r="1652" spans="2:34" x14ac:dyDescent="0.25">
      <c r="B1652" s="16">
        <v>241.928</v>
      </c>
      <c r="C1652" s="16">
        <v>8922</v>
      </c>
      <c r="D1652" s="16">
        <v>1649</v>
      </c>
      <c r="E1652" s="113">
        <v>192</v>
      </c>
      <c r="F1652" s="113">
        <v>190.9</v>
      </c>
      <c r="G1652" s="113">
        <v>188.5</v>
      </c>
      <c r="H1652" s="113">
        <f t="shared" si="180"/>
        <v>52.361111111111107</v>
      </c>
      <c r="I1652" s="113">
        <v>4.7</v>
      </c>
      <c r="J1652" s="113">
        <v>14.19</v>
      </c>
      <c r="K1652" s="113">
        <v>0.9</v>
      </c>
      <c r="L1652" s="185"/>
      <c r="M1652" s="16">
        <v>1649</v>
      </c>
      <c r="N1652" s="16">
        <f t="shared" si="182"/>
        <v>2.0743326228211255E-2</v>
      </c>
      <c r="O1652" s="16">
        <v>4</v>
      </c>
      <c r="P1652" s="16">
        <f t="shared" si="178"/>
        <v>9.1833785004516724</v>
      </c>
      <c r="Q1652" s="16">
        <f t="shared" si="183"/>
        <v>48.208276194392781</v>
      </c>
      <c r="R1652" s="113">
        <f t="shared" si="179"/>
        <v>329.49099999999999</v>
      </c>
      <c r="S1652" s="16">
        <f>IF(S1651=15800,15800,ROUND((((Q1652*60)/'Gearing Calculator'!$C$14)*'Track Data'!P1652),-2))</f>
        <v>13400</v>
      </c>
      <c r="T1652" s="16">
        <f t="shared" si="181"/>
        <v>4.5254127277249072</v>
      </c>
      <c r="U1652" s="16">
        <f>IF(AC1652=100,Braking!$AG$2354,IF(AC1652=50,Braking!$AG$1179,IF(AC1652=75,Braking!$AG$1767,0)))</f>
        <v>0</v>
      </c>
      <c r="V1652" s="16">
        <f>0.5*'Gearing Calculator'!$C$15*'Gearing Calculator'!$C$20*'Gearing Calculator'!$W$20*('Track Data'!Q1652^2)</f>
        <v>245.97617066231328</v>
      </c>
      <c r="W1652" s="16">
        <f>('Gearing Calculator'!$U$9*'Track Data'!T1652)+'Track Data'!V1652</f>
        <v>1450.6410387826836</v>
      </c>
      <c r="X1652" s="16">
        <f>('Gearing Calculator'!$U$9*9.81)*('Gearing Calculator'!$U$16/'Gearing Calculator'!$C$7)-(('Track Data'!W1652)*('Gearing Calculator'!$U$17/'Gearing Calculator'!$C$7))</f>
        <v>610.46386417145379</v>
      </c>
      <c r="Y1652" s="16">
        <f>('Gearing Calculator'!$U$9*9.81)*(('Gearing Calculator'!$C$7-'Gearing Calculator'!$U$16)/'Gearing Calculator'!$C$7)+(('Track Data'!W1652)*('Gearing Calculator'!$U$17/'Gearing Calculator'!$C$7))</f>
        <v>2000.9581358285463</v>
      </c>
      <c r="Z1652" s="16">
        <f>((X1652*COS('Gearing Calculator'!$C$21))/'Gearing Calculator'!$C$22)/2</f>
        <v>18.873611947474824</v>
      </c>
      <c r="AA1652" s="16">
        <f>Y1652/'Gearing Calculator'!$C$24</f>
        <v>27.940086882175876</v>
      </c>
      <c r="AB1652" s="16">
        <f t="shared" si="177"/>
        <v>264.07782157321293</v>
      </c>
      <c r="AC1652" s="16">
        <v>0</v>
      </c>
      <c r="AD1652" s="16">
        <v>0</v>
      </c>
      <c r="AE1652" s="16">
        <v>1649</v>
      </c>
      <c r="AF1652" s="16">
        <f>IF(AC1652=0,IF(O1652=6,INDEX(Acceleration!$V$4:$V$110,MATCH('Track Data'!S1652,Acceleration!$K$4:$K$110,0)),IF('Track Data'!O1652=5,INDEX(Acceleration!$U$4:$U$110,MATCH('Track Data'!S1652,Acceleration!$K$4:$K$110,0)),1)),U1652)</f>
        <v>1</v>
      </c>
      <c r="AG1652" s="16">
        <f>IF(AC1652=0,IF(O1652=4,INDEX(Acceleration!$T$4:$T$110,MATCH('Track Data'!S1652,Acceleration!$K$4:$K$110,0)),IF('Track Data'!O1652=3,INDEX(Acceleration!$S$4:$S$110,MATCH('Track Data'!S1652,Acceleration!$K$4:$K$110,0)),'Track Data'!AF1652)),'Track Data'!U1652)</f>
        <v>4.5254127277249072</v>
      </c>
      <c r="AH1652" s="16">
        <f>IF(AC1652=0,IF(O1652=2,INDEX(Acceleration!$R$4:$R$110,MATCH('Track Data'!S1652,Acceleration!$K$4:$K$110,0)),IF('Track Data'!O1652=1,INDEX(Acceleration!$Q$4:$Q$110,MATCH('Track Data'!S1652,Acceleration!$K$4:$K$110,0)),'Track Data'!AG1652)),'Track Data'!U1652)</f>
        <v>4.5254127277249072</v>
      </c>
    </row>
    <row r="1653" spans="2:34" x14ac:dyDescent="0.25">
      <c r="B1653" s="16">
        <v>241.946</v>
      </c>
      <c r="C1653" s="16">
        <v>8923</v>
      </c>
      <c r="D1653" s="16">
        <v>1650</v>
      </c>
      <c r="E1653" s="113">
        <v>192</v>
      </c>
      <c r="F1653" s="113">
        <v>191</v>
      </c>
      <c r="G1653" s="113">
        <v>188.7</v>
      </c>
      <c r="H1653" s="113">
        <f t="shared" si="180"/>
        <v>52.416666666666664</v>
      </c>
      <c r="I1653" s="113">
        <v>5.4</v>
      </c>
      <c r="J1653" s="113">
        <v>15.63</v>
      </c>
      <c r="K1653" s="113">
        <v>2.2999999999999998</v>
      </c>
      <c r="L1653" s="185"/>
      <c r="M1653" s="16">
        <v>1650</v>
      </c>
      <c r="N1653" s="16">
        <f t="shared" si="182"/>
        <v>2.0703052007584127E-2</v>
      </c>
      <c r="O1653" s="16">
        <v>4</v>
      </c>
      <c r="P1653" s="16">
        <f t="shared" si="178"/>
        <v>9.1833785004516724</v>
      </c>
      <c r="Q1653" s="16">
        <f t="shared" si="183"/>
        <v>48.302057089634467</v>
      </c>
      <c r="R1653" s="113">
        <f t="shared" si="179"/>
        <v>329.49099999999999</v>
      </c>
      <c r="S1653" s="16">
        <f>IF(S1652=15800,15800,ROUND((((Q1653*60)/'Gearing Calculator'!$C$14)*'Track Data'!P1653),-2))</f>
        <v>13400</v>
      </c>
      <c r="T1653" s="16">
        <f t="shared" si="181"/>
        <v>4.5254127277249072</v>
      </c>
      <c r="U1653" s="16">
        <f>IF(AC1653=100,Braking!$AG$2354,IF(AC1653=50,Braking!$AG$1179,IF(AC1653=75,Braking!$AG$1767,0)))</f>
        <v>0</v>
      </c>
      <c r="V1653" s="16">
        <f>0.5*'Gearing Calculator'!$C$15*'Gearing Calculator'!$C$20*'Gearing Calculator'!$W$20*('Track Data'!Q1653^2)</f>
        <v>246.93411002851809</v>
      </c>
      <c r="W1653" s="16">
        <f>('Gearing Calculator'!$U$9*'Track Data'!T1653)+'Track Data'!V1653</f>
        <v>1451.5989781488884</v>
      </c>
      <c r="X1653" s="16">
        <f>('Gearing Calculator'!$U$9*9.81)*('Gearing Calculator'!$U$16/'Gearing Calculator'!$C$7)-(('Track Data'!W1653)*('Gearing Calculator'!$U$17/'Gearing Calculator'!$C$7))</f>
        <v>609.94172179561679</v>
      </c>
      <c r="Y1653" s="16">
        <f>('Gearing Calculator'!$U$9*9.81)*(('Gearing Calculator'!$C$7-'Gearing Calculator'!$U$16)/'Gearing Calculator'!$C$7)+(('Track Data'!W1653)*('Gearing Calculator'!$U$17/'Gearing Calculator'!$C$7))</f>
        <v>2001.4802782043832</v>
      </c>
      <c r="Z1653" s="16">
        <f>((X1653*COS('Gearing Calculator'!$C$21))/'Gearing Calculator'!$C$22)/2</f>
        <v>18.857468956609583</v>
      </c>
      <c r="AA1653" s="16">
        <f>Y1653/'Gearing Calculator'!$C$24</f>
        <v>27.947377741032206</v>
      </c>
      <c r="AB1653" s="16">
        <f t="shared" si="177"/>
        <v>265.03576093941774</v>
      </c>
      <c r="AC1653" s="16">
        <v>0</v>
      </c>
      <c r="AD1653" s="16">
        <v>0</v>
      </c>
      <c r="AE1653" s="16">
        <v>1650</v>
      </c>
      <c r="AF1653" s="16">
        <f>IF(AC1653=0,IF(O1653=6,INDEX(Acceleration!$V$4:$V$110,MATCH('Track Data'!S1653,Acceleration!$K$4:$K$110,0)),IF('Track Data'!O1653=5,INDEX(Acceleration!$U$4:$U$110,MATCH('Track Data'!S1653,Acceleration!$K$4:$K$110,0)),1)),U1653)</f>
        <v>1</v>
      </c>
      <c r="AG1653" s="16">
        <f>IF(AC1653=0,IF(O1653=4,INDEX(Acceleration!$T$4:$T$110,MATCH('Track Data'!S1653,Acceleration!$K$4:$K$110,0)),IF('Track Data'!O1653=3,INDEX(Acceleration!$S$4:$S$110,MATCH('Track Data'!S1653,Acceleration!$K$4:$K$110,0)),'Track Data'!AF1653)),'Track Data'!U1653)</f>
        <v>4.5254127277249072</v>
      </c>
      <c r="AH1653" s="16">
        <f>IF(AC1653=0,IF(O1653=2,INDEX(Acceleration!$R$4:$R$110,MATCH('Track Data'!S1653,Acceleration!$K$4:$K$110,0)),IF('Track Data'!O1653=1,INDEX(Acceleration!$Q$4:$Q$110,MATCH('Track Data'!S1653,Acceleration!$K$4:$K$110,0)),'Track Data'!AG1653)),'Track Data'!U1653)</f>
        <v>4.5254127277249072</v>
      </c>
    </row>
    <row r="1654" spans="2:34" x14ac:dyDescent="0.25">
      <c r="B1654" s="16">
        <v>241.965</v>
      </c>
      <c r="C1654" s="16">
        <v>8925</v>
      </c>
      <c r="D1654" s="16">
        <v>1651</v>
      </c>
      <c r="E1654" s="113">
        <v>192</v>
      </c>
      <c r="F1654" s="113">
        <v>191.1</v>
      </c>
      <c r="G1654" s="113">
        <v>188.9</v>
      </c>
      <c r="H1654" s="113">
        <f t="shared" si="180"/>
        <v>52.472222222222221</v>
      </c>
      <c r="I1654" s="113">
        <v>6.7</v>
      </c>
      <c r="J1654" s="113">
        <v>15.87</v>
      </c>
      <c r="K1654" s="113">
        <v>3.7</v>
      </c>
      <c r="L1654" s="185"/>
      <c r="M1654" s="16">
        <v>1651</v>
      </c>
      <c r="N1654" s="16">
        <f t="shared" si="182"/>
        <v>2.066301146304525E-2</v>
      </c>
      <c r="O1654" s="16">
        <v>4</v>
      </c>
      <c r="P1654" s="16">
        <f t="shared" si="178"/>
        <v>9.1833785004516724</v>
      </c>
      <c r="Q1654" s="16">
        <f t="shared" si="183"/>
        <v>48.395656257000553</v>
      </c>
      <c r="R1654" s="113">
        <f t="shared" si="179"/>
        <v>329.49099999999999</v>
      </c>
      <c r="S1654" s="16">
        <f>IF(S1653=15800,15800,ROUND((((Q1654*60)/'Gearing Calculator'!$C$14)*'Track Data'!P1654),-2))</f>
        <v>13500</v>
      </c>
      <c r="T1654" s="16">
        <f t="shared" si="181"/>
        <v>4.4786093729803564</v>
      </c>
      <c r="U1654" s="16">
        <f>IF(AC1654=100,Braking!$AG$2354,IF(AC1654=50,Braking!$AG$1179,IF(AC1654=75,Braking!$AG$1767,0)))</f>
        <v>0</v>
      </c>
      <c r="V1654" s="16">
        <f>0.5*'Gearing Calculator'!$C$15*'Gearing Calculator'!$C$20*'Gearing Calculator'!$W$20*('Track Data'!Q1654^2)</f>
        <v>247.8920493947229</v>
      </c>
      <c r="W1654" s="16">
        <f>('Gearing Calculator'!$U$9*'Track Data'!T1654)+'Track Data'!V1654</f>
        <v>1440.0978644820939</v>
      </c>
      <c r="X1654" s="16">
        <f>('Gearing Calculator'!$U$9*9.81)*('Gearing Calculator'!$U$16/'Gearing Calculator'!$C$7)-(('Track Data'!W1654)*('Gearing Calculator'!$U$17/'Gearing Calculator'!$C$7))</f>
        <v>616.21061419800731</v>
      </c>
      <c r="Y1654" s="16">
        <f>('Gearing Calculator'!$U$9*9.81)*(('Gearing Calculator'!$C$7-'Gearing Calculator'!$U$16)/'Gearing Calculator'!$C$7)+(('Track Data'!W1654)*('Gearing Calculator'!$U$17/'Gearing Calculator'!$C$7))</f>
        <v>1995.2113858019927</v>
      </c>
      <c r="Z1654" s="16">
        <f>((X1654*COS('Gearing Calculator'!$C$21))/'Gearing Calculator'!$C$22)/2</f>
        <v>19.051283282874049</v>
      </c>
      <c r="AA1654" s="16">
        <f>Y1654/'Gearing Calculator'!$C$24</f>
        <v>27.859842976940165</v>
      </c>
      <c r="AB1654" s="16">
        <f t="shared" ref="AB1654:AB1717" si="184">(T1654*O1654)+V1654</f>
        <v>265.80648688664434</v>
      </c>
      <c r="AC1654" s="16">
        <v>0</v>
      </c>
      <c r="AD1654" s="16">
        <v>0</v>
      </c>
      <c r="AE1654" s="16">
        <v>1651</v>
      </c>
      <c r="AF1654" s="16">
        <f>IF(AC1654=0,IF(O1654=6,INDEX(Acceleration!$V$4:$V$110,MATCH('Track Data'!S1654,Acceleration!$K$4:$K$110,0)),IF('Track Data'!O1654=5,INDEX(Acceleration!$U$4:$U$110,MATCH('Track Data'!S1654,Acceleration!$K$4:$K$110,0)),1)),U1654)</f>
        <v>1</v>
      </c>
      <c r="AG1654" s="16">
        <f>IF(AC1654=0,IF(O1654=4,INDEX(Acceleration!$T$4:$T$110,MATCH('Track Data'!S1654,Acceleration!$K$4:$K$110,0)),IF('Track Data'!O1654=3,INDEX(Acceleration!$S$4:$S$110,MATCH('Track Data'!S1654,Acceleration!$K$4:$K$110,0)),'Track Data'!AF1654)),'Track Data'!U1654)</f>
        <v>4.4786093729803564</v>
      </c>
      <c r="AH1654" s="16">
        <f>IF(AC1654=0,IF(O1654=2,INDEX(Acceleration!$R$4:$R$110,MATCH('Track Data'!S1654,Acceleration!$K$4:$K$110,0)),IF('Track Data'!O1654=1,INDEX(Acceleration!$Q$4:$Q$110,MATCH('Track Data'!S1654,Acceleration!$K$4:$K$110,0)),'Track Data'!AG1654)),'Track Data'!U1654)</f>
        <v>4.4786093729803564</v>
      </c>
    </row>
    <row r="1655" spans="2:34" x14ac:dyDescent="0.25">
      <c r="B1655" s="16">
        <v>241.98400000000001</v>
      </c>
      <c r="C1655" s="16">
        <v>8925</v>
      </c>
      <c r="D1655" s="16">
        <v>1652</v>
      </c>
      <c r="E1655" s="113">
        <v>193</v>
      </c>
      <c r="F1655" s="113">
        <v>191.3</v>
      </c>
      <c r="G1655" s="113">
        <v>189.1</v>
      </c>
      <c r="H1655" s="113">
        <f t="shared" si="180"/>
        <v>52.527777777777771</v>
      </c>
      <c r="I1655" s="113">
        <v>7</v>
      </c>
      <c r="J1655" s="113">
        <v>16.399999999999999</v>
      </c>
      <c r="K1655" s="113">
        <v>5.0999999999999996</v>
      </c>
      <c r="L1655" s="185"/>
      <c r="M1655" s="16">
        <v>1652</v>
      </c>
      <c r="N1655" s="16">
        <f t="shared" si="182"/>
        <v>2.062361288623327E-2</v>
      </c>
      <c r="O1655" s="16">
        <v>4</v>
      </c>
      <c r="P1655" s="16">
        <f t="shared" si="178"/>
        <v>9.1833785004516724</v>
      </c>
      <c r="Q1655" s="16">
        <f t="shared" si="183"/>
        <v>48.488109504204409</v>
      </c>
      <c r="R1655" s="113">
        <f t="shared" si="179"/>
        <v>329.49099999999999</v>
      </c>
      <c r="S1655" s="16">
        <f>IF(S1654=15800,15800,ROUND((((Q1655*60)/'Gearing Calculator'!$C$14)*'Track Data'!P1655),-2))</f>
        <v>13500</v>
      </c>
      <c r="T1655" s="16">
        <f t="shared" si="181"/>
        <v>4.4786093729803564</v>
      </c>
      <c r="U1655" s="16">
        <f>IF(AC1655=100,Braking!$AG$2354,IF(AC1655=50,Braking!$AG$1179,IF(AC1655=75,Braking!$AG$1767,0)))</f>
        <v>0</v>
      </c>
      <c r="V1655" s="16">
        <f>0.5*'Gearing Calculator'!$C$15*'Gearing Calculator'!$C$20*'Gearing Calculator'!$W$20*('Track Data'!Q1655^2)</f>
        <v>248.84008142679542</v>
      </c>
      <c r="W1655" s="16">
        <f>('Gearing Calculator'!$U$9*'Track Data'!T1655)+'Track Data'!V1655</f>
        <v>1441.0458965141663</v>
      </c>
      <c r="X1655" s="16">
        <f>('Gearing Calculator'!$U$9*9.81)*('Gearing Calculator'!$U$16/'Gearing Calculator'!$C$7)-(('Track Data'!W1655)*('Gearing Calculator'!$U$17/'Gearing Calculator'!$C$7))</f>
        <v>615.6938719958813</v>
      </c>
      <c r="Y1655" s="16">
        <f>('Gearing Calculator'!$U$9*9.81)*(('Gearing Calculator'!$C$7-'Gearing Calculator'!$U$16)/'Gearing Calculator'!$C$7)+(('Track Data'!W1655)*('Gearing Calculator'!$U$17/'Gearing Calculator'!$C$7))</f>
        <v>1995.7281280041188</v>
      </c>
      <c r="Z1655" s="16">
        <f>((X1655*COS('Gearing Calculator'!$C$21))/'Gearing Calculator'!$C$22)/2</f>
        <v>19.035307248300658</v>
      </c>
      <c r="AA1655" s="16">
        <f>Y1655/'Gearing Calculator'!$C$24</f>
        <v>27.867058431259057</v>
      </c>
      <c r="AB1655" s="16">
        <f t="shared" si="184"/>
        <v>266.75451891871683</v>
      </c>
      <c r="AC1655" s="16">
        <v>0</v>
      </c>
      <c r="AD1655" s="16">
        <v>0</v>
      </c>
      <c r="AE1655" s="16">
        <v>1652</v>
      </c>
      <c r="AF1655" s="16">
        <f>IF(AC1655=0,IF(O1655=6,INDEX(Acceleration!$V$4:$V$110,MATCH('Track Data'!S1655,Acceleration!$K$4:$K$110,0)),IF('Track Data'!O1655=5,INDEX(Acceleration!$U$4:$U$110,MATCH('Track Data'!S1655,Acceleration!$K$4:$K$110,0)),1)),U1655)</f>
        <v>1</v>
      </c>
      <c r="AG1655" s="16">
        <f>IF(AC1655=0,IF(O1655=4,INDEX(Acceleration!$T$4:$T$110,MATCH('Track Data'!S1655,Acceleration!$K$4:$K$110,0)),IF('Track Data'!O1655=3,INDEX(Acceleration!$S$4:$S$110,MATCH('Track Data'!S1655,Acceleration!$K$4:$K$110,0)),'Track Data'!AF1655)),'Track Data'!U1655)</f>
        <v>4.4786093729803564</v>
      </c>
      <c r="AH1655" s="16">
        <f>IF(AC1655=0,IF(O1655=2,INDEX(Acceleration!$R$4:$R$110,MATCH('Track Data'!S1655,Acceleration!$K$4:$K$110,0)),IF('Track Data'!O1655=1,INDEX(Acceleration!$Q$4:$Q$110,MATCH('Track Data'!S1655,Acceleration!$K$4:$K$110,0)),'Track Data'!AG1655)),'Track Data'!U1655)</f>
        <v>4.4786093729803564</v>
      </c>
    </row>
    <row r="1656" spans="2:34" x14ac:dyDescent="0.25">
      <c r="B1656" s="16">
        <v>242.00200000000001</v>
      </c>
      <c r="C1656" s="16">
        <v>8926</v>
      </c>
      <c r="D1656" s="16">
        <v>1653</v>
      </c>
      <c r="E1656" s="113">
        <v>193</v>
      </c>
      <c r="F1656" s="113">
        <v>191.5</v>
      </c>
      <c r="G1656" s="113">
        <v>189.3</v>
      </c>
      <c r="H1656" s="113">
        <f t="shared" si="180"/>
        <v>52.583333333333336</v>
      </c>
      <c r="I1656" s="113">
        <v>7.3</v>
      </c>
      <c r="J1656" s="113">
        <v>15.26</v>
      </c>
      <c r="K1656" s="113">
        <v>6.1</v>
      </c>
      <c r="L1656" s="185"/>
      <c r="M1656" s="16">
        <v>1653</v>
      </c>
      <c r="N1656" s="16">
        <f t="shared" si="182"/>
        <v>2.0584438819561693E-2</v>
      </c>
      <c r="O1656" s="16">
        <v>4</v>
      </c>
      <c r="P1656" s="16">
        <f t="shared" si="178"/>
        <v>9.1833785004516724</v>
      </c>
      <c r="Q1656" s="16">
        <f t="shared" si="183"/>
        <v>48.580386804117552</v>
      </c>
      <c r="R1656" s="113">
        <f t="shared" si="179"/>
        <v>329.49099999999999</v>
      </c>
      <c r="S1656" s="16">
        <f>IF(S1655=15800,15800,ROUND((((Q1656*60)/'Gearing Calculator'!$C$14)*'Track Data'!P1656),-2))</f>
        <v>13500</v>
      </c>
      <c r="T1656" s="16">
        <f t="shared" si="181"/>
        <v>4.4786093729803564</v>
      </c>
      <c r="U1656" s="16">
        <f>IF(AC1656=100,Braking!$AG$2354,IF(AC1656=50,Braking!$AG$1179,IF(AC1656=75,Braking!$AG$1767,0)))</f>
        <v>0</v>
      </c>
      <c r="V1656" s="16">
        <f>0.5*'Gearing Calculator'!$C$15*'Gearing Calculator'!$C$20*'Gearing Calculator'!$W$20*('Track Data'!Q1656^2)</f>
        <v>249.78811345886791</v>
      </c>
      <c r="W1656" s="16">
        <f>('Gearing Calculator'!$U$9*'Track Data'!T1656)+'Track Data'!V1656</f>
        <v>1441.9939285462387</v>
      </c>
      <c r="X1656" s="16">
        <f>('Gearing Calculator'!$U$9*9.81)*('Gearing Calculator'!$U$16/'Gearing Calculator'!$C$7)-(('Track Data'!W1656)*('Gearing Calculator'!$U$17/'Gearing Calculator'!$C$7))</f>
        <v>615.17712979375517</v>
      </c>
      <c r="Y1656" s="16">
        <f>('Gearing Calculator'!$U$9*9.81)*(('Gearing Calculator'!$C$7-'Gearing Calculator'!$U$16)/'Gearing Calculator'!$C$7)+(('Track Data'!W1656)*('Gearing Calculator'!$U$17/'Gearing Calculator'!$C$7))</f>
        <v>1996.2448702062447</v>
      </c>
      <c r="Z1656" s="16">
        <f>((X1656*COS('Gearing Calculator'!$C$21))/'Gearing Calculator'!$C$22)/2</f>
        <v>19.019331213727259</v>
      </c>
      <c r="AA1656" s="16">
        <f>Y1656/'Gearing Calculator'!$C$24</f>
        <v>27.874273885577949</v>
      </c>
      <c r="AB1656" s="16">
        <f t="shared" si="184"/>
        <v>267.70255095078932</v>
      </c>
      <c r="AC1656" s="16">
        <v>0</v>
      </c>
      <c r="AD1656" s="16">
        <v>0</v>
      </c>
      <c r="AE1656" s="16">
        <v>1653</v>
      </c>
      <c r="AF1656" s="16">
        <f>IF(AC1656=0,IF(O1656=6,INDEX(Acceleration!$V$4:$V$110,MATCH('Track Data'!S1656,Acceleration!$K$4:$K$110,0)),IF('Track Data'!O1656=5,INDEX(Acceleration!$U$4:$U$110,MATCH('Track Data'!S1656,Acceleration!$K$4:$K$110,0)),1)),U1656)</f>
        <v>1</v>
      </c>
      <c r="AG1656" s="16">
        <f>IF(AC1656=0,IF(O1656=4,INDEX(Acceleration!$T$4:$T$110,MATCH('Track Data'!S1656,Acceleration!$K$4:$K$110,0)),IF('Track Data'!O1656=3,INDEX(Acceleration!$S$4:$S$110,MATCH('Track Data'!S1656,Acceleration!$K$4:$K$110,0)),'Track Data'!AF1656)),'Track Data'!U1656)</f>
        <v>4.4786093729803564</v>
      </c>
      <c r="AH1656" s="16">
        <f>IF(AC1656=0,IF(O1656=2,INDEX(Acceleration!$R$4:$R$110,MATCH('Track Data'!S1656,Acceleration!$K$4:$K$110,0)),IF('Track Data'!O1656=1,INDEX(Acceleration!$Q$4:$Q$110,MATCH('Track Data'!S1656,Acceleration!$K$4:$K$110,0)),'Track Data'!AG1656)),'Track Data'!U1656)</f>
        <v>4.4786093729803564</v>
      </c>
    </row>
    <row r="1657" spans="2:34" x14ac:dyDescent="0.25">
      <c r="B1657" s="16">
        <v>242.02099999999999</v>
      </c>
      <c r="C1657" s="16">
        <v>8927</v>
      </c>
      <c r="D1657" s="16">
        <v>1654</v>
      </c>
      <c r="E1657" s="113">
        <v>194</v>
      </c>
      <c r="F1657" s="113">
        <v>191.6</v>
      </c>
      <c r="G1657" s="113">
        <v>189.4</v>
      </c>
      <c r="H1657" s="113">
        <f t="shared" si="180"/>
        <v>52.611111111111114</v>
      </c>
      <c r="I1657" s="113">
        <v>6.4</v>
      </c>
      <c r="J1657" s="113">
        <v>14.58</v>
      </c>
      <c r="K1657" s="113">
        <v>5.3</v>
      </c>
      <c r="L1657" s="185"/>
      <c r="M1657" s="16">
        <v>1654</v>
      </c>
      <c r="N1657" s="16">
        <f t="shared" si="182"/>
        <v>2.0545487138839059E-2</v>
      </c>
      <c r="O1657" s="16">
        <v>4</v>
      </c>
      <c r="P1657" s="16">
        <f t="shared" si="178"/>
        <v>9.1833785004516724</v>
      </c>
      <c r="Q1657" s="16">
        <f t="shared" si="183"/>
        <v>48.67248915746594</v>
      </c>
      <c r="R1657" s="113">
        <f t="shared" si="179"/>
        <v>329.49099999999999</v>
      </c>
      <c r="S1657" s="16">
        <f>IF(S1656=15800,15800,ROUND((((Q1657*60)/'Gearing Calculator'!$C$14)*'Track Data'!P1657),-2))</f>
        <v>13600</v>
      </c>
      <c r="T1657" s="16">
        <f t="shared" si="181"/>
        <v>4.4322975285970454</v>
      </c>
      <c r="U1657" s="16">
        <f>IF(AC1657=100,Braking!$AG$2354,IF(AC1657=50,Braking!$AG$1179,IF(AC1657=75,Braking!$AG$1767,0)))</f>
        <v>0</v>
      </c>
      <c r="V1657" s="16">
        <f>0.5*'Gearing Calculator'!$C$15*'Gearing Calculator'!$C$20*'Gearing Calculator'!$W$20*('Track Data'!Q1657^2)</f>
        <v>250.7361454909404</v>
      </c>
      <c r="W1657" s="16">
        <f>('Gearing Calculator'!$U$9*'Track Data'!T1657)+'Track Data'!V1657</f>
        <v>1430.6137476034737</v>
      </c>
      <c r="X1657" s="16">
        <f>('Gearing Calculator'!$U$9*9.81)*('Gearing Calculator'!$U$16/'Gearing Calculator'!$C$7)-(('Track Data'!W1657)*('Gearing Calculator'!$U$17/'Gearing Calculator'!$C$7))</f>
        <v>621.3801056026025</v>
      </c>
      <c r="Y1657" s="16">
        <f>('Gearing Calculator'!$U$9*9.81)*(('Gearing Calculator'!$C$7-'Gearing Calculator'!$U$16)/'Gearing Calculator'!$C$7)+(('Track Data'!W1657)*('Gearing Calculator'!$U$17/'Gearing Calculator'!$C$7))</f>
        <v>1990.0418943973975</v>
      </c>
      <c r="Z1657" s="16">
        <f>((X1657*COS('Gearing Calculator'!$C$21))/'Gearing Calculator'!$C$22)/2</f>
        <v>19.211107607395792</v>
      </c>
      <c r="AA1657" s="16">
        <f>Y1657/'Gearing Calculator'!$C$24</f>
        <v>27.787659538219071</v>
      </c>
      <c r="AB1657" s="16">
        <f t="shared" si="184"/>
        <v>268.46533560532856</v>
      </c>
      <c r="AC1657" s="16">
        <v>0</v>
      </c>
      <c r="AD1657" s="16">
        <v>0</v>
      </c>
      <c r="AE1657" s="16">
        <v>1654</v>
      </c>
      <c r="AF1657" s="16">
        <f>IF(AC1657=0,IF(O1657=6,INDEX(Acceleration!$V$4:$V$110,MATCH('Track Data'!S1657,Acceleration!$K$4:$K$110,0)),IF('Track Data'!O1657=5,INDEX(Acceleration!$U$4:$U$110,MATCH('Track Data'!S1657,Acceleration!$K$4:$K$110,0)),1)),U1657)</f>
        <v>1</v>
      </c>
      <c r="AG1657" s="16">
        <f>IF(AC1657=0,IF(O1657=4,INDEX(Acceleration!$T$4:$T$110,MATCH('Track Data'!S1657,Acceleration!$K$4:$K$110,0)),IF('Track Data'!O1657=3,INDEX(Acceleration!$S$4:$S$110,MATCH('Track Data'!S1657,Acceleration!$K$4:$K$110,0)),'Track Data'!AF1657)),'Track Data'!U1657)</f>
        <v>4.4322975285970454</v>
      </c>
      <c r="AH1657" s="16">
        <f>IF(AC1657=0,IF(O1657=2,INDEX(Acceleration!$R$4:$R$110,MATCH('Track Data'!S1657,Acceleration!$K$4:$K$110,0)),IF('Track Data'!O1657=1,INDEX(Acceleration!$Q$4:$Q$110,MATCH('Track Data'!S1657,Acceleration!$K$4:$K$110,0)),'Track Data'!AG1657)),'Track Data'!U1657)</f>
        <v>4.4322975285970454</v>
      </c>
    </row>
    <row r="1658" spans="2:34" x14ac:dyDescent="0.25">
      <c r="B1658" s="16">
        <v>242.04</v>
      </c>
      <c r="C1658" s="16">
        <v>8928</v>
      </c>
      <c r="D1658" s="16">
        <v>1655</v>
      </c>
      <c r="E1658" s="113">
        <v>194</v>
      </c>
      <c r="F1658" s="113">
        <v>191.7</v>
      </c>
      <c r="G1658" s="113">
        <v>189.6</v>
      </c>
      <c r="H1658" s="113">
        <f t="shared" si="180"/>
        <v>52.666666666666664</v>
      </c>
      <c r="I1658" s="113">
        <v>5.6</v>
      </c>
      <c r="J1658" s="113">
        <v>15.81</v>
      </c>
      <c r="K1658" s="113">
        <v>4.5</v>
      </c>
      <c r="L1658" s="185"/>
      <c r="M1658" s="16">
        <v>1655</v>
      </c>
      <c r="N1658" s="16">
        <f t="shared" si="182"/>
        <v>2.0507155136482991E-2</v>
      </c>
      <c r="O1658" s="16">
        <v>4</v>
      </c>
      <c r="P1658" s="16">
        <f t="shared" si="178"/>
        <v>9.1833785004516724</v>
      </c>
      <c r="Q1658" s="16">
        <f t="shared" si="183"/>
        <v>48.763467840595929</v>
      </c>
      <c r="R1658" s="113">
        <f t="shared" si="179"/>
        <v>329.49099999999999</v>
      </c>
      <c r="S1658" s="16">
        <f>IF(S1657=15800,15800,ROUND((((Q1658*60)/'Gearing Calculator'!$C$14)*'Track Data'!P1658),-2))</f>
        <v>13600</v>
      </c>
      <c r="T1658" s="16">
        <f t="shared" si="181"/>
        <v>4.4322975285970454</v>
      </c>
      <c r="U1658" s="16">
        <f>IF(AC1658=100,Braking!$AG$2354,IF(AC1658=50,Braking!$AG$1179,IF(AC1658=75,Braking!$AG$1767,0)))</f>
        <v>0</v>
      </c>
      <c r="V1658" s="16">
        <f>0.5*'Gearing Calculator'!$C$15*'Gearing Calculator'!$C$20*'Gearing Calculator'!$W$20*('Track Data'!Q1658^2)</f>
        <v>251.67437423179376</v>
      </c>
      <c r="W1658" s="16">
        <f>('Gearing Calculator'!$U$9*'Track Data'!T1658)+'Track Data'!V1658</f>
        <v>1431.5519763443272</v>
      </c>
      <c r="X1658" s="16">
        <f>('Gearing Calculator'!$U$9*9.81)*('Gearing Calculator'!$U$16/'Gearing Calculator'!$C$7)-(('Track Data'!W1658)*('Gearing Calculator'!$U$17/'Gearing Calculator'!$C$7))</f>
        <v>620.86870686369411</v>
      </c>
      <c r="Y1658" s="16">
        <f>('Gearing Calculator'!$U$9*9.81)*(('Gearing Calculator'!$C$7-'Gearing Calculator'!$U$16)/'Gearing Calculator'!$C$7)+(('Track Data'!W1658)*('Gearing Calculator'!$U$17/'Gearing Calculator'!$C$7))</f>
        <v>1990.5532931363059</v>
      </c>
      <c r="Z1658" s="16">
        <f>((X1658*COS('Gearing Calculator'!$C$21))/'Gearing Calculator'!$C$22)/2</f>
        <v>19.195296775805158</v>
      </c>
      <c r="AA1658" s="16">
        <f>Y1658/'Gearing Calculator'!$C$24</f>
        <v>27.794800379869223</v>
      </c>
      <c r="AB1658" s="16">
        <f t="shared" si="184"/>
        <v>269.40356434618195</v>
      </c>
      <c r="AC1658" s="16">
        <v>0</v>
      </c>
      <c r="AD1658" s="16">
        <v>0</v>
      </c>
      <c r="AE1658" s="16">
        <v>1655</v>
      </c>
      <c r="AF1658" s="16">
        <f>IF(AC1658=0,IF(O1658=6,INDEX(Acceleration!$V$4:$V$110,MATCH('Track Data'!S1658,Acceleration!$K$4:$K$110,0)),IF('Track Data'!O1658=5,INDEX(Acceleration!$U$4:$U$110,MATCH('Track Data'!S1658,Acceleration!$K$4:$K$110,0)),1)),U1658)</f>
        <v>1</v>
      </c>
      <c r="AG1658" s="16">
        <f>IF(AC1658=0,IF(O1658=4,INDEX(Acceleration!$T$4:$T$110,MATCH('Track Data'!S1658,Acceleration!$K$4:$K$110,0)),IF('Track Data'!O1658=3,INDEX(Acceleration!$S$4:$S$110,MATCH('Track Data'!S1658,Acceleration!$K$4:$K$110,0)),'Track Data'!AF1658)),'Track Data'!U1658)</f>
        <v>4.4322975285970454</v>
      </c>
      <c r="AH1658" s="16">
        <f>IF(AC1658=0,IF(O1658=2,INDEX(Acceleration!$R$4:$R$110,MATCH('Track Data'!S1658,Acceleration!$K$4:$K$110,0)),IF('Track Data'!O1658=1,INDEX(Acceleration!$Q$4:$Q$110,MATCH('Track Data'!S1658,Acceleration!$K$4:$K$110,0)),'Track Data'!AG1658)),'Track Data'!U1658)</f>
        <v>4.4322975285970454</v>
      </c>
    </row>
    <row r="1659" spans="2:34" x14ac:dyDescent="0.25">
      <c r="B1659" s="16">
        <v>242.059</v>
      </c>
      <c r="C1659" s="16">
        <v>8929</v>
      </c>
      <c r="D1659" s="16">
        <v>1656</v>
      </c>
      <c r="E1659" s="113">
        <v>194</v>
      </c>
      <c r="F1659" s="113">
        <v>192</v>
      </c>
      <c r="G1659" s="113">
        <v>189.7</v>
      </c>
      <c r="H1659" s="113">
        <f t="shared" si="180"/>
        <v>52.694444444444443</v>
      </c>
      <c r="I1659" s="113">
        <v>5</v>
      </c>
      <c r="J1659" s="113">
        <v>16.27</v>
      </c>
      <c r="K1659" s="113">
        <v>4.0999999999999996</v>
      </c>
      <c r="L1659" s="185"/>
      <c r="M1659" s="16">
        <v>1656</v>
      </c>
      <c r="N1659" s="16">
        <f t="shared" si="182"/>
        <v>2.0469036886306392E-2</v>
      </c>
      <c r="O1659" s="16">
        <v>4</v>
      </c>
      <c r="P1659" s="16">
        <f t="shared" si="178"/>
        <v>9.1833785004516724</v>
      </c>
      <c r="Q1659" s="16">
        <f t="shared" si="183"/>
        <v>48.854277099329053</v>
      </c>
      <c r="R1659" s="113">
        <f t="shared" si="179"/>
        <v>329.49099999999999</v>
      </c>
      <c r="S1659" s="16">
        <f>IF(S1658=15800,15800,ROUND((((Q1659*60)/'Gearing Calculator'!$C$14)*'Track Data'!P1659),-2))</f>
        <v>13600</v>
      </c>
      <c r="T1659" s="16">
        <f t="shared" si="181"/>
        <v>4.4322975285970454</v>
      </c>
      <c r="U1659" s="16">
        <f>IF(AC1659=100,Braking!$AG$2354,IF(AC1659=50,Braking!$AG$1179,IF(AC1659=75,Braking!$AG$1767,0)))</f>
        <v>0</v>
      </c>
      <c r="V1659" s="16">
        <f>0.5*'Gearing Calculator'!$C$15*'Gearing Calculator'!$C$20*'Gearing Calculator'!$W$20*('Track Data'!Q1659^2)</f>
        <v>252.61260297264718</v>
      </c>
      <c r="W1659" s="16">
        <f>('Gearing Calculator'!$U$9*'Track Data'!T1659)+'Track Data'!V1659</f>
        <v>1432.4902050851806</v>
      </c>
      <c r="X1659" s="16">
        <f>('Gearing Calculator'!$U$9*9.81)*('Gearing Calculator'!$U$16/'Gearing Calculator'!$C$7)-(('Track Data'!W1659)*('Gearing Calculator'!$U$17/'Gearing Calculator'!$C$7))</f>
        <v>620.35730812478573</v>
      </c>
      <c r="Y1659" s="16">
        <f>('Gearing Calculator'!$U$9*9.81)*(('Gearing Calculator'!$C$7-'Gearing Calculator'!$U$16)/'Gearing Calculator'!$C$7)+(('Track Data'!W1659)*('Gearing Calculator'!$U$17/'Gearing Calculator'!$C$7))</f>
        <v>1991.0646918752143</v>
      </c>
      <c r="Z1659" s="16">
        <f>((X1659*COS('Gearing Calculator'!$C$21))/'Gearing Calculator'!$C$22)/2</f>
        <v>19.179485944214516</v>
      </c>
      <c r="AA1659" s="16">
        <f>Y1659/'Gearing Calculator'!$C$24</f>
        <v>27.801941221519375</v>
      </c>
      <c r="AB1659" s="16">
        <f t="shared" si="184"/>
        <v>270.34179308703534</v>
      </c>
      <c r="AC1659" s="16">
        <v>0</v>
      </c>
      <c r="AD1659" s="16">
        <v>0</v>
      </c>
      <c r="AE1659" s="16">
        <v>1656</v>
      </c>
      <c r="AF1659" s="16">
        <f>IF(AC1659=0,IF(O1659=6,INDEX(Acceleration!$V$4:$V$110,MATCH('Track Data'!S1659,Acceleration!$K$4:$K$110,0)),IF('Track Data'!O1659=5,INDEX(Acceleration!$U$4:$U$110,MATCH('Track Data'!S1659,Acceleration!$K$4:$K$110,0)),1)),U1659)</f>
        <v>1</v>
      </c>
      <c r="AG1659" s="16">
        <f>IF(AC1659=0,IF(O1659=4,INDEX(Acceleration!$T$4:$T$110,MATCH('Track Data'!S1659,Acceleration!$K$4:$K$110,0)),IF('Track Data'!O1659=3,INDEX(Acceleration!$S$4:$S$110,MATCH('Track Data'!S1659,Acceleration!$K$4:$K$110,0)),'Track Data'!AF1659)),'Track Data'!U1659)</f>
        <v>4.4322975285970454</v>
      </c>
      <c r="AH1659" s="16">
        <f>IF(AC1659=0,IF(O1659=2,INDEX(Acceleration!$R$4:$R$110,MATCH('Track Data'!S1659,Acceleration!$K$4:$K$110,0)),IF('Track Data'!O1659=1,INDEX(Acceleration!$Q$4:$Q$110,MATCH('Track Data'!S1659,Acceleration!$K$4:$K$110,0)),'Track Data'!AG1659)),'Track Data'!U1659)</f>
        <v>4.4322975285970454</v>
      </c>
    </row>
    <row r="1660" spans="2:34" x14ac:dyDescent="0.25">
      <c r="B1660" s="16">
        <v>242.077</v>
      </c>
      <c r="C1660" s="16">
        <v>8930</v>
      </c>
      <c r="D1660" s="16">
        <v>1657</v>
      </c>
      <c r="E1660" s="113">
        <v>194</v>
      </c>
      <c r="F1660" s="113">
        <v>192.4</v>
      </c>
      <c r="G1660" s="113">
        <v>189.9</v>
      </c>
      <c r="H1660" s="113">
        <f t="shared" si="180"/>
        <v>52.75</v>
      </c>
      <c r="I1660" s="113">
        <v>4.7</v>
      </c>
      <c r="J1660" s="113">
        <v>14.23</v>
      </c>
      <c r="K1660" s="113">
        <v>3.3</v>
      </c>
      <c r="L1660" s="185"/>
      <c r="M1660" s="16">
        <v>1657</v>
      </c>
      <c r="N1660" s="16">
        <f t="shared" si="182"/>
        <v>2.0431130409075571E-2</v>
      </c>
      <c r="O1660" s="16">
        <v>4</v>
      </c>
      <c r="P1660" s="16">
        <f t="shared" si="178"/>
        <v>9.1833785004516724</v>
      </c>
      <c r="Q1660" s="16">
        <f t="shared" si="183"/>
        <v>48.94491787668278</v>
      </c>
      <c r="R1660" s="113">
        <f t="shared" si="179"/>
        <v>329.49099999999999</v>
      </c>
      <c r="S1660" s="16">
        <f>IF(S1659=15800,15800,ROUND((((Q1660*60)/'Gearing Calculator'!$C$14)*'Track Data'!P1660),-2))</f>
        <v>13600</v>
      </c>
      <c r="T1660" s="16">
        <f t="shared" si="181"/>
        <v>4.4322975285970454</v>
      </c>
      <c r="U1660" s="16">
        <f>IF(AC1660=100,Braking!$AG$2354,IF(AC1660=50,Braking!$AG$1179,IF(AC1660=75,Braking!$AG$1767,0)))</f>
        <v>0</v>
      </c>
      <c r="V1660" s="16">
        <f>0.5*'Gearing Calculator'!$C$15*'Gearing Calculator'!$C$20*'Gearing Calculator'!$W$20*('Track Data'!Q1660^2)</f>
        <v>253.55083171350066</v>
      </c>
      <c r="W1660" s="16">
        <f>('Gearing Calculator'!$U$9*'Track Data'!T1660)+'Track Data'!V1660</f>
        <v>1433.4284338260341</v>
      </c>
      <c r="X1660" s="16">
        <f>('Gearing Calculator'!$U$9*9.81)*('Gearing Calculator'!$U$16/'Gearing Calculator'!$C$7)-(('Track Data'!W1660)*('Gearing Calculator'!$U$17/'Gearing Calculator'!$C$7))</f>
        <v>619.84590938587735</v>
      </c>
      <c r="Y1660" s="16">
        <f>('Gearing Calculator'!$U$9*9.81)*(('Gearing Calculator'!$C$7-'Gearing Calculator'!$U$16)/'Gearing Calculator'!$C$7)+(('Track Data'!W1660)*('Gearing Calculator'!$U$17/'Gearing Calculator'!$C$7))</f>
        <v>1991.5760906141227</v>
      </c>
      <c r="Z1660" s="16">
        <f>((X1660*COS('Gearing Calculator'!$C$21))/'Gearing Calculator'!$C$22)/2</f>
        <v>19.163675112623881</v>
      </c>
      <c r="AA1660" s="16">
        <f>Y1660/'Gearing Calculator'!$C$24</f>
        <v>27.809082063169527</v>
      </c>
      <c r="AB1660" s="16">
        <f t="shared" si="184"/>
        <v>271.28002182788885</v>
      </c>
      <c r="AC1660" s="16">
        <v>0</v>
      </c>
      <c r="AD1660" s="16">
        <v>0</v>
      </c>
      <c r="AE1660" s="16">
        <v>1657</v>
      </c>
      <c r="AF1660" s="16">
        <f>IF(AC1660=0,IF(O1660=6,INDEX(Acceleration!$V$4:$V$110,MATCH('Track Data'!S1660,Acceleration!$K$4:$K$110,0)),IF('Track Data'!O1660=5,INDEX(Acceleration!$U$4:$U$110,MATCH('Track Data'!S1660,Acceleration!$K$4:$K$110,0)),1)),U1660)</f>
        <v>1</v>
      </c>
      <c r="AG1660" s="16">
        <f>IF(AC1660=0,IF(O1660=4,INDEX(Acceleration!$T$4:$T$110,MATCH('Track Data'!S1660,Acceleration!$K$4:$K$110,0)),IF('Track Data'!O1660=3,INDEX(Acceleration!$S$4:$S$110,MATCH('Track Data'!S1660,Acceleration!$K$4:$K$110,0)),'Track Data'!AF1660)),'Track Data'!U1660)</f>
        <v>4.4322975285970454</v>
      </c>
      <c r="AH1660" s="16">
        <f>IF(AC1660=0,IF(O1660=2,INDEX(Acceleration!$R$4:$R$110,MATCH('Track Data'!S1660,Acceleration!$K$4:$K$110,0)),IF('Track Data'!O1660=1,INDEX(Acceleration!$Q$4:$Q$110,MATCH('Track Data'!S1660,Acceleration!$K$4:$K$110,0)),'Track Data'!AG1660)),'Track Data'!U1660)</f>
        <v>4.4322975285970454</v>
      </c>
    </row>
    <row r="1661" spans="2:34" x14ac:dyDescent="0.25">
      <c r="B1661" s="16">
        <v>242.096</v>
      </c>
      <c r="C1661" s="16">
        <v>8931</v>
      </c>
      <c r="D1661" s="16">
        <v>1658</v>
      </c>
      <c r="E1661" s="113">
        <v>194</v>
      </c>
      <c r="F1661" s="113">
        <v>192.9</v>
      </c>
      <c r="G1661" s="113">
        <v>190</v>
      </c>
      <c r="H1661" s="113">
        <f t="shared" si="180"/>
        <v>52.777777777777779</v>
      </c>
      <c r="I1661" s="113">
        <v>4</v>
      </c>
      <c r="J1661" s="113">
        <v>13.58</v>
      </c>
      <c r="K1661" s="113">
        <v>2.4</v>
      </c>
      <c r="L1661" s="185"/>
      <c r="M1661" s="16">
        <v>1658</v>
      </c>
      <c r="N1661" s="16">
        <f t="shared" si="182"/>
        <v>2.039343375111952E-2</v>
      </c>
      <c r="O1661" s="16">
        <v>4</v>
      </c>
      <c r="P1661" s="16">
        <f t="shared" si="178"/>
        <v>9.1833785004516724</v>
      </c>
      <c r="Q1661" s="16">
        <f t="shared" si="183"/>
        <v>49.035391106958819</v>
      </c>
      <c r="R1661" s="113">
        <f t="shared" si="179"/>
        <v>329.49099999999999</v>
      </c>
      <c r="S1661" s="16">
        <f>IF(S1660=15800,15800,ROUND((((Q1661*60)/'Gearing Calculator'!$C$14)*'Track Data'!P1661),-2))</f>
        <v>13700</v>
      </c>
      <c r="T1661" s="16">
        <f t="shared" si="181"/>
        <v>4.3864649846265227</v>
      </c>
      <c r="U1661" s="16">
        <f>IF(AC1661=100,Braking!$AG$2354,IF(AC1661=50,Braking!$AG$1179,IF(AC1661=75,Braking!$AG$1767,0)))</f>
        <v>0</v>
      </c>
      <c r="V1661" s="16">
        <f>0.5*'Gearing Calculator'!$C$15*'Gearing Calculator'!$C$20*'Gearing Calculator'!$W$20*('Track Data'!Q1661^2)</f>
        <v>254.4890604543541</v>
      </c>
      <c r="W1661" s="16">
        <f>('Gearing Calculator'!$U$9*'Track Data'!T1661)+'Track Data'!V1661</f>
        <v>1422.1660393619343</v>
      </c>
      <c r="X1661" s="16">
        <f>('Gearing Calculator'!$U$9*9.81)*('Gearing Calculator'!$U$16/'Gearing Calculator'!$C$7)-(('Track Data'!W1661)*('Gearing Calculator'!$U$17/'Gearing Calculator'!$C$7))</f>
        <v>625.98468351977374</v>
      </c>
      <c r="Y1661" s="16">
        <f>('Gearing Calculator'!$U$9*9.81)*(('Gearing Calculator'!$C$7-'Gearing Calculator'!$U$16)/'Gearing Calculator'!$C$7)+(('Track Data'!W1661)*('Gearing Calculator'!$U$17/'Gearing Calculator'!$C$7))</f>
        <v>1985.4373164802264</v>
      </c>
      <c r="Z1661" s="16">
        <f>((X1661*COS('Gearing Calculator'!$C$21))/'Gearing Calculator'!$C$22)/2</f>
        <v>19.353466593555527</v>
      </c>
      <c r="AA1661" s="16">
        <f>Y1661/'Gearing Calculator'!$C$24</f>
        <v>27.723364186528347</v>
      </c>
      <c r="AB1661" s="16">
        <f t="shared" si="184"/>
        <v>272.03492039286022</v>
      </c>
      <c r="AC1661" s="16">
        <v>0</v>
      </c>
      <c r="AD1661" s="16">
        <v>0</v>
      </c>
      <c r="AE1661" s="16">
        <v>1658</v>
      </c>
      <c r="AF1661" s="16">
        <f>IF(AC1661=0,IF(O1661=6,INDEX(Acceleration!$V$4:$V$110,MATCH('Track Data'!S1661,Acceleration!$K$4:$K$110,0)),IF('Track Data'!O1661=5,INDEX(Acceleration!$U$4:$U$110,MATCH('Track Data'!S1661,Acceleration!$K$4:$K$110,0)),1)),U1661)</f>
        <v>1</v>
      </c>
      <c r="AG1661" s="16">
        <f>IF(AC1661=0,IF(O1661=4,INDEX(Acceleration!$T$4:$T$110,MATCH('Track Data'!S1661,Acceleration!$K$4:$K$110,0)),IF('Track Data'!O1661=3,INDEX(Acceleration!$S$4:$S$110,MATCH('Track Data'!S1661,Acceleration!$K$4:$K$110,0)),'Track Data'!AF1661)),'Track Data'!U1661)</f>
        <v>4.3864649846265227</v>
      </c>
      <c r="AH1661" s="16">
        <f>IF(AC1661=0,IF(O1661=2,INDEX(Acceleration!$R$4:$R$110,MATCH('Track Data'!S1661,Acceleration!$K$4:$K$110,0)),IF('Track Data'!O1661=1,INDEX(Acceleration!$Q$4:$Q$110,MATCH('Track Data'!S1661,Acceleration!$K$4:$K$110,0)),'Track Data'!AG1661)),'Track Data'!U1661)</f>
        <v>4.3864649846265227</v>
      </c>
    </row>
    <row r="1662" spans="2:34" x14ac:dyDescent="0.25">
      <c r="B1662" s="16">
        <v>242.11500000000001</v>
      </c>
      <c r="C1662" s="16">
        <v>8932</v>
      </c>
      <c r="D1662" s="16">
        <v>1659</v>
      </c>
      <c r="E1662" s="113">
        <v>195</v>
      </c>
      <c r="F1662" s="113">
        <v>193.2</v>
      </c>
      <c r="G1662" s="113">
        <v>190.2</v>
      </c>
      <c r="H1662" s="113">
        <f t="shared" si="180"/>
        <v>52.833333333333329</v>
      </c>
      <c r="I1662" s="113">
        <v>3.5</v>
      </c>
      <c r="J1662" s="113">
        <v>14.63</v>
      </c>
      <c r="K1662" s="113">
        <v>1.3</v>
      </c>
      <c r="L1662" s="185"/>
      <c r="M1662" s="16">
        <v>1659</v>
      </c>
      <c r="N1662" s="16">
        <f t="shared" si="182"/>
        <v>2.0356331582386002E-2</v>
      </c>
      <c r="O1662" s="16">
        <v>4</v>
      </c>
      <c r="P1662" s="16">
        <f t="shared" si="178"/>
        <v>9.1833785004516724</v>
      </c>
      <c r="Q1662" s="16">
        <f t="shared" si="183"/>
        <v>49.124764742252651</v>
      </c>
      <c r="R1662" s="113">
        <f t="shared" si="179"/>
        <v>329.49099999999999</v>
      </c>
      <c r="S1662" s="16">
        <f>IF(S1661=15800,15800,ROUND((((Q1662*60)/'Gearing Calculator'!$C$14)*'Track Data'!P1662),-2))</f>
        <v>13700</v>
      </c>
      <c r="T1662" s="16">
        <f t="shared" si="181"/>
        <v>4.3864649846265227</v>
      </c>
      <c r="U1662" s="16">
        <f>IF(AC1662=100,Braking!$AG$2354,IF(AC1662=50,Braking!$AG$1179,IF(AC1662=75,Braking!$AG$1767,0)))</f>
        <v>0</v>
      </c>
      <c r="V1662" s="16">
        <f>0.5*'Gearing Calculator'!$C$15*'Gearing Calculator'!$C$20*'Gearing Calculator'!$W$20*('Track Data'!Q1662^2)</f>
        <v>255.41758736229983</v>
      </c>
      <c r="W1662" s="16">
        <f>('Gearing Calculator'!$U$9*'Track Data'!T1662)+'Track Data'!V1662</f>
        <v>1423.09456626988</v>
      </c>
      <c r="X1662" s="16">
        <f>('Gearing Calculator'!$U$9*9.81)*('Gearing Calculator'!$U$16/'Gearing Calculator'!$C$7)-(('Track Data'!W1662)*('Gearing Calculator'!$U$17/'Gearing Calculator'!$C$7))</f>
        <v>625.47857294237451</v>
      </c>
      <c r="Y1662" s="16">
        <f>('Gearing Calculator'!$U$9*9.81)*(('Gearing Calculator'!$C$7-'Gearing Calculator'!$U$16)/'Gearing Calculator'!$C$7)+(('Track Data'!W1662)*('Gearing Calculator'!$U$17/'Gearing Calculator'!$C$7))</f>
        <v>1985.9434270576255</v>
      </c>
      <c r="Z1662" s="16">
        <f>((X1662*COS('Gearing Calculator'!$C$21))/'Gearing Calculator'!$C$22)/2</f>
        <v>19.337819255193722</v>
      </c>
      <c r="AA1662" s="16">
        <f>Y1662/'Gearing Calculator'!$C$24</f>
        <v>27.730431187707094</v>
      </c>
      <c r="AB1662" s="16">
        <f t="shared" si="184"/>
        <v>272.96344730080591</v>
      </c>
      <c r="AC1662" s="16">
        <v>0</v>
      </c>
      <c r="AD1662" s="16">
        <v>0</v>
      </c>
      <c r="AE1662" s="16">
        <v>1659</v>
      </c>
      <c r="AF1662" s="16">
        <f>IF(AC1662=0,IF(O1662=6,INDEX(Acceleration!$V$4:$V$110,MATCH('Track Data'!S1662,Acceleration!$K$4:$K$110,0)),IF('Track Data'!O1662=5,INDEX(Acceleration!$U$4:$U$110,MATCH('Track Data'!S1662,Acceleration!$K$4:$K$110,0)),1)),U1662)</f>
        <v>1</v>
      </c>
      <c r="AG1662" s="16">
        <f>IF(AC1662=0,IF(O1662=4,INDEX(Acceleration!$T$4:$T$110,MATCH('Track Data'!S1662,Acceleration!$K$4:$K$110,0)),IF('Track Data'!O1662=3,INDEX(Acceleration!$S$4:$S$110,MATCH('Track Data'!S1662,Acceleration!$K$4:$K$110,0)),'Track Data'!AF1662)),'Track Data'!U1662)</f>
        <v>4.3864649846265227</v>
      </c>
      <c r="AH1662" s="16">
        <f>IF(AC1662=0,IF(O1662=2,INDEX(Acceleration!$R$4:$R$110,MATCH('Track Data'!S1662,Acceleration!$K$4:$K$110,0)),IF('Track Data'!O1662=1,INDEX(Acceleration!$Q$4:$Q$110,MATCH('Track Data'!S1662,Acceleration!$K$4:$K$110,0)),'Track Data'!AG1662)),'Track Data'!U1662)</f>
        <v>4.3864649846265227</v>
      </c>
    </row>
    <row r="1663" spans="2:34" x14ac:dyDescent="0.25">
      <c r="B1663" s="16">
        <v>242.13300000000001</v>
      </c>
      <c r="C1663" s="16">
        <v>8933</v>
      </c>
      <c r="D1663" s="16">
        <v>1660</v>
      </c>
      <c r="E1663" s="113">
        <v>195</v>
      </c>
      <c r="F1663" s="113">
        <v>193.4</v>
      </c>
      <c r="G1663" s="113">
        <v>190.4</v>
      </c>
      <c r="H1663" s="113">
        <f t="shared" si="180"/>
        <v>52.888888888888886</v>
      </c>
      <c r="I1663" s="113">
        <v>3.1</v>
      </c>
      <c r="J1663" s="113">
        <v>15.14</v>
      </c>
      <c r="K1663" s="113">
        <v>0.2</v>
      </c>
      <c r="L1663" s="185"/>
      <c r="M1663" s="16">
        <v>1660</v>
      </c>
      <c r="N1663" s="16">
        <f t="shared" si="182"/>
        <v>2.0319431181683459E-2</v>
      </c>
      <c r="O1663" s="16">
        <v>4</v>
      </c>
      <c r="P1663" s="16">
        <f t="shared" si="178"/>
        <v>9.1833785004516724</v>
      </c>
      <c r="Q1663" s="16">
        <f t="shared" si="183"/>
        <v>49.213976073376983</v>
      </c>
      <c r="R1663" s="113">
        <f t="shared" si="179"/>
        <v>329.49099999999999</v>
      </c>
      <c r="S1663" s="16">
        <f>IF(S1662=15800,15800,ROUND((((Q1663*60)/'Gearing Calculator'!$C$14)*'Track Data'!P1663),-2))</f>
        <v>13700</v>
      </c>
      <c r="T1663" s="16">
        <f t="shared" si="181"/>
        <v>4.3864649846265227</v>
      </c>
      <c r="U1663" s="16">
        <f>IF(AC1663=100,Braking!$AG$2354,IF(AC1663=50,Braking!$AG$1179,IF(AC1663=75,Braking!$AG$1767,0)))</f>
        <v>0</v>
      </c>
      <c r="V1663" s="16">
        <f>0.5*'Gearing Calculator'!$C$15*'Gearing Calculator'!$C$20*'Gearing Calculator'!$W$20*('Track Data'!Q1663^2)</f>
        <v>256.34611427024561</v>
      </c>
      <c r="W1663" s="16">
        <f>('Gearing Calculator'!$U$9*'Track Data'!T1663)+'Track Data'!V1663</f>
        <v>1424.0230931778258</v>
      </c>
      <c r="X1663" s="16">
        <f>('Gearing Calculator'!$U$9*9.81)*('Gearing Calculator'!$U$16/'Gearing Calculator'!$C$7)-(('Track Data'!W1663)*('Gearing Calculator'!$U$17/'Gearing Calculator'!$C$7))</f>
        <v>624.97246236497517</v>
      </c>
      <c r="Y1663" s="16">
        <f>('Gearing Calculator'!$U$9*9.81)*(('Gearing Calculator'!$C$7-'Gearing Calculator'!$U$16)/'Gearing Calculator'!$C$7)+(('Track Data'!W1663)*('Gearing Calculator'!$U$17/'Gearing Calculator'!$C$7))</f>
        <v>1986.4495376350249</v>
      </c>
      <c r="Z1663" s="16">
        <f>((X1663*COS('Gearing Calculator'!$C$21))/'Gearing Calculator'!$C$22)/2</f>
        <v>19.322171916831913</v>
      </c>
      <c r="AA1663" s="16">
        <f>Y1663/'Gearing Calculator'!$C$24</f>
        <v>27.737498188885841</v>
      </c>
      <c r="AB1663" s="16">
        <f t="shared" si="184"/>
        <v>273.89197420875172</v>
      </c>
      <c r="AC1663" s="16">
        <v>0</v>
      </c>
      <c r="AD1663" s="16">
        <v>0</v>
      </c>
      <c r="AE1663" s="16">
        <v>1660</v>
      </c>
      <c r="AF1663" s="16">
        <f>IF(AC1663=0,IF(O1663=6,INDEX(Acceleration!$V$4:$V$110,MATCH('Track Data'!S1663,Acceleration!$K$4:$K$110,0)),IF('Track Data'!O1663=5,INDEX(Acceleration!$U$4:$U$110,MATCH('Track Data'!S1663,Acceleration!$K$4:$K$110,0)),1)),U1663)</f>
        <v>1</v>
      </c>
      <c r="AG1663" s="16">
        <f>IF(AC1663=0,IF(O1663=4,INDEX(Acceleration!$T$4:$T$110,MATCH('Track Data'!S1663,Acceleration!$K$4:$K$110,0)),IF('Track Data'!O1663=3,INDEX(Acceleration!$S$4:$S$110,MATCH('Track Data'!S1663,Acceleration!$K$4:$K$110,0)),'Track Data'!AF1663)),'Track Data'!U1663)</f>
        <v>4.3864649846265227</v>
      </c>
      <c r="AH1663" s="16">
        <f>IF(AC1663=0,IF(O1663=2,INDEX(Acceleration!$R$4:$R$110,MATCH('Track Data'!S1663,Acceleration!$K$4:$K$110,0)),IF('Track Data'!O1663=1,INDEX(Acceleration!$Q$4:$Q$110,MATCH('Track Data'!S1663,Acceleration!$K$4:$K$110,0)),'Track Data'!AG1663)),'Track Data'!U1663)</f>
        <v>4.3864649846265227</v>
      </c>
    </row>
    <row r="1664" spans="2:34" x14ac:dyDescent="0.25">
      <c r="B1664" s="16">
        <v>242.15199999999999</v>
      </c>
      <c r="C1664" s="16">
        <v>8934</v>
      </c>
      <c r="D1664" s="16">
        <v>1661</v>
      </c>
      <c r="E1664" s="113">
        <v>194</v>
      </c>
      <c r="F1664" s="113">
        <v>193.5</v>
      </c>
      <c r="G1664" s="113">
        <v>190.5</v>
      </c>
      <c r="H1664" s="113">
        <f t="shared" si="180"/>
        <v>52.916666666666664</v>
      </c>
      <c r="I1664" s="113">
        <v>3.5</v>
      </c>
      <c r="J1664" s="113">
        <v>15.31</v>
      </c>
      <c r="K1664" s="113">
        <v>-0.9</v>
      </c>
      <c r="L1664" s="185"/>
      <c r="M1664" s="16">
        <v>1661</v>
      </c>
      <c r="N1664" s="16">
        <f t="shared" si="182"/>
        <v>2.0282730726867721E-2</v>
      </c>
      <c r="O1664" s="16">
        <v>4</v>
      </c>
      <c r="P1664" s="16">
        <f t="shared" si="178"/>
        <v>9.1833785004516724</v>
      </c>
      <c r="Q1664" s="16">
        <f t="shared" si="183"/>
        <v>49.303025981375377</v>
      </c>
      <c r="R1664" s="113">
        <f t="shared" si="179"/>
        <v>329.49099999999999</v>
      </c>
      <c r="S1664" s="16">
        <f>IF(S1663=15800,15800,ROUND((((Q1664*60)/'Gearing Calculator'!$C$14)*'Track Data'!P1664),-2))</f>
        <v>13700</v>
      </c>
      <c r="T1664" s="16">
        <f t="shared" si="181"/>
        <v>4.3864649846265227</v>
      </c>
      <c r="U1664" s="16">
        <f>IF(AC1664=100,Braking!$AG$2354,IF(AC1664=50,Braking!$AG$1179,IF(AC1664=75,Braking!$AG$1767,0)))</f>
        <v>0</v>
      </c>
      <c r="V1664" s="16">
        <f>0.5*'Gearing Calculator'!$C$15*'Gearing Calculator'!$C$20*'Gearing Calculator'!$W$20*('Track Data'!Q1664^2)</f>
        <v>257.27464117819136</v>
      </c>
      <c r="W1664" s="16">
        <f>('Gearing Calculator'!$U$9*'Track Data'!T1664)+'Track Data'!V1664</f>
        <v>1424.9516200857715</v>
      </c>
      <c r="X1664" s="16">
        <f>('Gearing Calculator'!$U$9*9.81)*('Gearing Calculator'!$U$16/'Gearing Calculator'!$C$7)-(('Track Data'!W1664)*('Gearing Calculator'!$U$17/'Gearing Calculator'!$C$7))</f>
        <v>624.46635178757595</v>
      </c>
      <c r="Y1664" s="16">
        <f>('Gearing Calculator'!$U$9*9.81)*(('Gearing Calculator'!$C$7-'Gearing Calculator'!$U$16)/'Gearing Calculator'!$C$7)+(('Track Data'!W1664)*('Gearing Calculator'!$U$17/'Gearing Calculator'!$C$7))</f>
        <v>1986.955648212424</v>
      </c>
      <c r="Z1664" s="16">
        <f>((X1664*COS('Gearing Calculator'!$C$21))/'Gearing Calculator'!$C$22)/2</f>
        <v>19.30652457847011</v>
      </c>
      <c r="AA1664" s="16">
        <f>Y1664/'Gearing Calculator'!$C$24</f>
        <v>27.744565190064584</v>
      </c>
      <c r="AB1664" s="16">
        <f t="shared" si="184"/>
        <v>274.82050111669747</v>
      </c>
      <c r="AC1664" s="16">
        <v>0</v>
      </c>
      <c r="AD1664" s="16">
        <v>0</v>
      </c>
      <c r="AE1664" s="16">
        <v>1661</v>
      </c>
      <c r="AF1664" s="16">
        <f>IF(AC1664=0,IF(O1664=6,INDEX(Acceleration!$V$4:$V$110,MATCH('Track Data'!S1664,Acceleration!$K$4:$K$110,0)),IF('Track Data'!O1664=5,INDEX(Acceleration!$U$4:$U$110,MATCH('Track Data'!S1664,Acceleration!$K$4:$K$110,0)),1)),U1664)</f>
        <v>1</v>
      </c>
      <c r="AG1664" s="16">
        <f>IF(AC1664=0,IF(O1664=4,INDEX(Acceleration!$T$4:$T$110,MATCH('Track Data'!S1664,Acceleration!$K$4:$K$110,0)),IF('Track Data'!O1664=3,INDEX(Acceleration!$S$4:$S$110,MATCH('Track Data'!S1664,Acceleration!$K$4:$K$110,0)),'Track Data'!AF1664)),'Track Data'!U1664)</f>
        <v>4.3864649846265227</v>
      </c>
      <c r="AH1664" s="16">
        <f>IF(AC1664=0,IF(O1664=2,INDEX(Acceleration!$R$4:$R$110,MATCH('Track Data'!S1664,Acceleration!$K$4:$K$110,0)),IF('Track Data'!O1664=1,INDEX(Acceleration!$Q$4:$Q$110,MATCH('Track Data'!S1664,Acceleration!$K$4:$K$110,0)),'Track Data'!AG1664)),'Track Data'!U1664)</f>
        <v>4.3864649846265227</v>
      </c>
    </row>
    <row r="1665" spans="2:34" x14ac:dyDescent="0.25">
      <c r="B1665" s="16">
        <v>242.17099999999999</v>
      </c>
      <c r="C1665" s="16">
        <v>8935</v>
      </c>
      <c r="D1665" s="16">
        <v>1662</v>
      </c>
      <c r="E1665" s="113">
        <v>194</v>
      </c>
      <c r="F1665" s="113">
        <v>193.7</v>
      </c>
      <c r="G1665" s="113">
        <v>190.7</v>
      </c>
      <c r="H1665" s="113">
        <f t="shared" si="180"/>
        <v>52.972222222222214</v>
      </c>
      <c r="I1665" s="113">
        <v>5.6</v>
      </c>
      <c r="J1665" s="113">
        <v>15.56</v>
      </c>
      <c r="K1665" s="113">
        <v>-1.2</v>
      </c>
      <c r="L1665" s="185"/>
      <c r="M1665" s="16">
        <v>1662</v>
      </c>
      <c r="N1665" s="16">
        <f t="shared" si="182"/>
        <v>2.0246228418749519E-2</v>
      </c>
      <c r="O1665" s="16">
        <v>4</v>
      </c>
      <c r="P1665" s="16">
        <f t="shared" si="178"/>
        <v>9.1833785004516724</v>
      </c>
      <c r="Q1665" s="16">
        <f t="shared" si="183"/>
        <v>49.391915339349097</v>
      </c>
      <c r="R1665" s="113">
        <f t="shared" si="179"/>
        <v>329.49099999999999</v>
      </c>
      <c r="S1665" s="16">
        <f>IF(S1664=15800,15800,ROUND((((Q1665*60)/'Gearing Calculator'!$C$14)*'Track Data'!P1665),-2))</f>
        <v>13800</v>
      </c>
      <c r="T1665" s="16">
        <f t="shared" si="181"/>
        <v>4.3638993703129962</v>
      </c>
      <c r="U1665" s="16">
        <f>IF(AC1665=100,Braking!$AG$2354,IF(AC1665=50,Braking!$AG$1179,IF(AC1665=75,Braking!$AG$1767,0)))</f>
        <v>0</v>
      </c>
      <c r="V1665" s="16">
        <f>0.5*'Gearing Calculator'!$C$15*'Gearing Calculator'!$C$20*'Gearing Calculator'!$W$20*('Track Data'!Q1665^2)</f>
        <v>258.20316808613711</v>
      </c>
      <c r="W1665" s="16">
        <f>('Gearing Calculator'!$U$9*'Track Data'!T1665)+'Track Data'!V1665</f>
        <v>1419.8731804634567</v>
      </c>
      <c r="X1665" s="16">
        <f>('Gearing Calculator'!$U$9*9.81)*('Gearing Calculator'!$U$16/'Gearing Calculator'!$C$7)-(('Track Data'!W1665)*('Gearing Calculator'!$U$17/'Gearing Calculator'!$C$7))</f>
        <v>627.23444820733778</v>
      </c>
      <c r="Y1665" s="16">
        <f>('Gearing Calculator'!$U$9*9.81)*(('Gearing Calculator'!$C$7-'Gearing Calculator'!$U$16)/'Gearing Calculator'!$C$7)+(('Track Data'!W1665)*('Gearing Calculator'!$U$17/'Gearing Calculator'!$C$7))</f>
        <v>1984.1875517926624</v>
      </c>
      <c r="Z1665" s="16">
        <f>((X1665*COS('Gearing Calculator'!$C$21))/'Gearing Calculator'!$C$22)/2</f>
        <v>19.392105365026062</v>
      </c>
      <c r="AA1665" s="16">
        <f>Y1665/'Gearing Calculator'!$C$24</f>
        <v>27.705913279721468</v>
      </c>
      <c r="AB1665" s="16">
        <f t="shared" si="184"/>
        <v>275.65876556738908</v>
      </c>
      <c r="AC1665" s="16">
        <v>0</v>
      </c>
      <c r="AD1665" s="16">
        <v>0</v>
      </c>
      <c r="AE1665" s="16">
        <v>1662</v>
      </c>
      <c r="AF1665" s="16">
        <f>IF(AC1665=0,IF(O1665=6,INDEX(Acceleration!$V$4:$V$110,MATCH('Track Data'!S1665,Acceleration!$K$4:$K$110,0)),IF('Track Data'!O1665=5,INDEX(Acceleration!$U$4:$U$110,MATCH('Track Data'!S1665,Acceleration!$K$4:$K$110,0)),1)),U1665)</f>
        <v>1</v>
      </c>
      <c r="AG1665" s="16">
        <f>IF(AC1665=0,IF(O1665=4,INDEX(Acceleration!$T$4:$T$110,MATCH('Track Data'!S1665,Acceleration!$K$4:$K$110,0)),IF('Track Data'!O1665=3,INDEX(Acceleration!$S$4:$S$110,MATCH('Track Data'!S1665,Acceleration!$K$4:$K$110,0)),'Track Data'!AF1665)),'Track Data'!U1665)</f>
        <v>4.3638993703129962</v>
      </c>
      <c r="AH1665" s="16">
        <f>IF(AC1665=0,IF(O1665=2,INDEX(Acceleration!$R$4:$R$110,MATCH('Track Data'!S1665,Acceleration!$K$4:$K$110,0)),IF('Track Data'!O1665=1,INDEX(Acceleration!$Q$4:$Q$110,MATCH('Track Data'!S1665,Acceleration!$K$4:$K$110,0)),'Track Data'!AG1665)),'Track Data'!U1665)</f>
        <v>4.3638993703129962</v>
      </c>
    </row>
    <row r="1666" spans="2:34" x14ac:dyDescent="0.25">
      <c r="B1666" s="16">
        <v>242.18899999999999</v>
      </c>
      <c r="C1666" s="16">
        <v>8936</v>
      </c>
      <c r="D1666" s="16">
        <v>1663</v>
      </c>
      <c r="E1666" s="113">
        <v>193</v>
      </c>
      <c r="F1666" s="113">
        <v>193.9</v>
      </c>
      <c r="G1666" s="113">
        <v>190.8</v>
      </c>
      <c r="H1666" s="113">
        <f t="shared" si="180"/>
        <v>53</v>
      </c>
      <c r="I1666" s="113">
        <v>6.8</v>
      </c>
      <c r="J1666" s="113">
        <v>16.690000000000001</v>
      </c>
      <c r="K1666" s="113">
        <v>-1.2</v>
      </c>
      <c r="L1666" s="185"/>
      <c r="M1666" s="16">
        <v>1663</v>
      </c>
      <c r="N1666" s="16">
        <f t="shared" si="182"/>
        <v>2.0210108752522719E-2</v>
      </c>
      <c r="O1666" s="16">
        <v>4</v>
      </c>
      <c r="P1666" s="16">
        <f t="shared" si="178"/>
        <v>9.1833785004516724</v>
      </c>
      <c r="Q1666" s="16">
        <f t="shared" si="183"/>
        <v>49.480188961139334</v>
      </c>
      <c r="R1666" s="113">
        <f t="shared" si="179"/>
        <v>329.49099999999999</v>
      </c>
      <c r="S1666" s="16">
        <f>IF(S1665=15800,15800,ROUND((((Q1666*60)/'Gearing Calculator'!$C$14)*'Track Data'!P1666),-2))</f>
        <v>13800</v>
      </c>
      <c r="T1666" s="16">
        <f t="shared" si="181"/>
        <v>4.3638993703129962</v>
      </c>
      <c r="U1666" s="16">
        <f>IF(AC1666=100,Braking!$AG$2354,IF(AC1666=50,Braking!$AG$1179,IF(AC1666=75,Braking!$AG$1767,0)))</f>
        <v>0</v>
      </c>
      <c r="V1666" s="16">
        <f>0.5*'Gearing Calculator'!$C$15*'Gearing Calculator'!$C$20*'Gearing Calculator'!$W$20*('Track Data'!Q1666^2)</f>
        <v>259.12691830484499</v>
      </c>
      <c r="W1666" s="16">
        <f>('Gearing Calculator'!$U$9*'Track Data'!T1666)+'Track Data'!V1666</f>
        <v>1420.7969306821647</v>
      </c>
      <c r="X1666" s="16">
        <f>('Gearing Calculator'!$U$9*9.81)*('Gearing Calculator'!$U$16/'Gearing Calculator'!$C$7)-(('Track Data'!W1666)*('Gearing Calculator'!$U$17/'Gearing Calculator'!$C$7))</f>
        <v>626.73094125179102</v>
      </c>
      <c r="Y1666" s="16">
        <f>('Gearing Calculator'!$U$9*9.81)*(('Gearing Calculator'!$C$7-'Gearing Calculator'!$U$16)/'Gearing Calculator'!$C$7)+(('Track Data'!W1666)*('Gearing Calculator'!$U$17/'Gearing Calculator'!$C$7))</f>
        <v>1984.6910587482089</v>
      </c>
      <c r="Z1666" s="16">
        <f>((X1666*COS('Gearing Calculator'!$C$21))/'Gearing Calculator'!$C$22)/2</f>
        <v>19.376538522417384</v>
      </c>
      <c r="AA1666" s="16">
        <f>Y1666/'Gearing Calculator'!$C$24</f>
        <v>27.712943925606481</v>
      </c>
      <c r="AB1666" s="16">
        <f t="shared" si="184"/>
        <v>276.58251578609696</v>
      </c>
      <c r="AC1666" s="16">
        <v>0</v>
      </c>
      <c r="AD1666" s="16">
        <v>0</v>
      </c>
      <c r="AE1666" s="16">
        <v>1663</v>
      </c>
      <c r="AF1666" s="16">
        <f>IF(AC1666=0,IF(O1666=6,INDEX(Acceleration!$V$4:$V$110,MATCH('Track Data'!S1666,Acceleration!$K$4:$K$110,0)),IF('Track Data'!O1666=5,INDEX(Acceleration!$U$4:$U$110,MATCH('Track Data'!S1666,Acceleration!$K$4:$K$110,0)),1)),U1666)</f>
        <v>1</v>
      </c>
      <c r="AG1666" s="16">
        <f>IF(AC1666=0,IF(O1666=4,INDEX(Acceleration!$T$4:$T$110,MATCH('Track Data'!S1666,Acceleration!$K$4:$K$110,0)),IF('Track Data'!O1666=3,INDEX(Acceleration!$S$4:$S$110,MATCH('Track Data'!S1666,Acceleration!$K$4:$K$110,0)),'Track Data'!AF1666)),'Track Data'!U1666)</f>
        <v>4.3638993703129962</v>
      </c>
      <c r="AH1666" s="16">
        <f>IF(AC1666=0,IF(O1666=2,INDEX(Acceleration!$R$4:$R$110,MATCH('Track Data'!S1666,Acceleration!$K$4:$K$110,0)),IF('Track Data'!O1666=1,INDEX(Acceleration!$Q$4:$Q$110,MATCH('Track Data'!S1666,Acceleration!$K$4:$K$110,0)),'Track Data'!AG1666)),'Track Data'!U1666)</f>
        <v>4.3638993703129962</v>
      </c>
    </row>
    <row r="1667" spans="2:34" x14ac:dyDescent="0.25">
      <c r="B1667" s="16">
        <v>242.208</v>
      </c>
      <c r="C1667" s="16">
        <v>8937</v>
      </c>
      <c r="D1667" s="16">
        <v>1664</v>
      </c>
      <c r="E1667" s="113">
        <v>193</v>
      </c>
      <c r="F1667" s="113">
        <v>194.2</v>
      </c>
      <c r="G1667" s="113">
        <v>190.9</v>
      </c>
      <c r="H1667" s="113">
        <f t="shared" si="180"/>
        <v>53.027777777777779</v>
      </c>
      <c r="I1667" s="113">
        <v>7</v>
      </c>
      <c r="J1667" s="113">
        <v>21.41</v>
      </c>
      <c r="K1667" s="113">
        <v>-1.2</v>
      </c>
      <c r="L1667" s="185"/>
      <c r="M1667" s="16">
        <v>1664</v>
      </c>
      <c r="N1667" s="16">
        <f t="shared" si="182"/>
        <v>2.0174181713662032E-2</v>
      </c>
      <c r="O1667" s="16">
        <v>4</v>
      </c>
      <c r="P1667" s="16">
        <f t="shared" si="178"/>
        <v>9.1833785004516724</v>
      </c>
      <c r="Q1667" s="16">
        <f t="shared" si="183"/>
        <v>49.568305381268388</v>
      </c>
      <c r="R1667" s="113">
        <f t="shared" si="179"/>
        <v>329.49099999999999</v>
      </c>
      <c r="S1667" s="16">
        <f>IF(S1666=15800,15800,ROUND((((Q1667*60)/'Gearing Calculator'!$C$14)*'Track Data'!P1667),-2))</f>
        <v>13800</v>
      </c>
      <c r="T1667" s="16">
        <f t="shared" si="181"/>
        <v>4.3638993703129962</v>
      </c>
      <c r="U1667" s="16">
        <f>IF(AC1667=100,Braking!$AG$2354,IF(AC1667=50,Braking!$AG$1179,IF(AC1667=75,Braking!$AG$1767,0)))</f>
        <v>0</v>
      </c>
      <c r="V1667" s="16">
        <f>0.5*'Gearing Calculator'!$C$15*'Gearing Calculator'!$C$20*'Gearing Calculator'!$W$20*('Track Data'!Q1667^2)</f>
        <v>260.05066852355282</v>
      </c>
      <c r="W1667" s="16">
        <f>('Gearing Calculator'!$U$9*'Track Data'!T1667)+'Track Data'!V1667</f>
        <v>1421.7206809008724</v>
      </c>
      <c r="X1667" s="16">
        <f>('Gearing Calculator'!$U$9*9.81)*('Gearing Calculator'!$U$16/'Gearing Calculator'!$C$7)-(('Track Data'!W1667)*('Gearing Calculator'!$U$17/'Gearing Calculator'!$C$7))</f>
        <v>626.22743429624438</v>
      </c>
      <c r="Y1667" s="16">
        <f>('Gearing Calculator'!$U$9*9.81)*(('Gearing Calculator'!$C$7-'Gearing Calculator'!$U$16)/'Gearing Calculator'!$C$7)+(('Track Data'!W1667)*('Gearing Calculator'!$U$17/'Gearing Calculator'!$C$7))</f>
        <v>1985.1945657037556</v>
      </c>
      <c r="Z1667" s="16">
        <f>((X1667*COS('Gearing Calculator'!$C$21))/'Gearing Calculator'!$C$22)/2</f>
        <v>19.360971679808706</v>
      </c>
      <c r="AA1667" s="16">
        <f>Y1667/'Gearing Calculator'!$C$24</f>
        <v>27.719974571491498</v>
      </c>
      <c r="AB1667" s="16">
        <f t="shared" si="184"/>
        <v>277.50626600480479</v>
      </c>
      <c r="AC1667" s="16">
        <v>0</v>
      </c>
      <c r="AD1667" s="16">
        <v>0</v>
      </c>
      <c r="AE1667" s="16">
        <v>1664</v>
      </c>
      <c r="AF1667" s="16">
        <f>IF(AC1667=0,IF(O1667=6,INDEX(Acceleration!$V$4:$V$110,MATCH('Track Data'!S1667,Acceleration!$K$4:$K$110,0)),IF('Track Data'!O1667=5,INDEX(Acceleration!$U$4:$U$110,MATCH('Track Data'!S1667,Acceleration!$K$4:$K$110,0)),1)),U1667)</f>
        <v>1</v>
      </c>
      <c r="AG1667" s="16">
        <f>IF(AC1667=0,IF(O1667=4,INDEX(Acceleration!$T$4:$T$110,MATCH('Track Data'!S1667,Acceleration!$K$4:$K$110,0)),IF('Track Data'!O1667=3,INDEX(Acceleration!$S$4:$S$110,MATCH('Track Data'!S1667,Acceleration!$K$4:$K$110,0)),'Track Data'!AF1667)),'Track Data'!U1667)</f>
        <v>4.3638993703129962</v>
      </c>
      <c r="AH1667" s="16">
        <f>IF(AC1667=0,IF(O1667=2,INDEX(Acceleration!$R$4:$R$110,MATCH('Track Data'!S1667,Acceleration!$K$4:$K$110,0)),IF('Track Data'!O1667=1,INDEX(Acceleration!$Q$4:$Q$110,MATCH('Track Data'!S1667,Acceleration!$K$4:$K$110,0)),'Track Data'!AG1667)),'Track Data'!U1667)</f>
        <v>4.3638993703129962</v>
      </c>
    </row>
    <row r="1668" spans="2:34" x14ac:dyDescent="0.25">
      <c r="B1668" s="16">
        <v>242.226</v>
      </c>
      <c r="C1668" s="16">
        <v>8938</v>
      </c>
      <c r="D1668" s="16">
        <v>1665</v>
      </c>
      <c r="E1668" s="113">
        <v>194</v>
      </c>
      <c r="F1668" s="113">
        <v>194.4</v>
      </c>
      <c r="G1668" s="113">
        <v>191.1</v>
      </c>
      <c r="H1668" s="113">
        <f t="shared" si="180"/>
        <v>53.083333333333329</v>
      </c>
      <c r="I1668" s="113">
        <v>5.0999999999999996</v>
      </c>
      <c r="J1668" s="113">
        <v>25.82</v>
      </c>
      <c r="K1668" s="113">
        <v>-1.2</v>
      </c>
      <c r="L1668" s="185"/>
      <c r="M1668" s="16">
        <v>1665</v>
      </c>
      <c r="N1668" s="16">
        <f t="shared" si="182"/>
        <v>2.0138445596085509E-2</v>
      </c>
      <c r="O1668" s="16">
        <v>4</v>
      </c>
      <c r="P1668" s="16">
        <f t="shared" ref="P1668:P1731" si="185">VLOOKUP(O1668,$AJ$5:$AK$10,2,FALSE)</f>
        <v>9.1833785004516724</v>
      </c>
      <c r="Q1668" s="16">
        <f t="shared" si="183"/>
        <v>49.656265436612394</v>
      </c>
      <c r="R1668" s="113">
        <f t="shared" ref="R1668:R1731" si="186">VLOOKUP(O1668,$AJ$5:$AL$10,3,FALSE)</f>
        <v>329.49099999999999</v>
      </c>
      <c r="S1668" s="16">
        <f>IF(S1667=15800,15800,ROUND((((Q1668*60)/'Gearing Calculator'!$C$14)*'Track Data'!P1668),-2))</f>
        <v>13800</v>
      </c>
      <c r="T1668" s="16">
        <f t="shared" si="181"/>
        <v>4.3638993703129962</v>
      </c>
      <c r="U1668" s="16">
        <f>IF(AC1668=100,Braking!$AG$2354,IF(AC1668=50,Braking!$AG$1179,IF(AC1668=75,Braking!$AG$1767,0)))</f>
        <v>0</v>
      </c>
      <c r="V1668" s="16">
        <f>0.5*'Gearing Calculator'!$C$15*'Gearing Calculator'!$C$20*'Gearing Calculator'!$W$20*('Track Data'!Q1668^2)</f>
        <v>260.9744187422607</v>
      </c>
      <c r="W1668" s="16">
        <f>('Gearing Calculator'!$U$9*'Track Data'!T1668)+'Track Data'!V1668</f>
        <v>1422.6444311195803</v>
      </c>
      <c r="X1668" s="16">
        <f>('Gearing Calculator'!$U$9*9.81)*('Gearing Calculator'!$U$16/'Gearing Calculator'!$C$7)-(('Track Data'!W1668)*('Gearing Calculator'!$U$17/'Gearing Calculator'!$C$7))</f>
        <v>625.72392734069763</v>
      </c>
      <c r="Y1668" s="16">
        <f>('Gearing Calculator'!$U$9*9.81)*(('Gearing Calculator'!$C$7-'Gearing Calculator'!$U$16)/'Gearing Calculator'!$C$7)+(('Track Data'!W1668)*('Gearing Calculator'!$U$17/'Gearing Calculator'!$C$7))</f>
        <v>1985.6980726593024</v>
      </c>
      <c r="Z1668" s="16">
        <f>((X1668*COS('Gearing Calculator'!$C$21))/'Gearing Calculator'!$C$22)/2</f>
        <v>19.345404837200025</v>
      </c>
      <c r="AA1668" s="16">
        <f>Y1668/'Gearing Calculator'!$C$24</f>
        <v>27.727005217376519</v>
      </c>
      <c r="AB1668" s="16">
        <f t="shared" si="184"/>
        <v>278.43001622351267</v>
      </c>
      <c r="AC1668" s="16">
        <v>0</v>
      </c>
      <c r="AD1668" s="16">
        <v>0</v>
      </c>
      <c r="AE1668" s="16">
        <v>1665</v>
      </c>
      <c r="AF1668" s="16">
        <f>IF(AC1668=0,IF(O1668=6,INDEX(Acceleration!$V$4:$V$110,MATCH('Track Data'!S1668,Acceleration!$K$4:$K$110,0)),IF('Track Data'!O1668=5,INDEX(Acceleration!$U$4:$U$110,MATCH('Track Data'!S1668,Acceleration!$K$4:$K$110,0)),1)),U1668)</f>
        <v>1</v>
      </c>
      <c r="AG1668" s="16">
        <f>IF(AC1668=0,IF(O1668=4,INDEX(Acceleration!$T$4:$T$110,MATCH('Track Data'!S1668,Acceleration!$K$4:$K$110,0)),IF('Track Data'!O1668=3,INDEX(Acceleration!$S$4:$S$110,MATCH('Track Data'!S1668,Acceleration!$K$4:$K$110,0)),'Track Data'!AF1668)),'Track Data'!U1668)</f>
        <v>4.3638993703129962</v>
      </c>
      <c r="AH1668" s="16">
        <f>IF(AC1668=0,IF(O1668=2,INDEX(Acceleration!$R$4:$R$110,MATCH('Track Data'!S1668,Acceleration!$K$4:$K$110,0)),IF('Track Data'!O1668=1,INDEX(Acceleration!$Q$4:$Q$110,MATCH('Track Data'!S1668,Acceleration!$K$4:$K$110,0)),'Track Data'!AG1668)),'Track Data'!U1668)</f>
        <v>4.3638993703129962</v>
      </c>
    </row>
    <row r="1669" spans="2:34" x14ac:dyDescent="0.25">
      <c r="B1669" s="16">
        <v>242.244</v>
      </c>
      <c r="C1669" s="16">
        <v>8940</v>
      </c>
      <c r="D1669" s="16">
        <v>1666</v>
      </c>
      <c r="E1669" s="113">
        <v>195</v>
      </c>
      <c r="F1669" s="113">
        <v>194.6</v>
      </c>
      <c r="G1669" s="113">
        <v>191.3</v>
      </c>
      <c r="H1669" s="113">
        <f t="shared" ref="H1669:H1732" si="187">G1669/3.6</f>
        <v>53.138888888888893</v>
      </c>
      <c r="I1669" s="113">
        <v>5.5</v>
      </c>
      <c r="J1669" s="113">
        <v>26.5</v>
      </c>
      <c r="K1669" s="113">
        <v>-1.5</v>
      </c>
      <c r="L1669" s="185"/>
      <c r="M1669" s="16">
        <v>1666</v>
      </c>
      <c r="N1669" s="16">
        <f t="shared" si="182"/>
        <v>2.0102898714791376E-2</v>
      </c>
      <c r="O1669" s="16">
        <v>4</v>
      </c>
      <c r="P1669" s="16">
        <f t="shared" si="185"/>
        <v>9.1833785004516724</v>
      </c>
      <c r="Q1669" s="16">
        <f t="shared" si="183"/>
        <v>49.744069956648431</v>
      </c>
      <c r="R1669" s="113">
        <f t="shared" si="186"/>
        <v>329.49099999999999</v>
      </c>
      <c r="S1669" s="16">
        <f>IF(S1668=15800,15800,ROUND((((Q1669*60)/'Gearing Calculator'!$C$14)*'Track Data'!P1669),-2))</f>
        <v>13800</v>
      </c>
      <c r="T1669" s="16">
        <f t="shared" ref="T1669:T1732" si="188">AH1669</f>
        <v>4.3638993703129962</v>
      </c>
      <c r="U1669" s="16">
        <f>IF(AC1669=100,Braking!$AG$2354,IF(AC1669=50,Braking!$AG$1179,IF(AC1669=75,Braking!$AG$1767,0)))</f>
        <v>0</v>
      </c>
      <c r="V1669" s="16">
        <f>0.5*'Gearing Calculator'!$C$15*'Gearing Calculator'!$C$20*'Gearing Calculator'!$W$20*('Track Data'!Q1669^2)</f>
        <v>261.89816896096858</v>
      </c>
      <c r="W1669" s="16">
        <f>('Gearing Calculator'!$U$9*'Track Data'!T1669)+'Track Data'!V1669</f>
        <v>1423.5681813382882</v>
      </c>
      <c r="X1669" s="16">
        <f>('Gearing Calculator'!$U$9*9.81)*('Gearing Calculator'!$U$16/'Gearing Calculator'!$C$7)-(('Track Data'!W1669)*('Gearing Calculator'!$U$17/'Gearing Calculator'!$C$7))</f>
        <v>625.22042038515087</v>
      </c>
      <c r="Y1669" s="16">
        <f>('Gearing Calculator'!$U$9*9.81)*(('Gearing Calculator'!$C$7-'Gearing Calculator'!$U$16)/'Gearing Calculator'!$C$7)+(('Track Data'!W1669)*('Gearing Calculator'!$U$17/'Gearing Calculator'!$C$7))</f>
        <v>1986.2015796148492</v>
      </c>
      <c r="Z1669" s="16">
        <f>((X1669*COS('Gearing Calculator'!$C$21))/'Gearing Calculator'!$C$22)/2</f>
        <v>19.329837994591344</v>
      </c>
      <c r="AA1669" s="16">
        <f>Y1669/'Gearing Calculator'!$C$24</f>
        <v>27.734035863261536</v>
      </c>
      <c r="AB1669" s="16">
        <f t="shared" si="184"/>
        <v>279.35376644222055</v>
      </c>
      <c r="AC1669" s="16">
        <v>0</v>
      </c>
      <c r="AD1669" s="16">
        <v>0</v>
      </c>
      <c r="AE1669" s="16">
        <v>1666</v>
      </c>
      <c r="AF1669" s="16">
        <f>IF(AC1669=0,IF(O1669=6,INDEX(Acceleration!$V$4:$V$110,MATCH('Track Data'!S1669,Acceleration!$K$4:$K$110,0)),IF('Track Data'!O1669=5,INDEX(Acceleration!$U$4:$U$110,MATCH('Track Data'!S1669,Acceleration!$K$4:$K$110,0)),1)),U1669)</f>
        <v>1</v>
      </c>
      <c r="AG1669" s="16">
        <f>IF(AC1669=0,IF(O1669=4,INDEX(Acceleration!$T$4:$T$110,MATCH('Track Data'!S1669,Acceleration!$K$4:$K$110,0)),IF('Track Data'!O1669=3,INDEX(Acceleration!$S$4:$S$110,MATCH('Track Data'!S1669,Acceleration!$K$4:$K$110,0)),'Track Data'!AF1669)),'Track Data'!U1669)</f>
        <v>4.3638993703129962</v>
      </c>
      <c r="AH1669" s="16">
        <f>IF(AC1669=0,IF(O1669=2,INDEX(Acceleration!$R$4:$R$110,MATCH('Track Data'!S1669,Acceleration!$K$4:$K$110,0)),IF('Track Data'!O1669=1,INDEX(Acceleration!$Q$4:$Q$110,MATCH('Track Data'!S1669,Acceleration!$K$4:$K$110,0)),'Track Data'!AG1669)),'Track Data'!U1669)</f>
        <v>4.3638993703129962</v>
      </c>
    </row>
    <row r="1670" spans="2:34" x14ac:dyDescent="0.25">
      <c r="B1670" s="16">
        <v>242.26300000000001</v>
      </c>
      <c r="C1670" s="16">
        <v>8941</v>
      </c>
      <c r="D1670" s="16">
        <v>1667</v>
      </c>
      <c r="E1670" s="113">
        <v>194</v>
      </c>
      <c r="F1670" s="113">
        <v>194.7</v>
      </c>
      <c r="G1670" s="113">
        <v>191.5</v>
      </c>
      <c r="H1670" s="113">
        <f t="shared" si="187"/>
        <v>53.194444444444443</v>
      </c>
      <c r="I1670" s="113">
        <v>5.8</v>
      </c>
      <c r="J1670" s="113">
        <v>26.76</v>
      </c>
      <c r="K1670" s="113">
        <v>-3.5</v>
      </c>
      <c r="L1670" s="185"/>
      <c r="M1670" s="16">
        <v>1667</v>
      </c>
      <c r="N1670" s="16">
        <f t="shared" ref="N1670:N1733" si="189">1/Q1670</f>
        <v>2.0067539405524318E-2</v>
      </c>
      <c r="O1670" s="16">
        <v>4</v>
      </c>
      <c r="P1670" s="16">
        <f t="shared" si="185"/>
        <v>9.1833785004516724</v>
      </c>
      <c r="Q1670" s="16">
        <f t="shared" ref="Q1670:Q1733" si="190">IF(AD1669=0,SQRT(Q1669^2+(2*T1669)),Q1669)</f>
        <v>49.831719763545784</v>
      </c>
      <c r="R1670" s="113">
        <f t="shared" si="186"/>
        <v>329.49099999999999</v>
      </c>
      <c r="S1670" s="16">
        <f>IF(S1669=15800,15800,ROUND((((Q1670*60)/'Gearing Calculator'!$C$14)*'Track Data'!P1670),-2))</f>
        <v>13900</v>
      </c>
      <c r="T1670" s="16">
        <f t="shared" si="188"/>
        <v>4.3414616353714317</v>
      </c>
      <c r="U1670" s="16">
        <f>IF(AC1670=100,Braking!$AG$2354,IF(AC1670=50,Braking!$AG$1179,IF(AC1670=75,Braking!$AG$1767,0)))</f>
        <v>0</v>
      </c>
      <c r="V1670" s="16">
        <f>0.5*'Gearing Calculator'!$C$15*'Gearing Calculator'!$C$20*'Gearing Calculator'!$W$20*('Track Data'!Q1670^2)</f>
        <v>262.82191917967651</v>
      </c>
      <c r="W1670" s="16">
        <f>('Gearing Calculator'!$U$9*'Track Data'!T1670)+'Track Data'!V1670</f>
        <v>1418.5190065155516</v>
      </c>
      <c r="X1670" s="16">
        <f>('Gearing Calculator'!$U$9*9.81)*('Gearing Calculator'!$U$16/'Gearing Calculator'!$C$7)-(('Track Data'!W1670)*('Gearing Calculator'!$U$17/'Gearing Calculator'!$C$7))</f>
        <v>627.97256549054032</v>
      </c>
      <c r="Y1670" s="16">
        <f>('Gearing Calculator'!$U$9*9.81)*(('Gearing Calculator'!$C$7-'Gearing Calculator'!$U$16)/'Gearing Calculator'!$C$7)+(('Track Data'!W1670)*('Gearing Calculator'!$U$17/'Gearing Calculator'!$C$7))</f>
        <v>1983.4494345094597</v>
      </c>
      <c r="Z1670" s="16">
        <f>((X1670*COS('Gearing Calculator'!$C$21))/'Gearing Calculator'!$C$22)/2</f>
        <v>19.414925616956612</v>
      </c>
      <c r="AA1670" s="16">
        <f>Y1670/'Gearing Calculator'!$C$24</f>
        <v>27.695606686768496</v>
      </c>
      <c r="AB1670" s="16">
        <f t="shared" si="184"/>
        <v>280.18776572116224</v>
      </c>
      <c r="AC1670" s="16">
        <v>0</v>
      </c>
      <c r="AD1670" s="16">
        <v>0</v>
      </c>
      <c r="AE1670" s="16">
        <v>1667</v>
      </c>
      <c r="AF1670" s="16">
        <f>IF(AC1670=0,IF(O1670=6,INDEX(Acceleration!$V$4:$V$110,MATCH('Track Data'!S1670,Acceleration!$K$4:$K$110,0)),IF('Track Data'!O1670=5,INDEX(Acceleration!$U$4:$U$110,MATCH('Track Data'!S1670,Acceleration!$K$4:$K$110,0)),1)),U1670)</f>
        <v>1</v>
      </c>
      <c r="AG1670" s="16">
        <f>IF(AC1670=0,IF(O1670=4,INDEX(Acceleration!$T$4:$T$110,MATCH('Track Data'!S1670,Acceleration!$K$4:$K$110,0)),IF('Track Data'!O1670=3,INDEX(Acceleration!$S$4:$S$110,MATCH('Track Data'!S1670,Acceleration!$K$4:$K$110,0)),'Track Data'!AF1670)),'Track Data'!U1670)</f>
        <v>4.3414616353714317</v>
      </c>
      <c r="AH1670" s="16">
        <f>IF(AC1670=0,IF(O1670=2,INDEX(Acceleration!$R$4:$R$110,MATCH('Track Data'!S1670,Acceleration!$K$4:$K$110,0)),IF('Track Data'!O1670=1,INDEX(Acceleration!$Q$4:$Q$110,MATCH('Track Data'!S1670,Acceleration!$K$4:$K$110,0)),'Track Data'!AG1670)),'Track Data'!U1670)</f>
        <v>4.3414616353714317</v>
      </c>
    </row>
    <row r="1671" spans="2:34" x14ac:dyDescent="0.25">
      <c r="B1671" s="16">
        <v>242.28100000000001</v>
      </c>
      <c r="C1671" s="16">
        <v>8941</v>
      </c>
      <c r="D1671" s="16">
        <v>1668</v>
      </c>
      <c r="E1671" s="113">
        <v>193</v>
      </c>
      <c r="F1671" s="113">
        <v>194.7</v>
      </c>
      <c r="G1671" s="113">
        <v>191.7</v>
      </c>
      <c r="H1671" s="113">
        <f t="shared" si="187"/>
        <v>53.249999999999993</v>
      </c>
      <c r="I1671" s="113">
        <v>6.5</v>
      </c>
      <c r="J1671" s="113">
        <v>27.14</v>
      </c>
      <c r="K1671" s="113">
        <v>-5.3</v>
      </c>
      <c r="L1671" s="185"/>
      <c r="M1671" s="16">
        <v>1668</v>
      </c>
      <c r="N1671" s="16">
        <f t="shared" si="189"/>
        <v>2.0032546401639369E-2</v>
      </c>
      <c r="O1671" s="16">
        <v>4</v>
      </c>
      <c r="P1671" s="16">
        <f t="shared" si="185"/>
        <v>9.1833785004516724</v>
      </c>
      <c r="Q1671" s="16">
        <f t="shared" si="190"/>
        <v>49.91876618931304</v>
      </c>
      <c r="R1671" s="113">
        <f t="shared" si="186"/>
        <v>329.49099999999999</v>
      </c>
      <c r="S1671" s="16">
        <f>IF(S1670=15800,15800,ROUND((((Q1671*60)/'Gearing Calculator'!$C$14)*'Track Data'!P1671),-2))</f>
        <v>13900</v>
      </c>
      <c r="T1671" s="16">
        <f t="shared" si="188"/>
        <v>4.3414616353714317</v>
      </c>
      <c r="U1671" s="16">
        <f>IF(AC1671=100,Braking!$AG$2354,IF(AC1671=50,Braking!$AG$1179,IF(AC1671=75,Braking!$AG$1767,0)))</f>
        <v>0</v>
      </c>
      <c r="V1671" s="16">
        <f>0.5*'Gearing Calculator'!$C$15*'Gearing Calculator'!$C$20*'Gearing Calculator'!$W$20*('Track Data'!Q1671^2)</f>
        <v>263.74091977865197</v>
      </c>
      <c r="W1671" s="16">
        <f>('Gearing Calculator'!$U$9*'Track Data'!T1671)+'Track Data'!V1671</f>
        <v>1419.438007114527</v>
      </c>
      <c r="X1671" s="16">
        <f>('Gearing Calculator'!$U$9*9.81)*('Gearing Calculator'!$U$16/'Gearing Calculator'!$C$7)-(('Track Data'!W1671)*('Gearing Calculator'!$U$17/'Gearing Calculator'!$C$7))</f>
        <v>627.47164740211713</v>
      </c>
      <c r="Y1671" s="16">
        <f>('Gearing Calculator'!$U$9*9.81)*(('Gearing Calculator'!$C$7-'Gearing Calculator'!$U$16)/'Gearing Calculator'!$C$7)+(('Track Data'!W1671)*('Gearing Calculator'!$U$17/'Gearing Calculator'!$C$7))</f>
        <v>1983.950352597883</v>
      </c>
      <c r="Z1671" s="16">
        <f>((X1671*COS('Gearing Calculator'!$C$21))/'Gearing Calculator'!$C$22)/2</f>
        <v>19.399438813931503</v>
      </c>
      <c r="AA1671" s="16">
        <f>Y1671/'Gearing Calculator'!$C$24</f>
        <v>27.702601183385291</v>
      </c>
      <c r="AB1671" s="16">
        <f t="shared" si="184"/>
        <v>281.10676632013769</v>
      </c>
      <c r="AC1671" s="16">
        <v>0</v>
      </c>
      <c r="AD1671" s="16">
        <v>0</v>
      </c>
      <c r="AE1671" s="16">
        <v>1668</v>
      </c>
      <c r="AF1671" s="16">
        <f>IF(AC1671=0,IF(O1671=6,INDEX(Acceleration!$V$4:$V$110,MATCH('Track Data'!S1671,Acceleration!$K$4:$K$110,0)),IF('Track Data'!O1671=5,INDEX(Acceleration!$U$4:$U$110,MATCH('Track Data'!S1671,Acceleration!$K$4:$K$110,0)),1)),U1671)</f>
        <v>1</v>
      </c>
      <c r="AG1671" s="16">
        <f>IF(AC1671=0,IF(O1671=4,INDEX(Acceleration!$T$4:$T$110,MATCH('Track Data'!S1671,Acceleration!$K$4:$K$110,0)),IF('Track Data'!O1671=3,INDEX(Acceleration!$S$4:$S$110,MATCH('Track Data'!S1671,Acceleration!$K$4:$K$110,0)),'Track Data'!AF1671)),'Track Data'!U1671)</f>
        <v>4.3414616353714317</v>
      </c>
      <c r="AH1671" s="16">
        <f>IF(AC1671=0,IF(O1671=2,INDEX(Acceleration!$R$4:$R$110,MATCH('Track Data'!S1671,Acceleration!$K$4:$K$110,0)),IF('Track Data'!O1671=1,INDEX(Acceleration!$Q$4:$Q$110,MATCH('Track Data'!S1671,Acceleration!$K$4:$K$110,0)),'Track Data'!AG1671)),'Track Data'!U1671)</f>
        <v>4.3414616353714317</v>
      </c>
    </row>
    <row r="1672" spans="2:34" x14ac:dyDescent="0.25">
      <c r="B1672" s="16">
        <v>242.3</v>
      </c>
      <c r="C1672" s="16">
        <v>8942</v>
      </c>
      <c r="D1672" s="16">
        <v>1669</v>
      </c>
      <c r="E1672" s="113">
        <v>195</v>
      </c>
      <c r="F1672" s="113">
        <v>194.6</v>
      </c>
      <c r="G1672" s="113">
        <v>192</v>
      </c>
      <c r="H1672" s="113">
        <f t="shared" si="187"/>
        <v>53.333333333333329</v>
      </c>
      <c r="I1672" s="113">
        <v>6.5</v>
      </c>
      <c r="J1672" s="113">
        <v>28.36</v>
      </c>
      <c r="K1672" s="113">
        <v>-7.3</v>
      </c>
      <c r="L1672" s="185"/>
      <c r="M1672" s="16">
        <v>1669</v>
      </c>
      <c r="N1672" s="16">
        <f t="shared" si="189"/>
        <v>1.9997735820010187E-2</v>
      </c>
      <c r="O1672" s="16">
        <v>4</v>
      </c>
      <c r="P1672" s="16">
        <f t="shared" si="185"/>
        <v>9.1833785004516724</v>
      </c>
      <c r="Q1672" s="16">
        <f t="shared" si="190"/>
        <v>50.005661090860961</v>
      </c>
      <c r="R1672" s="113">
        <f t="shared" si="186"/>
        <v>329.49099999999999</v>
      </c>
      <c r="S1672" s="16">
        <f>IF(S1671=15800,15800,ROUND((((Q1672*60)/'Gearing Calculator'!$C$14)*'Track Data'!P1672),-2))</f>
        <v>13900</v>
      </c>
      <c r="T1672" s="16">
        <f t="shared" si="188"/>
        <v>4.3414616353714317</v>
      </c>
      <c r="U1672" s="16">
        <f>IF(AC1672=100,Braking!$AG$2354,IF(AC1672=50,Braking!$AG$1179,IF(AC1672=75,Braking!$AG$1767,0)))</f>
        <v>0</v>
      </c>
      <c r="V1672" s="16">
        <f>0.5*'Gearing Calculator'!$C$15*'Gearing Calculator'!$C$20*'Gearing Calculator'!$W$20*('Track Data'!Q1672^2)</f>
        <v>264.65992037762737</v>
      </c>
      <c r="W1672" s="16">
        <f>('Gearing Calculator'!$U$9*'Track Data'!T1672)+'Track Data'!V1672</f>
        <v>1420.3570077135023</v>
      </c>
      <c r="X1672" s="16">
        <f>('Gearing Calculator'!$U$9*9.81)*('Gearing Calculator'!$U$16/'Gearing Calculator'!$C$7)-(('Track Data'!W1672)*('Gearing Calculator'!$U$17/'Gearing Calculator'!$C$7))</f>
        <v>626.97072931369382</v>
      </c>
      <c r="Y1672" s="16">
        <f>('Gearing Calculator'!$U$9*9.81)*(('Gearing Calculator'!$C$7-'Gearing Calculator'!$U$16)/'Gearing Calculator'!$C$7)+(('Track Data'!W1672)*('Gearing Calculator'!$U$17/'Gearing Calculator'!$C$7))</f>
        <v>1984.4512706863061</v>
      </c>
      <c r="Z1672" s="16">
        <f>((X1672*COS('Gearing Calculator'!$C$21))/'Gearing Calculator'!$C$22)/2</f>
        <v>19.383952010906391</v>
      </c>
      <c r="AA1672" s="16">
        <f>Y1672/'Gearing Calculator'!$C$24</f>
        <v>27.709595680002082</v>
      </c>
      <c r="AB1672" s="16">
        <f t="shared" si="184"/>
        <v>282.0257669191131</v>
      </c>
      <c r="AC1672" s="16">
        <v>0</v>
      </c>
      <c r="AD1672" s="16">
        <v>0</v>
      </c>
      <c r="AE1672" s="16">
        <v>1669</v>
      </c>
      <c r="AF1672" s="16">
        <f>IF(AC1672=0,IF(O1672=6,INDEX(Acceleration!$V$4:$V$110,MATCH('Track Data'!S1672,Acceleration!$K$4:$K$110,0)),IF('Track Data'!O1672=5,INDEX(Acceleration!$U$4:$U$110,MATCH('Track Data'!S1672,Acceleration!$K$4:$K$110,0)),1)),U1672)</f>
        <v>1</v>
      </c>
      <c r="AG1672" s="16">
        <f>IF(AC1672=0,IF(O1672=4,INDEX(Acceleration!$T$4:$T$110,MATCH('Track Data'!S1672,Acceleration!$K$4:$K$110,0)),IF('Track Data'!O1672=3,INDEX(Acceleration!$S$4:$S$110,MATCH('Track Data'!S1672,Acceleration!$K$4:$K$110,0)),'Track Data'!AF1672)),'Track Data'!U1672)</f>
        <v>4.3414616353714317</v>
      </c>
      <c r="AH1672" s="16">
        <f>IF(AC1672=0,IF(O1672=2,INDEX(Acceleration!$R$4:$R$110,MATCH('Track Data'!S1672,Acceleration!$K$4:$K$110,0)),IF('Track Data'!O1672=1,INDEX(Acceleration!$Q$4:$Q$110,MATCH('Track Data'!S1672,Acceleration!$K$4:$K$110,0)),'Track Data'!AG1672)),'Track Data'!U1672)</f>
        <v>4.3414616353714317</v>
      </c>
    </row>
    <row r="1673" spans="2:34" x14ac:dyDescent="0.25">
      <c r="B1673" s="16">
        <v>242.31800000000001</v>
      </c>
      <c r="C1673" s="16">
        <v>8943</v>
      </c>
      <c r="D1673" s="16">
        <v>1670</v>
      </c>
      <c r="E1673" s="113">
        <v>196</v>
      </c>
      <c r="F1673" s="113">
        <v>194.5</v>
      </c>
      <c r="G1673" s="113">
        <v>192.1</v>
      </c>
      <c r="H1673" s="113">
        <f t="shared" si="187"/>
        <v>53.361111111111107</v>
      </c>
      <c r="I1673" s="113">
        <v>6.2</v>
      </c>
      <c r="J1673" s="113">
        <v>27.39</v>
      </c>
      <c r="K1673" s="113">
        <v>-8.1999999999999993</v>
      </c>
      <c r="L1673" s="185"/>
      <c r="M1673" s="16">
        <v>1670</v>
      </c>
      <c r="N1673" s="16">
        <f t="shared" si="189"/>
        <v>1.9963106081147604E-2</v>
      </c>
      <c r="O1673" s="16">
        <v>4</v>
      </c>
      <c r="P1673" s="16">
        <f t="shared" si="185"/>
        <v>9.1833785004516724</v>
      </c>
      <c r="Q1673" s="16">
        <f t="shared" si="190"/>
        <v>50.092405256733166</v>
      </c>
      <c r="R1673" s="113">
        <f t="shared" si="186"/>
        <v>329.49099999999999</v>
      </c>
      <c r="S1673" s="16">
        <f>IF(S1672=15800,15800,ROUND((((Q1673*60)/'Gearing Calculator'!$C$14)*'Track Data'!P1673),-2))</f>
        <v>13900</v>
      </c>
      <c r="T1673" s="16">
        <f t="shared" si="188"/>
        <v>4.3414616353714317</v>
      </c>
      <c r="U1673" s="16">
        <f>IF(AC1673=100,Braking!$AG$2354,IF(AC1673=50,Braking!$AG$1179,IF(AC1673=75,Braking!$AG$1767,0)))</f>
        <v>0</v>
      </c>
      <c r="V1673" s="16">
        <f>0.5*'Gearing Calculator'!$C$15*'Gearing Calculator'!$C$20*'Gearing Calculator'!$W$20*('Track Data'!Q1673^2)</f>
        <v>265.57892097660277</v>
      </c>
      <c r="W1673" s="16">
        <f>('Gearing Calculator'!$U$9*'Track Data'!T1673)+'Track Data'!V1673</f>
        <v>1421.2760083124779</v>
      </c>
      <c r="X1673" s="16">
        <f>('Gearing Calculator'!$U$9*9.81)*('Gearing Calculator'!$U$16/'Gearing Calculator'!$C$7)-(('Track Data'!W1673)*('Gearing Calculator'!$U$17/'Gearing Calculator'!$C$7))</f>
        <v>626.46981122527052</v>
      </c>
      <c r="Y1673" s="16">
        <f>('Gearing Calculator'!$U$9*9.81)*(('Gearing Calculator'!$C$7-'Gearing Calculator'!$U$16)/'Gearing Calculator'!$C$7)+(('Track Data'!W1673)*('Gearing Calculator'!$U$17/'Gearing Calculator'!$C$7))</f>
        <v>1984.9521887747296</v>
      </c>
      <c r="Z1673" s="16">
        <f>((X1673*COS('Gearing Calculator'!$C$21))/'Gearing Calculator'!$C$22)/2</f>
        <v>19.368465207881275</v>
      </c>
      <c r="AA1673" s="16">
        <f>Y1673/'Gearing Calculator'!$C$24</f>
        <v>27.71659017661888</v>
      </c>
      <c r="AB1673" s="16">
        <f t="shared" si="184"/>
        <v>282.9447675180885</v>
      </c>
      <c r="AC1673" s="16">
        <v>0</v>
      </c>
      <c r="AD1673" s="16">
        <v>0</v>
      </c>
      <c r="AE1673" s="16">
        <v>1670</v>
      </c>
      <c r="AF1673" s="16">
        <f>IF(AC1673=0,IF(O1673=6,INDEX(Acceleration!$V$4:$V$110,MATCH('Track Data'!S1673,Acceleration!$K$4:$K$110,0)),IF('Track Data'!O1673=5,INDEX(Acceleration!$U$4:$U$110,MATCH('Track Data'!S1673,Acceleration!$K$4:$K$110,0)),1)),U1673)</f>
        <v>1</v>
      </c>
      <c r="AG1673" s="16">
        <f>IF(AC1673=0,IF(O1673=4,INDEX(Acceleration!$T$4:$T$110,MATCH('Track Data'!S1673,Acceleration!$K$4:$K$110,0)),IF('Track Data'!O1673=3,INDEX(Acceleration!$S$4:$S$110,MATCH('Track Data'!S1673,Acceleration!$K$4:$K$110,0)),'Track Data'!AF1673)),'Track Data'!U1673)</f>
        <v>4.3414616353714317</v>
      </c>
      <c r="AH1673" s="16">
        <f>IF(AC1673=0,IF(O1673=2,INDEX(Acceleration!$R$4:$R$110,MATCH('Track Data'!S1673,Acceleration!$K$4:$K$110,0)),IF('Track Data'!O1673=1,INDEX(Acceleration!$Q$4:$Q$110,MATCH('Track Data'!S1673,Acceleration!$K$4:$K$110,0)),'Track Data'!AG1673)),'Track Data'!U1673)</f>
        <v>4.3414616353714317</v>
      </c>
    </row>
    <row r="1674" spans="2:34" x14ac:dyDescent="0.25">
      <c r="B1674" s="16">
        <v>242.33699999999999</v>
      </c>
      <c r="C1674" s="16">
        <v>8944</v>
      </c>
      <c r="D1674" s="16">
        <v>1671</v>
      </c>
      <c r="E1674" s="113">
        <v>196</v>
      </c>
      <c r="F1674" s="113">
        <v>194.6</v>
      </c>
      <c r="G1674" s="113">
        <v>192.3</v>
      </c>
      <c r="H1674" s="113">
        <f t="shared" si="187"/>
        <v>53.416666666666671</v>
      </c>
      <c r="I1674" s="113">
        <v>5.2</v>
      </c>
      <c r="J1674" s="113">
        <v>25.74</v>
      </c>
      <c r="K1674" s="113">
        <v>-3.9</v>
      </c>
      <c r="L1674" s="185"/>
      <c r="M1674" s="16">
        <v>1671</v>
      </c>
      <c r="N1674" s="16">
        <f t="shared" si="189"/>
        <v>1.9928655624642608E-2</v>
      </c>
      <c r="O1674" s="16">
        <v>4</v>
      </c>
      <c r="P1674" s="16">
        <f t="shared" si="185"/>
        <v>9.1833785004516724</v>
      </c>
      <c r="Q1674" s="16">
        <f t="shared" si="190"/>
        <v>50.178999468657516</v>
      </c>
      <c r="R1674" s="113">
        <f t="shared" si="186"/>
        <v>329.49099999999999</v>
      </c>
      <c r="S1674" s="16">
        <f>IF(S1673=15800,15800,ROUND((((Q1674*60)/'Gearing Calculator'!$C$14)*'Track Data'!P1674),-2))</f>
        <v>14000</v>
      </c>
      <c r="T1674" s="16">
        <f t="shared" si="188"/>
        <v>4.3416214019362878</v>
      </c>
      <c r="U1674" s="16">
        <f>IF(AC1674=100,Braking!$AG$2354,IF(AC1674=50,Braking!$AG$1179,IF(AC1674=75,Braking!$AG$1767,0)))</f>
        <v>0</v>
      </c>
      <c r="V1674" s="16">
        <f>0.5*'Gearing Calculator'!$C$15*'Gearing Calculator'!$C$20*'Gearing Calculator'!$W$20*('Track Data'!Q1674^2)</f>
        <v>266.49792157557818</v>
      </c>
      <c r="W1674" s="16">
        <f>('Gearing Calculator'!$U$9*'Track Data'!T1674)+'Track Data'!V1674</f>
        <v>1422.2375387710179</v>
      </c>
      <c r="X1674" s="16">
        <f>('Gearing Calculator'!$U$9*9.81)*('Gearing Calculator'!$U$16/'Gearing Calculator'!$C$7)-(('Track Data'!W1674)*('Gearing Calculator'!$U$17/'Gearing Calculator'!$C$7))</f>
        <v>625.94571145886164</v>
      </c>
      <c r="Y1674" s="16">
        <f>('Gearing Calculator'!$U$9*9.81)*(('Gearing Calculator'!$C$7-'Gearing Calculator'!$U$16)/'Gearing Calculator'!$C$7)+(('Track Data'!W1674)*('Gearing Calculator'!$U$17/'Gearing Calculator'!$C$7))</f>
        <v>1985.4762885411383</v>
      </c>
      <c r="Z1674" s="16">
        <f>((X1674*COS('Gearing Calculator'!$C$21))/'Gearing Calculator'!$C$22)/2</f>
        <v>19.352261700690253</v>
      </c>
      <c r="AA1674" s="16">
        <f>Y1674/'Gearing Calculator'!$C$24</f>
        <v>27.723908367212768</v>
      </c>
      <c r="AB1674" s="16">
        <f t="shared" si="184"/>
        <v>283.86440718332335</v>
      </c>
      <c r="AC1674" s="16">
        <v>0</v>
      </c>
      <c r="AD1674" s="16">
        <v>0</v>
      </c>
      <c r="AE1674" s="16">
        <v>1671</v>
      </c>
      <c r="AF1674" s="16">
        <f>IF(AC1674=0,IF(O1674=6,INDEX(Acceleration!$V$4:$V$110,MATCH('Track Data'!S1674,Acceleration!$K$4:$K$110,0)),IF('Track Data'!O1674=5,INDEX(Acceleration!$U$4:$U$110,MATCH('Track Data'!S1674,Acceleration!$K$4:$K$110,0)),1)),U1674)</f>
        <v>1</v>
      </c>
      <c r="AG1674" s="16">
        <f>IF(AC1674=0,IF(O1674=4,INDEX(Acceleration!$T$4:$T$110,MATCH('Track Data'!S1674,Acceleration!$K$4:$K$110,0)),IF('Track Data'!O1674=3,INDEX(Acceleration!$S$4:$S$110,MATCH('Track Data'!S1674,Acceleration!$K$4:$K$110,0)),'Track Data'!AF1674)),'Track Data'!U1674)</f>
        <v>4.3416214019362878</v>
      </c>
      <c r="AH1674" s="16">
        <f>IF(AC1674=0,IF(O1674=2,INDEX(Acceleration!$R$4:$R$110,MATCH('Track Data'!S1674,Acceleration!$K$4:$K$110,0)),IF('Track Data'!O1674=1,INDEX(Acceleration!$Q$4:$Q$110,MATCH('Track Data'!S1674,Acceleration!$K$4:$K$110,0)),'Track Data'!AG1674)),'Track Data'!U1674)</f>
        <v>4.3416214019362878</v>
      </c>
    </row>
    <row r="1675" spans="2:34" x14ac:dyDescent="0.25">
      <c r="B1675" s="16">
        <v>242.35499999999999</v>
      </c>
      <c r="C1675" s="16">
        <v>8945</v>
      </c>
      <c r="D1675" s="16">
        <v>1672</v>
      </c>
      <c r="E1675" s="113">
        <v>196</v>
      </c>
      <c r="F1675" s="113">
        <v>194.8</v>
      </c>
      <c r="G1675" s="113">
        <v>192.5</v>
      </c>
      <c r="H1675" s="113">
        <f t="shared" si="187"/>
        <v>53.472222222222221</v>
      </c>
      <c r="I1675" s="113">
        <v>4.7</v>
      </c>
      <c r="J1675" s="113">
        <v>21.44</v>
      </c>
      <c r="K1675" s="113">
        <v>3.1</v>
      </c>
      <c r="L1675" s="185"/>
      <c r="M1675" s="16">
        <v>1672</v>
      </c>
      <c r="N1675" s="16">
        <f t="shared" si="189"/>
        <v>1.98943816508808E-2</v>
      </c>
      <c r="O1675" s="16">
        <v>4</v>
      </c>
      <c r="P1675" s="16">
        <f t="shared" si="185"/>
        <v>9.1833785004516724</v>
      </c>
      <c r="Q1675" s="16">
        <f t="shared" si="190"/>
        <v>50.265447680085408</v>
      </c>
      <c r="R1675" s="113">
        <f t="shared" si="186"/>
        <v>329.49099999999999</v>
      </c>
      <c r="S1675" s="16">
        <f>IF(S1674=15800,15800,ROUND((((Q1675*60)/'Gearing Calculator'!$C$14)*'Track Data'!P1675),-2))</f>
        <v>14000</v>
      </c>
      <c r="T1675" s="16">
        <f t="shared" si="188"/>
        <v>4.3416214019362878</v>
      </c>
      <c r="U1675" s="16">
        <f>IF(AC1675=100,Braking!$AG$2354,IF(AC1675=50,Braking!$AG$1179,IF(AC1675=75,Braking!$AG$1767,0)))</f>
        <v>0</v>
      </c>
      <c r="V1675" s="16">
        <f>0.5*'Gearing Calculator'!$C$15*'Gearing Calculator'!$C$20*'Gearing Calculator'!$W$20*('Track Data'!Q1675^2)</f>
        <v>267.41695599394006</v>
      </c>
      <c r="W1675" s="16">
        <f>('Gearing Calculator'!$U$9*'Track Data'!T1675)+'Track Data'!V1675</f>
        <v>1423.1565731893797</v>
      </c>
      <c r="X1675" s="16">
        <f>('Gearing Calculator'!$U$9*9.81)*('Gearing Calculator'!$U$16/'Gearing Calculator'!$C$7)-(('Track Data'!W1675)*('Gearing Calculator'!$U$17/'Gearing Calculator'!$C$7))</f>
        <v>625.44477493656314</v>
      </c>
      <c r="Y1675" s="16">
        <f>('Gearing Calculator'!$U$9*9.81)*(('Gearing Calculator'!$C$7-'Gearing Calculator'!$U$16)/'Gearing Calculator'!$C$7)+(('Track Data'!W1675)*('Gearing Calculator'!$U$17/'Gearing Calculator'!$C$7))</f>
        <v>1985.9772250634369</v>
      </c>
      <c r="Z1675" s="16">
        <f>((X1675*COS('Gearing Calculator'!$C$21))/'Gearing Calculator'!$C$22)/2</f>
        <v>19.336774327748021</v>
      </c>
      <c r="AA1675" s="16">
        <f>Y1675/'Gearing Calculator'!$C$24</f>
        <v>27.730903121228291</v>
      </c>
      <c r="AB1675" s="16">
        <f t="shared" si="184"/>
        <v>284.78344160168524</v>
      </c>
      <c r="AC1675" s="16">
        <v>0</v>
      </c>
      <c r="AD1675" s="16">
        <v>0</v>
      </c>
      <c r="AE1675" s="16">
        <v>1672</v>
      </c>
      <c r="AF1675" s="16">
        <f>IF(AC1675=0,IF(O1675=6,INDEX(Acceleration!$V$4:$V$110,MATCH('Track Data'!S1675,Acceleration!$K$4:$K$110,0)),IF('Track Data'!O1675=5,INDEX(Acceleration!$U$4:$U$110,MATCH('Track Data'!S1675,Acceleration!$K$4:$K$110,0)),1)),U1675)</f>
        <v>1</v>
      </c>
      <c r="AG1675" s="16">
        <f>IF(AC1675=0,IF(O1675=4,INDEX(Acceleration!$T$4:$T$110,MATCH('Track Data'!S1675,Acceleration!$K$4:$K$110,0)),IF('Track Data'!O1675=3,INDEX(Acceleration!$S$4:$S$110,MATCH('Track Data'!S1675,Acceleration!$K$4:$K$110,0)),'Track Data'!AF1675)),'Track Data'!U1675)</f>
        <v>4.3416214019362878</v>
      </c>
      <c r="AH1675" s="16">
        <f>IF(AC1675=0,IF(O1675=2,INDEX(Acceleration!$R$4:$R$110,MATCH('Track Data'!S1675,Acceleration!$K$4:$K$110,0)),IF('Track Data'!O1675=1,INDEX(Acceleration!$Q$4:$Q$110,MATCH('Track Data'!S1675,Acceleration!$K$4:$K$110,0)),'Track Data'!AG1675)),'Track Data'!U1675)</f>
        <v>4.3416214019362878</v>
      </c>
    </row>
    <row r="1676" spans="2:34" x14ac:dyDescent="0.25">
      <c r="B1676" s="16">
        <v>242.374</v>
      </c>
      <c r="C1676" s="16">
        <v>8946</v>
      </c>
      <c r="D1676" s="16">
        <v>1673</v>
      </c>
      <c r="E1676" s="113">
        <v>196</v>
      </c>
      <c r="F1676" s="113">
        <v>195</v>
      </c>
      <c r="G1676" s="113">
        <v>192.7</v>
      </c>
      <c r="H1676" s="113">
        <f t="shared" si="187"/>
        <v>53.527777777777771</v>
      </c>
      <c r="I1676" s="113">
        <v>4.3</v>
      </c>
      <c r="J1676" s="113">
        <v>19.46</v>
      </c>
      <c r="K1676" s="113">
        <v>10.199999999999999</v>
      </c>
      <c r="L1676" s="185"/>
      <c r="M1676" s="16">
        <v>1673</v>
      </c>
      <c r="N1676" s="16">
        <f t="shared" si="189"/>
        <v>1.9860283907637673E-2</v>
      </c>
      <c r="O1676" s="16">
        <v>4</v>
      </c>
      <c r="P1676" s="16">
        <f t="shared" si="185"/>
        <v>9.1833785004516724</v>
      </c>
      <c r="Q1676" s="16">
        <f t="shared" si="190"/>
        <v>50.351747470006202</v>
      </c>
      <c r="R1676" s="113">
        <f t="shared" si="186"/>
        <v>329.49099999999999</v>
      </c>
      <c r="S1676" s="16">
        <f>IF(S1675=15800,15800,ROUND((((Q1676*60)/'Gearing Calculator'!$C$14)*'Track Data'!P1676),-2))</f>
        <v>14000</v>
      </c>
      <c r="T1676" s="16">
        <f t="shared" si="188"/>
        <v>4.3416214019362878</v>
      </c>
      <c r="U1676" s="16">
        <f>IF(AC1676=100,Braking!$AG$2354,IF(AC1676=50,Braking!$AG$1179,IF(AC1676=75,Braking!$AG$1767,0)))</f>
        <v>0</v>
      </c>
      <c r="V1676" s="16">
        <f>0.5*'Gearing Calculator'!$C$15*'Gearing Calculator'!$C$20*'Gearing Calculator'!$W$20*('Track Data'!Q1676^2)</f>
        <v>268.3359904123019</v>
      </c>
      <c r="W1676" s="16">
        <f>('Gearing Calculator'!$U$9*'Track Data'!T1676)+'Track Data'!V1676</f>
        <v>1424.0756076077416</v>
      </c>
      <c r="X1676" s="16">
        <f>('Gearing Calculator'!$U$9*9.81)*('Gearing Calculator'!$U$16/'Gearing Calculator'!$C$7)-(('Track Data'!W1676)*('Gearing Calculator'!$U$17/'Gearing Calculator'!$C$7))</f>
        <v>624.94383841426463</v>
      </c>
      <c r="Y1676" s="16">
        <f>('Gearing Calculator'!$U$9*9.81)*(('Gearing Calculator'!$C$7-'Gearing Calculator'!$U$16)/'Gearing Calculator'!$C$7)+(('Track Data'!W1676)*('Gearing Calculator'!$U$17/'Gearing Calculator'!$C$7))</f>
        <v>1986.4781615857355</v>
      </c>
      <c r="Z1676" s="16">
        <f>((X1676*COS('Gearing Calculator'!$C$21))/'Gearing Calculator'!$C$22)/2</f>
        <v>19.321286954805789</v>
      </c>
      <c r="AA1676" s="16">
        <f>Y1676/'Gearing Calculator'!$C$24</f>
        <v>27.737897875243814</v>
      </c>
      <c r="AB1676" s="16">
        <f t="shared" si="184"/>
        <v>285.70247602004707</v>
      </c>
      <c r="AC1676" s="16">
        <v>0</v>
      </c>
      <c r="AD1676" s="16">
        <v>0</v>
      </c>
      <c r="AE1676" s="16">
        <v>1673</v>
      </c>
      <c r="AF1676" s="16">
        <f>IF(AC1676=0,IF(O1676=6,INDEX(Acceleration!$V$4:$V$110,MATCH('Track Data'!S1676,Acceleration!$K$4:$K$110,0)),IF('Track Data'!O1676=5,INDEX(Acceleration!$U$4:$U$110,MATCH('Track Data'!S1676,Acceleration!$K$4:$K$110,0)),1)),U1676)</f>
        <v>1</v>
      </c>
      <c r="AG1676" s="16">
        <f>IF(AC1676=0,IF(O1676=4,INDEX(Acceleration!$T$4:$T$110,MATCH('Track Data'!S1676,Acceleration!$K$4:$K$110,0)),IF('Track Data'!O1676=3,INDEX(Acceleration!$S$4:$S$110,MATCH('Track Data'!S1676,Acceleration!$K$4:$K$110,0)),'Track Data'!AF1676)),'Track Data'!U1676)</f>
        <v>4.3416214019362878</v>
      </c>
      <c r="AH1676" s="16">
        <f>IF(AC1676=0,IF(O1676=2,INDEX(Acceleration!$R$4:$R$110,MATCH('Track Data'!S1676,Acceleration!$K$4:$K$110,0)),IF('Track Data'!O1676=1,INDEX(Acceleration!$Q$4:$Q$110,MATCH('Track Data'!S1676,Acceleration!$K$4:$K$110,0)),'Track Data'!AG1676)),'Track Data'!U1676)</f>
        <v>4.3416214019362878</v>
      </c>
    </row>
    <row r="1677" spans="2:34" x14ac:dyDescent="0.25">
      <c r="B1677" s="16">
        <v>242.392</v>
      </c>
      <c r="C1677" s="16">
        <v>8947</v>
      </c>
      <c r="D1677" s="16">
        <v>1674</v>
      </c>
      <c r="E1677" s="113">
        <v>197</v>
      </c>
      <c r="F1677" s="113">
        <v>195.5</v>
      </c>
      <c r="G1677" s="113">
        <v>192.9</v>
      </c>
      <c r="H1677" s="113">
        <f t="shared" si="187"/>
        <v>53.583333333333336</v>
      </c>
      <c r="I1677" s="113">
        <v>3.8</v>
      </c>
      <c r="J1677" s="113">
        <v>17.95</v>
      </c>
      <c r="K1677" s="113">
        <v>17.3</v>
      </c>
      <c r="L1677" s="185"/>
      <c r="M1677" s="16">
        <v>1674</v>
      </c>
      <c r="N1677" s="16">
        <f t="shared" si="189"/>
        <v>1.9826360889829784E-2</v>
      </c>
      <c r="O1677" s="16">
        <v>4</v>
      </c>
      <c r="P1677" s="16">
        <f t="shared" si="185"/>
        <v>9.1833785004516724</v>
      </c>
      <c r="Q1677" s="16">
        <f t="shared" si="190"/>
        <v>50.437899600272296</v>
      </c>
      <c r="R1677" s="113">
        <f t="shared" si="186"/>
        <v>329.49099999999999</v>
      </c>
      <c r="S1677" s="16">
        <f>IF(S1676=15800,15800,ROUND((((Q1677*60)/'Gearing Calculator'!$C$14)*'Track Data'!P1677),-2))</f>
        <v>14000</v>
      </c>
      <c r="T1677" s="16">
        <f t="shared" si="188"/>
        <v>4.3416214019362878</v>
      </c>
      <c r="U1677" s="16">
        <f>IF(AC1677=100,Braking!$AG$2354,IF(AC1677=50,Braking!$AG$1179,IF(AC1677=75,Braking!$AG$1767,0)))</f>
        <v>0</v>
      </c>
      <c r="V1677" s="16">
        <f>0.5*'Gearing Calculator'!$C$15*'Gearing Calculator'!$C$20*'Gearing Calculator'!$W$20*('Track Data'!Q1677^2)</f>
        <v>269.25502483066373</v>
      </c>
      <c r="W1677" s="16">
        <f>('Gearing Calculator'!$U$9*'Track Data'!T1677)+'Track Data'!V1677</f>
        <v>1424.9946420261035</v>
      </c>
      <c r="X1677" s="16">
        <f>('Gearing Calculator'!$U$9*9.81)*('Gearing Calculator'!$U$16/'Gearing Calculator'!$C$7)-(('Track Data'!W1677)*('Gearing Calculator'!$U$17/'Gearing Calculator'!$C$7))</f>
        <v>624.44290189196602</v>
      </c>
      <c r="Y1677" s="16">
        <f>('Gearing Calculator'!$U$9*9.81)*(('Gearing Calculator'!$C$7-'Gearing Calculator'!$U$16)/'Gearing Calculator'!$C$7)+(('Track Data'!W1677)*('Gearing Calculator'!$U$17/'Gearing Calculator'!$C$7))</f>
        <v>1986.9790981080341</v>
      </c>
      <c r="Z1677" s="16">
        <f>((X1677*COS('Gearing Calculator'!$C$21))/'Gearing Calculator'!$C$22)/2</f>
        <v>19.305799581863553</v>
      </c>
      <c r="AA1677" s="16">
        <f>Y1677/'Gearing Calculator'!$C$24</f>
        <v>27.744892629259336</v>
      </c>
      <c r="AB1677" s="16">
        <f t="shared" si="184"/>
        <v>286.6215104384089</v>
      </c>
      <c r="AC1677" s="16">
        <v>0</v>
      </c>
      <c r="AD1677" s="16">
        <v>0</v>
      </c>
      <c r="AE1677" s="16">
        <v>1674</v>
      </c>
      <c r="AF1677" s="16">
        <f>IF(AC1677=0,IF(O1677=6,INDEX(Acceleration!$V$4:$V$110,MATCH('Track Data'!S1677,Acceleration!$K$4:$K$110,0)),IF('Track Data'!O1677=5,INDEX(Acceleration!$U$4:$U$110,MATCH('Track Data'!S1677,Acceleration!$K$4:$K$110,0)),1)),U1677)</f>
        <v>1</v>
      </c>
      <c r="AG1677" s="16">
        <f>IF(AC1677=0,IF(O1677=4,INDEX(Acceleration!$T$4:$T$110,MATCH('Track Data'!S1677,Acceleration!$K$4:$K$110,0)),IF('Track Data'!O1677=3,INDEX(Acceleration!$S$4:$S$110,MATCH('Track Data'!S1677,Acceleration!$K$4:$K$110,0)),'Track Data'!AF1677)),'Track Data'!U1677)</f>
        <v>4.3416214019362878</v>
      </c>
      <c r="AH1677" s="16">
        <f>IF(AC1677=0,IF(O1677=2,INDEX(Acceleration!$R$4:$R$110,MATCH('Track Data'!S1677,Acceleration!$K$4:$K$110,0)),IF('Track Data'!O1677=1,INDEX(Acceleration!$Q$4:$Q$110,MATCH('Track Data'!S1677,Acceleration!$K$4:$K$110,0)),'Track Data'!AG1677)),'Track Data'!U1677)</f>
        <v>4.3416214019362878</v>
      </c>
    </row>
    <row r="1678" spans="2:34" x14ac:dyDescent="0.25">
      <c r="B1678" s="16">
        <v>242.411</v>
      </c>
      <c r="C1678" s="16">
        <v>8948</v>
      </c>
      <c r="D1678" s="16">
        <v>1675</v>
      </c>
      <c r="E1678" s="113">
        <v>197</v>
      </c>
      <c r="F1678" s="113">
        <v>195.5</v>
      </c>
      <c r="G1678" s="113">
        <v>193.2</v>
      </c>
      <c r="H1678" s="113">
        <f t="shared" si="187"/>
        <v>53.666666666666664</v>
      </c>
      <c r="I1678" s="113">
        <v>3.4</v>
      </c>
      <c r="J1678" s="113">
        <v>17.59</v>
      </c>
      <c r="K1678" s="113">
        <v>12.4</v>
      </c>
      <c r="L1678" s="185"/>
      <c r="M1678" s="16">
        <v>1675</v>
      </c>
      <c r="N1678" s="16">
        <f t="shared" si="189"/>
        <v>1.9792611110308115E-2</v>
      </c>
      <c r="O1678" s="16">
        <v>5</v>
      </c>
      <c r="P1678" s="16">
        <f t="shared" si="185"/>
        <v>8.1742160278745661</v>
      </c>
      <c r="Q1678" s="16">
        <f t="shared" si="190"/>
        <v>50.523904826240624</v>
      </c>
      <c r="R1678" s="113">
        <f t="shared" si="186"/>
        <v>319.54399999999998</v>
      </c>
      <c r="S1678" s="16">
        <f>IF(S1677=15800,15800,ROUND((((Q1678*60)/'Gearing Calculator'!$C$14)*'Track Data'!P1678),-2))</f>
        <v>12500</v>
      </c>
      <c r="T1678" s="16">
        <f t="shared" si="188"/>
        <v>4.2257927727819711</v>
      </c>
      <c r="U1678" s="16">
        <f>IF(AC1678=100,Braking!$AG$2354,IF(AC1678=50,Braking!$AG$1179,IF(AC1678=75,Braking!$AG$1767,0)))</f>
        <v>0</v>
      </c>
      <c r="V1678" s="16">
        <f>0.5*'Gearing Calculator'!$C$15*'Gearing Calculator'!$C$20*'Gearing Calculator'!$W$20*('Track Data'!Q1678^2)</f>
        <v>270.17405924902556</v>
      </c>
      <c r="W1678" s="16">
        <f>('Gearing Calculator'!$U$9*'Track Data'!T1678)+'Track Data'!V1678</f>
        <v>1395.0800953635862</v>
      </c>
      <c r="X1678" s="16">
        <f>('Gearing Calculator'!$U$9*9.81)*('Gearing Calculator'!$U$16/'Gearing Calculator'!$C$7)-(('Track Data'!W1678)*('Gearing Calculator'!$U$17/'Gearing Calculator'!$C$7))</f>
        <v>640.74837279910469</v>
      </c>
      <c r="Y1678" s="16">
        <f>('Gearing Calculator'!$U$9*9.81)*(('Gearing Calculator'!$C$7-'Gearing Calculator'!$U$16)/'Gearing Calculator'!$C$7)+(('Track Data'!W1678)*('Gearing Calculator'!$U$17/'Gearing Calculator'!$C$7))</f>
        <v>1970.6736272008952</v>
      </c>
      <c r="Z1678" s="16">
        <f>((X1678*COS('Gearing Calculator'!$C$21))/'Gearing Calculator'!$C$22)/2</f>
        <v>19.809913172501481</v>
      </c>
      <c r="AA1678" s="16">
        <f>Y1678/'Gearing Calculator'!$C$24</f>
        <v>27.517213566093126</v>
      </c>
      <c r="AB1678" s="16">
        <f t="shared" si="184"/>
        <v>291.30302311293542</v>
      </c>
      <c r="AC1678" s="16">
        <v>0</v>
      </c>
      <c r="AD1678" s="16">
        <v>0</v>
      </c>
      <c r="AE1678" s="16">
        <v>1675</v>
      </c>
      <c r="AF1678" s="16">
        <f>IF(AC1678=0,IF(O1678=6,INDEX(Acceleration!$V$4:$V$110,MATCH('Track Data'!S1678,Acceleration!$K$4:$K$110,0)),IF('Track Data'!O1678=5,INDEX(Acceleration!$U$4:$U$110,MATCH('Track Data'!S1678,Acceleration!$K$4:$K$110,0)),1)),U1678)</f>
        <v>4.2257927727819711</v>
      </c>
      <c r="AG1678" s="16">
        <f>IF(AC1678=0,IF(O1678=4,INDEX(Acceleration!$T$4:$T$110,MATCH('Track Data'!S1678,Acceleration!$K$4:$K$110,0)),IF('Track Data'!O1678=3,INDEX(Acceleration!$S$4:$S$110,MATCH('Track Data'!S1678,Acceleration!$K$4:$K$110,0)),'Track Data'!AF1678)),'Track Data'!U1678)</f>
        <v>4.2257927727819711</v>
      </c>
      <c r="AH1678" s="16">
        <f>IF(AC1678=0,IF(O1678=2,INDEX(Acceleration!$R$4:$R$110,MATCH('Track Data'!S1678,Acceleration!$K$4:$K$110,0)),IF('Track Data'!O1678=1,INDEX(Acceleration!$Q$4:$Q$110,MATCH('Track Data'!S1678,Acceleration!$K$4:$K$110,0)),'Track Data'!AG1678)),'Track Data'!U1678)</f>
        <v>4.2257927727819711</v>
      </c>
    </row>
    <row r="1679" spans="2:34" x14ac:dyDescent="0.25">
      <c r="B1679" s="16">
        <v>242.429</v>
      </c>
      <c r="C1679" s="16">
        <v>8949</v>
      </c>
      <c r="D1679" s="16">
        <v>1676</v>
      </c>
      <c r="E1679" s="113">
        <v>197</v>
      </c>
      <c r="F1679" s="113">
        <v>195.4</v>
      </c>
      <c r="G1679" s="113">
        <v>193.3</v>
      </c>
      <c r="H1679" s="113">
        <f t="shared" si="187"/>
        <v>53.694444444444443</v>
      </c>
      <c r="I1679" s="113">
        <v>3.4</v>
      </c>
      <c r="J1679" s="113">
        <v>16.690000000000001</v>
      </c>
      <c r="K1679" s="113">
        <v>7.3</v>
      </c>
      <c r="L1679" s="185"/>
      <c r="M1679" s="16">
        <v>1676</v>
      </c>
      <c r="N1679" s="16">
        <f t="shared" si="189"/>
        <v>1.9759926698109186E-2</v>
      </c>
      <c r="O1679" s="16">
        <v>5</v>
      </c>
      <c r="P1679" s="16">
        <f t="shared" si="185"/>
        <v>8.1742160278745661</v>
      </c>
      <c r="Q1679" s="16">
        <f t="shared" si="190"/>
        <v>50.607475183381595</v>
      </c>
      <c r="R1679" s="113">
        <f t="shared" si="186"/>
        <v>319.54399999999998</v>
      </c>
      <c r="S1679" s="16">
        <f>IF(S1678=15800,15800,ROUND((((Q1679*60)/'Gearing Calculator'!$C$14)*'Track Data'!P1679),-2))</f>
        <v>12500</v>
      </c>
      <c r="T1679" s="16">
        <f t="shared" si="188"/>
        <v>4.2257927727819711</v>
      </c>
      <c r="U1679" s="16">
        <f>IF(AC1679=100,Braking!$AG$2354,IF(AC1679=50,Braking!$AG$1179,IF(AC1679=75,Braking!$AG$1767,0)))</f>
        <v>0</v>
      </c>
      <c r="V1679" s="16">
        <f>0.5*'Gearing Calculator'!$C$15*'Gearing Calculator'!$C$20*'Gearing Calculator'!$W$20*('Track Data'!Q1679^2)</f>
        <v>271.068575063168</v>
      </c>
      <c r="W1679" s="16">
        <f>('Gearing Calculator'!$U$9*'Track Data'!T1679)+'Track Data'!V1679</f>
        <v>1395.9746111777288</v>
      </c>
      <c r="X1679" s="16">
        <f>('Gearing Calculator'!$U$9*9.81)*('Gearing Calculator'!$U$16/'Gearing Calculator'!$C$7)-(('Track Data'!W1679)*('Gearing Calculator'!$U$17/'Gearing Calculator'!$C$7))</f>
        <v>640.26080059057279</v>
      </c>
      <c r="Y1679" s="16">
        <f>('Gearing Calculator'!$U$9*9.81)*(('Gearing Calculator'!$C$7-'Gearing Calculator'!$U$16)/'Gearing Calculator'!$C$7)+(('Track Data'!W1679)*('Gearing Calculator'!$U$17/'Gearing Calculator'!$C$7))</f>
        <v>1971.1611994094274</v>
      </c>
      <c r="Z1679" s="16">
        <f>((X1679*COS('Gearing Calculator'!$C$21))/'Gearing Calculator'!$C$22)/2</f>
        <v>19.794838981873184</v>
      </c>
      <c r="AA1679" s="16">
        <f>Y1679/'Gearing Calculator'!$C$24</f>
        <v>27.524021709463941</v>
      </c>
      <c r="AB1679" s="16">
        <f t="shared" si="184"/>
        <v>292.19753892707786</v>
      </c>
      <c r="AC1679" s="16">
        <v>0</v>
      </c>
      <c r="AD1679" s="16">
        <v>0</v>
      </c>
      <c r="AE1679" s="16">
        <v>1676</v>
      </c>
      <c r="AF1679" s="16">
        <f>IF(AC1679=0,IF(O1679=6,INDEX(Acceleration!$V$4:$V$110,MATCH('Track Data'!S1679,Acceleration!$K$4:$K$110,0)),IF('Track Data'!O1679=5,INDEX(Acceleration!$U$4:$U$110,MATCH('Track Data'!S1679,Acceleration!$K$4:$K$110,0)),1)),U1679)</f>
        <v>4.2257927727819711</v>
      </c>
      <c r="AG1679" s="16">
        <f>IF(AC1679=0,IF(O1679=4,INDEX(Acceleration!$T$4:$T$110,MATCH('Track Data'!S1679,Acceleration!$K$4:$K$110,0)),IF('Track Data'!O1679=3,INDEX(Acceleration!$S$4:$S$110,MATCH('Track Data'!S1679,Acceleration!$K$4:$K$110,0)),'Track Data'!AF1679)),'Track Data'!U1679)</f>
        <v>4.2257927727819711</v>
      </c>
      <c r="AH1679" s="16">
        <f>IF(AC1679=0,IF(O1679=2,INDEX(Acceleration!$R$4:$R$110,MATCH('Track Data'!S1679,Acceleration!$K$4:$K$110,0)),IF('Track Data'!O1679=1,INDEX(Acceleration!$Q$4:$Q$110,MATCH('Track Data'!S1679,Acceleration!$K$4:$K$110,0)),'Track Data'!AG1679)),'Track Data'!U1679)</f>
        <v>4.2257927727819711</v>
      </c>
    </row>
    <row r="1680" spans="2:34" x14ac:dyDescent="0.25">
      <c r="B1680" s="16">
        <v>242.447</v>
      </c>
      <c r="C1680" s="16">
        <v>8950</v>
      </c>
      <c r="D1680" s="16">
        <v>1677</v>
      </c>
      <c r="E1680" s="113">
        <v>197</v>
      </c>
      <c r="F1680" s="113">
        <v>195.2</v>
      </c>
      <c r="G1680" s="113">
        <v>193.5</v>
      </c>
      <c r="H1680" s="113">
        <f t="shared" si="187"/>
        <v>53.75</v>
      </c>
      <c r="I1680" s="113">
        <v>3.7</v>
      </c>
      <c r="J1680" s="113">
        <v>16.16</v>
      </c>
      <c r="K1680" s="113">
        <v>-3.1</v>
      </c>
      <c r="L1680" s="185"/>
      <c r="M1680" s="16">
        <v>1677</v>
      </c>
      <c r="N1680" s="16">
        <f t="shared" si="189"/>
        <v>1.9727403672610201E-2</v>
      </c>
      <c r="O1680" s="16">
        <v>5</v>
      </c>
      <c r="P1680" s="16">
        <f t="shared" si="185"/>
        <v>8.1742160278745661</v>
      </c>
      <c r="Q1680" s="16">
        <f t="shared" si="190"/>
        <v>50.690907764431955</v>
      </c>
      <c r="R1680" s="113">
        <f t="shared" si="186"/>
        <v>319.54399999999998</v>
      </c>
      <c r="S1680" s="16">
        <f>IF(S1679=15800,15800,ROUND((((Q1680*60)/'Gearing Calculator'!$C$14)*'Track Data'!P1680),-2))</f>
        <v>12600</v>
      </c>
      <c r="T1680" s="16">
        <f t="shared" si="188"/>
        <v>4.2219675720830461</v>
      </c>
      <c r="U1680" s="16">
        <f>IF(AC1680=100,Braking!$AG$2354,IF(AC1680=50,Braking!$AG$1179,IF(AC1680=75,Braking!$AG$1767,0)))</f>
        <v>0</v>
      </c>
      <c r="V1680" s="16">
        <f>0.5*'Gearing Calculator'!$C$15*'Gearing Calculator'!$C$20*'Gearing Calculator'!$W$20*('Track Data'!Q1680^2)</f>
        <v>271.96309087731055</v>
      </c>
      <c r="W1680" s="16">
        <f>('Gearing Calculator'!$U$9*'Track Data'!T1680)+'Track Data'!V1680</f>
        <v>1395.8508585658174</v>
      </c>
      <c r="X1680" s="16">
        <f>('Gearing Calculator'!$U$9*9.81)*('Gearing Calculator'!$U$16/'Gearing Calculator'!$C$7)-(('Track Data'!W1680)*('Gearing Calculator'!$U$17/'Gearing Calculator'!$C$7))</f>
        <v>640.32825421559232</v>
      </c>
      <c r="Y1680" s="16">
        <f>('Gearing Calculator'!$U$9*9.81)*(('Gearing Calculator'!$C$7-'Gearing Calculator'!$U$16)/'Gearing Calculator'!$C$7)+(('Track Data'!W1680)*('Gearing Calculator'!$U$17/'Gearing Calculator'!$C$7))</f>
        <v>1971.0937457844077</v>
      </c>
      <c r="Z1680" s="16">
        <f>((X1680*COS('Gearing Calculator'!$C$21))/'Gearing Calculator'!$C$22)/2</f>
        <v>19.796924434621154</v>
      </c>
      <c r="AA1680" s="16">
        <f>Y1680/'Gearing Calculator'!$C$24</f>
        <v>27.523079830616094</v>
      </c>
      <c r="AB1680" s="16">
        <f t="shared" si="184"/>
        <v>293.07292873772576</v>
      </c>
      <c r="AC1680" s="16">
        <v>0</v>
      </c>
      <c r="AD1680" s="16">
        <v>0</v>
      </c>
      <c r="AE1680" s="16">
        <v>1677</v>
      </c>
      <c r="AF1680" s="16">
        <f>IF(AC1680=0,IF(O1680=6,INDEX(Acceleration!$V$4:$V$110,MATCH('Track Data'!S1680,Acceleration!$K$4:$K$110,0)),IF('Track Data'!O1680=5,INDEX(Acceleration!$U$4:$U$110,MATCH('Track Data'!S1680,Acceleration!$K$4:$K$110,0)),1)),U1680)</f>
        <v>4.2219675720830461</v>
      </c>
      <c r="AG1680" s="16">
        <f>IF(AC1680=0,IF(O1680=4,INDEX(Acceleration!$T$4:$T$110,MATCH('Track Data'!S1680,Acceleration!$K$4:$K$110,0)),IF('Track Data'!O1680=3,INDEX(Acceleration!$S$4:$S$110,MATCH('Track Data'!S1680,Acceleration!$K$4:$K$110,0)),'Track Data'!AF1680)),'Track Data'!U1680)</f>
        <v>4.2219675720830461</v>
      </c>
      <c r="AH1680" s="16">
        <f>IF(AC1680=0,IF(O1680=2,INDEX(Acceleration!$R$4:$R$110,MATCH('Track Data'!S1680,Acceleration!$K$4:$K$110,0)),IF('Track Data'!O1680=1,INDEX(Acceleration!$Q$4:$Q$110,MATCH('Track Data'!S1680,Acceleration!$K$4:$K$110,0)),'Track Data'!AG1680)),'Track Data'!U1680)</f>
        <v>4.2219675720830461</v>
      </c>
    </row>
    <row r="1681" spans="2:34" x14ac:dyDescent="0.25">
      <c r="B1681" s="16">
        <v>242.46600000000001</v>
      </c>
      <c r="C1681" s="16">
        <v>8951</v>
      </c>
      <c r="D1681" s="16">
        <v>1678</v>
      </c>
      <c r="E1681" s="113">
        <v>197</v>
      </c>
      <c r="F1681" s="113">
        <v>195.2</v>
      </c>
      <c r="G1681" s="113">
        <v>193.7</v>
      </c>
      <c r="H1681" s="113">
        <f t="shared" si="187"/>
        <v>53.80555555555555</v>
      </c>
      <c r="I1681" s="113">
        <v>4.5</v>
      </c>
      <c r="J1681" s="113">
        <v>13.33</v>
      </c>
      <c r="K1681" s="113">
        <v>-13.3</v>
      </c>
      <c r="L1681" s="185"/>
      <c r="M1681" s="16">
        <v>1678</v>
      </c>
      <c r="N1681" s="16">
        <f t="shared" si="189"/>
        <v>1.9695069933099371E-2</v>
      </c>
      <c r="O1681" s="16">
        <v>5</v>
      </c>
      <c r="P1681" s="16">
        <f t="shared" si="185"/>
        <v>8.1742160278745661</v>
      </c>
      <c r="Q1681" s="16">
        <f t="shared" si="190"/>
        <v>50.774127911036679</v>
      </c>
      <c r="R1681" s="113">
        <f t="shared" si="186"/>
        <v>319.54399999999998</v>
      </c>
      <c r="S1681" s="16">
        <f>IF(S1680=15800,15800,ROUND((((Q1681*60)/'Gearing Calculator'!$C$14)*'Track Data'!P1681),-2))</f>
        <v>12600</v>
      </c>
      <c r="T1681" s="16">
        <f t="shared" si="188"/>
        <v>4.2219675720830461</v>
      </c>
      <c r="U1681" s="16">
        <f>IF(AC1681=100,Braking!$AG$2354,IF(AC1681=50,Braking!$AG$1179,IF(AC1681=75,Braking!$AG$1767,0)))</f>
        <v>0</v>
      </c>
      <c r="V1681" s="16">
        <f>0.5*'Gearing Calculator'!$C$15*'Gearing Calculator'!$C$20*'Gearing Calculator'!$W$20*('Track Data'!Q1681^2)</f>
        <v>272.85679697296899</v>
      </c>
      <c r="W1681" s="16">
        <f>('Gearing Calculator'!$U$9*'Track Data'!T1681)+'Track Data'!V1681</f>
        <v>1396.7445646614758</v>
      </c>
      <c r="X1681" s="16">
        <f>('Gearing Calculator'!$U$9*9.81)*('Gearing Calculator'!$U$16/'Gearing Calculator'!$C$7)-(('Track Data'!W1681)*('Gearing Calculator'!$U$17/'Gearing Calculator'!$C$7))</f>
        <v>639.84112335893292</v>
      </c>
      <c r="Y1681" s="16">
        <f>('Gearing Calculator'!$U$9*9.81)*(('Gearing Calculator'!$C$7-'Gearing Calculator'!$U$16)/'Gearing Calculator'!$C$7)+(('Track Data'!W1681)*('Gearing Calculator'!$U$17/'Gearing Calculator'!$C$7))</f>
        <v>1971.5808766410671</v>
      </c>
      <c r="Z1681" s="16">
        <f>((X1681*COS('Gearing Calculator'!$C$21))/'Gearing Calculator'!$C$22)/2</f>
        <v>19.781863889196881</v>
      </c>
      <c r="AA1681" s="16">
        <f>Y1681/'Gearing Calculator'!$C$24</f>
        <v>27.52988181123445</v>
      </c>
      <c r="AB1681" s="16">
        <f t="shared" si="184"/>
        <v>293.96663483338421</v>
      </c>
      <c r="AC1681" s="16">
        <v>0</v>
      </c>
      <c r="AD1681" s="16">
        <v>0</v>
      </c>
      <c r="AE1681" s="16">
        <v>1678</v>
      </c>
      <c r="AF1681" s="16">
        <f>IF(AC1681=0,IF(O1681=6,INDEX(Acceleration!$V$4:$V$110,MATCH('Track Data'!S1681,Acceleration!$K$4:$K$110,0)),IF('Track Data'!O1681=5,INDEX(Acceleration!$U$4:$U$110,MATCH('Track Data'!S1681,Acceleration!$K$4:$K$110,0)),1)),U1681)</f>
        <v>4.2219675720830461</v>
      </c>
      <c r="AG1681" s="16">
        <f>IF(AC1681=0,IF(O1681=4,INDEX(Acceleration!$T$4:$T$110,MATCH('Track Data'!S1681,Acceleration!$K$4:$K$110,0)),IF('Track Data'!O1681=3,INDEX(Acceleration!$S$4:$S$110,MATCH('Track Data'!S1681,Acceleration!$K$4:$K$110,0)),'Track Data'!AF1681)),'Track Data'!U1681)</f>
        <v>4.2219675720830461</v>
      </c>
      <c r="AH1681" s="16">
        <f>IF(AC1681=0,IF(O1681=2,INDEX(Acceleration!$R$4:$R$110,MATCH('Track Data'!S1681,Acceleration!$K$4:$K$110,0)),IF('Track Data'!O1681=1,INDEX(Acceleration!$Q$4:$Q$110,MATCH('Track Data'!S1681,Acceleration!$K$4:$K$110,0)),'Track Data'!AG1681)),'Track Data'!U1681)</f>
        <v>4.2219675720830461</v>
      </c>
    </row>
    <row r="1682" spans="2:34" x14ac:dyDescent="0.25">
      <c r="B1682" s="16">
        <v>242.48400000000001</v>
      </c>
      <c r="C1682" s="16">
        <v>8953</v>
      </c>
      <c r="D1682" s="16">
        <v>1679</v>
      </c>
      <c r="E1682" s="113">
        <v>197</v>
      </c>
      <c r="F1682" s="113">
        <v>195.2</v>
      </c>
      <c r="G1682" s="113">
        <v>194</v>
      </c>
      <c r="H1682" s="113">
        <f t="shared" si="187"/>
        <v>53.888888888888886</v>
      </c>
      <c r="I1682" s="113">
        <v>4.5</v>
      </c>
      <c r="J1682" s="113">
        <v>13.04</v>
      </c>
      <c r="K1682" s="113">
        <v>-20.5</v>
      </c>
      <c r="L1682" s="185"/>
      <c r="M1682" s="16">
        <v>1679</v>
      </c>
      <c r="N1682" s="16">
        <f t="shared" si="189"/>
        <v>1.9662894661770233E-2</v>
      </c>
      <c r="O1682" s="16">
        <v>5</v>
      </c>
      <c r="P1682" s="16">
        <f t="shared" si="185"/>
        <v>8.1742160278745661</v>
      </c>
      <c r="Q1682" s="16">
        <f t="shared" si="190"/>
        <v>50.857211880622003</v>
      </c>
      <c r="R1682" s="113">
        <f t="shared" si="186"/>
        <v>319.54399999999998</v>
      </c>
      <c r="S1682" s="16">
        <f>IF(S1681=15800,15800,ROUND((((Q1682*60)/'Gearing Calculator'!$C$14)*'Track Data'!P1682),-2))</f>
        <v>12600</v>
      </c>
      <c r="T1682" s="16">
        <f t="shared" si="188"/>
        <v>4.2219675720830461</v>
      </c>
      <c r="U1682" s="16">
        <f>IF(AC1682=100,Braking!$AG$2354,IF(AC1682=50,Braking!$AG$1179,IF(AC1682=75,Braking!$AG$1767,0)))</f>
        <v>0</v>
      </c>
      <c r="V1682" s="16">
        <f>0.5*'Gearing Calculator'!$C$15*'Gearing Calculator'!$C$20*'Gearing Calculator'!$W$20*('Track Data'!Q1682^2)</f>
        <v>273.75050306862755</v>
      </c>
      <c r="W1682" s="16">
        <f>('Gearing Calculator'!$U$9*'Track Data'!T1682)+'Track Data'!V1682</f>
        <v>1397.6382707571343</v>
      </c>
      <c r="X1682" s="16">
        <f>('Gearing Calculator'!$U$9*9.81)*('Gearing Calculator'!$U$16/'Gearing Calculator'!$C$7)-(('Track Data'!W1682)*('Gearing Calculator'!$U$17/'Gearing Calculator'!$C$7))</f>
        <v>639.3539925022734</v>
      </c>
      <c r="Y1682" s="16">
        <f>('Gearing Calculator'!$U$9*9.81)*(('Gearing Calculator'!$C$7-'Gearing Calculator'!$U$16)/'Gearing Calculator'!$C$7)+(('Track Data'!W1682)*('Gearing Calculator'!$U$17/'Gearing Calculator'!$C$7))</f>
        <v>1972.0680074977267</v>
      </c>
      <c r="Z1682" s="16">
        <f>((X1682*COS('Gearing Calculator'!$C$21))/'Gearing Calculator'!$C$22)/2</f>
        <v>19.766803343772605</v>
      </c>
      <c r="AA1682" s="16">
        <f>Y1682/'Gearing Calculator'!$C$24</f>
        <v>27.536683791852813</v>
      </c>
      <c r="AB1682" s="16">
        <f t="shared" si="184"/>
        <v>294.86034092904276</v>
      </c>
      <c r="AC1682" s="16">
        <v>0</v>
      </c>
      <c r="AD1682" s="16">
        <v>0</v>
      </c>
      <c r="AE1682" s="16">
        <v>1679</v>
      </c>
      <c r="AF1682" s="16">
        <f>IF(AC1682=0,IF(O1682=6,INDEX(Acceleration!$V$4:$V$110,MATCH('Track Data'!S1682,Acceleration!$K$4:$K$110,0)),IF('Track Data'!O1682=5,INDEX(Acceleration!$U$4:$U$110,MATCH('Track Data'!S1682,Acceleration!$K$4:$K$110,0)),1)),U1682)</f>
        <v>4.2219675720830461</v>
      </c>
      <c r="AG1682" s="16">
        <f>IF(AC1682=0,IF(O1682=4,INDEX(Acceleration!$T$4:$T$110,MATCH('Track Data'!S1682,Acceleration!$K$4:$K$110,0)),IF('Track Data'!O1682=3,INDEX(Acceleration!$S$4:$S$110,MATCH('Track Data'!S1682,Acceleration!$K$4:$K$110,0)),'Track Data'!AF1682)),'Track Data'!U1682)</f>
        <v>4.2219675720830461</v>
      </c>
      <c r="AH1682" s="16">
        <f>IF(AC1682=0,IF(O1682=2,INDEX(Acceleration!$R$4:$R$110,MATCH('Track Data'!S1682,Acceleration!$K$4:$K$110,0)),IF('Track Data'!O1682=1,INDEX(Acceleration!$Q$4:$Q$110,MATCH('Track Data'!S1682,Acceleration!$K$4:$K$110,0)),'Track Data'!AG1682)),'Track Data'!U1682)</f>
        <v>4.2219675720830461</v>
      </c>
    </row>
    <row r="1683" spans="2:34" x14ac:dyDescent="0.25">
      <c r="B1683" s="16">
        <v>242.50200000000001</v>
      </c>
      <c r="C1683" s="16">
        <v>8954</v>
      </c>
      <c r="D1683" s="16">
        <v>1680</v>
      </c>
      <c r="E1683" s="113">
        <v>198</v>
      </c>
      <c r="F1683" s="113">
        <v>195.4</v>
      </c>
      <c r="G1683" s="113">
        <v>194.2</v>
      </c>
      <c r="H1683" s="113">
        <f t="shared" si="187"/>
        <v>53.944444444444443</v>
      </c>
      <c r="I1683" s="113">
        <v>3.9</v>
      </c>
      <c r="J1683" s="113">
        <v>12.37</v>
      </c>
      <c r="K1683" s="113">
        <v>-13.9</v>
      </c>
      <c r="L1683" s="185"/>
      <c r="M1683" s="16">
        <v>1680</v>
      </c>
      <c r="N1683" s="16">
        <f t="shared" si="189"/>
        <v>1.9630876568412562E-2</v>
      </c>
      <c r="O1683" s="16">
        <v>5</v>
      </c>
      <c r="P1683" s="16">
        <f t="shared" si="185"/>
        <v>8.1742160278745661</v>
      </c>
      <c r="Q1683" s="16">
        <f t="shared" si="190"/>
        <v>50.940160339506647</v>
      </c>
      <c r="R1683" s="113">
        <f t="shared" si="186"/>
        <v>319.54399999999998</v>
      </c>
      <c r="S1683" s="16">
        <f>IF(S1682=15800,15800,ROUND((((Q1683*60)/'Gearing Calculator'!$C$14)*'Track Data'!P1683),-2))</f>
        <v>12600</v>
      </c>
      <c r="T1683" s="16">
        <f t="shared" si="188"/>
        <v>4.2219675720830461</v>
      </c>
      <c r="U1683" s="16">
        <f>IF(AC1683=100,Braking!$AG$2354,IF(AC1683=50,Braking!$AG$1179,IF(AC1683=75,Braking!$AG$1767,0)))</f>
        <v>0</v>
      </c>
      <c r="V1683" s="16">
        <f>0.5*'Gearing Calculator'!$C$15*'Gearing Calculator'!$C$20*'Gearing Calculator'!$W$20*('Track Data'!Q1683^2)</f>
        <v>274.64420916428611</v>
      </c>
      <c r="W1683" s="16">
        <f>('Gearing Calculator'!$U$9*'Track Data'!T1683)+'Track Data'!V1683</f>
        <v>1398.5319768527929</v>
      </c>
      <c r="X1683" s="16">
        <f>('Gearing Calculator'!$U$9*9.81)*('Gearing Calculator'!$U$16/'Gearing Calculator'!$C$7)-(('Track Data'!W1683)*('Gearing Calculator'!$U$17/'Gearing Calculator'!$C$7))</f>
        <v>638.86686164561388</v>
      </c>
      <c r="Y1683" s="16">
        <f>('Gearing Calculator'!$U$9*9.81)*(('Gearing Calculator'!$C$7-'Gearing Calculator'!$U$16)/'Gearing Calculator'!$C$7)+(('Track Data'!W1683)*('Gearing Calculator'!$U$17/'Gearing Calculator'!$C$7))</f>
        <v>1972.5551383543861</v>
      </c>
      <c r="Z1683" s="16">
        <f>((X1683*COS('Gearing Calculator'!$C$21))/'Gearing Calculator'!$C$22)/2</f>
        <v>19.751742798348332</v>
      </c>
      <c r="AA1683" s="16">
        <f>Y1683/'Gearing Calculator'!$C$24</f>
        <v>27.543485772471172</v>
      </c>
      <c r="AB1683" s="16">
        <f t="shared" si="184"/>
        <v>295.75404702470132</v>
      </c>
      <c r="AC1683" s="16">
        <v>0</v>
      </c>
      <c r="AD1683" s="16">
        <v>0</v>
      </c>
      <c r="AE1683" s="16">
        <v>1680</v>
      </c>
      <c r="AF1683" s="16">
        <f>IF(AC1683=0,IF(O1683=6,INDEX(Acceleration!$V$4:$V$110,MATCH('Track Data'!S1683,Acceleration!$K$4:$K$110,0)),IF('Track Data'!O1683=5,INDEX(Acceleration!$U$4:$U$110,MATCH('Track Data'!S1683,Acceleration!$K$4:$K$110,0)),1)),U1683)</f>
        <v>4.2219675720830461</v>
      </c>
      <c r="AG1683" s="16">
        <f>IF(AC1683=0,IF(O1683=4,INDEX(Acceleration!$T$4:$T$110,MATCH('Track Data'!S1683,Acceleration!$K$4:$K$110,0)),IF('Track Data'!O1683=3,INDEX(Acceleration!$S$4:$S$110,MATCH('Track Data'!S1683,Acceleration!$K$4:$K$110,0)),'Track Data'!AF1683)),'Track Data'!U1683)</f>
        <v>4.2219675720830461</v>
      </c>
      <c r="AH1683" s="16">
        <f>IF(AC1683=0,IF(O1683=2,INDEX(Acceleration!$R$4:$R$110,MATCH('Track Data'!S1683,Acceleration!$K$4:$K$110,0)),IF('Track Data'!O1683=1,INDEX(Acceleration!$Q$4:$Q$110,MATCH('Track Data'!S1683,Acceleration!$K$4:$K$110,0)),'Track Data'!AG1683)),'Track Data'!U1683)</f>
        <v>4.2219675720830461</v>
      </c>
    </row>
    <row r="1684" spans="2:34" x14ac:dyDescent="0.25">
      <c r="B1684" s="16">
        <v>242.52099999999999</v>
      </c>
      <c r="C1684" s="16">
        <v>8954</v>
      </c>
      <c r="D1684" s="16">
        <v>1681</v>
      </c>
      <c r="E1684" s="113">
        <v>198</v>
      </c>
      <c r="F1684" s="113">
        <v>195.6</v>
      </c>
      <c r="G1684" s="113">
        <v>194.4</v>
      </c>
      <c r="H1684" s="113">
        <f t="shared" si="187"/>
        <v>54</v>
      </c>
      <c r="I1684" s="113">
        <v>2.8</v>
      </c>
      <c r="J1684" s="113">
        <v>10.81</v>
      </c>
      <c r="K1684" s="113">
        <v>-7.4</v>
      </c>
      <c r="L1684" s="185"/>
      <c r="M1684" s="16">
        <v>1681</v>
      </c>
      <c r="N1684" s="16">
        <f t="shared" si="189"/>
        <v>1.9599014377474824E-2</v>
      </c>
      <c r="O1684" s="16">
        <v>5</v>
      </c>
      <c r="P1684" s="16">
        <f t="shared" si="185"/>
        <v>8.1742160278745661</v>
      </c>
      <c r="Q1684" s="16">
        <f t="shared" si="190"/>
        <v>51.022973948593119</v>
      </c>
      <c r="R1684" s="113">
        <f t="shared" si="186"/>
        <v>319.54399999999998</v>
      </c>
      <c r="S1684" s="16">
        <f>IF(S1683=15800,15800,ROUND((((Q1684*60)/'Gearing Calculator'!$C$14)*'Track Data'!P1684),-2))</f>
        <v>12600</v>
      </c>
      <c r="T1684" s="16">
        <f t="shared" si="188"/>
        <v>4.2219675720830461</v>
      </c>
      <c r="U1684" s="16">
        <f>IF(AC1684=100,Braking!$AG$2354,IF(AC1684=50,Braking!$AG$1179,IF(AC1684=75,Braking!$AG$1767,0)))</f>
        <v>0</v>
      </c>
      <c r="V1684" s="16">
        <f>0.5*'Gearing Calculator'!$C$15*'Gearing Calculator'!$C$20*'Gearing Calculator'!$W$20*('Track Data'!Q1684^2)</f>
        <v>275.53791525994461</v>
      </c>
      <c r="W1684" s="16">
        <f>('Gearing Calculator'!$U$9*'Track Data'!T1684)+'Track Data'!V1684</f>
        <v>1399.4256829484514</v>
      </c>
      <c r="X1684" s="16">
        <f>('Gearing Calculator'!$U$9*9.81)*('Gearing Calculator'!$U$16/'Gearing Calculator'!$C$7)-(('Track Data'!W1684)*('Gearing Calculator'!$U$17/'Gearing Calculator'!$C$7))</f>
        <v>638.37973078895436</v>
      </c>
      <c r="Y1684" s="16">
        <f>('Gearing Calculator'!$U$9*9.81)*(('Gearing Calculator'!$C$7-'Gearing Calculator'!$U$16)/'Gearing Calculator'!$C$7)+(('Track Data'!W1684)*('Gearing Calculator'!$U$17/'Gearing Calculator'!$C$7))</f>
        <v>1973.0422692110456</v>
      </c>
      <c r="Z1684" s="16">
        <f>((X1684*COS('Gearing Calculator'!$C$21))/'Gearing Calculator'!$C$22)/2</f>
        <v>19.736682252924052</v>
      </c>
      <c r="AA1684" s="16">
        <f>Y1684/'Gearing Calculator'!$C$24</f>
        <v>27.550287753089531</v>
      </c>
      <c r="AB1684" s="16">
        <f t="shared" si="184"/>
        <v>296.64775312035982</v>
      </c>
      <c r="AC1684" s="16">
        <v>0</v>
      </c>
      <c r="AD1684" s="16">
        <v>0</v>
      </c>
      <c r="AE1684" s="16">
        <v>1681</v>
      </c>
      <c r="AF1684" s="16">
        <f>IF(AC1684=0,IF(O1684=6,INDEX(Acceleration!$V$4:$V$110,MATCH('Track Data'!S1684,Acceleration!$K$4:$K$110,0)),IF('Track Data'!O1684=5,INDEX(Acceleration!$U$4:$U$110,MATCH('Track Data'!S1684,Acceleration!$K$4:$K$110,0)),1)),U1684)</f>
        <v>4.2219675720830461</v>
      </c>
      <c r="AG1684" s="16">
        <f>IF(AC1684=0,IF(O1684=4,INDEX(Acceleration!$T$4:$T$110,MATCH('Track Data'!S1684,Acceleration!$K$4:$K$110,0)),IF('Track Data'!O1684=3,INDEX(Acceleration!$S$4:$S$110,MATCH('Track Data'!S1684,Acceleration!$K$4:$K$110,0)),'Track Data'!AF1684)),'Track Data'!U1684)</f>
        <v>4.2219675720830461</v>
      </c>
      <c r="AH1684" s="16">
        <f>IF(AC1684=0,IF(O1684=2,INDEX(Acceleration!$R$4:$R$110,MATCH('Track Data'!S1684,Acceleration!$K$4:$K$110,0)),IF('Track Data'!O1684=1,INDEX(Acceleration!$Q$4:$Q$110,MATCH('Track Data'!S1684,Acceleration!$K$4:$K$110,0)),'Track Data'!AG1684)),'Track Data'!U1684)</f>
        <v>4.2219675720830461</v>
      </c>
    </row>
    <row r="1685" spans="2:34" x14ac:dyDescent="0.25">
      <c r="B1685" s="16">
        <v>242.53899999999999</v>
      </c>
      <c r="C1685" s="16">
        <v>8955</v>
      </c>
      <c r="D1685" s="16">
        <v>1682</v>
      </c>
      <c r="E1685" s="113">
        <v>198</v>
      </c>
      <c r="F1685" s="113">
        <v>195.8</v>
      </c>
      <c r="G1685" s="113">
        <v>194.5</v>
      </c>
      <c r="H1685" s="113">
        <f t="shared" si="187"/>
        <v>54.027777777777779</v>
      </c>
      <c r="I1685" s="113">
        <v>2.4</v>
      </c>
      <c r="J1685" s="113">
        <v>9.99</v>
      </c>
      <c r="K1685" s="113">
        <v>-4.2</v>
      </c>
      <c r="L1685" s="185"/>
      <c r="M1685" s="16">
        <v>1682</v>
      </c>
      <c r="N1685" s="16">
        <f t="shared" si="189"/>
        <v>1.9567306827850732E-2</v>
      </c>
      <c r="O1685" s="16">
        <v>5</v>
      </c>
      <c r="P1685" s="16">
        <f t="shared" si="185"/>
        <v>8.1742160278745661</v>
      </c>
      <c r="Q1685" s="16">
        <f t="shared" si="190"/>
        <v>51.105653363429155</v>
      </c>
      <c r="R1685" s="113">
        <f t="shared" si="186"/>
        <v>319.54399999999998</v>
      </c>
      <c r="S1685" s="16">
        <f>IF(S1684=15800,15800,ROUND((((Q1685*60)/'Gearing Calculator'!$C$14)*'Track Data'!P1685),-2))</f>
        <v>12700</v>
      </c>
      <c r="T1685" s="16">
        <f t="shared" si="188"/>
        <v>4.2179466544177524</v>
      </c>
      <c r="U1685" s="16">
        <f>IF(AC1685=100,Braking!$AG$2354,IF(AC1685=50,Braking!$AG$1179,IF(AC1685=75,Braking!$AG$1767,0)))</f>
        <v>0</v>
      </c>
      <c r="V1685" s="16">
        <f>0.5*'Gearing Calculator'!$C$15*'Gearing Calculator'!$C$20*'Gearing Calculator'!$W$20*('Track Data'!Q1685^2)</f>
        <v>276.43162135560317</v>
      </c>
      <c r="W1685" s="16">
        <f>('Gearing Calculator'!$U$9*'Track Data'!T1685)+'Track Data'!V1685</f>
        <v>1399.2490207616088</v>
      </c>
      <c r="X1685" s="16">
        <f>('Gearing Calculator'!$U$9*9.81)*('Gearing Calculator'!$U$16/'Gearing Calculator'!$C$7)-(('Track Data'!W1685)*('Gearing Calculator'!$U$17/'Gearing Calculator'!$C$7))</f>
        <v>638.47602374570386</v>
      </c>
      <c r="Y1685" s="16">
        <f>('Gearing Calculator'!$U$9*9.81)*(('Gearing Calculator'!$C$7-'Gearing Calculator'!$U$16)/'Gearing Calculator'!$C$7)+(('Track Data'!W1685)*('Gearing Calculator'!$U$17/'Gearing Calculator'!$C$7))</f>
        <v>1972.9459762542961</v>
      </c>
      <c r="Z1685" s="16">
        <f>((X1685*COS('Gearing Calculator'!$C$21))/'Gearing Calculator'!$C$22)/2</f>
        <v>19.739659326598073</v>
      </c>
      <c r="AA1685" s="16">
        <f>Y1685/'Gearing Calculator'!$C$24</f>
        <v>27.548943180442283</v>
      </c>
      <c r="AB1685" s="16">
        <f t="shared" si="184"/>
        <v>297.52135462769195</v>
      </c>
      <c r="AC1685" s="16">
        <v>0</v>
      </c>
      <c r="AD1685" s="16">
        <v>0</v>
      </c>
      <c r="AE1685" s="16">
        <v>1682</v>
      </c>
      <c r="AF1685" s="16">
        <f>IF(AC1685=0,IF(O1685=6,INDEX(Acceleration!$V$4:$V$110,MATCH('Track Data'!S1685,Acceleration!$K$4:$K$110,0)),IF('Track Data'!O1685=5,INDEX(Acceleration!$U$4:$U$110,MATCH('Track Data'!S1685,Acceleration!$K$4:$K$110,0)),1)),U1685)</f>
        <v>4.2179466544177524</v>
      </c>
      <c r="AG1685" s="16">
        <f>IF(AC1685=0,IF(O1685=4,INDEX(Acceleration!$T$4:$T$110,MATCH('Track Data'!S1685,Acceleration!$K$4:$K$110,0)),IF('Track Data'!O1685=3,INDEX(Acceleration!$S$4:$S$110,MATCH('Track Data'!S1685,Acceleration!$K$4:$K$110,0)),'Track Data'!AF1685)),'Track Data'!U1685)</f>
        <v>4.2179466544177524</v>
      </c>
      <c r="AH1685" s="16">
        <f>IF(AC1685=0,IF(O1685=2,INDEX(Acceleration!$R$4:$R$110,MATCH('Track Data'!S1685,Acceleration!$K$4:$K$110,0)),IF('Track Data'!O1685=1,INDEX(Acceleration!$Q$4:$Q$110,MATCH('Track Data'!S1685,Acceleration!$K$4:$K$110,0)),'Track Data'!AG1685)),'Track Data'!U1685)</f>
        <v>4.2179466544177524</v>
      </c>
    </row>
    <row r="1686" spans="2:34" x14ac:dyDescent="0.25">
      <c r="B1686" s="16">
        <v>242.55799999999999</v>
      </c>
      <c r="C1686" s="16">
        <v>8956</v>
      </c>
      <c r="D1686" s="16">
        <v>1683</v>
      </c>
      <c r="E1686" s="113">
        <v>199</v>
      </c>
      <c r="F1686" s="113">
        <v>196.2</v>
      </c>
      <c r="G1686" s="113">
        <v>194.8</v>
      </c>
      <c r="H1686" s="113">
        <f t="shared" si="187"/>
        <v>54.111111111111114</v>
      </c>
      <c r="I1686" s="113">
        <v>1.7</v>
      </c>
      <c r="J1686" s="113">
        <v>10.32</v>
      </c>
      <c r="K1686" s="113">
        <v>2.4</v>
      </c>
      <c r="L1686" s="185"/>
      <c r="M1686" s="16">
        <v>1683</v>
      </c>
      <c r="N1686" s="16">
        <f t="shared" si="189"/>
        <v>1.9535782651633898E-2</v>
      </c>
      <c r="O1686" s="16">
        <v>5</v>
      </c>
      <c r="P1686" s="16">
        <f t="shared" si="185"/>
        <v>8.1742160278745661</v>
      </c>
      <c r="Q1686" s="16">
        <f t="shared" si="190"/>
        <v>51.188120682554988</v>
      </c>
      <c r="R1686" s="113">
        <f t="shared" si="186"/>
        <v>319.54399999999998</v>
      </c>
      <c r="S1686" s="16">
        <f>IF(S1685=15800,15800,ROUND((((Q1686*60)/'Gearing Calculator'!$C$14)*'Track Data'!P1686),-2))</f>
        <v>12700</v>
      </c>
      <c r="T1686" s="16">
        <f t="shared" si="188"/>
        <v>4.2179466544177524</v>
      </c>
      <c r="U1686" s="16">
        <f>IF(AC1686=100,Braking!$AG$2354,IF(AC1686=50,Braking!$AG$1179,IF(AC1686=75,Braking!$AG$1767,0)))</f>
        <v>0</v>
      </c>
      <c r="V1686" s="16">
        <f>0.5*'Gearing Calculator'!$C$15*'Gearing Calculator'!$C$20*'Gearing Calculator'!$W$20*('Track Data'!Q1686^2)</f>
        <v>277.32447630341034</v>
      </c>
      <c r="W1686" s="16">
        <f>('Gearing Calculator'!$U$9*'Track Data'!T1686)+'Track Data'!V1686</f>
        <v>1400.1418757094161</v>
      </c>
      <c r="X1686" s="16">
        <f>('Gearing Calculator'!$U$9*9.81)*('Gearing Calculator'!$U$16/'Gearing Calculator'!$C$7)-(('Track Data'!W1686)*('Gearing Calculator'!$U$17/'Gearing Calculator'!$C$7))</f>
        <v>637.98935682275135</v>
      </c>
      <c r="Y1686" s="16">
        <f>('Gearing Calculator'!$U$9*9.81)*(('Gearing Calculator'!$C$7-'Gearing Calculator'!$U$16)/'Gearing Calculator'!$C$7)+(('Track Data'!W1686)*('Gearing Calculator'!$U$17/'Gearing Calculator'!$C$7))</f>
        <v>1973.4326431772488</v>
      </c>
      <c r="Z1686" s="16">
        <f>((X1686*COS('Gearing Calculator'!$C$21))/'Gearing Calculator'!$C$22)/2</f>
        <v>19.72461312453672</v>
      </c>
      <c r="AA1686" s="16">
        <f>Y1686/'Gearing Calculator'!$C$24</f>
        <v>27.555738682990039</v>
      </c>
      <c r="AB1686" s="16">
        <f t="shared" si="184"/>
        <v>298.41420957549911</v>
      </c>
      <c r="AC1686" s="16">
        <v>0</v>
      </c>
      <c r="AD1686" s="16">
        <v>0</v>
      </c>
      <c r="AE1686" s="16">
        <v>1683</v>
      </c>
      <c r="AF1686" s="16">
        <f>IF(AC1686=0,IF(O1686=6,INDEX(Acceleration!$V$4:$V$110,MATCH('Track Data'!S1686,Acceleration!$K$4:$K$110,0)),IF('Track Data'!O1686=5,INDEX(Acceleration!$U$4:$U$110,MATCH('Track Data'!S1686,Acceleration!$K$4:$K$110,0)),1)),U1686)</f>
        <v>4.2179466544177524</v>
      </c>
      <c r="AG1686" s="16">
        <f>IF(AC1686=0,IF(O1686=4,INDEX(Acceleration!$T$4:$T$110,MATCH('Track Data'!S1686,Acceleration!$K$4:$K$110,0)),IF('Track Data'!O1686=3,INDEX(Acceleration!$S$4:$S$110,MATCH('Track Data'!S1686,Acceleration!$K$4:$K$110,0)),'Track Data'!AF1686)),'Track Data'!U1686)</f>
        <v>4.2179466544177524</v>
      </c>
      <c r="AH1686" s="16">
        <f>IF(AC1686=0,IF(O1686=2,INDEX(Acceleration!$R$4:$R$110,MATCH('Track Data'!S1686,Acceleration!$K$4:$K$110,0)),IF('Track Data'!O1686=1,INDEX(Acceleration!$Q$4:$Q$110,MATCH('Track Data'!S1686,Acceleration!$K$4:$K$110,0)),'Track Data'!AG1686)),'Track Data'!U1686)</f>
        <v>4.2179466544177524</v>
      </c>
    </row>
    <row r="1687" spans="2:34" x14ac:dyDescent="0.25">
      <c r="B1687" s="16">
        <v>242.57599999999999</v>
      </c>
      <c r="C1687" s="16">
        <v>8957</v>
      </c>
      <c r="D1687" s="16">
        <v>1684</v>
      </c>
      <c r="E1687" s="113">
        <v>199</v>
      </c>
      <c r="F1687" s="113">
        <v>196.5</v>
      </c>
      <c r="G1687" s="113">
        <v>195</v>
      </c>
      <c r="H1687" s="113">
        <f t="shared" si="187"/>
        <v>54.166666666666664</v>
      </c>
      <c r="I1687" s="113">
        <v>1.7</v>
      </c>
      <c r="J1687" s="113">
        <v>10.15</v>
      </c>
      <c r="K1687" s="113">
        <v>4.4000000000000004</v>
      </c>
      <c r="L1687" s="185"/>
      <c r="M1687" s="16">
        <v>1684</v>
      </c>
      <c r="N1687" s="16">
        <f t="shared" si="189"/>
        <v>1.9504410348488769E-2</v>
      </c>
      <c r="O1687" s="16">
        <v>5</v>
      </c>
      <c r="P1687" s="16">
        <f t="shared" si="185"/>
        <v>8.1742160278745661</v>
      </c>
      <c r="Q1687" s="16">
        <f t="shared" si="190"/>
        <v>51.270455355113135</v>
      </c>
      <c r="R1687" s="113">
        <f t="shared" si="186"/>
        <v>319.54399999999998</v>
      </c>
      <c r="S1687" s="16">
        <f>IF(S1686=15800,15800,ROUND((((Q1687*60)/'Gearing Calculator'!$C$14)*'Track Data'!P1687),-2))</f>
        <v>12700</v>
      </c>
      <c r="T1687" s="16">
        <f t="shared" si="188"/>
        <v>4.2179466544177524</v>
      </c>
      <c r="U1687" s="16">
        <f>IF(AC1687=100,Braking!$AG$2354,IF(AC1687=50,Braking!$AG$1179,IF(AC1687=75,Braking!$AG$1767,0)))</f>
        <v>0</v>
      </c>
      <c r="V1687" s="16">
        <f>0.5*'Gearing Calculator'!$C$15*'Gearing Calculator'!$C$20*'Gearing Calculator'!$W$20*('Track Data'!Q1687^2)</f>
        <v>278.2173312512175</v>
      </c>
      <c r="W1687" s="16">
        <f>('Gearing Calculator'!$U$9*'Track Data'!T1687)+'Track Data'!V1687</f>
        <v>1401.0347306572232</v>
      </c>
      <c r="X1687" s="16">
        <f>('Gearing Calculator'!$U$9*9.81)*('Gearing Calculator'!$U$16/'Gearing Calculator'!$C$7)-(('Track Data'!W1687)*('Gearing Calculator'!$U$17/'Gearing Calculator'!$C$7))</f>
        <v>637.50268989979884</v>
      </c>
      <c r="Y1687" s="16">
        <f>('Gearing Calculator'!$U$9*9.81)*(('Gearing Calculator'!$C$7-'Gearing Calculator'!$U$16)/'Gearing Calculator'!$C$7)+(('Track Data'!W1687)*('Gearing Calculator'!$U$17/'Gearing Calculator'!$C$7))</f>
        <v>1973.9193101002011</v>
      </c>
      <c r="Z1687" s="16">
        <f>((X1687*COS('Gearing Calculator'!$C$21))/'Gearing Calculator'!$C$22)/2</f>
        <v>19.709566922475371</v>
      </c>
      <c r="AA1687" s="16">
        <f>Y1687/'Gearing Calculator'!$C$24</f>
        <v>27.562534185537793</v>
      </c>
      <c r="AB1687" s="16">
        <f t="shared" si="184"/>
        <v>299.30706452330628</v>
      </c>
      <c r="AC1687" s="16">
        <v>0</v>
      </c>
      <c r="AD1687" s="16">
        <v>0</v>
      </c>
      <c r="AE1687" s="16">
        <v>1684</v>
      </c>
      <c r="AF1687" s="16">
        <f>IF(AC1687=0,IF(O1687=6,INDEX(Acceleration!$V$4:$V$110,MATCH('Track Data'!S1687,Acceleration!$K$4:$K$110,0)),IF('Track Data'!O1687=5,INDEX(Acceleration!$U$4:$U$110,MATCH('Track Data'!S1687,Acceleration!$K$4:$K$110,0)),1)),U1687)</f>
        <v>4.2179466544177524</v>
      </c>
      <c r="AG1687" s="16">
        <f>IF(AC1687=0,IF(O1687=4,INDEX(Acceleration!$T$4:$T$110,MATCH('Track Data'!S1687,Acceleration!$K$4:$K$110,0)),IF('Track Data'!O1687=3,INDEX(Acceleration!$S$4:$S$110,MATCH('Track Data'!S1687,Acceleration!$K$4:$K$110,0)),'Track Data'!AF1687)),'Track Data'!U1687)</f>
        <v>4.2179466544177524</v>
      </c>
      <c r="AH1687" s="16">
        <f>IF(AC1687=0,IF(O1687=2,INDEX(Acceleration!$R$4:$R$110,MATCH('Track Data'!S1687,Acceleration!$K$4:$K$110,0)),IF('Track Data'!O1687=1,INDEX(Acceleration!$Q$4:$Q$110,MATCH('Track Data'!S1687,Acceleration!$K$4:$K$110,0)),'Track Data'!AG1687)),'Track Data'!U1687)</f>
        <v>4.2179466544177524</v>
      </c>
    </row>
    <row r="1688" spans="2:34" x14ac:dyDescent="0.25">
      <c r="B1688" s="16">
        <v>242.59399999999999</v>
      </c>
      <c r="C1688" s="16">
        <v>8958</v>
      </c>
      <c r="D1688" s="16">
        <v>1685</v>
      </c>
      <c r="E1688" s="113">
        <v>199</v>
      </c>
      <c r="F1688" s="113">
        <v>196.7</v>
      </c>
      <c r="G1688" s="113">
        <v>195.3</v>
      </c>
      <c r="H1688" s="113">
        <f t="shared" si="187"/>
        <v>54.25</v>
      </c>
      <c r="I1688" s="113">
        <v>2.4</v>
      </c>
      <c r="J1688" s="113">
        <v>10.23</v>
      </c>
      <c r="K1688" s="113">
        <v>4.4000000000000004</v>
      </c>
      <c r="L1688" s="185"/>
      <c r="M1688" s="16">
        <v>1685</v>
      </c>
      <c r="N1688" s="16">
        <f t="shared" si="189"/>
        <v>1.9473188702861726E-2</v>
      </c>
      <c r="O1688" s="16">
        <v>5</v>
      </c>
      <c r="P1688" s="16">
        <f t="shared" si="185"/>
        <v>8.1742160278745661</v>
      </c>
      <c r="Q1688" s="16">
        <f t="shared" si="190"/>
        <v>51.352658019127745</v>
      </c>
      <c r="R1688" s="113">
        <f t="shared" si="186"/>
        <v>319.54399999999998</v>
      </c>
      <c r="S1688" s="16">
        <f>IF(S1687=15800,15800,ROUND((((Q1688*60)/'Gearing Calculator'!$C$14)*'Track Data'!P1688),-2))</f>
        <v>12700</v>
      </c>
      <c r="T1688" s="16">
        <f t="shared" si="188"/>
        <v>4.2179466544177524</v>
      </c>
      <c r="U1688" s="16">
        <f>IF(AC1688=100,Braking!$AG$2354,IF(AC1688=50,Braking!$AG$1179,IF(AC1688=75,Braking!$AG$1767,0)))</f>
        <v>0</v>
      </c>
      <c r="V1688" s="16">
        <f>0.5*'Gearing Calculator'!$C$15*'Gearing Calculator'!$C$20*'Gearing Calculator'!$W$20*('Track Data'!Q1688^2)</f>
        <v>279.11018619902467</v>
      </c>
      <c r="W1688" s="16">
        <f>('Gearing Calculator'!$U$9*'Track Data'!T1688)+'Track Data'!V1688</f>
        <v>1401.9275856050303</v>
      </c>
      <c r="X1688" s="16">
        <f>('Gearing Calculator'!$U$9*9.81)*('Gearing Calculator'!$U$16/'Gearing Calculator'!$C$7)-(('Track Data'!W1688)*('Gearing Calculator'!$U$17/'Gearing Calculator'!$C$7))</f>
        <v>637.01602297684644</v>
      </c>
      <c r="Y1688" s="16">
        <f>('Gearing Calculator'!$U$9*9.81)*(('Gearing Calculator'!$C$7-'Gearing Calculator'!$U$16)/'Gearing Calculator'!$C$7)+(('Track Data'!W1688)*('Gearing Calculator'!$U$17/'Gearing Calculator'!$C$7))</f>
        <v>1974.4059770231536</v>
      </c>
      <c r="Z1688" s="16">
        <f>((X1688*COS('Gearing Calculator'!$C$21))/'Gearing Calculator'!$C$22)/2</f>
        <v>19.694520720414022</v>
      </c>
      <c r="AA1688" s="16">
        <f>Y1688/'Gearing Calculator'!$C$24</f>
        <v>27.569329688085549</v>
      </c>
      <c r="AB1688" s="16">
        <f t="shared" si="184"/>
        <v>300.19991947111345</v>
      </c>
      <c r="AC1688" s="16">
        <v>0</v>
      </c>
      <c r="AD1688" s="16">
        <v>0</v>
      </c>
      <c r="AE1688" s="16">
        <v>1685</v>
      </c>
      <c r="AF1688" s="16">
        <f>IF(AC1688=0,IF(O1688=6,INDEX(Acceleration!$V$4:$V$110,MATCH('Track Data'!S1688,Acceleration!$K$4:$K$110,0)),IF('Track Data'!O1688=5,INDEX(Acceleration!$U$4:$U$110,MATCH('Track Data'!S1688,Acceleration!$K$4:$K$110,0)),1)),U1688)</f>
        <v>4.2179466544177524</v>
      </c>
      <c r="AG1688" s="16">
        <f>IF(AC1688=0,IF(O1688=4,INDEX(Acceleration!$T$4:$T$110,MATCH('Track Data'!S1688,Acceleration!$K$4:$K$110,0)),IF('Track Data'!O1688=3,INDEX(Acceleration!$S$4:$S$110,MATCH('Track Data'!S1688,Acceleration!$K$4:$K$110,0)),'Track Data'!AF1688)),'Track Data'!U1688)</f>
        <v>4.2179466544177524</v>
      </c>
      <c r="AH1688" s="16">
        <f>IF(AC1688=0,IF(O1688=2,INDEX(Acceleration!$R$4:$R$110,MATCH('Track Data'!S1688,Acceleration!$K$4:$K$110,0)),IF('Track Data'!O1688=1,INDEX(Acceleration!$Q$4:$Q$110,MATCH('Track Data'!S1688,Acceleration!$K$4:$K$110,0)),'Track Data'!AG1688)),'Track Data'!U1688)</f>
        <v>4.2179466544177524</v>
      </c>
    </row>
    <row r="1689" spans="2:34" x14ac:dyDescent="0.25">
      <c r="B1689" s="16">
        <v>242.613</v>
      </c>
      <c r="C1689" s="16">
        <v>8959</v>
      </c>
      <c r="D1689" s="16">
        <v>1686</v>
      </c>
      <c r="E1689" s="113">
        <v>199</v>
      </c>
      <c r="F1689" s="113">
        <v>197</v>
      </c>
      <c r="G1689" s="113">
        <v>195.5</v>
      </c>
      <c r="H1689" s="113">
        <f t="shared" si="187"/>
        <v>54.305555555555557</v>
      </c>
      <c r="I1689" s="113">
        <v>3.5</v>
      </c>
      <c r="J1689" s="113">
        <v>10.88</v>
      </c>
      <c r="K1689" s="113">
        <v>4.4000000000000004</v>
      </c>
      <c r="L1689" s="185"/>
      <c r="M1689" s="16">
        <v>1686</v>
      </c>
      <c r="N1689" s="16">
        <f t="shared" si="189"/>
        <v>1.9442116512776272E-2</v>
      </c>
      <c r="O1689" s="16">
        <v>5</v>
      </c>
      <c r="P1689" s="16">
        <f t="shared" si="185"/>
        <v>8.1742160278745661</v>
      </c>
      <c r="Q1689" s="16">
        <f t="shared" si="190"/>
        <v>51.434729307524513</v>
      </c>
      <c r="R1689" s="113">
        <f t="shared" si="186"/>
        <v>319.54399999999998</v>
      </c>
      <c r="S1689" s="16">
        <f>IF(S1688=15800,15800,ROUND((((Q1689*60)/'Gearing Calculator'!$C$14)*'Track Data'!P1689),-2))</f>
        <v>12700</v>
      </c>
      <c r="T1689" s="16">
        <f t="shared" si="188"/>
        <v>4.2179466544177524</v>
      </c>
      <c r="U1689" s="16">
        <f>IF(AC1689=100,Braking!$AG$2354,IF(AC1689=50,Braking!$AG$1179,IF(AC1689=75,Braking!$AG$1767,0)))</f>
        <v>0</v>
      </c>
      <c r="V1689" s="16">
        <f>0.5*'Gearing Calculator'!$C$15*'Gearing Calculator'!$C$20*'Gearing Calculator'!$W$20*('Track Data'!Q1689^2)</f>
        <v>280.00304114683189</v>
      </c>
      <c r="W1689" s="16">
        <f>('Gearing Calculator'!$U$9*'Track Data'!T1689)+'Track Data'!V1689</f>
        <v>1402.8204405528377</v>
      </c>
      <c r="X1689" s="16">
        <f>('Gearing Calculator'!$U$9*9.81)*('Gearing Calculator'!$U$16/'Gearing Calculator'!$C$7)-(('Track Data'!W1689)*('Gearing Calculator'!$U$17/'Gearing Calculator'!$C$7))</f>
        <v>636.52935605389393</v>
      </c>
      <c r="Y1689" s="16">
        <f>('Gearing Calculator'!$U$9*9.81)*(('Gearing Calculator'!$C$7-'Gearing Calculator'!$U$16)/'Gearing Calculator'!$C$7)+(('Track Data'!W1689)*('Gearing Calculator'!$U$17/'Gearing Calculator'!$C$7))</f>
        <v>1974.8926439461061</v>
      </c>
      <c r="Z1689" s="16">
        <f>((X1689*COS('Gearing Calculator'!$C$21))/'Gearing Calculator'!$C$22)/2</f>
        <v>19.67947451835267</v>
      </c>
      <c r="AA1689" s="16">
        <f>Y1689/'Gearing Calculator'!$C$24</f>
        <v>27.576125190633302</v>
      </c>
      <c r="AB1689" s="16">
        <f t="shared" si="184"/>
        <v>301.09277441892067</v>
      </c>
      <c r="AC1689" s="16">
        <v>0</v>
      </c>
      <c r="AD1689" s="16">
        <v>0</v>
      </c>
      <c r="AE1689" s="16">
        <v>1686</v>
      </c>
      <c r="AF1689" s="16">
        <f>IF(AC1689=0,IF(O1689=6,INDEX(Acceleration!$V$4:$V$110,MATCH('Track Data'!S1689,Acceleration!$K$4:$K$110,0)),IF('Track Data'!O1689=5,INDEX(Acceleration!$U$4:$U$110,MATCH('Track Data'!S1689,Acceleration!$K$4:$K$110,0)),1)),U1689)</f>
        <v>4.2179466544177524</v>
      </c>
      <c r="AG1689" s="16">
        <f>IF(AC1689=0,IF(O1689=4,INDEX(Acceleration!$T$4:$T$110,MATCH('Track Data'!S1689,Acceleration!$K$4:$K$110,0)),IF('Track Data'!O1689=3,INDEX(Acceleration!$S$4:$S$110,MATCH('Track Data'!S1689,Acceleration!$K$4:$K$110,0)),'Track Data'!AF1689)),'Track Data'!U1689)</f>
        <v>4.2179466544177524</v>
      </c>
      <c r="AH1689" s="16">
        <f>IF(AC1689=0,IF(O1689=2,INDEX(Acceleration!$R$4:$R$110,MATCH('Track Data'!S1689,Acceleration!$K$4:$K$110,0)),IF('Track Data'!O1689=1,INDEX(Acceleration!$Q$4:$Q$110,MATCH('Track Data'!S1689,Acceleration!$K$4:$K$110,0)),'Track Data'!AG1689)),'Track Data'!U1689)</f>
        <v>4.2179466544177524</v>
      </c>
    </row>
    <row r="1690" spans="2:34" x14ac:dyDescent="0.25">
      <c r="B1690" s="16">
        <v>242.631</v>
      </c>
      <c r="C1690" s="16">
        <v>8960</v>
      </c>
      <c r="D1690" s="16">
        <v>1687</v>
      </c>
      <c r="E1690" s="113">
        <v>199</v>
      </c>
      <c r="F1690" s="113">
        <v>197.4</v>
      </c>
      <c r="G1690" s="113">
        <v>195.7</v>
      </c>
      <c r="H1690" s="113">
        <f t="shared" si="187"/>
        <v>54.361111111111107</v>
      </c>
      <c r="I1690" s="113">
        <v>4</v>
      </c>
      <c r="J1690" s="113">
        <v>11.92</v>
      </c>
      <c r="K1690" s="113">
        <v>4.4000000000000004</v>
      </c>
      <c r="L1690" s="185"/>
      <c r="M1690" s="16">
        <v>1687</v>
      </c>
      <c r="N1690" s="16">
        <f t="shared" si="189"/>
        <v>1.9411192589638668E-2</v>
      </c>
      <c r="O1690" s="16">
        <v>5</v>
      </c>
      <c r="P1690" s="16">
        <f t="shared" si="185"/>
        <v>8.1742160278745661</v>
      </c>
      <c r="Q1690" s="16">
        <f t="shared" si="190"/>
        <v>51.516669848187554</v>
      </c>
      <c r="R1690" s="113">
        <f t="shared" si="186"/>
        <v>319.54399999999998</v>
      </c>
      <c r="S1690" s="16">
        <f>IF(S1689=15800,15800,ROUND((((Q1690*60)/'Gearing Calculator'!$C$14)*'Track Data'!P1690),-2))</f>
        <v>12800</v>
      </c>
      <c r="T1690" s="16">
        <f t="shared" si="188"/>
        <v>4.1911719898474455</v>
      </c>
      <c r="U1690" s="16">
        <f>IF(AC1690=100,Braking!$AG$2354,IF(AC1690=50,Braking!$AG$1179,IF(AC1690=75,Braking!$AG$1767,0)))</f>
        <v>0</v>
      </c>
      <c r="V1690" s="16">
        <f>0.5*'Gearing Calculator'!$C$15*'Gearing Calculator'!$C$20*'Gearing Calculator'!$W$20*('Track Data'!Q1690^2)</f>
        <v>280.89589609463906</v>
      </c>
      <c r="W1690" s="16">
        <f>('Gearing Calculator'!$U$9*'Track Data'!T1690)+'Track Data'!V1690</f>
        <v>1396.5858797920291</v>
      </c>
      <c r="X1690" s="16">
        <f>('Gearing Calculator'!$U$9*9.81)*('Gearing Calculator'!$U$16/'Gearing Calculator'!$C$7)-(('Track Data'!W1690)*('Gearing Calculator'!$U$17/'Gearing Calculator'!$C$7))</f>
        <v>639.92761744996346</v>
      </c>
      <c r="Y1690" s="16">
        <f>('Gearing Calculator'!$U$9*9.81)*(('Gearing Calculator'!$C$7-'Gearing Calculator'!$U$16)/'Gearing Calculator'!$C$7)+(('Track Data'!W1690)*('Gearing Calculator'!$U$17/'Gearing Calculator'!$C$7))</f>
        <v>1971.4943825500366</v>
      </c>
      <c r="Z1690" s="16">
        <f>((X1690*COS('Gearing Calculator'!$C$21))/'Gearing Calculator'!$C$22)/2</f>
        <v>19.784538012934043</v>
      </c>
      <c r="AA1690" s="16">
        <f>Y1690/'Gearing Calculator'!$C$24</f>
        <v>27.528674063618489</v>
      </c>
      <c r="AB1690" s="16">
        <f t="shared" si="184"/>
        <v>301.85175604387626</v>
      </c>
      <c r="AC1690" s="16">
        <v>0</v>
      </c>
      <c r="AD1690" s="16">
        <v>0</v>
      </c>
      <c r="AE1690" s="16">
        <v>1687</v>
      </c>
      <c r="AF1690" s="16">
        <f>IF(AC1690=0,IF(O1690=6,INDEX(Acceleration!$V$4:$V$110,MATCH('Track Data'!S1690,Acceleration!$K$4:$K$110,0)),IF('Track Data'!O1690=5,INDEX(Acceleration!$U$4:$U$110,MATCH('Track Data'!S1690,Acceleration!$K$4:$K$110,0)),1)),U1690)</f>
        <v>4.1911719898474455</v>
      </c>
      <c r="AG1690" s="16">
        <f>IF(AC1690=0,IF(O1690=4,INDEX(Acceleration!$T$4:$T$110,MATCH('Track Data'!S1690,Acceleration!$K$4:$K$110,0)),IF('Track Data'!O1690=3,INDEX(Acceleration!$S$4:$S$110,MATCH('Track Data'!S1690,Acceleration!$K$4:$K$110,0)),'Track Data'!AF1690)),'Track Data'!U1690)</f>
        <v>4.1911719898474455</v>
      </c>
      <c r="AH1690" s="16">
        <f>IF(AC1690=0,IF(O1690=2,INDEX(Acceleration!$R$4:$R$110,MATCH('Track Data'!S1690,Acceleration!$K$4:$K$110,0)),IF('Track Data'!O1690=1,INDEX(Acceleration!$Q$4:$Q$110,MATCH('Track Data'!S1690,Acceleration!$K$4:$K$110,0)),'Track Data'!AG1690)),'Track Data'!U1690)</f>
        <v>4.1911719898474455</v>
      </c>
    </row>
    <row r="1691" spans="2:34" x14ac:dyDescent="0.25">
      <c r="B1691" s="16">
        <v>242.649</v>
      </c>
      <c r="C1691" s="16">
        <v>8961</v>
      </c>
      <c r="D1691" s="16">
        <v>1688</v>
      </c>
      <c r="E1691" s="113">
        <v>199</v>
      </c>
      <c r="F1691" s="113">
        <v>197.5</v>
      </c>
      <c r="G1691" s="113">
        <v>195.8</v>
      </c>
      <c r="H1691" s="113">
        <f t="shared" si="187"/>
        <v>54.388888888888893</v>
      </c>
      <c r="I1691" s="113">
        <v>4</v>
      </c>
      <c r="J1691" s="113">
        <v>12.35</v>
      </c>
      <c r="K1691" s="113">
        <v>3.1</v>
      </c>
      <c r="L1691" s="185"/>
      <c r="M1691" s="16">
        <v>1688</v>
      </c>
      <c r="N1691" s="16">
        <f t="shared" si="189"/>
        <v>1.9380610661645929E-2</v>
      </c>
      <c r="O1691" s="16">
        <v>5</v>
      </c>
      <c r="P1691" s="16">
        <f t="shared" si="185"/>
        <v>8.1742160278745661</v>
      </c>
      <c r="Q1691" s="16">
        <f t="shared" si="190"/>
        <v>51.597961357275075</v>
      </c>
      <c r="R1691" s="113">
        <f t="shared" si="186"/>
        <v>319.54399999999998</v>
      </c>
      <c r="S1691" s="16">
        <f>IF(S1690=15800,15800,ROUND((((Q1691*60)/'Gearing Calculator'!$C$14)*'Track Data'!P1691),-2))</f>
        <v>12800</v>
      </c>
      <c r="T1691" s="16">
        <f t="shared" si="188"/>
        <v>4.1911719898474455</v>
      </c>
      <c r="U1691" s="16">
        <f>IF(AC1691=100,Braking!$AG$2354,IF(AC1691=50,Braking!$AG$1179,IF(AC1691=75,Braking!$AG$1767,0)))</f>
        <v>0</v>
      </c>
      <c r="V1691" s="16">
        <f>0.5*'Gearing Calculator'!$C$15*'Gearing Calculator'!$C$20*'Gearing Calculator'!$W$20*('Track Data'!Q1691^2)</f>
        <v>281.78308338145001</v>
      </c>
      <c r="W1691" s="16">
        <f>('Gearing Calculator'!$U$9*'Track Data'!T1691)+'Track Data'!V1691</f>
        <v>1397.4730670788401</v>
      </c>
      <c r="X1691" s="16">
        <f>('Gearing Calculator'!$U$9*9.81)*('Gearing Calculator'!$U$16/'Gearing Calculator'!$C$7)-(('Track Data'!W1691)*('Gearing Calculator'!$U$17/'Gearing Calculator'!$C$7))</f>
        <v>639.44403978931962</v>
      </c>
      <c r="Y1691" s="16">
        <f>('Gearing Calculator'!$U$9*9.81)*(('Gearing Calculator'!$C$7-'Gearing Calculator'!$U$16)/'Gearing Calculator'!$C$7)+(('Track Data'!W1691)*('Gearing Calculator'!$U$17/'Gearing Calculator'!$C$7))</f>
        <v>1971.9779602106805</v>
      </c>
      <c r="Z1691" s="16">
        <f>((X1691*COS('Gearing Calculator'!$C$21))/'Gearing Calculator'!$C$22)/2</f>
        <v>19.769587321092768</v>
      </c>
      <c r="AA1691" s="16">
        <f>Y1691/'Gearing Calculator'!$C$24</f>
        <v>27.535426429702888</v>
      </c>
      <c r="AB1691" s="16">
        <f t="shared" si="184"/>
        <v>302.73894333068722</v>
      </c>
      <c r="AC1691" s="16">
        <v>0</v>
      </c>
      <c r="AD1691" s="16">
        <v>0</v>
      </c>
      <c r="AE1691" s="16">
        <v>1688</v>
      </c>
      <c r="AF1691" s="16">
        <f>IF(AC1691=0,IF(O1691=6,INDEX(Acceleration!$V$4:$V$110,MATCH('Track Data'!S1691,Acceleration!$K$4:$K$110,0)),IF('Track Data'!O1691=5,INDEX(Acceleration!$U$4:$U$110,MATCH('Track Data'!S1691,Acceleration!$K$4:$K$110,0)),1)),U1691)</f>
        <v>4.1911719898474455</v>
      </c>
      <c r="AG1691" s="16">
        <f>IF(AC1691=0,IF(O1691=4,INDEX(Acceleration!$T$4:$T$110,MATCH('Track Data'!S1691,Acceleration!$K$4:$K$110,0)),IF('Track Data'!O1691=3,INDEX(Acceleration!$S$4:$S$110,MATCH('Track Data'!S1691,Acceleration!$K$4:$K$110,0)),'Track Data'!AF1691)),'Track Data'!U1691)</f>
        <v>4.1911719898474455</v>
      </c>
      <c r="AH1691" s="16">
        <f>IF(AC1691=0,IF(O1691=2,INDEX(Acceleration!$R$4:$R$110,MATCH('Track Data'!S1691,Acceleration!$K$4:$K$110,0)),IF('Track Data'!O1691=1,INDEX(Acceleration!$Q$4:$Q$110,MATCH('Track Data'!S1691,Acceleration!$K$4:$K$110,0)),'Track Data'!AG1691)),'Track Data'!U1691)</f>
        <v>4.1911719898474455</v>
      </c>
    </row>
    <row r="1692" spans="2:34" x14ac:dyDescent="0.25">
      <c r="B1692" s="16">
        <v>242.667</v>
      </c>
      <c r="C1692" s="16">
        <v>8962</v>
      </c>
      <c r="D1692" s="16">
        <v>1689</v>
      </c>
      <c r="E1692" s="113">
        <v>200</v>
      </c>
      <c r="F1692" s="113">
        <v>197.9</v>
      </c>
      <c r="G1692" s="113">
        <v>196</v>
      </c>
      <c r="H1692" s="113">
        <f t="shared" si="187"/>
        <v>54.444444444444443</v>
      </c>
      <c r="I1692" s="113">
        <v>3.8</v>
      </c>
      <c r="J1692" s="113">
        <v>13.33</v>
      </c>
      <c r="K1692" s="113">
        <v>-3.9</v>
      </c>
      <c r="L1692" s="185"/>
      <c r="M1692" s="16">
        <v>1689</v>
      </c>
      <c r="N1692" s="16">
        <f t="shared" si="189"/>
        <v>1.9350172823256344E-2</v>
      </c>
      <c r="O1692" s="16">
        <v>5</v>
      </c>
      <c r="P1692" s="16">
        <f t="shared" si="185"/>
        <v>8.1742160278745661</v>
      </c>
      <c r="Q1692" s="16">
        <f t="shared" si="190"/>
        <v>51.679124994590872</v>
      </c>
      <c r="R1692" s="113">
        <f t="shared" si="186"/>
        <v>319.54399999999998</v>
      </c>
      <c r="S1692" s="16">
        <f>IF(S1691=15800,15800,ROUND((((Q1692*60)/'Gearing Calculator'!$C$14)*'Track Data'!P1692),-2))</f>
        <v>12800</v>
      </c>
      <c r="T1692" s="16">
        <f t="shared" si="188"/>
        <v>4.1911719898474455</v>
      </c>
      <c r="U1692" s="16">
        <f>IF(AC1692=100,Braking!$AG$2354,IF(AC1692=50,Braking!$AG$1179,IF(AC1692=75,Braking!$AG$1767,0)))</f>
        <v>0</v>
      </c>
      <c r="V1692" s="16">
        <f>0.5*'Gearing Calculator'!$C$15*'Gearing Calculator'!$C$20*'Gearing Calculator'!$W$20*('Track Data'!Q1692^2)</f>
        <v>282.67027066826086</v>
      </c>
      <c r="W1692" s="16">
        <f>('Gearing Calculator'!$U$9*'Track Data'!T1692)+'Track Data'!V1692</f>
        <v>1398.3602543656509</v>
      </c>
      <c r="X1692" s="16">
        <f>('Gearing Calculator'!$U$9*9.81)*('Gearing Calculator'!$U$16/'Gearing Calculator'!$C$7)-(('Track Data'!W1692)*('Gearing Calculator'!$U$17/'Gearing Calculator'!$C$7))</f>
        <v>638.96046212867589</v>
      </c>
      <c r="Y1692" s="16">
        <f>('Gearing Calculator'!$U$9*9.81)*(('Gearing Calculator'!$C$7-'Gearing Calculator'!$U$16)/'Gearing Calculator'!$C$7)+(('Track Data'!W1692)*('Gearing Calculator'!$U$17/'Gearing Calculator'!$C$7))</f>
        <v>1972.4615378713243</v>
      </c>
      <c r="Z1692" s="16">
        <f>((X1692*COS('Gearing Calculator'!$C$21))/'Gearing Calculator'!$C$22)/2</f>
        <v>19.7546366292515</v>
      </c>
      <c r="AA1692" s="16">
        <f>Y1692/'Gearing Calculator'!$C$24</f>
        <v>27.542178795787283</v>
      </c>
      <c r="AB1692" s="16">
        <f t="shared" si="184"/>
        <v>303.62613061749806</v>
      </c>
      <c r="AC1692" s="16">
        <v>0</v>
      </c>
      <c r="AD1692" s="16">
        <v>0</v>
      </c>
      <c r="AE1692" s="16">
        <v>1689</v>
      </c>
      <c r="AF1692" s="16">
        <f>IF(AC1692=0,IF(O1692=6,INDEX(Acceleration!$V$4:$V$110,MATCH('Track Data'!S1692,Acceleration!$K$4:$K$110,0)),IF('Track Data'!O1692=5,INDEX(Acceleration!$U$4:$U$110,MATCH('Track Data'!S1692,Acceleration!$K$4:$K$110,0)),1)),U1692)</f>
        <v>4.1911719898474455</v>
      </c>
      <c r="AG1692" s="16">
        <f>IF(AC1692=0,IF(O1692=4,INDEX(Acceleration!$T$4:$T$110,MATCH('Track Data'!S1692,Acceleration!$K$4:$K$110,0)),IF('Track Data'!O1692=3,INDEX(Acceleration!$S$4:$S$110,MATCH('Track Data'!S1692,Acceleration!$K$4:$K$110,0)),'Track Data'!AF1692)),'Track Data'!U1692)</f>
        <v>4.1911719898474455</v>
      </c>
      <c r="AH1692" s="16">
        <f>IF(AC1692=0,IF(O1692=2,INDEX(Acceleration!$R$4:$R$110,MATCH('Track Data'!S1692,Acceleration!$K$4:$K$110,0)),IF('Track Data'!O1692=1,INDEX(Acceleration!$Q$4:$Q$110,MATCH('Track Data'!S1692,Acceleration!$K$4:$K$110,0)),'Track Data'!AG1692)),'Track Data'!U1692)</f>
        <v>4.1911719898474455</v>
      </c>
    </row>
    <row r="1693" spans="2:34" x14ac:dyDescent="0.25">
      <c r="B1693" s="16">
        <v>242.685</v>
      </c>
      <c r="C1693" s="16">
        <v>8963</v>
      </c>
      <c r="D1693" s="16">
        <v>1690</v>
      </c>
      <c r="E1693" s="113">
        <v>200</v>
      </c>
      <c r="F1693" s="113">
        <v>198.1</v>
      </c>
      <c r="G1693" s="113">
        <v>196.2</v>
      </c>
      <c r="H1693" s="113">
        <f t="shared" si="187"/>
        <v>54.499999999999993</v>
      </c>
      <c r="I1693" s="113">
        <v>2.9</v>
      </c>
      <c r="J1693" s="113">
        <v>14.03</v>
      </c>
      <c r="K1693" s="113">
        <v>-10.8</v>
      </c>
      <c r="L1693" s="185"/>
      <c r="M1693" s="16">
        <v>1690</v>
      </c>
      <c r="N1693" s="16">
        <f t="shared" si="189"/>
        <v>1.9319877946526409E-2</v>
      </c>
      <c r="O1693" s="16">
        <v>5</v>
      </c>
      <c r="P1693" s="16">
        <f t="shared" si="185"/>
        <v>8.1742160278745661</v>
      </c>
      <c r="Q1693" s="16">
        <f t="shared" si="190"/>
        <v>51.760161361671216</v>
      </c>
      <c r="R1693" s="113">
        <f t="shared" si="186"/>
        <v>319.54399999999998</v>
      </c>
      <c r="S1693" s="16">
        <f>IF(S1692=15800,15800,ROUND((((Q1693*60)/'Gearing Calculator'!$C$14)*'Track Data'!P1693),-2))</f>
        <v>12800</v>
      </c>
      <c r="T1693" s="16">
        <f t="shared" si="188"/>
        <v>4.1911719898474455</v>
      </c>
      <c r="U1693" s="16">
        <f>IF(AC1693=100,Braking!$AG$2354,IF(AC1693=50,Braking!$AG$1179,IF(AC1693=75,Braking!$AG$1767,0)))</f>
        <v>0</v>
      </c>
      <c r="V1693" s="16">
        <f>0.5*'Gearing Calculator'!$C$15*'Gearing Calculator'!$C$20*'Gearing Calculator'!$W$20*('Track Data'!Q1693^2)</f>
        <v>283.55745795507181</v>
      </c>
      <c r="W1693" s="16">
        <f>('Gearing Calculator'!$U$9*'Track Data'!T1693)+'Track Data'!V1693</f>
        <v>1399.2474416524619</v>
      </c>
      <c r="X1693" s="16">
        <f>('Gearing Calculator'!$U$9*9.81)*('Gearing Calculator'!$U$16/'Gearing Calculator'!$C$7)-(('Track Data'!W1693)*('Gearing Calculator'!$U$17/'Gearing Calculator'!$C$7))</f>
        <v>638.47688446803215</v>
      </c>
      <c r="Y1693" s="16">
        <f>('Gearing Calculator'!$U$9*9.81)*(('Gearing Calculator'!$C$7-'Gearing Calculator'!$U$16)/'Gearing Calculator'!$C$7)+(('Track Data'!W1693)*('Gearing Calculator'!$U$17/'Gearing Calculator'!$C$7))</f>
        <v>1972.945115531968</v>
      </c>
      <c r="Z1693" s="16">
        <f>((X1693*COS('Gearing Calculator'!$C$21))/'Gearing Calculator'!$C$22)/2</f>
        <v>19.739685937410229</v>
      </c>
      <c r="AA1693" s="16">
        <f>Y1693/'Gearing Calculator'!$C$24</f>
        <v>27.548931161871682</v>
      </c>
      <c r="AB1693" s="16">
        <f t="shared" si="184"/>
        <v>304.51331790430902</v>
      </c>
      <c r="AC1693" s="16">
        <v>0</v>
      </c>
      <c r="AD1693" s="16">
        <v>0</v>
      </c>
      <c r="AE1693" s="16">
        <v>1690</v>
      </c>
      <c r="AF1693" s="16">
        <f>IF(AC1693=0,IF(O1693=6,INDEX(Acceleration!$V$4:$V$110,MATCH('Track Data'!S1693,Acceleration!$K$4:$K$110,0)),IF('Track Data'!O1693=5,INDEX(Acceleration!$U$4:$U$110,MATCH('Track Data'!S1693,Acceleration!$K$4:$K$110,0)),1)),U1693)</f>
        <v>4.1911719898474455</v>
      </c>
      <c r="AG1693" s="16">
        <f>IF(AC1693=0,IF(O1693=4,INDEX(Acceleration!$T$4:$T$110,MATCH('Track Data'!S1693,Acceleration!$K$4:$K$110,0)),IF('Track Data'!O1693=3,INDEX(Acceleration!$S$4:$S$110,MATCH('Track Data'!S1693,Acceleration!$K$4:$K$110,0)),'Track Data'!AF1693)),'Track Data'!U1693)</f>
        <v>4.1911719898474455</v>
      </c>
      <c r="AH1693" s="16">
        <f>IF(AC1693=0,IF(O1693=2,INDEX(Acceleration!$R$4:$R$110,MATCH('Track Data'!S1693,Acceleration!$K$4:$K$110,0)),IF('Track Data'!O1693=1,INDEX(Acceleration!$Q$4:$Q$110,MATCH('Track Data'!S1693,Acceleration!$K$4:$K$110,0)),'Track Data'!AG1693)),'Track Data'!U1693)</f>
        <v>4.1911719898474455</v>
      </c>
    </row>
    <row r="1694" spans="2:34" x14ac:dyDescent="0.25">
      <c r="B1694" s="16">
        <v>242.703</v>
      </c>
      <c r="C1694" s="16">
        <v>8964</v>
      </c>
      <c r="D1694" s="16">
        <v>1691</v>
      </c>
      <c r="E1694" s="113">
        <v>201</v>
      </c>
      <c r="F1694" s="113">
        <v>198.3</v>
      </c>
      <c r="G1694" s="113">
        <v>196.4</v>
      </c>
      <c r="H1694" s="113">
        <f t="shared" si="187"/>
        <v>54.555555555555557</v>
      </c>
      <c r="I1694" s="113">
        <v>2.4</v>
      </c>
      <c r="J1694" s="113">
        <v>13.49</v>
      </c>
      <c r="K1694" s="113">
        <v>-17.8</v>
      </c>
      <c r="L1694" s="185"/>
      <c r="M1694" s="16">
        <v>1691</v>
      </c>
      <c r="N1694" s="16">
        <f t="shared" si="189"/>
        <v>1.9289724915835499E-2</v>
      </c>
      <c r="O1694" s="16">
        <v>5</v>
      </c>
      <c r="P1694" s="16">
        <f t="shared" si="185"/>
        <v>8.1742160278745661</v>
      </c>
      <c r="Q1694" s="16">
        <f t="shared" si="190"/>
        <v>51.841071055350859</v>
      </c>
      <c r="R1694" s="113">
        <f t="shared" si="186"/>
        <v>319.54399999999998</v>
      </c>
      <c r="S1694" s="16">
        <f>IF(S1693=15800,15800,ROUND((((Q1694*60)/'Gearing Calculator'!$C$14)*'Track Data'!P1694),-2))</f>
        <v>12800</v>
      </c>
      <c r="T1694" s="16">
        <f t="shared" si="188"/>
        <v>4.1911719898474455</v>
      </c>
      <c r="U1694" s="16">
        <f>IF(AC1694=100,Braking!$AG$2354,IF(AC1694=50,Braking!$AG$1179,IF(AC1694=75,Braking!$AG$1767,0)))</f>
        <v>0</v>
      </c>
      <c r="V1694" s="16">
        <f>0.5*'Gearing Calculator'!$C$15*'Gearing Calculator'!$C$20*'Gearing Calculator'!$W$20*('Track Data'!Q1694^2)</f>
        <v>284.44464524188271</v>
      </c>
      <c r="W1694" s="16">
        <f>('Gearing Calculator'!$U$9*'Track Data'!T1694)+'Track Data'!V1694</f>
        <v>1400.1346289392727</v>
      </c>
      <c r="X1694" s="16">
        <f>('Gearing Calculator'!$U$9*9.81)*('Gearing Calculator'!$U$16/'Gearing Calculator'!$C$7)-(('Track Data'!W1694)*('Gearing Calculator'!$U$17/'Gearing Calculator'!$C$7))</f>
        <v>637.99330680738842</v>
      </c>
      <c r="Y1694" s="16">
        <f>('Gearing Calculator'!$U$9*9.81)*(('Gearing Calculator'!$C$7-'Gearing Calculator'!$U$16)/'Gearing Calculator'!$C$7)+(('Track Data'!W1694)*('Gearing Calculator'!$U$17/'Gearing Calculator'!$C$7))</f>
        <v>1973.4286931926117</v>
      </c>
      <c r="Z1694" s="16">
        <f>((X1694*COS('Gearing Calculator'!$C$21))/'Gearing Calculator'!$C$22)/2</f>
        <v>19.724735245568962</v>
      </c>
      <c r="AA1694" s="16">
        <f>Y1694/'Gearing Calculator'!$C$24</f>
        <v>27.555683527956077</v>
      </c>
      <c r="AB1694" s="16">
        <f t="shared" si="184"/>
        <v>305.40050519111992</v>
      </c>
      <c r="AC1694" s="16">
        <v>0</v>
      </c>
      <c r="AD1694" s="16">
        <v>0</v>
      </c>
      <c r="AE1694" s="16">
        <v>1691</v>
      </c>
      <c r="AF1694" s="16">
        <f>IF(AC1694=0,IF(O1694=6,INDEX(Acceleration!$V$4:$V$110,MATCH('Track Data'!S1694,Acceleration!$K$4:$K$110,0)),IF('Track Data'!O1694=5,INDEX(Acceleration!$U$4:$U$110,MATCH('Track Data'!S1694,Acceleration!$K$4:$K$110,0)),1)),U1694)</f>
        <v>4.1911719898474455</v>
      </c>
      <c r="AG1694" s="16">
        <f>IF(AC1694=0,IF(O1694=4,INDEX(Acceleration!$T$4:$T$110,MATCH('Track Data'!S1694,Acceleration!$K$4:$K$110,0)),IF('Track Data'!O1694=3,INDEX(Acceleration!$S$4:$S$110,MATCH('Track Data'!S1694,Acceleration!$K$4:$K$110,0)),'Track Data'!AF1694)),'Track Data'!U1694)</f>
        <v>4.1911719898474455</v>
      </c>
      <c r="AH1694" s="16">
        <f>IF(AC1694=0,IF(O1694=2,INDEX(Acceleration!$R$4:$R$110,MATCH('Track Data'!S1694,Acceleration!$K$4:$K$110,0)),IF('Track Data'!O1694=1,INDEX(Acceleration!$Q$4:$Q$110,MATCH('Track Data'!S1694,Acceleration!$K$4:$K$110,0)),'Track Data'!AG1694)),'Track Data'!U1694)</f>
        <v>4.1911719898474455</v>
      </c>
    </row>
    <row r="1695" spans="2:34" x14ac:dyDescent="0.25">
      <c r="B1695" s="16">
        <v>242.721</v>
      </c>
      <c r="C1695" s="16">
        <v>8965</v>
      </c>
      <c r="D1695" s="16">
        <v>1692</v>
      </c>
      <c r="E1695" s="113">
        <v>201</v>
      </c>
      <c r="F1695" s="113">
        <v>198.4</v>
      </c>
      <c r="G1695" s="113">
        <v>196.6</v>
      </c>
      <c r="H1695" s="113">
        <f t="shared" si="187"/>
        <v>54.611111111111107</v>
      </c>
      <c r="I1695" s="113">
        <v>2.2999999999999998</v>
      </c>
      <c r="J1695" s="113">
        <v>13.3</v>
      </c>
      <c r="K1695" s="113">
        <v>-21.9</v>
      </c>
      <c r="L1695" s="185"/>
      <c r="M1695" s="16">
        <v>1692</v>
      </c>
      <c r="N1695" s="16">
        <f t="shared" si="189"/>
        <v>1.9259712627713334E-2</v>
      </c>
      <c r="O1695" s="16">
        <v>5</v>
      </c>
      <c r="P1695" s="16">
        <f t="shared" si="185"/>
        <v>8.1742160278745661</v>
      </c>
      <c r="Q1695" s="16">
        <f t="shared" si="190"/>
        <v>51.921854667814316</v>
      </c>
      <c r="R1695" s="113">
        <f t="shared" si="186"/>
        <v>319.54399999999998</v>
      </c>
      <c r="S1695" s="16">
        <f>IF(S1694=15800,15800,ROUND((((Q1695*60)/'Gearing Calculator'!$C$14)*'Track Data'!P1695),-2))</f>
        <v>12900</v>
      </c>
      <c r="T1695" s="16">
        <f t="shared" si="188"/>
        <v>4.1645564485137276</v>
      </c>
      <c r="U1695" s="16">
        <f>IF(AC1695=100,Braking!$AG$2354,IF(AC1695=50,Braking!$AG$1179,IF(AC1695=75,Braking!$AG$1767,0)))</f>
        <v>0</v>
      </c>
      <c r="V1695" s="16">
        <f>0.5*'Gearing Calculator'!$C$15*'Gearing Calculator'!$C$20*'Gearing Calculator'!$W$20*('Track Data'!Q1695^2)</f>
        <v>285.33183252869361</v>
      </c>
      <c r="W1695" s="16">
        <f>('Gearing Calculator'!$U$9*'Track Data'!T1695)+'Track Data'!V1695</f>
        <v>1393.936759123048</v>
      </c>
      <c r="X1695" s="16">
        <f>('Gearing Calculator'!$U$9*9.81)*('Gearing Calculator'!$U$16/'Gearing Calculator'!$C$7)-(('Track Data'!W1695)*('Gearing Calculator'!$U$17/'Gearing Calculator'!$C$7))</f>
        <v>641.37156913289823</v>
      </c>
      <c r="Y1695" s="16">
        <f>('Gearing Calculator'!$U$9*9.81)*(('Gearing Calculator'!$C$7-'Gearing Calculator'!$U$16)/'Gearing Calculator'!$C$7)+(('Track Data'!W1695)*('Gearing Calculator'!$U$17/'Gearing Calculator'!$C$7))</f>
        <v>1970.0504308671018</v>
      </c>
      <c r="Z1695" s="16">
        <f>((X1695*COS('Gearing Calculator'!$C$21))/'Gearing Calculator'!$C$22)/2</f>
        <v>19.829180432140298</v>
      </c>
      <c r="AA1695" s="16">
        <f>Y1695/'Gearing Calculator'!$C$24</f>
        <v>27.508511655044082</v>
      </c>
      <c r="AB1695" s="16">
        <f t="shared" si="184"/>
        <v>306.15461477126223</v>
      </c>
      <c r="AC1695" s="16">
        <v>0</v>
      </c>
      <c r="AD1695" s="16">
        <v>0</v>
      </c>
      <c r="AE1695" s="16">
        <v>1692</v>
      </c>
      <c r="AF1695" s="16">
        <f>IF(AC1695=0,IF(O1695=6,INDEX(Acceleration!$V$4:$V$110,MATCH('Track Data'!S1695,Acceleration!$K$4:$K$110,0)),IF('Track Data'!O1695=5,INDEX(Acceleration!$U$4:$U$110,MATCH('Track Data'!S1695,Acceleration!$K$4:$K$110,0)),1)),U1695)</f>
        <v>4.1645564485137276</v>
      </c>
      <c r="AG1695" s="16">
        <f>IF(AC1695=0,IF(O1695=4,INDEX(Acceleration!$T$4:$T$110,MATCH('Track Data'!S1695,Acceleration!$K$4:$K$110,0)),IF('Track Data'!O1695=3,INDEX(Acceleration!$S$4:$S$110,MATCH('Track Data'!S1695,Acceleration!$K$4:$K$110,0)),'Track Data'!AF1695)),'Track Data'!U1695)</f>
        <v>4.1645564485137276</v>
      </c>
      <c r="AH1695" s="16">
        <f>IF(AC1695=0,IF(O1695=2,INDEX(Acceleration!$R$4:$R$110,MATCH('Track Data'!S1695,Acceleration!$K$4:$K$110,0)),IF('Track Data'!O1695=1,INDEX(Acceleration!$Q$4:$Q$110,MATCH('Track Data'!S1695,Acceleration!$K$4:$K$110,0)),'Track Data'!AG1695)),'Track Data'!U1695)</f>
        <v>4.1645564485137276</v>
      </c>
    </row>
    <row r="1696" spans="2:34" x14ac:dyDescent="0.25">
      <c r="B1696" s="16">
        <v>242.739</v>
      </c>
      <c r="C1696" s="16">
        <v>8966</v>
      </c>
      <c r="D1696" s="16">
        <v>1693</v>
      </c>
      <c r="E1696" s="113">
        <v>201</v>
      </c>
      <c r="F1696" s="113">
        <v>198.4</v>
      </c>
      <c r="G1696" s="113">
        <v>196.8</v>
      </c>
      <c r="H1696" s="113">
        <f t="shared" si="187"/>
        <v>54.666666666666671</v>
      </c>
      <c r="I1696" s="113">
        <v>2.2000000000000002</v>
      </c>
      <c r="J1696" s="113">
        <v>12.85</v>
      </c>
      <c r="K1696" s="113">
        <v>-17.7</v>
      </c>
      <c r="L1696" s="185"/>
      <c r="M1696" s="16">
        <v>1693</v>
      </c>
      <c r="N1696" s="16">
        <f t="shared" si="189"/>
        <v>1.9230029254980848E-2</v>
      </c>
      <c r="O1696" s="16">
        <v>5</v>
      </c>
      <c r="P1696" s="16">
        <f t="shared" si="185"/>
        <v>8.1742160278745661</v>
      </c>
      <c r="Q1696" s="16">
        <f t="shared" si="190"/>
        <v>52.002000971526648</v>
      </c>
      <c r="R1696" s="113">
        <f t="shared" si="186"/>
        <v>319.54399999999998</v>
      </c>
      <c r="S1696" s="16">
        <f>IF(S1695=15800,15800,ROUND((((Q1696*60)/'Gearing Calculator'!$C$14)*'Track Data'!P1696),-2))</f>
        <v>12900</v>
      </c>
      <c r="T1696" s="16">
        <f t="shared" si="188"/>
        <v>4.1645564485137276</v>
      </c>
      <c r="U1696" s="16">
        <f>IF(AC1696=100,Braking!$AG$2354,IF(AC1696=50,Braking!$AG$1179,IF(AC1696=75,Braking!$AG$1767,0)))</f>
        <v>0</v>
      </c>
      <c r="V1696" s="16">
        <f>0.5*'Gearing Calculator'!$C$15*'Gearing Calculator'!$C$20*'Gearing Calculator'!$W$20*('Track Data'!Q1696^2)</f>
        <v>286.21338583771495</v>
      </c>
      <c r="W1696" s="16">
        <f>('Gearing Calculator'!$U$9*'Track Data'!T1696)+'Track Data'!V1696</f>
        <v>1394.8183124320692</v>
      </c>
      <c r="X1696" s="16">
        <f>('Gearing Calculator'!$U$9*9.81)*('Gearing Calculator'!$U$16/'Gearing Calculator'!$C$7)-(('Track Data'!W1696)*('Gearing Calculator'!$U$17/'Gearing Calculator'!$C$7))</f>
        <v>640.89106237491524</v>
      </c>
      <c r="Y1696" s="16">
        <f>('Gearing Calculator'!$U$9*9.81)*(('Gearing Calculator'!$C$7-'Gearing Calculator'!$U$16)/'Gearing Calculator'!$C$7)+(('Track Data'!W1696)*('Gearing Calculator'!$U$17/'Gearing Calculator'!$C$7))</f>
        <v>1970.5309376250848</v>
      </c>
      <c r="Z1696" s="16">
        <f>((X1696*COS('Gearing Calculator'!$C$21))/'Gearing Calculator'!$C$22)/2</f>
        <v>19.814324682896864</v>
      </c>
      <c r="AA1696" s="16">
        <f>Y1696/'Gearing Calculator'!$C$24</f>
        <v>27.515221141027382</v>
      </c>
      <c r="AB1696" s="16">
        <f t="shared" si="184"/>
        <v>307.03616808028357</v>
      </c>
      <c r="AC1696" s="16">
        <v>0</v>
      </c>
      <c r="AD1696" s="16">
        <v>0</v>
      </c>
      <c r="AE1696" s="16">
        <v>1693</v>
      </c>
      <c r="AF1696" s="16">
        <f>IF(AC1696=0,IF(O1696=6,INDEX(Acceleration!$V$4:$V$110,MATCH('Track Data'!S1696,Acceleration!$K$4:$K$110,0)),IF('Track Data'!O1696=5,INDEX(Acceleration!$U$4:$U$110,MATCH('Track Data'!S1696,Acceleration!$K$4:$K$110,0)),1)),U1696)</f>
        <v>4.1645564485137276</v>
      </c>
      <c r="AG1696" s="16">
        <f>IF(AC1696=0,IF(O1696=4,INDEX(Acceleration!$T$4:$T$110,MATCH('Track Data'!S1696,Acceleration!$K$4:$K$110,0)),IF('Track Data'!O1696=3,INDEX(Acceleration!$S$4:$S$110,MATCH('Track Data'!S1696,Acceleration!$K$4:$K$110,0)),'Track Data'!AF1696)),'Track Data'!U1696)</f>
        <v>4.1645564485137276</v>
      </c>
      <c r="AH1696" s="16">
        <f>IF(AC1696=0,IF(O1696=2,INDEX(Acceleration!$R$4:$R$110,MATCH('Track Data'!S1696,Acceleration!$K$4:$K$110,0)),IF('Track Data'!O1696=1,INDEX(Acceleration!$Q$4:$Q$110,MATCH('Track Data'!S1696,Acceleration!$K$4:$K$110,0)),'Track Data'!AG1696)),'Track Data'!U1696)</f>
        <v>4.1645564485137276</v>
      </c>
    </row>
    <row r="1697" spans="2:34" x14ac:dyDescent="0.25">
      <c r="B1697" s="16">
        <v>242.75700000000001</v>
      </c>
      <c r="C1697" s="16">
        <v>8967</v>
      </c>
      <c r="D1697" s="16">
        <v>1694</v>
      </c>
      <c r="E1697" s="113">
        <v>201</v>
      </c>
      <c r="F1697" s="113">
        <v>198.4</v>
      </c>
      <c r="G1697" s="113">
        <v>197</v>
      </c>
      <c r="H1697" s="113">
        <f t="shared" si="187"/>
        <v>54.722222222222221</v>
      </c>
      <c r="I1697" s="113">
        <v>2.6</v>
      </c>
      <c r="J1697" s="113">
        <v>12.7</v>
      </c>
      <c r="K1697" s="113">
        <v>-9.3000000000000007</v>
      </c>
      <c r="L1697" s="185"/>
      <c r="M1697" s="16">
        <v>1694</v>
      </c>
      <c r="N1697" s="16">
        <f t="shared" si="189"/>
        <v>1.920048270599857E-2</v>
      </c>
      <c r="O1697" s="16">
        <v>5</v>
      </c>
      <c r="P1697" s="16">
        <f t="shared" si="185"/>
        <v>8.1742160278745661</v>
      </c>
      <c r="Q1697" s="16">
        <f t="shared" si="190"/>
        <v>52.082023942428407</v>
      </c>
      <c r="R1697" s="113">
        <f t="shared" si="186"/>
        <v>319.54399999999998</v>
      </c>
      <c r="S1697" s="16">
        <f>IF(S1696=15800,15800,ROUND((((Q1697*60)/'Gearing Calculator'!$C$14)*'Track Data'!P1697),-2))</f>
        <v>12900</v>
      </c>
      <c r="T1697" s="16">
        <f t="shared" si="188"/>
        <v>4.1645564485137276</v>
      </c>
      <c r="U1697" s="16">
        <f>IF(AC1697=100,Braking!$AG$2354,IF(AC1697=50,Braking!$AG$1179,IF(AC1697=75,Braking!$AG$1767,0)))</f>
        <v>0</v>
      </c>
      <c r="V1697" s="16">
        <f>0.5*'Gearing Calculator'!$C$15*'Gearing Calculator'!$C$20*'Gearing Calculator'!$W$20*('Track Data'!Q1697^2)</f>
        <v>287.09493914673635</v>
      </c>
      <c r="W1697" s="16">
        <f>('Gearing Calculator'!$U$9*'Track Data'!T1697)+'Track Data'!V1697</f>
        <v>1395.6998657410907</v>
      </c>
      <c r="X1697" s="16">
        <f>('Gearing Calculator'!$U$9*9.81)*('Gearing Calculator'!$U$16/'Gearing Calculator'!$C$7)-(('Track Data'!W1697)*('Gearing Calculator'!$U$17/'Gearing Calculator'!$C$7))</f>
        <v>640.41055561693202</v>
      </c>
      <c r="Y1697" s="16">
        <f>('Gearing Calculator'!$U$9*9.81)*(('Gearing Calculator'!$C$7-'Gearing Calculator'!$U$16)/'Gearing Calculator'!$C$7)+(('Track Data'!W1697)*('Gearing Calculator'!$U$17/'Gearing Calculator'!$C$7))</f>
        <v>1971.011444383068</v>
      </c>
      <c r="Z1697" s="16">
        <f>((X1697*COS('Gearing Calculator'!$C$21))/'Gearing Calculator'!$C$22)/2</f>
        <v>19.799468933653419</v>
      </c>
      <c r="AA1697" s="16">
        <f>Y1697/'Gearing Calculator'!$C$24</f>
        <v>27.52193062701069</v>
      </c>
      <c r="AB1697" s="16">
        <f t="shared" si="184"/>
        <v>307.91772138930497</v>
      </c>
      <c r="AC1697" s="16">
        <v>0</v>
      </c>
      <c r="AD1697" s="16">
        <v>0</v>
      </c>
      <c r="AE1697" s="16">
        <v>1694</v>
      </c>
      <c r="AF1697" s="16">
        <f>IF(AC1697=0,IF(O1697=6,INDEX(Acceleration!$V$4:$V$110,MATCH('Track Data'!S1697,Acceleration!$K$4:$K$110,0)),IF('Track Data'!O1697=5,INDEX(Acceleration!$U$4:$U$110,MATCH('Track Data'!S1697,Acceleration!$K$4:$K$110,0)),1)),U1697)</f>
        <v>4.1645564485137276</v>
      </c>
      <c r="AG1697" s="16">
        <f>IF(AC1697=0,IF(O1697=4,INDEX(Acceleration!$T$4:$T$110,MATCH('Track Data'!S1697,Acceleration!$K$4:$K$110,0)),IF('Track Data'!O1697=3,INDEX(Acceleration!$S$4:$S$110,MATCH('Track Data'!S1697,Acceleration!$K$4:$K$110,0)),'Track Data'!AF1697)),'Track Data'!U1697)</f>
        <v>4.1645564485137276</v>
      </c>
      <c r="AH1697" s="16">
        <f>IF(AC1697=0,IF(O1697=2,INDEX(Acceleration!$R$4:$R$110,MATCH('Track Data'!S1697,Acceleration!$K$4:$K$110,0)),IF('Track Data'!O1697=1,INDEX(Acceleration!$Q$4:$Q$110,MATCH('Track Data'!S1697,Acceleration!$K$4:$K$110,0)),'Track Data'!AG1697)),'Track Data'!U1697)</f>
        <v>4.1645564485137276</v>
      </c>
    </row>
    <row r="1698" spans="2:34" x14ac:dyDescent="0.25">
      <c r="B1698" s="16">
        <v>242.77600000000001</v>
      </c>
      <c r="C1698" s="16">
        <v>8968</v>
      </c>
      <c r="D1698" s="16">
        <v>1695</v>
      </c>
      <c r="E1698" s="113">
        <v>201</v>
      </c>
      <c r="F1698" s="113">
        <v>198.8</v>
      </c>
      <c r="G1698" s="113">
        <v>197.2</v>
      </c>
      <c r="H1698" s="113">
        <f t="shared" si="187"/>
        <v>54.777777777777771</v>
      </c>
      <c r="I1698" s="113">
        <v>3</v>
      </c>
      <c r="J1698" s="113">
        <v>10.1</v>
      </c>
      <c r="K1698" s="113">
        <v>-0.9</v>
      </c>
      <c r="L1698" s="185"/>
      <c r="M1698" s="16">
        <v>1695</v>
      </c>
      <c r="N1698" s="16">
        <f t="shared" si="189"/>
        <v>1.9171071932851318E-2</v>
      </c>
      <c r="O1698" s="16">
        <v>5</v>
      </c>
      <c r="P1698" s="16">
        <f t="shared" si="185"/>
        <v>8.1742160278745661</v>
      </c>
      <c r="Q1698" s="16">
        <f t="shared" si="190"/>
        <v>52.161924148143854</v>
      </c>
      <c r="R1698" s="113">
        <f t="shared" si="186"/>
        <v>319.54399999999998</v>
      </c>
      <c r="S1698" s="16">
        <f>IF(S1697=15800,15800,ROUND((((Q1698*60)/'Gearing Calculator'!$C$14)*'Track Data'!P1698),-2))</f>
        <v>12900</v>
      </c>
      <c r="T1698" s="16">
        <f t="shared" si="188"/>
        <v>4.1645564485137276</v>
      </c>
      <c r="U1698" s="16">
        <f>IF(AC1698=100,Braking!$AG$2354,IF(AC1698=50,Braking!$AG$1179,IF(AC1698=75,Braking!$AG$1767,0)))</f>
        <v>0</v>
      </c>
      <c r="V1698" s="16">
        <f>0.5*'Gearing Calculator'!$C$15*'Gearing Calculator'!$C$20*'Gearing Calculator'!$W$20*('Track Data'!Q1698^2)</f>
        <v>287.97649245575764</v>
      </c>
      <c r="W1698" s="16">
        <f>('Gearing Calculator'!$U$9*'Track Data'!T1698)+'Track Data'!V1698</f>
        <v>1396.5814190501119</v>
      </c>
      <c r="X1698" s="16">
        <f>('Gearing Calculator'!$U$9*9.81)*('Gearing Calculator'!$U$16/'Gearing Calculator'!$C$7)-(('Track Data'!W1698)*('Gearing Calculator'!$U$17/'Gearing Calculator'!$C$7))</f>
        <v>639.93004885894902</v>
      </c>
      <c r="Y1698" s="16">
        <f>('Gearing Calculator'!$U$9*9.81)*(('Gearing Calculator'!$C$7-'Gearing Calculator'!$U$16)/'Gearing Calculator'!$C$7)+(('Track Data'!W1698)*('Gearing Calculator'!$U$17/'Gearing Calculator'!$C$7))</f>
        <v>1971.491951141051</v>
      </c>
      <c r="Z1698" s="16">
        <f>((X1698*COS('Gearing Calculator'!$C$21))/'Gearing Calculator'!$C$22)/2</f>
        <v>19.784613184409984</v>
      </c>
      <c r="AA1698" s="16">
        <f>Y1698/'Gearing Calculator'!$C$24</f>
        <v>27.528640112993994</v>
      </c>
      <c r="AB1698" s="16">
        <f t="shared" si="184"/>
        <v>308.79927469832626</v>
      </c>
      <c r="AC1698" s="16">
        <v>0</v>
      </c>
      <c r="AD1698" s="16">
        <v>0</v>
      </c>
      <c r="AE1698" s="16">
        <v>1695</v>
      </c>
      <c r="AF1698" s="16">
        <f>IF(AC1698=0,IF(O1698=6,INDEX(Acceleration!$V$4:$V$110,MATCH('Track Data'!S1698,Acceleration!$K$4:$K$110,0)),IF('Track Data'!O1698=5,INDEX(Acceleration!$U$4:$U$110,MATCH('Track Data'!S1698,Acceleration!$K$4:$K$110,0)),1)),U1698)</f>
        <v>4.1645564485137276</v>
      </c>
      <c r="AG1698" s="16">
        <f>IF(AC1698=0,IF(O1698=4,INDEX(Acceleration!$T$4:$T$110,MATCH('Track Data'!S1698,Acceleration!$K$4:$K$110,0)),IF('Track Data'!O1698=3,INDEX(Acceleration!$S$4:$S$110,MATCH('Track Data'!S1698,Acceleration!$K$4:$K$110,0)),'Track Data'!AF1698)),'Track Data'!U1698)</f>
        <v>4.1645564485137276</v>
      </c>
      <c r="AH1698" s="16">
        <f>IF(AC1698=0,IF(O1698=2,INDEX(Acceleration!$R$4:$R$110,MATCH('Track Data'!S1698,Acceleration!$K$4:$K$110,0)),IF('Track Data'!O1698=1,INDEX(Acceleration!$Q$4:$Q$110,MATCH('Track Data'!S1698,Acceleration!$K$4:$K$110,0)),'Track Data'!AG1698)),'Track Data'!U1698)</f>
        <v>4.1645564485137276</v>
      </c>
    </row>
    <row r="1699" spans="2:34" x14ac:dyDescent="0.25">
      <c r="B1699" s="16">
        <v>242.79400000000001</v>
      </c>
      <c r="C1699" s="16">
        <v>8969</v>
      </c>
      <c r="D1699" s="16">
        <v>1696</v>
      </c>
      <c r="E1699" s="113">
        <v>202</v>
      </c>
      <c r="F1699" s="113">
        <v>199.4</v>
      </c>
      <c r="G1699" s="113">
        <v>197.4</v>
      </c>
      <c r="H1699" s="113">
        <f t="shared" si="187"/>
        <v>54.833333333333336</v>
      </c>
      <c r="I1699" s="113">
        <v>3.2</v>
      </c>
      <c r="J1699" s="113">
        <v>9.5299999999999994</v>
      </c>
      <c r="K1699" s="113">
        <v>7.4</v>
      </c>
      <c r="L1699" s="185"/>
      <c r="M1699" s="16">
        <v>1696</v>
      </c>
      <c r="N1699" s="16">
        <f t="shared" si="189"/>
        <v>1.9141795898825791E-2</v>
      </c>
      <c r="O1699" s="16">
        <v>5</v>
      </c>
      <c r="P1699" s="16">
        <f t="shared" si="185"/>
        <v>8.1742160278745661</v>
      </c>
      <c r="Q1699" s="16">
        <f t="shared" si="190"/>
        <v>52.241702151956531</v>
      </c>
      <c r="R1699" s="113">
        <f t="shared" si="186"/>
        <v>319.54399999999998</v>
      </c>
      <c r="S1699" s="16">
        <f>IF(S1698=15800,15800,ROUND((((Q1699*60)/'Gearing Calculator'!$C$14)*'Track Data'!P1699),-2))</f>
        <v>12900</v>
      </c>
      <c r="T1699" s="16">
        <f t="shared" si="188"/>
        <v>4.1645564485137276</v>
      </c>
      <c r="U1699" s="16">
        <f>IF(AC1699=100,Braking!$AG$2354,IF(AC1699=50,Braking!$AG$1179,IF(AC1699=75,Braking!$AG$1767,0)))</f>
        <v>0</v>
      </c>
      <c r="V1699" s="16">
        <f>0.5*'Gearing Calculator'!$C$15*'Gearing Calculator'!$C$20*'Gearing Calculator'!$W$20*('Track Data'!Q1699^2)</f>
        <v>288.85804576477898</v>
      </c>
      <c r="W1699" s="16">
        <f>('Gearing Calculator'!$U$9*'Track Data'!T1699)+'Track Data'!V1699</f>
        <v>1397.4629723591333</v>
      </c>
      <c r="X1699" s="16">
        <f>('Gearing Calculator'!$U$9*9.81)*('Gearing Calculator'!$U$16/'Gearing Calculator'!$C$7)-(('Track Data'!W1699)*('Gearing Calculator'!$U$17/'Gearing Calculator'!$C$7))</f>
        <v>639.44954210096591</v>
      </c>
      <c r="Y1699" s="16">
        <f>('Gearing Calculator'!$U$9*9.81)*(('Gearing Calculator'!$C$7-'Gearing Calculator'!$U$16)/'Gearing Calculator'!$C$7)+(('Track Data'!W1699)*('Gearing Calculator'!$U$17/'Gearing Calculator'!$C$7))</f>
        <v>1971.972457899034</v>
      </c>
      <c r="Z1699" s="16">
        <f>((X1699*COS('Gearing Calculator'!$C$21))/'Gearing Calculator'!$C$22)/2</f>
        <v>19.769757435166543</v>
      </c>
      <c r="AA1699" s="16">
        <f>Y1699/'Gearing Calculator'!$C$24</f>
        <v>27.535349598977295</v>
      </c>
      <c r="AB1699" s="16">
        <f t="shared" si="184"/>
        <v>309.6808280073476</v>
      </c>
      <c r="AC1699" s="16">
        <v>0</v>
      </c>
      <c r="AD1699" s="16">
        <v>0</v>
      </c>
      <c r="AE1699" s="16">
        <v>1696</v>
      </c>
      <c r="AF1699" s="16">
        <f>IF(AC1699=0,IF(O1699=6,INDEX(Acceleration!$V$4:$V$110,MATCH('Track Data'!S1699,Acceleration!$K$4:$K$110,0)),IF('Track Data'!O1699=5,INDEX(Acceleration!$U$4:$U$110,MATCH('Track Data'!S1699,Acceleration!$K$4:$K$110,0)),1)),U1699)</f>
        <v>4.1645564485137276</v>
      </c>
      <c r="AG1699" s="16">
        <f>IF(AC1699=0,IF(O1699=4,INDEX(Acceleration!$T$4:$T$110,MATCH('Track Data'!S1699,Acceleration!$K$4:$K$110,0)),IF('Track Data'!O1699=3,INDEX(Acceleration!$S$4:$S$110,MATCH('Track Data'!S1699,Acceleration!$K$4:$K$110,0)),'Track Data'!AF1699)),'Track Data'!U1699)</f>
        <v>4.1645564485137276</v>
      </c>
      <c r="AH1699" s="16">
        <f>IF(AC1699=0,IF(O1699=2,INDEX(Acceleration!$R$4:$R$110,MATCH('Track Data'!S1699,Acceleration!$K$4:$K$110,0)),IF('Track Data'!O1699=1,INDEX(Acceleration!$Q$4:$Q$110,MATCH('Track Data'!S1699,Acceleration!$K$4:$K$110,0)),'Track Data'!AG1699)),'Track Data'!U1699)</f>
        <v>4.1645564485137276</v>
      </c>
    </row>
    <row r="1700" spans="2:34" x14ac:dyDescent="0.25">
      <c r="B1700" s="16">
        <v>242.81200000000001</v>
      </c>
      <c r="C1700" s="16">
        <v>8970</v>
      </c>
      <c r="D1700" s="16">
        <v>1697</v>
      </c>
      <c r="E1700" s="113">
        <v>202</v>
      </c>
      <c r="F1700" s="113">
        <v>199.9</v>
      </c>
      <c r="G1700" s="113">
        <v>197.6</v>
      </c>
      <c r="H1700" s="113">
        <f t="shared" si="187"/>
        <v>54.888888888888886</v>
      </c>
      <c r="I1700" s="113">
        <v>3.2</v>
      </c>
      <c r="J1700" s="113">
        <v>9.83</v>
      </c>
      <c r="K1700" s="113">
        <v>5.6</v>
      </c>
      <c r="L1700" s="185"/>
      <c r="M1700" s="16">
        <v>1697</v>
      </c>
      <c r="N1700" s="16">
        <f t="shared" si="189"/>
        <v>1.9112653578257061E-2</v>
      </c>
      <c r="O1700" s="16">
        <v>5</v>
      </c>
      <c r="P1700" s="16">
        <f t="shared" si="185"/>
        <v>8.1742160278745661</v>
      </c>
      <c r="Q1700" s="16">
        <f t="shared" si="190"/>
        <v>52.321358512855596</v>
      </c>
      <c r="R1700" s="113">
        <f t="shared" si="186"/>
        <v>319.54399999999998</v>
      </c>
      <c r="S1700" s="16">
        <f>IF(S1699=15800,15800,ROUND((((Q1700*60)/'Gearing Calculator'!$C$14)*'Track Data'!P1700),-2))</f>
        <v>13000</v>
      </c>
      <c r="T1700" s="16">
        <f t="shared" si="188"/>
        <v>4.1158808584723294</v>
      </c>
      <c r="U1700" s="16">
        <f>IF(AC1700=100,Braking!$AG$2354,IF(AC1700=50,Braking!$AG$1179,IF(AC1700=75,Braking!$AG$1767,0)))</f>
        <v>0</v>
      </c>
      <c r="V1700" s="16">
        <f>0.5*'Gearing Calculator'!$C$15*'Gearing Calculator'!$C$20*'Gearing Calculator'!$W$20*('Track Data'!Q1700^2)</f>
        <v>289.73959907380032</v>
      </c>
      <c r="W1700" s="16">
        <f>('Gearing Calculator'!$U$9*'Track Data'!T1700)+'Track Data'!V1700</f>
        <v>1385.3870835991343</v>
      </c>
      <c r="X1700" s="16">
        <f>('Gearing Calculator'!$U$9*9.81)*('Gearing Calculator'!$U$16/'Gearing Calculator'!$C$7)-(('Track Data'!W1700)*('Gearing Calculator'!$U$17/'Gearing Calculator'!$C$7))</f>
        <v>646.03172618268979</v>
      </c>
      <c r="Y1700" s="16">
        <f>('Gearing Calculator'!$U$9*9.81)*(('Gearing Calculator'!$C$7-'Gearing Calculator'!$U$16)/'Gearing Calculator'!$C$7)+(('Track Data'!W1700)*('Gearing Calculator'!$U$17/'Gearing Calculator'!$C$7))</f>
        <v>1965.3902738173101</v>
      </c>
      <c r="Z1700" s="16">
        <f>((X1700*COS('Gearing Calculator'!$C$21))/'Gearing Calculator'!$C$22)/2</f>
        <v>19.973257749298835</v>
      </c>
      <c r="AA1700" s="16">
        <f>Y1700/'Gearing Calculator'!$C$24</f>
        <v>27.443440232246996</v>
      </c>
      <c r="AB1700" s="16">
        <f t="shared" si="184"/>
        <v>310.31900336616195</v>
      </c>
      <c r="AC1700" s="16">
        <v>0</v>
      </c>
      <c r="AD1700" s="16">
        <v>0</v>
      </c>
      <c r="AE1700" s="16">
        <v>1697</v>
      </c>
      <c r="AF1700" s="16">
        <f>IF(AC1700=0,IF(O1700=6,INDEX(Acceleration!$V$4:$V$110,MATCH('Track Data'!S1700,Acceleration!$K$4:$K$110,0)),IF('Track Data'!O1700=5,INDEX(Acceleration!$U$4:$U$110,MATCH('Track Data'!S1700,Acceleration!$K$4:$K$110,0)),1)),U1700)</f>
        <v>4.1158808584723294</v>
      </c>
      <c r="AG1700" s="16">
        <f>IF(AC1700=0,IF(O1700=4,INDEX(Acceleration!$T$4:$T$110,MATCH('Track Data'!S1700,Acceleration!$K$4:$K$110,0)),IF('Track Data'!O1700=3,INDEX(Acceleration!$S$4:$S$110,MATCH('Track Data'!S1700,Acceleration!$K$4:$K$110,0)),'Track Data'!AF1700)),'Track Data'!U1700)</f>
        <v>4.1158808584723294</v>
      </c>
      <c r="AH1700" s="16">
        <f>IF(AC1700=0,IF(O1700=2,INDEX(Acceleration!$R$4:$R$110,MATCH('Track Data'!S1700,Acceleration!$K$4:$K$110,0)),IF('Track Data'!O1700=1,INDEX(Acceleration!$Q$4:$Q$110,MATCH('Track Data'!S1700,Acceleration!$K$4:$K$110,0)),'Track Data'!AG1700)),'Track Data'!U1700)</f>
        <v>4.1158808584723294</v>
      </c>
    </row>
    <row r="1701" spans="2:34" x14ac:dyDescent="0.25">
      <c r="B1701" s="16">
        <v>242.82900000000001</v>
      </c>
      <c r="C1701" s="16">
        <v>8971</v>
      </c>
      <c r="D1701" s="16">
        <v>1698</v>
      </c>
      <c r="E1701" s="113">
        <v>202</v>
      </c>
      <c r="F1701" s="113">
        <v>200.2</v>
      </c>
      <c r="G1701" s="113">
        <v>197.7</v>
      </c>
      <c r="H1701" s="113">
        <f t="shared" si="187"/>
        <v>54.916666666666664</v>
      </c>
      <c r="I1701" s="113">
        <v>3.2</v>
      </c>
      <c r="J1701" s="113">
        <v>11.56</v>
      </c>
      <c r="K1701" s="113">
        <v>2.5</v>
      </c>
      <c r="L1701" s="185"/>
      <c r="M1701" s="16">
        <v>1698</v>
      </c>
      <c r="N1701" s="16">
        <f t="shared" si="189"/>
        <v>1.9083982260031922E-2</v>
      </c>
      <c r="O1701" s="16">
        <v>5</v>
      </c>
      <c r="P1701" s="16">
        <f t="shared" si="185"/>
        <v>8.1742160278745661</v>
      </c>
      <c r="Q1701" s="16">
        <f t="shared" si="190"/>
        <v>52.399964869718296</v>
      </c>
      <c r="R1701" s="113">
        <f t="shared" si="186"/>
        <v>319.54399999999998</v>
      </c>
      <c r="S1701" s="16">
        <f>IF(S1700=15800,15800,ROUND((((Q1701*60)/'Gearing Calculator'!$C$14)*'Track Data'!P1701),-2))</f>
        <v>13000</v>
      </c>
      <c r="T1701" s="16">
        <f t="shared" si="188"/>
        <v>4.1158808584723294</v>
      </c>
      <c r="U1701" s="16">
        <f>IF(AC1701=100,Braking!$AG$2354,IF(AC1701=50,Braking!$AG$1179,IF(AC1701=75,Braking!$AG$1767,0)))</f>
        <v>0</v>
      </c>
      <c r="V1701" s="16">
        <f>0.5*'Gearing Calculator'!$C$15*'Gearing Calculator'!$C$20*'Gearing Calculator'!$W$20*('Track Data'!Q1701^2)</f>
        <v>290.61084873392173</v>
      </c>
      <c r="W1701" s="16">
        <f>('Gearing Calculator'!$U$9*'Track Data'!T1701)+'Track Data'!V1701</f>
        <v>1386.2583332592558</v>
      </c>
      <c r="X1701" s="16">
        <f>('Gearing Calculator'!$U$9*9.81)*('Gearing Calculator'!$U$16/'Gearing Calculator'!$C$7)-(('Track Data'!W1701)*('Gearing Calculator'!$U$17/'Gearing Calculator'!$C$7))</f>
        <v>645.55683561703177</v>
      </c>
      <c r="Y1701" s="16">
        <f>('Gearing Calculator'!$U$9*9.81)*(('Gearing Calculator'!$C$7-'Gearing Calculator'!$U$16)/'Gearing Calculator'!$C$7)+(('Track Data'!W1701)*('Gearing Calculator'!$U$17/'Gearing Calculator'!$C$7))</f>
        <v>1965.8651643829683</v>
      </c>
      <c r="Z1701" s="16">
        <f>((X1701*COS('Gearing Calculator'!$C$21))/'Gearing Calculator'!$C$22)/2</f>
        <v>19.95857563495958</v>
      </c>
      <c r="AA1701" s="16">
        <f>Y1701/'Gearing Calculator'!$C$24</f>
        <v>27.450071297348476</v>
      </c>
      <c r="AB1701" s="16">
        <f t="shared" si="184"/>
        <v>311.19025302628336</v>
      </c>
      <c r="AC1701" s="16">
        <v>0</v>
      </c>
      <c r="AD1701" s="16">
        <v>0</v>
      </c>
      <c r="AE1701" s="16">
        <v>1698</v>
      </c>
      <c r="AF1701" s="16">
        <f>IF(AC1701=0,IF(O1701=6,INDEX(Acceleration!$V$4:$V$110,MATCH('Track Data'!S1701,Acceleration!$K$4:$K$110,0)),IF('Track Data'!O1701=5,INDEX(Acceleration!$U$4:$U$110,MATCH('Track Data'!S1701,Acceleration!$K$4:$K$110,0)),1)),U1701)</f>
        <v>4.1158808584723294</v>
      </c>
      <c r="AG1701" s="16">
        <f>IF(AC1701=0,IF(O1701=4,INDEX(Acceleration!$T$4:$T$110,MATCH('Track Data'!S1701,Acceleration!$K$4:$K$110,0)),IF('Track Data'!O1701=3,INDEX(Acceleration!$S$4:$S$110,MATCH('Track Data'!S1701,Acceleration!$K$4:$K$110,0)),'Track Data'!AF1701)),'Track Data'!U1701)</f>
        <v>4.1158808584723294</v>
      </c>
      <c r="AH1701" s="16">
        <f>IF(AC1701=0,IF(O1701=2,INDEX(Acceleration!$R$4:$R$110,MATCH('Track Data'!S1701,Acceleration!$K$4:$K$110,0)),IF('Track Data'!O1701=1,INDEX(Acceleration!$Q$4:$Q$110,MATCH('Track Data'!S1701,Acceleration!$K$4:$K$110,0)),'Track Data'!AG1701)),'Track Data'!U1701)</f>
        <v>4.1158808584723294</v>
      </c>
    </row>
    <row r="1702" spans="2:34" x14ac:dyDescent="0.25">
      <c r="B1702" s="16">
        <v>242.84700000000001</v>
      </c>
      <c r="C1702" s="16">
        <v>8972</v>
      </c>
      <c r="D1702" s="16">
        <v>1699</v>
      </c>
      <c r="E1702" s="113">
        <v>202</v>
      </c>
      <c r="F1702" s="113">
        <v>200.5</v>
      </c>
      <c r="G1702" s="113">
        <v>197.9</v>
      </c>
      <c r="H1702" s="113">
        <f t="shared" si="187"/>
        <v>54.972222222222221</v>
      </c>
      <c r="I1702" s="113">
        <v>3.5</v>
      </c>
      <c r="J1702" s="113">
        <v>13.58</v>
      </c>
      <c r="K1702" s="113">
        <v>-3.9</v>
      </c>
      <c r="L1702" s="185"/>
      <c r="M1702" s="16">
        <v>1699</v>
      </c>
      <c r="N1702" s="16">
        <f t="shared" si="189"/>
        <v>1.9055439587340055E-2</v>
      </c>
      <c r="O1702" s="16">
        <v>5</v>
      </c>
      <c r="P1702" s="16">
        <f t="shared" si="185"/>
        <v>8.1742160278745661</v>
      </c>
      <c r="Q1702" s="16">
        <f t="shared" si="190"/>
        <v>52.478453483926678</v>
      </c>
      <c r="R1702" s="113">
        <f t="shared" si="186"/>
        <v>319.54399999999998</v>
      </c>
      <c r="S1702" s="16">
        <f>IF(S1701=15800,15800,ROUND((((Q1702*60)/'Gearing Calculator'!$C$14)*'Track Data'!P1702),-2))</f>
        <v>13000</v>
      </c>
      <c r="T1702" s="16">
        <f t="shared" si="188"/>
        <v>4.1158808584723294</v>
      </c>
      <c r="U1702" s="16">
        <f>IF(AC1702=100,Braking!$AG$2354,IF(AC1702=50,Braking!$AG$1179,IF(AC1702=75,Braking!$AG$1767,0)))</f>
        <v>0</v>
      </c>
      <c r="V1702" s="16">
        <f>0.5*'Gearing Calculator'!$C$15*'Gearing Calculator'!$C$20*'Gearing Calculator'!$W$20*('Track Data'!Q1702^2)</f>
        <v>291.48209839404319</v>
      </c>
      <c r="W1702" s="16">
        <f>('Gearing Calculator'!$U$9*'Track Data'!T1702)+'Track Data'!V1702</f>
        <v>1387.1295829193773</v>
      </c>
      <c r="X1702" s="16">
        <f>('Gearing Calculator'!$U$9*9.81)*('Gearing Calculator'!$U$16/'Gearing Calculator'!$C$7)-(('Track Data'!W1702)*('Gearing Calculator'!$U$17/'Gearing Calculator'!$C$7))</f>
        <v>645.08194505137374</v>
      </c>
      <c r="Y1702" s="16">
        <f>('Gearing Calculator'!$U$9*9.81)*(('Gearing Calculator'!$C$7-'Gearing Calculator'!$U$16)/'Gearing Calculator'!$C$7)+(('Track Data'!W1702)*('Gearing Calculator'!$U$17/'Gearing Calculator'!$C$7))</f>
        <v>1966.3400549486264</v>
      </c>
      <c r="Z1702" s="16">
        <f>((X1702*COS('Gearing Calculator'!$C$21))/'Gearing Calculator'!$C$22)/2</f>
        <v>19.943893520620328</v>
      </c>
      <c r="AA1702" s="16">
        <f>Y1702/'Gearing Calculator'!$C$24</f>
        <v>27.456702362449956</v>
      </c>
      <c r="AB1702" s="16">
        <f t="shared" si="184"/>
        <v>312.06150268640482</v>
      </c>
      <c r="AC1702" s="16">
        <v>0</v>
      </c>
      <c r="AD1702" s="16">
        <v>0</v>
      </c>
      <c r="AE1702" s="16">
        <v>1699</v>
      </c>
      <c r="AF1702" s="16">
        <f>IF(AC1702=0,IF(O1702=6,INDEX(Acceleration!$V$4:$V$110,MATCH('Track Data'!S1702,Acceleration!$K$4:$K$110,0)),IF('Track Data'!O1702=5,INDEX(Acceleration!$U$4:$U$110,MATCH('Track Data'!S1702,Acceleration!$K$4:$K$110,0)),1)),U1702)</f>
        <v>4.1158808584723294</v>
      </c>
      <c r="AG1702" s="16">
        <f>IF(AC1702=0,IF(O1702=4,INDEX(Acceleration!$T$4:$T$110,MATCH('Track Data'!S1702,Acceleration!$K$4:$K$110,0)),IF('Track Data'!O1702=3,INDEX(Acceleration!$S$4:$S$110,MATCH('Track Data'!S1702,Acceleration!$K$4:$K$110,0)),'Track Data'!AF1702)),'Track Data'!U1702)</f>
        <v>4.1158808584723294</v>
      </c>
      <c r="AH1702" s="16">
        <f>IF(AC1702=0,IF(O1702=2,INDEX(Acceleration!$R$4:$R$110,MATCH('Track Data'!S1702,Acceleration!$K$4:$K$110,0)),IF('Track Data'!O1702=1,INDEX(Acceleration!$Q$4:$Q$110,MATCH('Track Data'!S1702,Acceleration!$K$4:$K$110,0)),'Track Data'!AG1702)),'Track Data'!U1702)</f>
        <v>4.1158808584723294</v>
      </c>
    </row>
    <row r="1703" spans="2:34" x14ac:dyDescent="0.25">
      <c r="B1703" s="16">
        <v>242.86600000000001</v>
      </c>
      <c r="C1703" s="16">
        <v>8973</v>
      </c>
      <c r="D1703" s="16">
        <v>1700</v>
      </c>
      <c r="E1703" s="113">
        <v>201</v>
      </c>
      <c r="F1703" s="113">
        <v>200.7</v>
      </c>
      <c r="G1703" s="113">
        <v>198.1</v>
      </c>
      <c r="H1703" s="113">
        <f t="shared" si="187"/>
        <v>55.027777777777771</v>
      </c>
      <c r="I1703" s="113">
        <v>4.5999999999999996</v>
      </c>
      <c r="J1703" s="113">
        <v>15.53</v>
      </c>
      <c r="K1703" s="113">
        <v>-10.199999999999999</v>
      </c>
      <c r="L1703" s="185"/>
      <c r="M1703" s="16">
        <v>1700</v>
      </c>
      <c r="N1703" s="16">
        <f t="shared" si="189"/>
        <v>1.9027024601016015E-2</v>
      </c>
      <c r="O1703" s="16">
        <v>5</v>
      </c>
      <c r="P1703" s="16">
        <f t="shared" si="185"/>
        <v>8.1742160278745661</v>
      </c>
      <c r="Q1703" s="16">
        <f t="shared" si="190"/>
        <v>52.556824882993084</v>
      </c>
      <c r="R1703" s="113">
        <f t="shared" si="186"/>
        <v>319.54399999999998</v>
      </c>
      <c r="S1703" s="16">
        <f>IF(S1702=15800,15800,ROUND((((Q1703*60)/'Gearing Calculator'!$C$14)*'Track Data'!P1703),-2))</f>
        <v>13000</v>
      </c>
      <c r="T1703" s="16">
        <f t="shared" si="188"/>
        <v>4.1158808584723294</v>
      </c>
      <c r="U1703" s="16">
        <f>IF(AC1703=100,Braking!$AG$2354,IF(AC1703=50,Braking!$AG$1179,IF(AC1703=75,Braking!$AG$1767,0)))</f>
        <v>0</v>
      </c>
      <c r="V1703" s="16">
        <f>0.5*'Gearing Calculator'!$C$15*'Gearing Calculator'!$C$20*'Gearing Calculator'!$W$20*('Track Data'!Q1703^2)</f>
        <v>292.35334805416466</v>
      </c>
      <c r="W1703" s="16">
        <f>('Gearing Calculator'!$U$9*'Track Data'!T1703)+'Track Data'!V1703</f>
        <v>1388.0008325794986</v>
      </c>
      <c r="X1703" s="16">
        <f>('Gearing Calculator'!$U$9*9.81)*('Gearing Calculator'!$U$16/'Gearing Calculator'!$C$7)-(('Track Data'!W1703)*('Gearing Calculator'!$U$17/'Gearing Calculator'!$C$7))</f>
        <v>644.60705448571593</v>
      </c>
      <c r="Y1703" s="16">
        <f>('Gearing Calculator'!$U$9*9.81)*(('Gearing Calculator'!$C$7-'Gearing Calculator'!$U$16)/'Gearing Calculator'!$C$7)+(('Track Data'!W1703)*('Gearing Calculator'!$U$17/'Gearing Calculator'!$C$7))</f>
        <v>1966.8149455142841</v>
      </c>
      <c r="Z1703" s="16">
        <f>((X1703*COS('Gearing Calculator'!$C$21))/'Gearing Calculator'!$C$22)/2</f>
        <v>19.929211406281087</v>
      </c>
      <c r="AA1703" s="16">
        <f>Y1703/'Gearing Calculator'!$C$24</f>
        <v>27.463333427551429</v>
      </c>
      <c r="AB1703" s="16">
        <f t="shared" si="184"/>
        <v>312.93275234652629</v>
      </c>
      <c r="AC1703" s="16">
        <v>0</v>
      </c>
      <c r="AD1703" s="16">
        <v>0</v>
      </c>
      <c r="AE1703" s="16">
        <v>1700</v>
      </c>
      <c r="AF1703" s="16">
        <f>IF(AC1703=0,IF(O1703=6,INDEX(Acceleration!$V$4:$V$110,MATCH('Track Data'!S1703,Acceleration!$K$4:$K$110,0)),IF('Track Data'!O1703=5,INDEX(Acceleration!$U$4:$U$110,MATCH('Track Data'!S1703,Acceleration!$K$4:$K$110,0)),1)),U1703)</f>
        <v>4.1158808584723294</v>
      </c>
      <c r="AG1703" s="16">
        <f>IF(AC1703=0,IF(O1703=4,INDEX(Acceleration!$T$4:$T$110,MATCH('Track Data'!S1703,Acceleration!$K$4:$K$110,0)),IF('Track Data'!O1703=3,INDEX(Acceleration!$S$4:$S$110,MATCH('Track Data'!S1703,Acceleration!$K$4:$K$110,0)),'Track Data'!AF1703)),'Track Data'!U1703)</f>
        <v>4.1158808584723294</v>
      </c>
      <c r="AH1703" s="16">
        <f>IF(AC1703=0,IF(O1703=2,INDEX(Acceleration!$R$4:$R$110,MATCH('Track Data'!S1703,Acceleration!$K$4:$K$110,0)),IF('Track Data'!O1703=1,INDEX(Acceleration!$Q$4:$Q$110,MATCH('Track Data'!S1703,Acceleration!$K$4:$K$110,0)),'Track Data'!AG1703)),'Track Data'!U1703)</f>
        <v>4.1158808584723294</v>
      </c>
    </row>
    <row r="1704" spans="2:34" x14ac:dyDescent="0.25">
      <c r="B1704" s="16">
        <v>242.88300000000001</v>
      </c>
      <c r="C1704" s="16">
        <v>8975</v>
      </c>
      <c r="D1704" s="16">
        <v>1701</v>
      </c>
      <c r="E1704" s="113">
        <v>201</v>
      </c>
      <c r="F1704" s="113">
        <v>200.9</v>
      </c>
      <c r="G1704" s="113">
        <v>198.3</v>
      </c>
      <c r="H1704" s="113">
        <f t="shared" si="187"/>
        <v>55.083333333333336</v>
      </c>
      <c r="I1704" s="113">
        <v>5.7</v>
      </c>
      <c r="J1704" s="113">
        <v>16.600000000000001</v>
      </c>
      <c r="K1704" s="113">
        <v>-15.1</v>
      </c>
      <c r="L1704" s="185"/>
      <c r="M1704" s="16">
        <v>1701</v>
      </c>
      <c r="N1704" s="16">
        <f t="shared" si="189"/>
        <v>1.8998736351876593E-2</v>
      </c>
      <c r="O1704" s="16">
        <v>5</v>
      </c>
      <c r="P1704" s="16">
        <f t="shared" si="185"/>
        <v>8.1742160278745661</v>
      </c>
      <c r="Q1704" s="16">
        <f t="shared" si="190"/>
        <v>52.635079590502627</v>
      </c>
      <c r="R1704" s="113">
        <f t="shared" si="186"/>
        <v>319.54399999999998</v>
      </c>
      <c r="S1704" s="16">
        <f>IF(S1703=15800,15800,ROUND((((Q1704*60)/'Gearing Calculator'!$C$14)*'Track Data'!P1704),-2))</f>
        <v>13000</v>
      </c>
      <c r="T1704" s="16">
        <f t="shared" si="188"/>
        <v>4.1158808584723294</v>
      </c>
      <c r="U1704" s="16">
        <f>IF(AC1704=100,Braking!$AG$2354,IF(AC1704=50,Braking!$AG$1179,IF(AC1704=75,Braking!$AG$1767,0)))</f>
        <v>0</v>
      </c>
      <c r="V1704" s="16">
        <f>0.5*'Gearing Calculator'!$C$15*'Gearing Calculator'!$C$20*'Gearing Calculator'!$W$20*('Track Data'!Q1704^2)</f>
        <v>293.22459771428612</v>
      </c>
      <c r="W1704" s="16">
        <f>('Gearing Calculator'!$U$9*'Track Data'!T1704)+'Track Data'!V1704</f>
        <v>1388.8720822396201</v>
      </c>
      <c r="X1704" s="16">
        <f>('Gearing Calculator'!$U$9*9.81)*('Gearing Calculator'!$U$16/'Gearing Calculator'!$C$7)-(('Track Data'!W1704)*('Gearing Calculator'!$U$17/'Gearing Calculator'!$C$7))</f>
        <v>644.13216392005791</v>
      </c>
      <c r="Y1704" s="16">
        <f>('Gearing Calculator'!$U$9*9.81)*(('Gearing Calculator'!$C$7-'Gearing Calculator'!$U$16)/'Gearing Calculator'!$C$7)+(('Track Data'!W1704)*('Gearing Calculator'!$U$17/'Gearing Calculator'!$C$7))</f>
        <v>1967.2898360799422</v>
      </c>
      <c r="Z1704" s="16">
        <f>((X1704*COS('Gearing Calculator'!$C$21))/'Gearing Calculator'!$C$22)/2</f>
        <v>19.914529291941836</v>
      </c>
      <c r="AA1704" s="16">
        <f>Y1704/'Gearing Calculator'!$C$24</f>
        <v>27.46996449265291</v>
      </c>
      <c r="AB1704" s="16">
        <f t="shared" si="184"/>
        <v>313.80400200664775</v>
      </c>
      <c r="AC1704" s="16">
        <v>0</v>
      </c>
      <c r="AD1704" s="16">
        <v>0</v>
      </c>
      <c r="AE1704" s="16">
        <v>1701</v>
      </c>
      <c r="AF1704" s="16">
        <f>IF(AC1704=0,IF(O1704=6,INDEX(Acceleration!$V$4:$V$110,MATCH('Track Data'!S1704,Acceleration!$K$4:$K$110,0)),IF('Track Data'!O1704=5,INDEX(Acceleration!$U$4:$U$110,MATCH('Track Data'!S1704,Acceleration!$K$4:$K$110,0)),1)),U1704)</f>
        <v>4.1158808584723294</v>
      </c>
      <c r="AG1704" s="16">
        <f>IF(AC1704=0,IF(O1704=4,INDEX(Acceleration!$T$4:$T$110,MATCH('Track Data'!S1704,Acceleration!$K$4:$K$110,0)),IF('Track Data'!O1704=3,INDEX(Acceleration!$S$4:$S$110,MATCH('Track Data'!S1704,Acceleration!$K$4:$K$110,0)),'Track Data'!AF1704)),'Track Data'!U1704)</f>
        <v>4.1158808584723294</v>
      </c>
      <c r="AH1704" s="16">
        <f>IF(AC1704=0,IF(O1704=2,INDEX(Acceleration!$R$4:$R$110,MATCH('Track Data'!S1704,Acceleration!$K$4:$K$110,0)),IF('Track Data'!O1704=1,INDEX(Acceleration!$Q$4:$Q$110,MATCH('Track Data'!S1704,Acceleration!$K$4:$K$110,0)),'Track Data'!AG1704)),'Track Data'!U1704)</f>
        <v>4.1158808584723294</v>
      </c>
    </row>
    <row r="1705" spans="2:34" x14ac:dyDescent="0.25">
      <c r="B1705" s="16">
        <v>242.90100000000001</v>
      </c>
      <c r="C1705" s="16">
        <v>8976</v>
      </c>
      <c r="D1705" s="16">
        <v>1702</v>
      </c>
      <c r="E1705" s="113">
        <v>202</v>
      </c>
      <c r="F1705" s="113">
        <v>200.7</v>
      </c>
      <c r="G1705" s="113">
        <v>198.5</v>
      </c>
      <c r="H1705" s="113">
        <f t="shared" si="187"/>
        <v>55.138888888888886</v>
      </c>
      <c r="I1705" s="113">
        <v>6.5</v>
      </c>
      <c r="J1705" s="113">
        <v>18.100000000000001</v>
      </c>
      <c r="K1705" s="113">
        <v>-13.6</v>
      </c>
      <c r="L1705" s="185"/>
      <c r="M1705" s="16">
        <v>1702</v>
      </c>
      <c r="N1705" s="16">
        <f t="shared" si="189"/>
        <v>1.897057390058763E-2</v>
      </c>
      <c r="O1705" s="16">
        <v>5</v>
      </c>
      <c r="P1705" s="16">
        <f t="shared" si="185"/>
        <v>8.1742160278745661</v>
      </c>
      <c r="Q1705" s="16">
        <f t="shared" si="190"/>
        <v>52.713218126154004</v>
      </c>
      <c r="R1705" s="113">
        <f t="shared" si="186"/>
        <v>319.54399999999998</v>
      </c>
      <c r="S1705" s="16">
        <f>IF(S1704=15800,15800,ROUND((((Q1705*60)/'Gearing Calculator'!$C$14)*'Track Data'!P1705),-2))</f>
        <v>13100</v>
      </c>
      <c r="T1705" s="16">
        <f t="shared" si="188"/>
        <v>4.0676923888352654</v>
      </c>
      <c r="U1705" s="16">
        <f>IF(AC1705=100,Braking!$AG$2354,IF(AC1705=50,Braking!$AG$1179,IF(AC1705=75,Braking!$AG$1767,0)))</f>
        <v>0</v>
      </c>
      <c r="V1705" s="16">
        <f>0.5*'Gearing Calculator'!$C$15*'Gearing Calculator'!$C$20*'Gearing Calculator'!$W$20*('Track Data'!Q1705^2)</f>
        <v>294.09584737440753</v>
      </c>
      <c r="W1705" s="16">
        <f>('Gearing Calculator'!$U$9*'Track Data'!T1705)+'Track Data'!V1705</f>
        <v>1376.9155612823552</v>
      </c>
      <c r="X1705" s="16">
        <f>('Gearing Calculator'!$U$9*9.81)*('Gearing Calculator'!$U$16/'Gearing Calculator'!$C$7)-(('Track Data'!W1705)*('Gearing Calculator'!$U$17/'Gearing Calculator'!$C$7))</f>
        <v>650.64928439721882</v>
      </c>
      <c r="Y1705" s="16">
        <f>('Gearing Calculator'!$U$9*9.81)*(('Gearing Calculator'!$C$7-'Gearing Calculator'!$U$16)/'Gearing Calculator'!$C$7)+(('Track Data'!W1705)*('Gearing Calculator'!$U$17/'Gearing Calculator'!$C$7))</f>
        <v>1960.7727156027813</v>
      </c>
      <c r="Z1705" s="16">
        <f>((X1705*COS('Gearing Calculator'!$C$21))/'Gearing Calculator'!$C$22)/2</f>
        <v>20.116018045199688</v>
      </c>
      <c r="AA1705" s="16">
        <f>Y1705/'Gearing Calculator'!$C$24</f>
        <v>27.378963632068643</v>
      </c>
      <c r="AB1705" s="16">
        <f t="shared" si="184"/>
        <v>314.43430931858387</v>
      </c>
      <c r="AC1705" s="16">
        <v>0</v>
      </c>
      <c r="AD1705" s="16">
        <v>0</v>
      </c>
      <c r="AE1705" s="16">
        <v>1702</v>
      </c>
      <c r="AF1705" s="16">
        <f>IF(AC1705=0,IF(O1705=6,INDEX(Acceleration!$V$4:$V$110,MATCH('Track Data'!S1705,Acceleration!$K$4:$K$110,0)),IF('Track Data'!O1705=5,INDEX(Acceleration!$U$4:$U$110,MATCH('Track Data'!S1705,Acceleration!$K$4:$K$110,0)),1)),U1705)</f>
        <v>4.0676923888352654</v>
      </c>
      <c r="AG1705" s="16">
        <f>IF(AC1705=0,IF(O1705=4,INDEX(Acceleration!$T$4:$T$110,MATCH('Track Data'!S1705,Acceleration!$K$4:$K$110,0)),IF('Track Data'!O1705=3,INDEX(Acceleration!$S$4:$S$110,MATCH('Track Data'!S1705,Acceleration!$K$4:$K$110,0)),'Track Data'!AF1705)),'Track Data'!U1705)</f>
        <v>4.0676923888352654</v>
      </c>
      <c r="AH1705" s="16">
        <f>IF(AC1705=0,IF(O1705=2,INDEX(Acceleration!$R$4:$R$110,MATCH('Track Data'!S1705,Acceleration!$K$4:$K$110,0)),IF('Track Data'!O1705=1,INDEX(Acceleration!$Q$4:$Q$110,MATCH('Track Data'!S1705,Acceleration!$K$4:$K$110,0)),'Track Data'!AG1705)),'Track Data'!U1705)</f>
        <v>4.0676923888352654</v>
      </c>
    </row>
    <row r="1706" spans="2:34" x14ac:dyDescent="0.25">
      <c r="B1706" s="16">
        <v>242.91900000000001</v>
      </c>
      <c r="C1706" s="16">
        <v>8976</v>
      </c>
      <c r="D1706" s="16">
        <v>1703</v>
      </c>
      <c r="E1706" s="113">
        <v>202</v>
      </c>
      <c r="F1706" s="113">
        <v>200.7</v>
      </c>
      <c r="G1706" s="113">
        <v>198.6</v>
      </c>
      <c r="H1706" s="113">
        <f t="shared" si="187"/>
        <v>55.166666666666664</v>
      </c>
      <c r="I1706" s="113">
        <v>7</v>
      </c>
      <c r="J1706" s="113">
        <v>16.82</v>
      </c>
      <c r="K1706" s="113">
        <v>-12.8</v>
      </c>
      <c r="L1706" s="185"/>
      <c r="M1706" s="16">
        <v>1703</v>
      </c>
      <c r="N1706" s="16">
        <f t="shared" si="189"/>
        <v>1.8942863860881263E-2</v>
      </c>
      <c r="O1706" s="16">
        <v>5</v>
      </c>
      <c r="P1706" s="16">
        <f t="shared" si="185"/>
        <v>8.1742160278745661</v>
      </c>
      <c r="Q1706" s="16">
        <f t="shared" si="190"/>
        <v>52.790328186071747</v>
      </c>
      <c r="R1706" s="113">
        <f t="shared" si="186"/>
        <v>319.54399999999998</v>
      </c>
      <c r="S1706" s="16">
        <f>IF(S1705=15800,15800,ROUND((((Q1706*60)/'Gearing Calculator'!$C$14)*'Track Data'!P1706),-2))</f>
        <v>13100</v>
      </c>
      <c r="T1706" s="16">
        <f t="shared" si="188"/>
        <v>4.0676923888352654</v>
      </c>
      <c r="U1706" s="16">
        <f>IF(AC1706=100,Braking!$AG$2354,IF(AC1706=50,Braking!$AG$1179,IF(AC1706=75,Braking!$AG$1767,0)))</f>
        <v>0</v>
      </c>
      <c r="V1706" s="16">
        <f>0.5*'Gearing Calculator'!$C$15*'Gearing Calculator'!$C$20*'Gearing Calculator'!$W$20*('Track Data'!Q1706^2)</f>
        <v>294.95689649927613</v>
      </c>
      <c r="W1706" s="16">
        <f>('Gearing Calculator'!$U$9*'Track Data'!T1706)+'Track Data'!V1706</f>
        <v>1377.7766104072236</v>
      </c>
      <c r="X1706" s="16">
        <f>('Gearing Calculator'!$U$9*9.81)*('Gearing Calculator'!$U$16/'Gearing Calculator'!$C$7)-(('Track Data'!W1706)*('Gearing Calculator'!$U$17/'Gearing Calculator'!$C$7))</f>
        <v>650.17995381990636</v>
      </c>
      <c r="Y1706" s="16">
        <f>('Gearing Calculator'!$U$9*9.81)*(('Gearing Calculator'!$C$7-'Gearing Calculator'!$U$16)/'Gearing Calculator'!$C$7)+(('Track Data'!W1706)*('Gearing Calculator'!$U$17/'Gearing Calculator'!$C$7))</f>
        <v>1961.2420461800937</v>
      </c>
      <c r="Z1706" s="16">
        <f>((X1706*COS('Gearing Calculator'!$C$21))/'Gearing Calculator'!$C$22)/2</f>
        <v>20.101507828115334</v>
      </c>
      <c r="AA1706" s="16">
        <f>Y1706/'Gearing Calculator'!$C$24</f>
        <v>27.385517061084357</v>
      </c>
      <c r="AB1706" s="16">
        <f t="shared" si="184"/>
        <v>315.29535844345247</v>
      </c>
      <c r="AC1706" s="16">
        <v>0</v>
      </c>
      <c r="AD1706" s="16">
        <v>0</v>
      </c>
      <c r="AE1706" s="16">
        <v>1703</v>
      </c>
      <c r="AF1706" s="16">
        <f>IF(AC1706=0,IF(O1706=6,INDEX(Acceleration!$V$4:$V$110,MATCH('Track Data'!S1706,Acceleration!$K$4:$K$110,0)),IF('Track Data'!O1706=5,INDEX(Acceleration!$U$4:$U$110,MATCH('Track Data'!S1706,Acceleration!$K$4:$K$110,0)),1)),U1706)</f>
        <v>4.0676923888352654</v>
      </c>
      <c r="AG1706" s="16">
        <f>IF(AC1706=0,IF(O1706=4,INDEX(Acceleration!$T$4:$T$110,MATCH('Track Data'!S1706,Acceleration!$K$4:$K$110,0)),IF('Track Data'!O1706=3,INDEX(Acceleration!$S$4:$S$110,MATCH('Track Data'!S1706,Acceleration!$K$4:$K$110,0)),'Track Data'!AF1706)),'Track Data'!U1706)</f>
        <v>4.0676923888352654</v>
      </c>
      <c r="AH1706" s="16">
        <f>IF(AC1706=0,IF(O1706=2,INDEX(Acceleration!$R$4:$R$110,MATCH('Track Data'!S1706,Acceleration!$K$4:$K$110,0)),IF('Track Data'!O1706=1,INDEX(Acceleration!$Q$4:$Q$110,MATCH('Track Data'!S1706,Acceleration!$K$4:$K$110,0)),'Track Data'!AG1706)),'Track Data'!U1706)</f>
        <v>4.0676923888352654</v>
      </c>
    </row>
    <row r="1707" spans="2:34" x14ac:dyDescent="0.25">
      <c r="B1707" s="16">
        <v>242.93700000000001</v>
      </c>
      <c r="C1707" s="16">
        <v>8977</v>
      </c>
      <c r="D1707" s="16">
        <v>1704</v>
      </c>
      <c r="E1707" s="113">
        <v>202</v>
      </c>
      <c r="F1707" s="113">
        <v>201.2</v>
      </c>
      <c r="G1707" s="113">
        <v>198.7</v>
      </c>
      <c r="H1707" s="113">
        <f t="shared" si="187"/>
        <v>55.194444444444443</v>
      </c>
      <c r="I1707" s="113">
        <v>7.3</v>
      </c>
      <c r="J1707" s="113">
        <v>15.18</v>
      </c>
      <c r="K1707" s="113">
        <v>-11.3</v>
      </c>
      <c r="L1707" s="185"/>
      <c r="M1707" s="16">
        <v>1704</v>
      </c>
      <c r="N1707" s="16">
        <f t="shared" si="189"/>
        <v>1.8915274894466431E-2</v>
      </c>
      <c r="O1707" s="16">
        <v>5</v>
      </c>
      <c r="P1707" s="16">
        <f t="shared" si="185"/>
        <v>8.1742160278745661</v>
      </c>
      <c r="Q1707" s="16">
        <f t="shared" si="190"/>
        <v>52.867325776615857</v>
      </c>
      <c r="R1707" s="113">
        <f t="shared" si="186"/>
        <v>319.54399999999998</v>
      </c>
      <c r="S1707" s="16">
        <f>IF(S1706=15800,15800,ROUND((((Q1707*60)/'Gearing Calculator'!$C$14)*'Track Data'!P1707),-2))</f>
        <v>13100</v>
      </c>
      <c r="T1707" s="16">
        <f t="shared" si="188"/>
        <v>4.0676923888352654</v>
      </c>
      <c r="U1707" s="16">
        <f>IF(AC1707=100,Braking!$AG$2354,IF(AC1707=50,Braking!$AG$1179,IF(AC1707=75,Braking!$AG$1767,0)))</f>
        <v>0</v>
      </c>
      <c r="V1707" s="16">
        <f>0.5*'Gearing Calculator'!$C$15*'Gearing Calculator'!$C$20*'Gearing Calculator'!$W$20*('Track Data'!Q1707^2)</f>
        <v>295.81794562414478</v>
      </c>
      <c r="W1707" s="16">
        <f>('Gearing Calculator'!$U$9*'Track Data'!T1707)+'Track Data'!V1707</f>
        <v>1378.6376595320924</v>
      </c>
      <c r="X1707" s="16">
        <f>('Gearing Calculator'!$U$9*9.81)*('Gearing Calculator'!$U$16/'Gearing Calculator'!$C$7)-(('Track Data'!W1707)*('Gearing Calculator'!$U$17/'Gearing Calculator'!$C$7))</f>
        <v>649.71062324259378</v>
      </c>
      <c r="Y1707" s="16">
        <f>('Gearing Calculator'!$U$9*9.81)*(('Gearing Calculator'!$C$7-'Gearing Calculator'!$U$16)/'Gearing Calculator'!$C$7)+(('Track Data'!W1707)*('Gearing Calculator'!$U$17/'Gearing Calculator'!$C$7))</f>
        <v>1961.7113767574062</v>
      </c>
      <c r="Z1707" s="16">
        <f>((X1707*COS('Gearing Calculator'!$C$21))/'Gearing Calculator'!$C$22)/2</f>
        <v>20.086997611030981</v>
      </c>
      <c r="AA1707" s="16">
        <f>Y1707/'Gearing Calculator'!$C$24</f>
        <v>27.392070490100075</v>
      </c>
      <c r="AB1707" s="16">
        <f t="shared" si="184"/>
        <v>316.15640756832113</v>
      </c>
      <c r="AC1707" s="16">
        <v>0</v>
      </c>
      <c r="AD1707" s="16">
        <v>0</v>
      </c>
      <c r="AE1707" s="16">
        <v>1704</v>
      </c>
      <c r="AF1707" s="16">
        <f>IF(AC1707=0,IF(O1707=6,INDEX(Acceleration!$V$4:$V$110,MATCH('Track Data'!S1707,Acceleration!$K$4:$K$110,0)),IF('Track Data'!O1707=5,INDEX(Acceleration!$U$4:$U$110,MATCH('Track Data'!S1707,Acceleration!$K$4:$K$110,0)),1)),U1707)</f>
        <v>4.0676923888352654</v>
      </c>
      <c r="AG1707" s="16">
        <f>IF(AC1707=0,IF(O1707=4,INDEX(Acceleration!$T$4:$T$110,MATCH('Track Data'!S1707,Acceleration!$K$4:$K$110,0)),IF('Track Data'!O1707=3,INDEX(Acceleration!$S$4:$S$110,MATCH('Track Data'!S1707,Acceleration!$K$4:$K$110,0)),'Track Data'!AF1707)),'Track Data'!U1707)</f>
        <v>4.0676923888352654</v>
      </c>
      <c r="AH1707" s="16">
        <f>IF(AC1707=0,IF(O1707=2,INDEX(Acceleration!$R$4:$R$110,MATCH('Track Data'!S1707,Acceleration!$K$4:$K$110,0)),IF('Track Data'!O1707=1,INDEX(Acceleration!$Q$4:$Q$110,MATCH('Track Data'!S1707,Acceleration!$K$4:$K$110,0)),'Track Data'!AG1707)),'Track Data'!U1707)</f>
        <v>4.0676923888352654</v>
      </c>
    </row>
    <row r="1708" spans="2:34" x14ac:dyDescent="0.25">
      <c r="B1708" s="16">
        <v>242.95500000000001</v>
      </c>
      <c r="C1708" s="16">
        <v>8978</v>
      </c>
      <c r="D1708" s="16">
        <v>1705</v>
      </c>
      <c r="E1708" s="113">
        <v>203</v>
      </c>
      <c r="F1708" s="113">
        <v>201.9</v>
      </c>
      <c r="G1708" s="113">
        <v>198.8</v>
      </c>
      <c r="H1708" s="113">
        <f t="shared" si="187"/>
        <v>55.222222222222221</v>
      </c>
      <c r="I1708" s="113">
        <v>7</v>
      </c>
      <c r="J1708" s="113">
        <v>14.03</v>
      </c>
      <c r="K1708" s="113">
        <v>-9.8000000000000007</v>
      </c>
      <c r="L1708" s="185"/>
      <c r="M1708" s="16">
        <v>1705</v>
      </c>
      <c r="N1708" s="16">
        <f t="shared" si="189"/>
        <v>1.8887806122229026E-2</v>
      </c>
      <c r="O1708" s="16">
        <v>5</v>
      </c>
      <c r="P1708" s="16">
        <f t="shared" si="185"/>
        <v>8.1742160278745661</v>
      </c>
      <c r="Q1708" s="16">
        <f t="shared" si="190"/>
        <v>52.94421138848422</v>
      </c>
      <c r="R1708" s="113">
        <f t="shared" si="186"/>
        <v>319.54399999999998</v>
      </c>
      <c r="S1708" s="16">
        <f>IF(S1707=15800,15800,ROUND((((Q1708*60)/'Gearing Calculator'!$C$14)*'Track Data'!P1708),-2))</f>
        <v>13100</v>
      </c>
      <c r="T1708" s="16">
        <f t="shared" si="188"/>
        <v>4.0676923888352654</v>
      </c>
      <c r="U1708" s="16">
        <f>IF(AC1708=100,Braking!$AG$2354,IF(AC1708=50,Braking!$AG$1179,IF(AC1708=75,Braking!$AG$1767,0)))</f>
        <v>0</v>
      </c>
      <c r="V1708" s="16">
        <f>0.5*'Gearing Calculator'!$C$15*'Gearing Calculator'!$C$20*'Gearing Calculator'!$W$20*('Track Data'!Q1708^2)</f>
        <v>296.67899474901344</v>
      </c>
      <c r="W1708" s="16">
        <f>('Gearing Calculator'!$U$9*'Track Data'!T1708)+'Track Data'!V1708</f>
        <v>1379.4987086569608</v>
      </c>
      <c r="X1708" s="16">
        <f>('Gearing Calculator'!$U$9*9.81)*('Gearing Calculator'!$U$16/'Gearing Calculator'!$C$7)-(('Track Data'!W1708)*('Gearing Calculator'!$U$17/'Gearing Calculator'!$C$7))</f>
        <v>649.24129266528121</v>
      </c>
      <c r="Y1708" s="16">
        <f>('Gearing Calculator'!$U$9*9.81)*(('Gearing Calculator'!$C$7-'Gearing Calculator'!$U$16)/'Gearing Calculator'!$C$7)+(('Track Data'!W1708)*('Gearing Calculator'!$U$17/'Gearing Calculator'!$C$7))</f>
        <v>1962.1807073347188</v>
      </c>
      <c r="Z1708" s="16">
        <f>((X1708*COS('Gearing Calculator'!$C$21))/'Gearing Calculator'!$C$22)/2</f>
        <v>20.072487393946627</v>
      </c>
      <c r="AA1708" s="16">
        <f>Y1708/'Gearing Calculator'!$C$24</f>
        <v>27.398623919115792</v>
      </c>
      <c r="AB1708" s="16">
        <f t="shared" si="184"/>
        <v>317.01745669318979</v>
      </c>
      <c r="AC1708" s="16">
        <v>0</v>
      </c>
      <c r="AD1708" s="16">
        <v>0</v>
      </c>
      <c r="AE1708" s="16">
        <v>1705</v>
      </c>
      <c r="AF1708" s="16">
        <f>IF(AC1708=0,IF(O1708=6,INDEX(Acceleration!$V$4:$V$110,MATCH('Track Data'!S1708,Acceleration!$K$4:$K$110,0)),IF('Track Data'!O1708=5,INDEX(Acceleration!$U$4:$U$110,MATCH('Track Data'!S1708,Acceleration!$K$4:$K$110,0)),1)),U1708)</f>
        <v>4.0676923888352654</v>
      </c>
      <c r="AG1708" s="16">
        <f>IF(AC1708=0,IF(O1708=4,INDEX(Acceleration!$T$4:$T$110,MATCH('Track Data'!S1708,Acceleration!$K$4:$K$110,0)),IF('Track Data'!O1708=3,INDEX(Acceleration!$S$4:$S$110,MATCH('Track Data'!S1708,Acceleration!$K$4:$K$110,0)),'Track Data'!AF1708)),'Track Data'!U1708)</f>
        <v>4.0676923888352654</v>
      </c>
      <c r="AH1708" s="16">
        <f>IF(AC1708=0,IF(O1708=2,INDEX(Acceleration!$R$4:$R$110,MATCH('Track Data'!S1708,Acceleration!$K$4:$K$110,0)),IF('Track Data'!O1708=1,INDEX(Acceleration!$Q$4:$Q$110,MATCH('Track Data'!S1708,Acceleration!$K$4:$K$110,0)),'Track Data'!AG1708)),'Track Data'!U1708)</f>
        <v>4.0676923888352654</v>
      </c>
    </row>
    <row r="1709" spans="2:34" x14ac:dyDescent="0.25">
      <c r="B1709" s="16">
        <v>242.97200000000001</v>
      </c>
      <c r="C1709" s="16">
        <v>8979</v>
      </c>
      <c r="D1709" s="16">
        <v>1706</v>
      </c>
      <c r="E1709" s="113">
        <v>203</v>
      </c>
      <c r="F1709" s="113">
        <v>202.1</v>
      </c>
      <c r="G1709" s="113">
        <v>199</v>
      </c>
      <c r="H1709" s="113">
        <f t="shared" si="187"/>
        <v>55.277777777777779</v>
      </c>
      <c r="I1709" s="113">
        <v>5.7</v>
      </c>
      <c r="J1709" s="113">
        <v>14.21</v>
      </c>
      <c r="K1709" s="113">
        <v>-9.3000000000000007</v>
      </c>
      <c r="L1709" s="185"/>
      <c r="M1709" s="16">
        <v>1706</v>
      </c>
      <c r="N1709" s="16">
        <f t="shared" si="189"/>
        <v>1.8860456673965614E-2</v>
      </c>
      <c r="O1709" s="16">
        <v>5</v>
      </c>
      <c r="P1709" s="16">
        <f t="shared" si="185"/>
        <v>8.1742160278745661</v>
      </c>
      <c r="Q1709" s="16">
        <f t="shared" si="190"/>
        <v>53.020985508816906</v>
      </c>
      <c r="R1709" s="113">
        <f t="shared" si="186"/>
        <v>319.54399999999998</v>
      </c>
      <c r="S1709" s="16">
        <f>IF(S1708=15800,15800,ROUND((((Q1709*60)/'Gearing Calculator'!$C$14)*'Track Data'!P1709),-2))</f>
        <v>13100</v>
      </c>
      <c r="T1709" s="16">
        <f t="shared" si="188"/>
        <v>4.0676923888352654</v>
      </c>
      <c r="U1709" s="16">
        <f>IF(AC1709=100,Braking!$AG$2354,IF(AC1709=50,Braking!$AG$1179,IF(AC1709=75,Braking!$AG$1767,0)))</f>
        <v>0</v>
      </c>
      <c r="V1709" s="16">
        <f>0.5*'Gearing Calculator'!$C$15*'Gearing Calculator'!$C$20*'Gearing Calculator'!$W$20*('Track Data'!Q1709^2)</f>
        <v>297.54004387388204</v>
      </c>
      <c r="W1709" s="16">
        <f>('Gearing Calculator'!$U$9*'Track Data'!T1709)+'Track Data'!V1709</f>
        <v>1380.3597577818296</v>
      </c>
      <c r="X1709" s="16">
        <f>('Gearing Calculator'!$U$9*9.81)*('Gearing Calculator'!$U$16/'Gearing Calculator'!$C$7)-(('Track Data'!W1709)*('Gearing Calculator'!$U$17/'Gearing Calculator'!$C$7))</f>
        <v>648.77196208796863</v>
      </c>
      <c r="Y1709" s="16">
        <f>('Gearing Calculator'!$U$9*9.81)*(('Gearing Calculator'!$C$7-'Gearing Calculator'!$U$16)/'Gearing Calculator'!$C$7)+(('Track Data'!W1709)*('Gearing Calculator'!$U$17/'Gearing Calculator'!$C$7))</f>
        <v>1962.6500379120314</v>
      </c>
      <c r="Z1709" s="16">
        <f>((X1709*COS('Gearing Calculator'!$C$21))/'Gearing Calculator'!$C$22)/2</f>
        <v>20.05797717686227</v>
      </c>
      <c r="AA1709" s="16">
        <f>Y1709/'Gearing Calculator'!$C$24</f>
        <v>27.405177348131513</v>
      </c>
      <c r="AB1709" s="16">
        <f t="shared" si="184"/>
        <v>317.87850581805839</v>
      </c>
      <c r="AC1709" s="16">
        <v>0</v>
      </c>
      <c r="AD1709" s="16">
        <v>0</v>
      </c>
      <c r="AE1709" s="16">
        <v>1706</v>
      </c>
      <c r="AF1709" s="16">
        <f>IF(AC1709=0,IF(O1709=6,INDEX(Acceleration!$V$4:$V$110,MATCH('Track Data'!S1709,Acceleration!$K$4:$K$110,0)),IF('Track Data'!O1709=5,INDEX(Acceleration!$U$4:$U$110,MATCH('Track Data'!S1709,Acceleration!$K$4:$K$110,0)),1)),U1709)</f>
        <v>4.0676923888352654</v>
      </c>
      <c r="AG1709" s="16">
        <f>IF(AC1709=0,IF(O1709=4,INDEX(Acceleration!$T$4:$T$110,MATCH('Track Data'!S1709,Acceleration!$K$4:$K$110,0)),IF('Track Data'!O1709=3,INDEX(Acceleration!$S$4:$S$110,MATCH('Track Data'!S1709,Acceleration!$K$4:$K$110,0)),'Track Data'!AF1709)),'Track Data'!U1709)</f>
        <v>4.0676923888352654</v>
      </c>
      <c r="AH1709" s="16">
        <f>IF(AC1709=0,IF(O1709=2,INDEX(Acceleration!$R$4:$R$110,MATCH('Track Data'!S1709,Acceleration!$K$4:$K$110,0)),IF('Track Data'!O1709=1,INDEX(Acceleration!$Q$4:$Q$110,MATCH('Track Data'!S1709,Acceleration!$K$4:$K$110,0)),'Track Data'!AG1709)),'Track Data'!U1709)</f>
        <v>4.0676923888352654</v>
      </c>
    </row>
    <row r="1710" spans="2:34" x14ac:dyDescent="0.25">
      <c r="B1710" s="16">
        <v>242.99100000000001</v>
      </c>
      <c r="C1710" s="16">
        <v>8980</v>
      </c>
      <c r="D1710" s="16">
        <v>1707</v>
      </c>
      <c r="E1710" s="113">
        <v>204</v>
      </c>
      <c r="F1710" s="113">
        <v>202.1</v>
      </c>
      <c r="G1710" s="113">
        <v>199.1</v>
      </c>
      <c r="H1710" s="113">
        <f t="shared" si="187"/>
        <v>55.30555555555555</v>
      </c>
      <c r="I1710" s="113">
        <v>5.0999999999999996</v>
      </c>
      <c r="J1710" s="113">
        <v>18.34</v>
      </c>
      <c r="K1710" s="113">
        <v>-9.3000000000000007</v>
      </c>
      <c r="L1710" s="185"/>
      <c r="M1710" s="16">
        <v>1707</v>
      </c>
      <c r="N1710" s="16">
        <f t="shared" si="189"/>
        <v>1.8833225688267653E-2</v>
      </c>
      <c r="O1710" s="16">
        <v>5</v>
      </c>
      <c r="P1710" s="16">
        <f t="shared" si="185"/>
        <v>8.1742160278745661</v>
      </c>
      <c r="Q1710" s="16">
        <f t="shared" si="190"/>
        <v>53.09764862123221</v>
      </c>
      <c r="R1710" s="113">
        <f t="shared" si="186"/>
        <v>319.54399999999998</v>
      </c>
      <c r="S1710" s="16">
        <f>IF(S1709=15800,15800,ROUND((((Q1710*60)/'Gearing Calculator'!$C$14)*'Track Data'!P1710),-2))</f>
        <v>13200</v>
      </c>
      <c r="T1710" s="16">
        <f t="shared" si="188"/>
        <v>4.0199780142316275</v>
      </c>
      <c r="U1710" s="16">
        <f>IF(AC1710=100,Braking!$AG$2354,IF(AC1710=50,Braking!$AG$1179,IF(AC1710=75,Braking!$AG$1767,0)))</f>
        <v>0</v>
      </c>
      <c r="V1710" s="16">
        <f>0.5*'Gearing Calculator'!$C$15*'Gearing Calculator'!$C$20*'Gearing Calculator'!$W$20*('Track Data'!Q1710^2)</f>
        <v>298.4010929987507</v>
      </c>
      <c r="W1710" s="16">
        <f>('Gearing Calculator'!$U$9*'Track Data'!T1710)+'Track Data'!V1710</f>
        <v>1368.5192403872099</v>
      </c>
      <c r="X1710" s="16">
        <f>('Gearing Calculator'!$U$9*9.81)*('Gearing Calculator'!$U$16/'Gearing Calculator'!$C$7)-(('Track Data'!W1710)*('Gearing Calculator'!$U$17/'Gearing Calculator'!$C$7))</f>
        <v>655.22585270117156</v>
      </c>
      <c r="Y1710" s="16">
        <f>('Gearing Calculator'!$U$9*9.81)*(('Gearing Calculator'!$C$7-'Gearing Calculator'!$U$16)/'Gearing Calculator'!$C$7)+(('Track Data'!W1710)*('Gearing Calculator'!$U$17/'Gearing Calculator'!$C$7))</f>
        <v>1956.1961472988285</v>
      </c>
      <c r="Z1710" s="16">
        <f>((X1710*COS('Gearing Calculator'!$C$21))/'Gearing Calculator'!$C$22)/2</f>
        <v>20.257511062705564</v>
      </c>
      <c r="AA1710" s="16">
        <f>Y1710/'Gearing Calculator'!$C$24</f>
        <v>27.315059388523984</v>
      </c>
      <c r="AB1710" s="16">
        <f t="shared" si="184"/>
        <v>318.50098306990884</v>
      </c>
      <c r="AC1710" s="16">
        <v>0</v>
      </c>
      <c r="AD1710" s="16">
        <v>0</v>
      </c>
      <c r="AE1710" s="16">
        <v>1707</v>
      </c>
      <c r="AF1710" s="16">
        <f>IF(AC1710=0,IF(O1710=6,INDEX(Acceleration!$V$4:$V$110,MATCH('Track Data'!S1710,Acceleration!$K$4:$K$110,0)),IF('Track Data'!O1710=5,INDEX(Acceleration!$U$4:$U$110,MATCH('Track Data'!S1710,Acceleration!$K$4:$K$110,0)),1)),U1710)</f>
        <v>4.0199780142316275</v>
      </c>
      <c r="AG1710" s="16">
        <f>IF(AC1710=0,IF(O1710=4,INDEX(Acceleration!$T$4:$T$110,MATCH('Track Data'!S1710,Acceleration!$K$4:$K$110,0)),IF('Track Data'!O1710=3,INDEX(Acceleration!$S$4:$S$110,MATCH('Track Data'!S1710,Acceleration!$K$4:$K$110,0)),'Track Data'!AF1710)),'Track Data'!U1710)</f>
        <v>4.0199780142316275</v>
      </c>
      <c r="AH1710" s="16">
        <f>IF(AC1710=0,IF(O1710=2,INDEX(Acceleration!$R$4:$R$110,MATCH('Track Data'!S1710,Acceleration!$K$4:$K$110,0)),IF('Track Data'!O1710=1,INDEX(Acceleration!$Q$4:$Q$110,MATCH('Track Data'!S1710,Acceleration!$K$4:$K$110,0)),'Track Data'!AG1710)),'Track Data'!U1710)</f>
        <v>4.0199780142316275</v>
      </c>
    </row>
    <row r="1711" spans="2:34" x14ac:dyDescent="0.25">
      <c r="B1711" s="16">
        <v>243.00800000000001</v>
      </c>
      <c r="C1711" s="16">
        <v>8981</v>
      </c>
      <c r="D1711" s="16">
        <v>1708</v>
      </c>
      <c r="E1711" s="113">
        <v>204</v>
      </c>
      <c r="F1711" s="113">
        <v>202.1</v>
      </c>
      <c r="G1711" s="113">
        <v>199.1</v>
      </c>
      <c r="H1711" s="113">
        <f t="shared" si="187"/>
        <v>55.30555555555555</v>
      </c>
      <c r="I1711" s="113">
        <v>5.0999999999999996</v>
      </c>
      <c r="J1711" s="113">
        <v>21.91</v>
      </c>
      <c r="K1711" s="113">
        <v>-9.3000000000000007</v>
      </c>
      <c r="L1711" s="185"/>
      <c r="M1711" s="16">
        <v>1708</v>
      </c>
      <c r="N1711" s="16">
        <f t="shared" si="189"/>
        <v>1.8806429676147568E-2</v>
      </c>
      <c r="O1711" s="16">
        <v>5</v>
      </c>
      <c r="P1711" s="16">
        <f t="shared" si="185"/>
        <v>8.1742160278745661</v>
      </c>
      <c r="Q1711" s="16">
        <f t="shared" si="190"/>
        <v>53.173303876403111</v>
      </c>
      <c r="R1711" s="113">
        <f t="shared" si="186"/>
        <v>319.54399999999998</v>
      </c>
      <c r="S1711" s="16">
        <f>IF(S1710=15800,15800,ROUND((((Q1711*60)/'Gearing Calculator'!$C$14)*'Track Data'!P1711),-2))</f>
        <v>13200</v>
      </c>
      <c r="T1711" s="16">
        <f t="shared" si="188"/>
        <v>4.0199780142316275</v>
      </c>
      <c r="U1711" s="16">
        <f>IF(AC1711=100,Braking!$AG$2354,IF(AC1711=50,Braking!$AG$1179,IF(AC1711=75,Braking!$AG$1767,0)))</f>
        <v>0</v>
      </c>
      <c r="V1711" s="16">
        <f>0.5*'Gearing Calculator'!$C$15*'Gearing Calculator'!$C$20*'Gearing Calculator'!$W$20*('Track Data'!Q1711^2)</f>
        <v>299.2520419448033</v>
      </c>
      <c r="W1711" s="16">
        <f>('Gearing Calculator'!$U$9*'Track Data'!T1711)+'Track Data'!V1711</f>
        <v>1369.3701893332625</v>
      </c>
      <c r="X1711" s="16">
        <f>('Gearing Calculator'!$U$9*9.81)*('Gearing Calculator'!$U$16/'Gearing Calculator'!$C$7)-(('Track Data'!W1711)*('Gearing Calculator'!$U$17/'Gearing Calculator'!$C$7))</f>
        <v>654.76202741109262</v>
      </c>
      <c r="Y1711" s="16">
        <f>('Gearing Calculator'!$U$9*9.81)*(('Gearing Calculator'!$C$7-'Gearing Calculator'!$U$16)/'Gearing Calculator'!$C$7)+(('Track Data'!W1711)*('Gearing Calculator'!$U$17/'Gearing Calculator'!$C$7))</f>
        <v>1956.6599725889073</v>
      </c>
      <c r="Z1711" s="16">
        <f>((X1711*COS('Gearing Calculator'!$C$21))/'Gearing Calculator'!$C$22)/2</f>
        <v>20.24317105169073</v>
      </c>
      <c r="AA1711" s="16">
        <f>Y1711/'Gearing Calculator'!$C$24</f>
        <v>27.32153594526493</v>
      </c>
      <c r="AB1711" s="16">
        <f t="shared" si="184"/>
        <v>319.35193201596144</v>
      </c>
      <c r="AC1711" s="16">
        <v>0</v>
      </c>
      <c r="AD1711" s="16">
        <v>0</v>
      </c>
      <c r="AE1711" s="16">
        <v>1708</v>
      </c>
      <c r="AF1711" s="16">
        <f>IF(AC1711=0,IF(O1711=6,INDEX(Acceleration!$V$4:$V$110,MATCH('Track Data'!S1711,Acceleration!$K$4:$K$110,0)),IF('Track Data'!O1711=5,INDEX(Acceleration!$U$4:$U$110,MATCH('Track Data'!S1711,Acceleration!$K$4:$K$110,0)),1)),U1711)</f>
        <v>4.0199780142316275</v>
      </c>
      <c r="AG1711" s="16">
        <f>IF(AC1711=0,IF(O1711=4,INDEX(Acceleration!$T$4:$T$110,MATCH('Track Data'!S1711,Acceleration!$K$4:$K$110,0)),IF('Track Data'!O1711=3,INDEX(Acceleration!$S$4:$S$110,MATCH('Track Data'!S1711,Acceleration!$K$4:$K$110,0)),'Track Data'!AF1711)),'Track Data'!U1711)</f>
        <v>4.0199780142316275</v>
      </c>
      <c r="AH1711" s="16">
        <f>IF(AC1711=0,IF(O1711=2,INDEX(Acceleration!$R$4:$R$110,MATCH('Track Data'!S1711,Acceleration!$K$4:$K$110,0)),IF('Track Data'!O1711=1,INDEX(Acceleration!$Q$4:$Q$110,MATCH('Track Data'!S1711,Acceleration!$K$4:$K$110,0)),'Track Data'!AG1711)),'Track Data'!U1711)</f>
        <v>4.0199780142316275</v>
      </c>
    </row>
    <row r="1712" spans="2:34" x14ac:dyDescent="0.25">
      <c r="B1712" s="16">
        <v>243.02600000000001</v>
      </c>
      <c r="C1712" s="16">
        <v>8982</v>
      </c>
      <c r="D1712" s="16">
        <v>1709</v>
      </c>
      <c r="E1712" s="113">
        <v>203</v>
      </c>
      <c r="F1712" s="113">
        <v>202.4</v>
      </c>
      <c r="G1712" s="113">
        <v>199.2</v>
      </c>
      <c r="H1712" s="113">
        <f t="shared" si="187"/>
        <v>55.333333333333329</v>
      </c>
      <c r="I1712" s="113">
        <v>6.2</v>
      </c>
      <c r="J1712" s="113">
        <v>21.57</v>
      </c>
      <c r="K1712" s="113">
        <v>-9.3000000000000007</v>
      </c>
      <c r="L1712" s="185"/>
      <c r="M1712" s="16">
        <v>1709</v>
      </c>
      <c r="N1712" s="16">
        <f t="shared" si="189"/>
        <v>1.8779747716037305E-2</v>
      </c>
      <c r="O1712" s="16">
        <v>5</v>
      </c>
      <c r="P1712" s="16">
        <f t="shared" si="185"/>
        <v>8.1742160278745661</v>
      </c>
      <c r="Q1712" s="16">
        <f t="shared" si="190"/>
        <v>53.248851641709322</v>
      </c>
      <c r="R1712" s="113">
        <f t="shared" si="186"/>
        <v>319.54399999999998</v>
      </c>
      <c r="S1712" s="16">
        <f>IF(S1711=15800,15800,ROUND((((Q1712*60)/'Gearing Calculator'!$C$14)*'Track Data'!P1712),-2))</f>
        <v>13200</v>
      </c>
      <c r="T1712" s="16">
        <f t="shared" si="188"/>
        <v>4.0199780142316275</v>
      </c>
      <c r="U1712" s="16">
        <f>IF(AC1712=100,Braking!$AG$2354,IF(AC1712=50,Braking!$AG$1179,IF(AC1712=75,Braking!$AG$1767,0)))</f>
        <v>0</v>
      </c>
      <c r="V1712" s="16">
        <f>0.5*'Gearing Calculator'!$C$15*'Gearing Calculator'!$C$20*'Gearing Calculator'!$W$20*('Track Data'!Q1712^2)</f>
        <v>300.10299089085584</v>
      </c>
      <c r="W1712" s="16">
        <f>('Gearing Calculator'!$U$9*'Track Data'!T1712)+'Track Data'!V1712</f>
        <v>1370.221138279315</v>
      </c>
      <c r="X1712" s="16">
        <f>('Gearing Calculator'!$U$9*9.81)*('Gearing Calculator'!$U$16/'Gearing Calculator'!$C$7)-(('Track Data'!W1712)*('Gearing Calculator'!$U$17/'Gearing Calculator'!$C$7))</f>
        <v>654.29820212101379</v>
      </c>
      <c r="Y1712" s="16">
        <f>('Gearing Calculator'!$U$9*9.81)*(('Gearing Calculator'!$C$7-'Gearing Calculator'!$U$16)/'Gearing Calculator'!$C$7)+(('Track Data'!W1712)*('Gearing Calculator'!$U$17/'Gearing Calculator'!$C$7))</f>
        <v>1957.1237978789864</v>
      </c>
      <c r="Z1712" s="16">
        <f>((X1712*COS('Gearing Calculator'!$C$21))/'Gearing Calculator'!$C$22)/2</f>
        <v>20.228831040675903</v>
      </c>
      <c r="AA1712" s="16">
        <f>Y1712/'Gearing Calculator'!$C$24</f>
        <v>27.328012502005883</v>
      </c>
      <c r="AB1712" s="16">
        <f t="shared" si="184"/>
        <v>320.20288096201398</v>
      </c>
      <c r="AC1712" s="16">
        <v>0</v>
      </c>
      <c r="AD1712" s="16">
        <v>0</v>
      </c>
      <c r="AE1712" s="16">
        <v>1709</v>
      </c>
      <c r="AF1712" s="16">
        <f>IF(AC1712=0,IF(O1712=6,INDEX(Acceleration!$V$4:$V$110,MATCH('Track Data'!S1712,Acceleration!$K$4:$K$110,0)),IF('Track Data'!O1712=5,INDEX(Acceleration!$U$4:$U$110,MATCH('Track Data'!S1712,Acceleration!$K$4:$K$110,0)),1)),U1712)</f>
        <v>4.0199780142316275</v>
      </c>
      <c r="AG1712" s="16">
        <f>IF(AC1712=0,IF(O1712=4,INDEX(Acceleration!$T$4:$T$110,MATCH('Track Data'!S1712,Acceleration!$K$4:$K$110,0)),IF('Track Data'!O1712=3,INDEX(Acceleration!$S$4:$S$110,MATCH('Track Data'!S1712,Acceleration!$K$4:$K$110,0)),'Track Data'!AF1712)),'Track Data'!U1712)</f>
        <v>4.0199780142316275</v>
      </c>
      <c r="AH1712" s="16">
        <f>IF(AC1712=0,IF(O1712=2,INDEX(Acceleration!$R$4:$R$110,MATCH('Track Data'!S1712,Acceleration!$K$4:$K$110,0)),IF('Track Data'!O1712=1,INDEX(Acceleration!$Q$4:$Q$110,MATCH('Track Data'!S1712,Acceleration!$K$4:$K$110,0)),'Track Data'!AG1712)),'Track Data'!U1712)</f>
        <v>4.0199780142316275</v>
      </c>
    </row>
    <row r="1713" spans="2:34" x14ac:dyDescent="0.25">
      <c r="B1713" s="16">
        <v>243.04400000000001</v>
      </c>
      <c r="C1713" s="16">
        <v>8984</v>
      </c>
      <c r="D1713" s="16">
        <v>1710</v>
      </c>
      <c r="E1713" s="113">
        <v>203</v>
      </c>
      <c r="F1713" s="113">
        <v>202.7</v>
      </c>
      <c r="G1713" s="113">
        <v>199.3</v>
      </c>
      <c r="H1713" s="113">
        <f t="shared" si="187"/>
        <v>55.361111111111114</v>
      </c>
      <c r="I1713" s="113">
        <v>7</v>
      </c>
      <c r="J1713" s="113">
        <v>20.010000000000002</v>
      </c>
      <c r="K1713" s="113">
        <v>-9.9</v>
      </c>
      <c r="L1713" s="185"/>
      <c r="M1713" s="16">
        <v>1710</v>
      </c>
      <c r="N1713" s="16">
        <f t="shared" si="189"/>
        <v>1.8753179001158894E-2</v>
      </c>
      <c r="O1713" s="16">
        <v>5</v>
      </c>
      <c r="P1713" s="16">
        <f t="shared" si="185"/>
        <v>8.1742160278745661</v>
      </c>
      <c r="Q1713" s="16">
        <f t="shared" si="190"/>
        <v>53.324292374013112</v>
      </c>
      <c r="R1713" s="113">
        <f t="shared" si="186"/>
        <v>319.54399999999998</v>
      </c>
      <c r="S1713" s="16">
        <f>IF(S1712=15800,15800,ROUND((((Q1713*60)/'Gearing Calculator'!$C$14)*'Track Data'!P1713),-2))</f>
        <v>13200</v>
      </c>
      <c r="T1713" s="16">
        <f t="shared" si="188"/>
        <v>4.0199780142316275</v>
      </c>
      <c r="U1713" s="16">
        <f>IF(AC1713=100,Braking!$AG$2354,IF(AC1713=50,Braking!$AG$1179,IF(AC1713=75,Braking!$AG$1767,0)))</f>
        <v>0</v>
      </c>
      <c r="V1713" s="16">
        <f>0.5*'Gearing Calculator'!$C$15*'Gearing Calculator'!$C$20*'Gearing Calculator'!$W$20*('Track Data'!Q1713^2)</f>
        <v>300.95393983690838</v>
      </c>
      <c r="W1713" s="16">
        <f>('Gearing Calculator'!$U$9*'Track Data'!T1713)+'Track Data'!V1713</f>
        <v>1371.0720872253676</v>
      </c>
      <c r="X1713" s="16">
        <f>('Gearing Calculator'!$U$9*9.81)*('Gearing Calculator'!$U$16/'Gearing Calculator'!$C$7)-(('Track Data'!W1713)*('Gearing Calculator'!$U$17/'Gearing Calculator'!$C$7))</f>
        <v>653.83437683093496</v>
      </c>
      <c r="Y1713" s="16">
        <f>('Gearing Calculator'!$U$9*9.81)*(('Gearing Calculator'!$C$7-'Gearing Calculator'!$U$16)/'Gearing Calculator'!$C$7)+(('Track Data'!W1713)*('Gearing Calculator'!$U$17/'Gearing Calculator'!$C$7))</f>
        <v>1957.587623169065</v>
      </c>
      <c r="Z1713" s="16">
        <f>((X1713*COS('Gearing Calculator'!$C$21))/'Gearing Calculator'!$C$22)/2</f>
        <v>20.21449102966108</v>
      </c>
      <c r="AA1713" s="16">
        <f>Y1713/'Gearing Calculator'!$C$24</f>
        <v>27.334489058746826</v>
      </c>
      <c r="AB1713" s="16">
        <f t="shared" si="184"/>
        <v>321.05382990806652</v>
      </c>
      <c r="AC1713" s="16">
        <v>0</v>
      </c>
      <c r="AD1713" s="16">
        <v>0</v>
      </c>
      <c r="AE1713" s="16">
        <v>1710</v>
      </c>
      <c r="AF1713" s="16">
        <f>IF(AC1713=0,IF(O1713=6,INDEX(Acceleration!$V$4:$V$110,MATCH('Track Data'!S1713,Acceleration!$K$4:$K$110,0)),IF('Track Data'!O1713=5,INDEX(Acceleration!$U$4:$U$110,MATCH('Track Data'!S1713,Acceleration!$K$4:$K$110,0)),1)),U1713)</f>
        <v>4.0199780142316275</v>
      </c>
      <c r="AG1713" s="16">
        <f>IF(AC1713=0,IF(O1713=4,INDEX(Acceleration!$T$4:$T$110,MATCH('Track Data'!S1713,Acceleration!$K$4:$K$110,0)),IF('Track Data'!O1713=3,INDEX(Acceleration!$S$4:$S$110,MATCH('Track Data'!S1713,Acceleration!$K$4:$K$110,0)),'Track Data'!AF1713)),'Track Data'!U1713)</f>
        <v>4.0199780142316275</v>
      </c>
      <c r="AH1713" s="16">
        <f>IF(AC1713=0,IF(O1713=2,INDEX(Acceleration!$R$4:$R$110,MATCH('Track Data'!S1713,Acceleration!$K$4:$K$110,0)),IF('Track Data'!O1713=1,INDEX(Acceleration!$Q$4:$Q$110,MATCH('Track Data'!S1713,Acceleration!$K$4:$K$110,0)),'Track Data'!AG1713)),'Track Data'!U1713)</f>
        <v>4.0199780142316275</v>
      </c>
    </row>
    <row r="1714" spans="2:34" x14ac:dyDescent="0.25">
      <c r="B1714" s="16">
        <v>243.06100000000001</v>
      </c>
      <c r="C1714" s="16">
        <v>8985</v>
      </c>
      <c r="D1714" s="16">
        <v>1711</v>
      </c>
      <c r="E1714" s="113">
        <v>204</v>
      </c>
      <c r="F1714" s="113">
        <v>203.2</v>
      </c>
      <c r="G1714" s="113">
        <v>199.3</v>
      </c>
      <c r="H1714" s="113">
        <f t="shared" si="187"/>
        <v>55.361111111111114</v>
      </c>
      <c r="I1714" s="113">
        <v>6.6</v>
      </c>
      <c r="J1714" s="113">
        <v>23.1</v>
      </c>
      <c r="K1714" s="113">
        <v>-13.2</v>
      </c>
      <c r="L1714" s="185"/>
      <c r="M1714" s="16">
        <v>1711</v>
      </c>
      <c r="N1714" s="16">
        <f t="shared" si="189"/>
        <v>1.8726722732701564E-2</v>
      </c>
      <c r="O1714" s="16">
        <v>5</v>
      </c>
      <c r="P1714" s="16">
        <f t="shared" si="185"/>
        <v>8.1742160278745661</v>
      </c>
      <c r="Q1714" s="16">
        <f t="shared" si="190"/>
        <v>53.399626526949568</v>
      </c>
      <c r="R1714" s="113">
        <f t="shared" si="186"/>
        <v>319.54399999999998</v>
      </c>
      <c r="S1714" s="16">
        <f>IF(S1713=15800,15800,ROUND((((Q1714*60)/'Gearing Calculator'!$C$14)*'Track Data'!P1714),-2))</f>
        <v>13200</v>
      </c>
      <c r="T1714" s="16">
        <f t="shared" si="188"/>
        <v>4.0199780142316275</v>
      </c>
      <c r="U1714" s="16">
        <f>IF(AC1714=100,Braking!$AG$2354,IF(AC1714=50,Braking!$AG$1179,IF(AC1714=75,Braking!$AG$1767,0)))</f>
        <v>0</v>
      </c>
      <c r="V1714" s="16">
        <f>0.5*'Gearing Calculator'!$C$15*'Gearing Calculator'!$C$20*'Gearing Calculator'!$W$20*('Track Data'!Q1714^2)</f>
        <v>301.80488878296092</v>
      </c>
      <c r="W1714" s="16">
        <f>('Gearing Calculator'!$U$9*'Track Data'!T1714)+'Track Data'!V1714</f>
        <v>1371.9230361714201</v>
      </c>
      <c r="X1714" s="16">
        <f>('Gearing Calculator'!$U$9*9.81)*('Gearing Calculator'!$U$16/'Gearing Calculator'!$C$7)-(('Track Data'!W1714)*('Gearing Calculator'!$U$17/'Gearing Calculator'!$C$7))</f>
        <v>653.37055154085601</v>
      </c>
      <c r="Y1714" s="16">
        <f>('Gearing Calculator'!$U$9*9.81)*(('Gearing Calculator'!$C$7-'Gearing Calculator'!$U$16)/'Gearing Calculator'!$C$7)+(('Track Data'!W1714)*('Gearing Calculator'!$U$17/'Gearing Calculator'!$C$7))</f>
        <v>1958.051448459144</v>
      </c>
      <c r="Z1714" s="16">
        <f>((X1714*COS('Gearing Calculator'!$C$21))/'Gearing Calculator'!$C$22)/2</f>
        <v>20.200151018646249</v>
      </c>
      <c r="AA1714" s="16">
        <f>Y1714/'Gearing Calculator'!$C$24</f>
        <v>27.340965615487775</v>
      </c>
      <c r="AB1714" s="16">
        <f t="shared" si="184"/>
        <v>321.90477885411906</v>
      </c>
      <c r="AC1714" s="16">
        <v>0</v>
      </c>
      <c r="AD1714" s="16">
        <v>0</v>
      </c>
      <c r="AE1714" s="16">
        <v>1711</v>
      </c>
      <c r="AF1714" s="16">
        <f>IF(AC1714=0,IF(O1714=6,INDEX(Acceleration!$V$4:$V$110,MATCH('Track Data'!S1714,Acceleration!$K$4:$K$110,0)),IF('Track Data'!O1714=5,INDEX(Acceleration!$U$4:$U$110,MATCH('Track Data'!S1714,Acceleration!$K$4:$K$110,0)),1)),U1714)</f>
        <v>4.0199780142316275</v>
      </c>
      <c r="AG1714" s="16">
        <f>IF(AC1714=0,IF(O1714=4,INDEX(Acceleration!$T$4:$T$110,MATCH('Track Data'!S1714,Acceleration!$K$4:$K$110,0)),IF('Track Data'!O1714=3,INDEX(Acceleration!$S$4:$S$110,MATCH('Track Data'!S1714,Acceleration!$K$4:$K$110,0)),'Track Data'!AF1714)),'Track Data'!U1714)</f>
        <v>4.0199780142316275</v>
      </c>
      <c r="AH1714" s="16">
        <f>IF(AC1714=0,IF(O1714=2,INDEX(Acceleration!$R$4:$R$110,MATCH('Track Data'!S1714,Acceleration!$K$4:$K$110,0)),IF('Track Data'!O1714=1,INDEX(Acceleration!$Q$4:$Q$110,MATCH('Track Data'!S1714,Acceleration!$K$4:$K$110,0)),'Track Data'!AG1714)),'Track Data'!U1714)</f>
        <v>4.0199780142316275</v>
      </c>
    </row>
    <row r="1715" spans="2:34" x14ac:dyDescent="0.25">
      <c r="B1715" s="16">
        <v>243.07900000000001</v>
      </c>
      <c r="C1715" s="16">
        <v>8985</v>
      </c>
      <c r="D1715" s="16">
        <v>1712</v>
      </c>
      <c r="E1715" s="113">
        <v>204</v>
      </c>
      <c r="F1715" s="113">
        <v>203.5</v>
      </c>
      <c r="G1715" s="113">
        <v>199.3</v>
      </c>
      <c r="H1715" s="113">
        <f t="shared" si="187"/>
        <v>55.361111111111114</v>
      </c>
      <c r="I1715" s="113">
        <v>6</v>
      </c>
      <c r="J1715" s="113">
        <v>24.32</v>
      </c>
      <c r="K1715" s="113">
        <v>-14.8</v>
      </c>
      <c r="L1715" s="185"/>
      <c r="M1715" s="16">
        <v>1712</v>
      </c>
      <c r="N1715" s="16">
        <f t="shared" si="189"/>
        <v>1.870037811972089E-2</v>
      </c>
      <c r="O1715" s="16">
        <v>5</v>
      </c>
      <c r="P1715" s="16">
        <f t="shared" si="185"/>
        <v>8.1742160278745661</v>
      </c>
      <c r="Q1715" s="16">
        <f t="shared" si="190"/>
        <v>53.474854550958426</v>
      </c>
      <c r="R1715" s="113">
        <f t="shared" si="186"/>
        <v>319.54399999999998</v>
      </c>
      <c r="S1715" s="16">
        <f>IF(S1714=15800,15800,ROUND((((Q1715*60)/'Gearing Calculator'!$C$14)*'Track Data'!P1715),-2))</f>
        <v>13300</v>
      </c>
      <c r="T1715" s="16">
        <f t="shared" si="188"/>
        <v>3.9727251010309819</v>
      </c>
      <c r="U1715" s="16">
        <f>IF(AC1715=100,Braking!$AG$2354,IF(AC1715=50,Braking!$AG$1179,IF(AC1715=75,Braking!$AG$1767,0)))</f>
        <v>0</v>
      </c>
      <c r="V1715" s="16">
        <f>0.5*'Gearing Calculator'!$C$15*'Gearing Calculator'!$C$20*'Gearing Calculator'!$W$20*('Track Data'!Q1715^2)</f>
        <v>302.65583772901346</v>
      </c>
      <c r="W1715" s="16">
        <f>('Gearing Calculator'!$U$9*'Track Data'!T1715)+'Track Data'!V1715</f>
        <v>1360.1952596234607</v>
      </c>
      <c r="X1715" s="16">
        <f>('Gearing Calculator'!$U$9*9.81)*('Gearing Calculator'!$U$16/'Gearing Calculator'!$C$7)-(('Track Data'!W1715)*('Gearing Calculator'!$U$17/'Gearing Calculator'!$C$7))</f>
        <v>659.76299069313575</v>
      </c>
      <c r="Y1715" s="16">
        <f>('Gearing Calculator'!$U$9*9.81)*(('Gearing Calculator'!$C$7-'Gearing Calculator'!$U$16)/'Gearing Calculator'!$C$7)+(('Track Data'!W1715)*('Gearing Calculator'!$U$17/'Gearing Calculator'!$C$7))</f>
        <v>1951.6590093068644</v>
      </c>
      <c r="Z1715" s="16">
        <f>((X1715*COS('Gearing Calculator'!$C$21))/'Gearing Calculator'!$C$22)/2</f>
        <v>20.397785019672206</v>
      </c>
      <c r="AA1715" s="16">
        <f>Y1715/'Gearing Calculator'!$C$24</f>
        <v>27.251705724385776</v>
      </c>
      <c r="AB1715" s="16">
        <f t="shared" si="184"/>
        <v>322.51946323416837</v>
      </c>
      <c r="AC1715" s="16">
        <v>0</v>
      </c>
      <c r="AD1715" s="16">
        <v>0</v>
      </c>
      <c r="AE1715" s="16">
        <v>1712</v>
      </c>
      <c r="AF1715" s="16">
        <f>IF(AC1715=0,IF(O1715=6,INDEX(Acceleration!$V$4:$V$110,MATCH('Track Data'!S1715,Acceleration!$K$4:$K$110,0)),IF('Track Data'!O1715=5,INDEX(Acceleration!$U$4:$U$110,MATCH('Track Data'!S1715,Acceleration!$K$4:$K$110,0)),1)),U1715)</f>
        <v>3.9727251010309819</v>
      </c>
      <c r="AG1715" s="16">
        <f>IF(AC1715=0,IF(O1715=4,INDEX(Acceleration!$T$4:$T$110,MATCH('Track Data'!S1715,Acceleration!$K$4:$K$110,0)),IF('Track Data'!O1715=3,INDEX(Acceleration!$S$4:$S$110,MATCH('Track Data'!S1715,Acceleration!$K$4:$K$110,0)),'Track Data'!AF1715)),'Track Data'!U1715)</f>
        <v>3.9727251010309819</v>
      </c>
      <c r="AH1715" s="16">
        <f>IF(AC1715=0,IF(O1715=2,INDEX(Acceleration!$R$4:$R$110,MATCH('Track Data'!S1715,Acceleration!$K$4:$K$110,0)),IF('Track Data'!O1715=1,INDEX(Acceleration!$Q$4:$Q$110,MATCH('Track Data'!S1715,Acceleration!$K$4:$K$110,0)),'Track Data'!AG1715)),'Track Data'!U1715)</f>
        <v>3.9727251010309819</v>
      </c>
    </row>
    <row r="1716" spans="2:34" x14ac:dyDescent="0.25">
      <c r="B1716" s="16">
        <v>243.09700000000001</v>
      </c>
      <c r="C1716" s="16">
        <v>8986</v>
      </c>
      <c r="D1716" s="16">
        <v>1713</v>
      </c>
      <c r="E1716" s="113">
        <v>204</v>
      </c>
      <c r="F1716" s="113">
        <v>203.5</v>
      </c>
      <c r="G1716" s="113">
        <v>199.4</v>
      </c>
      <c r="H1716" s="113">
        <f t="shared" si="187"/>
        <v>55.388888888888886</v>
      </c>
      <c r="I1716" s="113">
        <v>5</v>
      </c>
      <c r="J1716" s="113">
        <v>24.39</v>
      </c>
      <c r="K1716" s="113">
        <v>-18</v>
      </c>
      <c r="L1716" s="185"/>
      <c r="M1716" s="16">
        <v>1713</v>
      </c>
      <c r="N1716" s="16">
        <f t="shared" si="189"/>
        <v>1.8674452103103832E-2</v>
      </c>
      <c r="O1716" s="16">
        <v>5</v>
      </c>
      <c r="P1716" s="16">
        <f t="shared" si="185"/>
        <v>8.1742160278745661</v>
      </c>
      <c r="Q1716" s="16">
        <f t="shared" si="190"/>
        <v>53.549094478321678</v>
      </c>
      <c r="R1716" s="113">
        <f t="shared" si="186"/>
        <v>319.54399999999998</v>
      </c>
      <c r="S1716" s="16">
        <f>IF(S1715=15800,15800,ROUND((((Q1716*60)/'Gearing Calculator'!$C$14)*'Track Data'!P1716),-2))</f>
        <v>13300</v>
      </c>
      <c r="T1716" s="16">
        <f t="shared" si="188"/>
        <v>3.9727251010309819</v>
      </c>
      <c r="U1716" s="16">
        <f>IF(AC1716=100,Braking!$AG$2354,IF(AC1716=50,Braking!$AG$1179,IF(AC1716=75,Braking!$AG$1767,0)))</f>
        <v>0</v>
      </c>
      <c r="V1716" s="16">
        <f>0.5*'Gearing Calculator'!$C$15*'Gearing Calculator'!$C$20*'Gearing Calculator'!$W$20*('Track Data'!Q1716^2)</f>
        <v>303.49678417839971</v>
      </c>
      <c r="W1716" s="16">
        <f>('Gearing Calculator'!$U$9*'Track Data'!T1716)+'Track Data'!V1716</f>
        <v>1361.0362060728471</v>
      </c>
      <c r="X1716" s="16">
        <f>('Gearing Calculator'!$U$9*9.81)*('Gearing Calculator'!$U$16/'Gearing Calculator'!$C$7)-(('Track Data'!W1716)*('Gearing Calculator'!$U$17/'Gearing Calculator'!$C$7))</f>
        <v>659.30461744684783</v>
      </c>
      <c r="Y1716" s="16">
        <f>('Gearing Calculator'!$U$9*9.81)*(('Gearing Calculator'!$C$7-'Gearing Calculator'!$U$16)/'Gearing Calculator'!$C$7)+(('Track Data'!W1716)*('Gearing Calculator'!$U$17/'Gearing Calculator'!$C$7))</f>
        <v>1952.1173825531523</v>
      </c>
      <c r="Z1716" s="16">
        <f>((X1716*COS('Gearing Calculator'!$C$21))/'Gearing Calculator'!$C$22)/2</f>
        <v>20.383613568608048</v>
      </c>
      <c r="AA1716" s="16">
        <f>Y1716/'Gearing Calculator'!$C$24</f>
        <v>27.258106152308994</v>
      </c>
      <c r="AB1716" s="16">
        <f t="shared" si="184"/>
        <v>323.36040968355462</v>
      </c>
      <c r="AC1716" s="16">
        <v>0</v>
      </c>
      <c r="AD1716" s="16">
        <v>0</v>
      </c>
      <c r="AE1716" s="16">
        <v>1713</v>
      </c>
      <c r="AF1716" s="16">
        <f>IF(AC1716=0,IF(O1716=6,INDEX(Acceleration!$V$4:$V$110,MATCH('Track Data'!S1716,Acceleration!$K$4:$K$110,0)),IF('Track Data'!O1716=5,INDEX(Acceleration!$U$4:$U$110,MATCH('Track Data'!S1716,Acceleration!$K$4:$K$110,0)),1)),U1716)</f>
        <v>3.9727251010309819</v>
      </c>
      <c r="AG1716" s="16">
        <f>IF(AC1716=0,IF(O1716=4,INDEX(Acceleration!$T$4:$T$110,MATCH('Track Data'!S1716,Acceleration!$K$4:$K$110,0)),IF('Track Data'!O1716=3,INDEX(Acceleration!$S$4:$S$110,MATCH('Track Data'!S1716,Acceleration!$K$4:$K$110,0)),'Track Data'!AF1716)),'Track Data'!U1716)</f>
        <v>3.9727251010309819</v>
      </c>
      <c r="AH1716" s="16">
        <f>IF(AC1716=0,IF(O1716=2,INDEX(Acceleration!$R$4:$R$110,MATCH('Track Data'!S1716,Acceleration!$K$4:$K$110,0)),IF('Track Data'!O1716=1,INDEX(Acceleration!$Q$4:$Q$110,MATCH('Track Data'!S1716,Acceleration!$K$4:$K$110,0)),'Track Data'!AG1716)),'Track Data'!U1716)</f>
        <v>3.9727251010309819</v>
      </c>
    </row>
    <row r="1717" spans="2:34" x14ac:dyDescent="0.25">
      <c r="B1717" s="16">
        <v>243.114</v>
      </c>
      <c r="C1717" s="16">
        <v>8987</v>
      </c>
      <c r="D1717" s="16">
        <v>1714</v>
      </c>
      <c r="E1717" s="113">
        <v>204</v>
      </c>
      <c r="F1717" s="113">
        <v>203.5</v>
      </c>
      <c r="G1717" s="113">
        <v>199.4</v>
      </c>
      <c r="H1717" s="113">
        <f t="shared" si="187"/>
        <v>55.388888888888886</v>
      </c>
      <c r="I1717" s="113">
        <v>4.5</v>
      </c>
      <c r="J1717" s="113">
        <v>24.96</v>
      </c>
      <c r="K1717" s="113">
        <v>-21.3</v>
      </c>
      <c r="L1717" s="185"/>
      <c r="M1717" s="16">
        <v>1714</v>
      </c>
      <c r="N1717" s="16">
        <f t="shared" si="189"/>
        <v>1.8648633619064967E-2</v>
      </c>
      <c r="O1717" s="16">
        <v>5</v>
      </c>
      <c r="P1717" s="16">
        <f t="shared" si="185"/>
        <v>8.1742160278745661</v>
      </c>
      <c r="Q1717" s="16">
        <f t="shared" si="190"/>
        <v>53.623231622593238</v>
      </c>
      <c r="R1717" s="113">
        <f t="shared" si="186"/>
        <v>319.54399999999998</v>
      </c>
      <c r="S1717" s="16">
        <f>IF(S1716=15800,15800,ROUND((((Q1717*60)/'Gearing Calculator'!$C$14)*'Track Data'!P1717),-2))</f>
        <v>13300</v>
      </c>
      <c r="T1717" s="16">
        <f t="shared" si="188"/>
        <v>3.9727251010309819</v>
      </c>
      <c r="U1717" s="16">
        <f>IF(AC1717=100,Braking!$AG$2354,IF(AC1717=50,Braking!$AG$1179,IF(AC1717=75,Braking!$AG$1767,0)))</f>
        <v>0</v>
      </c>
      <c r="V1717" s="16">
        <f>0.5*'Gearing Calculator'!$C$15*'Gearing Calculator'!$C$20*'Gearing Calculator'!$W$20*('Track Data'!Q1717^2)</f>
        <v>304.33773062778596</v>
      </c>
      <c r="W1717" s="16">
        <f>('Gearing Calculator'!$U$9*'Track Data'!T1717)+'Track Data'!V1717</f>
        <v>1361.8771525222332</v>
      </c>
      <c r="X1717" s="16">
        <f>('Gearing Calculator'!$U$9*9.81)*('Gearing Calculator'!$U$16/'Gearing Calculator'!$C$7)-(('Track Data'!W1717)*('Gearing Calculator'!$U$17/'Gearing Calculator'!$C$7))</f>
        <v>658.84624420056002</v>
      </c>
      <c r="Y1717" s="16">
        <f>('Gearing Calculator'!$U$9*9.81)*(('Gearing Calculator'!$C$7-'Gearing Calculator'!$U$16)/'Gearing Calculator'!$C$7)+(('Track Data'!W1717)*('Gearing Calculator'!$U$17/'Gearing Calculator'!$C$7))</f>
        <v>1952.57575579944</v>
      </c>
      <c r="Z1717" s="16">
        <f>((X1717*COS('Gearing Calculator'!$C$21))/'Gearing Calculator'!$C$22)/2</f>
        <v>20.369442117543894</v>
      </c>
      <c r="AA1717" s="16">
        <f>Y1717/'Gearing Calculator'!$C$24</f>
        <v>27.264506580232212</v>
      </c>
      <c r="AB1717" s="16">
        <f t="shared" si="184"/>
        <v>324.20135613294087</v>
      </c>
      <c r="AC1717" s="16">
        <v>0</v>
      </c>
      <c r="AD1717" s="16">
        <v>0</v>
      </c>
      <c r="AE1717" s="16">
        <v>1714</v>
      </c>
      <c r="AF1717" s="16">
        <f>IF(AC1717=0,IF(O1717=6,INDEX(Acceleration!$V$4:$V$110,MATCH('Track Data'!S1717,Acceleration!$K$4:$K$110,0)),IF('Track Data'!O1717=5,INDEX(Acceleration!$U$4:$U$110,MATCH('Track Data'!S1717,Acceleration!$K$4:$K$110,0)),1)),U1717)</f>
        <v>3.9727251010309819</v>
      </c>
      <c r="AG1717" s="16">
        <f>IF(AC1717=0,IF(O1717=4,INDEX(Acceleration!$T$4:$T$110,MATCH('Track Data'!S1717,Acceleration!$K$4:$K$110,0)),IF('Track Data'!O1717=3,INDEX(Acceleration!$S$4:$S$110,MATCH('Track Data'!S1717,Acceleration!$K$4:$K$110,0)),'Track Data'!AF1717)),'Track Data'!U1717)</f>
        <v>3.9727251010309819</v>
      </c>
      <c r="AH1717" s="16">
        <f>IF(AC1717=0,IF(O1717=2,INDEX(Acceleration!$R$4:$R$110,MATCH('Track Data'!S1717,Acceleration!$K$4:$K$110,0)),IF('Track Data'!O1717=1,INDEX(Acceleration!$Q$4:$Q$110,MATCH('Track Data'!S1717,Acceleration!$K$4:$K$110,0)),'Track Data'!AG1717)),'Track Data'!U1717)</f>
        <v>3.9727251010309819</v>
      </c>
    </row>
    <row r="1718" spans="2:34" x14ac:dyDescent="0.25">
      <c r="B1718" s="16">
        <v>243.13200000000001</v>
      </c>
      <c r="C1718" s="16">
        <v>8988</v>
      </c>
      <c r="D1718" s="16">
        <v>1715</v>
      </c>
      <c r="E1718" s="113">
        <v>204</v>
      </c>
      <c r="F1718" s="113">
        <v>203.9</v>
      </c>
      <c r="G1718" s="113">
        <v>199.4</v>
      </c>
      <c r="H1718" s="113">
        <f t="shared" si="187"/>
        <v>55.388888888888886</v>
      </c>
      <c r="I1718" s="113">
        <v>4.5</v>
      </c>
      <c r="J1718" s="113">
        <v>23.36</v>
      </c>
      <c r="K1718" s="113">
        <v>-18.100000000000001</v>
      </c>
      <c r="L1718" s="185"/>
      <c r="M1718" s="16">
        <v>1715</v>
      </c>
      <c r="N1718" s="16">
        <f t="shared" si="189"/>
        <v>1.8622921926304315E-2</v>
      </c>
      <c r="O1718" s="16">
        <v>5</v>
      </c>
      <c r="P1718" s="16">
        <f t="shared" si="185"/>
        <v>8.1742160278745661</v>
      </c>
      <c r="Q1718" s="16">
        <f t="shared" si="190"/>
        <v>53.697266409495612</v>
      </c>
      <c r="R1718" s="113">
        <f t="shared" si="186"/>
        <v>319.54399999999998</v>
      </c>
      <c r="S1718" s="16">
        <f>IF(S1717=15800,15800,ROUND((((Q1718*60)/'Gearing Calculator'!$C$14)*'Track Data'!P1718),-2))</f>
        <v>13300</v>
      </c>
      <c r="T1718" s="16">
        <f t="shared" si="188"/>
        <v>3.9727251010309819</v>
      </c>
      <c r="U1718" s="16">
        <f>IF(AC1718=100,Braking!$AG$2354,IF(AC1718=50,Braking!$AG$1179,IF(AC1718=75,Braking!$AG$1767,0)))</f>
        <v>0</v>
      </c>
      <c r="V1718" s="16">
        <f>0.5*'Gearing Calculator'!$C$15*'Gearing Calculator'!$C$20*'Gearing Calculator'!$W$20*('Track Data'!Q1718^2)</f>
        <v>305.17867707717227</v>
      </c>
      <c r="W1718" s="16">
        <f>('Gearing Calculator'!$U$9*'Track Data'!T1718)+'Track Data'!V1718</f>
        <v>1362.7180989716196</v>
      </c>
      <c r="X1718" s="16">
        <f>('Gearing Calculator'!$U$9*9.81)*('Gearing Calculator'!$U$16/'Gearing Calculator'!$C$7)-(('Track Data'!W1718)*('Gearing Calculator'!$U$17/'Gearing Calculator'!$C$7))</f>
        <v>658.38787095427199</v>
      </c>
      <c r="Y1718" s="16">
        <f>('Gearing Calculator'!$U$9*9.81)*(('Gearing Calculator'!$C$7-'Gearing Calculator'!$U$16)/'Gearing Calculator'!$C$7)+(('Track Data'!W1718)*('Gearing Calculator'!$U$17/'Gearing Calculator'!$C$7))</f>
        <v>1953.0341290457282</v>
      </c>
      <c r="Z1718" s="16">
        <f>((X1718*COS('Gearing Calculator'!$C$21))/'Gearing Calculator'!$C$22)/2</f>
        <v>20.355270666479736</v>
      </c>
      <c r="AA1718" s="16">
        <f>Y1718/'Gearing Calculator'!$C$24</f>
        <v>27.270907008155433</v>
      </c>
      <c r="AB1718" s="16">
        <f t="shared" ref="AB1718:AB1781" si="191">(T1718*O1718)+V1718</f>
        <v>325.04230258232718</v>
      </c>
      <c r="AC1718" s="16">
        <v>0</v>
      </c>
      <c r="AD1718" s="16">
        <v>0</v>
      </c>
      <c r="AE1718" s="16">
        <v>1715</v>
      </c>
      <c r="AF1718" s="16">
        <f>IF(AC1718=0,IF(O1718=6,INDEX(Acceleration!$V$4:$V$110,MATCH('Track Data'!S1718,Acceleration!$K$4:$K$110,0)),IF('Track Data'!O1718=5,INDEX(Acceleration!$U$4:$U$110,MATCH('Track Data'!S1718,Acceleration!$K$4:$K$110,0)),1)),U1718)</f>
        <v>3.9727251010309819</v>
      </c>
      <c r="AG1718" s="16">
        <f>IF(AC1718=0,IF(O1718=4,INDEX(Acceleration!$T$4:$T$110,MATCH('Track Data'!S1718,Acceleration!$K$4:$K$110,0)),IF('Track Data'!O1718=3,INDEX(Acceleration!$S$4:$S$110,MATCH('Track Data'!S1718,Acceleration!$K$4:$K$110,0)),'Track Data'!AF1718)),'Track Data'!U1718)</f>
        <v>3.9727251010309819</v>
      </c>
      <c r="AH1718" s="16">
        <f>IF(AC1718=0,IF(O1718=2,INDEX(Acceleration!$R$4:$R$110,MATCH('Track Data'!S1718,Acceleration!$K$4:$K$110,0)),IF('Track Data'!O1718=1,INDEX(Acceleration!$Q$4:$Q$110,MATCH('Track Data'!S1718,Acceleration!$K$4:$K$110,0)),'Track Data'!AG1718)),'Track Data'!U1718)</f>
        <v>3.9727251010309819</v>
      </c>
    </row>
    <row r="1719" spans="2:34" x14ac:dyDescent="0.25">
      <c r="B1719" s="16">
        <v>243.149</v>
      </c>
      <c r="C1719" s="16">
        <v>8989</v>
      </c>
      <c r="D1719" s="16">
        <v>1716</v>
      </c>
      <c r="E1719" s="113">
        <v>204</v>
      </c>
      <c r="F1719" s="113">
        <v>204.2</v>
      </c>
      <c r="G1719" s="113">
        <v>199.4</v>
      </c>
      <c r="H1719" s="113">
        <f t="shared" si="187"/>
        <v>55.388888888888886</v>
      </c>
      <c r="I1719" s="113">
        <v>4.5</v>
      </c>
      <c r="J1719" s="113">
        <v>22.35</v>
      </c>
      <c r="K1719" s="113">
        <v>-15.1</v>
      </c>
      <c r="L1719" s="185"/>
      <c r="M1719" s="16">
        <v>1716</v>
      </c>
      <c r="N1719" s="16">
        <f t="shared" si="189"/>
        <v>1.8597316290656658E-2</v>
      </c>
      <c r="O1719" s="16">
        <v>5</v>
      </c>
      <c r="P1719" s="16">
        <f t="shared" si="185"/>
        <v>8.1742160278745661</v>
      </c>
      <c r="Q1719" s="16">
        <f t="shared" si="190"/>
        <v>53.77119926182052</v>
      </c>
      <c r="R1719" s="113">
        <f t="shared" si="186"/>
        <v>319.54399999999998</v>
      </c>
      <c r="S1719" s="16">
        <f>IF(S1718=15800,15800,ROUND((((Q1719*60)/'Gearing Calculator'!$C$14)*'Track Data'!P1719),-2))</f>
        <v>13300</v>
      </c>
      <c r="T1719" s="16">
        <f t="shared" si="188"/>
        <v>3.9727251010309819</v>
      </c>
      <c r="U1719" s="16">
        <f>IF(AC1719=100,Braking!$AG$2354,IF(AC1719=50,Braking!$AG$1179,IF(AC1719=75,Braking!$AG$1767,0)))</f>
        <v>0</v>
      </c>
      <c r="V1719" s="16">
        <f>0.5*'Gearing Calculator'!$C$15*'Gearing Calculator'!$C$20*'Gearing Calculator'!$W$20*('Track Data'!Q1719^2)</f>
        <v>306.01962352655846</v>
      </c>
      <c r="W1719" s="16">
        <f>('Gearing Calculator'!$U$9*'Track Data'!T1719)+'Track Data'!V1719</f>
        <v>1363.5590454210057</v>
      </c>
      <c r="X1719" s="16">
        <f>('Gearing Calculator'!$U$9*9.81)*('Gearing Calculator'!$U$16/'Gearing Calculator'!$C$7)-(('Track Data'!W1719)*('Gearing Calculator'!$U$17/'Gearing Calculator'!$C$7))</f>
        <v>657.92949770798418</v>
      </c>
      <c r="Y1719" s="16">
        <f>('Gearing Calculator'!$U$9*9.81)*(('Gearing Calculator'!$C$7-'Gearing Calculator'!$U$16)/'Gearing Calculator'!$C$7)+(('Track Data'!W1719)*('Gearing Calculator'!$U$17/'Gearing Calculator'!$C$7))</f>
        <v>1953.4925022920158</v>
      </c>
      <c r="Z1719" s="16">
        <f>((X1719*COS('Gearing Calculator'!$C$21))/'Gearing Calculator'!$C$22)/2</f>
        <v>20.341099215415579</v>
      </c>
      <c r="AA1719" s="16">
        <f>Y1719/'Gearing Calculator'!$C$24</f>
        <v>27.277307436078651</v>
      </c>
      <c r="AB1719" s="16">
        <f t="shared" si="191"/>
        <v>325.88324903171338</v>
      </c>
      <c r="AC1719" s="16">
        <v>0</v>
      </c>
      <c r="AD1719" s="16">
        <v>0</v>
      </c>
      <c r="AE1719" s="16">
        <v>1716</v>
      </c>
      <c r="AF1719" s="16">
        <f>IF(AC1719=0,IF(O1719=6,INDEX(Acceleration!$V$4:$V$110,MATCH('Track Data'!S1719,Acceleration!$K$4:$K$110,0)),IF('Track Data'!O1719=5,INDEX(Acceleration!$U$4:$U$110,MATCH('Track Data'!S1719,Acceleration!$K$4:$K$110,0)),1)),U1719)</f>
        <v>3.9727251010309819</v>
      </c>
      <c r="AG1719" s="16">
        <f>IF(AC1719=0,IF(O1719=4,INDEX(Acceleration!$T$4:$T$110,MATCH('Track Data'!S1719,Acceleration!$K$4:$K$110,0)),IF('Track Data'!O1719=3,INDEX(Acceleration!$S$4:$S$110,MATCH('Track Data'!S1719,Acceleration!$K$4:$K$110,0)),'Track Data'!AF1719)),'Track Data'!U1719)</f>
        <v>3.9727251010309819</v>
      </c>
      <c r="AH1719" s="16">
        <f>IF(AC1719=0,IF(O1719=2,INDEX(Acceleration!$R$4:$R$110,MATCH('Track Data'!S1719,Acceleration!$K$4:$K$110,0)),IF('Track Data'!O1719=1,INDEX(Acceleration!$Q$4:$Q$110,MATCH('Track Data'!S1719,Acceleration!$K$4:$K$110,0)),'Track Data'!AG1719)),'Track Data'!U1719)</f>
        <v>3.9727251010309819</v>
      </c>
    </row>
    <row r="1720" spans="2:34" x14ac:dyDescent="0.25">
      <c r="B1720" s="16">
        <v>243.167</v>
      </c>
      <c r="C1720" s="16">
        <v>8990</v>
      </c>
      <c r="D1720" s="16">
        <v>1717</v>
      </c>
      <c r="E1720" s="113">
        <v>204</v>
      </c>
      <c r="F1720" s="113">
        <v>204.7</v>
      </c>
      <c r="G1720" s="113">
        <v>199.3</v>
      </c>
      <c r="H1720" s="113">
        <f t="shared" si="187"/>
        <v>55.361111111111114</v>
      </c>
      <c r="I1720" s="113">
        <v>4.3</v>
      </c>
      <c r="J1720" s="113">
        <v>23.28</v>
      </c>
      <c r="K1720" s="113">
        <v>-9.1</v>
      </c>
      <c r="L1720" s="185"/>
      <c r="M1720" s="16">
        <v>1717</v>
      </c>
      <c r="N1720" s="16">
        <f t="shared" si="189"/>
        <v>1.8571815985003508E-2</v>
      </c>
      <c r="O1720" s="16">
        <v>5</v>
      </c>
      <c r="P1720" s="16">
        <f t="shared" si="185"/>
        <v>8.1742160278745661</v>
      </c>
      <c r="Q1720" s="16">
        <f t="shared" si="190"/>
        <v>53.845030599457083</v>
      </c>
      <c r="R1720" s="113">
        <f t="shared" si="186"/>
        <v>319.54399999999998</v>
      </c>
      <c r="S1720" s="16">
        <f>IF(S1719=15800,15800,ROUND((((Q1720*60)/'Gearing Calculator'!$C$14)*'Track Data'!P1720),-2))</f>
        <v>13300</v>
      </c>
      <c r="T1720" s="16">
        <f t="shared" si="188"/>
        <v>3.9727251010309819</v>
      </c>
      <c r="U1720" s="16">
        <f>IF(AC1720=100,Braking!$AG$2354,IF(AC1720=50,Braking!$AG$1179,IF(AC1720=75,Braking!$AG$1767,0)))</f>
        <v>0</v>
      </c>
      <c r="V1720" s="16">
        <f>0.5*'Gearing Calculator'!$C$15*'Gearing Calculator'!$C$20*'Gearing Calculator'!$W$20*('Track Data'!Q1720^2)</f>
        <v>306.86056997594471</v>
      </c>
      <c r="W1720" s="16">
        <f>('Gearing Calculator'!$U$9*'Track Data'!T1720)+'Track Data'!V1720</f>
        <v>1364.3999918703921</v>
      </c>
      <c r="X1720" s="16">
        <f>('Gearing Calculator'!$U$9*9.81)*('Gearing Calculator'!$U$16/'Gearing Calculator'!$C$7)-(('Track Data'!W1720)*('Gearing Calculator'!$U$17/'Gearing Calculator'!$C$7))</f>
        <v>657.47112446169615</v>
      </c>
      <c r="Y1720" s="16">
        <f>('Gearing Calculator'!$U$9*9.81)*(('Gearing Calculator'!$C$7-'Gearing Calculator'!$U$16)/'Gearing Calculator'!$C$7)+(('Track Data'!W1720)*('Gearing Calculator'!$U$17/'Gearing Calculator'!$C$7))</f>
        <v>1953.950875538304</v>
      </c>
      <c r="Z1720" s="16">
        <f>((X1720*COS('Gearing Calculator'!$C$21))/'Gearing Calculator'!$C$22)/2</f>
        <v>20.326927764351417</v>
      </c>
      <c r="AA1720" s="16">
        <f>Y1720/'Gearing Calculator'!$C$24</f>
        <v>27.283707864001872</v>
      </c>
      <c r="AB1720" s="16">
        <f t="shared" si="191"/>
        <v>326.72419548109963</v>
      </c>
      <c r="AC1720" s="16">
        <v>0</v>
      </c>
      <c r="AD1720" s="16">
        <v>0</v>
      </c>
      <c r="AE1720" s="16">
        <v>1717</v>
      </c>
      <c r="AF1720" s="16">
        <f>IF(AC1720=0,IF(O1720=6,INDEX(Acceleration!$V$4:$V$110,MATCH('Track Data'!S1720,Acceleration!$K$4:$K$110,0)),IF('Track Data'!O1720=5,INDEX(Acceleration!$U$4:$U$110,MATCH('Track Data'!S1720,Acceleration!$K$4:$K$110,0)),1)),U1720)</f>
        <v>3.9727251010309819</v>
      </c>
      <c r="AG1720" s="16">
        <f>IF(AC1720=0,IF(O1720=4,INDEX(Acceleration!$T$4:$T$110,MATCH('Track Data'!S1720,Acceleration!$K$4:$K$110,0)),IF('Track Data'!O1720=3,INDEX(Acceleration!$S$4:$S$110,MATCH('Track Data'!S1720,Acceleration!$K$4:$K$110,0)),'Track Data'!AF1720)),'Track Data'!U1720)</f>
        <v>3.9727251010309819</v>
      </c>
      <c r="AH1720" s="16">
        <f>IF(AC1720=0,IF(O1720=2,INDEX(Acceleration!$R$4:$R$110,MATCH('Track Data'!S1720,Acceleration!$K$4:$K$110,0)),IF('Track Data'!O1720=1,INDEX(Acceleration!$Q$4:$Q$110,MATCH('Track Data'!S1720,Acceleration!$K$4:$K$110,0)),'Track Data'!AG1720)),'Track Data'!U1720)</f>
        <v>3.9727251010309819</v>
      </c>
    </row>
    <row r="1721" spans="2:34" x14ac:dyDescent="0.25">
      <c r="B1721" s="16">
        <v>243.185</v>
      </c>
      <c r="C1721" s="16">
        <v>8991</v>
      </c>
      <c r="D1721" s="16">
        <v>1718</v>
      </c>
      <c r="E1721" s="113">
        <v>204</v>
      </c>
      <c r="F1721" s="113">
        <v>204.7</v>
      </c>
      <c r="G1721" s="113">
        <v>199.2</v>
      </c>
      <c r="H1721" s="113">
        <f t="shared" si="187"/>
        <v>55.333333333333329</v>
      </c>
      <c r="I1721" s="113">
        <v>4.0999999999999996</v>
      </c>
      <c r="J1721" s="113">
        <v>25.69</v>
      </c>
      <c r="K1721" s="113">
        <v>-3.1</v>
      </c>
      <c r="L1721" s="185"/>
      <c r="M1721" s="16">
        <v>1718</v>
      </c>
      <c r="N1721" s="16">
        <f t="shared" si="189"/>
        <v>1.8546420289186374E-2</v>
      </c>
      <c r="O1721" s="16">
        <v>5</v>
      </c>
      <c r="P1721" s="16">
        <f t="shared" si="185"/>
        <v>8.1742160278745661</v>
      </c>
      <c r="Q1721" s="16">
        <f t="shared" si="190"/>
        <v>53.918760839419633</v>
      </c>
      <c r="R1721" s="113">
        <f t="shared" si="186"/>
        <v>319.54399999999998</v>
      </c>
      <c r="S1721" s="16">
        <f>IF(S1720=15800,15800,ROUND((((Q1721*60)/'Gearing Calculator'!$C$14)*'Track Data'!P1721),-2))</f>
        <v>13400</v>
      </c>
      <c r="T1721" s="16">
        <f t="shared" si="188"/>
        <v>3.9259213927261993</v>
      </c>
      <c r="U1721" s="16">
        <f>IF(AC1721=100,Braking!$AG$2354,IF(AC1721=50,Braking!$AG$1179,IF(AC1721=75,Braking!$AG$1767,0)))</f>
        <v>0</v>
      </c>
      <c r="V1721" s="16">
        <f>0.5*'Gearing Calculator'!$C$15*'Gearing Calculator'!$C$20*'Gearing Calculator'!$W$20*('Track Data'!Q1721^2)</f>
        <v>307.70151642533102</v>
      </c>
      <c r="W1721" s="16">
        <f>('Gearing Calculator'!$U$9*'Track Data'!T1721)+'Track Data'!V1721</f>
        <v>1352.7817911690452</v>
      </c>
      <c r="X1721" s="16">
        <f>('Gearing Calculator'!$U$9*9.81)*('Gearing Calculator'!$U$16/'Gearing Calculator'!$C$7)-(('Track Data'!W1721)*('Gearing Calculator'!$U$17/'Gearing Calculator'!$C$7))</f>
        <v>663.80383729422852</v>
      </c>
      <c r="Y1721" s="16">
        <f>('Gearing Calculator'!$U$9*9.81)*(('Gearing Calculator'!$C$7-'Gearing Calculator'!$U$16)/'Gearing Calculator'!$C$7)+(('Track Data'!W1721)*('Gearing Calculator'!$U$17/'Gearing Calculator'!$C$7))</f>
        <v>1947.6181627057715</v>
      </c>
      <c r="Z1721" s="16">
        <f>((X1721*COS('Gearing Calculator'!$C$21))/'Gearing Calculator'!$C$22)/2</f>
        <v>20.522715216469045</v>
      </c>
      <c r="AA1721" s="16">
        <f>Y1721/'Gearing Calculator'!$C$24</f>
        <v>27.195281952648379</v>
      </c>
      <c r="AB1721" s="16">
        <f t="shared" si="191"/>
        <v>327.331123388962</v>
      </c>
      <c r="AC1721" s="16">
        <v>0</v>
      </c>
      <c r="AD1721" s="16">
        <v>0</v>
      </c>
      <c r="AE1721" s="16">
        <v>1718</v>
      </c>
      <c r="AF1721" s="16">
        <f>IF(AC1721=0,IF(O1721=6,INDEX(Acceleration!$V$4:$V$110,MATCH('Track Data'!S1721,Acceleration!$K$4:$K$110,0)),IF('Track Data'!O1721=5,INDEX(Acceleration!$U$4:$U$110,MATCH('Track Data'!S1721,Acceleration!$K$4:$K$110,0)),1)),U1721)</f>
        <v>3.9259213927261993</v>
      </c>
      <c r="AG1721" s="16">
        <f>IF(AC1721=0,IF(O1721=4,INDEX(Acceleration!$T$4:$T$110,MATCH('Track Data'!S1721,Acceleration!$K$4:$K$110,0)),IF('Track Data'!O1721=3,INDEX(Acceleration!$S$4:$S$110,MATCH('Track Data'!S1721,Acceleration!$K$4:$K$110,0)),'Track Data'!AF1721)),'Track Data'!U1721)</f>
        <v>3.9259213927261993</v>
      </c>
      <c r="AH1721" s="16">
        <f>IF(AC1721=0,IF(O1721=2,INDEX(Acceleration!$R$4:$R$110,MATCH('Track Data'!S1721,Acceleration!$K$4:$K$110,0)),IF('Track Data'!O1721=1,INDEX(Acceleration!$Q$4:$Q$110,MATCH('Track Data'!S1721,Acceleration!$K$4:$K$110,0)),'Track Data'!AG1721)),'Track Data'!U1721)</f>
        <v>3.9259213927261993</v>
      </c>
    </row>
    <row r="1722" spans="2:34" x14ac:dyDescent="0.25">
      <c r="B1722" s="16">
        <v>243.202</v>
      </c>
      <c r="C1722" s="16">
        <v>8993</v>
      </c>
      <c r="D1722" s="16">
        <v>1719</v>
      </c>
      <c r="E1722" s="113">
        <v>204</v>
      </c>
      <c r="F1722" s="113">
        <v>204.7</v>
      </c>
      <c r="G1722" s="113">
        <v>199.1</v>
      </c>
      <c r="H1722" s="113">
        <f t="shared" si="187"/>
        <v>55.30555555555555</v>
      </c>
      <c r="I1722" s="113">
        <v>4.0999999999999996</v>
      </c>
      <c r="J1722" s="113">
        <v>29.73</v>
      </c>
      <c r="K1722" s="113">
        <v>0.5</v>
      </c>
      <c r="L1722" s="185"/>
      <c r="M1722" s="16">
        <v>1719</v>
      </c>
      <c r="N1722" s="16">
        <f t="shared" si="189"/>
        <v>1.8521425857116976E-2</v>
      </c>
      <c r="O1722" s="16">
        <v>5</v>
      </c>
      <c r="P1722" s="16">
        <f t="shared" si="185"/>
        <v>8.1742160278745661</v>
      </c>
      <c r="Q1722" s="16">
        <f t="shared" si="190"/>
        <v>53.991523531420974</v>
      </c>
      <c r="R1722" s="113">
        <f t="shared" si="186"/>
        <v>319.54399999999998</v>
      </c>
      <c r="S1722" s="16">
        <f>IF(S1721=15800,15800,ROUND((((Q1722*60)/'Gearing Calculator'!$C$14)*'Track Data'!P1722),-2))</f>
        <v>13400</v>
      </c>
      <c r="T1722" s="16">
        <f t="shared" si="188"/>
        <v>3.9259213927261993</v>
      </c>
      <c r="U1722" s="16">
        <f>IF(AC1722=100,Braking!$AG$2354,IF(AC1722=50,Braking!$AG$1179,IF(AC1722=75,Braking!$AG$1767,0)))</f>
        <v>0</v>
      </c>
      <c r="V1722" s="16">
        <f>0.5*'Gearing Calculator'!$C$15*'Gearing Calculator'!$C$20*'Gearing Calculator'!$W$20*('Track Data'!Q1722^2)</f>
        <v>308.53255546574331</v>
      </c>
      <c r="W1722" s="16">
        <f>('Gearing Calculator'!$U$9*'Track Data'!T1722)+'Track Data'!V1722</f>
        <v>1353.6128302094576</v>
      </c>
      <c r="X1722" s="16">
        <f>('Gearing Calculator'!$U$9*9.81)*('Gearing Calculator'!$U$16/'Gearing Calculator'!$C$7)-(('Track Data'!W1722)*('Gearing Calculator'!$U$17/'Gearing Calculator'!$C$7))</f>
        <v>663.35086426244527</v>
      </c>
      <c r="Y1722" s="16">
        <f>('Gearing Calculator'!$U$9*9.81)*(('Gearing Calculator'!$C$7-'Gearing Calculator'!$U$16)/'Gearing Calculator'!$C$7)+(('Track Data'!W1722)*('Gearing Calculator'!$U$17/'Gearing Calculator'!$C$7))</f>
        <v>1948.0711357375549</v>
      </c>
      <c r="Z1722" s="16">
        <f>((X1722*COS('Gearing Calculator'!$C$21))/'Gearing Calculator'!$C$22)/2</f>
        <v>20.50871072295795</v>
      </c>
      <c r="AA1722" s="16">
        <f>Y1722/'Gearing Calculator'!$C$24</f>
        <v>27.201606975464543</v>
      </c>
      <c r="AB1722" s="16">
        <f t="shared" si="191"/>
        <v>328.16216242937429</v>
      </c>
      <c r="AC1722" s="16">
        <v>0</v>
      </c>
      <c r="AD1722" s="16">
        <v>0</v>
      </c>
      <c r="AE1722" s="16">
        <v>1719</v>
      </c>
      <c r="AF1722" s="16">
        <f>IF(AC1722=0,IF(O1722=6,INDEX(Acceleration!$V$4:$V$110,MATCH('Track Data'!S1722,Acceleration!$K$4:$K$110,0)),IF('Track Data'!O1722=5,INDEX(Acceleration!$U$4:$U$110,MATCH('Track Data'!S1722,Acceleration!$K$4:$K$110,0)),1)),U1722)</f>
        <v>3.9259213927261993</v>
      </c>
      <c r="AG1722" s="16">
        <f>IF(AC1722=0,IF(O1722=4,INDEX(Acceleration!$T$4:$T$110,MATCH('Track Data'!S1722,Acceleration!$K$4:$K$110,0)),IF('Track Data'!O1722=3,INDEX(Acceleration!$S$4:$S$110,MATCH('Track Data'!S1722,Acceleration!$K$4:$K$110,0)),'Track Data'!AF1722)),'Track Data'!U1722)</f>
        <v>3.9259213927261993</v>
      </c>
      <c r="AH1722" s="16">
        <f>IF(AC1722=0,IF(O1722=2,INDEX(Acceleration!$R$4:$R$110,MATCH('Track Data'!S1722,Acceleration!$K$4:$K$110,0)),IF('Track Data'!O1722=1,INDEX(Acceleration!$Q$4:$Q$110,MATCH('Track Data'!S1722,Acceleration!$K$4:$K$110,0)),'Track Data'!AG1722)),'Track Data'!U1722)</f>
        <v>3.9259213927261993</v>
      </c>
    </row>
    <row r="1723" spans="2:34" x14ac:dyDescent="0.25">
      <c r="B1723" s="16">
        <v>243.22</v>
      </c>
      <c r="C1723" s="16">
        <v>8994</v>
      </c>
      <c r="D1723" s="16">
        <v>1720</v>
      </c>
      <c r="E1723" s="113">
        <v>203</v>
      </c>
      <c r="F1723" s="113">
        <v>204.3</v>
      </c>
      <c r="G1723" s="113">
        <v>199</v>
      </c>
      <c r="H1723" s="113">
        <f t="shared" si="187"/>
        <v>55.277777777777779</v>
      </c>
      <c r="I1723" s="113">
        <v>5.6</v>
      </c>
      <c r="J1723" s="113">
        <v>30.93</v>
      </c>
      <c r="K1723" s="113">
        <v>-6.1</v>
      </c>
      <c r="L1723" s="185"/>
      <c r="M1723" s="16">
        <v>1720</v>
      </c>
      <c r="N1723" s="16">
        <f t="shared" si="189"/>
        <v>1.8496532206088271E-2</v>
      </c>
      <c r="O1723" s="16">
        <v>5</v>
      </c>
      <c r="P1723" s="16">
        <f t="shared" si="185"/>
        <v>8.1742160278745661</v>
      </c>
      <c r="Q1723" s="16">
        <f t="shared" si="190"/>
        <v>54.064188295297996</v>
      </c>
      <c r="R1723" s="113">
        <f t="shared" si="186"/>
        <v>319.54399999999998</v>
      </c>
      <c r="S1723" s="16">
        <f>IF(S1722=15800,15800,ROUND((((Q1723*60)/'Gearing Calculator'!$C$14)*'Track Data'!P1723),-2))</f>
        <v>13400</v>
      </c>
      <c r="T1723" s="16">
        <f t="shared" si="188"/>
        <v>3.9259213927261993</v>
      </c>
      <c r="U1723" s="16">
        <f>IF(AC1723=100,Braking!$AG$2354,IF(AC1723=50,Braking!$AG$1179,IF(AC1723=75,Braking!$AG$1767,0)))</f>
        <v>0</v>
      </c>
      <c r="V1723" s="16">
        <f>0.5*'Gearing Calculator'!$C$15*'Gearing Calculator'!$C$20*'Gearing Calculator'!$W$20*('Track Data'!Q1723^2)</f>
        <v>309.36359450615555</v>
      </c>
      <c r="W1723" s="16">
        <f>('Gearing Calculator'!$U$9*'Track Data'!T1723)+'Track Data'!V1723</f>
        <v>1354.4438692498697</v>
      </c>
      <c r="X1723" s="16">
        <f>('Gearing Calculator'!$U$9*9.81)*('Gearing Calculator'!$U$16/'Gearing Calculator'!$C$7)-(('Track Data'!W1723)*('Gearing Calculator'!$U$17/'Gearing Calculator'!$C$7))</f>
        <v>662.89789123066225</v>
      </c>
      <c r="Y1723" s="16">
        <f>('Gearing Calculator'!$U$9*9.81)*(('Gearing Calculator'!$C$7-'Gearing Calculator'!$U$16)/'Gearing Calculator'!$C$7)+(('Track Data'!W1723)*('Gearing Calculator'!$U$17/'Gearing Calculator'!$C$7))</f>
        <v>1948.5241087693378</v>
      </c>
      <c r="Z1723" s="16">
        <f>((X1723*COS('Gearing Calculator'!$C$21))/'Gearing Calculator'!$C$22)/2</f>
        <v>20.494706229446859</v>
      </c>
      <c r="AA1723" s="16">
        <f>Y1723/'Gearing Calculator'!$C$24</f>
        <v>27.207931998280703</v>
      </c>
      <c r="AB1723" s="16">
        <f t="shared" si="191"/>
        <v>328.99320146978653</v>
      </c>
      <c r="AC1723" s="16">
        <v>0</v>
      </c>
      <c r="AD1723" s="16">
        <v>0</v>
      </c>
      <c r="AE1723" s="16">
        <v>1720</v>
      </c>
      <c r="AF1723" s="16">
        <f>IF(AC1723=0,IF(O1723=6,INDEX(Acceleration!$V$4:$V$110,MATCH('Track Data'!S1723,Acceleration!$K$4:$K$110,0)),IF('Track Data'!O1723=5,INDEX(Acceleration!$U$4:$U$110,MATCH('Track Data'!S1723,Acceleration!$K$4:$K$110,0)),1)),U1723)</f>
        <v>3.9259213927261993</v>
      </c>
      <c r="AG1723" s="16">
        <f>IF(AC1723=0,IF(O1723=4,INDEX(Acceleration!$T$4:$T$110,MATCH('Track Data'!S1723,Acceleration!$K$4:$K$110,0)),IF('Track Data'!O1723=3,INDEX(Acceleration!$S$4:$S$110,MATCH('Track Data'!S1723,Acceleration!$K$4:$K$110,0)),'Track Data'!AF1723)),'Track Data'!U1723)</f>
        <v>3.9259213927261993</v>
      </c>
      <c r="AH1723" s="16">
        <f>IF(AC1723=0,IF(O1723=2,INDEX(Acceleration!$R$4:$R$110,MATCH('Track Data'!S1723,Acceleration!$K$4:$K$110,0)),IF('Track Data'!O1723=1,INDEX(Acceleration!$Q$4:$Q$110,MATCH('Track Data'!S1723,Acceleration!$K$4:$K$110,0)),'Track Data'!AG1723)),'Track Data'!U1723)</f>
        <v>3.9259213927261993</v>
      </c>
    </row>
    <row r="1724" spans="2:34" x14ac:dyDescent="0.25">
      <c r="B1724" s="16">
        <v>243.238</v>
      </c>
      <c r="C1724" s="16">
        <v>8994</v>
      </c>
      <c r="D1724" s="16">
        <v>1721</v>
      </c>
      <c r="E1724" s="113">
        <v>203</v>
      </c>
      <c r="F1724" s="113">
        <v>204.2</v>
      </c>
      <c r="G1724" s="113">
        <v>198.9</v>
      </c>
      <c r="H1724" s="113">
        <f t="shared" si="187"/>
        <v>55.25</v>
      </c>
      <c r="I1724" s="113">
        <v>6.2</v>
      </c>
      <c r="J1724" s="113">
        <v>31.2</v>
      </c>
      <c r="K1724" s="113">
        <v>-9.5</v>
      </c>
      <c r="L1724" s="185"/>
      <c r="M1724" s="16">
        <v>1721</v>
      </c>
      <c r="N1724" s="16">
        <f t="shared" si="189"/>
        <v>1.8471738660643701E-2</v>
      </c>
      <c r="O1724" s="16">
        <v>5</v>
      </c>
      <c r="P1724" s="16">
        <f t="shared" si="185"/>
        <v>8.1742160278745661</v>
      </c>
      <c r="Q1724" s="16">
        <f t="shared" si="190"/>
        <v>54.136755525381176</v>
      </c>
      <c r="R1724" s="113">
        <f t="shared" si="186"/>
        <v>319.54399999999998</v>
      </c>
      <c r="S1724" s="16">
        <f>IF(S1723=15800,15800,ROUND((((Q1724*60)/'Gearing Calculator'!$C$14)*'Track Data'!P1724),-2))</f>
        <v>13400</v>
      </c>
      <c r="T1724" s="16">
        <f t="shared" si="188"/>
        <v>3.9259213927261993</v>
      </c>
      <c r="U1724" s="16">
        <f>IF(AC1724=100,Braking!$AG$2354,IF(AC1724=50,Braking!$AG$1179,IF(AC1724=75,Braking!$AG$1767,0)))</f>
        <v>0</v>
      </c>
      <c r="V1724" s="16">
        <f>0.5*'Gearing Calculator'!$C$15*'Gearing Calculator'!$C$20*'Gearing Calculator'!$W$20*('Track Data'!Q1724^2)</f>
        <v>310.19463354656784</v>
      </c>
      <c r="W1724" s="16">
        <f>('Gearing Calculator'!$U$9*'Track Data'!T1724)+'Track Data'!V1724</f>
        <v>1355.2749082902819</v>
      </c>
      <c r="X1724" s="16">
        <f>('Gearing Calculator'!$U$9*9.81)*('Gearing Calculator'!$U$16/'Gearing Calculator'!$C$7)-(('Track Data'!W1724)*('Gearing Calculator'!$U$17/'Gearing Calculator'!$C$7))</f>
        <v>662.44491819887912</v>
      </c>
      <c r="Y1724" s="16">
        <f>('Gearing Calculator'!$U$9*9.81)*(('Gearing Calculator'!$C$7-'Gearing Calculator'!$U$16)/'Gearing Calculator'!$C$7)+(('Track Data'!W1724)*('Gearing Calculator'!$U$17/'Gearing Calculator'!$C$7))</f>
        <v>1948.9770818011209</v>
      </c>
      <c r="Z1724" s="16">
        <f>((X1724*COS('Gearing Calculator'!$C$21))/'Gearing Calculator'!$C$22)/2</f>
        <v>20.480701735935764</v>
      </c>
      <c r="AA1724" s="16">
        <f>Y1724/'Gearing Calculator'!$C$24</f>
        <v>27.214257021096866</v>
      </c>
      <c r="AB1724" s="16">
        <f t="shared" si="191"/>
        <v>329.82424051019882</v>
      </c>
      <c r="AC1724" s="16">
        <v>0</v>
      </c>
      <c r="AD1724" s="16">
        <v>0</v>
      </c>
      <c r="AE1724" s="16">
        <v>1721</v>
      </c>
      <c r="AF1724" s="16">
        <f>IF(AC1724=0,IF(O1724=6,INDEX(Acceleration!$V$4:$V$110,MATCH('Track Data'!S1724,Acceleration!$K$4:$K$110,0)),IF('Track Data'!O1724=5,INDEX(Acceleration!$U$4:$U$110,MATCH('Track Data'!S1724,Acceleration!$K$4:$K$110,0)),1)),U1724)</f>
        <v>3.9259213927261993</v>
      </c>
      <c r="AG1724" s="16">
        <f>IF(AC1724=0,IF(O1724=4,INDEX(Acceleration!$T$4:$T$110,MATCH('Track Data'!S1724,Acceleration!$K$4:$K$110,0)),IF('Track Data'!O1724=3,INDEX(Acceleration!$S$4:$S$110,MATCH('Track Data'!S1724,Acceleration!$K$4:$K$110,0)),'Track Data'!AF1724)),'Track Data'!U1724)</f>
        <v>3.9259213927261993</v>
      </c>
      <c r="AH1724" s="16">
        <f>IF(AC1724=0,IF(O1724=2,INDEX(Acceleration!$R$4:$R$110,MATCH('Track Data'!S1724,Acceleration!$K$4:$K$110,0)),IF('Track Data'!O1724=1,INDEX(Acceleration!$Q$4:$Q$110,MATCH('Track Data'!S1724,Acceleration!$K$4:$K$110,0)),'Track Data'!AG1724)),'Track Data'!U1724)</f>
        <v>3.9259213927261993</v>
      </c>
    </row>
    <row r="1725" spans="2:34" x14ac:dyDescent="0.25">
      <c r="B1725" s="16">
        <v>243.255</v>
      </c>
      <c r="C1725" s="16">
        <v>8995</v>
      </c>
      <c r="D1725" s="16">
        <v>1722</v>
      </c>
      <c r="E1725" s="113">
        <v>203</v>
      </c>
      <c r="F1725" s="113">
        <v>204.1</v>
      </c>
      <c r="G1725" s="113">
        <v>198.7</v>
      </c>
      <c r="H1725" s="113">
        <f t="shared" si="187"/>
        <v>55.194444444444443</v>
      </c>
      <c r="I1725" s="113">
        <v>7.1</v>
      </c>
      <c r="J1725" s="113">
        <v>27.93</v>
      </c>
      <c r="K1725" s="113">
        <v>-16.2</v>
      </c>
      <c r="L1725" s="185"/>
      <c r="M1725" s="16">
        <v>1722</v>
      </c>
      <c r="N1725" s="16">
        <f t="shared" si="189"/>
        <v>1.8447044551647637E-2</v>
      </c>
      <c r="O1725" s="16">
        <v>5</v>
      </c>
      <c r="P1725" s="16">
        <f t="shared" si="185"/>
        <v>8.1742160278745661</v>
      </c>
      <c r="Q1725" s="16">
        <f t="shared" si="190"/>
        <v>54.209225613361625</v>
      </c>
      <c r="R1725" s="113">
        <f t="shared" si="186"/>
        <v>319.54399999999998</v>
      </c>
      <c r="S1725" s="16">
        <f>IF(S1724=15800,15800,ROUND((((Q1725*60)/'Gearing Calculator'!$C$14)*'Track Data'!P1725),-2))</f>
        <v>13400</v>
      </c>
      <c r="T1725" s="16">
        <f t="shared" si="188"/>
        <v>3.9259213927261993</v>
      </c>
      <c r="U1725" s="16">
        <f>IF(AC1725=100,Braking!$AG$2354,IF(AC1725=50,Braking!$AG$1179,IF(AC1725=75,Braking!$AG$1767,0)))</f>
        <v>0</v>
      </c>
      <c r="V1725" s="16">
        <f>0.5*'Gearing Calculator'!$C$15*'Gearing Calculator'!$C$20*'Gearing Calculator'!$W$20*('Track Data'!Q1725^2)</f>
        <v>311.02567258698014</v>
      </c>
      <c r="W1725" s="16">
        <f>('Gearing Calculator'!$U$9*'Track Data'!T1725)+'Track Data'!V1725</f>
        <v>1356.1059473306943</v>
      </c>
      <c r="X1725" s="16">
        <f>('Gearing Calculator'!$U$9*9.81)*('Gearing Calculator'!$U$16/'Gearing Calculator'!$C$7)-(('Track Data'!W1725)*('Gearing Calculator'!$U$17/'Gearing Calculator'!$C$7))</f>
        <v>661.99194516709588</v>
      </c>
      <c r="Y1725" s="16">
        <f>('Gearing Calculator'!$U$9*9.81)*(('Gearing Calculator'!$C$7-'Gearing Calculator'!$U$16)/'Gearing Calculator'!$C$7)+(('Track Data'!W1725)*('Gearing Calculator'!$U$17/'Gearing Calculator'!$C$7))</f>
        <v>1949.4300548329043</v>
      </c>
      <c r="Z1725" s="16">
        <f>((X1725*COS('Gearing Calculator'!$C$21))/'Gearing Calculator'!$C$22)/2</f>
        <v>20.466697242424669</v>
      </c>
      <c r="AA1725" s="16">
        <f>Y1725/'Gearing Calculator'!$C$24</f>
        <v>27.220582043913033</v>
      </c>
      <c r="AB1725" s="16">
        <f t="shared" si="191"/>
        <v>330.65527955061111</v>
      </c>
      <c r="AC1725" s="16">
        <v>0</v>
      </c>
      <c r="AD1725" s="16">
        <v>0</v>
      </c>
      <c r="AE1725" s="16">
        <v>1722</v>
      </c>
      <c r="AF1725" s="16">
        <f>IF(AC1725=0,IF(O1725=6,INDEX(Acceleration!$V$4:$V$110,MATCH('Track Data'!S1725,Acceleration!$K$4:$K$110,0)),IF('Track Data'!O1725=5,INDEX(Acceleration!$U$4:$U$110,MATCH('Track Data'!S1725,Acceleration!$K$4:$K$110,0)),1)),U1725)</f>
        <v>3.9259213927261993</v>
      </c>
      <c r="AG1725" s="16">
        <f>IF(AC1725=0,IF(O1725=4,INDEX(Acceleration!$T$4:$T$110,MATCH('Track Data'!S1725,Acceleration!$K$4:$K$110,0)),IF('Track Data'!O1725=3,INDEX(Acceleration!$S$4:$S$110,MATCH('Track Data'!S1725,Acceleration!$K$4:$K$110,0)),'Track Data'!AF1725)),'Track Data'!U1725)</f>
        <v>3.9259213927261993</v>
      </c>
      <c r="AH1725" s="16">
        <f>IF(AC1725=0,IF(O1725=2,INDEX(Acceleration!$R$4:$R$110,MATCH('Track Data'!S1725,Acceleration!$K$4:$K$110,0)),IF('Track Data'!O1725=1,INDEX(Acceleration!$Q$4:$Q$110,MATCH('Track Data'!S1725,Acceleration!$K$4:$K$110,0)),'Track Data'!AG1725)),'Track Data'!U1725)</f>
        <v>3.9259213927261993</v>
      </c>
    </row>
    <row r="1726" spans="2:34" x14ac:dyDescent="0.25">
      <c r="B1726" s="16">
        <v>243.273</v>
      </c>
      <c r="C1726" s="16">
        <v>8996</v>
      </c>
      <c r="D1726" s="16">
        <v>1723</v>
      </c>
      <c r="E1726" s="113">
        <v>204</v>
      </c>
      <c r="F1726" s="113">
        <v>204.2</v>
      </c>
      <c r="G1726" s="113">
        <v>198.5</v>
      </c>
      <c r="H1726" s="113">
        <f t="shared" si="187"/>
        <v>55.138888888888886</v>
      </c>
      <c r="I1726" s="113">
        <v>5.6</v>
      </c>
      <c r="J1726" s="113">
        <v>25.75</v>
      </c>
      <c r="K1726" s="113">
        <v>-22.9</v>
      </c>
      <c r="L1726" s="185"/>
      <c r="M1726" s="16">
        <v>1723</v>
      </c>
      <c r="N1726" s="16">
        <f t="shared" si="189"/>
        <v>1.8422449216209537E-2</v>
      </c>
      <c r="O1726" s="16">
        <v>5</v>
      </c>
      <c r="P1726" s="16">
        <f t="shared" si="185"/>
        <v>8.1742160278745661</v>
      </c>
      <c r="Q1726" s="16">
        <f t="shared" si="190"/>
        <v>54.281598948315754</v>
      </c>
      <c r="R1726" s="113">
        <f t="shared" si="186"/>
        <v>319.54399999999998</v>
      </c>
      <c r="S1726" s="16">
        <f>IF(S1725=15800,15800,ROUND((((Q1726*60)/'Gearing Calculator'!$C$14)*'Track Data'!P1726),-2))</f>
        <v>13500</v>
      </c>
      <c r="T1726" s="16">
        <f t="shared" si="188"/>
        <v>3.879554995965909</v>
      </c>
      <c r="U1726" s="16">
        <f>IF(AC1726=100,Braking!$AG$2354,IF(AC1726=50,Braking!$AG$1179,IF(AC1726=75,Braking!$AG$1767,0)))</f>
        <v>0</v>
      </c>
      <c r="V1726" s="16">
        <f>0.5*'Gearing Calculator'!$C$15*'Gearing Calculator'!$C$20*'Gearing Calculator'!$W$20*('Track Data'!Q1726^2)</f>
        <v>311.85671162739237</v>
      </c>
      <c r="W1726" s="16">
        <f>('Gearing Calculator'!$U$9*'Track Data'!T1726)+'Track Data'!V1726</f>
        <v>1344.5942515535173</v>
      </c>
      <c r="X1726" s="16">
        <f>('Gearing Calculator'!$U$9*9.81)*('Gearing Calculator'!$U$16/'Gearing Calculator'!$C$7)-(('Track Data'!W1726)*('Gearing Calculator'!$U$17/'Gearing Calculator'!$C$7))</f>
        <v>668.26660554233683</v>
      </c>
      <c r="Y1726" s="16">
        <f>('Gearing Calculator'!$U$9*9.81)*(('Gearing Calculator'!$C$7-'Gearing Calculator'!$U$16)/'Gearing Calculator'!$C$7)+(('Track Data'!W1726)*('Gearing Calculator'!$U$17/'Gearing Calculator'!$C$7))</f>
        <v>1943.1553944576631</v>
      </c>
      <c r="Z1726" s="16">
        <f>((X1726*COS('Gearing Calculator'!$C$21))/'Gearing Calculator'!$C$22)/2</f>
        <v>20.660689896167124</v>
      </c>
      <c r="AA1726" s="16">
        <f>Y1726/'Gearing Calculator'!$C$24</f>
        <v>27.132966739573948</v>
      </c>
      <c r="AB1726" s="16">
        <f t="shared" si="191"/>
        <v>331.25448660722191</v>
      </c>
      <c r="AC1726" s="16">
        <v>0</v>
      </c>
      <c r="AD1726" s="16">
        <v>0</v>
      </c>
      <c r="AE1726" s="16">
        <v>1723</v>
      </c>
      <c r="AF1726" s="16">
        <f>IF(AC1726=0,IF(O1726=6,INDEX(Acceleration!$V$4:$V$110,MATCH('Track Data'!S1726,Acceleration!$K$4:$K$110,0)),IF('Track Data'!O1726=5,INDEX(Acceleration!$U$4:$U$110,MATCH('Track Data'!S1726,Acceleration!$K$4:$K$110,0)),1)),U1726)</f>
        <v>3.879554995965909</v>
      </c>
      <c r="AG1726" s="16">
        <f>IF(AC1726=0,IF(O1726=4,INDEX(Acceleration!$T$4:$T$110,MATCH('Track Data'!S1726,Acceleration!$K$4:$K$110,0)),IF('Track Data'!O1726=3,INDEX(Acceleration!$S$4:$S$110,MATCH('Track Data'!S1726,Acceleration!$K$4:$K$110,0)),'Track Data'!AF1726)),'Track Data'!U1726)</f>
        <v>3.879554995965909</v>
      </c>
      <c r="AH1726" s="16">
        <f>IF(AC1726=0,IF(O1726=2,INDEX(Acceleration!$R$4:$R$110,MATCH('Track Data'!S1726,Acceleration!$K$4:$K$110,0)),IF('Track Data'!O1726=1,INDEX(Acceleration!$Q$4:$Q$110,MATCH('Track Data'!S1726,Acceleration!$K$4:$K$110,0)),'Track Data'!AG1726)),'Track Data'!U1726)</f>
        <v>3.879554995965909</v>
      </c>
    </row>
    <row r="1727" spans="2:34" x14ac:dyDescent="0.25">
      <c r="B1727" s="16">
        <v>243.29</v>
      </c>
      <c r="C1727" s="16">
        <v>8997</v>
      </c>
      <c r="D1727" s="16">
        <v>1724</v>
      </c>
      <c r="E1727" s="113">
        <v>204</v>
      </c>
      <c r="F1727" s="113">
        <v>204.4</v>
      </c>
      <c r="G1727" s="113">
        <v>198.3</v>
      </c>
      <c r="H1727" s="113">
        <f t="shared" si="187"/>
        <v>55.083333333333336</v>
      </c>
      <c r="I1727" s="113">
        <v>2.8</v>
      </c>
      <c r="J1727" s="113">
        <v>26.55</v>
      </c>
      <c r="K1727" s="113">
        <v>-24.1</v>
      </c>
      <c r="L1727" s="185"/>
      <c r="M1727" s="16">
        <v>1724</v>
      </c>
      <c r="N1727" s="16">
        <f t="shared" si="189"/>
        <v>1.8398240747624209E-2</v>
      </c>
      <c r="O1727" s="16">
        <v>5</v>
      </c>
      <c r="P1727" s="16">
        <f t="shared" si="185"/>
        <v>8.1742160278745661</v>
      </c>
      <c r="Q1727" s="16">
        <f t="shared" si="190"/>
        <v>54.353022863293681</v>
      </c>
      <c r="R1727" s="113">
        <f t="shared" si="186"/>
        <v>319.54399999999998</v>
      </c>
      <c r="S1727" s="16">
        <f>IF(S1726=15800,15800,ROUND((((Q1727*60)/'Gearing Calculator'!$C$14)*'Track Data'!P1727),-2))</f>
        <v>13500</v>
      </c>
      <c r="T1727" s="16">
        <f t="shared" si="188"/>
        <v>3.879554995965909</v>
      </c>
      <c r="U1727" s="16">
        <f>IF(AC1727=100,Braking!$AG$2354,IF(AC1727=50,Braking!$AG$1179,IF(AC1727=75,Braking!$AG$1767,0)))</f>
        <v>0</v>
      </c>
      <c r="V1727" s="16">
        <f>0.5*'Gearing Calculator'!$C$15*'Gearing Calculator'!$C$20*'Gearing Calculator'!$W$20*('Track Data'!Q1727^2)</f>
        <v>312.67793582893847</v>
      </c>
      <c r="W1727" s="16">
        <f>('Gearing Calculator'!$U$9*'Track Data'!T1727)+'Track Data'!V1727</f>
        <v>1345.4154757550634</v>
      </c>
      <c r="X1727" s="16">
        <f>('Gearing Calculator'!$U$9*9.81)*('Gearing Calculator'!$U$16/'Gearing Calculator'!$C$7)-(('Track Data'!W1727)*('Gearing Calculator'!$U$17/'Gearing Calculator'!$C$7))</f>
        <v>667.81898226802764</v>
      </c>
      <c r="Y1727" s="16">
        <f>('Gearing Calculator'!$U$9*9.81)*(('Gearing Calculator'!$C$7-'Gearing Calculator'!$U$16)/'Gearing Calculator'!$C$7)+(('Track Data'!W1727)*('Gearing Calculator'!$U$17/'Gearing Calculator'!$C$7))</f>
        <v>1943.6030177319724</v>
      </c>
      <c r="Z1727" s="16">
        <f>((X1727*COS('Gearing Calculator'!$C$21))/'Gearing Calculator'!$C$22)/2</f>
        <v>20.646850800237285</v>
      </c>
      <c r="AA1727" s="16">
        <f>Y1727/'Gearing Calculator'!$C$24</f>
        <v>27.139217061832444</v>
      </c>
      <c r="AB1727" s="16">
        <f t="shared" si="191"/>
        <v>332.07571080876801</v>
      </c>
      <c r="AC1727" s="16">
        <v>0</v>
      </c>
      <c r="AD1727" s="16">
        <v>0</v>
      </c>
      <c r="AE1727" s="16">
        <v>1724</v>
      </c>
      <c r="AF1727" s="16">
        <f>IF(AC1727=0,IF(O1727=6,INDEX(Acceleration!$V$4:$V$110,MATCH('Track Data'!S1727,Acceleration!$K$4:$K$110,0)),IF('Track Data'!O1727=5,INDEX(Acceleration!$U$4:$U$110,MATCH('Track Data'!S1727,Acceleration!$K$4:$K$110,0)),1)),U1727)</f>
        <v>3.879554995965909</v>
      </c>
      <c r="AG1727" s="16">
        <f>IF(AC1727=0,IF(O1727=4,INDEX(Acceleration!$T$4:$T$110,MATCH('Track Data'!S1727,Acceleration!$K$4:$K$110,0)),IF('Track Data'!O1727=3,INDEX(Acceleration!$S$4:$S$110,MATCH('Track Data'!S1727,Acceleration!$K$4:$K$110,0)),'Track Data'!AF1727)),'Track Data'!U1727)</f>
        <v>3.879554995965909</v>
      </c>
      <c r="AH1727" s="16">
        <f>IF(AC1727=0,IF(O1727=2,INDEX(Acceleration!$R$4:$R$110,MATCH('Track Data'!S1727,Acceleration!$K$4:$K$110,0)),IF('Track Data'!O1727=1,INDEX(Acceleration!$Q$4:$Q$110,MATCH('Track Data'!S1727,Acceleration!$K$4:$K$110,0)),'Track Data'!AG1727)),'Track Data'!U1727)</f>
        <v>3.879554995965909</v>
      </c>
    </row>
    <row r="1728" spans="2:34" x14ac:dyDescent="0.25">
      <c r="B1728" s="16">
        <v>243.30799999999999</v>
      </c>
      <c r="C1728" s="16">
        <v>8998</v>
      </c>
      <c r="D1728" s="16">
        <v>1725</v>
      </c>
      <c r="E1728" s="113">
        <v>204</v>
      </c>
      <c r="F1728" s="113">
        <v>204.5</v>
      </c>
      <c r="G1728" s="113">
        <v>198.2</v>
      </c>
      <c r="H1728" s="113">
        <f t="shared" si="187"/>
        <v>55.05555555555555</v>
      </c>
      <c r="I1728" s="113">
        <v>1.6</v>
      </c>
      <c r="J1728" s="113">
        <v>26.07</v>
      </c>
      <c r="K1728" s="113">
        <v>-23.5</v>
      </c>
      <c r="L1728" s="185"/>
      <c r="M1728" s="16">
        <v>1725</v>
      </c>
      <c r="N1728" s="16">
        <f t="shared" si="189"/>
        <v>1.8374127464090974E-2</v>
      </c>
      <c r="O1728" s="16">
        <v>5</v>
      </c>
      <c r="P1728" s="16">
        <f t="shared" si="185"/>
        <v>8.1742160278745661</v>
      </c>
      <c r="Q1728" s="16">
        <f t="shared" si="190"/>
        <v>54.424353045026244</v>
      </c>
      <c r="R1728" s="113">
        <f t="shared" si="186"/>
        <v>319.54399999999998</v>
      </c>
      <c r="S1728" s="16">
        <f>IF(S1727=15800,15800,ROUND((((Q1728*60)/'Gearing Calculator'!$C$14)*'Track Data'!P1728),-2))</f>
        <v>13500</v>
      </c>
      <c r="T1728" s="16">
        <f t="shared" si="188"/>
        <v>3.879554995965909</v>
      </c>
      <c r="U1728" s="16">
        <f>IF(AC1728=100,Braking!$AG$2354,IF(AC1728=50,Braking!$AG$1179,IF(AC1728=75,Braking!$AG$1767,0)))</f>
        <v>0</v>
      </c>
      <c r="V1728" s="16">
        <f>0.5*'Gearing Calculator'!$C$15*'Gearing Calculator'!$C$20*'Gearing Calculator'!$W$20*('Track Data'!Q1728^2)</f>
        <v>313.49916003048452</v>
      </c>
      <c r="W1728" s="16">
        <f>('Gearing Calculator'!$U$9*'Track Data'!T1728)+'Track Data'!V1728</f>
        <v>1346.2366999566095</v>
      </c>
      <c r="X1728" s="16">
        <f>('Gearing Calculator'!$U$9*9.81)*('Gearing Calculator'!$U$16/'Gearing Calculator'!$C$7)-(('Track Data'!W1728)*('Gearing Calculator'!$U$17/'Gearing Calculator'!$C$7))</f>
        <v>667.37135899371856</v>
      </c>
      <c r="Y1728" s="16">
        <f>('Gearing Calculator'!$U$9*9.81)*(('Gearing Calculator'!$C$7-'Gearing Calculator'!$U$16)/'Gearing Calculator'!$C$7)+(('Track Data'!W1728)*('Gearing Calculator'!$U$17/'Gearing Calculator'!$C$7))</f>
        <v>1944.0506410062815</v>
      </c>
      <c r="Z1728" s="16">
        <f>((X1728*COS('Gearing Calculator'!$C$21))/'Gearing Calculator'!$C$22)/2</f>
        <v>20.633011704307449</v>
      </c>
      <c r="AA1728" s="16">
        <f>Y1728/'Gearing Calculator'!$C$24</f>
        <v>27.145467384090939</v>
      </c>
      <c r="AB1728" s="16">
        <f t="shared" si="191"/>
        <v>332.89693501031405</v>
      </c>
      <c r="AC1728" s="16">
        <v>0</v>
      </c>
      <c r="AD1728" s="16">
        <v>0</v>
      </c>
      <c r="AE1728" s="16">
        <v>1725</v>
      </c>
      <c r="AF1728" s="16">
        <f>IF(AC1728=0,IF(O1728=6,INDEX(Acceleration!$V$4:$V$110,MATCH('Track Data'!S1728,Acceleration!$K$4:$K$110,0)),IF('Track Data'!O1728=5,INDEX(Acceleration!$U$4:$U$110,MATCH('Track Data'!S1728,Acceleration!$K$4:$K$110,0)),1)),U1728)</f>
        <v>3.879554995965909</v>
      </c>
      <c r="AG1728" s="16">
        <f>IF(AC1728=0,IF(O1728=4,INDEX(Acceleration!$T$4:$T$110,MATCH('Track Data'!S1728,Acceleration!$K$4:$K$110,0)),IF('Track Data'!O1728=3,INDEX(Acceleration!$S$4:$S$110,MATCH('Track Data'!S1728,Acceleration!$K$4:$K$110,0)),'Track Data'!AF1728)),'Track Data'!U1728)</f>
        <v>3.879554995965909</v>
      </c>
      <c r="AH1728" s="16">
        <f>IF(AC1728=0,IF(O1728=2,INDEX(Acceleration!$R$4:$R$110,MATCH('Track Data'!S1728,Acceleration!$K$4:$K$110,0)),IF('Track Data'!O1728=1,INDEX(Acceleration!$Q$4:$Q$110,MATCH('Track Data'!S1728,Acceleration!$K$4:$K$110,0)),'Track Data'!AG1728)),'Track Data'!U1728)</f>
        <v>3.879554995965909</v>
      </c>
    </row>
    <row r="1729" spans="2:34" x14ac:dyDescent="0.25">
      <c r="B1729" s="16">
        <v>243.32599999999999</v>
      </c>
      <c r="C1729" s="16">
        <v>8999</v>
      </c>
      <c r="D1729" s="16">
        <v>1726</v>
      </c>
      <c r="E1729" s="113">
        <v>204</v>
      </c>
      <c r="F1729" s="113">
        <v>204.7</v>
      </c>
      <c r="G1729" s="113">
        <v>198</v>
      </c>
      <c r="H1729" s="113">
        <f t="shared" si="187"/>
        <v>55</v>
      </c>
      <c r="I1729" s="113">
        <v>1.3</v>
      </c>
      <c r="J1729" s="113">
        <v>21.57</v>
      </c>
      <c r="K1729" s="113">
        <v>-22.3</v>
      </c>
      <c r="L1729" s="185"/>
      <c r="M1729" s="16">
        <v>1726</v>
      </c>
      <c r="N1729" s="16">
        <f t="shared" si="189"/>
        <v>1.8350108743478397E-2</v>
      </c>
      <c r="O1729" s="16">
        <v>5</v>
      </c>
      <c r="P1729" s="16">
        <f t="shared" si="185"/>
        <v>8.1742160278745661</v>
      </c>
      <c r="Q1729" s="16">
        <f t="shared" si="190"/>
        <v>54.495589861580441</v>
      </c>
      <c r="R1729" s="113">
        <f t="shared" si="186"/>
        <v>319.54399999999998</v>
      </c>
      <c r="S1729" s="16">
        <f>IF(S1728=15800,15800,ROUND((((Q1729*60)/'Gearing Calculator'!$C$14)*'Track Data'!P1729),-2))</f>
        <v>13500</v>
      </c>
      <c r="T1729" s="16">
        <f t="shared" si="188"/>
        <v>3.879554995965909</v>
      </c>
      <c r="U1729" s="16">
        <f>IF(AC1729=100,Braking!$AG$2354,IF(AC1729=50,Braking!$AG$1179,IF(AC1729=75,Braking!$AG$1767,0)))</f>
        <v>0</v>
      </c>
      <c r="V1729" s="16">
        <f>0.5*'Gearing Calculator'!$C$15*'Gearing Calculator'!$C$20*'Gearing Calculator'!$W$20*('Track Data'!Q1729^2)</f>
        <v>314.32038423203051</v>
      </c>
      <c r="W1729" s="16">
        <f>('Gearing Calculator'!$U$9*'Track Data'!T1729)+'Track Data'!V1729</f>
        <v>1347.0579241581554</v>
      </c>
      <c r="X1729" s="16">
        <f>('Gearing Calculator'!$U$9*9.81)*('Gearing Calculator'!$U$16/'Gearing Calculator'!$C$7)-(('Track Data'!W1729)*('Gearing Calculator'!$U$17/'Gearing Calculator'!$C$7))</f>
        <v>666.92373571940959</v>
      </c>
      <c r="Y1729" s="16">
        <f>('Gearing Calculator'!$U$9*9.81)*(('Gearing Calculator'!$C$7-'Gearing Calculator'!$U$16)/'Gearing Calculator'!$C$7)+(('Track Data'!W1729)*('Gearing Calculator'!$U$17/'Gearing Calculator'!$C$7))</f>
        <v>1944.4982642805903</v>
      </c>
      <c r="Z1729" s="16">
        <f>((X1729*COS('Gearing Calculator'!$C$21))/'Gearing Calculator'!$C$22)/2</f>
        <v>20.619172608377614</v>
      </c>
      <c r="AA1729" s="16">
        <f>Y1729/'Gearing Calculator'!$C$24</f>
        <v>27.151717706349427</v>
      </c>
      <c r="AB1729" s="16">
        <f t="shared" si="191"/>
        <v>333.71815921186004</v>
      </c>
      <c r="AC1729" s="16">
        <v>0</v>
      </c>
      <c r="AD1729" s="16">
        <v>0</v>
      </c>
      <c r="AE1729" s="16">
        <v>1726</v>
      </c>
      <c r="AF1729" s="16">
        <f>IF(AC1729=0,IF(O1729=6,INDEX(Acceleration!$V$4:$V$110,MATCH('Track Data'!S1729,Acceleration!$K$4:$K$110,0)),IF('Track Data'!O1729=5,INDEX(Acceleration!$U$4:$U$110,MATCH('Track Data'!S1729,Acceleration!$K$4:$K$110,0)),1)),U1729)</f>
        <v>3.879554995965909</v>
      </c>
      <c r="AG1729" s="16">
        <f>IF(AC1729=0,IF(O1729=4,INDEX(Acceleration!$T$4:$T$110,MATCH('Track Data'!S1729,Acceleration!$K$4:$K$110,0)),IF('Track Data'!O1729=3,INDEX(Acceleration!$S$4:$S$110,MATCH('Track Data'!S1729,Acceleration!$K$4:$K$110,0)),'Track Data'!AF1729)),'Track Data'!U1729)</f>
        <v>3.879554995965909</v>
      </c>
      <c r="AH1729" s="16">
        <f>IF(AC1729=0,IF(O1729=2,INDEX(Acceleration!$R$4:$R$110,MATCH('Track Data'!S1729,Acceleration!$K$4:$K$110,0)),IF('Track Data'!O1729=1,INDEX(Acceleration!$Q$4:$Q$110,MATCH('Track Data'!S1729,Acceleration!$K$4:$K$110,0)),'Track Data'!AG1729)),'Track Data'!U1729)</f>
        <v>3.879554995965909</v>
      </c>
    </row>
    <row r="1730" spans="2:34" x14ac:dyDescent="0.25">
      <c r="B1730" s="16">
        <v>243.34299999999999</v>
      </c>
      <c r="C1730" s="16">
        <v>9000</v>
      </c>
      <c r="D1730" s="16">
        <v>1727</v>
      </c>
      <c r="E1730" s="113">
        <v>204</v>
      </c>
      <c r="F1730" s="113">
        <v>204.7</v>
      </c>
      <c r="G1730" s="113">
        <v>197.7</v>
      </c>
      <c r="H1730" s="113">
        <f t="shared" si="187"/>
        <v>54.916666666666664</v>
      </c>
      <c r="I1730" s="113">
        <v>1.1000000000000001</v>
      </c>
      <c r="J1730" s="113">
        <v>22.69</v>
      </c>
      <c r="K1730" s="113">
        <v>-21.1</v>
      </c>
      <c r="L1730" s="185"/>
      <c r="M1730" s="16">
        <v>1727</v>
      </c>
      <c r="N1730" s="16">
        <f t="shared" si="189"/>
        <v>1.832618396933296E-2</v>
      </c>
      <c r="O1730" s="16">
        <v>5</v>
      </c>
      <c r="P1730" s="16">
        <f t="shared" si="185"/>
        <v>8.1742160278745661</v>
      </c>
      <c r="Q1730" s="16">
        <f t="shared" si="190"/>
        <v>54.566733678620722</v>
      </c>
      <c r="R1730" s="113">
        <f t="shared" si="186"/>
        <v>319.54399999999998</v>
      </c>
      <c r="S1730" s="16">
        <f>IF(S1729=15800,15800,ROUND((((Q1730*60)/'Gearing Calculator'!$C$14)*'Track Data'!P1730),-2))</f>
        <v>13500</v>
      </c>
      <c r="T1730" s="16">
        <f t="shared" si="188"/>
        <v>3.879554995965909</v>
      </c>
      <c r="U1730" s="16">
        <f>IF(AC1730=100,Braking!$AG$2354,IF(AC1730=50,Braking!$AG$1179,IF(AC1730=75,Braking!$AG$1767,0)))</f>
        <v>0</v>
      </c>
      <c r="V1730" s="16">
        <f>0.5*'Gearing Calculator'!$C$15*'Gearing Calculator'!$C$20*'Gearing Calculator'!$W$20*('Track Data'!Q1730^2)</f>
        <v>315.14160843357661</v>
      </c>
      <c r="W1730" s="16">
        <f>('Gearing Calculator'!$U$9*'Track Data'!T1730)+'Track Data'!V1730</f>
        <v>1347.8791483597015</v>
      </c>
      <c r="X1730" s="16">
        <f>('Gearing Calculator'!$U$9*9.81)*('Gearing Calculator'!$U$16/'Gearing Calculator'!$C$7)-(('Track Data'!W1730)*('Gearing Calculator'!$U$17/'Gearing Calculator'!$C$7))</f>
        <v>666.47611244510051</v>
      </c>
      <c r="Y1730" s="16">
        <f>('Gearing Calculator'!$U$9*9.81)*(('Gearing Calculator'!$C$7-'Gearing Calculator'!$U$16)/'Gearing Calculator'!$C$7)+(('Track Data'!W1730)*('Gearing Calculator'!$U$17/'Gearing Calculator'!$C$7))</f>
        <v>1944.9458875548994</v>
      </c>
      <c r="Z1730" s="16">
        <f>((X1730*COS('Gearing Calculator'!$C$21))/'Gearing Calculator'!$C$22)/2</f>
        <v>20.605333512447778</v>
      </c>
      <c r="AA1730" s="16">
        <f>Y1730/'Gearing Calculator'!$C$24</f>
        <v>27.157968028607918</v>
      </c>
      <c r="AB1730" s="16">
        <f t="shared" si="191"/>
        <v>334.53938341340614</v>
      </c>
      <c r="AC1730" s="16">
        <v>0</v>
      </c>
      <c r="AD1730" s="16">
        <v>0</v>
      </c>
      <c r="AE1730" s="16">
        <v>1727</v>
      </c>
      <c r="AF1730" s="16">
        <f>IF(AC1730=0,IF(O1730=6,INDEX(Acceleration!$V$4:$V$110,MATCH('Track Data'!S1730,Acceleration!$K$4:$K$110,0)),IF('Track Data'!O1730=5,INDEX(Acceleration!$U$4:$U$110,MATCH('Track Data'!S1730,Acceleration!$K$4:$K$110,0)),1)),U1730)</f>
        <v>3.879554995965909</v>
      </c>
      <c r="AG1730" s="16">
        <f>IF(AC1730=0,IF(O1730=4,INDEX(Acceleration!$T$4:$T$110,MATCH('Track Data'!S1730,Acceleration!$K$4:$K$110,0)),IF('Track Data'!O1730=3,INDEX(Acceleration!$S$4:$S$110,MATCH('Track Data'!S1730,Acceleration!$K$4:$K$110,0)),'Track Data'!AF1730)),'Track Data'!U1730)</f>
        <v>3.879554995965909</v>
      </c>
      <c r="AH1730" s="16">
        <f>IF(AC1730=0,IF(O1730=2,INDEX(Acceleration!$R$4:$R$110,MATCH('Track Data'!S1730,Acceleration!$K$4:$K$110,0)),IF('Track Data'!O1730=1,INDEX(Acceleration!$Q$4:$Q$110,MATCH('Track Data'!S1730,Acceleration!$K$4:$K$110,0)),'Track Data'!AG1730)),'Track Data'!U1730)</f>
        <v>3.879554995965909</v>
      </c>
    </row>
    <row r="1731" spans="2:34" x14ac:dyDescent="0.25">
      <c r="B1731" s="16">
        <v>243.36099999999999</v>
      </c>
      <c r="C1731" s="16">
        <v>9002</v>
      </c>
      <c r="D1731" s="16">
        <v>1728</v>
      </c>
      <c r="E1731" s="113">
        <v>204</v>
      </c>
      <c r="F1731" s="113">
        <v>204.7</v>
      </c>
      <c r="G1731" s="113">
        <v>197.4</v>
      </c>
      <c r="H1731" s="113">
        <f t="shared" si="187"/>
        <v>54.833333333333336</v>
      </c>
      <c r="I1731" s="113">
        <v>2.1</v>
      </c>
      <c r="J1731" s="113">
        <v>23.03</v>
      </c>
      <c r="K1731" s="113">
        <v>-20.100000000000001</v>
      </c>
      <c r="L1731" s="185"/>
      <c r="M1731" s="16">
        <v>1728</v>
      </c>
      <c r="N1731" s="16">
        <f t="shared" si="189"/>
        <v>1.830235253081262E-2</v>
      </c>
      <c r="O1731" s="16">
        <v>5</v>
      </c>
      <c r="P1731" s="16">
        <f t="shared" si="185"/>
        <v>8.1742160278745661</v>
      </c>
      <c r="Q1731" s="16">
        <f t="shared" si="190"/>
        <v>54.637784859430866</v>
      </c>
      <c r="R1731" s="113">
        <f t="shared" si="186"/>
        <v>319.54399999999998</v>
      </c>
      <c r="S1731" s="16">
        <f>IF(S1730=15800,15800,ROUND((((Q1731*60)/'Gearing Calculator'!$C$14)*'Track Data'!P1731),-2))</f>
        <v>13500</v>
      </c>
      <c r="T1731" s="16">
        <f t="shared" si="188"/>
        <v>3.879554995965909</v>
      </c>
      <c r="U1731" s="16">
        <f>IF(AC1731=100,Braking!$AG$2354,IF(AC1731=50,Braking!$AG$1179,IF(AC1731=75,Braking!$AG$1767,0)))</f>
        <v>0</v>
      </c>
      <c r="V1731" s="16">
        <f>0.5*'Gearing Calculator'!$C$15*'Gearing Calculator'!$C$20*'Gearing Calculator'!$W$20*('Track Data'!Q1731^2)</f>
        <v>315.96283263512271</v>
      </c>
      <c r="W1731" s="16">
        <f>('Gearing Calculator'!$U$9*'Track Data'!T1731)+'Track Data'!V1731</f>
        <v>1348.7003725612476</v>
      </c>
      <c r="X1731" s="16">
        <f>('Gearing Calculator'!$U$9*9.81)*('Gearing Calculator'!$U$16/'Gearing Calculator'!$C$7)-(('Track Data'!W1731)*('Gearing Calculator'!$U$17/'Gearing Calculator'!$C$7))</f>
        <v>666.02848917079143</v>
      </c>
      <c r="Y1731" s="16">
        <f>('Gearing Calculator'!$U$9*9.81)*(('Gearing Calculator'!$C$7-'Gearing Calculator'!$U$16)/'Gearing Calculator'!$C$7)+(('Track Data'!W1731)*('Gearing Calculator'!$U$17/'Gearing Calculator'!$C$7))</f>
        <v>1945.3935108292085</v>
      </c>
      <c r="Z1731" s="16">
        <f>((X1731*COS('Gearing Calculator'!$C$21))/'Gearing Calculator'!$C$22)/2</f>
        <v>20.591494416517939</v>
      </c>
      <c r="AA1731" s="16">
        <f>Y1731/'Gearing Calculator'!$C$24</f>
        <v>27.16421835086641</v>
      </c>
      <c r="AB1731" s="16">
        <f t="shared" si="191"/>
        <v>335.36060761495224</v>
      </c>
      <c r="AC1731" s="16">
        <v>0</v>
      </c>
      <c r="AD1731" s="16">
        <v>0</v>
      </c>
      <c r="AE1731" s="16">
        <v>1728</v>
      </c>
      <c r="AF1731" s="16">
        <f>IF(AC1731=0,IF(O1731=6,INDEX(Acceleration!$V$4:$V$110,MATCH('Track Data'!S1731,Acceleration!$K$4:$K$110,0)),IF('Track Data'!O1731=5,INDEX(Acceleration!$U$4:$U$110,MATCH('Track Data'!S1731,Acceleration!$K$4:$K$110,0)),1)),U1731)</f>
        <v>3.879554995965909</v>
      </c>
      <c r="AG1731" s="16">
        <f>IF(AC1731=0,IF(O1731=4,INDEX(Acceleration!$T$4:$T$110,MATCH('Track Data'!S1731,Acceleration!$K$4:$K$110,0)),IF('Track Data'!O1731=3,INDEX(Acceleration!$S$4:$S$110,MATCH('Track Data'!S1731,Acceleration!$K$4:$K$110,0)),'Track Data'!AF1731)),'Track Data'!U1731)</f>
        <v>3.879554995965909</v>
      </c>
      <c r="AH1731" s="16">
        <f>IF(AC1731=0,IF(O1731=2,INDEX(Acceleration!$R$4:$R$110,MATCH('Track Data'!S1731,Acceleration!$K$4:$K$110,0)),IF('Track Data'!O1731=1,INDEX(Acceleration!$Q$4:$Q$110,MATCH('Track Data'!S1731,Acceleration!$K$4:$K$110,0)),'Track Data'!AG1731)),'Track Data'!U1731)</f>
        <v>3.879554995965909</v>
      </c>
    </row>
    <row r="1732" spans="2:34" x14ac:dyDescent="0.25">
      <c r="B1732" s="16">
        <v>243.37799999999999</v>
      </c>
      <c r="C1732" s="16">
        <v>9002</v>
      </c>
      <c r="D1732" s="16">
        <v>1729</v>
      </c>
      <c r="E1732" s="113">
        <v>202</v>
      </c>
      <c r="F1732" s="113">
        <v>204.8</v>
      </c>
      <c r="G1732" s="113">
        <v>197.3</v>
      </c>
      <c r="H1732" s="113">
        <f t="shared" si="187"/>
        <v>54.805555555555557</v>
      </c>
      <c r="I1732" s="113">
        <v>2.7</v>
      </c>
      <c r="J1732" s="113">
        <v>22.97</v>
      </c>
      <c r="K1732" s="113">
        <v>-20.100000000000001</v>
      </c>
      <c r="L1732" s="185"/>
      <c r="M1732" s="16">
        <v>1729</v>
      </c>
      <c r="N1732" s="16">
        <f t="shared" si="189"/>
        <v>1.8278613822621307E-2</v>
      </c>
      <c r="O1732" s="16">
        <v>5</v>
      </c>
      <c r="P1732" s="16">
        <f t="shared" ref="P1732:P1795" si="192">VLOOKUP(O1732,$AJ$5:$AK$10,2,FALSE)</f>
        <v>8.1742160278745661</v>
      </c>
      <c r="Q1732" s="16">
        <f t="shared" si="190"/>
        <v>54.708743764935647</v>
      </c>
      <c r="R1732" s="113">
        <f t="shared" ref="R1732:R1795" si="193">VLOOKUP(O1732,$AJ$5:$AL$10,3,FALSE)</f>
        <v>319.54399999999998</v>
      </c>
      <c r="S1732" s="16">
        <f>IF(S1731=15800,15800,ROUND((((Q1732*60)/'Gearing Calculator'!$C$14)*'Track Data'!P1732),-2))</f>
        <v>13600</v>
      </c>
      <c r="T1732" s="16">
        <f t="shared" si="188"/>
        <v>3.8336143672031953</v>
      </c>
      <c r="U1732" s="16">
        <f>IF(AC1732=100,Braking!$AG$2354,IF(AC1732=50,Braking!$AG$1179,IF(AC1732=75,Braking!$AG$1767,0)))</f>
        <v>0</v>
      </c>
      <c r="V1732" s="16">
        <f>0.5*'Gearing Calculator'!$C$15*'Gearing Calculator'!$C$20*'Gearing Calculator'!$W$20*('Track Data'!Q1732^2)</f>
        <v>316.78405683666881</v>
      </c>
      <c r="W1732" s="16">
        <f>('Gearing Calculator'!$U$9*'Track Data'!T1732)+'Track Data'!V1732</f>
        <v>1337.2922013861594</v>
      </c>
      <c r="X1732" s="16">
        <f>('Gearing Calculator'!$U$9*9.81)*('Gearing Calculator'!$U$16/'Gearing Calculator'!$C$7)-(('Track Data'!W1732)*('Gearing Calculator'!$U$17/'Gearing Calculator'!$C$7))</f>
        <v>672.24672156781241</v>
      </c>
      <c r="Y1732" s="16">
        <f>('Gearing Calculator'!$U$9*9.81)*(('Gearing Calculator'!$C$7-'Gearing Calculator'!$U$16)/'Gearing Calculator'!$C$7)+(('Track Data'!W1732)*('Gearing Calculator'!$U$17/'Gearing Calculator'!$C$7))</f>
        <v>1939.1752784321875</v>
      </c>
      <c r="Z1732" s="16">
        <f>((X1732*COS('Gearing Calculator'!$C$21))/'Gearing Calculator'!$C$22)/2</f>
        <v>20.783742495640325</v>
      </c>
      <c r="AA1732" s="16">
        <f>Y1732/'Gearing Calculator'!$C$24</f>
        <v>27.077390970365325</v>
      </c>
      <c r="AB1732" s="16">
        <f t="shared" si="191"/>
        <v>335.95212867268481</v>
      </c>
      <c r="AC1732" s="16">
        <v>0</v>
      </c>
      <c r="AD1732" s="16">
        <v>0</v>
      </c>
      <c r="AE1732" s="16">
        <v>1729</v>
      </c>
      <c r="AF1732" s="16">
        <f>IF(AC1732=0,IF(O1732=6,INDEX(Acceleration!$V$4:$V$110,MATCH('Track Data'!S1732,Acceleration!$K$4:$K$110,0)),IF('Track Data'!O1732=5,INDEX(Acceleration!$U$4:$U$110,MATCH('Track Data'!S1732,Acceleration!$K$4:$K$110,0)),1)),U1732)</f>
        <v>3.8336143672031953</v>
      </c>
      <c r="AG1732" s="16">
        <f>IF(AC1732=0,IF(O1732=4,INDEX(Acceleration!$T$4:$T$110,MATCH('Track Data'!S1732,Acceleration!$K$4:$K$110,0)),IF('Track Data'!O1732=3,INDEX(Acceleration!$S$4:$S$110,MATCH('Track Data'!S1732,Acceleration!$K$4:$K$110,0)),'Track Data'!AF1732)),'Track Data'!U1732)</f>
        <v>3.8336143672031953</v>
      </c>
      <c r="AH1732" s="16">
        <f>IF(AC1732=0,IF(O1732=2,INDEX(Acceleration!$R$4:$R$110,MATCH('Track Data'!S1732,Acceleration!$K$4:$K$110,0)),IF('Track Data'!O1732=1,INDEX(Acceleration!$Q$4:$Q$110,MATCH('Track Data'!S1732,Acceleration!$K$4:$K$110,0)),'Track Data'!AG1732)),'Track Data'!U1732)</f>
        <v>3.8336143672031953</v>
      </c>
    </row>
    <row r="1733" spans="2:34" x14ac:dyDescent="0.25">
      <c r="B1733" s="16">
        <v>243.39599999999999</v>
      </c>
      <c r="C1733" s="16">
        <v>9003</v>
      </c>
      <c r="D1733" s="16">
        <v>1730</v>
      </c>
      <c r="E1733" s="113">
        <v>200</v>
      </c>
      <c r="F1733" s="113">
        <v>204.8</v>
      </c>
      <c r="G1733" s="113">
        <v>196.9</v>
      </c>
      <c r="H1733" s="113">
        <f t="shared" ref="H1733:H1796" si="194">G1733/3.6</f>
        <v>54.694444444444443</v>
      </c>
      <c r="I1733" s="113">
        <v>3.5</v>
      </c>
      <c r="J1733" s="113">
        <v>24.66</v>
      </c>
      <c r="K1733" s="113">
        <v>-20.100000000000001</v>
      </c>
      <c r="L1733" s="185"/>
      <c r="M1733" s="16">
        <v>1730</v>
      </c>
      <c r="N1733" s="16">
        <f t="shared" si="189"/>
        <v>1.8255246724524565E-2</v>
      </c>
      <c r="O1733" s="16">
        <v>5</v>
      </c>
      <c r="P1733" s="16">
        <f t="shared" si="192"/>
        <v>8.1742160278745661</v>
      </c>
      <c r="Q1733" s="16">
        <f t="shared" si="190"/>
        <v>54.77877210262924</v>
      </c>
      <c r="R1733" s="113">
        <f t="shared" si="193"/>
        <v>319.54399999999998</v>
      </c>
      <c r="S1733" s="16">
        <f>IF(S1732=15800,15800,ROUND((((Q1733*60)/'Gearing Calculator'!$C$14)*'Track Data'!P1733),-2))</f>
        <v>13600</v>
      </c>
      <c r="T1733" s="16">
        <f t="shared" ref="T1733:T1796" si="195">AH1733</f>
        <v>3.8336143672031953</v>
      </c>
      <c r="U1733" s="16">
        <f>IF(AC1733=100,Braking!$AG$2354,IF(AC1733=50,Braking!$AG$1179,IF(AC1733=75,Braking!$AG$1767,0)))</f>
        <v>0</v>
      </c>
      <c r="V1733" s="16">
        <f>0.5*'Gearing Calculator'!$C$15*'Gearing Calculator'!$C$20*'Gearing Calculator'!$W$20*('Track Data'!Q1733^2)</f>
        <v>317.59555632591838</v>
      </c>
      <c r="W1733" s="16">
        <f>('Gearing Calculator'!$U$9*'Track Data'!T1733)+'Track Data'!V1733</f>
        <v>1338.103700875409</v>
      </c>
      <c r="X1733" s="16">
        <f>('Gearing Calculator'!$U$9*9.81)*('Gearing Calculator'!$U$16/'Gearing Calculator'!$C$7)-(('Track Data'!W1733)*('Gearing Calculator'!$U$17/'Gearing Calculator'!$C$7))</f>
        <v>671.80439892584172</v>
      </c>
      <c r="Y1733" s="16">
        <f>('Gearing Calculator'!$U$9*9.81)*(('Gearing Calculator'!$C$7-'Gearing Calculator'!$U$16)/'Gearing Calculator'!$C$7)+(('Track Data'!W1733)*('Gearing Calculator'!$U$17/'Gearing Calculator'!$C$7))</f>
        <v>1939.6176010741583</v>
      </c>
      <c r="Z1733" s="16">
        <f>((X1733*COS('Gearing Calculator'!$C$21))/'Gearing Calculator'!$C$22)/2</f>
        <v>20.770067278497919</v>
      </c>
      <c r="AA1733" s="16">
        <f>Y1733/'Gearing Calculator'!$C$24</f>
        <v>27.08356727801781</v>
      </c>
      <c r="AB1733" s="16">
        <f t="shared" si="191"/>
        <v>336.76362816193438</v>
      </c>
      <c r="AC1733" s="16">
        <v>0</v>
      </c>
      <c r="AD1733" s="16">
        <v>0</v>
      </c>
      <c r="AE1733" s="16">
        <v>1730</v>
      </c>
      <c r="AF1733" s="16">
        <f>IF(AC1733=0,IF(O1733=6,INDEX(Acceleration!$V$4:$V$110,MATCH('Track Data'!S1733,Acceleration!$K$4:$K$110,0)),IF('Track Data'!O1733=5,INDEX(Acceleration!$U$4:$U$110,MATCH('Track Data'!S1733,Acceleration!$K$4:$K$110,0)),1)),U1733)</f>
        <v>3.8336143672031953</v>
      </c>
      <c r="AG1733" s="16">
        <f>IF(AC1733=0,IF(O1733=4,INDEX(Acceleration!$T$4:$T$110,MATCH('Track Data'!S1733,Acceleration!$K$4:$K$110,0)),IF('Track Data'!O1733=3,INDEX(Acceleration!$S$4:$S$110,MATCH('Track Data'!S1733,Acceleration!$K$4:$K$110,0)),'Track Data'!AF1733)),'Track Data'!U1733)</f>
        <v>3.8336143672031953</v>
      </c>
      <c r="AH1733" s="16">
        <f>IF(AC1733=0,IF(O1733=2,INDEX(Acceleration!$R$4:$R$110,MATCH('Track Data'!S1733,Acceleration!$K$4:$K$110,0)),IF('Track Data'!O1733=1,INDEX(Acceleration!$Q$4:$Q$110,MATCH('Track Data'!S1733,Acceleration!$K$4:$K$110,0)),'Track Data'!AG1733)),'Track Data'!U1733)</f>
        <v>3.8336143672031953</v>
      </c>
    </row>
    <row r="1734" spans="2:34" x14ac:dyDescent="0.25">
      <c r="B1734" s="16">
        <v>243.41300000000001</v>
      </c>
      <c r="C1734" s="16">
        <v>9004</v>
      </c>
      <c r="D1734" s="16">
        <v>1731</v>
      </c>
      <c r="E1734" s="113">
        <v>199</v>
      </c>
      <c r="F1734" s="113">
        <v>204.6</v>
      </c>
      <c r="G1734" s="113">
        <v>196.6</v>
      </c>
      <c r="H1734" s="113">
        <f t="shared" si="194"/>
        <v>54.611111111111107</v>
      </c>
      <c r="I1734" s="113">
        <v>3.4</v>
      </c>
      <c r="J1734" s="113">
        <v>37.08</v>
      </c>
      <c r="K1734" s="113">
        <v>-20.100000000000001</v>
      </c>
      <c r="L1734" s="185"/>
      <c r="M1734" s="16">
        <v>1731</v>
      </c>
      <c r="N1734" s="16">
        <f t="shared" ref="N1734:N1797" si="196">1/Q1734</f>
        <v>1.8231969014321715E-2</v>
      </c>
      <c r="O1734" s="16">
        <v>5</v>
      </c>
      <c r="P1734" s="16">
        <f t="shared" si="192"/>
        <v>8.1742160278745661</v>
      </c>
      <c r="Q1734" s="16">
        <f t="shared" ref="Q1734:Q1797" si="197">IF(AD1733=0,SQRT(Q1733^2+(2*T1733)),Q1733)</f>
        <v>54.848711031401621</v>
      </c>
      <c r="R1734" s="113">
        <f t="shared" si="193"/>
        <v>319.54399999999998</v>
      </c>
      <c r="S1734" s="16">
        <f>IF(S1733=15800,15800,ROUND((((Q1734*60)/'Gearing Calculator'!$C$14)*'Track Data'!P1734),-2))</f>
        <v>13600</v>
      </c>
      <c r="T1734" s="16">
        <f t="shared" si="195"/>
        <v>3.8336143672031953</v>
      </c>
      <c r="U1734" s="16">
        <f>IF(AC1734=100,Braking!$AG$2354,IF(AC1734=50,Braking!$AG$1179,IF(AC1734=75,Braking!$AG$1767,0)))</f>
        <v>0</v>
      </c>
      <c r="V1734" s="16">
        <f>0.5*'Gearing Calculator'!$C$15*'Gearing Calculator'!$C$20*'Gearing Calculator'!$W$20*('Track Data'!Q1734^2)</f>
        <v>318.40705581516795</v>
      </c>
      <c r="W1734" s="16">
        <f>('Gearing Calculator'!$U$9*'Track Data'!T1734)+'Track Data'!V1734</f>
        <v>1338.9152003646586</v>
      </c>
      <c r="X1734" s="16">
        <f>('Gearing Calculator'!$U$9*9.81)*('Gearing Calculator'!$U$16/'Gearing Calculator'!$C$7)-(('Track Data'!W1734)*('Gearing Calculator'!$U$17/'Gearing Calculator'!$C$7))</f>
        <v>671.36207628387115</v>
      </c>
      <c r="Y1734" s="16">
        <f>('Gearing Calculator'!$U$9*9.81)*(('Gearing Calculator'!$C$7-'Gearing Calculator'!$U$16)/'Gearing Calculator'!$C$7)+(('Track Data'!W1734)*('Gearing Calculator'!$U$17/'Gearing Calculator'!$C$7))</f>
        <v>1940.0599237161289</v>
      </c>
      <c r="Z1734" s="16">
        <f>((X1734*COS('Gearing Calculator'!$C$21))/'Gearing Calculator'!$C$22)/2</f>
        <v>20.75639206135552</v>
      </c>
      <c r="AA1734" s="16">
        <f>Y1734/'Gearing Calculator'!$C$24</f>
        <v>27.089743585670291</v>
      </c>
      <c r="AB1734" s="16">
        <f t="shared" si="191"/>
        <v>337.57512765118395</v>
      </c>
      <c r="AC1734" s="16">
        <v>0</v>
      </c>
      <c r="AD1734" s="16">
        <v>0</v>
      </c>
      <c r="AE1734" s="16">
        <v>1731</v>
      </c>
      <c r="AF1734" s="16">
        <f>IF(AC1734=0,IF(O1734=6,INDEX(Acceleration!$V$4:$V$110,MATCH('Track Data'!S1734,Acceleration!$K$4:$K$110,0)),IF('Track Data'!O1734=5,INDEX(Acceleration!$U$4:$U$110,MATCH('Track Data'!S1734,Acceleration!$K$4:$K$110,0)),1)),U1734)</f>
        <v>3.8336143672031953</v>
      </c>
      <c r="AG1734" s="16">
        <f>IF(AC1734=0,IF(O1734=4,INDEX(Acceleration!$T$4:$T$110,MATCH('Track Data'!S1734,Acceleration!$K$4:$K$110,0)),IF('Track Data'!O1734=3,INDEX(Acceleration!$S$4:$S$110,MATCH('Track Data'!S1734,Acceleration!$K$4:$K$110,0)),'Track Data'!AF1734)),'Track Data'!U1734)</f>
        <v>3.8336143672031953</v>
      </c>
      <c r="AH1734" s="16">
        <f>IF(AC1734=0,IF(O1734=2,INDEX(Acceleration!$R$4:$R$110,MATCH('Track Data'!S1734,Acceleration!$K$4:$K$110,0)),IF('Track Data'!O1734=1,INDEX(Acceleration!$Q$4:$Q$110,MATCH('Track Data'!S1734,Acceleration!$K$4:$K$110,0)),'Track Data'!AG1734)),'Track Data'!U1734)</f>
        <v>3.8336143672031953</v>
      </c>
    </row>
    <row r="1735" spans="2:34" x14ac:dyDescent="0.25">
      <c r="B1735" s="16">
        <v>243.43100000000001</v>
      </c>
      <c r="C1735" s="16">
        <v>9005</v>
      </c>
      <c r="D1735" s="16">
        <v>1732</v>
      </c>
      <c r="E1735" s="113">
        <v>198</v>
      </c>
      <c r="F1735" s="113">
        <v>204.2</v>
      </c>
      <c r="G1735" s="113">
        <v>196.3</v>
      </c>
      <c r="H1735" s="113">
        <f t="shared" si="194"/>
        <v>54.527777777777779</v>
      </c>
      <c r="I1735" s="113">
        <v>4.7</v>
      </c>
      <c r="J1735" s="113">
        <v>45.21</v>
      </c>
      <c r="K1735" s="113">
        <v>-20.100000000000001</v>
      </c>
      <c r="L1735" s="185"/>
      <c r="M1735" s="16">
        <v>1732</v>
      </c>
      <c r="N1735" s="16">
        <f t="shared" si="196"/>
        <v>1.8208780123558737E-2</v>
      </c>
      <c r="O1735" s="16">
        <v>5</v>
      </c>
      <c r="P1735" s="16">
        <f t="shared" si="192"/>
        <v>8.1742160278745661</v>
      </c>
      <c r="Q1735" s="16">
        <f t="shared" si="197"/>
        <v>54.918560892840269</v>
      </c>
      <c r="R1735" s="113">
        <f t="shared" si="193"/>
        <v>319.54399999999998</v>
      </c>
      <c r="S1735" s="16">
        <f>IF(S1734=15800,15800,ROUND((((Q1735*60)/'Gearing Calculator'!$C$14)*'Track Data'!P1735),-2))</f>
        <v>13600</v>
      </c>
      <c r="T1735" s="16">
        <f t="shared" si="195"/>
        <v>3.8336143672031953</v>
      </c>
      <c r="U1735" s="16">
        <f>IF(AC1735=100,Braking!$AG$2354,IF(AC1735=50,Braking!$AG$1179,IF(AC1735=75,Braking!$AG$1767,0)))</f>
        <v>0</v>
      </c>
      <c r="V1735" s="16">
        <f>0.5*'Gearing Calculator'!$C$15*'Gearing Calculator'!$C$20*'Gearing Calculator'!$W$20*('Track Data'!Q1735^2)</f>
        <v>319.21855530441758</v>
      </c>
      <c r="W1735" s="16">
        <f>('Gearing Calculator'!$U$9*'Track Data'!T1735)+'Track Data'!V1735</f>
        <v>1339.726699853908</v>
      </c>
      <c r="X1735" s="16">
        <f>('Gearing Calculator'!$U$9*9.81)*('Gearing Calculator'!$U$16/'Gearing Calculator'!$C$7)-(('Track Data'!W1735)*('Gearing Calculator'!$U$17/'Gearing Calculator'!$C$7))</f>
        <v>670.91975364190068</v>
      </c>
      <c r="Y1735" s="16">
        <f>('Gearing Calculator'!$U$9*9.81)*(('Gearing Calculator'!$C$7-'Gearing Calculator'!$U$16)/'Gearing Calculator'!$C$7)+(('Track Data'!W1735)*('Gearing Calculator'!$U$17/'Gearing Calculator'!$C$7))</f>
        <v>1940.5022463580995</v>
      </c>
      <c r="Z1735" s="16">
        <f>((X1735*COS('Gearing Calculator'!$C$21))/'Gearing Calculator'!$C$22)/2</f>
        <v>20.742716844213117</v>
      </c>
      <c r="AA1735" s="16">
        <f>Y1735/'Gearing Calculator'!$C$24</f>
        <v>27.095919893322769</v>
      </c>
      <c r="AB1735" s="16">
        <f t="shared" si="191"/>
        <v>338.38662714043357</v>
      </c>
      <c r="AC1735" s="16">
        <v>0</v>
      </c>
      <c r="AD1735" s="16">
        <v>0</v>
      </c>
      <c r="AE1735" s="16">
        <v>1732</v>
      </c>
      <c r="AF1735" s="16">
        <f>IF(AC1735=0,IF(O1735=6,INDEX(Acceleration!$V$4:$V$110,MATCH('Track Data'!S1735,Acceleration!$K$4:$K$110,0)),IF('Track Data'!O1735=5,INDEX(Acceleration!$U$4:$U$110,MATCH('Track Data'!S1735,Acceleration!$K$4:$K$110,0)),1)),U1735)</f>
        <v>3.8336143672031953</v>
      </c>
      <c r="AG1735" s="16">
        <f>IF(AC1735=0,IF(O1735=4,INDEX(Acceleration!$T$4:$T$110,MATCH('Track Data'!S1735,Acceleration!$K$4:$K$110,0)),IF('Track Data'!O1735=3,INDEX(Acceleration!$S$4:$S$110,MATCH('Track Data'!S1735,Acceleration!$K$4:$K$110,0)),'Track Data'!AF1735)),'Track Data'!U1735)</f>
        <v>3.8336143672031953</v>
      </c>
      <c r="AH1735" s="16">
        <f>IF(AC1735=0,IF(O1735=2,INDEX(Acceleration!$R$4:$R$110,MATCH('Track Data'!S1735,Acceleration!$K$4:$K$110,0)),IF('Track Data'!O1735=1,INDEX(Acceleration!$Q$4:$Q$110,MATCH('Track Data'!S1735,Acceleration!$K$4:$K$110,0)),'Track Data'!AG1735)),'Track Data'!U1735)</f>
        <v>3.8336143672031953</v>
      </c>
    </row>
    <row r="1736" spans="2:34" x14ac:dyDescent="0.25">
      <c r="B1736" s="16">
        <v>243.44800000000001</v>
      </c>
      <c r="C1736" s="16">
        <v>9006</v>
      </c>
      <c r="D1736" s="16">
        <v>1733</v>
      </c>
      <c r="E1736" s="113">
        <v>198</v>
      </c>
      <c r="F1736" s="113">
        <v>204</v>
      </c>
      <c r="G1736" s="113">
        <v>196.1</v>
      </c>
      <c r="H1736" s="113">
        <f t="shared" si="194"/>
        <v>54.472222222222221</v>
      </c>
      <c r="I1736" s="113">
        <v>6.8</v>
      </c>
      <c r="J1736" s="113">
        <v>47.71</v>
      </c>
      <c r="K1736" s="113">
        <v>-19.899999999999999</v>
      </c>
      <c r="L1736" s="185"/>
      <c r="M1736" s="16">
        <v>1733</v>
      </c>
      <c r="N1736" s="16">
        <f t="shared" si="196"/>
        <v>1.8185679488829806E-2</v>
      </c>
      <c r="O1736" s="16">
        <v>5</v>
      </c>
      <c r="P1736" s="16">
        <f t="shared" si="192"/>
        <v>8.1742160278745661</v>
      </c>
      <c r="Q1736" s="16">
        <f t="shared" si="197"/>
        <v>54.988322026363115</v>
      </c>
      <c r="R1736" s="113">
        <f t="shared" si="193"/>
        <v>319.54399999999998</v>
      </c>
      <c r="S1736" s="16">
        <f>IF(S1735=15800,15800,ROUND((((Q1736*60)/'Gearing Calculator'!$C$14)*'Track Data'!P1736),-2))</f>
        <v>13600</v>
      </c>
      <c r="T1736" s="16">
        <f t="shared" si="195"/>
        <v>3.8336143672031953</v>
      </c>
      <c r="U1736" s="16">
        <f>IF(AC1736=100,Braking!$AG$2354,IF(AC1736=50,Braking!$AG$1179,IF(AC1736=75,Braking!$AG$1767,0)))</f>
        <v>0</v>
      </c>
      <c r="V1736" s="16">
        <f>0.5*'Gearing Calculator'!$C$15*'Gearing Calculator'!$C$20*'Gearing Calculator'!$W$20*('Track Data'!Q1736^2)</f>
        <v>320.03005479366715</v>
      </c>
      <c r="W1736" s="16">
        <f>('Gearing Calculator'!$U$9*'Track Data'!T1736)+'Track Data'!V1736</f>
        <v>1340.5381993431577</v>
      </c>
      <c r="X1736" s="16">
        <f>('Gearing Calculator'!$U$9*9.81)*('Gearing Calculator'!$U$16/'Gearing Calculator'!$C$7)-(('Track Data'!W1736)*('Gearing Calculator'!$U$17/'Gearing Calculator'!$C$7))</f>
        <v>670.47743099992999</v>
      </c>
      <c r="Y1736" s="16">
        <f>('Gearing Calculator'!$U$9*9.81)*(('Gearing Calculator'!$C$7-'Gearing Calculator'!$U$16)/'Gearing Calculator'!$C$7)+(('Track Data'!W1736)*('Gearing Calculator'!$U$17/'Gearing Calculator'!$C$7))</f>
        <v>1940.94456900007</v>
      </c>
      <c r="Z1736" s="16">
        <f>((X1736*COS('Gearing Calculator'!$C$21))/'Gearing Calculator'!$C$22)/2</f>
        <v>20.729041627070711</v>
      </c>
      <c r="AA1736" s="16">
        <f>Y1736/'Gearing Calculator'!$C$24</f>
        <v>27.10209620097525</v>
      </c>
      <c r="AB1736" s="16">
        <f t="shared" si="191"/>
        <v>339.19812662968314</v>
      </c>
      <c r="AC1736" s="16">
        <v>0</v>
      </c>
      <c r="AD1736" s="16">
        <v>0</v>
      </c>
      <c r="AE1736" s="16">
        <v>1733</v>
      </c>
      <c r="AF1736" s="16">
        <f>IF(AC1736=0,IF(O1736=6,INDEX(Acceleration!$V$4:$V$110,MATCH('Track Data'!S1736,Acceleration!$K$4:$K$110,0)),IF('Track Data'!O1736=5,INDEX(Acceleration!$U$4:$U$110,MATCH('Track Data'!S1736,Acceleration!$K$4:$K$110,0)),1)),U1736)</f>
        <v>3.8336143672031953</v>
      </c>
      <c r="AG1736" s="16">
        <f>IF(AC1736=0,IF(O1736=4,INDEX(Acceleration!$T$4:$T$110,MATCH('Track Data'!S1736,Acceleration!$K$4:$K$110,0)),IF('Track Data'!O1736=3,INDEX(Acceleration!$S$4:$S$110,MATCH('Track Data'!S1736,Acceleration!$K$4:$K$110,0)),'Track Data'!AF1736)),'Track Data'!U1736)</f>
        <v>3.8336143672031953</v>
      </c>
      <c r="AH1736" s="16">
        <f>IF(AC1736=0,IF(O1736=2,INDEX(Acceleration!$R$4:$R$110,MATCH('Track Data'!S1736,Acceleration!$K$4:$K$110,0)),IF('Track Data'!O1736=1,INDEX(Acceleration!$Q$4:$Q$110,MATCH('Track Data'!S1736,Acceleration!$K$4:$K$110,0)),'Track Data'!AG1736)),'Track Data'!U1736)</f>
        <v>3.8336143672031953</v>
      </c>
    </row>
    <row r="1737" spans="2:34" x14ac:dyDescent="0.25">
      <c r="B1737" s="16">
        <v>243.46600000000001</v>
      </c>
      <c r="C1737" s="16">
        <v>9007</v>
      </c>
      <c r="D1737" s="16">
        <v>1734</v>
      </c>
      <c r="E1737" s="113">
        <v>199</v>
      </c>
      <c r="F1737" s="113">
        <v>204</v>
      </c>
      <c r="G1737" s="113">
        <v>195.7</v>
      </c>
      <c r="H1737" s="113">
        <f t="shared" si="194"/>
        <v>54.361111111111107</v>
      </c>
      <c r="I1737" s="113">
        <v>10.8</v>
      </c>
      <c r="J1737" s="113">
        <v>51.19</v>
      </c>
      <c r="K1737" s="113">
        <v>-19.3</v>
      </c>
      <c r="L1737" s="185"/>
      <c r="M1737" s="16">
        <v>1734</v>
      </c>
      <c r="N1737" s="16">
        <f t="shared" si="196"/>
        <v>1.8162666551719817E-2</v>
      </c>
      <c r="O1737" s="16">
        <v>5</v>
      </c>
      <c r="P1737" s="16">
        <f t="shared" si="192"/>
        <v>8.1742160278745661</v>
      </c>
      <c r="Q1737" s="16">
        <f t="shared" si="197"/>
        <v>55.057994769237801</v>
      </c>
      <c r="R1737" s="113">
        <f t="shared" si="193"/>
        <v>319.54399999999998</v>
      </c>
      <c r="S1737" s="16">
        <f>IF(S1736=15800,15800,ROUND((((Q1737*60)/'Gearing Calculator'!$C$14)*'Track Data'!P1737),-2))</f>
        <v>13600</v>
      </c>
      <c r="T1737" s="16">
        <f t="shared" si="195"/>
        <v>3.8336143672031953</v>
      </c>
      <c r="U1737" s="16">
        <f>IF(AC1737=100,Braking!$AG$2354,IF(AC1737=50,Braking!$AG$1179,IF(AC1737=75,Braking!$AG$1767,0)))</f>
        <v>0</v>
      </c>
      <c r="V1737" s="16">
        <f>0.5*'Gearing Calculator'!$C$15*'Gearing Calculator'!$C$20*'Gearing Calculator'!$W$20*('Track Data'!Q1737^2)</f>
        <v>320.84155428291672</v>
      </c>
      <c r="W1737" s="16">
        <f>('Gearing Calculator'!$U$9*'Track Data'!T1737)+'Track Data'!V1737</f>
        <v>1341.3496988324073</v>
      </c>
      <c r="X1737" s="16">
        <f>('Gearing Calculator'!$U$9*9.81)*('Gearing Calculator'!$U$16/'Gearing Calculator'!$C$7)-(('Track Data'!W1737)*('Gearing Calculator'!$U$17/'Gearing Calculator'!$C$7))</f>
        <v>670.03510835795942</v>
      </c>
      <c r="Y1737" s="16">
        <f>('Gearing Calculator'!$U$9*9.81)*(('Gearing Calculator'!$C$7-'Gearing Calculator'!$U$16)/'Gearing Calculator'!$C$7)+(('Track Data'!W1737)*('Gearing Calculator'!$U$17/'Gearing Calculator'!$C$7))</f>
        <v>1941.3868916420406</v>
      </c>
      <c r="Z1737" s="16">
        <f>((X1737*COS('Gearing Calculator'!$C$21))/'Gearing Calculator'!$C$22)/2</f>
        <v>20.715366409928311</v>
      </c>
      <c r="AA1737" s="16">
        <f>Y1737/'Gearing Calculator'!$C$24</f>
        <v>27.108272508627731</v>
      </c>
      <c r="AB1737" s="16">
        <f t="shared" si="191"/>
        <v>340.00962611893272</v>
      </c>
      <c r="AC1737" s="16">
        <v>0</v>
      </c>
      <c r="AD1737" s="16">
        <v>0</v>
      </c>
      <c r="AE1737" s="16">
        <v>1734</v>
      </c>
      <c r="AF1737" s="16">
        <f>IF(AC1737=0,IF(O1737=6,INDEX(Acceleration!$V$4:$V$110,MATCH('Track Data'!S1737,Acceleration!$K$4:$K$110,0)),IF('Track Data'!O1737=5,INDEX(Acceleration!$U$4:$U$110,MATCH('Track Data'!S1737,Acceleration!$K$4:$K$110,0)),1)),U1737)</f>
        <v>3.8336143672031953</v>
      </c>
      <c r="AG1737" s="16">
        <f>IF(AC1737=0,IF(O1737=4,INDEX(Acceleration!$T$4:$T$110,MATCH('Track Data'!S1737,Acceleration!$K$4:$K$110,0)),IF('Track Data'!O1737=3,INDEX(Acceleration!$S$4:$S$110,MATCH('Track Data'!S1737,Acceleration!$K$4:$K$110,0)),'Track Data'!AF1737)),'Track Data'!U1737)</f>
        <v>3.8336143672031953</v>
      </c>
      <c r="AH1737" s="16">
        <f>IF(AC1737=0,IF(O1737=2,INDEX(Acceleration!$R$4:$R$110,MATCH('Track Data'!S1737,Acceleration!$K$4:$K$110,0)),IF('Track Data'!O1737=1,INDEX(Acceleration!$Q$4:$Q$110,MATCH('Track Data'!S1737,Acceleration!$K$4:$K$110,0)),'Track Data'!AG1737)),'Track Data'!U1737)</f>
        <v>3.8336143672031953</v>
      </c>
    </row>
    <row r="1738" spans="2:34" x14ac:dyDescent="0.25">
      <c r="B1738" s="16">
        <v>243.483</v>
      </c>
      <c r="C1738" s="16">
        <v>9009</v>
      </c>
      <c r="D1738" s="16">
        <v>1735</v>
      </c>
      <c r="E1738" s="113">
        <v>199</v>
      </c>
      <c r="F1738" s="113">
        <v>204</v>
      </c>
      <c r="G1738" s="113">
        <v>195.3</v>
      </c>
      <c r="H1738" s="113">
        <f t="shared" si="194"/>
        <v>54.25</v>
      </c>
      <c r="I1738" s="113">
        <v>11.6</v>
      </c>
      <c r="J1738" s="113">
        <v>61.02</v>
      </c>
      <c r="K1738" s="113">
        <v>-18.5</v>
      </c>
      <c r="L1738" s="185"/>
      <c r="M1738" s="16">
        <v>1735</v>
      </c>
      <c r="N1738" s="16">
        <f t="shared" si="196"/>
        <v>1.8139740758747663E-2</v>
      </c>
      <c r="O1738" s="16">
        <v>5</v>
      </c>
      <c r="P1738" s="16">
        <f t="shared" si="192"/>
        <v>8.1742160278745661</v>
      </c>
      <c r="Q1738" s="16">
        <f t="shared" si="197"/>
        <v>55.127579456600699</v>
      </c>
      <c r="R1738" s="113">
        <f t="shared" si="193"/>
        <v>319.54399999999998</v>
      </c>
      <c r="S1738" s="16">
        <f>IF(S1737=15800,15800,ROUND((((Q1738*60)/'Gearing Calculator'!$C$14)*'Track Data'!P1738),-2))</f>
        <v>13700</v>
      </c>
      <c r="T1738" s="16">
        <f t="shared" si="195"/>
        <v>3.7880882999290102</v>
      </c>
      <c r="U1738" s="16">
        <f>IF(AC1738=100,Braking!$AG$2354,IF(AC1738=50,Braking!$AG$1179,IF(AC1738=75,Braking!$AG$1767,0)))</f>
        <v>0</v>
      </c>
      <c r="V1738" s="16">
        <f>0.5*'Gearing Calculator'!$C$15*'Gearing Calculator'!$C$20*'Gearing Calculator'!$W$20*('Track Data'!Q1738^2)</f>
        <v>321.65305377216623</v>
      </c>
      <c r="W1738" s="16">
        <f>('Gearing Calculator'!$U$9*'Track Data'!T1738)+'Track Data'!V1738</f>
        <v>1330.0421592132689</v>
      </c>
      <c r="X1738" s="16">
        <f>('Gearing Calculator'!$U$9*9.81)*('Gearing Calculator'!$U$16/'Gearing Calculator'!$C$7)-(('Track Data'!W1738)*('Gearing Calculator'!$U$17/'Gearing Calculator'!$C$7))</f>
        <v>676.19848968448309</v>
      </c>
      <c r="Y1738" s="16">
        <f>('Gearing Calculator'!$U$9*9.81)*(('Gearing Calculator'!$C$7-'Gearing Calculator'!$U$16)/'Gearing Calculator'!$C$7)+(('Track Data'!W1738)*('Gearing Calculator'!$U$17/'Gearing Calculator'!$C$7))</f>
        <v>1935.2235103155169</v>
      </c>
      <c r="Z1738" s="16">
        <f>((X1738*COS('Gearing Calculator'!$C$21))/'Gearing Calculator'!$C$22)/2</f>
        <v>20.905918667430075</v>
      </c>
      <c r="AA1738" s="16">
        <f>Y1738/'Gearing Calculator'!$C$24</f>
        <v>27.022211033043813</v>
      </c>
      <c r="AB1738" s="16">
        <f t="shared" si="191"/>
        <v>340.59349527181126</v>
      </c>
      <c r="AC1738" s="16">
        <v>0</v>
      </c>
      <c r="AD1738" s="16">
        <v>0</v>
      </c>
      <c r="AE1738" s="16">
        <v>1735</v>
      </c>
      <c r="AF1738" s="16">
        <f>IF(AC1738=0,IF(O1738=6,INDEX(Acceleration!$V$4:$V$110,MATCH('Track Data'!S1738,Acceleration!$K$4:$K$110,0)),IF('Track Data'!O1738=5,INDEX(Acceleration!$U$4:$U$110,MATCH('Track Data'!S1738,Acceleration!$K$4:$K$110,0)),1)),U1738)</f>
        <v>3.7880882999290102</v>
      </c>
      <c r="AG1738" s="16">
        <f>IF(AC1738=0,IF(O1738=4,INDEX(Acceleration!$T$4:$T$110,MATCH('Track Data'!S1738,Acceleration!$K$4:$K$110,0)),IF('Track Data'!O1738=3,INDEX(Acceleration!$S$4:$S$110,MATCH('Track Data'!S1738,Acceleration!$K$4:$K$110,0)),'Track Data'!AF1738)),'Track Data'!U1738)</f>
        <v>3.7880882999290102</v>
      </c>
      <c r="AH1738" s="16">
        <f>IF(AC1738=0,IF(O1738=2,INDEX(Acceleration!$R$4:$R$110,MATCH('Track Data'!S1738,Acceleration!$K$4:$K$110,0)),IF('Track Data'!O1738=1,INDEX(Acceleration!$Q$4:$Q$110,MATCH('Track Data'!S1738,Acceleration!$K$4:$K$110,0)),'Track Data'!AG1738)),'Track Data'!U1738)</f>
        <v>3.7880882999290102</v>
      </c>
    </row>
    <row r="1739" spans="2:34" x14ac:dyDescent="0.25">
      <c r="B1739" s="16">
        <v>243.501</v>
      </c>
      <c r="C1739" s="16">
        <v>9010</v>
      </c>
      <c r="D1739" s="16">
        <v>1736</v>
      </c>
      <c r="E1739" s="113">
        <v>200</v>
      </c>
      <c r="F1739" s="113">
        <v>204</v>
      </c>
      <c r="G1739" s="113">
        <v>194.9</v>
      </c>
      <c r="H1739" s="113">
        <f t="shared" si="194"/>
        <v>54.138888888888886</v>
      </c>
      <c r="I1739" s="113">
        <v>11.9</v>
      </c>
      <c r="J1739" s="113">
        <v>71.17</v>
      </c>
      <c r="K1739" s="113">
        <v>-17.8</v>
      </c>
      <c r="L1739" s="185"/>
      <c r="M1739" s="16">
        <v>1736</v>
      </c>
      <c r="N1739" s="16">
        <f t="shared" si="196"/>
        <v>1.811717228212234E-2</v>
      </c>
      <c r="O1739" s="16">
        <v>5</v>
      </c>
      <c r="P1739" s="16">
        <f t="shared" si="192"/>
        <v>8.1742160278745661</v>
      </c>
      <c r="Q1739" s="16">
        <f t="shared" si="197"/>
        <v>55.196251624034055</v>
      </c>
      <c r="R1739" s="113">
        <f t="shared" si="193"/>
        <v>319.54399999999998</v>
      </c>
      <c r="S1739" s="16">
        <f>IF(S1738=15800,15800,ROUND((((Q1739*60)/'Gearing Calculator'!$C$14)*'Track Data'!P1739),-2))</f>
        <v>13700</v>
      </c>
      <c r="T1739" s="16">
        <f t="shared" si="195"/>
        <v>3.7880882999290102</v>
      </c>
      <c r="U1739" s="16">
        <f>IF(AC1739=100,Braking!$AG$2354,IF(AC1739=50,Braking!$AG$1179,IF(AC1739=75,Braking!$AG$1767,0)))</f>
        <v>0</v>
      </c>
      <c r="V1739" s="16">
        <f>0.5*'Gearing Calculator'!$C$15*'Gearing Calculator'!$C$20*'Gearing Calculator'!$W$20*('Track Data'!Q1739^2)</f>
        <v>322.45491630349528</v>
      </c>
      <c r="W1739" s="16">
        <f>('Gearing Calculator'!$U$9*'Track Data'!T1739)+'Track Data'!V1739</f>
        <v>1330.8440217445977</v>
      </c>
      <c r="X1739" s="16">
        <f>('Gearing Calculator'!$U$9*9.81)*('Gearing Calculator'!$U$16/'Gearing Calculator'!$C$7)-(('Track Data'!W1739)*('Gearing Calculator'!$U$17/'Gearing Calculator'!$C$7))</f>
        <v>675.76141984272317</v>
      </c>
      <c r="Y1739" s="16">
        <f>('Gearing Calculator'!$U$9*9.81)*(('Gearing Calculator'!$C$7-'Gearing Calculator'!$U$16)/'Gearing Calculator'!$C$7)+(('Track Data'!W1739)*('Gearing Calculator'!$U$17/'Gearing Calculator'!$C$7))</f>
        <v>1935.6605801572769</v>
      </c>
      <c r="Z1739" s="16">
        <f>((X1739*COS('Gearing Calculator'!$C$21))/'Gearing Calculator'!$C$22)/2</f>
        <v>20.892405850256996</v>
      </c>
      <c r="AA1739" s="16">
        <f>Y1739/'Gearing Calculator'!$C$24</f>
        <v>27.028313993987219</v>
      </c>
      <c r="AB1739" s="16">
        <f t="shared" si="191"/>
        <v>341.39535780314031</v>
      </c>
      <c r="AC1739" s="16">
        <v>0</v>
      </c>
      <c r="AD1739" s="16">
        <v>0</v>
      </c>
      <c r="AE1739" s="16">
        <v>1736</v>
      </c>
      <c r="AF1739" s="16">
        <f>IF(AC1739=0,IF(O1739=6,INDEX(Acceleration!$V$4:$V$110,MATCH('Track Data'!S1739,Acceleration!$K$4:$K$110,0)),IF('Track Data'!O1739=5,INDEX(Acceleration!$U$4:$U$110,MATCH('Track Data'!S1739,Acceleration!$K$4:$K$110,0)),1)),U1739)</f>
        <v>3.7880882999290102</v>
      </c>
      <c r="AG1739" s="16">
        <f>IF(AC1739=0,IF(O1739=4,INDEX(Acceleration!$T$4:$T$110,MATCH('Track Data'!S1739,Acceleration!$K$4:$K$110,0)),IF('Track Data'!O1739=3,INDEX(Acceleration!$S$4:$S$110,MATCH('Track Data'!S1739,Acceleration!$K$4:$K$110,0)),'Track Data'!AF1739)),'Track Data'!U1739)</f>
        <v>3.7880882999290102</v>
      </c>
      <c r="AH1739" s="16">
        <f>IF(AC1739=0,IF(O1739=2,INDEX(Acceleration!$R$4:$R$110,MATCH('Track Data'!S1739,Acceleration!$K$4:$K$110,0)),IF('Track Data'!O1739=1,INDEX(Acceleration!$Q$4:$Q$110,MATCH('Track Data'!S1739,Acceleration!$K$4:$K$110,0)),'Track Data'!AG1739)),'Track Data'!U1739)</f>
        <v>3.7880882999290102</v>
      </c>
    </row>
    <row r="1740" spans="2:34" x14ac:dyDescent="0.25">
      <c r="B1740" s="16">
        <v>243.51900000000001</v>
      </c>
      <c r="C1740" s="16">
        <v>9010</v>
      </c>
      <c r="D1740" s="16">
        <v>1737</v>
      </c>
      <c r="E1740" s="113">
        <v>200</v>
      </c>
      <c r="F1740" s="113">
        <v>203.9</v>
      </c>
      <c r="G1740" s="113">
        <v>194.7</v>
      </c>
      <c r="H1740" s="113">
        <f t="shared" si="194"/>
        <v>54.083333333333329</v>
      </c>
      <c r="I1740" s="113">
        <v>13.3</v>
      </c>
      <c r="J1740" s="113">
        <v>72.98</v>
      </c>
      <c r="K1740" s="113">
        <v>-17.5</v>
      </c>
      <c r="L1740" s="185"/>
      <c r="M1740" s="16">
        <v>1737</v>
      </c>
      <c r="N1740" s="16">
        <f t="shared" si="196"/>
        <v>1.8094687831841767E-2</v>
      </c>
      <c r="O1740" s="16">
        <v>5</v>
      </c>
      <c r="P1740" s="16">
        <f t="shared" si="192"/>
        <v>8.1742160278745661</v>
      </c>
      <c r="Q1740" s="16">
        <f t="shared" si="197"/>
        <v>55.264838459399662</v>
      </c>
      <c r="R1740" s="113">
        <f t="shared" si="193"/>
        <v>319.54399999999998</v>
      </c>
      <c r="S1740" s="16">
        <f>IF(S1739=15800,15800,ROUND((((Q1740*60)/'Gearing Calculator'!$C$14)*'Track Data'!P1740),-2))</f>
        <v>13700</v>
      </c>
      <c r="T1740" s="16">
        <f t="shared" si="195"/>
        <v>3.7880882999290102</v>
      </c>
      <c r="U1740" s="16">
        <f>IF(AC1740=100,Braking!$AG$2354,IF(AC1740=50,Braking!$AG$1179,IF(AC1740=75,Braking!$AG$1767,0)))</f>
        <v>0</v>
      </c>
      <c r="V1740" s="16">
        <f>0.5*'Gearing Calculator'!$C$15*'Gearing Calculator'!$C$20*'Gearing Calculator'!$W$20*('Track Data'!Q1740^2)</f>
        <v>323.25677883482422</v>
      </c>
      <c r="W1740" s="16">
        <f>('Gearing Calculator'!$U$9*'Track Data'!T1740)+'Track Data'!V1740</f>
        <v>1331.6458842759266</v>
      </c>
      <c r="X1740" s="16">
        <f>('Gearing Calculator'!$U$9*9.81)*('Gearing Calculator'!$U$16/'Gearing Calculator'!$C$7)-(('Track Data'!W1740)*('Gearing Calculator'!$U$17/'Gearing Calculator'!$C$7))</f>
        <v>675.32435000096314</v>
      </c>
      <c r="Y1740" s="16">
        <f>('Gearing Calculator'!$U$9*9.81)*(('Gearing Calculator'!$C$7-'Gearing Calculator'!$U$16)/'Gearing Calculator'!$C$7)+(('Track Data'!W1740)*('Gearing Calculator'!$U$17/'Gearing Calculator'!$C$7))</f>
        <v>1936.097649999037</v>
      </c>
      <c r="Z1740" s="16">
        <f>((X1740*COS('Gearing Calculator'!$C$21))/'Gearing Calculator'!$C$22)/2</f>
        <v>20.878893033083912</v>
      </c>
      <c r="AA1740" s="16">
        <f>Y1740/'Gearing Calculator'!$C$24</f>
        <v>27.034416954930627</v>
      </c>
      <c r="AB1740" s="16">
        <f t="shared" si="191"/>
        <v>342.19722033446925</v>
      </c>
      <c r="AC1740" s="16">
        <v>0</v>
      </c>
      <c r="AD1740" s="16">
        <v>0</v>
      </c>
      <c r="AE1740" s="16">
        <v>1737</v>
      </c>
      <c r="AF1740" s="16">
        <f>IF(AC1740=0,IF(O1740=6,INDEX(Acceleration!$V$4:$V$110,MATCH('Track Data'!S1740,Acceleration!$K$4:$K$110,0)),IF('Track Data'!O1740=5,INDEX(Acceleration!$U$4:$U$110,MATCH('Track Data'!S1740,Acceleration!$K$4:$K$110,0)),1)),U1740)</f>
        <v>3.7880882999290102</v>
      </c>
      <c r="AG1740" s="16">
        <f>IF(AC1740=0,IF(O1740=4,INDEX(Acceleration!$T$4:$T$110,MATCH('Track Data'!S1740,Acceleration!$K$4:$K$110,0)),IF('Track Data'!O1740=3,INDEX(Acceleration!$S$4:$S$110,MATCH('Track Data'!S1740,Acceleration!$K$4:$K$110,0)),'Track Data'!AF1740)),'Track Data'!U1740)</f>
        <v>3.7880882999290102</v>
      </c>
      <c r="AH1740" s="16">
        <f>IF(AC1740=0,IF(O1740=2,INDEX(Acceleration!$R$4:$R$110,MATCH('Track Data'!S1740,Acceleration!$K$4:$K$110,0)),IF('Track Data'!O1740=1,INDEX(Acceleration!$Q$4:$Q$110,MATCH('Track Data'!S1740,Acceleration!$K$4:$K$110,0)),'Track Data'!AG1740)),'Track Data'!U1740)</f>
        <v>3.7880882999290102</v>
      </c>
    </row>
    <row r="1741" spans="2:34" x14ac:dyDescent="0.25">
      <c r="B1741" s="16">
        <v>243.536</v>
      </c>
      <c r="C1741" s="16">
        <v>9011</v>
      </c>
      <c r="D1741" s="16">
        <v>1738</v>
      </c>
      <c r="E1741" s="113">
        <v>201</v>
      </c>
      <c r="F1741" s="113">
        <v>203.7</v>
      </c>
      <c r="G1741" s="113">
        <v>194.3</v>
      </c>
      <c r="H1741" s="113">
        <f t="shared" si="194"/>
        <v>53.972222222222221</v>
      </c>
      <c r="I1741" s="113">
        <v>17.7</v>
      </c>
      <c r="J1741" s="113">
        <v>75.260000000000005</v>
      </c>
      <c r="K1741" s="113">
        <v>-20.5</v>
      </c>
      <c r="L1741" s="185"/>
      <c r="M1741" s="16">
        <v>1738</v>
      </c>
      <c r="N1741" s="16">
        <f t="shared" si="196"/>
        <v>1.8072286887789089E-2</v>
      </c>
      <c r="O1741" s="16">
        <v>5</v>
      </c>
      <c r="P1741" s="16">
        <f t="shared" si="192"/>
        <v>8.1742160278745661</v>
      </c>
      <c r="Q1741" s="16">
        <f t="shared" si="197"/>
        <v>55.333340280010191</v>
      </c>
      <c r="R1741" s="113">
        <f t="shared" si="193"/>
        <v>319.54399999999998</v>
      </c>
      <c r="S1741" s="16">
        <f>IF(S1740=15800,15800,ROUND((((Q1741*60)/'Gearing Calculator'!$C$14)*'Track Data'!P1741),-2))</f>
        <v>13700</v>
      </c>
      <c r="T1741" s="16">
        <f t="shared" si="195"/>
        <v>3.7880882999290102</v>
      </c>
      <c r="U1741" s="16">
        <f>IF(AC1741=100,Braking!$AG$2354,IF(AC1741=50,Braking!$AG$1179,IF(AC1741=75,Braking!$AG$1767,0)))</f>
        <v>0</v>
      </c>
      <c r="V1741" s="16">
        <f>0.5*'Gearing Calculator'!$C$15*'Gearing Calculator'!$C$20*'Gearing Calculator'!$W$20*('Track Data'!Q1741^2)</f>
        <v>324.05864136615321</v>
      </c>
      <c r="W1741" s="16">
        <f>('Gearing Calculator'!$U$9*'Track Data'!T1741)+'Track Data'!V1741</f>
        <v>1332.4477468072557</v>
      </c>
      <c r="X1741" s="16">
        <f>('Gearing Calculator'!$U$9*9.81)*('Gearing Calculator'!$U$16/'Gearing Calculator'!$C$7)-(('Track Data'!W1741)*('Gearing Calculator'!$U$17/'Gearing Calculator'!$C$7))</f>
        <v>674.8872801592031</v>
      </c>
      <c r="Y1741" s="16">
        <f>('Gearing Calculator'!$U$9*9.81)*(('Gearing Calculator'!$C$7-'Gearing Calculator'!$U$16)/'Gearing Calculator'!$C$7)+(('Track Data'!W1741)*('Gearing Calculator'!$U$17/'Gearing Calculator'!$C$7))</f>
        <v>1936.5347198407969</v>
      </c>
      <c r="Z1741" s="16">
        <f>((X1741*COS('Gearing Calculator'!$C$21))/'Gearing Calculator'!$C$22)/2</f>
        <v>20.865380215910829</v>
      </c>
      <c r="AA1741" s="16">
        <f>Y1741/'Gearing Calculator'!$C$24</f>
        <v>27.040519915874032</v>
      </c>
      <c r="AB1741" s="16">
        <f t="shared" si="191"/>
        <v>342.99908286579824</v>
      </c>
      <c r="AC1741" s="16">
        <v>0</v>
      </c>
      <c r="AD1741" s="16">
        <v>0</v>
      </c>
      <c r="AE1741" s="16">
        <v>1738</v>
      </c>
      <c r="AF1741" s="16">
        <f>IF(AC1741=0,IF(O1741=6,INDEX(Acceleration!$V$4:$V$110,MATCH('Track Data'!S1741,Acceleration!$K$4:$K$110,0)),IF('Track Data'!O1741=5,INDEX(Acceleration!$U$4:$U$110,MATCH('Track Data'!S1741,Acceleration!$K$4:$K$110,0)),1)),U1741)</f>
        <v>3.7880882999290102</v>
      </c>
      <c r="AG1741" s="16">
        <f>IF(AC1741=0,IF(O1741=4,INDEX(Acceleration!$T$4:$T$110,MATCH('Track Data'!S1741,Acceleration!$K$4:$K$110,0)),IF('Track Data'!O1741=3,INDEX(Acceleration!$S$4:$S$110,MATCH('Track Data'!S1741,Acceleration!$K$4:$K$110,0)),'Track Data'!AF1741)),'Track Data'!U1741)</f>
        <v>3.7880882999290102</v>
      </c>
      <c r="AH1741" s="16">
        <f>IF(AC1741=0,IF(O1741=2,INDEX(Acceleration!$R$4:$R$110,MATCH('Track Data'!S1741,Acceleration!$K$4:$K$110,0)),IF('Track Data'!O1741=1,INDEX(Acceleration!$Q$4:$Q$110,MATCH('Track Data'!S1741,Acceleration!$K$4:$K$110,0)),'Track Data'!AG1741)),'Track Data'!U1741)</f>
        <v>3.7880882999290102</v>
      </c>
    </row>
    <row r="1742" spans="2:34" x14ac:dyDescent="0.25">
      <c r="B1742" s="16">
        <v>243.554</v>
      </c>
      <c r="C1742" s="16">
        <v>9012</v>
      </c>
      <c r="D1742" s="16">
        <v>1739</v>
      </c>
      <c r="E1742" s="113">
        <v>202</v>
      </c>
      <c r="F1742" s="113">
        <v>203.4</v>
      </c>
      <c r="G1742" s="113">
        <v>194</v>
      </c>
      <c r="H1742" s="113">
        <f t="shared" si="194"/>
        <v>53.888888888888886</v>
      </c>
      <c r="I1742" s="113">
        <v>20.5</v>
      </c>
      <c r="J1742" s="113">
        <v>79.95</v>
      </c>
      <c r="K1742" s="113">
        <v>-25.4</v>
      </c>
      <c r="L1742" s="185"/>
      <c r="M1742" s="16">
        <v>1739</v>
      </c>
      <c r="N1742" s="16">
        <f t="shared" si="196"/>
        <v>1.8049968934343602E-2</v>
      </c>
      <c r="O1742" s="16">
        <v>5</v>
      </c>
      <c r="P1742" s="16">
        <f t="shared" si="192"/>
        <v>8.1742160278745661</v>
      </c>
      <c r="Q1742" s="16">
        <f t="shared" si="197"/>
        <v>55.401757401216578</v>
      </c>
      <c r="R1742" s="113">
        <f t="shared" si="193"/>
        <v>319.54399999999998</v>
      </c>
      <c r="S1742" s="16">
        <f>IF(S1741=15800,15800,ROUND((((Q1742*60)/'Gearing Calculator'!$C$14)*'Track Data'!P1742),-2))</f>
        <v>13700</v>
      </c>
      <c r="T1742" s="16">
        <f t="shared" si="195"/>
        <v>3.7880882999290102</v>
      </c>
      <c r="U1742" s="16">
        <f>IF(AC1742=100,Braking!$AG$2354,IF(AC1742=50,Braking!$AG$1179,IF(AC1742=75,Braking!$AG$1767,0)))</f>
        <v>0</v>
      </c>
      <c r="V1742" s="16">
        <f>0.5*'Gearing Calculator'!$C$15*'Gearing Calculator'!$C$20*'Gearing Calculator'!$W$20*('Track Data'!Q1742^2)</f>
        <v>324.86050389748215</v>
      </c>
      <c r="W1742" s="16">
        <f>('Gearing Calculator'!$U$9*'Track Data'!T1742)+'Track Data'!V1742</f>
        <v>1333.2496093385846</v>
      </c>
      <c r="X1742" s="16">
        <f>('Gearing Calculator'!$U$9*9.81)*('Gearing Calculator'!$U$16/'Gearing Calculator'!$C$7)-(('Track Data'!W1742)*('Gearing Calculator'!$U$17/'Gearing Calculator'!$C$7))</f>
        <v>674.45021031744307</v>
      </c>
      <c r="Y1742" s="16">
        <f>('Gearing Calculator'!$U$9*9.81)*(('Gearing Calculator'!$C$7-'Gearing Calculator'!$U$16)/'Gearing Calculator'!$C$7)+(('Track Data'!W1742)*('Gearing Calculator'!$U$17/'Gearing Calculator'!$C$7))</f>
        <v>1936.9717896825568</v>
      </c>
      <c r="Z1742" s="16">
        <f>((X1742*COS('Gearing Calculator'!$C$21))/'Gearing Calculator'!$C$22)/2</f>
        <v>20.851867398737742</v>
      </c>
      <c r="AA1742" s="16">
        <f>Y1742/'Gearing Calculator'!$C$24</f>
        <v>27.046622876817437</v>
      </c>
      <c r="AB1742" s="16">
        <f t="shared" si="191"/>
        <v>343.80094539712718</v>
      </c>
      <c r="AC1742" s="16">
        <v>0</v>
      </c>
      <c r="AD1742" s="16">
        <v>0</v>
      </c>
      <c r="AE1742" s="16">
        <v>1739</v>
      </c>
      <c r="AF1742" s="16">
        <f>IF(AC1742=0,IF(O1742=6,INDEX(Acceleration!$V$4:$V$110,MATCH('Track Data'!S1742,Acceleration!$K$4:$K$110,0)),IF('Track Data'!O1742=5,INDEX(Acceleration!$U$4:$U$110,MATCH('Track Data'!S1742,Acceleration!$K$4:$K$110,0)),1)),U1742)</f>
        <v>3.7880882999290102</v>
      </c>
      <c r="AG1742" s="16">
        <f>IF(AC1742=0,IF(O1742=4,INDEX(Acceleration!$T$4:$T$110,MATCH('Track Data'!S1742,Acceleration!$K$4:$K$110,0)),IF('Track Data'!O1742=3,INDEX(Acceleration!$S$4:$S$110,MATCH('Track Data'!S1742,Acceleration!$K$4:$K$110,0)),'Track Data'!AF1742)),'Track Data'!U1742)</f>
        <v>3.7880882999290102</v>
      </c>
      <c r="AH1742" s="16">
        <f>IF(AC1742=0,IF(O1742=2,INDEX(Acceleration!$R$4:$R$110,MATCH('Track Data'!S1742,Acceleration!$K$4:$K$110,0)),IF('Track Data'!O1742=1,INDEX(Acceleration!$Q$4:$Q$110,MATCH('Track Data'!S1742,Acceleration!$K$4:$K$110,0)),'Track Data'!AG1742)),'Track Data'!U1742)</f>
        <v>3.7880882999290102</v>
      </c>
    </row>
    <row r="1743" spans="2:34" x14ac:dyDescent="0.25">
      <c r="B1743" s="16">
        <v>243.571</v>
      </c>
      <c r="C1743" s="16">
        <v>9013</v>
      </c>
      <c r="D1743" s="16">
        <v>1740</v>
      </c>
      <c r="E1743" s="113">
        <v>202</v>
      </c>
      <c r="F1743" s="113">
        <v>203</v>
      </c>
      <c r="G1743" s="113">
        <v>193.6</v>
      </c>
      <c r="H1743" s="113">
        <f t="shared" si="194"/>
        <v>53.777777777777771</v>
      </c>
      <c r="I1743" s="113">
        <v>21.9</v>
      </c>
      <c r="J1743" s="113">
        <v>81.3</v>
      </c>
      <c r="K1743" s="113">
        <v>-30.3</v>
      </c>
      <c r="L1743" s="185"/>
      <c r="M1743" s="16">
        <v>1740</v>
      </c>
      <c r="N1743" s="16">
        <f t="shared" si="196"/>
        <v>1.8027733460330899E-2</v>
      </c>
      <c r="O1743" s="16">
        <v>5</v>
      </c>
      <c r="P1743" s="16">
        <f t="shared" si="192"/>
        <v>8.1742160278745661</v>
      </c>
      <c r="Q1743" s="16">
        <f t="shared" si="197"/>
        <v>55.470090136425</v>
      </c>
      <c r="R1743" s="113">
        <f t="shared" si="193"/>
        <v>319.54399999999998</v>
      </c>
      <c r="S1743" s="16">
        <f>IF(S1742=15800,15800,ROUND((((Q1743*60)/'Gearing Calculator'!$C$14)*'Track Data'!P1743),-2))</f>
        <v>13700</v>
      </c>
      <c r="T1743" s="16">
        <f t="shared" si="195"/>
        <v>3.7880882999290102</v>
      </c>
      <c r="U1743" s="16">
        <f>IF(AC1743=100,Braking!$AG$2354,IF(AC1743=50,Braking!$AG$1179,IF(AC1743=75,Braking!$AG$1767,0)))</f>
        <v>0</v>
      </c>
      <c r="V1743" s="16">
        <f>0.5*'Gearing Calculator'!$C$15*'Gearing Calculator'!$C$20*'Gearing Calculator'!$W$20*('Track Data'!Q1743^2)</f>
        <v>325.66236642881114</v>
      </c>
      <c r="W1743" s="16">
        <f>('Gearing Calculator'!$U$9*'Track Data'!T1743)+'Track Data'!V1743</f>
        <v>1334.0514718699137</v>
      </c>
      <c r="X1743" s="16">
        <f>('Gearing Calculator'!$U$9*9.81)*('Gearing Calculator'!$U$16/'Gearing Calculator'!$C$7)-(('Track Data'!W1743)*('Gearing Calculator'!$U$17/'Gearing Calculator'!$C$7))</f>
        <v>674.01314047568303</v>
      </c>
      <c r="Y1743" s="16">
        <f>('Gearing Calculator'!$U$9*9.81)*(('Gearing Calculator'!$C$7-'Gearing Calculator'!$U$16)/'Gearing Calculator'!$C$7)+(('Track Data'!W1743)*('Gearing Calculator'!$U$17/'Gearing Calculator'!$C$7))</f>
        <v>1937.408859524317</v>
      </c>
      <c r="Z1743" s="16">
        <f>((X1743*COS('Gearing Calculator'!$C$21))/'Gearing Calculator'!$C$22)/2</f>
        <v>20.838354581564658</v>
      </c>
      <c r="AA1743" s="16">
        <f>Y1743/'Gearing Calculator'!$C$24</f>
        <v>27.052725837760846</v>
      </c>
      <c r="AB1743" s="16">
        <f t="shared" si="191"/>
        <v>344.60280792845617</v>
      </c>
      <c r="AC1743" s="16">
        <v>0</v>
      </c>
      <c r="AD1743" s="16">
        <v>0</v>
      </c>
      <c r="AE1743" s="16">
        <v>1740</v>
      </c>
      <c r="AF1743" s="16">
        <f>IF(AC1743=0,IF(O1743=6,INDEX(Acceleration!$V$4:$V$110,MATCH('Track Data'!S1743,Acceleration!$K$4:$K$110,0)),IF('Track Data'!O1743=5,INDEX(Acceleration!$U$4:$U$110,MATCH('Track Data'!S1743,Acceleration!$K$4:$K$110,0)),1)),U1743)</f>
        <v>3.7880882999290102</v>
      </c>
      <c r="AG1743" s="16">
        <f>IF(AC1743=0,IF(O1743=4,INDEX(Acceleration!$T$4:$T$110,MATCH('Track Data'!S1743,Acceleration!$K$4:$K$110,0)),IF('Track Data'!O1743=3,INDEX(Acceleration!$S$4:$S$110,MATCH('Track Data'!S1743,Acceleration!$K$4:$K$110,0)),'Track Data'!AF1743)),'Track Data'!U1743)</f>
        <v>3.7880882999290102</v>
      </c>
      <c r="AH1743" s="16">
        <f>IF(AC1743=0,IF(O1743=2,INDEX(Acceleration!$R$4:$R$110,MATCH('Track Data'!S1743,Acceleration!$K$4:$K$110,0)),IF('Track Data'!O1743=1,INDEX(Acceleration!$Q$4:$Q$110,MATCH('Track Data'!S1743,Acceleration!$K$4:$K$110,0)),'Track Data'!AG1743)),'Track Data'!U1743)</f>
        <v>3.7880882999290102</v>
      </c>
    </row>
    <row r="1744" spans="2:34" x14ac:dyDescent="0.25">
      <c r="B1744" s="16">
        <v>243.589</v>
      </c>
      <c r="C1744" s="16">
        <v>9014</v>
      </c>
      <c r="D1744" s="16">
        <v>1741</v>
      </c>
      <c r="E1744" s="113">
        <v>202</v>
      </c>
      <c r="F1744" s="113">
        <v>202.9</v>
      </c>
      <c r="G1744" s="113">
        <v>193.5</v>
      </c>
      <c r="H1744" s="113">
        <f t="shared" si="194"/>
        <v>53.75</v>
      </c>
      <c r="I1744" s="113">
        <v>22.5</v>
      </c>
      <c r="J1744" s="113">
        <v>79.77</v>
      </c>
      <c r="K1744" s="113">
        <v>-32.700000000000003</v>
      </c>
      <c r="L1744" s="185"/>
      <c r="M1744" s="16">
        <v>1741</v>
      </c>
      <c r="N1744" s="16">
        <f t="shared" si="196"/>
        <v>1.80055799589737E-2</v>
      </c>
      <c r="O1744" s="16">
        <v>5</v>
      </c>
      <c r="P1744" s="16">
        <f t="shared" si="192"/>
        <v>8.1742160278745661</v>
      </c>
      <c r="Q1744" s="16">
        <f t="shared" si="197"/>
        <v>55.538338797113589</v>
      </c>
      <c r="R1744" s="113">
        <f t="shared" si="193"/>
        <v>319.54399999999998</v>
      </c>
      <c r="S1744" s="16">
        <f>IF(S1743=15800,15800,ROUND((((Q1744*60)/'Gearing Calculator'!$C$14)*'Track Data'!P1744),-2))</f>
        <v>13800</v>
      </c>
      <c r="T1744" s="16">
        <f t="shared" si="195"/>
        <v>3.7638916877888997</v>
      </c>
      <c r="U1744" s="16">
        <f>IF(AC1744=100,Braking!$AG$2354,IF(AC1744=50,Braking!$AG$1179,IF(AC1744=75,Braking!$AG$1767,0)))</f>
        <v>0</v>
      </c>
      <c r="V1744" s="16">
        <f>0.5*'Gearing Calculator'!$C$15*'Gearing Calculator'!$C$20*'Gearing Calculator'!$W$20*('Track Data'!Q1744^2)</f>
        <v>326.46422896014019</v>
      </c>
      <c r="W1744" s="16">
        <f>('Gearing Calculator'!$U$9*'Track Data'!T1744)+'Track Data'!V1744</f>
        <v>1328.4121962495451</v>
      </c>
      <c r="X1744" s="16">
        <f>('Gearing Calculator'!$U$9*9.81)*('Gearing Calculator'!$U$16/'Gearing Calculator'!$C$7)-(('Track Data'!W1744)*('Gearing Calculator'!$U$17/'Gearing Calculator'!$C$7))</f>
        <v>677.08693081596823</v>
      </c>
      <c r="Y1744" s="16">
        <f>('Gearing Calculator'!$U$9*9.81)*(('Gearing Calculator'!$C$7-'Gearing Calculator'!$U$16)/'Gearing Calculator'!$C$7)+(('Track Data'!W1744)*('Gearing Calculator'!$U$17/'Gearing Calculator'!$C$7))</f>
        <v>1934.3350691840319</v>
      </c>
      <c r="Z1744" s="16">
        <f>((X1744*COS('Gearing Calculator'!$C$21))/'Gearing Calculator'!$C$22)/2</f>
        <v>20.933386457315699</v>
      </c>
      <c r="AA1744" s="16">
        <f>Y1744/'Gearing Calculator'!$C$24</f>
        <v>27.009805414975691</v>
      </c>
      <c r="AB1744" s="16">
        <f t="shared" si="191"/>
        <v>345.28368739908467</v>
      </c>
      <c r="AC1744" s="16">
        <v>0</v>
      </c>
      <c r="AD1744" s="16">
        <v>0</v>
      </c>
      <c r="AE1744" s="16">
        <v>1741</v>
      </c>
      <c r="AF1744" s="16">
        <f>IF(AC1744=0,IF(O1744=6,INDEX(Acceleration!$V$4:$V$110,MATCH('Track Data'!S1744,Acceleration!$K$4:$K$110,0)),IF('Track Data'!O1744=5,INDEX(Acceleration!$U$4:$U$110,MATCH('Track Data'!S1744,Acceleration!$K$4:$K$110,0)),1)),U1744)</f>
        <v>3.7638916877888997</v>
      </c>
      <c r="AG1744" s="16">
        <f>IF(AC1744=0,IF(O1744=4,INDEX(Acceleration!$T$4:$T$110,MATCH('Track Data'!S1744,Acceleration!$K$4:$K$110,0)),IF('Track Data'!O1744=3,INDEX(Acceleration!$S$4:$S$110,MATCH('Track Data'!S1744,Acceleration!$K$4:$K$110,0)),'Track Data'!AF1744)),'Track Data'!U1744)</f>
        <v>3.7638916877888997</v>
      </c>
      <c r="AH1744" s="16">
        <f>IF(AC1744=0,IF(O1744=2,INDEX(Acceleration!$R$4:$R$110,MATCH('Track Data'!S1744,Acceleration!$K$4:$K$110,0)),IF('Track Data'!O1744=1,INDEX(Acceleration!$Q$4:$Q$110,MATCH('Track Data'!S1744,Acceleration!$K$4:$K$110,0)),'Track Data'!AG1744)),'Track Data'!U1744)</f>
        <v>3.7638916877888997</v>
      </c>
    </row>
    <row r="1745" spans="2:34" x14ac:dyDescent="0.25">
      <c r="B1745" s="16">
        <v>243.607</v>
      </c>
      <c r="C1745" s="16">
        <v>9015</v>
      </c>
      <c r="D1745" s="16">
        <v>1742</v>
      </c>
      <c r="E1745" s="113">
        <v>202</v>
      </c>
      <c r="F1745" s="113">
        <v>202.7</v>
      </c>
      <c r="G1745" s="113">
        <v>193.1</v>
      </c>
      <c r="H1745" s="113">
        <f t="shared" si="194"/>
        <v>53.638888888888886</v>
      </c>
      <c r="I1745" s="113">
        <v>22.3</v>
      </c>
      <c r="J1745" s="113">
        <v>74</v>
      </c>
      <c r="K1745" s="113">
        <v>-36.9</v>
      </c>
      <c r="L1745" s="185"/>
      <c r="M1745" s="16">
        <v>1742</v>
      </c>
      <c r="N1745" s="16">
        <f t="shared" si="196"/>
        <v>1.7983648656613685E-2</v>
      </c>
      <c r="O1745" s="16">
        <v>5</v>
      </c>
      <c r="P1745" s="16">
        <f t="shared" si="192"/>
        <v>8.1742160278745661</v>
      </c>
      <c r="Q1745" s="16">
        <f t="shared" si="197"/>
        <v>55.606068551180186</v>
      </c>
      <c r="R1745" s="113">
        <f t="shared" si="193"/>
        <v>319.54399999999998</v>
      </c>
      <c r="S1745" s="16">
        <f>IF(S1744=15800,15800,ROUND((((Q1745*60)/'Gearing Calculator'!$C$14)*'Track Data'!P1745),-2))</f>
        <v>13800</v>
      </c>
      <c r="T1745" s="16">
        <f t="shared" si="195"/>
        <v>3.7638916877888997</v>
      </c>
      <c r="U1745" s="16">
        <f>IF(AC1745=100,Braking!$AG$2354,IF(AC1745=50,Braking!$AG$1179,IF(AC1745=75,Braking!$AG$1767,0)))</f>
        <v>0</v>
      </c>
      <c r="V1745" s="16">
        <f>0.5*'Gearing Calculator'!$C$15*'Gearing Calculator'!$C$20*'Gearing Calculator'!$W$20*('Track Data'!Q1745^2)</f>
        <v>327.2609695526113</v>
      </c>
      <c r="W1745" s="16">
        <f>('Gearing Calculator'!$U$9*'Track Data'!T1745)+'Track Data'!V1745</f>
        <v>1329.2089368420163</v>
      </c>
      <c r="X1745" s="16">
        <f>('Gearing Calculator'!$U$9*9.81)*('Gearing Calculator'!$U$16/'Gearing Calculator'!$C$7)-(('Track Data'!W1745)*('Gearing Calculator'!$U$17/'Gearing Calculator'!$C$7))</f>
        <v>676.65265278068205</v>
      </c>
      <c r="Y1745" s="16">
        <f>('Gearing Calculator'!$U$9*9.81)*(('Gearing Calculator'!$C$7-'Gearing Calculator'!$U$16)/'Gearing Calculator'!$C$7)+(('Track Data'!W1745)*('Gearing Calculator'!$U$17/'Gearing Calculator'!$C$7))</f>
        <v>1934.769347219318</v>
      </c>
      <c r="Z1745" s="16">
        <f>((X1745*COS('Gearing Calculator'!$C$21))/'Gearing Calculator'!$C$22)/2</f>
        <v>20.919959953969052</v>
      </c>
      <c r="AA1745" s="16">
        <f>Y1745/'Gearing Calculator'!$C$24</f>
        <v>27.015869392936875</v>
      </c>
      <c r="AB1745" s="16">
        <f t="shared" si="191"/>
        <v>346.08042799155578</v>
      </c>
      <c r="AC1745" s="16">
        <v>0</v>
      </c>
      <c r="AD1745" s="16">
        <v>0</v>
      </c>
      <c r="AE1745" s="16">
        <v>1742</v>
      </c>
      <c r="AF1745" s="16">
        <f>IF(AC1745=0,IF(O1745=6,INDEX(Acceleration!$V$4:$V$110,MATCH('Track Data'!S1745,Acceleration!$K$4:$K$110,0)),IF('Track Data'!O1745=5,INDEX(Acceleration!$U$4:$U$110,MATCH('Track Data'!S1745,Acceleration!$K$4:$K$110,0)),1)),U1745)</f>
        <v>3.7638916877888997</v>
      </c>
      <c r="AG1745" s="16">
        <f>IF(AC1745=0,IF(O1745=4,INDEX(Acceleration!$T$4:$T$110,MATCH('Track Data'!S1745,Acceleration!$K$4:$K$110,0)),IF('Track Data'!O1745=3,INDEX(Acceleration!$S$4:$S$110,MATCH('Track Data'!S1745,Acceleration!$K$4:$K$110,0)),'Track Data'!AF1745)),'Track Data'!U1745)</f>
        <v>3.7638916877888997</v>
      </c>
      <c r="AH1745" s="16">
        <f>IF(AC1745=0,IF(O1745=2,INDEX(Acceleration!$R$4:$R$110,MATCH('Track Data'!S1745,Acceleration!$K$4:$K$110,0)),IF('Track Data'!O1745=1,INDEX(Acceleration!$Q$4:$Q$110,MATCH('Track Data'!S1745,Acceleration!$K$4:$K$110,0)),'Track Data'!AG1745)),'Track Data'!U1745)</f>
        <v>3.7638916877888997</v>
      </c>
    </row>
    <row r="1746" spans="2:34" x14ac:dyDescent="0.25">
      <c r="B1746" s="16">
        <v>243.624</v>
      </c>
      <c r="C1746" s="16">
        <v>9016</v>
      </c>
      <c r="D1746" s="16">
        <v>1743</v>
      </c>
      <c r="E1746" s="113">
        <v>201</v>
      </c>
      <c r="F1746" s="113">
        <v>203.2</v>
      </c>
      <c r="G1746" s="113">
        <v>192.8</v>
      </c>
      <c r="H1746" s="113">
        <f t="shared" si="194"/>
        <v>53.555555555555557</v>
      </c>
      <c r="I1746" s="113">
        <v>18</v>
      </c>
      <c r="J1746" s="113">
        <v>67.23</v>
      </c>
      <c r="K1746" s="113">
        <v>-37.6</v>
      </c>
      <c r="L1746" s="185"/>
      <c r="M1746" s="16">
        <v>1743</v>
      </c>
      <c r="N1746" s="16">
        <f t="shared" si="196"/>
        <v>1.796179729835275E-2</v>
      </c>
      <c r="O1746" s="16">
        <v>5</v>
      </c>
      <c r="P1746" s="16">
        <f t="shared" si="192"/>
        <v>8.1742160278745661</v>
      </c>
      <c r="Q1746" s="16">
        <f t="shared" si="197"/>
        <v>55.67371590880321</v>
      </c>
      <c r="R1746" s="113">
        <f t="shared" si="193"/>
        <v>319.54399999999998</v>
      </c>
      <c r="S1746" s="16">
        <f>IF(S1745=15800,15800,ROUND((((Q1746*60)/'Gearing Calculator'!$C$14)*'Track Data'!P1746),-2))</f>
        <v>13800</v>
      </c>
      <c r="T1746" s="16">
        <f t="shared" si="195"/>
        <v>3.7638916877888997</v>
      </c>
      <c r="U1746" s="16">
        <f>IF(AC1746=100,Braking!$AG$2354,IF(AC1746=50,Braking!$AG$1179,IF(AC1746=75,Braking!$AG$1767,0)))</f>
        <v>0</v>
      </c>
      <c r="V1746" s="16">
        <f>0.5*'Gearing Calculator'!$C$15*'Gearing Calculator'!$C$20*'Gearing Calculator'!$W$20*('Track Data'!Q1746^2)</f>
        <v>328.05771014508241</v>
      </c>
      <c r="W1746" s="16">
        <f>('Gearing Calculator'!$U$9*'Track Data'!T1746)+'Track Data'!V1746</f>
        <v>1330.0056774344876</v>
      </c>
      <c r="X1746" s="16">
        <f>('Gearing Calculator'!$U$9*9.81)*('Gearing Calculator'!$U$16/'Gearing Calculator'!$C$7)-(('Track Data'!W1746)*('Gearing Calculator'!$U$17/'Gearing Calculator'!$C$7))</f>
        <v>676.21837474539575</v>
      </c>
      <c r="Y1746" s="16">
        <f>('Gearing Calculator'!$U$9*9.81)*(('Gearing Calculator'!$C$7-'Gearing Calculator'!$U$16)/'Gearing Calculator'!$C$7)+(('Track Data'!W1746)*('Gearing Calculator'!$U$17/'Gearing Calculator'!$C$7))</f>
        <v>1935.2036252546043</v>
      </c>
      <c r="Z1746" s="16">
        <f>((X1746*COS('Gearing Calculator'!$C$21))/'Gearing Calculator'!$C$22)/2</f>
        <v>20.906533450622405</v>
      </c>
      <c r="AA1746" s="16">
        <f>Y1746/'Gearing Calculator'!$C$24</f>
        <v>27.021933370898061</v>
      </c>
      <c r="AB1746" s="16">
        <f t="shared" si="191"/>
        <v>346.87716858402689</v>
      </c>
      <c r="AC1746" s="16">
        <v>0</v>
      </c>
      <c r="AD1746" s="16">
        <v>0</v>
      </c>
      <c r="AE1746" s="16">
        <v>1743</v>
      </c>
      <c r="AF1746" s="16">
        <f>IF(AC1746=0,IF(O1746=6,INDEX(Acceleration!$V$4:$V$110,MATCH('Track Data'!S1746,Acceleration!$K$4:$K$110,0)),IF('Track Data'!O1746=5,INDEX(Acceleration!$U$4:$U$110,MATCH('Track Data'!S1746,Acceleration!$K$4:$K$110,0)),1)),U1746)</f>
        <v>3.7638916877888997</v>
      </c>
      <c r="AG1746" s="16">
        <f>IF(AC1746=0,IF(O1746=4,INDEX(Acceleration!$T$4:$T$110,MATCH('Track Data'!S1746,Acceleration!$K$4:$K$110,0)),IF('Track Data'!O1746=3,INDEX(Acceleration!$S$4:$S$110,MATCH('Track Data'!S1746,Acceleration!$K$4:$K$110,0)),'Track Data'!AF1746)),'Track Data'!U1746)</f>
        <v>3.7638916877888997</v>
      </c>
      <c r="AH1746" s="16">
        <f>IF(AC1746=0,IF(O1746=2,INDEX(Acceleration!$R$4:$R$110,MATCH('Track Data'!S1746,Acceleration!$K$4:$K$110,0)),IF('Track Data'!O1746=1,INDEX(Acceleration!$Q$4:$Q$110,MATCH('Track Data'!S1746,Acceleration!$K$4:$K$110,0)),'Track Data'!AG1746)),'Track Data'!U1746)</f>
        <v>3.7638916877888997</v>
      </c>
    </row>
    <row r="1747" spans="2:34" x14ac:dyDescent="0.25">
      <c r="B1747" s="16">
        <v>243.642</v>
      </c>
      <c r="C1747" s="16">
        <v>9018</v>
      </c>
      <c r="D1747" s="16">
        <v>1744</v>
      </c>
      <c r="E1747" s="113">
        <v>201</v>
      </c>
      <c r="F1747" s="113">
        <v>203.6</v>
      </c>
      <c r="G1747" s="113">
        <v>192.5</v>
      </c>
      <c r="H1747" s="113">
        <f t="shared" si="194"/>
        <v>53.472222222222221</v>
      </c>
      <c r="I1747" s="113">
        <v>10.199999999999999</v>
      </c>
      <c r="J1747" s="113">
        <v>65.02</v>
      </c>
      <c r="K1747" s="113">
        <v>-38.299999999999997</v>
      </c>
      <c r="L1747" s="185"/>
      <c r="M1747" s="16">
        <v>1744</v>
      </c>
      <c r="N1747" s="16">
        <f t="shared" si="196"/>
        <v>1.794002539968045E-2</v>
      </c>
      <c r="O1747" s="16">
        <v>5</v>
      </c>
      <c r="P1747" s="16">
        <f t="shared" si="192"/>
        <v>8.1742160278745661</v>
      </c>
      <c r="Q1747" s="16">
        <f t="shared" si="197"/>
        <v>55.741281169970478</v>
      </c>
      <c r="R1747" s="113">
        <f t="shared" si="193"/>
        <v>319.54399999999998</v>
      </c>
      <c r="S1747" s="16">
        <f>IF(S1746=15800,15800,ROUND((((Q1747*60)/'Gearing Calculator'!$C$14)*'Track Data'!P1747),-2))</f>
        <v>13800</v>
      </c>
      <c r="T1747" s="16">
        <f t="shared" si="195"/>
        <v>3.7638916877888997</v>
      </c>
      <c r="U1747" s="16">
        <f>IF(AC1747=100,Braking!$AG$2354,IF(AC1747=50,Braking!$AG$1179,IF(AC1747=75,Braking!$AG$1767,0)))</f>
        <v>0</v>
      </c>
      <c r="V1747" s="16">
        <f>0.5*'Gearing Calculator'!$C$15*'Gearing Calculator'!$C$20*'Gearing Calculator'!$W$20*('Track Data'!Q1747^2)</f>
        <v>328.85445073755358</v>
      </c>
      <c r="W1747" s="16">
        <f>('Gearing Calculator'!$U$9*'Track Data'!T1747)+'Track Data'!V1747</f>
        <v>1330.8024180269585</v>
      </c>
      <c r="X1747" s="16">
        <f>('Gearing Calculator'!$U$9*9.81)*('Gearing Calculator'!$U$16/'Gearing Calculator'!$C$7)-(('Track Data'!W1747)*('Gearing Calculator'!$U$17/'Gearing Calculator'!$C$7))</f>
        <v>675.78409671010968</v>
      </c>
      <c r="Y1747" s="16">
        <f>('Gearing Calculator'!$U$9*9.81)*(('Gearing Calculator'!$C$7-'Gearing Calculator'!$U$16)/'Gearing Calculator'!$C$7)+(('Track Data'!W1747)*('Gearing Calculator'!$U$17/'Gearing Calculator'!$C$7))</f>
        <v>1935.6379032898903</v>
      </c>
      <c r="Z1747" s="16">
        <f>((X1747*COS('Gearing Calculator'!$C$21))/'Gearing Calculator'!$C$22)/2</f>
        <v>20.893106947275765</v>
      </c>
      <c r="AA1747" s="16">
        <f>Y1747/'Gearing Calculator'!$C$24</f>
        <v>27.027997348859241</v>
      </c>
      <c r="AB1747" s="16">
        <f t="shared" si="191"/>
        <v>347.67390917649806</v>
      </c>
      <c r="AC1747" s="16">
        <v>0</v>
      </c>
      <c r="AD1747" s="16">
        <v>0</v>
      </c>
      <c r="AE1747" s="16">
        <v>1744</v>
      </c>
      <c r="AF1747" s="16">
        <f>IF(AC1747=0,IF(O1747=6,INDEX(Acceleration!$V$4:$V$110,MATCH('Track Data'!S1747,Acceleration!$K$4:$K$110,0)),IF('Track Data'!O1747=5,INDEX(Acceleration!$U$4:$U$110,MATCH('Track Data'!S1747,Acceleration!$K$4:$K$110,0)),1)),U1747)</f>
        <v>3.7638916877888997</v>
      </c>
      <c r="AG1747" s="16">
        <f>IF(AC1747=0,IF(O1747=4,INDEX(Acceleration!$T$4:$T$110,MATCH('Track Data'!S1747,Acceleration!$K$4:$K$110,0)),IF('Track Data'!O1747=3,INDEX(Acceleration!$S$4:$S$110,MATCH('Track Data'!S1747,Acceleration!$K$4:$K$110,0)),'Track Data'!AF1747)),'Track Data'!U1747)</f>
        <v>3.7638916877888997</v>
      </c>
      <c r="AH1747" s="16">
        <f>IF(AC1747=0,IF(O1747=2,INDEX(Acceleration!$R$4:$R$110,MATCH('Track Data'!S1747,Acceleration!$K$4:$K$110,0)),IF('Track Data'!O1747=1,INDEX(Acceleration!$Q$4:$Q$110,MATCH('Track Data'!S1747,Acceleration!$K$4:$K$110,0)),'Track Data'!AG1747)),'Track Data'!U1747)</f>
        <v>3.7638916877888997</v>
      </c>
    </row>
    <row r="1748" spans="2:34" x14ac:dyDescent="0.25">
      <c r="B1748" s="16">
        <v>243.65899999999999</v>
      </c>
      <c r="C1748" s="16">
        <v>9019</v>
      </c>
      <c r="D1748" s="16">
        <v>1745</v>
      </c>
      <c r="E1748" s="113">
        <v>201</v>
      </c>
      <c r="F1748" s="113">
        <v>203.5</v>
      </c>
      <c r="G1748" s="113">
        <v>192.3</v>
      </c>
      <c r="H1748" s="113">
        <f t="shared" si="194"/>
        <v>53.416666666666671</v>
      </c>
      <c r="I1748" s="113">
        <v>7.6</v>
      </c>
      <c r="J1748" s="113">
        <v>63.41</v>
      </c>
      <c r="K1748" s="113">
        <v>-38.700000000000003</v>
      </c>
      <c r="L1748" s="185"/>
      <c r="M1748" s="16">
        <v>1745</v>
      </c>
      <c r="N1748" s="16">
        <f t="shared" si="196"/>
        <v>1.7918332480187406E-2</v>
      </c>
      <c r="O1748" s="16">
        <v>5</v>
      </c>
      <c r="P1748" s="16">
        <f t="shared" si="192"/>
        <v>8.1742160278745661</v>
      </c>
      <c r="Q1748" s="16">
        <f t="shared" si="197"/>
        <v>55.808764632853887</v>
      </c>
      <c r="R1748" s="113">
        <f t="shared" si="193"/>
        <v>319.54399999999998</v>
      </c>
      <c r="S1748" s="16">
        <f>IF(S1747=15800,15800,ROUND((((Q1748*60)/'Gearing Calculator'!$C$14)*'Track Data'!P1748),-2))</f>
        <v>13800</v>
      </c>
      <c r="T1748" s="16">
        <f t="shared" si="195"/>
        <v>3.7638916877888997</v>
      </c>
      <c r="U1748" s="16">
        <f>IF(AC1748=100,Braking!$AG$2354,IF(AC1748=50,Braking!$AG$1179,IF(AC1748=75,Braking!$AG$1767,0)))</f>
        <v>0</v>
      </c>
      <c r="V1748" s="16">
        <f>0.5*'Gearing Calculator'!$C$15*'Gearing Calculator'!$C$20*'Gearing Calculator'!$W$20*('Track Data'!Q1748^2)</f>
        <v>329.65119133002469</v>
      </c>
      <c r="W1748" s="16">
        <f>('Gearing Calculator'!$U$9*'Track Data'!T1748)+'Track Data'!V1748</f>
        <v>1331.5991586194298</v>
      </c>
      <c r="X1748" s="16">
        <f>('Gearing Calculator'!$U$9*9.81)*('Gearing Calculator'!$U$16/'Gearing Calculator'!$C$7)-(('Track Data'!W1748)*('Gearing Calculator'!$U$17/'Gearing Calculator'!$C$7))</f>
        <v>675.3498186748235</v>
      </c>
      <c r="Y1748" s="16">
        <f>('Gearing Calculator'!$U$9*9.81)*(('Gearing Calculator'!$C$7-'Gearing Calculator'!$U$16)/'Gearing Calculator'!$C$7)+(('Track Data'!W1748)*('Gearing Calculator'!$U$17/'Gearing Calculator'!$C$7))</f>
        <v>1936.0721813251766</v>
      </c>
      <c r="Z1748" s="16">
        <f>((X1748*COS('Gearing Calculator'!$C$21))/'Gearing Calculator'!$C$22)/2</f>
        <v>20.879680443929118</v>
      </c>
      <c r="AA1748" s="16">
        <f>Y1748/'Gearing Calculator'!$C$24</f>
        <v>27.034061326820428</v>
      </c>
      <c r="AB1748" s="16">
        <f t="shared" si="191"/>
        <v>348.47064976896917</v>
      </c>
      <c r="AC1748" s="16">
        <v>0</v>
      </c>
      <c r="AD1748" s="16">
        <v>0</v>
      </c>
      <c r="AE1748" s="16">
        <v>1745</v>
      </c>
      <c r="AF1748" s="16">
        <f>IF(AC1748=0,IF(O1748=6,INDEX(Acceleration!$V$4:$V$110,MATCH('Track Data'!S1748,Acceleration!$K$4:$K$110,0)),IF('Track Data'!O1748=5,INDEX(Acceleration!$U$4:$U$110,MATCH('Track Data'!S1748,Acceleration!$K$4:$K$110,0)),1)),U1748)</f>
        <v>3.7638916877888997</v>
      </c>
      <c r="AG1748" s="16">
        <f>IF(AC1748=0,IF(O1748=4,INDEX(Acceleration!$T$4:$T$110,MATCH('Track Data'!S1748,Acceleration!$K$4:$K$110,0)),IF('Track Data'!O1748=3,INDEX(Acceleration!$S$4:$S$110,MATCH('Track Data'!S1748,Acceleration!$K$4:$K$110,0)),'Track Data'!AF1748)),'Track Data'!U1748)</f>
        <v>3.7638916877888997</v>
      </c>
      <c r="AH1748" s="16">
        <f>IF(AC1748=0,IF(O1748=2,INDEX(Acceleration!$R$4:$R$110,MATCH('Track Data'!S1748,Acceleration!$K$4:$K$110,0)),IF('Track Data'!O1748=1,INDEX(Acceleration!$Q$4:$Q$110,MATCH('Track Data'!S1748,Acceleration!$K$4:$K$110,0)),'Track Data'!AG1748)),'Track Data'!U1748)</f>
        <v>3.7638916877888997</v>
      </c>
    </row>
    <row r="1749" spans="2:34" x14ac:dyDescent="0.25">
      <c r="B1749" s="16">
        <v>243.678</v>
      </c>
      <c r="C1749" s="16">
        <v>9019</v>
      </c>
      <c r="D1749" s="16">
        <v>1746</v>
      </c>
      <c r="E1749" s="113">
        <v>200</v>
      </c>
      <c r="F1749" s="113">
        <v>203.3</v>
      </c>
      <c r="G1749" s="113">
        <v>192</v>
      </c>
      <c r="H1749" s="113">
        <f t="shared" si="194"/>
        <v>53.333333333333329</v>
      </c>
      <c r="I1749" s="113">
        <v>5.9</v>
      </c>
      <c r="J1749" s="113">
        <v>62.76</v>
      </c>
      <c r="K1749" s="113">
        <v>-39.5</v>
      </c>
      <c r="L1749" s="185"/>
      <c r="M1749" s="16">
        <v>1746</v>
      </c>
      <c r="N1749" s="16">
        <f t="shared" si="196"/>
        <v>1.7896718063520774E-2</v>
      </c>
      <c r="O1749" s="16">
        <v>5</v>
      </c>
      <c r="P1749" s="16">
        <f t="shared" si="192"/>
        <v>8.1742160278745661</v>
      </c>
      <c r="Q1749" s="16">
        <f t="shared" si="197"/>
        <v>55.876166593824784</v>
      </c>
      <c r="R1749" s="113">
        <f t="shared" si="193"/>
        <v>319.54399999999998</v>
      </c>
      <c r="S1749" s="16">
        <f>IF(S1748=15800,15800,ROUND((((Q1749*60)/'Gearing Calculator'!$C$14)*'Track Data'!P1749),-2))</f>
        <v>13800</v>
      </c>
      <c r="T1749" s="16">
        <f t="shared" si="195"/>
        <v>3.7638916877888997</v>
      </c>
      <c r="U1749" s="16">
        <f>IF(AC1749=100,Braking!$AG$2354,IF(AC1749=50,Braking!$AG$1179,IF(AC1749=75,Braking!$AG$1767,0)))</f>
        <v>0</v>
      </c>
      <c r="V1749" s="16">
        <f>0.5*'Gearing Calculator'!$C$15*'Gearing Calculator'!$C$20*'Gearing Calculator'!$W$20*('Track Data'!Q1749^2)</f>
        <v>330.44793192249585</v>
      </c>
      <c r="W1749" s="16">
        <f>('Gearing Calculator'!$U$9*'Track Data'!T1749)+'Track Data'!V1749</f>
        <v>1332.395899211901</v>
      </c>
      <c r="X1749" s="16">
        <f>('Gearing Calculator'!$U$9*9.81)*('Gearing Calculator'!$U$16/'Gearing Calculator'!$C$7)-(('Track Data'!W1749)*('Gearing Calculator'!$U$17/'Gearing Calculator'!$C$7))</f>
        <v>674.9155406395372</v>
      </c>
      <c r="Y1749" s="16">
        <f>('Gearing Calculator'!$U$9*9.81)*(('Gearing Calculator'!$C$7-'Gearing Calculator'!$U$16)/'Gearing Calculator'!$C$7)+(('Track Data'!W1749)*('Gearing Calculator'!$U$17/'Gearing Calculator'!$C$7))</f>
        <v>1936.5064593604629</v>
      </c>
      <c r="Z1749" s="16">
        <f>((X1749*COS('Gearing Calculator'!$C$21))/'Gearing Calculator'!$C$22)/2</f>
        <v>20.866253940582471</v>
      </c>
      <c r="AA1749" s="16">
        <f>Y1749/'Gearing Calculator'!$C$24</f>
        <v>27.040125304781615</v>
      </c>
      <c r="AB1749" s="16">
        <f t="shared" si="191"/>
        <v>349.26739036144033</v>
      </c>
      <c r="AC1749" s="16">
        <v>0</v>
      </c>
      <c r="AD1749" s="16">
        <v>0</v>
      </c>
      <c r="AE1749" s="16">
        <v>1746</v>
      </c>
      <c r="AF1749" s="16">
        <f>IF(AC1749=0,IF(O1749=6,INDEX(Acceleration!$V$4:$V$110,MATCH('Track Data'!S1749,Acceleration!$K$4:$K$110,0)),IF('Track Data'!O1749=5,INDEX(Acceleration!$U$4:$U$110,MATCH('Track Data'!S1749,Acceleration!$K$4:$K$110,0)),1)),U1749)</f>
        <v>3.7638916877888997</v>
      </c>
      <c r="AG1749" s="16">
        <f>IF(AC1749=0,IF(O1749=4,INDEX(Acceleration!$T$4:$T$110,MATCH('Track Data'!S1749,Acceleration!$K$4:$K$110,0)),IF('Track Data'!O1749=3,INDEX(Acceleration!$S$4:$S$110,MATCH('Track Data'!S1749,Acceleration!$K$4:$K$110,0)),'Track Data'!AF1749)),'Track Data'!U1749)</f>
        <v>3.7638916877888997</v>
      </c>
      <c r="AH1749" s="16">
        <f>IF(AC1749=0,IF(O1749=2,INDEX(Acceleration!$R$4:$R$110,MATCH('Track Data'!S1749,Acceleration!$K$4:$K$110,0)),IF('Track Data'!O1749=1,INDEX(Acceleration!$Q$4:$Q$110,MATCH('Track Data'!S1749,Acceleration!$K$4:$K$110,0)),'Track Data'!AG1749)),'Track Data'!U1749)</f>
        <v>3.7638916877888997</v>
      </c>
    </row>
    <row r="1750" spans="2:34" x14ac:dyDescent="0.25">
      <c r="B1750" s="16">
        <v>243.69499999999999</v>
      </c>
      <c r="C1750" s="16">
        <v>9020</v>
      </c>
      <c r="D1750" s="16">
        <v>1747</v>
      </c>
      <c r="E1750" s="113">
        <v>200</v>
      </c>
      <c r="F1750" s="113">
        <v>202.8</v>
      </c>
      <c r="G1750" s="113">
        <v>191.7</v>
      </c>
      <c r="H1750" s="113">
        <f t="shared" si="194"/>
        <v>53.249999999999993</v>
      </c>
      <c r="I1750" s="113">
        <v>7.3</v>
      </c>
      <c r="J1750" s="113">
        <v>63.39</v>
      </c>
      <c r="K1750" s="113">
        <v>-37.5</v>
      </c>
      <c r="L1750" s="185"/>
      <c r="M1750" s="16">
        <v>1747</v>
      </c>
      <c r="N1750" s="16">
        <f t="shared" si="196"/>
        <v>1.7875181677340316E-2</v>
      </c>
      <c r="O1750" s="16">
        <v>5</v>
      </c>
      <c r="P1750" s="16">
        <f t="shared" si="192"/>
        <v>8.1742160278745661</v>
      </c>
      <c r="Q1750" s="16">
        <f t="shared" si="197"/>
        <v>55.94348734746913</v>
      </c>
      <c r="R1750" s="113">
        <f t="shared" si="193"/>
        <v>319.54399999999998</v>
      </c>
      <c r="S1750" s="16">
        <f>IF(S1749=15800,15800,ROUND((((Q1750*60)/'Gearing Calculator'!$C$14)*'Track Data'!P1750),-2))</f>
        <v>13900</v>
      </c>
      <c r="T1750" s="16">
        <f t="shared" si="195"/>
        <v>3.7397870966213724</v>
      </c>
      <c r="U1750" s="16">
        <f>IF(AC1750=100,Braking!$AG$2354,IF(AC1750=50,Braking!$AG$1179,IF(AC1750=75,Braking!$AG$1767,0)))</f>
        <v>0</v>
      </c>
      <c r="V1750" s="16">
        <f>0.5*'Gearing Calculator'!$C$15*'Gearing Calculator'!$C$20*'Gearing Calculator'!$W$20*('Track Data'!Q1750^2)</f>
        <v>331.24467251496702</v>
      </c>
      <c r="W1750" s="16">
        <f>('Gearing Calculator'!$U$9*'Track Data'!T1750)+'Track Data'!V1750</f>
        <v>1326.7759976355762</v>
      </c>
      <c r="X1750" s="16">
        <f>('Gearing Calculator'!$U$9*9.81)*('Gearing Calculator'!$U$16/'Gearing Calculator'!$C$7)-(('Track Data'!W1750)*('Gearing Calculator'!$U$17/'Gearing Calculator'!$C$7))</f>
        <v>677.97877080269279</v>
      </c>
      <c r="Y1750" s="16">
        <f>('Gearing Calculator'!$U$9*9.81)*(('Gearing Calculator'!$C$7-'Gearing Calculator'!$U$16)/'Gearing Calculator'!$C$7)+(('Track Data'!W1750)*('Gearing Calculator'!$U$17/'Gearing Calculator'!$C$7))</f>
        <v>1933.4432291973071</v>
      </c>
      <c r="Z1750" s="16">
        <f>((X1750*COS('Gearing Calculator'!$C$21))/'Gearing Calculator'!$C$22)/2</f>
        <v>20.960959329055658</v>
      </c>
      <c r="AA1750" s="16">
        <f>Y1750/'Gearing Calculator'!$C$24</f>
        <v>26.997352337488504</v>
      </c>
      <c r="AB1750" s="16">
        <f t="shared" si="191"/>
        <v>349.9436079980739</v>
      </c>
      <c r="AC1750" s="16">
        <v>0</v>
      </c>
      <c r="AD1750" s="16">
        <v>0</v>
      </c>
      <c r="AE1750" s="16">
        <v>1747</v>
      </c>
      <c r="AF1750" s="16">
        <f>IF(AC1750=0,IF(O1750=6,INDEX(Acceleration!$V$4:$V$110,MATCH('Track Data'!S1750,Acceleration!$K$4:$K$110,0)),IF('Track Data'!O1750=5,INDEX(Acceleration!$U$4:$U$110,MATCH('Track Data'!S1750,Acceleration!$K$4:$K$110,0)),1)),U1750)</f>
        <v>3.7397870966213724</v>
      </c>
      <c r="AG1750" s="16">
        <f>IF(AC1750=0,IF(O1750=4,INDEX(Acceleration!$T$4:$T$110,MATCH('Track Data'!S1750,Acceleration!$K$4:$K$110,0)),IF('Track Data'!O1750=3,INDEX(Acceleration!$S$4:$S$110,MATCH('Track Data'!S1750,Acceleration!$K$4:$K$110,0)),'Track Data'!AF1750)),'Track Data'!U1750)</f>
        <v>3.7397870966213724</v>
      </c>
      <c r="AH1750" s="16">
        <f>IF(AC1750=0,IF(O1750=2,INDEX(Acceleration!$R$4:$R$110,MATCH('Track Data'!S1750,Acceleration!$K$4:$K$110,0)),IF('Track Data'!O1750=1,INDEX(Acceleration!$Q$4:$Q$110,MATCH('Track Data'!S1750,Acceleration!$K$4:$K$110,0)),'Track Data'!AG1750)),'Track Data'!U1750)</f>
        <v>3.7397870966213724</v>
      </c>
    </row>
    <row r="1751" spans="2:34" x14ac:dyDescent="0.25">
      <c r="B1751" s="16">
        <v>243.71299999999999</v>
      </c>
      <c r="C1751" s="16">
        <v>9021</v>
      </c>
      <c r="D1751" s="16">
        <v>1748</v>
      </c>
      <c r="E1751" s="113">
        <v>200</v>
      </c>
      <c r="F1751" s="113">
        <v>202.2</v>
      </c>
      <c r="G1751" s="113">
        <v>191.4</v>
      </c>
      <c r="H1751" s="113">
        <f t="shared" si="194"/>
        <v>53.166666666666664</v>
      </c>
      <c r="I1751" s="113">
        <v>8.6</v>
      </c>
      <c r="J1751" s="113">
        <v>66.58</v>
      </c>
      <c r="K1751" s="113">
        <v>-34.4</v>
      </c>
      <c r="L1751" s="185"/>
      <c r="M1751" s="16">
        <v>1748</v>
      </c>
      <c r="N1751" s="16">
        <f t="shared" si="196"/>
        <v>1.7853860033383497E-2</v>
      </c>
      <c r="O1751" s="16">
        <v>5</v>
      </c>
      <c r="P1751" s="16">
        <f t="shared" si="192"/>
        <v>8.1742160278745661</v>
      </c>
      <c r="Q1751" s="16">
        <f t="shared" si="197"/>
        <v>56.010296828259008</v>
      </c>
      <c r="R1751" s="113">
        <f t="shared" si="193"/>
        <v>319.54399999999998</v>
      </c>
      <c r="S1751" s="16">
        <f>IF(S1750=15800,15800,ROUND((((Q1751*60)/'Gearing Calculator'!$C$14)*'Track Data'!P1751),-2))</f>
        <v>13900</v>
      </c>
      <c r="T1751" s="16">
        <f t="shared" si="195"/>
        <v>3.7397870966213724</v>
      </c>
      <c r="U1751" s="16">
        <f>IF(AC1751=100,Braking!$AG$2354,IF(AC1751=50,Braking!$AG$1179,IF(AC1751=75,Braking!$AG$1767,0)))</f>
        <v>0</v>
      </c>
      <c r="V1751" s="16">
        <f>0.5*'Gearing Calculator'!$C$15*'Gearing Calculator'!$C$20*'Gearing Calculator'!$W$20*('Track Data'!Q1751^2)</f>
        <v>332.0363106475798</v>
      </c>
      <c r="W1751" s="16">
        <f>('Gearing Calculator'!$U$9*'Track Data'!T1751)+'Track Data'!V1751</f>
        <v>1327.5676357681891</v>
      </c>
      <c r="X1751" s="16">
        <f>('Gearing Calculator'!$U$9*9.81)*('Gearing Calculator'!$U$16/'Gearing Calculator'!$C$7)-(('Track Data'!W1751)*('Gearing Calculator'!$U$17/'Gearing Calculator'!$C$7))</f>
        <v>677.54727395649536</v>
      </c>
      <c r="Y1751" s="16">
        <f>('Gearing Calculator'!$U$9*9.81)*(('Gearing Calculator'!$C$7-'Gearing Calculator'!$U$16)/'Gearing Calculator'!$C$7)+(('Track Data'!W1751)*('Gearing Calculator'!$U$17/'Gearing Calculator'!$C$7))</f>
        <v>1933.8747260435048</v>
      </c>
      <c r="Z1751" s="16">
        <f>((X1751*COS('Gearing Calculator'!$C$21))/'Gearing Calculator'!$C$22)/2</f>
        <v>20.947618811279483</v>
      </c>
      <c r="AA1751" s="16">
        <f>Y1751/'Gearing Calculator'!$C$24</f>
        <v>27.003377480721777</v>
      </c>
      <c r="AB1751" s="16">
        <f t="shared" si="191"/>
        <v>350.73524613068668</v>
      </c>
      <c r="AC1751" s="16">
        <v>0</v>
      </c>
      <c r="AD1751" s="16">
        <v>0</v>
      </c>
      <c r="AE1751" s="16">
        <v>1748</v>
      </c>
      <c r="AF1751" s="16">
        <f>IF(AC1751=0,IF(O1751=6,INDEX(Acceleration!$V$4:$V$110,MATCH('Track Data'!S1751,Acceleration!$K$4:$K$110,0)),IF('Track Data'!O1751=5,INDEX(Acceleration!$U$4:$U$110,MATCH('Track Data'!S1751,Acceleration!$K$4:$K$110,0)),1)),U1751)</f>
        <v>3.7397870966213724</v>
      </c>
      <c r="AG1751" s="16">
        <f>IF(AC1751=0,IF(O1751=4,INDEX(Acceleration!$T$4:$T$110,MATCH('Track Data'!S1751,Acceleration!$K$4:$K$110,0)),IF('Track Data'!O1751=3,INDEX(Acceleration!$S$4:$S$110,MATCH('Track Data'!S1751,Acceleration!$K$4:$K$110,0)),'Track Data'!AF1751)),'Track Data'!U1751)</f>
        <v>3.7397870966213724</v>
      </c>
      <c r="AH1751" s="16">
        <f>IF(AC1751=0,IF(O1751=2,INDEX(Acceleration!$R$4:$R$110,MATCH('Track Data'!S1751,Acceleration!$K$4:$K$110,0)),IF('Track Data'!O1751=1,INDEX(Acceleration!$Q$4:$Q$110,MATCH('Track Data'!S1751,Acceleration!$K$4:$K$110,0)),'Track Data'!AG1751)),'Track Data'!U1751)</f>
        <v>3.7397870966213724</v>
      </c>
    </row>
    <row r="1752" spans="2:34" x14ac:dyDescent="0.25">
      <c r="B1752" s="16">
        <v>243.73099999999999</v>
      </c>
      <c r="C1752" s="16">
        <v>9022</v>
      </c>
      <c r="D1752" s="16">
        <v>1749</v>
      </c>
      <c r="E1752" s="113">
        <v>200</v>
      </c>
      <c r="F1752" s="113">
        <v>201.7</v>
      </c>
      <c r="G1752" s="113">
        <v>191.1</v>
      </c>
      <c r="H1752" s="113">
        <f t="shared" si="194"/>
        <v>53.083333333333329</v>
      </c>
      <c r="I1752" s="113">
        <v>10.1</v>
      </c>
      <c r="J1752" s="113">
        <v>65.290000000000006</v>
      </c>
      <c r="K1752" s="113">
        <v>-31.2</v>
      </c>
      <c r="L1752" s="185"/>
      <c r="M1752" s="16">
        <v>1749</v>
      </c>
      <c r="N1752" s="16">
        <f t="shared" si="196"/>
        <v>1.783261450568675E-2</v>
      </c>
      <c r="O1752" s="16">
        <v>5</v>
      </c>
      <c r="P1752" s="16">
        <f t="shared" si="192"/>
        <v>8.1742160278745661</v>
      </c>
      <c r="Q1752" s="16">
        <f t="shared" si="197"/>
        <v>56.077026713110634</v>
      </c>
      <c r="R1752" s="113">
        <f t="shared" si="193"/>
        <v>319.54399999999998</v>
      </c>
      <c r="S1752" s="16">
        <f>IF(S1751=15800,15800,ROUND((((Q1752*60)/'Gearing Calculator'!$C$14)*'Track Data'!P1752),-2))</f>
        <v>13900</v>
      </c>
      <c r="T1752" s="16">
        <f t="shared" si="195"/>
        <v>3.7397870966213724</v>
      </c>
      <c r="U1752" s="16">
        <f>IF(AC1752=100,Braking!$AG$2354,IF(AC1752=50,Braking!$AG$1179,IF(AC1752=75,Braking!$AG$1767,0)))</f>
        <v>0</v>
      </c>
      <c r="V1752" s="16">
        <f>0.5*'Gearing Calculator'!$C$15*'Gearing Calculator'!$C$20*'Gearing Calculator'!$W$20*('Track Data'!Q1752^2)</f>
        <v>332.82794878019263</v>
      </c>
      <c r="W1752" s="16">
        <f>('Gearing Calculator'!$U$9*'Track Data'!T1752)+'Track Data'!V1752</f>
        <v>1328.3592739008018</v>
      </c>
      <c r="X1752" s="16">
        <f>('Gearing Calculator'!$U$9*9.81)*('Gearing Calculator'!$U$16/'Gearing Calculator'!$C$7)-(('Track Data'!W1752)*('Gearing Calculator'!$U$17/'Gearing Calculator'!$C$7))</f>
        <v>677.11577711029804</v>
      </c>
      <c r="Y1752" s="16">
        <f>('Gearing Calculator'!$U$9*9.81)*(('Gearing Calculator'!$C$7-'Gearing Calculator'!$U$16)/'Gearing Calculator'!$C$7)+(('Track Data'!W1752)*('Gearing Calculator'!$U$17/'Gearing Calculator'!$C$7))</f>
        <v>1934.306222889702</v>
      </c>
      <c r="Z1752" s="16">
        <f>((X1752*COS('Gearing Calculator'!$C$21))/'Gearing Calculator'!$C$22)/2</f>
        <v>20.934278293503318</v>
      </c>
      <c r="AA1752" s="16">
        <f>Y1752/'Gearing Calculator'!$C$24</f>
        <v>27.00940262395504</v>
      </c>
      <c r="AB1752" s="16">
        <f t="shared" si="191"/>
        <v>351.52688426329951</v>
      </c>
      <c r="AC1752" s="16">
        <v>0</v>
      </c>
      <c r="AD1752" s="16">
        <v>0</v>
      </c>
      <c r="AE1752" s="16">
        <v>1749</v>
      </c>
      <c r="AF1752" s="16">
        <f>IF(AC1752=0,IF(O1752=6,INDEX(Acceleration!$V$4:$V$110,MATCH('Track Data'!S1752,Acceleration!$K$4:$K$110,0)),IF('Track Data'!O1752=5,INDEX(Acceleration!$U$4:$U$110,MATCH('Track Data'!S1752,Acceleration!$K$4:$K$110,0)),1)),U1752)</f>
        <v>3.7397870966213724</v>
      </c>
      <c r="AG1752" s="16">
        <f>IF(AC1752=0,IF(O1752=4,INDEX(Acceleration!$T$4:$T$110,MATCH('Track Data'!S1752,Acceleration!$K$4:$K$110,0)),IF('Track Data'!O1752=3,INDEX(Acceleration!$S$4:$S$110,MATCH('Track Data'!S1752,Acceleration!$K$4:$K$110,0)),'Track Data'!AF1752)),'Track Data'!U1752)</f>
        <v>3.7397870966213724</v>
      </c>
      <c r="AH1752" s="16">
        <f>IF(AC1752=0,IF(O1752=2,INDEX(Acceleration!$R$4:$R$110,MATCH('Track Data'!S1752,Acceleration!$K$4:$K$110,0)),IF('Track Data'!O1752=1,INDEX(Acceleration!$Q$4:$Q$110,MATCH('Track Data'!S1752,Acceleration!$K$4:$K$110,0)),'Track Data'!AG1752)),'Track Data'!U1752)</f>
        <v>3.7397870966213724</v>
      </c>
    </row>
    <row r="1753" spans="2:34" x14ac:dyDescent="0.25">
      <c r="B1753" s="16">
        <v>243.74799999999999</v>
      </c>
      <c r="C1753" s="16">
        <v>9023</v>
      </c>
      <c r="D1753" s="16">
        <v>1750</v>
      </c>
      <c r="E1753" s="113">
        <v>200</v>
      </c>
      <c r="F1753" s="113">
        <v>201.5</v>
      </c>
      <c r="G1753" s="113">
        <v>190.9</v>
      </c>
      <c r="H1753" s="113">
        <f t="shared" si="194"/>
        <v>53.027777777777779</v>
      </c>
      <c r="I1753" s="113">
        <v>10.5</v>
      </c>
      <c r="J1753" s="113">
        <v>64.66</v>
      </c>
      <c r="K1753" s="113">
        <v>-29.7</v>
      </c>
      <c r="L1753" s="185"/>
      <c r="M1753" s="16">
        <v>1750</v>
      </c>
      <c r="N1753" s="16">
        <f t="shared" si="196"/>
        <v>1.7811444642445433E-2</v>
      </c>
      <c r="O1753" s="16">
        <v>5</v>
      </c>
      <c r="P1753" s="16">
        <f t="shared" si="192"/>
        <v>8.1742160278745661</v>
      </c>
      <c r="Q1753" s="16">
        <f t="shared" si="197"/>
        <v>56.143677285836617</v>
      </c>
      <c r="R1753" s="113">
        <f t="shared" si="193"/>
        <v>319.54399999999998</v>
      </c>
      <c r="S1753" s="16">
        <f>IF(S1752=15800,15800,ROUND((((Q1753*60)/'Gearing Calculator'!$C$14)*'Track Data'!P1753),-2))</f>
        <v>13900</v>
      </c>
      <c r="T1753" s="16">
        <f t="shared" si="195"/>
        <v>3.7397870966213724</v>
      </c>
      <c r="U1753" s="16">
        <f>IF(AC1753=100,Braking!$AG$2354,IF(AC1753=50,Braking!$AG$1179,IF(AC1753=75,Braking!$AG$1767,0)))</f>
        <v>0</v>
      </c>
      <c r="V1753" s="16">
        <f>0.5*'Gearing Calculator'!$C$15*'Gearing Calculator'!$C$20*'Gearing Calculator'!$W$20*('Track Data'!Q1753^2)</f>
        <v>333.61958691280546</v>
      </c>
      <c r="W1753" s="16">
        <f>('Gearing Calculator'!$U$9*'Track Data'!T1753)+'Track Data'!V1753</f>
        <v>1329.1509120334147</v>
      </c>
      <c r="X1753" s="16">
        <f>('Gearing Calculator'!$U$9*9.81)*('Gearing Calculator'!$U$16/'Gearing Calculator'!$C$7)-(('Track Data'!W1753)*('Gearing Calculator'!$U$17/'Gearing Calculator'!$C$7))</f>
        <v>676.68428026410072</v>
      </c>
      <c r="Y1753" s="16">
        <f>('Gearing Calculator'!$U$9*9.81)*(('Gearing Calculator'!$C$7-'Gearing Calculator'!$U$16)/'Gearing Calculator'!$C$7)+(('Track Data'!W1753)*('Gearing Calculator'!$U$17/'Gearing Calculator'!$C$7))</f>
        <v>1934.7377197358992</v>
      </c>
      <c r="Z1753" s="16">
        <f>((X1753*COS('Gearing Calculator'!$C$21))/'Gearing Calculator'!$C$22)/2</f>
        <v>20.92093777572715</v>
      </c>
      <c r="AA1753" s="16">
        <f>Y1753/'Gearing Calculator'!$C$24</f>
        <v>27.015427767188307</v>
      </c>
      <c r="AB1753" s="16">
        <f t="shared" si="191"/>
        <v>352.31852239591234</v>
      </c>
      <c r="AC1753" s="16">
        <v>0</v>
      </c>
      <c r="AD1753" s="16">
        <v>0</v>
      </c>
      <c r="AE1753" s="16">
        <v>1750</v>
      </c>
      <c r="AF1753" s="16">
        <f>IF(AC1753=0,IF(O1753=6,INDEX(Acceleration!$V$4:$V$110,MATCH('Track Data'!S1753,Acceleration!$K$4:$K$110,0)),IF('Track Data'!O1753=5,INDEX(Acceleration!$U$4:$U$110,MATCH('Track Data'!S1753,Acceleration!$K$4:$K$110,0)),1)),U1753)</f>
        <v>3.7397870966213724</v>
      </c>
      <c r="AG1753" s="16">
        <f>IF(AC1753=0,IF(O1753=4,INDEX(Acceleration!$T$4:$T$110,MATCH('Track Data'!S1753,Acceleration!$K$4:$K$110,0)),IF('Track Data'!O1753=3,INDEX(Acceleration!$S$4:$S$110,MATCH('Track Data'!S1753,Acceleration!$K$4:$K$110,0)),'Track Data'!AF1753)),'Track Data'!U1753)</f>
        <v>3.7397870966213724</v>
      </c>
      <c r="AH1753" s="16">
        <f>IF(AC1753=0,IF(O1753=2,INDEX(Acceleration!$R$4:$R$110,MATCH('Track Data'!S1753,Acceleration!$K$4:$K$110,0)),IF('Track Data'!O1753=1,INDEX(Acceleration!$Q$4:$Q$110,MATCH('Track Data'!S1753,Acceleration!$K$4:$K$110,0)),'Track Data'!AG1753)),'Track Data'!U1753)</f>
        <v>3.7397870966213724</v>
      </c>
    </row>
    <row r="1754" spans="2:34" x14ac:dyDescent="0.25">
      <c r="B1754" s="16">
        <v>243.76599999999999</v>
      </c>
      <c r="C1754" s="16">
        <v>9024</v>
      </c>
      <c r="D1754" s="16">
        <v>1751</v>
      </c>
      <c r="E1754" s="113">
        <v>200</v>
      </c>
      <c r="F1754" s="113">
        <v>201.2</v>
      </c>
      <c r="G1754" s="113">
        <v>190.6</v>
      </c>
      <c r="H1754" s="113">
        <f t="shared" si="194"/>
        <v>52.944444444444443</v>
      </c>
      <c r="I1754" s="113">
        <v>11</v>
      </c>
      <c r="J1754" s="113">
        <v>61.43</v>
      </c>
      <c r="K1754" s="113">
        <v>-27.1</v>
      </c>
      <c r="L1754" s="185"/>
      <c r="M1754" s="16">
        <v>1751</v>
      </c>
      <c r="N1754" s="16">
        <f t="shared" si="196"/>
        <v>1.7790349995600526E-2</v>
      </c>
      <c r="O1754" s="16">
        <v>5</v>
      </c>
      <c r="P1754" s="16">
        <f t="shared" si="192"/>
        <v>8.1742160278745661</v>
      </c>
      <c r="Q1754" s="16">
        <f t="shared" si="197"/>
        <v>56.210248828566925</v>
      </c>
      <c r="R1754" s="113">
        <f t="shared" si="193"/>
        <v>319.54399999999998</v>
      </c>
      <c r="S1754" s="16">
        <f>IF(S1753=15800,15800,ROUND((((Q1754*60)/'Gearing Calculator'!$C$14)*'Track Data'!P1754),-2))</f>
        <v>13900</v>
      </c>
      <c r="T1754" s="16">
        <f t="shared" si="195"/>
        <v>3.7397870966213724</v>
      </c>
      <c r="U1754" s="16">
        <f>IF(AC1754=100,Braking!$AG$2354,IF(AC1754=50,Braking!$AG$1179,IF(AC1754=75,Braking!$AG$1767,0)))</f>
        <v>0</v>
      </c>
      <c r="V1754" s="16">
        <f>0.5*'Gearing Calculator'!$C$15*'Gearing Calculator'!$C$20*'Gearing Calculator'!$W$20*('Track Data'!Q1754^2)</f>
        <v>334.41122504541823</v>
      </c>
      <c r="W1754" s="16">
        <f>('Gearing Calculator'!$U$9*'Track Data'!T1754)+'Track Data'!V1754</f>
        <v>1329.9425501660276</v>
      </c>
      <c r="X1754" s="16">
        <f>('Gearing Calculator'!$U$9*9.81)*('Gearing Calculator'!$U$16/'Gearing Calculator'!$C$7)-(('Track Data'!W1754)*('Gearing Calculator'!$U$17/'Gearing Calculator'!$C$7))</f>
        <v>676.25278341790329</v>
      </c>
      <c r="Y1754" s="16">
        <f>('Gearing Calculator'!$U$9*9.81)*(('Gearing Calculator'!$C$7-'Gearing Calculator'!$U$16)/'Gearing Calculator'!$C$7)+(('Track Data'!W1754)*('Gearing Calculator'!$U$17/'Gearing Calculator'!$C$7))</f>
        <v>1935.1692165820969</v>
      </c>
      <c r="Z1754" s="16">
        <f>((X1754*COS('Gearing Calculator'!$C$21))/'Gearing Calculator'!$C$22)/2</f>
        <v>20.907597257950975</v>
      </c>
      <c r="AA1754" s="16">
        <f>Y1754/'Gearing Calculator'!$C$24</f>
        <v>27.02145291042158</v>
      </c>
      <c r="AB1754" s="16">
        <f t="shared" si="191"/>
        <v>353.11016052852511</v>
      </c>
      <c r="AC1754" s="16">
        <v>0</v>
      </c>
      <c r="AD1754" s="16">
        <v>0</v>
      </c>
      <c r="AE1754" s="16">
        <v>1751</v>
      </c>
      <c r="AF1754" s="16">
        <f>IF(AC1754=0,IF(O1754=6,INDEX(Acceleration!$V$4:$V$110,MATCH('Track Data'!S1754,Acceleration!$K$4:$K$110,0)),IF('Track Data'!O1754=5,INDEX(Acceleration!$U$4:$U$110,MATCH('Track Data'!S1754,Acceleration!$K$4:$K$110,0)),1)),U1754)</f>
        <v>3.7397870966213724</v>
      </c>
      <c r="AG1754" s="16">
        <f>IF(AC1754=0,IF(O1754=4,INDEX(Acceleration!$T$4:$T$110,MATCH('Track Data'!S1754,Acceleration!$K$4:$K$110,0)),IF('Track Data'!O1754=3,INDEX(Acceleration!$S$4:$S$110,MATCH('Track Data'!S1754,Acceleration!$K$4:$K$110,0)),'Track Data'!AF1754)),'Track Data'!U1754)</f>
        <v>3.7397870966213724</v>
      </c>
      <c r="AH1754" s="16">
        <f>IF(AC1754=0,IF(O1754=2,INDEX(Acceleration!$R$4:$R$110,MATCH('Track Data'!S1754,Acceleration!$K$4:$K$110,0)),IF('Track Data'!O1754=1,INDEX(Acceleration!$Q$4:$Q$110,MATCH('Track Data'!S1754,Acceleration!$K$4:$K$110,0)),'Track Data'!AG1754)),'Track Data'!U1754)</f>
        <v>3.7397870966213724</v>
      </c>
    </row>
    <row r="1755" spans="2:34" x14ac:dyDescent="0.25">
      <c r="B1755" s="16">
        <v>243.78399999999999</v>
      </c>
      <c r="C1755" s="16">
        <v>9025</v>
      </c>
      <c r="D1755" s="16">
        <v>1752</v>
      </c>
      <c r="E1755" s="113">
        <v>200</v>
      </c>
      <c r="F1755" s="113">
        <v>201.2</v>
      </c>
      <c r="G1755" s="113">
        <v>190.4</v>
      </c>
      <c r="H1755" s="113">
        <f t="shared" si="194"/>
        <v>52.888888888888886</v>
      </c>
      <c r="I1755" s="113">
        <v>11</v>
      </c>
      <c r="J1755" s="113">
        <v>59.15</v>
      </c>
      <c r="K1755" s="113">
        <v>-27.1</v>
      </c>
      <c r="L1755" s="185"/>
      <c r="M1755" s="16">
        <v>1752</v>
      </c>
      <c r="N1755" s="16">
        <f t="shared" si="196"/>
        <v>1.776933012079877E-2</v>
      </c>
      <c r="O1755" s="16">
        <v>5</v>
      </c>
      <c r="P1755" s="16">
        <f t="shared" si="192"/>
        <v>8.1742160278745661</v>
      </c>
      <c r="Q1755" s="16">
        <f t="shared" si="197"/>
        <v>56.276741621762824</v>
      </c>
      <c r="R1755" s="113">
        <f t="shared" si="193"/>
        <v>319.54399999999998</v>
      </c>
      <c r="S1755" s="16">
        <f>IF(S1754=15800,15800,ROUND((((Q1755*60)/'Gearing Calculator'!$C$14)*'Track Data'!P1755),-2))</f>
        <v>13900</v>
      </c>
      <c r="T1755" s="16">
        <f t="shared" si="195"/>
        <v>3.7397870966213724</v>
      </c>
      <c r="U1755" s="16">
        <f>IF(AC1755=100,Braking!$AG$2354,IF(AC1755=50,Braking!$AG$1179,IF(AC1755=75,Braking!$AG$1767,0)))</f>
        <v>0</v>
      </c>
      <c r="V1755" s="16">
        <f>0.5*'Gearing Calculator'!$C$15*'Gearing Calculator'!$C$20*'Gearing Calculator'!$W$20*('Track Data'!Q1755^2)</f>
        <v>335.20286317803107</v>
      </c>
      <c r="W1755" s="16">
        <f>('Gearing Calculator'!$U$9*'Track Data'!T1755)+'Track Data'!V1755</f>
        <v>1330.7341882986402</v>
      </c>
      <c r="X1755" s="16">
        <f>('Gearing Calculator'!$U$9*9.81)*('Gearing Calculator'!$U$16/'Gearing Calculator'!$C$7)-(('Track Data'!W1755)*('Gearing Calculator'!$U$17/'Gearing Calculator'!$C$7))</f>
        <v>675.82128657170597</v>
      </c>
      <c r="Y1755" s="16">
        <f>('Gearing Calculator'!$U$9*9.81)*(('Gearing Calculator'!$C$7-'Gearing Calculator'!$U$16)/'Gearing Calculator'!$C$7)+(('Track Data'!W1755)*('Gearing Calculator'!$U$17/'Gearing Calculator'!$C$7))</f>
        <v>1935.6007134282941</v>
      </c>
      <c r="Z1755" s="16">
        <f>((X1755*COS('Gearing Calculator'!$C$21))/'Gearing Calculator'!$C$22)/2</f>
        <v>20.894256740174811</v>
      </c>
      <c r="AA1755" s="16">
        <f>Y1755/'Gearing Calculator'!$C$24</f>
        <v>27.027478053654846</v>
      </c>
      <c r="AB1755" s="16">
        <f t="shared" si="191"/>
        <v>353.90179866113795</v>
      </c>
      <c r="AC1755" s="16">
        <v>0</v>
      </c>
      <c r="AD1755" s="16">
        <v>0</v>
      </c>
      <c r="AE1755" s="16">
        <v>1752</v>
      </c>
      <c r="AF1755" s="16">
        <f>IF(AC1755=0,IF(O1755=6,INDEX(Acceleration!$V$4:$V$110,MATCH('Track Data'!S1755,Acceleration!$K$4:$K$110,0)),IF('Track Data'!O1755=5,INDEX(Acceleration!$U$4:$U$110,MATCH('Track Data'!S1755,Acceleration!$K$4:$K$110,0)),1)),U1755)</f>
        <v>3.7397870966213724</v>
      </c>
      <c r="AG1755" s="16">
        <f>IF(AC1755=0,IF(O1755=4,INDEX(Acceleration!$T$4:$T$110,MATCH('Track Data'!S1755,Acceleration!$K$4:$K$110,0)),IF('Track Data'!O1755=3,INDEX(Acceleration!$S$4:$S$110,MATCH('Track Data'!S1755,Acceleration!$K$4:$K$110,0)),'Track Data'!AF1755)),'Track Data'!U1755)</f>
        <v>3.7397870966213724</v>
      </c>
      <c r="AH1755" s="16">
        <f>IF(AC1755=0,IF(O1755=2,INDEX(Acceleration!$R$4:$R$110,MATCH('Track Data'!S1755,Acceleration!$K$4:$K$110,0)),IF('Track Data'!O1755=1,INDEX(Acceleration!$Q$4:$Q$110,MATCH('Track Data'!S1755,Acceleration!$K$4:$K$110,0)),'Track Data'!AG1755)),'Track Data'!U1755)</f>
        <v>3.7397870966213724</v>
      </c>
    </row>
    <row r="1756" spans="2:34" x14ac:dyDescent="0.25">
      <c r="B1756" s="16">
        <v>243.80199999999999</v>
      </c>
      <c r="C1756" s="16">
        <v>9027</v>
      </c>
      <c r="D1756" s="16">
        <v>1753</v>
      </c>
      <c r="E1756" s="113">
        <v>200</v>
      </c>
      <c r="F1756" s="113">
        <v>201.1</v>
      </c>
      <c r="G1756" s="113">
        <v>190.1</v>
      </c>
      <c r="H1756" s="113">
        <f t="shared" si="194"/>
        <v>52.80555555555555</v>
      </c>
      <c r="I1756" s="113">
        <v>10.9</v>
      </c>
      <c r="J1756" s="113">
        <v>58.38</v>
      </c>
      <c r="K1756" s="113">
        <v>-27.1</v>
      </c>
      <c r="L1756" s="185"/>
      <c r="M1756" s="16">
        <v>1753</v>
      </c>
      <c r="N1756" s="16">
        <f t="shared" si="196"/>
        <v>1.7748384577353383E-2</v>
      </c>
      <c r="O1756" s="16">
        <v>5</v>
      </c>
      <c r="P1756" s="16">
        <f t="shared" si="192"/>
        <v>8.1742160278745661</v>
      </c>
      <c r="Q1756" s="16">
        <f t="shared" si="197"/>
        <v>56.343155944230659</v>
      </c>
      <c r="R1756" s="113">
        <f t="shared" si="193"/>
        <v>319.54399999999998</v>
      </c>
      <c r="S1756" s="16">
        <f>IF(S1755=15800,15800,ROUND((((Q1756*60)/'Gearing Calculator'!$C$14)*'Track Data'!P1756),-2))</f>
        <v>14000</v>
      </c>
      <c r="T1756" s="16">
        <f t="shared" si="195"/>
        <v>3.7363975474595237</v>
      </c>
      <c r="U1756" s="16">
        <f>IF(AC1756=100,Braking!$AG$2354,IF(AC1756=50,Braking!$AG$1179,IF(AC1756=75,Braking!$AG$1767,0)))</f>
        <v>0</v>
      </c>
      <c r="V1756" s="16">
        <f>0.5*'Gearing Calculator'!$C$15*'Gearing Calculator'!$C$20*'Gearing Calculator'!$W$20*('Track Data'!Q1756^2)</f>
        <v>335.9945013106439</v>
      </c>
      <c r="W1756" s="16">
        <f>('Gearing Calculator'!$U$9*'Track Data'!T1756)+'Track Data'!V1756</f>
        <v>1330.623528444369</v>
      </c>
      <c r="X1756" s="16">
        <f>('Gearing Calculator'!$U$9*9.81)*('Gearing Calculator'!$U$16/'Gearing Calculator'!$C$7)-(('Track Data'!W1756)*('Gearing Calculator'!$U$17/'Gearing Calculator'!$C$7))</f>
        <v>675.88160374965844</v>
      </c>
      <c r="Y1756" s="16">
        <f>('Gearing Calculator'!$U$9*9.81)*(('Gearing Calculator'!$C$7-'Gearing Calculator'!$U$16)/'Gearing Calculator'!$C$7)+(('Track Data'!W1756)*('Gearing Calculator'!$U$17/'Gearing Calculator'!$C$7))</f>
        <v>1935.5403962503415</v>
      </c>
      <c r="Z1756" s="16">
        <f>((X1756*COS('Gearing Calculator'!$C$21))/'Gearing Calculator'!$C$22)/2</f>
        <v>20.896121556550121</v>
      </c>
      <c r="AA1756" s="16">
        <f>Y1756/'Gearing Calculator'!$C$24</f>
        <v>27.026635823544026</v>
      </c>
      <c r="AB1756" s="16">
        <f t="shared" si="191"/>
        <v>354.67648904794152</v>
      </c>
      <c r="AC1756" s="16">
        <v>0</v>
      </c>
      <c r="AD1756" s="16">
        <v>0</v>
      </c>
      <c r="AE1756" s="16">
        <v>1753</v>
      </c>
      <c r="AF1756" s="16">
        <f>IF(AC1756=0,IF(O1756=6,INDEX(Acceleration!$V$4:$V$110,MATCH('Track Data'!S1756,Acceleration!$K$4:$K$110,0)),IF('Track Data'!O1756=5,INDEX(Acceleration!$U$4:$U$110,MATCH('Track Data'!S1756,Acceleration!$K$4:$K$110,0)),1)),U1756)</f>
        <v>3.7363975474595237</v>
      </c>
      <c r="AG1756" s="16">
        <f>IF(AC1756=0,IF(O1756=4,INDEX(Acceleration!$T$4:$T$110,MATCH('Track Data'!S1756,Acceleration!$K$4:$K$110,0)),IF('Track Data'!O1756=3,INDEX(Acceleration!$S$4:$S$110,MATCH('Track Data'!S1756,Acceleration!$K$4:$K$110,0)),'Track Data'!AF1756)),'Track Data'!U1756)</f>
        <v>3.7363975474595237</v>
      </c>
      <c r="AH1756" s="16">
        <f>IF(AC1756=0,IF(O1756=2,INDEX(Acceleration!$R$4:$R$110,MATCH('Track Data'!S1756,Acceleration!$K$4:$K$110,0)),IF('Track Data'!O1756=1,INDEX(Acceleration!$Q$4:$Q$110,MATCH('Track Data'!S1756,Acceleration!$K$4:$K$110,0)),'Track Data'!AG1756)),'Track Data'!U1756)</f>
        <v>3.7363975474595237</v>
      </c>
    </row>
    <row r="1757" spans="2:34" x14ac:dyDescent="0.25">
      <c r="B1757" s="16">
        <v>243.81899999999999</v>
      </c>
      <c r="C1757" s="16">
        <v>9028</v>
      </c>
      <c r="D1757" s="16">
        <v>1754</v>
      </c>
      <c r="E1757" s="113">
        <v>200</v>
      </c>
      <c r="F1757" s="113">
        <v>200.9</v>
      </c>
      <c r="G1757" s="113">
        <v>189.9</v>
      </c>
      <c r="H1757" s="113">
        <f t="shared" si="194"/>
        <v>52.75</v>
      </c>
      <c r="I1757" s="113">
        <v>10.8</v>
      </c>
      <c r="J1757" s="113">
        <v>59.44</v>
      </c>
      <c r="K1757" s="113">
        <v>-27.1</v>
      </c>
      <c r="L1757" s="185"/>
      <c r="M1757" s="16">
        <v>1754</v>
      </c>
      <c r="N1757" s="16">
        <f t="shared" si="196"/>
        <v>1.7727531811860493E-2</v>
      </c>
      <c r="O1757" s="16">
        <v>5</v>
      </c>
      <c r="P1757" s="16">
        <f t="shared" si="192"/>
        <v>8.1742160278745661</v>
      </c>
      <c r="Q1757" s="16">
        <f t="shared" si="197"/>
        <v>56.409431984826917</v>
      </c>
      <c r="R1757" s="113">
        <f t="shared" si="193"/>
        <v>319.54399999999998</v>
      </c>
      <c r="S1757" s="16">
        <f>IF(S1756=15800,15800,ROUND((((Q1757*60)/'Gearing Calculator'!$C$14)*'Track Data'!P1757),-2))</f>
        <v>14000</v>
      </c>
      <c r="T1757" s="16">
        <f t="shared" si="195"/>
        <v>3.7363975474595237</v>
      </c>
      <c r="U1757" s="16">
        <f>IF(AC1757=100,Braking!$AG$2354,IF(AC1757=50,Braking!$AG$1179,IF(AC1757=75,Braking!$AG$1767,0)))</f>
        <v>0</v>
      </c>
      <c r="V1757" s="16">
        <f>0.5*'Gearing Calculator'!$C$15*'Gearing Calculator'!$C$20*'Gearing Calculator'!$W$20*('Track Data'!Q1757^2)</f>
        <v>336.78542194349012</v>
      </c>
      <c r="W1757" s="16">
        <f>('Gearing Calculator'!$U$9*'Track Data'!T1757)+'Track Data'!V1757</f>
        <v>1331.4144490772153</v>
      </c>
      <c r="X1757" s="16">
        <f>('Gearing Calculator'!$U$9*9.81)*('Gearing Calculator'!$U$16/'Gearing Calculator'!$C$7)-(('Track Data'!W1757)*('Gearing Calculator'!$U$17/'Gearing Calculator'!$C$7))</f>
        <v>675.4504979898345</v>
      </c>
      <c r="Y1757" s="16">
        <f>('Gearing Calculator'!$U$9*9.81)*(('Gearing Calculator'!$C$7-'Gearing Calculator'!$U$16)/'Gearing Calculator'!$C$7)+(('Track Data'!W1757)*('Gearing Calculator'!$U$17/'Gearing Calculator'!$C$7))</f>
        <v>1935.9715020101655</v>
      </c>
      <c r="Z1757" s="16">
        <f>((X1757*COS('Gearing Calculator'!$C$21))/'Gearing Calculator'!$C$22)/2</f>
        <v>20.882793129927713</v>
      </c>
      <c r="AA1757" s="16">
        <f>Y1757/'Gearing Calculator'!$C$24</f>
        <v>27.0326555058998</v>
      </c>
      <c r="AB1757" s="16">
        <f t="shared" si="191"/>
        <v>355.46740968078774</v>
      </c>
      <c r="AC1757" s="16">
        <v>0</v>
      </c>
      <c r="AD1757" s="16">
        <v>0</v>
      </c>
      <c r="AE1757" s="16">
        <v>1754</v>
      </c>
      <c r="AF1757" s="16">
        <f>IF(AC1757=0,IF(O1757=6,INDEX(Acceleration!$V$4:$V$110,MATCH('Track Data'!S1757,Acceleration!$K$4:$K$110,0)),IF('Track Data'!O1757=5,INDEX(Acceleration!$U$4:$U$110,MATCH('Track Data'!S1757,Acceleration!$K$4:$K$110,0)),1)),U1757)</f>
        <v>3.7363975474595237</v>
      </c>
      <c r="AG1757" s="16">
        <f>IF(AC1757=0,IF(O1757=4,INDEX(Acceleration!$T$4:$T$110,MATCH('Track Data'!S1757,Acceleration!$K$4:$K$110,0)),IF('Track Data'!O1757=3,INDEX(Acceleration!$S$4:$S$110,MATCH('Track Data'!S1757,Acceleration!$K$4:$K$110,0)),'Track Data'!AF1757)),'Track Data'!U1757)</f>
        <v>3.7363975474595237</v>
      </c>
      <c r="AH1757" s="16">
        <f>IF(AC1757=0,IF(O1757=2,INDEX(Acceleration!$R$4:$R$110,MATCH('Track Data'!S1757,Acceleration!$K$4:$K$110,0)),IF('Track Data'!O1757=1,INDEX(Acceleration!$Q$4:$Q$110,MATCH('Track Data'!S1757,Acceleration!$K$4:$K$110,0)),'Track Data'!AG1757)),'Track Data'!U1757)</f>
        <v>3.7363975474595237</v>
      </c>
    </row>
    <row r="1758" spans="2:34" x14ac:dyDescent="0.25">
      <c r="B1758" s="16">
        <v>243.83799999999999</v>
      </c>
      <c r="C1758" s="16">
        <v>9028</v>
      </c>
      <c r="D1758" s="16">
        <v>1755</v>
      </c>
      <c r="E1758" s="113">
        <v>200</v>
      </c>
      <c r="F1758" s="113">
        <v>200.4</v>
      </c>
      <c r="G1758" s="113">
        <v>189.6</v>
      </c>
      <c r="H1758" s="113">
        <f t="shared" si="194"/>
        <v>52.666666666666664</v>
      </c>
      <c r="I1758" s="113">
        <v>11.6</v>
      </c>
      <c r="J1758" s="113">
        <v>59.92</v>
      </c>
      <c r="K1758" s="113">
        <v>-27.1</v>
      </c>
      <c r="L1758" s="185"/>
      <c r="M1758" s="16">
        <v>1755</v>
      </c>
      <c r="N1758" s="16">
        <f t="shared" si="196"/>
        <v>1.7706752374483253E-2</v>
      </c>
      <c r="O1758" s="16">
        <v>5</v>
      </c>
      <c r="P1758" s="16">
        <f t="shared" si="192"/>
        <v>8.1742160278745661</v>
      </c>
      <c r="Q1758" s="16">
        <f t="shared" si="197"/>
        <v>56.475630248326873</v>
      </c>
      <c r="R1758" s="113">
        <f t="shared" si="193"/>
        <v>319.54399999999998</v>
      </c>
      <c r="S1758" s="16">
        <f>IF(S1757=15800,15800,ROUND((((Q1758*60)/'Gearing Calculator'!$C$14)*'Track Data'!P1758),-2))</f>
        <v>14000</v>
      </c>
      <c r="T1758" s="16">
        <f t="shared" si="195"/>
        <v>3.7363975474595237</v>
      </c>
      <c r="U1758" s="16">
        <f>IF(AC1758=100,Braking!$AG$2354,IF(AC1758=50,Braking!$AG$1179,IF(AC1758=75,Braking!$AG$1767,0)))</f>
        <v>0</v>
      </c>
      <c r="V1758" s="16">
        <f>0.5*'Gearing Calculator'!$C$15*'Gearing Calculator'!$C$20*'Gearing Calculator'!$W$20*('Track Data'!Q1758^2)</f>
        <v>337.57634257633634</v>
      </c>
      <c r="W1758" s="16">
        <f>('Gearing Calculator'!$U$9*'Track Data'!T1758)+'Track Data'!V1758</f>
        <v>1332.2053697100614</v>
      </c>
      <c r="X1758" s="16">
        <f>('Gearing Calculator'!$U$9*9.81)*('Gearing Calculator'!$U$16/'Gearing Calculator'!$C$7)-(('Track Data'!W1758)*('Gearing Calculator'!$U$17/'Gearing Calculator'!$C$7))</f>
        <v>675.01939223001079</v>
      </c>
      <c r="Y1758" s="16">
        <f>('Gearing Calculator'!$U$9*9.81)*(('Gearing Calculator'!$C$7-'Gearing Calculator'!$U$16)/'Gearing Calculator'!$C$7)+(('Track Data'!W1758)*('Gearing Calculator'!$U$17/'Gearing Calculator'!$C$7))</f>
        <v>1936.4026077699891</v>
      </c>
      <c r="Z1758" s="16">
        <f>((X1758*COS('Gearing Calculator'!$C$21))/'Gearing Calculator'!$C$22)/2</f>
        <v>20.869464703305319</v>
      </c>
      <c r="AA1758" s="16">
        <f>Y1758/'Gearing Calculator'!$C$24</f>
        <v>27.038675188255567</v>
      </c>
      <c r="AB1758" s="16">
        <f t="shared" si="191"/>
        <v>356.25833031363396</v>
      </c>
      <c r="AC1758" s="16">
        <v>0</v>
      </c>
      <c r="AD1758" s="16">
        <v>0</v>
      </c>
      <c r="AE1758" s="16">
        <v>1755</v>
      </c>
      <c r="AF1758" s="16">
        <f>IF(AC1758=0,IF(O1758=6,INDEX(Acceleration!$V$4:$V$110,MATCH('Track Data'!S1758,Acceleration!$K$4:$K$110,0)),IF('Track Data'!O1758=5,INDEX(Acceleration!$U$4:$U$110,MATCH('Track Data'!S1758,Acceleration!$K$4:$K$110,0)),1)),U1758)</f>
        <v>3.7363975474595237</v>
      </c>
      <c r="AG1758" s="16">
        <f>IF(AC1758=0,IF(O1758=4,INDEX(Acceleration!$T$4:$T$110,MATCH('Track Data'!S1758,Acceleration!$K$4:$K$110,0)),IF('Track Data'!O1758=3,INDEX(Acceleration!$S$4:$S$110,MATCH('Track Data'!S1758,Acceleration!$K$4:$K$110,0)),'Track Data'!AF1758)),'Track Data'!U1758)</f>
        <v>3.7363975474595237</v>
      </c>
      <c r="AH1758" s="16">
        <f>IF(AC1758=0,IF(O1758=2,INDEX(Acceleration!$R$4:$R$110,MATCH('Track Data'!S1758,Acceleration!$K$4:$K$110,0)),IF('Track Data'!O1758=1,INDEX(Acceleration!$Q$4:$Q$110,MATCH('Track Data'!S1758,Acceleration!$K$4:$K$110,0)),'Track Data'!AG1758)),'Track Data'!U1758)</f>
        <v>3.7363975474595237</v>
      </c>
    </row>
    <row r="1759" spans="2:34" x14ac:dyDescent="0.25">
      <c r="B1759" s="16">
        <v>243.85499999999999</v>
      </c>
      <c r="C1759" s="16">
        <v>9029</v>
      </c>
      <c r="D1759" s="16">
        <v>1756</v>
      </c>
      <c r="E1759" s="113">
        <v>200</v>
      </c>
      <c r="F1759" s="113">
        <v>200.3</v>
      </c>
      <c r="G1759" s="113">
        <v>189.4</v>
      </c>
      <c r="H1759" s="113">
        <f t="shared" si="194"/>
        <v>52.611111111111114</v>
      </c>
      <c r="I1759" s="113">
        <v>13</v>
      </c>
      <c r="J1759" s="113">
        <v>61.21</v>
      </c>
      <c r="K1759" s="113">
        <v>-28.6</v>
      </c>
      <c r="L1759" s="185"/>
      <c r="M1759" s="16">
        <v>1756</v>
      </c>
      <c r="N1759" s="16">
        <f t="shared" si="196"/>
        <v>1.7686045836466546E-2</v>
      </c>
      <c r="O1759" s="16">
        <v>5</v>
      </c>
      <c r="P1759" s="16">
        <f t="shared" si="192"/>
        <v>8.1742160278745661</v>
      </c>
      <c r="Q1759" s="16">
        <f t="shared" si="197"/>
        <v>56.541751007911422</v>
      </c>
      <c r="R1759" s="113">
        <f t="shared" si="193"/>
        <v>319.54399999999998</v>
      </c>
      <c r="S1759" s="16">
        <f>IF(S1758=15800,15800,ROUND((((Q1759*60)/'Gearing Calculator'!$C$14)*'Track Data'!P1759),-2))</f>
        <v>14000</v>
      </c>
      <c r="T1759" s="16">
        <f t="shared" si="195"/>
        <v>3.7363975474595237</v>
      </c>
      <c r="U1759" s="16">
        <f>IF(AC1759=100,Braking!$AG$2354,IF(AC1759=50,Braking!$AG$1179,IF(AC1759=75,Braking!$AG$1767,0)))</f>
        <v>0</v>
      </c>
      <c r="V1759" s="16">
        <f>0.5*'Gearing Calculator'!$C$15*'Gearing Calculator'!$C$20*'Gearing Calculator'!$W$20*('Track Data'!Q1759^2)</f>
        <v>338.36726320918257</v>
      </c>
      <c r="W1759" s="16">
        <f>('Gearing Calculator'!$U$9*'Track Data'!T1759)+'Track Data'!V1759</f>
        <v>1332.9962903429077</v>
      </c>
      <c r="X1759" s="16">
        <f>('Gearing Calculator'!$U$9*9.81)*('Gearing Calculator'!$U$16/'Gearing Calculator'!$C$7)-(('Track Data'!W1759)*('Gearing Calculator'!$U$17/'Gearing Calculator'!$C$7))</f>
        <v>674.58828647018686</v>
      </c>
      <c r="Y1759" s="16">
        <f>('Gearing Calculator'!$U$9*9.81)*(('Gearing Calculator'!$C$7-'Gearing Calculator'!$U$16)/'Gearing Calculator'!$C$7)+(('Track Data'!W1759)*('Gearing Calculator'!$U$17/'Gearing Calculator'!$C$7))</f>
        <v>1936.8337135298132</v>
      </c>
      <c r="Z1759" s="16">
        <f>((X1759*COS('Gearing Calculator'!$C$21))/'Gearing Calculator'!$C$22)/2</f>
        <v>20.856136276682918</v>
      </c>
      <c r="AA1759" s="16">
        <f>Y1759/'Gearing Calculator'!$C$24</f>
        <v>27.044694870611341</v>
      </c>
      <c r="AB1759" s="16">
        <f t="shared" si="191"/>
        <v>357.04925094648019</v>
      </c>
      <c r="AC1759" s="16">
        <v>0</v>
      </c>
      <c r="AD1759" s="16">
        <v>0</v>
      </c>
      <c r="AE1759" s="16">
        <v>1756</v>
      </c>
      <c r="AF1759" s="16">
        <f>IF(AC1759=0,IF(O1759=6,INDEX(Acceleration!$V$4:$V$110,MATCH('Track Data'!S1759,Acceleration!$K$4:$K$110,0)),IF('Track Data'!O1759=5,INDEX(Acceleration!$U$4:$U$110,MATCH('Track Data'!S1759,Acceleration!$K$4:$K$110,0)),1)),U1759)</f>
        <v>3.7363975474595237</v>
      </c>
      <c r="AG1759" s="16">
        <f>IF(AC1759=0,IF(O1759=4,INDEX(Acceleration!$T$4:$T$110,MATCH('Track Data'!S1759,Acceleration!$K$4:$K$110,0)),IF('Track Data'!O1759=3,INDEX(Acceleration!$S$4:$S$110,MATCH('Track Data'!S1759,Acceleration!$K$4:$K$110,0)),'Track Data'!AF1759)),'Track Data'!U1759)</f>
        <v>3.7363975474595237</v>
      </c>
      <c r="AH1759" s="16">
        <f>IF(AC1759=0,IF(O1759=2,INDEX(Acceleration!$R$4:$R$110,MATCH('Track Data'!S1759,Acceleration!$K$4:$K$110,0)),IF('Track Data'!O1759=1,INDEX(Acceleration!$Q$4:$Q$110,MATCH('Track Data'!S1759,Acceleration!$K$4:$K$110,0)),'Track Data'!AG1759)),'Track Data'!U1759)</f>
        <v>3.7363975474595237</v>
      </c>
    </row>
    <row r="1760" spans="2:34" x14ac:dyDescent="0.25">
      <c r="B1760" s="16">
        <v>243.87299999999999</v>
      </c>
      <c r="C1760" s="16">
        <v>9030</v>
      </c>
      <c r="D1760" s="16">
        <v>1757</v>
      </c>
      <c r="E1760" s="113">
        <v>200</v>
      </c>
      <c r="F1760" s="113">
        <v>200.2</v>
      </c>
      <c r="G1760" s="113">
        <v>189.2</v>
      </c>
      <c r="H1760" s="113">
        <f t="shared" si="194"/>
        <v>52.55555555555555</v>
      </c>
      <c r="I1760" s="113">
        <v>13.5</v>
      </c>
      <c r="J1760" s="113">
        <v>63.19</v>
      </c>
      <c r="K1760" s="113">
        <v>-30.8</v>
      </c>
      <c r="L1760" s="185"/>
      <c r="M1760" s="16">
        <v>1757</v>
      </c>
      <c r="N1760" s="16">
        <f t="shared" si="196"/>
        <v>1.7665411772556833E-2</v>
      </c>
      <c r="O1760" s="16">
        <v>5</v>
      </c>
      <c r="P1760" s="16">
        <f t="shared" si="192"/>
        <v>8.1742160278745661</v>
      </c>
      <c r="Q1760" s="16">
        <f t="shared" si="197"/>
        <v>56.607794535166015</v>
      </c>
      <c r="R1760" s="113">
        <f t="shared" si="193"/>
        <v>319.54399999999998</v>
      </c>
      <c r="S1760" s="16">
        <f>IF(S1759=15800,15800,ROUND((((Q1760*60)/'Gearing Calculator'!$C$14)*'Track Data'!P1760),-2))</f>
        <v>14000</v>
      </c>
      <c r="T1760" s="16">
        <f t="shared" si="195"/>
        <v>3.7363975474595237</v>
      </c>
      <c r="U1760" s="16">
        <f>IF(AC1760=100,Braking!$AG$2354,IF(AC1760=50,Braking!$AG$1179,IF(AC1760=75,Braking!$AG$1767,0)))</f>
        <v>0</v>
      </c>
      <c r="V1760" s="16">
        <f>0.5*'Gearing Calculator'!$C$15*'Gearing Calculator'!$C$20*'Gearing Calculator'!$W$20*('Track Data'!Q1760^2)</f>
        <v>339.15818384202885</v>
      </c>
      <c r="W1760" s="16">
        <f>('Gearing Calculator'!$U$9*'Track Data'!T1760)+'Track Data'!V1760</f>
        <v>1333.7872109757541</v>
      </c>
      <c r="X1760" s="16">
        <f>('Gearing Calculator'!$U$9*9.81)*('Gearing Calculator'!$U$16/'Gearing Calculator'!$C$7)-(('Track Data'!W1760)*('Gearing Calculator'!$U$17/'Gearing Calculator'!$C$7))</f>
        <v>674.15718071036304</v>
      </c>
      <c r="Y1760" s="16">
        <f>('Gearing Calculator'!$U$9*9.81)*(('Gearing Calculator'!$C$7-'Gearing Calculator'!$U$16)/'Gearing Calculator'!$C$7)+(('Track Data'!W1760)*('Gearing Calculator'!$U$17/'Gearing Calculator'!$C$7))</f>
        <v>1937.264819289637</v>
      </c>
      <c r="Z1760" s="16">
        <f>((X1760*COS('Gearing Calculator'!$C$21))/'Gearing Calculator'!$C$22)/2</f>
        <v>20.842807850060517</v>
      </c>
      <c r="AA1760" s="16">
        <f>Y1760/'Gearing Calculator'!$C$24</f>
        <v>27.050714552967115</v>
      </c>
      <c r="AB1760" s="16">
        <f t="shared" si="191"/>
        <v>357.84017157932647</v>
      </c>
      <c r="AC1760" s="16">
        <v>0</v>
      </c>
      <c r="AD1760" s="16">
        <v>0</v>
      </c>
      <c r="AE1760" s="16">
        <v>1757</v>
      </c>
      <c r="AF1760" s="16">
        <f>IF(AC1760=0,IF(O1760=6,INDEX(Acceleration!$V$4:$V$110,MATCH('Track Data'!S1760,Acceleration!$K$4:$K$110,0)),IF('Track Data'!O1760=5,INDEX(Acceleration!$U$4:$U$110,MATCH('Track Data'!S1760,Acceleration!$K$4:$K$110,0)),1)),U1760)</f>
        <v>3.7363975474595237</v>
      </c>
      <c r="AG1760" s="16">
        <f>IF(AC1760=0,IF(O1760=4,INDEX(Acceleration!$T$4:$T$110,MATCH('Track Data'!S1760,Acceleration!$K$4:$K$110,0)),IF('Track Data'!O1760=3,INDEX(Acceleration!$S$4:$S$110,MATCH('Track Data'!S1760,Acceleration!$K$4:$K$110,0)),'Track Data'!AF1760)),'Track Data'!U1760)</f>
        <v>3.7363975474595237</v>
      </c>
      <c r="AH1760" s="16">
        <f>IF(AC1760=0,IF(O1760=2,INDEX(Acceleration!$R$4:$R$110,MATCH('Track Data'!S1760,Acceleration!$K$4:$K$110,0)),IF('Track Data'!O1760=1,INDEX(Acceleration!$Q$4:$Q$110,MATCH('Track Data'!S1760,Acceleration!$K$4:$K$110,0)),'Track Data'!AG1760)),'Track Data'!U1760)</f>
        <v>3.7363975474595237</v>
      </c>
    </row>
    <row r="1761" spans="2:34" x14ac:dyDescent="0.25">
      <c r="B1761" s="16">
        <v>243.89099999999999</v>
      </c>
      <c r="C1761" s="16">
        <v>9031</v>
      </c>
      <c r="D1761" s="16">
        <v>1758</v>
      </c>
      <c r="E1761" s="113">
        <v>200</v>
      </c>
      <c r="F1761" s="113">
        <v>199.9</v>
      </c>
      <c r="G1761" s="113">
        <v>189</v>
      </c>
      <c r="H1761" s="113">
        <f t="shared" si="194"/>
        <v>52.5</v>
      </c>
      <c r="I1761" s="113">
        <v>13.4</v>
      </c>
      <c r="J1761" s="113">
        <v>65.72</v>
      </c>
      <c r="K1761" s="113">
        <v>-32.9</v>
      </c>
      <c r="L1761" s="185"/>
      <c r="M1761" s="16">
        <v>1758</v>
      </c>
      <c r="N1761" s="16">
        <f t="shared" si="196"/>
        <v>1.7644849760965434E-2</v>
      </c>
      <c r="O1761" s="16">
        <v>5</v>
      </c>
      <c r="P1761" s="16">
        <f t="shared" si="192"/>
        <v>8.1742160278745661</v>
      </c>
      <c r="Q1761" s="16">
        <f t="shared" si="197"/>
        <v>56.673761100093671</v>
      </c>
      <c r="R1761" s="113">
        <f t="shared" si="193"/>
        <v>319.54399999999998</v>
      </c>
      <c r="S1761" s="16">
        <f>IF(S1760=15800,15800,ROUND((((Q1761*60)/'Gearing Calculator'!$C$14)*'Track Data'!P1761),-2))</f>
        <v>14000</v>
      </c>
      <c r="T1761" s="16">
        <f t="shared" si="195"/>
        <v>3.7363975474595237</v>
      </c>
      <c r="U1761" s="16">
        <f>IF(AC1761=100,Braking!$AG$2354,IF(AC1761=50,Braking!$AG$1179,IF(AC1761=75,Braking!$AG$1767,0)))</f>
        <v>0</v>
      </c>
      <c r="V1761" s="16">
        <f>0.5*'Gearing Calculator'!$C$15*'Gearing Calculator'!$C$20*'Gearing Calculator'!$W$20*('Track Data'!Q1761^2)</f>
        <v>339.94910447487513</v>
      </c>
      <c r="W1761" s="16">
        <f>('Gearing Calculator'!$U$9*'Track Data'!T1761)+'Track Data'!V1761</f>
        <v>1334.5781316086002</v>
      </c>
      <c r="X1761" s="16">
        <f>('Gearing Calculator'!$U$9*9.81)*('Gearing Calculator'!$U$16/'Gearing Calculator'!$C$7)-(('Track Data'!W1761)*('Gearing Calculator'!$U$17/'Gearing Calculator'!$C$7))</f>
        <v>673.72607495053921</v>
      </c>
      <c r="Y1761" s="16">
        <f>('Gearing Calculator'!$U$9*9.81)*(('Gearing Calculator'!$C$7-'Gearing Calculator'!$U$16)/'Gearing Calculator'!$C$7)+(('Track Data'!W1761)*('Gearing Calculator'!$U$17/'Gearing Calculator'!$C$7))</f>
        <v>1937.6959250494608</v>
      </c>
      <c r="Z1761" s="16">
        <f>((X1761*COS('Gearing Calculator'!$C$21))/'Gearing Calculator'!$C$22)/2</f>
        <v>20.829479423438116</v>
      </c>
      <c r="AA1761" s="16">
        <f>Y1761/'Gearing Calculator'!$C$24</f>
        <v>27.056734235322885</v>
      </c>
      <c r="AB1761" s="16">
        <f t="shared" si="191"/>
        <v>358.63109221217275</v>
      </c>
      <c r="AC1761" s="16">
        <v>0</v>
      </c>
      <c r="AD1761" s="16">
        <v>0</v>
      </c>
      <c r="AE1761" s="16">
        <v>1758</v>
      </c>
      <c r="AF1761" s="16">
        <f>IF(AC1761=0,IF(O1761=6,INDEX(Acceleration!$V$4:$V$110,MATCH('Track Data'!S1761,Acceleration!$K$4:$K$110,0)),IF('Track Data'!O1761=5,INDEX(Acceleration!$U$4:$U$110,MATCH('Track Data'!S1761,Acceleration!$K$4:$K$110,0)),1)),U1761)</f>
        <v>3.7363975474595237</v>
      </c>
      <c r="AG1761" s="16">
        <f>IF(AC1761=0,IF(O1761=4,INDEX(Acceleration!$T$4:$T$110,MATCH('Track Data'!S1761,Acceleration!$K$4:$K$110,0)),IF('Track Data'!O1761=3,INDEX(Acceleration!$S$4:$S$110,MATCH('Track Data'!S1761,Acceleration!$K$4:$K$110,0)),'Track Data'!AF1761)),'Track Data'!U1761)</f>
        <v>3.7363975474595237</v>
      </c>
      <c r="AH1761" s="16">
        <f>IF(AC1761=0,IF(O1761=2,INDEX(Acceleration!$R$4:$R$110,MATCH('Track Data'!S1761,Acceleration!$K$4:$K$110,0)),IF('Track Data'!O1761=1,INDEX(Acceleration!$Q$4:$Q$110,MATCH('Track Data'!S1761,Acceleration!$K$4:$K$110,0)),'Track Data'!AG1761)),'Track Data'!U1761)</f>
        <v>3.7363975474595237</v>
      </c>
    </row>
    <row r="1762" spans="2:34" x14ac:dyDescent="0.25">
      <c r="B1762" s="16">
        <v>243.90899999999999</v>
      </c>
      <c r="C1762" s="16">
        <v>9032</v>
      </c>
      <c r="D1762" s="16">
        <v>1759</v>
      </c>
      <c r="E1762" s="113">
        <v>200</v>
      </c>
      <c r="F1762" s="113">
        <v>199.8</v>
      </c>
      <c r="G1762" s="113">
        <v>188.9</v>
      </c>
      <c r="H1762" s="113">
        <f t="shared" si="194"/>
        <v>52.472222222222221</v>
      </c>
      <c r="I1762" s="113">
        <v>13.5</v>
      </c>
      <c r="J1762" s="113">
        <v>67.069999999999993</v>
      </c>
      <c r="K1762" s="113">
        <v>-34</v>
      </c>
      <c r="L1762" s="185"/>
      <c r="M1762" s="16">
        <v>1759</v>
      </c>
      <c r="N1762" s="16">
        <f t="shared" si="196"/>
        <v>1.7624359383332358E-2</v>
      </c>
      <c r="O1762" s="16">
        <v>5</v>
      </c>
      <c r="P1762" s="16">
        <f t="shared" si="192"/>
        <v>8.1742160278745661</v>
      </c>
      <c r="Q1762" s="16">
        <f t="shared" si="197"/>
        <v>56.739650971127851</v>
      </c>
      <c r="R1762" s="113">
        <f t="shared" si="193"/>
        <v>319.54399999999998</v>
      </c>
      <c r="S1762" s="16">
        <f>IF(S1761=15800,15800,ROUND((((Q1762*60)/'Gearing Calculator'!$C$14)*'Track Data'!P1762),-2))</f>
        <v>14100</v>
      </c>
      <c r="T1762" s="16">
        <f t="shared" si="195"/>
        <v>3.7123193728965433</v>
      </c>
      <c r="U1762" s="16">
        <f>IF(AC1762=100,Braking!$AG$2354,IF(AC1762=50,Braking!$AG$1179,IF(AC1762=75,Braking!$AG$1767,0)))</f>
        <v>0</v>
      </c>
      <c r="V1762" s="16">
        <f>0.5*'Gearing Calculator'!$C$15*'Gearing Calculator'!$C$20*'Gearing Calculator'!$W$20*('Track Data'!Q1762^2)</f>
        <v>340.74002510772135</v>
      </c>
      <c r="W1762" s="16">
        <f>('Gearing Calculator'!$U$9*'Track Data'!T1762)+'Track Data'!V1762</f>
        <v>1328.9594421727811</v>
      </c>
      <c r="X1762" s="16">
        <f>('Gearing Calculator'!$U$9*9.81)*('Gearing Calculator'!$U$16/'Gearing Calculator'!$C$7)-(('Track Data'!W1762)*('Gearing Calculator'!$U$17/'Gearing Calculator'!$C$7))</f>
        <v>676.78864441433757</v>
      </c>
      <c r="Y1762" s="16">
        <f>('Gearing Calculator'!$U$9*9.81)*(('Gearing Calculator'!$C$7-'Gearing Calculator'!$U$16)/'Gearing Calculator'!$C$7)+(('Track Data'!W1762)*('Gearing Calculator'!$U$17/'Gearing Calculator'!$C$7))</f>
        <v>1934.6333555856625</v>
      </c>
      <c r="Z1762" s="16">
        <f>((X1762*COS('Gearing Calculator'!$C$21))/'Gearing Calculator'!$C$22)/2</f>
        <v>20.924164385176788</v>
      </c>
      <c r="AA1762" s="16">
        <f>Y1762/'Gearing Calculator'!$C$24</f>
        <v>27.013970493608824</v>
      </c>
      <c r="AB1762" s="16">
        <f t="shared" si="191"/>
        <v>359.30162197220409</v>
      </c>
      <c r="AC1762" s="16">
        <v>0</v>
      </c>
      <c r="AD1762" s="16">
        <v>0</v>
      </c>
      <c r="AE1762" s="16">
        <v>1759</v>
      </c>
      <c r="AF1762" s="16">
        <f>IF(AC1762=0,IF(O1762=6,INDEX(Acceleration!$V$4:$V$110,MATCH('Track Data'!S1762,Acceleration!$K$4:$K$110,0)),IF('Track Data'!O1762=5,INDEX(Acceleration!$U$4:$U$110,MATCH('Track Data'!S1762,Acceleration!$K$4:$K$110,0)),1)),U1762)</f>
        <v>3.7123193728965433</v>
      </c>
      <c r="AG1762" s="16">
        <f>IF(AC1762=0,IF(O1762=4,INDEX(Acceleration!$T$4:$T$110,MATCH('Track Data'!S1762,Acceleration!$K$4:$K$110,0)),IF('Track Data'!O1762=3,INDEX(Acceleration!$S$4:$S$110,MATCH('Track Data'!S1762,Acceleration!$K$4:$K$110,0)),'Track Data'!AF1762)),'Track Data'!U1762)</f>
        <v>3.7123193728965433</v>
      </c>
      <c r="AH1762" s="16">
        <f>IF(AC1762=0,IF(O1762=2,INDEX(Acceleration!$R$4:$R$110,MATCH('Track Data'!S1762,Acceleration!$K$4:$K$110,0)),IF('Track Data'!O1762=1,INDEX(Acceleration!$Q$4:$Q$110,MATCH('Track Data'!S1762,Acceleration!$K$4:$K$110,0)),'Track Data'!AG1762)),'Track Data'!U1762)</f>
        <v>3.7123193728965433</v>
      </c>
    </row>
    <row r="1763" spans="2:34" x14ac:dyDescent="0.25">
      <c r="B1763" s="16">
        <v>243.92699999999999</v>
      </c>
      <c r="C1763" s="16">
        <v>9033</v>
      </c>
      <c r="D1763" s="16">
        <v>1760</v>
      </c>
      <c r="E1763" s="113">
        <v>200</v>
      </c>
      <c r="F1763" s="113">
        <v>199.5</v>
      </c>
      <c r="G1763" s="113">
        <v>188.7</v>
      </c>
      <c r="H1763" s="113">
        <f t="shared" si="194"/>
        <v>52.416666666666664</v>
      </c>
      <c r="I1763" s="113">
        <v>14.3</v>
      </c>
      <c r="J1763" s="113">
        <v>68.84</v>
      </c>
      <c r="K1763" s="113">
        <v>-35.700000000000003</v>
      </c>
      <c r="L1763" s="185"/>
      <c r="M1763" s="16">
        <v>1760</v>
      </c>
      <c r="N1763" s="16">
        <f t="shared" si="196"/>
        <v>1.760407158315868E-2</v>
      </c>
      <c r="O1763" s="16">
        <v>5</v>
      </c>
      <c r="P1763" s="16">
        <f t="shared" si="192"/>
        <v>8.1742160278745661</v>
      </c>
      <c r="Q1763" s="16">
        <f t="shared" si="197"/>
        <v>56.805040542818055</v>
      </c>
      <c r="R1763" s="113">
        <f t="shared" si="193"/>
        <v>319.54399999999998</v>
      </c>
      <c r="S1763" s="16">
        <f>IF(S1762=15800,15800,ROUND((((Q1763*60)/'Gearing Calculator'!$C$14)*'Track Data'!P1763),-2))</f>
        <v>14100</v>
      </c>
      <c r="T1763" s="16">
        <f t="shared" si="195"/>
        <v>3.7123193728965433</v>
      </c>
      <c r="U1763" s="16">
        <f>IF(AC1763=100,Braking!$AG$2354,IF(AC1763=50,Braking!$AG$1179,IF(AC1763=75,Braking!$AG$1767,0)))</f>
        <v>0</v>
      </c>
      <c r="V1763" s="16">
        <f>0.5*'Gearing Calculator'!$C$15*'Gearing Calculator'!$C$20*'Gearing Calculator'!$W$20*('Track Data'!Q1763^2)</f>
        <v>341.52584887257609</v>
      </c>
      <c r="W1763" s="16">
        <f>('Gearing Calculator'!$U$9*'Track Data'!T1763)+'Track Data'!V1763</f>
        <v>1329.7452659376358</v>
      </c>
      <c r="X1763" s="16">
        <f>('Gearing Calculator'!$U$9*9.81)*('Gearing Calculator'!$U$16/'Gearing Calculator'!$C$7)-(('Track Data'!W1763)*('Gearing Calculator'!$U$17/'Gearing Calculator'!$C$7))</f>
        <v>676.36031679565326</v>
      </c>
      <c r="Y1763" s="16">
        <f>('Gearing Calculator'!$U$9*9.81)*(('Gearing Calculator'!$C$7-'Gearing Calculator'!$U$16)/'Gearing Calculator'!$C$7)+(('Track Data'!W1763)*('Gearing Calculator'!$U$17/'Gearing Calculator'!$C$7))</f>
        <v>1935.0616832043468</v>
      </c>
      <c r="Z1763" s="16">
        <f>((X1763*COS('Gearing Calculator'!$C$21))/'Gearing Calculator'!$C$22)/2</f>
        <v>20.91092184989191</v>
      </c>
      <c r="AA1763" s="16">
        <f>Y1763/'Gearing Calculator'!$C$24</f>
        <v>27.019951383796272</v>
      </c>
      <c r="AB1763" s="16">
        <f t="shared" si="191"/>
        <v>360.08744573705883</v>
      </c>
      <c r="AC1763" s="16">
        <v>0</v>
      </c>
      <c r="AD1763" s="16">
        <v>0</v>
      </c>
      <c r="AE1763" s="16">
        <v>1760</v>
      </c>
      <c r="AF1763" s="16">
        <f>IF(AC1763=0,IF(O1763=6,INDEX(Acceleration!$V$4:$V$110,MATCH('Track Data'!S1763,Acceleration!$K$4:$K$110,0)),IF('Track Data'!O1763=5,INDEX(Acceleration!$U$4:$U$110,MATCH('Track Data'!S1763,Acceleration!$K$4:$K$110,0)),1)),U1763)</f>
        <v>3.7123193728965433</v>
      </c>
      <c r="AG1763" s="16">
        <f>IF(AC1763=0,IF(O1763=4,INDEX(Acceleration!$T$4:$T$110,MATCH('Track Data'!S1763,Acceleration!$K$4:$K$110,0)),IF('Track Data'!O1763=3,INDEX(Acceleration!$S$4:$S$110,MATCH('Track Data'!S1763,Acceleration!$K$4:$K$110,0)),'Track Data'!AF1763)),'Track Data'!U1763)</f>
        <v>3.7123193728965433</v>
      </c>
      <c r="AH1763" s="16">
        <f>IF(AC1763=0,IF(O1763=2,INDEX(Acceleration!$R$4:$R$110,MATCH('Track Data'!S1763,Acceleration!$K$4:$K$110,0)),IF('Track Data'!O1763=1,INDEX(Acceleration!$Q$4:$Q$110,MATCH('Track Data'!S1763,Acceleration!$K$4:$K$110,0)),'Track Data'!AG1763)),'Track Data'!U1763)</f>
        <v>3.7123193728965433</v>
      </c>
    </row>
    <row r="1764" spans="2:34" x14ac:dyDescent="0.25">
      <c r="B1764" s="16">
        <v>243.94499999999999</v>
      </c>
      <c r="C1764" s="16">
        <v>9034</v>
      </c>
      <c r="D1764" s="16">
        <v>1761</v>
      </c>
      <c r="E1764" s="113">
        <v>200</v>
      </c>
      <c r="F1764" s="113">
        <v>199.1</v>
      </c>
      <c r="G1764" s="113">
        <v>188.4</v>
      </c>
      <c r="H1764" s="113">
        <f t="shared" si="194"/>
        <v>52.333333333333336</v>
      </c>
      <c r="I1764" s="113">
        <v>15.2</v>
      </c>
      <c r="J1764" s="113">
        <v>69.959999999999994</v>
      </c>
      <c r="K1764" s="113">
        <v>-35.1</v>
      </c>
      <c r="L1764" s="185"/>
      <c r="M1764" s="16">
        <v>1761</v>
      </c>
      <c r="N1764" s="16">
        <f t="shared" si="196"/>
        <v>1.7583853683314679E-2</v>
      </c>
      <c r="O1764" s="16">
        <v>5</v>
      </c>
      <c r="P1764" s="16">
        <f t="shared" si="192"/>
        <v>8.1742160278745661</v>
      </c>
      <c r="Q1764" s="16">
        <f t="shared" si="197"/>
        <v>56.870354929585204</v>
      </c>
      <c r="R1764" s="113">
        <f t="shared" si="193"/>
        <v>319.54399999999998</v>
      </c>
      <c r="S1764" s="16">
        <f>IF(S1763=15800,15800,ROUND((((Q1764*60)/'Gearing Calculator'!$C$14)*'Track Data'!P1764),-2))</f>
        <v>14100</v>
      </c>
      <c r="T1764" s="16">
        <f t="shared" si="195"/>
        <v>3.7123193728965433</v>
      </c>
      <c r="U1764" s="16">
        <f>IF(AC1764=100,Braking!$AG$2354,IF(AC1764=50,Braking!$AG$1179,IF(AC1764=75,Braking!$AG$1767,0)))</f>
        <v>0</v>
      </c>
      <c r="V1764" s="16">
        <f>0.5*'Gearing Calculator'!$C$15*'Gearing Calculator'!$C$20*'Gearing Calculator'!$W$20*('Track Data'!Q1764^2)</f>
        <v>342.31167263743083</v>
      </c>
      <c r="W1764" s="16">
        <f>('Gearing Calculator'!$U$9*'Track Data'!T1764)+'Track Data'!V1764</f>
        <v>1330.5310897024906</v>
      </c>
      <c r="X1764" s="16">
        <f>('Gearing Calculator'!$U$9*9.81)*('Gearing Calculator'!$U$16/'Gearing Calculator'!$C$7)-(('Track Data'!W1764)*('Gearing Calculator'!$U$17/'Gearing Calculator'!$C$7))</f>
        <v>675.93198917696895</v>
      </c>
      <c r="Y1764" s="16">
        <f>('Gearing Calculator'!$U$9*9.81)*(('Gearing Calculator'!$C$7-'Gearing Calculator'!$U$16)/'Gearing Calculator'!$C$7)+(('Track Data'!W1764)*('Gearing Calculator'!$U$17/'Gearing Calculator'!$C$7))</f>
        <v>1935.4900108230311</v>
      </c>
      <c r="Z1764" s="16">
        <f>((X1764*COS('Gearing Calculator'!$C$21))/'Gearing Calculator'!$C$22)/2</f>
        <v>20.897679314607029</v>
      </c>
      <c r="AA1764" s="16">
        <f>Y1764/'Gearing Calculator'!$C$24</f>
        <v>27.025932273983724</v>
      </c>
      <c r="AB1764" s="16">
        <f t="shared" si="191"/>
        <v>360.87326950191357</v>
      </c>
      <c r="AC1764" s="16">
        <v>0</v>
      </c>
      <c r="AD1764" s="16">
        <v>0</v>
      </c>
      <c r="AE1764" s="16">
        <v>1761</v>
      </c>
      <c r="AF1764" s="16">
        <f>IF(AC1764=0,IF(O1764=6,INDEX(Acceleration!$V$4:$V$110,MATCH('Track Data'!S1764,Acceleration!$K$4:$K$110,0)),IF('Track Data'!O1764=5,INDEX(Acceleration!$U$4:$U$110,MATCH('Track Data'!S1764,Acceleration!$K$4:$K$110,0)),1)),U1764)</f>
        <v>3.7123193728965433</v>
      </c>
      <c r="AG1764" s="16">
        <f>IF(AC1764=0,IF(O1764=4,INDEX(Acceleration!$T$4:$T$110,MATCH('Track Data'!S1764,Acceleration!$K$4:$K$110,0)),IF('Track Data'!O1764=3,INDEX(Acceleration!$S$4:$S$110,MATCH('Track Data'!S1764,Acceleration!$K$4:$K$110,0)),'Track Data'!AF1764)),'Track Data'!U1764)</f>
        <v>3.7123193728965433</v>
      </c>
      <c r="AH1764" s="16">
        <f>IF(AC1764=0,IF(O1764=2,INDEX(Acceleration!$R$4:$R$110,MATCH('Track Data'!S1764,Acceleration!$K$4:$K$110,0)),IF('Track Data'!O1764=1,INDEX(Acceleration!$Q$4:$Q$110,MATCH('Track Data'!S1764,Acceleration!$K$4:$K$110,0)),'Track Data'!AG1764)),'Track Data'!U1764)</f>
        <v>3.7123193728965433</v>
      </c>
    </row>
    <row r="1765" spans="2:34" x14ac:dyDescent="0.25">
      <c r="B1765" s="16">
        <v>243.96299999999999</v>
      </c>
      <c r="C1765" s="16">
        <v>9035</v>
      </c>
      <c r="D1765" s="16">
        <v>1762</v>
      </c>
      <c r="E1765" s="113">
        <v>200</v>
      </c>
      <c r="F1765" s="113">
        <v>198.6</v>
      </c>
      <c r="G1765" s="113">
        <v>188</v>
      </c>
      <c r="H1765" s="113">
        <f t="shared" si="194"/>
        <v>52.222222222222221</v>
      </c>
      <c r="I1765" s="113">
        <v>15.2</v>
      </c>
      <c r="J1765" s="113">
        <v>70.260000000000005</v>
      </c>
      <c r="K1765" s="113">
        <v>-34.6</v>
      </c>
      <c r="L1765" s="185"/>
      <c r="M1765" s="16">
        <v>1762</v>
      </c>
      <c r="N1765" s="16">
        <f t="shared" si="196"/>
        <v>1.756370528332489E-2</v>
      </c>
      <c r="O1765" s="16">
        <v>5</v>
      </c>
      <c r="P1765" s="16">
        <f t="shared" si="192"/>
        <v>8.1742160278745661</v>
      </c>
      <c r="Q1765" s="16">
        <f t="shared" si="197"/>
        <v>56.9355943901773</v>
      </c>
      <c r="R1765" s="113">
        <f t="shared" si="193"/>
        <v>319.54399999999998</v>
      </c>
      <c r="S1765" s="16">
        <f>IF(S1764=15800,15800,ROUND((((Q1765*60)/'Gearing Calculator'!$C$14)*'Track Data'!P1765),-2))</f>
        <v>14100</v>
      </c>
      <c r="T1765" s="16">
        <f t="shared" si="195"/>
        <v>3.7123193728965433</v>
      </c>
      <c r="U1765" s="16">
        <f>IF(AC1765=100,Braking!$AG$2354,IF(AC1765=50,Braking!$AG$1179,IF(AC1765=75,Braking!$AG$1767,0)))</f>
        <v>0</v>
      </c>
      <c r="V1765" s="16">
        <f>0.5*'Gearing Calculator'!$C$15*'Gearing Calculator'!$C$20*'Gearing Calculator'!$W$20*('Track Data'!Q1765^2)</f>
        <v>343.09749640228557</v>
      </c>
      <c r="W1765" s="16">
        <f>('Gearing Calculator'!$U$9*'Track Data'!T1765)+'Track Data'!V1765</f>
        <v>1331.3169134673453</v>
      </c>
      <c r="X1765" s="16">
        <f>('Gearing Calculator'!$U$9*9.81)*('Gearing Calculator'!$U$16/'Gearing Calculator'!$C$7)-(('Track Data'!W1765)*('Gearing Calculator'!$U$17/'Gearing Calculator'!$C$7))</f>
        <v>675.50366155828453</v>
      </c>
      <c r="Y1765" s="16">
        <f>('Gearing Calculator'!$U$9*9.81)*(('Gearing Calculator'!$C$7-'Gearing Calculator'!$U$16)/'Gearing Calculator'!$C$7)+(('Track Data'!W1765)*('Gearing Calculator'!$U$17/'Gearing Calculator'!$C$7))</f>
        <v>1935.9183384417156</v>
      </c>
      <c r="Z1765" s="16">
        <f>((X1765*COS('Gearing Calculator'!$C$21))/'Gearing Calculator'!$C$22)/2</f>
        <v>20.884436779322151</v>
      </c>
      <c r="AA1765" s="16">
        <f>Y1765/'Gearing Calculator'!$C$24</f>
        <v>27.031913164171176</v>
      </c>
      <c r="AB1765" s="16">
        <f t="shared" si="191"/>
        <v>361.65909326676831</v>
      </c>
      <c r="AC1765" s="16">
        <v>0</v>
      </c>
      <c r="AD1765" s="16">
        <v>0</v>
      </c>
      <c r="AE1765" s="16">
        <v>1762</v>
      </c>
      <c r="AF1765" s="16">
        <f>IF(AC1765=0,IF(O1765=6,INDEX(Acceleration!$V$4:$V$110,MATCH('Track Data'!S1765,Acceleration!$K$4:$K$110,0)),IF('Track Data'!O1765=5,INDEX(Acceleration!$U$4:$U$110,MATCH('Track Data'!S1765,Acceleration!$K$4:$K$110,0)),1)),U1765)</f>
        <v>3.7123193728965433</v>
      </c>
      <c r="AG1765" s="16">
        <f>IF(AC1765=0,IF(O1765=4,INDEX(Acceleration!$T$4:$T$110,MATCH('Track Data'!S1765,Acceleration!$K$4:$K$110,0)),IF('Track Data'!O1765=3,INDEX(Acceleration!$S$4:$S$110,MATCH('Track Data'!S1765,Acceleration!$K$4:$K$110,0)),'Track Data'!AF1765)),'Track Data'!U1765)</f>
        <v>3.7123193728965433</v>
      </c>
      <c r="AH1765" s="16">
        <f>IF(AC1765=0,IF(O1765=2,INDEX(Acceleration!$R$4:$R$110,MATCH('Track Data'!S1765,Acceleration!$K$4:$K$110,0)),IF('Track Data'!O1765=1,INDEX(Acceleration!$Q$4:$Q$110,MATCH('Track Data'!S1765,Acceleration!$K$4:$K$110,0)),'Track Data'!AG1765)),'Track Data'!U1765)</f>
        <v>3.7123193728965433</v>
      </c>
    </row>
    <row r="1766" spans="2:34" x14ac:dyDescent="0.25">
      <c r="B1766" s="16">
        <v>243.98099999999999</v>
      </c>
      <c r="C1766" s="16">
        <v>9036</v>
      </c>
      <c r="D1766" s="16">
        <v>1763</v>
      </c>
      <c r="E1766" s="113">
        <v>199</v>
      </c>
      <c r="F1766" s="113">
        <v>198.2</v>
      </c>
      <c r="G1766" s="113">
        <v>187.7</v>
      </c>
      <c r="H1766" s="113">
        <f t="shared" si="194"/>
        <v>52.138888888888886</v>
      </c>
      <c r="I1766" s="113">
        <v>15.2</v>
      </c>
      <c r="J1766" s="113">
        <v>69.67</v>
      </c>
      <c r="K1766" s="113">
        <v>-34</v>
      </c>
      <c r="L1766" s="185"/>
      <c r="M1766" s="16">
        <v>1763</v>
      </c>
      <c r="N1766" s="16">
        <f t="shared" si="196"/>
        <v>1.7543625985918677E-2</v>
      </c>
      <c r="O1766" s="16">
        <v>5</v>
      </c>
      <c r="P1766" s="16">
        <f t="shared" si="192"/>
        <v>8.1742160278745661</v>
      </c>
      <c r="Q1766" s="16">
        <f t="shared" si="197"/>
        <v>57.000759181861618</v>
      </c>
      <c r="R1766" s="113">
        <f t="shared" si="193"/>
        <v>319.54399999999998</v>
      </c>
      <c r="S1766" s="16">
        <f>IF(S1765=15800,15800,ROUND((((Q1766*60)/'Gearing Calculator'!$C$14)*'Track Data'!P1766),-2))</f>
        <v>14100</v>
      </c>
      <c r="T1766" s="16">
        <f t="shared" si="195"/>
        <v>3.7123193728965433</v>
      </c>
      <c r="U1766" s="16">
        <f>IF(AC1766=100,Braking!$AG$2354,IF(AC1766=50,Braking!$AG$1179,IF(AC1766=75,Braking!$AG$1767,0)))</f>
        <v>0</v>
      </c>
      <c r="V1766" s="16">
        <f>0.5*'Gearing Calculator'!$C$15*'Gearing Calculator'!$C$20*'Gearing Calculator'!$W$20*('Track Data'!Q1766^2)</f>
        <v>343.8833201671402</v>
      </c>
      <c r="W1766" s="16">
        <f>('Gearing Calculator'!$U$9*'Track Data'!T1766)+'Track Data'!V1766</f>
        <v>1332.1027372322001</v>
      </c>
      <c r="X1766" s="16">
        <f>('Gearing Calculator'!$U$9*9.81)*('Gearing Calculator'!$U$16/'Gearing Calculator'!$C$7)-(('Track Data'!W1766)*('Gearing Calculator'!$U$17/'Gearing Calculator'!$C$7))</f>
        <v>675.07533393960023</v>
      </c>
      <c r="Y1766" s="16">
        <f>('Gearing Calculator'!$U$9*9.81)*(('Gearing Calculator'!$C$7-'Gearing Calculator'!$U$16)/'Gearing Calculator'!$C$7)+(('Track Data'!W1766)*('Gearing Calculator'!$U$17/'Gearing Calculator'!$C$7))</f>
        <v>1936.3466660603999</v>
      </c>
      <c r="Z1766" s="16">
        <f>((X1766*COS('Gearing Calculator'!$C$21))/'Gearing Calculator'!$C$22)/2</f>
        <v>20.87119424403727</v>
      </c>
      <c r="AA1766" s="16">
        <f>Y1766/'Gearing Calculator'!$C$24</f>
        <v>27.037894054358624</v>
      </c>
      <c r="AB1766" s="16">
        <f t="shared" si="191"/>
        <v>362.44491703162294</v>
      </c>
      <c r="AC1766" s="16">
        <v>0</v>
      </c>
      <c r="AD1766" s="16">
        <v>0</v>
      </c>
      <c r="AE1766" s="16">
        <v>1763</v>
      </c>
      <c r="AF1766" s="16">
        <f>IF(AC1766=0,IF(O1766=6,INDEX(Acceleration!$V$4:$V$110,MATCH('Track Data'!S1766,Acceleration!$K$4:$K$110,0)),IF('Track Data'!O1766=5,INDEX(Acceleration!$U$4:$U$110,MATCH('Track Data'!S1766,Acceleration!$K$4:$K$110,0)),1)),U1766)</f>
        <v>3.7123193728965433</v>
      </c>
      <c r="AG1766" s="16">
        <f>IF(AC1766=0,IF(O1766=4,INDEX(Acceleration!$T$4:$T$110,MATCH('Track Data'!S1766,Acceleration!$K$4:$K$110,0)),IF('Track Data'!O1766=3,INDEX(Acceleration!$S$4:$S$110,MATCH('Track Data'!S1766,Acceleration!$K$4:$K$110,0)),'Track Data'!AF1766)),'Track Data'!U1766)</f>
        <v>3.7123193728965433</v>
      </c>
      <c r="AH1766" s="16">
        <f>IF(AC1766=0,IF(O1766=2,INDEX(Acceleration!$R$4:$R$110,MATCH('Track Data'!S1766,Acceleration!$K$4:$K$110,0)),IF('Track Data'!O1766=1,INDEX(Acceleration!$Q$4:$Q$110,MATCH('Track Data'!S1766,Acceleration!$K$4:$K$110,0)),'Track Data'!AG1766)),'Track Data'!U1766)</f>
        <v>3.7123193728965433</v>
      </c>
    </row>
    <row r="1767" spans="2:34" x14ac:dyDescent="0.25">
      <c r="B1767" s="16">
        <v>243.999</v>
      </c>
      <c r="C1767" s="16">
        <v>9037</v>
      </c>
      <c r="D1767" s="16">
        <v>1764</v>
      </c>
      <c r="E1767" s="113">
        <v>199</v>
      </c>
      <c r="F1767" s="113">
        <v>198</v>
      </c>
      <c r="G1767" s="113">
        <v>187.5</v>
      </c>
      <c r="H1767" s="113">
        <f t="shared" si="194"/>
        <v>52.083333333333329</v>
      </c>
      <c r="I1767" s="113">
        <v>15.2</v>
      </c>
      <c r="J1767" s="113">
        <v>67.91</v>
      </c>
      <c r="K1767" s="113">
        <v>-33.799999999999997</v>
      </c>
      <c r="L1767" s="185"/>
      <c r="M1767" s="16">
        <v>1764</v>
      </c>
      <c r="N1767" s="16">
        <f t="shared" si="196"/>
        <v>1.7523615396997348E-2</v>
      </c>
      <c r="O1767" s="16">
        <v>5</v>
      </c>
      <c r="P1767" s="16">
        <f t="shared" si="192"/>
        <v>8.1742160278745661</v>
      </c>
      <c r="Q1767" s="16">
        <f t="shared" si="197"/>
        <v>57.065849560436533</v>
      </c>
      <c r="R1767" s="113">
        <f t="shared" si="193"/>
        <v>319.54399999999998</v>
      </c>
      <c r="S1767" s="16">
        <f>IF(S1766=15800,15800,ROUND((((Q1767*60)/'Gearing Calculator'!$C$14)*'Track Data'!P1767),-2))</f>
        <v>14100</v>
      </c>
      <c r="T1767" s="16">
        <f t="shared" si="195"/>
        <v>3.7123193728965433</v>
      </c>
      <c r="U1767" s="16">
        <f>IF(AC1767=100,Braking!$AG$2354,IF(AC1767=50,Braking!$AG$1179,IF(AC1767=75,Braking!$AG$1767,0)))</f>
        <v>0</v>
      </c>
      <c r="V1767" s="16">
        <f>0.5*'Gearing Calculator'!$C$15*'Gearing Calculator'!$C$20*'Gearing Calculator'!$W$20*('Track Data'!Q1767^2)</f>
        <v>344.66914393199494</v>
      </c>
      <c r="W1767" s="16">
        <f>('Gearing Calculator'!$U$9*'Track Data'!T1767)+'Track Data'!V1767</f>
        <v>1332.8885609970548</v>
      </c>
      <c r="X1767" s="16">
        <f>('Gearing Calculator'!$U$9*9.81)*('Gearing Calculator'!$U$16/'Gearing Calculator'!$C$7)-(('Track Data'!W1767)*('Gearing Calculator'!$U$17/'Gearing Calculator'!$C$7))</f>
        <v>674.64700632091592</v>
      </c>
      <c r="Y1767" s="16">
        <f>('Gearing Calculator'!$U$9*9.81)*(('Gearing Calculator'!$C$7-'Gearing Calculator'!$U$16)/'Gearing Calculator'!$C$7)+(('Track Data'!W1767)*('Gearing Calculator'!$U$17/'Gearing Calculator'!$C$7))</f>
        <v>1936.7749936790842</v>
      </c>
      <c r="Z1767" s="16">
        <f>((X1767*COS('Gearing Calculator'!$C$21))/'Gearing Calculator'!$C$22)/2</f>
        <v>20.857951708752392</v>
      </c>
      <c r="AA1767" s="16">
        <f>Y1767/'Gearing Calculator'!$C$24</f>
        <v>27.043874944546076</v>
      </c>
      <c r="AB1767" s="16">
        <f t="shared" si="191"/>
        <v>363.23074079647768</v>
      </c>
      <c r="AC1767" s="16">
        <v>0</v>
      </c>
      <c r="AD1767" s="16">
        <v>0</v>
      </c>
      <c r="AE1767" s="16">
        <v>1764</v>
      </c>
      <c r="AF1767" s="16">
        <f>IF(AC1767=0,IF(O1767=6,INDEX(Acceleration!$V$4:$V$110,MATCH('Track Data'!S1767,Acceleration!$K$4:$K$110,0)),IF('Track Data'!O1767=5,INDEX(Acceleration!$U$4:$U$110,MATCH('Track Data'!S1767,Acceleration!$K$4:$K$110,0)),1)),U1767)</f>
        <v>3.7123193728965433</v>
      </c>
      <c r="AG1767" s="16">
        <f>IF(AC1767=0,IF(O1767=4,INDEX(Acceleration!$T$4:$T$110,MATCH('Track Data'!S1767,Acceleration!$K$4:$K$110,0)),IF('Track Data'!O1767=3,INDEX(Acceleration!$S$4:$S$110,MATCH('Track Data'!S1767,Acceleration!$K$4:$K$110,0)),'Track Data'!AF1767)),'Track Data'!U1767)</f>
        <v>3.7123193728965433</v>
      </c>
      <c r="AH1767" s="16">
        <f>IF(AC1767=0,IF(O1767=2,INDEX(Acceleration!$R$4:$R$110,MATCH('Track Data'!S1767,Acceleration!$K$4:$K$110,0)),IF('Track Data'!O1767=1,INDEX(Acceleration!$Q$4:$Q$110,MATCH('Track Data'!S1767,Acceleration!$K$4:$K$110,0)),'Track Data'!AG1767)),'Track Data'!U1767)</f>
        <v>3.7123193728965433</v>
      </c>
    </row>
    <row r="1768" spans="2:34" x14ac:dyDescent="0.25">
      <c r="B1768" s="16">
        <v>244.017</v>
      </c>
      <c r="C1768" s="16">
        <v>9038</v>
      </c>
      <c r="D1768" s="16">
        <v>1765</v>
      </c>
      <c r="E1768" s="113">
        <v>199</v>
      </c>
      <c r="F1768" s="113">
        <v>197.9</v>
      </c>
      <c r="G1768" s="113">
        <v>187.2</v>
      </c>
      <c r="H1768" s="113">
        <f t="shared" si="194"/>
        <v>51.999999999999993</v>
      </c>
      <c r="I1768" s="113">
        <v>14.5</v>
      </c>
      <c r="J1768" s="113">
        <v>65.66</v>
      </c>
      <c r="K1768" s="113">
        <v>-35.5</v>
      </c>
      <c r="L1768" s="185"/>
      <c r="M1768" s="16">
        <v>1765</v>
      </c>
      <c r="N1768" s="16">
        <f t="shared" si="196"/>
        <v>1.7503673125601679E-2</v>
      </c>
      <c r="O1768" s="16">
        <v>5</v>
      </c>
      <c r="P1768" s="16">
        <f t="shared" si="192"/>
        <v>8.1742160278745661</v>
      </c>
      <c r="Q1768" s="16">
        <f t="shared" si="197"/>
        <v>57.130865780243234</v>
      </c>
      <c r="R1768" s="113">
        <f t="shared" si="193"/>
        <v>319.54399999999998</v>
      </c>
      <c r="S1768" s="16">
        <f>IF(S1767=15800,15800,ROUND((((Q1768*60)/'Gearing Calculator'!$C$14)*'Track Data'!P1768),-2))</f>
        <v>14200</v>
      </c>
      <c r="T1768" s="16">
        <f t="shared" si="195"/>
        <v>3.6883241566208409</v>
      </c>
      <c r="U1768" s="16">
        <f>IF(AC1768=100,Braking!$AG$2354,IF(AC1768=50,Braking!$AG$1179,IF(AC1768=75,Braking!$AG$1767,0)))</f>
        <v>0</v>
      </c>
      <c r="V1768" s="16">
        <f>0.5*'Gearing Calculator'!$C$15*'Gearing Calculator'!$C$20*'Gearing Calculator'!$W$20*('Track Data'!Q1768^2)</f>
        <v>345.45496769684968</v>
      </c>
      <c r="W1768" s="16">
        <f>('Gearing Calculator'!$U$9*'Track Data'!T1768)+'Track Data'!V1768</f>
        <v>1327.2868581893174</v>
      </c>
      <c r="X1768" s="16">
        <f>('Gearing Calculator'!$U$9*9.81)*('Gearing Calculator'!$U$16/'Gearing Calculator'!$C$7)-(('Track Data'!W1768)*('Gearing Calculator'!$U$17/'Gearing Calculator'!$C$7))</f>
        <v>677.70031691232953</v>
      </c>
      <c r="Y1768" s="16">
        <f>('Gearing Calculator'!$U$9*9.81)*(('Gearing Calculator'!$C$7-'Gearing Calculator'!$U$16)/'Gearing Calculator'!$C$7)+(('Track Data'!W1768)*('Gearing Calculator'!$U$17/'Gearing Calculator'!$C$7))</f>
        <v>1933.7216830876705</v>
      </c>
      <c r="Z1768" s="16">
        <f>((X1768*COS('Gearing Calculator'!$C$21))/'Gearing Calculator'!$C$22)/2</f>
        <v>20.952350415440247</v>
      </c>
      <c r="AA1768" s="16">
        <f>Y1768/'Gearing Calculator'!$C$24</f>
        <v>27.001240487745186</v>
      </c>
      <c r="AB1768" s="16">
        <f t="shared" si="191"/>
        <v>363.89658847995389</v>
      </c>
      <c r="AC1768" s="16">
        <v>0</v>
      </c>
      <c r="AD1768" s="16">
        <v>0</v>
      </c>
      <c r="AE1768" s="16">
        <v>1765</v>
      </c>
      <c r="AF1768" s="16">
        <f>IF(AC1768=0,IF(O1768=6,INDEX(Acceleration!$V$4:$V$110,MATCH('Track Data'!S1768,Acceleration!$K$4:$K$110,0)),IF('Track Data'!O1768=5,INDEX(Acceleration!$U$4:$U$110,MATCH('Track Data'!S1768,Acceleration!$K$4:$K$110,0)),1)),U1768)</f>
        <v>3.6883241566208409</v>
      </c>
      <c r="AG1768" s="16">
        <f>IF(AC1768=0,IF(O1768=4,INDEX(Acceleration!$T$4:$T$110,MATCH('Track Data'!S1768,Acceleration!$K$4:$K$110,0)),IF('Track Data'!O1768=3,INDEX(Acceleration!$S$4:$S$110,MATCH('Track Data'!S1768,Acceleration!$K$4:$K$110,0)),'Track Data'!AF1768)),'Track Data'!U1768)</f>
        <v>3.6883241566208409</v>
      </c>
      <c r="AH1768" s="16">
        <f>IF(AC1768=0,IF(O1768=2,INDEX(Acceleration!$R$4:$R$110,MATCH('Track Data'!S1768,Acceleration!$K$4:$K$110,0)),IF('Track Data'!O1768=1,INDEX(Acceleration!$Q$4:$Q$110,MATCH('Track Data'!S1768,Acceleration!$K$4:$K$110,0)),'Track Data'!AG1768)),'Track Data'!U1768)</f>
        <v>3.6883241566208409</v>
      </c>
    </row>
    <row r="1769" spans="2:34" x14ac:dyDescent="0.25">
      <c r="B1769" s="16">
        <v>244.035</v>
      </c>
      <c r="C1769" s="16">
        <v>9039</v>
      </c>
      <c r="D1769" s="16">
        <v>1766</v>
      </c>
      <c r="E1769" s="113">
        <v>198</v>
      </c>
      <c r="F1769" s="113">
        <v>198</v>
      </c>
      <c r="G1769" s="113">
        <v>186.8</v>
      </c>
      <c r="H1769" s="113">
        <f t="shared" si="194"/>
        <v>51.888888888888893</v>
      </c>
      <c r="I1769" s="113">
        <v>12.8</v>
      </c>
      <c r="J1769" s="113">
        <v>62.72</v>
      </c>
      <c r="K1769" s="113">
        <v>-38.299999999999997</v>
      </c>
      <c r="L1769" s="185"/>
      <c r="M1769" s="16">
        <v>1766</v>
      </c>
      <c r="N1769" s="16">
        <f t="shared" si="196"/>
        <v>1.748392702781797E-2</v>
      </c>
      <c r="O1769" s="16">
        <v>5</v>
      </c>
      <c r="P1769" s="16">
        <f t="shared" si="192"/>
        <v>8.1742160278745661</v>
      </c>
      <c r="Q1769" s="16">
        <f t="shared" si="197"/>
        <v>57.195388565105567</v>
      </c>
      <c r="R1769" s="113">
        <f t="shared" si="193"/>
        <v>319.54399999999998</v>
      </c>
      <c r="S1769" s="16">
        <f>IF(S1768=15800,15800,ROUND((((Q1769*60)/'Gearing Calculator'!$C$14)*'Track Data'!P1769),-2))</f>
        <v>14200</v>
      </c>
      <c r="T1769" s="16">
        <f t="shared" si="195"/>
        <v>3.6883241566208409</v>
      </c>
      <c r="U1769" s="16">
        <f>IF(AC1769=100,Braking!$AG$2354,IF(AC1769=50,Braking!$AG$1179,IF(AC1769=75,Braking!$AG$1767,0)))</f>
        <v>0</v>
      </c>
      <c r="V1769" s="16">
        <f>0.5*'Gearing Calculator'!$C$15*'Gearing Calculator'!$C$20*'Gearing Calculator'!$W$20*('Track Data'!Q1769^2)</f>
        <v>346.2357121543231</v>
      </c>
      <c r="W1769" s="16">
        <f>('Gearing Calculator'!$U$9*'Track Data'!T1769)+'Track Data'!V1769</f>
        <v>1328.0676026467909</v>
      </c>
      <c r="X1769" s="16">
        <f>('Gearing Calculator'!$U$9*9.81)*('Gearing Calculator'!$U$16/'Gearing Calculator'!$C$7)-(('Track Data'!W1769)*('Gearing Calculator'!$U$17/'Gearing Calculator'!$C$7))</f>
        <v>677.27475786305286</v>
      </c>
      <c r="Y1769" s="16">
        <f>('Gearing Calculator'!$U$9*9.81)*(('Gearing Calculator'!$C$7-'Gearing Calculator'!$U$16)/'Gearing Calculator'!$C$7)+(('Track Data'!W1769)*('Gearing Calculator'!$U$17/'Gearing Calculator'!$C$7))</f>
        <v>1934.1472421369472</v>
      </c>
      <c r="Z1769" s="16">
        <f>((X1769*COS('Gearing Calculator'!$C$21))/'Gearing Calculator'!$C$22)/2</f>
        <v>20.939193475565215</v>
      </c>
      <c r="AA1769" s="16">
        <f>Y1769/'Gearing Calculator'!$C$24</f>
        <v>27.007182719417798</v>
      </c>
      <c r="AB1769" s="16">
        <f t="shared" si="191"/>
        <v>364.67733293742731</v>
      </c>
      <c r="AC1769" s="16">
        <v>0</v>
      </c>
      <c r="AD1769" s="16">
        <v>0</v>
      </c>
      <c r="AE1769" s="16">
        <v>1766</v>
      </c>
      <c r="AF1769" s="16">
        <f>IF(AC1769=0,IF(O1769=6,INDEX(Acceleration!$V$4:$V$110,MATCH('Track Data'!S1769,Acceleration!$K$4:$K$110,0)),IF('Track Data'!O1769=5,INDEX(Acceleration!$U$4:$U$110,MATCH('Track Data'!S1769,Acceleration!$K$4:$K$110,0)),1)),U1769)</f>
        <v>3.6883241566208409</v>
      </c>
      <c r="AG1769" s="16">
        <f>IF(AC1769=0,IF(O1769=4,INDEX(Acceleration!$T$4:$T$110,MATCH('Track Data'!S1769,Acceleration!$K$4:$K$110,0)),IF('Track Data'!O1769=3,INDEX(Acceleration!$S$4:$S$110,MATCH('Track Data'!S1769,Acceleration!$K$4:$K$110,0)),'Track Data'!AF1769)),'Track Data'!U1769)</f>
        <v>3.6883241566208409</v>
      </c>
      <c r="AH1769" s="16">
        <f>IF(AC1769=0,IF(O1769=2,INDEX(Acceleration!$R$4:$R$110,MATCH('Track Data'!S1769,Acceleration!$K$4:$K$110,0)),IF('Track Data'!O1769=1,INDEX(Acceleration!$Q$4:$Q$110,MATCH('Track Data'!S1769,Acceleration!$K$4:$K$110,0)),'Track Data'!AG1769)),'Track Data'!U1769)</f>
        <v>3.6883241566208409</v>
      </c>
    </row>
    <row r="1770" spans="2:34" x14ac:dyDescent="0.25">
      <c r="B1770" s="16">
        <v>244.053</v>
      </c>
      <c r="C1770" s="16">
        <v>9040</v>
      </c>
      <c r="D1770" s="16">
        <v>1767</v>
      </c>
      <c r="E1770" s="113">
        <v>198</v>
      </c>
      <c r="F1770" s="113">
        <v>198.1</v>
      </c>
      <c r="G1770" s="113">
        <v>186.4</v>
      </c>
      <c r="H1770" s="113">
        <f t="shared" si="194"/>
        <v>51.777777777777779</v>
      </c>
      <c r="I1770" s="113">
        <v>10.5</v>
      </c>
      <c r="J1770" s="113">
        <v>61.29</v>
      </c>
      <c r="K1770" s="113">
        <v>-41.1</v>
      </c>
      <c r="L1770" s="185"/>
      <c r="M1770" s="16">
        <v>1767</v>
      </c>
      <c r="N1770" s="16">
        <f t="shared" si="196"/>
        <v>1.7464247607019777E-2</v>
      </c>
      <c r="O1770" s="16">
        <v>5</v>
      </c>
      <c r="P1770" s="16">
        <f t="shared" si="192"/>
        <v>8.1742160278745661</v>
      </c>
      <c r="Q1770" s="16">
        <f t="shared" si="197"/>
        <v>57.259838643037149</v>
      </c>
      <c r="R1770" s="113">
        <f t="shared" si="193"/>
        <v>319.54399999999998</v>
      </c>
      <c r="S1770" s="16">
        <f>IF(S1769=15800,15800,ROUND((((Q1770*60)/'Gearing Calculator'!$C$14)*'Track Data'!P1770),-2))</f>
        <v>14200</v>
      </c>
      <c r="T1770" s="16">
        <f t="shared" si="195"/>
        <v>-11.216477997530474</v>
      </c>
      <c r="U1770" s="16">
        <f>IF(AC1770=100,Braking!$AG$2354,IF(AC1770=50,Braking!$AG$1179,IF(AC1770=75,Braking!$AG$1767,0)))</f>
        <v>-11.216477997530474</v>
      </c>
      <c r="V1770" s="16">
        <f>0.5*'Gearing Calculator'!$C$15*'Gearing Calculator'!$C$20*'Gearing Calculator'!$W$20*('Track Data'!Q1770^2)</f>
        <v>347.01645661179663</v>
      </c>
      <c r="W1770" s="16">
        <f>('Gearing Calculator'!$U$9*'Track Data'!T1770)+'Track Data'!V1770</f>
        <v>-2638.8099863308153</v>
      </c>
      <c r="X1770" s="16">
        <f>('Gearing Calculator'!$U$9*9.81)*('Gearing Calculator'!$U$16/'Gearing Calculator'!$C$7)-(('Track Data'!W1770)*('Gearing Calculator'!$U$17/'Gearing Calculator'!$C$7))</f>
        <v>2839.4939567353067</v>
      </c>
      <c r="Y1770" s="16">
        <f>('Gearing Calculator'!$U$9*9.81)*(('Gearing Calculator'!$C$7-'Gearing Calculator'!$U$16)/'Gearing Calculator'!$C$7)+(('Track Data'!W1770)*('Gearing Calculator'!$U$17/'Gearing Calculator'!$C$7))</f>
        <v>-228.07195673530669</v>
      </c>
      <c r="Z1770" s="16">
        <f>((X1770*COS('Gearing Calculator'!$C$21))/'Gearing Calculator'!$C$22)/2</f>
        <v>87.788172588001771</v>
      </c>
      <c r="AA1770" s="16">
        <f>Y1770/'Gearing Calculator'!$C$24</f>
        <v>-3.1846494799021352</v>
      </c>
      <c r="AB1770" s="16">
        <f t="shared" si="191"/>
        <v>290.93406662414424</v>
      </c>
      <c r="AC1770" s="16">
        <v>50</v>
      </c>
      <c r="AD1770" s="16">
        <v>0</v>
      </c>
      <c r="AE1770" s="16">
        <v>1767</v>
      </c>
      <c r="AF1770" s="16">
        <f>IF(AC1770=0,IF(O1770=6,INDEX(Acceleration!$V$4:$V$110,MATCH('Track Data'!S1770,Acceleration!$K$4:$K$110,0)),IF('Track Data'!O1770=5,INDEX(Acceleration!$U$4:$U$110,MATCH('Track Data'!S1770,Acceleration!$K$4:$K$110,0)),1)),U1770)</f>
        <v>-11.216477997530474</v>
      </c>
      <c r="AG1770" s="16">
        <f>IF(AC1770=0,IF(O1770=4,INDEX(Acceleration!$T$4:$T$110,MATCH('Track Data'!S1770,Acceleration!$K$4:$K$110,0)),IF('Track Data'!O1770=3,INDEX(Acceleration!$S$4:$S$110,MATCH('Track Data'!S1770,Acceleration!$K$4:$K$110,0)),'Track Data'!AF1770)),'Track Data'!U1770)</f>
        <v>-11.216477997530474</v>
      </c>
      <c r="AH1770" s="16">
        <f>IF(AC1770=0,IF(O1770=2,INDEX(Acceleration!$R$4:$R$110,MATCH('Track Data'!S1770,Acceleration!$K$4:$K$110,0)),IF('Track Data'!O1770=1,INDEX(Acceleration!$Q$4:$Q$110,MATCH('Track Data'!S1770,Acceleration!$K$4:$K$110,0)),'Track Data'!AG1770)),'Track Data'!U1770)</f>
        <v>-11.216477997530474</v>
      </c>
    </row>
    <row r="1771" spans="2:34" x14ac:dyDescent="0.25">
      <c r="B1771" s="16">
        <v>244.071</v>
      </c>
      <c r="C1771" s="16">
        <v>9041</v>
      </c>
      <c r="D1771" s="16">
        <v>1768</v>
      </c>
      <c r="E1771" s="113">
        <v>198</v>
      </c>
      <c r="F1771" s="113">
        <v>198.1</v>
      </c>
      <c r="G1771" s="113">
        <v>186</v>
      </c>
      <c r="H1771" s="113">
        <f t="shared" si="194"/>
        <v>51.666666666666664</v>
      </c>
      <c r="I1771" s="113">
        <v>9.3000000000000007</v>
      </c>
      <c r="J1771" s="113">
        <v>60.78</v>
      </c>
      <c r="K1771" s="113">
        <v>-43.9</v>
      </c>
      <c r="L1771" s="185"/>
      <c r="M1771" s="16">
        <v>1768</v>
      </c>
      <c r="N1771" s="16">
        <f t="shared" si="196"/>
        <v>1.7524301583155755E-2</v>
      </c>
      <c r="O1771" s="16">
        <v>5</v>
      </c>
      <c r="P1771" s="16">
        <f t="shared" si="192"/>
        <v>8.1742160278745661</v>
      </c>
      <c r="Q1771" s="16">
        <f t="shared" si="197"/>
        <v>57.063615075033489</v>
      </c>
      <c r="R1771" s="113">
        <f t="shared" si="193"/>
        <v>319.54399999999998</v>
      </c>
      <c r="S1771" s="16">
        <f>IF(S1770=15800,15800,ROUND((((Q1771*60)/'Gearing Calculator'!$C$14)*'Track Data'!P1771),-2))</f>
        <v>14100</v>
      </c>
      <c r="T1771" s="16">
        <f t="shared" si="195"/>
        <v>-11.216477997530474</v>
      </c>
      <c r="U1771" s="16">
        <f>IF(AC1771=100,Braking!$AG$2354,IF(AC1771=50,Braking!$AG$1179,IF(AC1771=75,Braking!$AG$1767,0)))</f>
        <v>-11.216477997530474</v>
      </c>
      <c r="V1771" s="16">
        <f>0.5*'Gearing Calculator'!$C$15*'Gearing Calculator'!$C$20*'Gearing Calculator'!$W$20*('Track Data'!Q1771^2)</f>
        <v>344.64215254927939</v>
      </c>
      <c r="W1771" s="16">
        <f>('Gearing Calculator'!$U$9*'Track Data'!T1771)+'Track Data'!V1771</f>
        <v>-2641.1842903933325</v>
      </c>
      <c r="X1771" s="16">
        <f>('Gearing Calculator'!$U$9*9.81)*('Gearing Calculator'!$U$16/'Gearing Calculator'!$C$7)-(('Track Data'!W1771)*('Gearing Calculator'!$U$17/'Gearing Calculator'!$C$7))</f>
        <v>2840.788114599467</v>
      </c>
      <c r="Y1771" s="16">
        <f>('Gearing Calculator'!$U$9*9.81)*(('Gearing Calculator'!$C$7-'Gearing Calculator'!$U$16)/'Gearing Calculator'!$C$7)+(('Track Data'!W1771)*('Gearing Calculator'!$U$17/'Gearing Calculator'!$C$7))</f>
        <v>-229.36611459946675</v>
      </c>
      <c r="Z1771" s="16">
        <f>((X1771*COS('Gearing Calculator'!$C$21))/'Gearing Calculator'!$C$22)/2</f>
        <v>87.828183856088998</v>
      </c>
      <c r="AA1771" s="16">
        <f>Y1771/'Gearing Calculator'!$C$24</f>
        <v>-3.2027202643510617</v>
      </c>
      <c r="AB1771" s="16">
        <f t="shared" si="191"/>
        <v>288.559762561627</v>
      </c>
      <c r="AC1771" s="16">
        <v>50</v>
      </c>
      <c r="AD1771" s="16">
        <v>0</v>
      </c>
      <c r="AE1771" s="16">
        <v>1768</v>
      </c>
      <c r="AF1771" s="16">
        <f>IF(AC1771=0,IF(O1771=6,INDEX(Acceleration!$V$4:$V$110,MATCH('Track Data'!S1771,Acceleration!$K$4:$K$110,0)),IF('Track Data'!O1771=5,INDEX(Acceleration!$U$4:$U$110,MATCH('Track Data'!S1771,Acceleration!$K$4:$K$110,0)),1)),U1771)</f>
        <v>-11.216477997530474</v>
      </c>
      <c r="AG1771" s="16">
        <f>IF(AC1771=0,IF(O1771=4,INDEX(Acceleration!$T$4:$T$110,MATCH('Track Data'!S1771,Acceleration!$K$4:$K$110,0)),IF('Track Data'!O1771=3,INDEX(Acceleration!$S$4:$S$110,MATCH('Track Data'!S1771,Acceleration!$K$4:$K$110,0)),'Track Data'!AF1771)),'Track Data'!U1771)</f>
        <v>-11.216477997530474</v>
      </c>
      <c r="AH1771" s="16">
        <f>IF(AC1771=0,IF(O1771=2,INDEX(Acceleration!$R$4:$R$110,MATCH('Track Data'!S1771,Acceleration!$K$4:$K$110,0)),IF('Track Data'!O1771=1,INDEX(Acceleration!$Q$4:$Q$110,MATCH('Track Data'!S1771,Acceleration!$K$4:$K$110,0)),'Track Data'!AG1771)),'Track Data'!U1771)</f>
        <v>-11.216477997530474</v>
      </c>
    </row>
    <row r="1772" spans="2:34" x14ac:dyDescent="0.25">
      <c r="B1772" s="16">
        <v>244.089</v>
      </c>
      <c r="C1772" s="16">
        <v>9042</v>
      </c>
      <c r="D1772" s="16">
        <v>1769</v>
      </c>
      <c r="E1772" s="113">
        <v>198</v>
      </c>
      <c r="F1772" s="113">
        <v>198.1</v>
      </c>
      <c r="G1772" s="113">
        <v>185.8</v>
      </c>
      <c r="H1772" s="113">
        <f t="shared" si="194"/>
        <v>51.611111111111114</v>
      </c>
      <c r="I1772" s="113">
        <v>8.9</v>
      </c>
      <c r="J1772" s="113">
        <v>63.12</v>
      </c>
      <c r="K1772" s="113">
        <v>-43.3</v>
      </c>
      <c r="L1772" s="185"/>
      <c r="M1772" s="16">
        <v>1769</v>
      </c>
      <c r="N1772" s="16">
        <f t="shared" si="196"/>
        <v>1.7584979370099486E-2</v>
      </c>
      <c r="O1772" s="16">
        <v>5</v>
      </c>
      <c r="P1772" s="16">
        <f t="shared" si="192"/>
        <v>8.1742160278745661</v>
      </c>
      <c r="Q1772" s="16">
        <f t="shared" si="197"/>
        <v>56.866714424490254</v>
      </c>
      <c r="R1772" s="113">
        <f t="shared" si="193"/>
        <v>319.54399999999998</v>
      </c>
      <c r="S1772" s="16">
        <f>IF(S1771=15800,15800,ROUND((((Q1772*60)/'Gearing Calculator'!$C$14)*'Track Data'!P1772),-2))</f>
        <v>14100</v>
      </c>
      <c r="T1772" s="16">
        <f t="shared" si="195"/>
        <v>-11.216477997530474</v>
      </c>
      <c r="U1772" s="16">
        <f>IF(AC1772=100,Braking!$AG$2354,IF(AC1772=50,Braking!$AG$1179,IF(AC1772=75,Braking!$AG$1767,0)))</f>
        <v>-11.216477997530474</v>
      </c>
      <c r="V1772" s="16">
        <f>0.5*'Gearing Calculator'!$C$15*'Gearing Calculator'!$C$20*'Gearing Calculator'!$W$20*('Track Data'!Q1772^2)</f>
        <v>342.26784848676209</v>
      </c>
      <c r="W1772" s="16">
        <f>('Gearing Calculator'!$U$9*'Track Data'!T1772)+'Track Data'!V1772</f>
        <v>-2643.5585944558497</v>
      </c>
      <c r="X1772" s="16">
        <f>('Gearing Calculator'!$U$9*9.81)*('Gearing Calculator'!$U$16/'Gearing Calculator'!$C$7)-(('Track Data'!W1772)*('Gearing Calculator'!$U$17/'Gearing Calculator'!$C$7))</f>
        <v>2842.0822724636264</v>
      </c>
      <c r="Y1772" s="16">
        <f>('Gearing Calculator'!$U$9*9.81)*(('Gearing Calculator'!$C$7-'Gearing Calculator'!$U$16)/'Gearing Calculator'!$C$7)+(('Track Data'!W1772)*('Gearing Calculator'!$U$17/'Gearing Calculator'!$C$7))</f>
        <v>-230.6602724636266</v>
      </c>
      <c r="Z1772" s="16">
        <f>((X1772*COS('Gearing Calculator'!$C$21))/'Gearing Calculator'!$C$22)/2</f>
        <v>87.868195124176211</v>
      </c>
      <c r="AA1772" s="16">
        <f>Y1772/'Gearing Calculator'!$C$24</f>
        <v>-3.2207910487999851</v>
      </c>
      <c r="AB1772" s="16">
        <f t="shared" si="191"/>
        <v>286.1854584991097</v>
      </c>
      <c r="AC1772" s="16">
        <v>50</v>
      </c>
      <c r="AD1772" s="16">
        <v>0</v>
      </c>
      <c r="AE1772" s="16">
        <v>1769</v>
      </c>
      <c r="AF1772" s="16">
        <f>IF(AC1772=0,IF(O1772=6,INDEX(Acceleration!$V$4:$V$110,MATCH('Track Data'!S1772,Acceleration!$K$4:$K$110,0)),IF('Track Data'!O1772=5,INDEX(Acceleration!$U$4:$U$110,MATCH('Track Data'!S1772,Acceleration!$K$4:$K$110,0)),1)),U1772)</f>
        <v>-11.216477997530474</v>
      </c>
      <c r="AG1772" s="16">
        <f>IF(AC1772=0,IF(O1772=4,INDEX(Acceleration!$T$4:$T$110,MATCH('Track Data'!S1772,Acceleration!$K$4:$K$110,0)),IF('Track Data'!O1772=3,INDEX(Acceleration!$S$4:$S$110,MATCH('Track Data'!S1772,Acceleration!$K$4:$K$110,0)),'Track Data'!AF1772)),'Track Data'!U1772)</f>
        <v>-11.216477997530474</v>
      </c>
      <c r="AH1772" s="16">
        <f>IF(AC1772=0,IF(O1772=2,INDEX(Acceleration!$R$4:$R$110,MATCH('Track Data'!S1772,Acceleration!$K$4:$K$110,0)),IF('Track Data'!O1772=1,INDEX(Acceleration!$Q$4:$Q$110,MATCH('Track Data'!S1772,Acceleration!$K$4:$K$110,0)),'Track Data'!AG1772)),'Track Data'!U1772)</f>
        <v>-11.216477997530474</v>
      </c>
    </row>
    <row r="1773" spans="2:34" x14ac:dyDescent="0.25">
      <c r="B1773" s="16">
        <v>244.107</v>
      </c>
      <c r="C1773" s="16">
        <v>9043</v>
      </c>
      <c r="D1773" s="16">
        <v>1770</v>
      </c>
      <c r="E1773" s="113">
        <v>197</v>
      </c>
      <c r="F1773" s="113">
        <v>197.5</v>
      </c>
      <c r="G1773" s="113">
        <v>185.4</v>
      </c>
      <c r="H1773" s="113">
        <f t="shared" si="194"/>
        <v>51.5</v>
      </c>
      <c r="I1773" s="113">
        <v>9.4</v>
      </c>
      <c r="J1773" s="113">
        <v>65.290000000000006</v>
      </c>
      <c r="K1773" s="113">
        <v>-36</v>
      </c>
      <c r="L1773" s="185"/>
      <c r="M1773" s="16">
        <v>1770</v>
      </c>
      <c r="N1773" s="16">
        <f t="shared" si="196"/>
        <v>1.7646291842909514E-2</v>
      </c>
      <c r="O1773" s="16">
        <v>5</v>
      </c>
      <c r="P1773" s="16">
        <f t="shared" si="192"/>
        <v>8.1742160278745661</v>
      </c>
      <c r="Q1773" s="16">
        <f t="shared" si="197"/>
        <v>56.669129633703278</v>
      </c>
      <c r="R1773" s="113">
        <f t="shared" si="193"/>
        <v>319.54399999999998</v>
      </c>
      <c r="S1773" s="16">
        <f>IF(S1772=15800,15800,ROUND((((Q1773*60)/'Gearing Calculator'!$C$14)*'Track Data'!P1773),-2))</f>
        <v>14000</v>
      </c>
      <c r="T1773" s="16">
        <f t="shared" si="195"/>
        <v>-11.216477997530474</v>
      </c>
      <c r="U1773" s="16">
        <f>IF(AC1773=100,Braking!$AG$2354,IF(AC1773=50,Braking!$AG$1179,IF(AC1773=75,Braking!$AG$1767,0)))</f>
        <v>-11.216477997530474</v>
      </c>
      <c r="V1773" s="16">
        <f>0.5*'Gearing Calculator'!$C$15*'Gearing Calculator'!$C$20*'Gearing Calculator'!$W$20*('Track Data'!Q1773^2)</f>
        <v>339.89354442424485</v>
      </c>
      <c r="W1773" s="16">
        <f>('Gearing Calculator'!$U$9*'Track Data'!T1773)+'Track Data'!V1773</f>
        <v>-2645.932898518367</v>
      </c>
      <c r="X1773" s="16">
        <f>('Gearing Calculator'!$U$9*9.81)*('Gearing Calculator'!$U$16/'Gearing Calculator'!$C$7)-(('Track Data'!W1773)*('Gearing Calculator'!$U$17/'Gearing Calculator'!$C$7))</f>
        <v>2843.3764303277867</v>
      </c>
      <c r="Y1773" s="16">
        <f>('Gearing Calculator'!$U$9*9.81)*(('Gearing Calculator'!$C$7-'Gearing Calculator'!$U$16)/'Gearing Calculator'!$C$7)+(('Track Data'!W1773)*('Gearing Calculator'!$U$17/'Gearing Calculator'!$C$7))</f>
        <v>-231.95443032778644</v>
      </c>
      <c r="Z1773" s="16">
        <f>((X1773*COS('Gearing Calculator'!$C$21))/'Gearing Calculator'!$C$22)/2</f>
        <v>87.908206392263438</v>
      </c>
      <c r="AA1773" s="16">
        <f>Y1773/'Gearing Calculator'!$C$24</f>
        <v>-3.2388618332489085</v>
      </c>
      <c r="AB1773" s="16">
        <f t="shared" si="191"/>
        <v>283.81115443659246</v>
      </c>
      <c r="AC1773" s="16">
        <v>50</v>
      </c>
      <c r="AD1773" s="16">
        <v>0</v>
      </c>
      <c r="AE1773" s="16">
        <v>1770</v>
      </c>
      <c r="AF1773" s="16">
        <f>IF(AC1773=0,IF(O1773=6,INDEX(Acceleration!$V$4:$V$110,MATCH('Track Data'!S1773,Acceleration!$K$4:$K$110,0)),IF('Track Data'!O1773=5,INDEX(Acceleration!$U$4:$U$110,MATCH('Track Data'!S1773,Acceleration!$K$4:$K$110,0)),1)),U1773)</f>
        <v>-11.216477997530474</v>
      </c>
      <c r="AG1773" s="16">
        <f>IF(AC1773=0,IF(O1773=4,INDEX(Acceleration!$T$4:$T$110,MATCH('Track Data'!S1773,Acceleration!$K$4:$K$110,0)),IF('Track Data'!O1773=3,INDEX(Acceleration!$S$4:$S$110,MATCH('Track Data'!S1773,Acceleration!$K$4:$K$110,0)),'Track Data'!AF1773)),'Track Data'!U1773)</f>
        <v>-11.216477997530474</v>
      </c>
      <c r="AH1773" s="16">
        <f>IF(AC1773=0,IF(O1773=2,INDEX(Acceleration!$R$4:$R$110,MATCH('Track Data'!S1773,Acceleration!$K$4:$K$110,0)),IF('Track Data'!O1773=1,INDEX(Acceleration!$Q$4:$Q$110,MATCH('Track Data'!S1773,Acceleration!$K$4:$K$110,0)),'Track Data'!AG1773)),'Track Data'!U1773)</f>
        <v>-11.216477997530474</v>
      </c>
    </row>
    <row r="1774" spans="2:34" x14ac:dyDescent="0.25">
      <c r="B1774" s="16">
        <v>244.126</v>
      </c>
      <c r="C1774" s="16">
        <v>9044</v>
      </c>
      <c r="D1774" s="16">
        <v>1771</v>
      </c>
      <c r="E1774" s="113">
        <v>197</v>
      </c>
      <c r="F1774" s="113">
        <v>197</v>
      </c>
      <c r="G1774" s="113">
        <v>185</v>
      </c>
      <c r="H1774" s="113">
        <f t="shared" si="194"/>
        <v>51.388888888888886</v>
      </c>
      <c r="I1774" s="113">
        <v>11.9</v>
      </c>
      <c r="J1774" s="113">
        <v>68.41</v>
      </c>
      <c r="K1774" s="113">
        <v>-28.7</v>
      </c>
      <c r="L1774" s="185"/>
      <c r="M1774" s="16">
        <v>1771</v>
      </c>
      <c r="N1774" s="16">
        <f t="shared" si="196"/>
        <v>1.7708250143931684E-2</v>
      </c>
      <c r="O1774" s="16">
        <v>5</v>
      </c>
      <c r="P1774" s="16">
        <f t="shared" si="192"/>
        <v>8.1742160278745661</v>
      </c>
      <c r="Q1774" s="16">
        <f t="shared" si="197"/>
        <v>56.470853521497318</v>
      </c>
      <c r="R1774" s="113">
        <f t="shared" si="193"/>
        <v>319.54399999999998</v>
      </c>
      <c r="S1774" s="16">
        <f>IF(S1773=15800,15800,ROUND((((Q1774*60)/'Gearing Calculator'!$C$14)*'Track Data'!P1774),-2))</f>
        <v>14000</v>
      </c>
      <c r="T1774" s="16">
        <f t="shared" si="195"/>
        <v>-11.216477997530474</v>
      </c>
      <c r="U1774" s="16">
        <f>IF(AC1774=100,Braking!$AG$2354,IF(AC1774=50,Braking!$AG$1179,IF(AC1774=75,Braking!$AG$1767,0)))</f>
        <v>-11.216477997530474</v>
      </c>
      <c r="V1774" s="16">
        <f>0.5*'Gearing Calculator'!$C$15*'Gearing Calculator'!$C$20*'Gearing Calculator'!$W$20*('Track Data'!Q1774^2)</f>
        <v>337.51924036172755</v>
      </c>
      <c r="W1774" s="16">
        <f>('Gearing Calculator'!$U$9*'Track Data'!T1774)+'Track Data'!V1774</f>
        <v>-2648.3072025808842</v>
      </c>
      <c r="X1774" s="16">
        <f>('Gearing Calculator'!$U$9*9.81)*('Gearing Calculator'!$U$16/'Gearing Calculator'!$C$7)-(('Track Data'!W1774)*('Gearing Calculator'!$U$17/'Gearing Calculator'!$C$7))</f>
        <v>2844.6705881919465</v>
      </c>
      <c r="Y1774" s="16">
        <f>('Gearing Calculator'!$U$9*9.81)*(('Gearing Calculator'!$C$7-'Gearing Calculator'!$U$16)/'Gearing Calculator'!$C$7)+(('Track Data'!W1774)*('Gearing Calculator'!$U$17/'Gearing Calculator'!$C$7))</f>
        <v>-233.24858819194651</v>
      </c>
      <c r="Z1774" s="16">
        <f>((X1774*COS('Gearing Calculator'!$C$21))/'Gearing Calculator'!$C$22)/2</f>
        <v>87.948217660350664</v>
      </c>
      <c r="AA1774" s="16">
        <f>Y1774/'Gearing Calculator'!$C$24</f>
        <v>-3.256932617697835</v>
      </c>
      <c r="AB1774" s="16">
        <f t="shared" si="191"/>
        <v>281.43685037407516</v>
      </c>
      <c r="AC1774" s="16">
        <v>50</v>
      </c>
      <c r="AD1774" s="16">
        <v>0</v>
      </c>
      <c r="AE1774" s="16">
        <v>1771</v>
      </c>
      <c r="AF1774" s="16">
        <f>IF(AC1774=0,IF(O1774=6,INDEX(Acceleration!$V$4:$V$110,MATCH('Track Data'!S1774,Acceleration!$K$4:$K$110,0)),IF('Track Data'!O1774=5,INDEX(Acceleration!$U$4:$U$110,MATCH('Track Data'!S1774,Acceleration!$K$4:$K$110,0)),1)),U1774)</f>
        <v>-11.216477997530474</v>
      </c>
      <c r="AG1774" s="16">
        <f>IF(AC1774=0,IF(O1774=4,INDEX(Acceleration!$T$4:$T$110,MATCH('Track Data'!S1774,Acceleration!$K$4:$K$110,0)),IF('Track Data'!O1774=3,INDEX(Acceleration!$S$4:$S$110,MATCH('Track Data'!S1774,Acceleration!$K$4:$K$110,0)),'Track Data'!AF1774)),'Track Data'!U1774)</f>
        <v>-11.216477997530474</v>
      </c>
      <c r="AH1774" s="16">
        <f>IF(AC1774=0,IF(O1774=2,INDEX(Acceleration!$R$4:$R$110,MATCH('Track Data'!S1774,Acceleration!$K$4:$K$110,0)),IF('Track Data'!O1774=1,INDEX(Acceleration!$Q$4:$Q$110,MATCH('Track Data'!S1774,Acceleration!$K$4:$K$110,0)),'Track Data'!AG1774)),'Track Data'!U1774)</f>
        <v>-11.216477997530474</v>
      </c>
    </row>
    <row r="1775" spans="2:34" x14ac:dyDescent="0.25">
      <c r="B1775" s="16">
        <v>244.14400000000001</v>
      </c>
      <c r="C1775" s="16">
        <v>9045</v>
      </c>
      <c r="D1775" s="16">
        <v>1772</v>
      </c>
      <c r="E1775" s="113">
        <v>197</v>
      </c>
      <c r="F1775" s="113">
        <v>196.7</v>
      </c>
      <c r="G1775" s="113">
        <v>184.6</v>
      </c>
      <c r="H1775" s="113">
        <f t="shared" si="194"/>
        <v>51.277777777777771</v>
      </c>
      <c r="I1775" s="113">
        <v>14.2</v>
      </c>
      <c r="J1775" s="113">
        <v>72.92</v>
      </c>
      <c r="K1775" s="113">
        <v>-21.3</v>
      </c>
      <c r="L1775" s="185"/>
      <c r="M1775" s="16">
        <v>1772</v>
      </c>
      <c r="N1775" s="16">
        <f t="shared" si="196"/>
        <v>1.7770865691305249E-2</v>
      </c>
      <c r="O1775" s="16">
        <v>5</v>
      </c>
      <c r="P1775" s="16">
        <f t="shared" si="192"/>
        <v>8.1742160278745661</v>
      </c>
      <c r="Q1775" s="16">
        <f t="shared" si="197"/>
        <v>56.271878780180643</v>
      </c>
      <c r="R1775" s="113">
        <f t="shared" si="193"/>
        <v>319.54399999999998</v>
      </c>
      <c r="S1775" s="16">
        <f>IF(S1774=15800,15800,ROUND((((Q1775*60)/'Gearing Calculator'!$C$14)*'Track Data'!P1775),-2))</f>
        <v>13900</v>
      </c>
      <c r="T1775" s="16">
        <f t="shared" si="195"/>
        <v>-11.216477997530474</v>
      </c>
      <c r="U1775" s="16">
        <f>IF(AC1775=100,Braking!$AG$2354,IF(AC1775=50,Braking!$AG$1179,IF(AC1775=75,Braking!$AG$1767,0)))</f>
        <v>-11.216477997530474</v>
      </c>
      <c r="V1775" s="16">
        <f>0.5*'Gearing Calculator'!$C$15*'Gearing Calculator'!$C$20*'Gearing Calculator'!$W$20*('Track Data'!Q1775^2)</f>
        <v>335.14493629921026</v>
      </c>
      <c r="W1775" s="16">
        <f>('Gearing Calculator'!$U$9*'Track Data'!T1775)+'Track Data'!V1775</f>
        <v>-2650.6815066434015</v>
      </c>
      <c r="X1775" s="16">
        <f>('Gearing Calculator'!$U$9*9.81)*('Gearing Calculator'!$U$16/'Gearing Calculator'!$C$7)-(('Track Data'!W1775)*('Gearing Calculator'!$U$17/'Gearing Calculator'!$C$7))</f>
        <v>2845.9647460561064</v>
      </c>
      <c r="Y1775" s="16">
        <f>('Gearing Calculator'!$U$9*9.81)*(('Gearing Calculator'!$C$7-'Gearing Calculator'!$U$16)/'Gearing Calculator'!$C$7)+(('Track Data'!W1775)*('Gearing Calculator'!$U$17/'Gearing Calculator'!$C$7))</f>
        <v>-234.54274605610635</v>
      </c>
      <c r="Z1775" s="16">
        <f>((X1775*COS('Gearing Calculator'!$C$21))/'Gearing Calculator'!$C$22)/2</f>
        <v>87.988228928437877</v>
      </c>
      <c r="AA1775" s="16">
        <f>Y1775/'Gearing Calculator'!$C$24</f>
        <v>-3.2750034021467584</v>
      </c>
      <c r="AB1775" s="16">
        <f t="shared" si="191"/>
        <v>279.06254631155787</v>
      </c>
      <c r="AC1775" s="16">
        <v>50</v>
      </c>
      <c r="AD1775" s="16">
        <v>0</v>
      </c>
      <c r="AE1775" s="16">
        <v>1772</v>
      </c>
      <c r="AF1775" s="16">
        <f>IF(AC1775=0,IF(O1775=6,INDEX(Acceleration!$V$4:$V$110,MATCH('Track Data'!S1775,Acceleration!$K$4:$K$110,0)),IF('Track Data'!O1775=5,INDEX(Acceleration!$U$4:$U$110,MATCH('Track Data'!S1775,Acceleration!$K$4:$K$110,0)),1)),U1775)</f>
        <v>-11.216477997530474</v>
      </c>
      <c r="AG1775" s="16">
        <f>IF(AC1775=0,IF(O1775=4,INDEX(Acceleration!$T$4:$T$110,MATCH('Track Data'!S1775,Acceleration!$K$4:$K$110,0)),IF('Track Data'!O1775=3,INDEX(Acceleration!$S$4:$S$110,MATCH('Track Data'!S1775,Acceleration!$K$4:$K$110,0)),'Track Data'!AF1775)),'Track Data'!U1775)</f>
        <v>-11.216477997530474</v>
      </c>
      <c r="AH1775" s="16">
        <f>IF(AC1775=0,IF(O1775=2,INDEX(Acceleration!$R$4:$R$110,MATCH('Track Data'!S1775,Acceleration!$K$4:$K$110,0)),IF('Track Data'!O1775=1,INDEX(Acceleration!$Q$4:$Q$110,MATCH('Track Data'!S1775,Acceleration!$K$4:$K$110,0)),'Track Data'!AG1775)),'Track Data'!U1775)</f>
        <v>-11.216477997530474</v>
      </c>
    </row>
    <row r="1776" spans="2:34" x14ac:dyDescent="0.25">
      <c r="B1776" s="16">
        <v>244.16200000000001</v>
      </c>
      <c r="C1776" s="16">
        <v>9046</v>
      </c>
      <c r="D1776" s="16">
        <v>1773</v>
      </c>
      <c r="E1776" s="113">
        <v>197</v>
      </c>
      <c r="F1776" s="113">
        <v>196.5</v>
      </c>
      <c r="G1776" s="113">
        <v>184.2</v>
      </c>
      <c r="H1776" s="113">
        <f t="shared" si="194"/>
        <v>51.166666666666664</v>
      </c>
      <c r="I1776" s="113">
        <v>15.2</v>
      </c>
      <c r="J1776" s="113">
        <v>73.540000000000006</v>
      </c>
      <c r="K1776" s="113">
        <v>-15.4</v>
      </c>
      <c r="L1776" s="185"/>
      <c r="M1776" s="16">
        <v>1773</v>
      </c>
      <c r="N1776" s="16">
        <f t="shared" si="196"/>
        <v>1.783415018780217E-2</v>
      </c>
      <c r="O1776" s="16">
        <v>5</v>
      </c>
      <c r="P1776" s="16">
        <f t="shared" si="192"/>
        <v>8.1742160278745661</v>
      </c>
      <c r="Q1776" s="16">
        <f t="shared" si="197"/>
        <v>56.072197972402357</v>
      </c>
      <c r="R1776" s="113">
        <f t="shared" si="193"/>
        <v>319.54399999999998</v>
      </c>
      <c r="S1776" s="16">
        <f>IF(S1775=15800,15800,ROUND((((Q1776*60)/'Gearing Calculator'!$C$14)*'Track Data'!P1776),-2))</f>
        <v>13900</v>
      </c>
      <c r="T1776" s="16">
        <f t="shared" si="195"/>
        <v>-11.216477997530474</v>
      </c>
      <c r="U1776" s="16">
        <f>IF(AC1776=100,Braking!$AG$2354,IF(AC1776=50,Braking!$AG$1179,IF(AC1776=75,Braking!$AG$1767,0)))</f>
        <v>-11.216477997530474</v>
      </c>
      <c r="V1776" s="16">
        <f>0.5*'Gearing Calculator'!$C$15*'Gearing Calculator'!$C$20*'Gearing Calculator'!$W$20*('Track Data'!Q1776^2)</f>
        <v>332.77063223669296</v>
      </c>
      <c r="W1776" s="16">
        <f>('Gearing Calculator'!$U$9*'Track Data'!T1776)+'Track Data'!V1776</f>
        <v>-2653.0558107059187</v>
      </c>
      <c r="X1776" s="16">
        <f>('Gearing Calculator'!$U$9*9.81)*('Gearing Calculator'!$U$16/'Gearing Calculator'!$C$7)-(('Track Data'!W1776)*('Gearing Calculator'!$U$17/'Gearing Calculator'!$C$7))</f>
        <v>2847.2589039202667</v>
      </c>
      <c r="Y1776" s="16">
        <f>('Gearing Calculator'!$U$9*9.81)*(('Gearing Calculator'!$C$7-'Gearing Calculator'!$U$16)/'Gearing Calculator'!$C$7)+(('Track Data'!W1776)*('Gearing Calculator'!$U$17/'Gearing Calculator'!$C$7))</f>
        <v>-235.83690392026642</v>
      </c>
      <c r="Z1776" s="16">
        <f>((X1776*COS('Gearing Calculator'!$C$21))/'Gearing Calculator'!$C$22)/2</f>
        <v>88.028240196525132</v>
      </c>
      <c r="AA1776" s="16">
        <f>Y1776/'Gearing Calculator'!$C$24</f>
        <v>-3.293074186595685</v>
      </c>
      <c r="AB1776" s="16">
        <f t="shared" si="191"/>
        <v>276.68824224904057</v>
      </c>
      <c r="AC1776" s="16">
        <v>50</v>
      </c>
      <c r="AD1776" s="16">
        <v>0</v>
      </c>
      <c r="AE1776" s="16">
        <v>1773</v>
      </c>
      <c r="AF1776" s="16">
        <f>IF(AC1776=0,IF(O1776=6,INDEX(Acceleration!$V$4:$V$110,MATCH('Track Data'!S1776,Acceleration!$K$4:$K$110,0)),IF('Track Data'!O1776=5,INDEX(Acceleration!$U$4:$U$110,MATCH('Track Data'!S1776,Acceleration!$K$4:$K$110,0)),1)),U1776)</f>
        <v>-11.216477997530474</v>
      </c>
      <c r="AG1776" s="16">
        <f>IF(AC1776=0,IF(O1776=4,INDEX(Acceleration!$T$4:$T$110,MATCH('Track Data'!S1776,Acceleration!$K$4:$K$110,0)),IF('Track Data'!O1776=3,INDEX(Acceleration!$S$4:$S$110,MATCH('Track Data'!S1776,Acceleration!$K$4:$K$110,0)),'Track Data'!AF1776)),'Track Data'!U1776)</f>
        <v>-11.216477997530474</v>
      </c>
      <c r="AH1776" s="16">
        <f>IF(AC1776=0,IF(O1776=2,INDEX(Acceleration!$R$4:$R$110,MATCH('Track Data'!S1776,Acceleration!$K$4:$K$110,0)),IF('Track Data'!O1776=1,INDEX(Acceleration!$Q$4:$Q$110,MATCH('Track Data'!S1776,Acceleration!$K$4:$K$110,0)),'Track Data'!AG1776)),'Track Data'!U1776)</f>
        <v>-11.216477997530474</v>
      </c>
    </row>
    <row r="1777" spans="2:34" x14ac:dyDescent="0.25">
      <c r="B1777" s="16">
        <v>244.18100000000001</v>
      </c>
      <c r="C1777" s="16">
        <v>9047</v>
      </c>
      <c r="D1777" s="16">
        <v>1774</v>
      </c>
      <c r="E1777" s="113">
        <v>197</v>
      </c>
      <c r="F1777" s="113">
        <v>196.1</v>
      </c>
      <c r="G1777" s="113">
        <v>183.8</v>
      </c>
      <c r="H1777" s="113">
        <f t="shared" si="194"/>
        <v>51.055555555555557</v>
      </c>
      <c r="I1777" s="113">
        <v>16.899999999999999</v>
      </c>
      <c r="J1777" s="113">
        <v>73.92</v>
      </c>
      <c r="K1777" s="113">
        <v>-15.4</v>
      </c>
      <c r="L1777" s="185"/>
      <c r="M1777" s="16">
        <v>1774</v>
      </c>
      <c r="N1777" s="16">
        <f t="shared" si="196"/>
        <v>1.7898115630015206E-2</v>
      </c>
      <c r="O1777" s="16">
        <v>5</v>
      </c>
      <c r="P1777" s="16">
        <f t="shared" si="192"/>
        <v>8.1742160278745661</v>
      </c>
      <c r="Q1777" s="16">
        <f t="shared" si="197"/>
        <v>55.871803527908618</v>
      </c>
      <c r="R1777" s="113">
        <f t="shared" si="193"/>
        <v>319.54399999999998</v>
      </c>
      <c r="S1777" s="16">
        <f>IF(S1776=15800,15800,ROUND((((Q1777*60)/'Gearing Calculator'!$C$14)*'Track Data'!P1777),-2))</f>
        <v>13800</v>
      </c>
      <c r="T1777" s="16">
        <f t="shared" si="195"/>
        <v>-11.216477997530474</v>
      </c>
      <c r="U1777" s="16">
        <f>IF(AC1777=100,Braking!$AG$2354,IF(AC1777=50,Braking!$AG$1179,IF(AC1777=75,Braking!$AG$1767,0)))</f>
        <v>-11.216477997530474</v>
      </c>
      <c r="V1777" s="16">
        <f>0.5*'Gearing Calculator'!$C$15*'Gearing Calculator'!$C$20*'Gearing Calculator'!$W$20*('Track Data'!Q1777^2)</f>
        <v>330.39632817417572</v>
      </c>
      <c r="W1777" s="16">
        <f>('Gearing Calculator'!$U$9*'Track Data'!T1777)+'Track Data'!V1777</f>
        <v>-2655.4301147684359</v>
      </c>
      <c r="X1777" s="16">
        <f>('Gearing Calculator'!$U$9*9.81)*('Gearing Calculator'!$U$16/'Gearing Calculator'!$C$7)-(('Track Data'!W1777)*('Gearing Calculator'!$U$17/'Gearing Calculator'!$C$7))</f>
        <v>2848.5530617844261</v>
      </c>
      <c r="Y1777" s="16">
        <f>('Gearing Calculator'!$U$9*9.81)*(('Gearing Calculator'!$C$7-'Gearing Calculator'!$U$16)/'Gearing Calculator'!$C$7)+(('Track Data'!W1777)*('Gearing Calculator'!$U$17/'Gearing Calculator'!$C$7))</f>
        <v>-237.13106178442627</v>
      </c>
      <c r="Z1777" s="16">
        <f>((X1777*COS('Gearing Calculator'!$C$21))/'Gearing Calculator'!$C$22)/2</f>
        <v>88.068251464612331</v>
      </c>
      <c r="AA1777" s="16">
        <f>Y1777/'Gearing Calculator'!$C$24</f>
        <v>-3.3111449710446084</v>
      </c>
      <c r="AB1777" s="16">
        <f t="shared" si="191"/>
        <v>274.31393818652333</v>
      </c>
      <c r="AC1777" s="16">
        <v>50</v>
      </c>
      <c r="AD1777" s="16">
        <v>0</v>
      </c>
      <c r="AE1777" s="16">
        <v>1774</v>
      </c>
      <c r="AF1777" s="16">
        <f>IF(AC1777=0,IF(O1777=6,INDEX(Acceleration!$V$4:$V$110,MATCH('Track Data'!S1777,Acceleration!$K$4:$K$110,0)),IF('Track Data'!O1777=5,INDEX(Acceleration!$U$4:$U$110,MATCH('Track Data'!S1777,Acceleration!$K$4:$K$110,0)),1)),U1777)</f>
        <v>-11.216477997530474</v>
      </c>
      <c r="AG1777" s="16">
        <f>IF(AC1777=0,IF(O1777=4,INDEX(Acceleration!$T$4:$T$110,MATCH('Track Data'!S1777,Acceleration!$K$4:$K$110,0)),IF('Track Data'!O1777=3,INDEX(Acceleration!$S$4:$S$110,MATCH('Track Data'!S1777,Acceleration!$K$4:$K$110,0)),'Track Data'!AF1777)),'Track Data'!U1777)</f>
        <v>-11.216477997530474</v>
      </c>
      <c r="AH1777" s="16">
        <f>IF(AC1777=0,IF(O1777=2,INDEX(Acceleration!$R$4:$R$110,MATCH('Track Data'!S1777,Acceleration!$K$4:$K$110,0)),IF('Track Data'!O1777=1,INDEX(Acceleration!$Q$4:$Q$110,MATCH('Track Data'!S1777,Acceleration!$K$4:$K$110,0)),'Track Data'!AG1777)),'Track Data'!U1777)</f>
        <v>-11.216477997530474</v>
      </c>
    </row>
    <row r="1778" spans="2:34" x14ac:dyDescent="0.25">
      <c r="B1778" s="16">
        <v>244.19900000000001</v>
      </c>
      <c r="C1778" s="16">
        <v>9048</v>
      </c>
      <c r="D1778" s="16">
        <v>1775</v>
      </c>
      <c r="E1778" s="113">
        <v>197</v>
      </c>
      <c r="F1778" s="113">
        <v>195.8</v>
      </c>
      <c r="G1778" s="113">
        <v>183.6</v>
      </c>
      <c r="H1778" s="113">
        <f t="shared" si="194"/>
        <v>51</v>
      </c>
      <c r="I1778" s="113">
        <v>17.5</v>
      </c>
      <c r="J1778" s="113">
        <v>75.400000000000006</v>
      </c>
      <c r="K1778" s="113">
        <v>-15.4</v>
      </c>
      <c r="L1778" s="185"/>
      <c r="M1778" s="16">
        <v>1775</v>
      </c>
      <c r="N1778" s="16">
        <f t="shared" si="196"/>
        <v>1.7962774317911084E-2</v>
      </c>
      <c r="O1778" s="16">
        <v>5</v>
      </c>
      <c r="P1778" s="16">
        <f t="shared" si="192"/>
        <v>8.1742160278745661</v>
      </c>
      <c r="Q1778" s="16">
        <f t="shared" si="197"/>
        <v>55.67068774019377</v>
      </c>
      <c r="R1778" s="113">
        <f t="shared" si="193"/>
        <v>319.54399999999998</v>
      </c>
      <c r="S1778" s="16">
        <f>IF(S1777=15800,15800,ROUND((((Q1778*60)/'Gearing Calculator'!$C$14)*'Track Data'!P1778),-2))</f>
        <v>13800</v>
      </c>
      <c r="T1778" s="16">
        <f t="shared" si="195"/>
        <v>-11.216477997530474</v>
      </c>
      <c r="U1778" s="16">
        <f>IF(AC1778=100,Braking!$AG$2354,IF(AC1778=50,Braking!$AG$1179,IF(AC1778=75,Braking!$AG$1767,0)))</f>
        <v>-11.216477997530474</v>
      </c>
      <c r="V1778" s="16">
        <f>0.5*'Gearing Calculator'!$C$15*'Gearing Calculator'!$C$20*'Gearing Calculator'!$W$20*('Track Data'!Q1778^2)</f>
        <v>328.02202411165842</v>
      </c>
      <c r="W1778" s="16">
        <f>('Gearing Calculator'!$U$9*'Track Data'!T1778)+'Track Data'!V1778</f>
        <v>-2657.8044188309532</v>
      </c>
      <c r="X1778" s="16">
        <f>('Gearing Calculator'!$U$9*9.81)*('Gearing Calculator'!$U$16/'Gearing Calculator'!$C$7)-(('Track Data'!W1778)*('Gearing Calculator'!$U$17/'Gearing Calculator'!$C$7))</f>
        <v>2849.8472196485864</v>
      </c>
      <c r="Y1778" s="16">
        <f>('Gearing Calculator'!$U$9*9.81)*(('Gearing Calculator'!$C$7-'Gearing Calculator'!$U$16)/'Gearing Calculator'!$C$7)+(('Track Data'!W1778)*('Gearing Calculator'!$U$17/'Gearing Calculator'!$C$7))</f>
        <v>-238.42521964858611</v>
      </c>
      <c r="Z1778" s="16">
        <f>((X1778*COS('Gearing Calculator'!$C$21))/'Gearing Calculator'!$C$22)/2</f>
        <v>88.108262732699572</v>
      </c>
      <c r="AA1778" s="16">
        <f>Y1778/'Gearing Calculator'!$C$24</f>
        <v>-3.3292157554935318</v>
      </c>
      <c r="AB1778" s="16">
        <f t="shared" si="191"/>
        <v>271.93963412400603</v>
      </c>
      <c r="AC1778" s="16">
        <v>50</v>
      </c>
      <c r="AD1778" s="16">
        <v>0</v>
      </c>
      <c r="AE1778" s="16">
        <v>1775</v>
      </c>
      <c r="AF1778" s="16">
        <f>IF(AC1778=0,IF(O1778=6,INDEX(Acceleration!$V$4:$V$110,MATCH('Track Data'!S1778,Acceleration!$K$4:$K$110,0)),IF('Track Data'!O1778=5,INDEX(Acceleration!$U$4:$U$110,MATCH('Track Data'!S1778,Acceleration!$K$4:$K$110,0)),1)),U1778)</f>
        <v>-11.216477997530474</v>
      </c>
      <c r="AG1778" s="16">
        <f>IF(AC1778=0,IF(O1778=4,INDEX(Acceleration!$T$4:$T$110,MATCH('Track Data'!S1778,Acceleration!$K$4:$K$110,0)),IF('Track Data'!O1778=3,INDEX(Acceleration!$S$4:$S$110,MATCH('Track Data'!S1778,Acceleration!$K$4:$K$110,0)),'Track Data'!AF1778)),'Track Data'!U1778)</f>
        <v>-11.216477997530474</v>
      </c>
      <c r="AH1778" s="16">
        <f>IF(AC1778=0,IF(O1778=2,INDEX(Acceleration!$R$4:$R$110,MATCH('Track Data'!S1778,Acceleration!$K$4:$K$110,0)),IF('Track Data'!O1778=1,INDEX(Acceleration!$Q$4:$Q$110,MATCH('Track Data'!S1778,Acceleration!$K$4:$K$110,0)),'Track Data'!AG1778)),'Track Data'!U1778)</f>
        <v>-11.216477997530474</v>
      </c>
    </row>
    <row r="1779" spans="2:34" x14ac:dyDescent="0.25">
      <c r="B1779" s="16">
        <v>244.21799999999999</v>
      </c>
      <c r="C1779" s="16">
        <v>9050</v>
      </c>
      <c r="D1779" s="16">
        <v>1776</v>
      </c>
      <c r="E1779" s="113">
        <v>197</v>
      </c>
      <c r="F1779" s="113">
        <v>195.6</v>
      </c>
      <c r="G1779" s="113">
        <v>183.2</v>
      </c>
      <c r="H1779" s="113">
        <f t="shared" si="194"/>
        <v>50.888888888888886</v>
      </c>
      <c r="I1779" s="113">
        <v>18.399999999999999</v>
      </c>
      <c r="J1779" s="113">
        <v>75.36</v>
      </c>
      <c r="K1779" s="113">
        <v>-15.4</v>
      </c>
      <c r="L1779" s="185"/>
      <c r="M1779" s="16">
        <v>1776</v>
      </c>
      <c r="N1779" s="16">
        <f t="shared" si="196"/>
        <v>1.8028138864766081E-2</v>
      </c>
      <c r="O1779" s="16">
        <v>5</v>
      </c>
      <c r="P1779" s="16">
        <f t="shared" si="192"/>
        <v>8.1742160278745661</v>
      </c>
      <c r="Q1779" s="16">
        <f t="shared" si="197"/>
        <v>55.468842763042211</v>
      </c>
      <c r="R1779" s="113">
        <f t="shared" si="193"/>
        <v>319.54399999999998</v>
      </c>
      <c r="S1779" s="16">
        <f>IF(S1778=15800,15800,ROUND((((Q1779*60)/'Gearing Calculator'!$C$14)*'Track Data'!P1779),-2))</f>
        <v>13700</v>
      </c>
      <c r="T1779" s="16">
        <f t="shared" si="195"/>
        <v>-11.216477997530474</v>
      </c>
      <c r="U1779" s="16">
        <f>IF(AC1779=100,Braking!$AG$2354,IF(AC1779=50,Braking!$AG$1179,IF(AC1779=75,Braking!$AG$1767,0)))</f>
        <v>-11.216477997530474</v>
      </c>
      <c r="V1779" s="16">
        <f>0.5*'Gearing Calculator'!$C$15*'Gearing Calculator'!$C$20*'Gearing Calculator'!$W$20*('Track Data'!Q1779^2)</f>
        <v>325.64772004914124</v>
      </c>
      <c r="W1779" s="16">
        <f>('Gearing Calculator'!$U$9*'Track Data'!T1779)+'Track Data'!V1779</f>
        <v>-2660.1787228934704</v>
      </c>
      <c r="X1779" s="16">
        <f>('Gearing Calculator'!$U$9*9.81)*('Gearing Calculator'!$U$16/'Gearing Calculator'!$C$7)-(('Track Data'!W1779)*('Gearing Calculator'!$U$17/'Gearing Calculator'!$C$7))</f>
        <v>2851.1413775127462</v>
      </c>
      <c r="Y1779" s="16">
        <f>('Gearing Calculator'!$U$9*9.81)*(('Gearing Calculator'!$C$7-'Gearing Calculator'!$U$16)/'Gearing Calculator'!$C$7)+(('Track Data'!W1779)*('Gearing Calculator'!$U$17/'Gearing Calculator'!$C$7))</f>
        <v>-239.71937751274618</v>
      </c>
      <c r="Z1779" s="16">
        <f>((X1779*COS('Gearing Calculator'!$C$21))/'Gearing Calculator'!$C$22)/2</f>
        <v>88.148274000786785</v>
      </c>
      <c r="AA1779" s="16">
        <f>Y1779/'Gearing Calculator'!$C$24</f>
        <v>-3.3472865399424583</v>
      </c>
      <c r="AB1779" s="16">
        <f t="shared" si="191"/>
        <v>269.56533006148885</v>
      </c>
      <c r="AC1779" s="16">
        <v>50</v>
      </c>
      <c r="AD1779" s="16">
        <v>0</v>
      </c>
      <c r="AE1779" s="16">
        <v>1776</v>
      </c>
      <c r="AF1779" s="16">
        <f>IF(AC1779=0,IF(O1779=6,INDEX(Acceleration!$V$4:$V$110,MATCH('Track Data'!S1779,Acceleration!$K$4:$K$110,0)),IF('Track Data'!O1779=5,INDEX(Acceleration!$U$4:$U$110,MATCH('Track Data'!S1779,Acceleration!$K$4:$K$110,0)),1)),U1779)</f>
        <v>-11.216477997530474</v>
      </c>
      <c r="AG1779" s="16">
        <f>IF(AC1779=0,IF(O1779=4,INDEX(Acceleration!$T$4:$T$110,MATCH('Track Data'!S1779,Acceleration!$K$4:$K$110,0)),IF('Track Data'!O1779=3,INDEX(Acceleration!$S$4:$S$110,MATCH('Track Data'!S1779,Acceleration!$K$4:$K$110,0)),'Track Data'!AF1779)),'Track Data'!U1779)</f>
        <v>-11.216477997530474</v>
      </c>
      <c r="AH1779" s="16">
        <f>IF(AC1779=0,IF(O1779=2,INDEX(Acceleration!$R$4:$R$110,MATCH('Track Data'!S1779,Acceleration!$K$4:$K$110,0)),IF('Track Data'!O1779=1,INDEX(Acceleration!$Q$4:$Q$110,MATCH('Track Data'!S1779,Acceleration!$K$4:$K$110,0)),'Track Data'!AG1779)),'Track Data'!U1779)</f>
        <v>-11.216477997530474</v>
      </c>
    </row>
    <row r="1780" spans="2:34" x14ac:dyDescent="0.25">
      <c r="B1780" s="16">
        <v>244.23599999999999</v>
      </c>
      <c r="C1780" s="16">
        <v>9050</v>
      </c>
      <c r="D1780" s="16">
        <v>1777</v>
      </c>
      <c r="E1780" s="113">
        <v>197</v>
      </c>
      <c r="F1780" s="113">
        <v>195.2</v>
      </c>
      <c r="G1780" s="113">
        <v>182.8</v>
      </c>
      <c r="H1780" s="113">
        <f t="shared" si="194"/>
        <v>50.777777777777779</v>
      </c>
      <c r="I1780" s="113">
        <v>19.8</v>
      </c>
      <c r="J1780" s="113">
        <v>74.87</v>
      </c>
      <c r="K1780" s="113">
        <v>-15.4</v>
      </c>
      <c r="L1780" s="185"/>
      <c r="M1780" s="16">
        <v>1777</v>
      </c>
      <c r="N1780" s="16">
        <f t="shared" si="196"/>
        <v>1.8094222207502245E-2</v>
      </c>
      <c r="O1780" s="16">
        <v>5</v>
      </c>
      <c r="P1780" s="16">
        <f t="shared" si="192"/>
        <v>8.1742160278745661</v>
      </c>
      <c r="Q1780" s="16">
        <f t="shared" si="197"/>
        <v>55.266260606956564</v>
      </c>
      <c r="R1780" s="113">
        <f t="shared" si="193"/>
        <v>319.54399999999998</v>
      </c>
      <c r="S1780" s="16">
        <f>IF(S1779=15800,15800,ROUND((((Q1780*60)/'Gearing Calculator'!$C$14)*'Track Data'!P1780),-2))</f>
        <v>13700</v>
      </c>
      <c r="T1780" s="16">
        <f t="shared" si="195"/>
        <v>-11.216477997530474</v>
      </c>
      <c r="U1780" s="16">
        <f>IF(AC1780=100,Braking!$AG$2354,IF(AC1780=50,Braking!$AG$1179,IF(AC1780=75,Braking!$AG$1767,0)))</f>
        <v>-11.216477997530474</v>
      </c>
      <c r="V1780" s="16">
        <f>0.5*'Gearing Calculator'!$C$15*'Gearing Calculator'!$C$20*'Gearing Calculator'!$W$20*('Track Data'!Q1780^2)</f>
        <v>323.27341598662395</v>
      </c>
      <c r="W1780" s="16">
        <f>('Gearing Calculator'!$U$9*'Track Data'!T1780)+'Track Data'!V1780</f>
        <v>-2662.5530269559877</v>
      </c>
      <c r="X1780" s="16">
        <f>('Gearing Calculator'!$U$9*9.81)*('Gearing Calculator'!$U$16/'Gearing Calculator'!$C$7)-(('Track Data'!W1780)*('Gearing Calculator'!$U$17/'Gearing Calculator'!$C$7))</f>
        <v>2852.435535376906</v>
      </c>
      <c r="Y1780" s="16">
        <f>('Gearing Calculator'!$U$9*9.81)*(('Gearing Calculator'!$C$7-'Gearing Calculator'!$U$16)/'Gearing Calculator'!$C$7)+(('Track Data'!W1780)*('Gearing Calculator'!$U$17/'Gearing Calculator'!$C$7))</f>
        <v>-241.01353537690602</v>
      </c>
      <c r="Z1780" s="16">
        <f>((X1780*COS('Gearing Calculator'!$C$21))/'Gearing Calculator'!$C$22)/2</f>
        <v>88.188285268874012</v>
      </c>
      <c r="AA1780" s="16">
        <f>Y1780/'Gearing Calculator'!$C$24</f>
        <v>-3.3653573243913817</v>
      </c>
      <c r="AB1780" s="16">
        <f t="shared" si="191"/>
        <v>267.19102599897155</v>
      </c>
      <c r="AC1780" s="16">
        <v>50</v>
      </c>
      <c r="AD1780" s="16">
        <v>0</v>
      </c>
      <c r="AE1780" s="16">
        <v>1777</v>
      </c>
      <c r="AF1780" s="16">
        <f>IF(AC1780=0,IF(O1780=6,INDEX(Acceleration!$V$4:$V$110,MATCH('Track Data'!S1780,Acceleration!$K$4:$K$110,0)),IF('Track Data'!O1780=5,INDEX(Acceleration!$U$4:$U$110,MATCH('Track Data'!S1780,Acceleration!$K$4:$K$110,0)),1)),U1780)</f>
        <v>-11.216477997530474</v>
      </c>
      <c r="AG1780" s="16">
        <f>IF(AC1780=0,IF(O1780=4,INDEX(Acceleration!$T$4:$T$110,MATCH('Track Data'!S1780,Acceleration!$K$4:$K$110,0)),IF('Track Data'!O1780=3,INDEX(Acceleration!$S$4:$S$110,MATCH('Track Data'!S1780,Acceleration!$K$4:$K$110,0)),'Track Data'!AF1780)),'Track Data'!U1780)</f>
        <v>-11.216477997530474</v>
      </c>
      <c r="AH1780" s="16">
        <f>IF(AC1780=0,IF(O1780=2,INDEX(Acceleration!$R$4:$R$110,MATCH('Track Data'!S1780,Acceleration!$K$4:$K$110,0)),IF('Track Data'!O1780=1,INDEX(Acceleration!$Q$4:$Q$110,MATCH('Track Data'!S1780,Acceleration!$K$4:$K$110,0)),'Track Data'!AG1780)),'Track Data'!U1780)</f>
        <v>-11.216477997530474</v>
      </c>
    </row>
    <row r="1781" spans="2:34" x14ac:dyDescent="0.25">
      <c r="B1781" s="16">
        <v>244.25399999999999</v>
      </c>
      <c r="C1781" s="16">
        <v>9051</v>
      </c>
      <c r="D1781" s="16">
        <v>1778</v>
      </c>
      <c r="E1781" s="113">
        <v>197</v>
      </c>
      <c r="F1781" s="113">
        <v>194.9</v>
      </c>
      <c r="G1781" s="113">
        <v>182.3</v>
      </c>
      <c r="H1781" s="113">
        <f t="shared" si="194"/>
        <v>50.638888888888893</v>
      </c>
      <c r="I1781" s="113">
        <v>20.399999999999999</v>
      </c>
      <c r="J1781" s="113">
        <v>74.150000000000006</v>
      </c>
      <c r="K1781" s="113">
        <v>-21.8</v>
      </c>
      <c r="L1781" s="185"/>
      <c r="M1781" s="16">
        <v>1778</v>
      </c>
      <c r="N1781" s="16">
        <f t="shared" si="196"/>
        <v>1.8161037617443435E-2</v>
      </c>
      <c r="O1781" s="16">
        <v>5</v>
      </c>
      <c r="P1781" s="16">
        <f t="shared" si="192"/>
        <v>8.1742160278745661</v>
      </c>
      <c r="Q1781" s="16">
        <f t="shared" si="197"/>
        <v>55.062933135467617</v>
      </c>
      <c r="R1781" s="113">
        <f t="shared" si="193"/>
        <v>319.54399999999998</v>
      </c>
      <c r="S1781" s="16">
        <f>IF(S1780=15800,15800,ROUND((((Q1781*60)/'Gearing Calculator'!$C$14)*'Track Data'!P1781),-2))</f>
        <v>13600</v>
      </c>
      <c r="T1781" s="16">
        <f t="shared" si="195"/>
        <v>-11.216477997530474</v>
      </c>
      <c r="U1781" s="16">
        <f>IF(AC1781=100,Braking!$AG$2354,IF(AC1781=50,Braking!$AG$1179,IF(AC1781=75,Braking!$AG$1767,0)))</f>
        <v>-11.216477997530474</v>
      </c>
      <c r="V1781" s="16">
        <f>0.5*'Gearing Calculator'!$C$15*'Gearing Calculator'!$C$20*'Gearing Calculator'!$W$20*('Track Data'!Q1781^2)</f>
        <v>320.89911192410665</v>
      </c>
      <c r="W1781" s="16">
        <f>('Gearing Calculator'!$U$9*'Track Data'!T1781)+'Track Data'!V1781</f>
        <v>-2664.9273310185049</v>
      </c>
      <c r="X1781" s="16">
        <f>('Gearing Calculator'!$U$9*9.81)*('Gearing Calculator'!$U$16/'Gearing Calculator'!$C$7)-(('Track Data'!W1781)*('Gearing Calculator'!$U$17/'Gearing Calculator'!$C$7))</f>
        <v>2853.7296932410663</v>
      </c>
      <c r="Y1781" s="16">
        <f>('Gearing Calculator'!$U$9*9.81)*(('Gearing Calculator'!$C$7-'Gearing Calculator'!$U$16)/'Gearing Calculator'!$C$7)+(('Track Data'!W1781)*('Gearing Calculator'!$U$17/'Gearing Calculator'!$C$7))</f>
        <v>-242.30769324106609</v>
      </c>
      <c r="Z1781" s="16">
        <f>((X1781*COS('Gearing Calculator'!$C$21))/'Gearing Calculator'!$C$22)/2</f>
        <v>88.228296536961253</v>
      </c>
      <c r="AA1781" s="16">
        <f>Y1781/'Gearing Calculator'!$C$24</f>
        <v>-3.3834281088403082</v>
      </c>
      <c r="AB1781" s="16">
        <f t="shared" si="191"/>
        <v>264.81672193645426</v>
      </c>
      <c r="AC1781" s="16">
        <v>50</v>
      </c>
      <c r="AD1781" s="16">
        <v>0</v>
      </c>
      <c r="AE1781" s="16">
        <v>1778</v>
      </c>
      <c r="AF1781" s="16">
        <f>IF(AC1781=0,IF(O1781=6,INDEX(Acceleration!$V$4:$V$110,MATCH('Track Data'!S1781,Acceleration!$K$4:$K$110,0)),IF('Track Data'!O1781=5,INDEX(Acceleration!$U$4:$U$110,MATCH('Track Data'!S1781,Acceleration!$K$4:$K$110,0)),1)),U1781)</f>
        <v>-11.216477997530474</v>
      </c>
      <c r="AG1781" s="16">
        <f>IF(AC1781=0,IF(O1781=4,INDEX(Acceleration!$T$4:$T$110,MATCH('Track Data'!S1781,Acceleration!$K$4:$K$110,0)),IF('Track Data'!O1781=3,INDEX(Acceleration!$S$4:$S$110,MATCH('Track Data'!S1781,Acceleration!$K$4:$K$110,0)),'Track Data'!AF1781)),'Track Data'!U1781)</f>
        <v>-11.216477997530474</v>
      </c>
      <c r="AH1781" s="16">
        <f>IF(AC1781=0,IF(O1781=2,INDEX(Acceleration!$R$4:$R$110,MATCH('Track Data'!S1781,Acceleration!$K$4:$K$110,0)),IF('Track Data'!O1781=1,INDEX(Acceleration!$Q$4:$Q$110,MATCH('Track Data'!S1781,Acceleration!$K$4:$K$110,0)),'Track Data'!AG1781)),'Track Data'!U1781)</f>
        <v>-11.216477997530474</v>
      </c>
    </row>
    <row r="1782" spans="2:34" x14ac:dyDescent="0.25">
      <c r="B1782" s="16">
        <v>244.273</v>
      </c>
      <c r="C1782" s="16">
        <v>9052</v>
      </c>
      <c r="D1782" s="16">
        <v>1779</v>
      </c>
      <c r="E1782" s="113">
        <v>198</v>
      </c>
      <c r="F1782" s="113">
        <v>194.5</v>
      </c>
      <c r="G1782" s="113">
        <v>181.8</v>
      </c>
      <c r="H1782" s="113">
        <f t="shared" si="194"/>
        <v>50.5</v>
      </c>
      <c r="I1782" s="113">
        <v>20.6</v>
      </c>
      <c r="J1782" s="113">
        <v>73.040000000000006</v>
      </c>
      <c r="K1782" s="113">
        <v>-31.2</v>
      </c>
      <c r="L1782" s="185"/>
      <c r="M1782" s="16">
        <v>1779</v>
      </c>
      <c r="N1782" s="16">
        <f t="shared" si="196"/>
        <v>1.8228598711511532E-2</v>
      </c>
      <c r="O1782" s="16">
        <v>5</v>
      </c>
      <c r="P1782" s="16">
        <f t="shared" si="192"/>
        <v>8.1742160278745661</v>
      </c>
      <c r="Q1782" s="16">
        <f t="shared" si="197"/>
        <v>54.858852061321123</v>
      </c>
      <c r="R1782" s="113">
        <f t="shared" si="193"/>
        <v>319.54399999999998</v>
      </c>
      <c r="S1782" s="16">
        <f>IF(S1781=15800,15800,ROUND((((Q1782*60)/'Gearing Calculator'!$C$14)*'Track Data'!P1782),-2))</f>
        <v>13600</v>
      </c>
      <c r="T1782" s="16">
        <f t="shared" si="195"/>
        <v>-11.216477997530474</v>
      </c>
      <c r="U1782" s="16">
        <f>IF(AC1782=100,Braking!$AG$2354,IF(AC1782=50,Braking!$AG$1179,IF(AC1782=75,Braking!$AG$1767,0)))</f>
        <v>-11.216477997530474</v>
      </c>
      <c r="V1782" s="16">
        <f>0.5*'Gearing Calculator'!$C$15*'Gearing Calculator'!$C$20*'Gearing Calculator'!$W$20*('Track Data'!Q1782^2)</f>
        <v>318.52480786158941</v>
      </c>
      <c r="W1782" s="16">
        <f>('Gearing Calculator'!$U$9*'Track Data'!T1782)+'Track Data'!V1782</f>
        <v>-2667.3016350810221</v>
      </c>
      <c r="X1782" s="16">
        <f>('Gearing Calculator'!$U$9*9.81)*('Gearing Calculator'!$U$16/'Gearing Calculator'!$C$7)-(('Track Data'!W1782)*('Gearing Calculator'!$U$17/'Gearing Calculator'!$C$7))</f>
        <v>2855.0238511052257</v>
      </c>
      <c r="Y1782" s="16">
        <f>('Gearing Calculator'!$U$9*9.81)*(('Gearing Calculator'!$C$7-'Gearing Calculator'!$U$16)/'Gearing Calculator'!$C$7)+(('Track Data'!W1782)*('Gearing Calculator'!$U$17/'Gearing Calculator'!$C$7))</f>
        <v>-243.60185110522593</v>
      </c>
      <c r="Z1782" s="16">
        <f>((X1782*COS('Gearing Calculator'!$C$21))/'Gearing Calculator'!$C$22)/2</f>
        <v>88.268307805048465</v>
      </c>
      <c r="AA1782" s="16">
        <f>Y1782/'Gearing Calculator'!$C$24</f>
        <v>-3.4014988932892316</v>
      </c>
      <c r="AB1782" s="16">
        <f t="shared" ref="AB1782:AB1845" si="198">(T1782*O1782)+V1782</f>
        <v>262.44241787393702</v>
      </c>
      <c r="AC1782" s="16">
        <v>50</v>
      </c>
      <c r="AD1782" s="16">
        <v>0</v>
      </c>
      <c r="AE1782" s="16">
        <v>1779</v>
      </c>
      <c r="AF1782" s="16">
        <f>IF(AC1782=0,IF(O1782=6,INDEX(Acceleration!$V$4:$V$110,MATCH('Track Data'!S1782,Acceleration!$K$4:$K$110,0)),IF('Track Data'!O1782=5,INDEX(Acceleration!$U$4:$U$110,MATCH('Track Data'!S1782,Acceleration!$K$4:$K$110,0)),1)),U1782)</f>
        <v>-11.216477997530474</v>
      </c>
      <c r="AG1782" s="16">
        <f>IF(AC1782=0,IF(O1782=4,INDEX(Acceleration!$T$4:$T$110,MATCH('Track Data'!S1782,Acceleration!$K$4:$K$110,0)),IF('Track Data'!O1782=3,INDEX(Acceleration!$S$4:$S$110,MATCH('Track Data'!S1782,Acceleration!$K$4:$K$110,0)),'Track Data'!AF1782)),'Track Data'!U1782)</f>
        <v>-11.216477997530474</v>
      </c>
      <c r="AH1782" s="16">
        <f>IF(AC1782=0,IF(O1782=2,INDEX(Acceleration!$R$4:$R$110,MATCH('Track Data'!S1782,Acceleration!$K$4:$K$110,0)),IF('Track Data'!O1782=1,INDEX(Acceleration!$Q$4:$Q$110,MATCH('Track Data'!S1782,Acceleration!$K$4:$K$110,0)),'Track Data'!AG1782)),'Track Data'!U1782)</f>
        <v>-11.216477997530474</v>
      </c>
    </row>
    <row r="1783" spans="2:34" x14ac:dyDescent="0.25">
      <c r="B1783" s="16">
        <v>244.291</v>
      </c>
      <c r="C1783" s="16">
        <v>9053</v>
      </c>
      <c r="D1783" s="16">
        <v>1780</v>
      </c>
      <c r="E1783" s="113">
        <v>198</v>
      </c>
      <c r="F1783" s="113">
        <v>194.2</v>
      </c>
      <c r="G1783" s="113">
        <v>181.4</v>
      </c>
      <c r="H1783" s="113">
        <f t="shared" si="194"/>
        <v>50.388888888888886</v>
      </c>
      <c r="I1783" s="113">
        <v>19.8</v>
      </c>
      <c r="J1783" s="113">
        <v>72.599999999999994</v>
      </c>
      <c r="K1783" s="113">
        <v>-40.5</v>
      </c>
      <c r="L1783" s="185"/>
      <c r="M1783" s="16">
        <v>1780</v>
      </c>
      <c r="N1783" s="16">
        <f t="shared" si="196"/>
        <v>1.8296919463884263E-2</v>
      </c>
      <c r="O1783" s="16">
        <v>5</v>
      </c>
      <c r="P1783" s="16">
        <f t="shared" si="192"/>
        <v>8.1742160278745661</v>
      </c>
      <c r="Q1783" s="16">
        <f t="shared" si="197"/>
        <v>54.654008942536464</v>
      </c>
      <c r="R1783" s="113">
        <f t="shared" si="193"/>
        <v>319.54399999999998</v>
      </c>
      <c r="S1783" s="16">
        <f>IF(S1782=15800,15800,ROUND((((Q1783*60)/'Gearing Calculator'!$C$14)*'Track Data'!P1783),-2))</f>
        <v>13500</v>
      </c>
      <c r="T1783" s="16">
        <f t="shared" si="195"/>
        <v>-11.216477997530474</v>
      </c>
      <c r="U1783" s="16">
        <f>IF(AC1783=100,Braking!$AG$2354,IF(AC1783=50,Braking!$AG$1179,IF(AC1783=75,Braking!$AG$1767,0)))</f>
        <v>-11.216477997530474</v>
      </c>
      <c r="V1783" s="16">
        <f>0.5*'Gearing Calculator'!$C$15*'Gearing Calculator'!$C$20*'Gearing Calculator'!$W$20*('Track Data'!Q1783^2)</f>
        <v>316.15050379907217</v>
      </c>
      <c r="W1783" s="16">
        <f>('Gearing Calculator'!$U$9*'Track Data'!T1783)+'Track Data'!V1783</f>
        <v>-2669.6759391435394</v>
      </c>
      <c r="X1783" s="16">
        <f>('Gearing Calculator'!$U$9*9.81)*('Gearing Calculator'!$U$16/'Gearing Calculator'!$C$7)-(('Track Data'!W1783)*('Gearing Calculator'!$U$17/'Gearing Calculator'!$C$7))</f>
        <v>2856.318008969386</v>
      </c>
      <c r="Y1783" s="16">
        <f>('Gearing Calculator'!$U$9*9.81)*(('Gearing Calculator'!$C$7-'Gearing Calculator'!$U$16)/'Gearing Calculator'!$C$7)+(('Track Data'!W1783)*('Gearing Calculator'!$U$17/'Gearing Calculator'!$C$7))</f>
        <v>-244.89600896938578</v>
      </c>
      <c r="Z1783" s="16">
        <f>((X1783*COS('Gearing Calculator'!$C$21))/'Gearing Calculator'!$C$22)/2</f>
        <v>88.308319073135692</v>
      </c>
      <c r="AA1783" s="16">
        <f>Y1783/'Gearing Calculator'!$C$24</f>
        <v>-3.419569677738155</v>
      </c>
      <c r="AB1783" s="16">
        <f t="shared" si="198"/>
        <v>260.06811381141978</v>
      </c>
      <c r="AC1783" s="16">
        <v>50</v>
      </c>
      <c r="AD1783" s="16">
        <v>0</v>
      </c>
      <c r="AE1783" s="16">
        <v>1780</v>
      </c>
      <c r="AF1783" s="16">
        <f>IF(AC1783=0,IF(O1783=6,INDEX(Acceleration!$V$4:$V$110,MATCH('Track Data'!S1783,Acceleration!$K$4:$K$110,0)),IF('Track Data'!O1783=5,INDEX(Acceleration!$U$4:$U$110,MATCH('Track Data'!S1783,Acceleration!$K$4:$K$110,0)),1)),U1783)</f>
        <v>-11.216477997530474</v>
      </c>
      <c r="AG1783" s="16">
        <f>IF(AC1783=0,IF(O1783=4,INDEX(Acceleration!$T$4:$T$110,MATCH('Track Data'!S1783,Acceleration!$K$4:$K$110,0)),IF('Track Data'!O1783=3,INDEX(Acceleration!$S$4:$S$110,MATCH('Track Data'!S1783,Acceleration!$K$4:$K$110,0)),'Track Data'!AF1783)),'Track Data'!U1783)</f>
        <v>-11.216477997530474</v>
      </c>
      <c r="AH1783" s="16">
        <f>IF(AC1783=0,IF(O1783=2,INDEX(Acceleration!$R$4:$R$110,MATCH('Track Data'!S1783,Acceleration!$K$4:$K$110,0)),IF('Track Data'!O1783=1,INDEX(Acceleration!$Q$4:$Q$110,MATCH('Track Data'!S1783,Acceleration!$K$4:$K$110,0)),'Track Data'!AG1783)),'Track Data'!U1783)</f>
        <v>-11.216477997530474</v>
      </c>
    </row>
    <row r="1784" spans="2:34" x14ac:dyDescent="0.25">
      <c r="B1784" s="16">
        <v>244.309</v>
      </c>
      <c r="C1784" s="16">
        <v>9054</v>
      </c>
      <c r="D1784" s="16">
        <v>1781</v>
      </c>
      <c r="E1784" s="113">
        <v>198</v>
      </c>
      <c r="F1784" s="113">
        <v>194.1</v>
      </c>
      <c r="G1784" s="113">
        <v>181.2</v>
      </c>
      <c r="H1784" s="113">
        <f t="shared" si="194"/>
        <v>50.333333333333329</v>
      </c>
      <c r="I1784" s="113">
        <v>19.399999999999999</v>
      </c>
      <c r="J1784" s="113">
        <v>71.58</v>
      </c>
      <c r="K1784" s="113">
        <v>-45.2</v>
      </c>
      <c r="L1784" s="185"/>
      <c r="M1784" s="16">
        <v>1781</v>
      </c>
      <c r="N1784" s="16">
        <f t="shared" si="196"/>
        <v>1.8366014218137265E-2</v>
      </c>
      <c r="O1784" s="16">
        <v>5</v>
      </c>
      <c r="P1784" s="16">
        <f t="shared" si="192"/>
        <v>8.1742160278745661</v>
      </c>
      <c r="Q1784" s="16">
        <f t="shared" si="197"/>
        <v>54.448395178331886</v>
      </c>
      <c r="R1784" s="113">
        <f t="shared" si="193"/>
        <v>319.54399999999998</v>
      </c>
      <c r="S1784" s="16">
        <f>IF(S1783=15800,15800,ROUND((((Q1784*60)/'Gearing Calculator'!$C$14)*'Track Data'!P1784),-2))</f>
        <v>13500</v>
      </c>
      <c r="T1784" s="16">
        <f t="shared" si="195"/>
        <v>-11.216477997530474</v>
      </c>
      <c r="U1784" s="16">
        <f>IF(AC1784=100,Braking!$AG$2354,IF(AC1784=50,Braking!$AG$1179,IF(AC1784=75,Braking!$AG$1767,0)))</f>
        <v>-11.216477997530474</v>
      </c>
      <c r="V1784" s="16">
        <f>0.5*'Gearing Calculator'!$C$15*'Gearing Calculator'!$C$20*'Gearing Calculator'!$W$20*('Track Data'!Q1784^2)</f>
        <v>313.77619973655493</v>
      </c>
      <c r="W1784" s="16">
        <f>('Gearing Calculator'!$U$9*'Track Data'!T1784)+'Track Data'!V1784</f>
        <v>-2672.0502432060566</v>
      </c>
      <c r="X1784" s="16">
        <f>('Gearing Calculator'!$U$9*9.81)*('Gearing Calculator'!$U$16/'Gearing Calculator'!$C$7)-(('Track Data'!W1784)*('Gearing Calculator'!$U$17/'Gearing Calculator'!$C$7))</f>
        <v>2857.6121668335459</v>
      </c>
      <c r="Y1784" s="16">
        <f>('Gearing Calculator'!$U$9*9.81)*(('Gearing Calculator'!$C$7-'Gearing Calculator'!$U$16)/'Gearing Calculator'!$C$7)+(('Track Data'!W1784)*('Gearing Calculator'!$U$17/'Gearing Calculator'!$C$7))</f>
        <v>-246.19016683354585</v>
      </c>
      <c r="Z1784" s="16">
        <f>((X1784*COS('Gearing Calculator'!$C$21))/'Gearing Calculator'!$C$22)/2</f>
        <v>88.348330341222919</v>
      </c>
      <c r="AA1784" s="16">
        <f>Y1784/'Gearing Calculator'!$C$24</f>
        <v>-3.4376404621870815</v>
      </c>
      <c r="AB1784" s="16">
        <f t="shared" si="198"/>
        <v>257.69380974890254</v>
      </c>
      <c r="AC1784" s="16">
        <v>50</v>
      </c>
      <c r="AD1784" s="16">
        <v>0</v>
      </c>
      <c r="AE1784" s="16">
        <v>1781</v>
      </c>
      <c r="AF1784" s="16">
        <f>IF(AC1784=0,IF(O1784=6,INDEX(Acceleration!$V$4:$V$110,MATCH('Track Data'!S1784,Acceleration!$K$4:$K$110,0)),IF('Track Data'!O1784=5,INDEX(Acceleration!$U$4:$U$110,MATCH('Track Data'!S1784,Acceleration!$K$4:$K$110,0)),1)),U1784)</f>
        <v>-11.216477997530474</v>
      </c>
      <c r="AG1784" s="16">
        <f>IF(AC1784=0,IF(O1784=4,INDEX(Acceleration!$T$4:$T$110,MATCH('Track Data'!S1784,Acceleration!$K$4:$K$110,0)),IF('Track Data'!O1784=3,INDEX(Acceleration!$S$4:$S$110,MATCH('Track Data'!S1784,Acceleration!$K$4:$K$110,0)),'Track Data'!AF1784)),'Track Data'!U1784)</f>
        <v>-11.216477997530474</v>
      </c>
      <c r="AH1784" s="16">
        <f>IF(AC1784=0,IF(O1784=2,INDEX(Acceleration!$R$4:$R$110,MATCH('Track Data'!S1784,Acceleration!$K$4:$K$110,0)),IF('Track Data'!O1784=1,INDEX(Acceleration!$Q$4:$Q$110,MATCH('Track Data'!S1784,Acceleration!$K$4:$K$110,0)),'Track Data'!AG1784)),'Track Data'!U1784)</f>
        <v>-11.216477997530474</v>
      </c>
    </row>
    <row r="1785" spans="2:34" ht="15.75" thickBot="1" x14ac:dyDescent="0.3">
      <c r="B1785" s="16">
        <v>244.327</v>
      </c>
      <c r="C1785" s="16">
        <v>9055</v>
      </c>
      <c r="D1785" s="16">
        <v>1782</v>
      </c>
      <c r="E1785" s="113">
        <v>198</v>
      </c>
      <c r="F1785" s="113">
        <v>193.9</v>
      </c>
      <c r="G1785" s="113">
        <v>180.7</v>
      </c>
      <c r="H1785" s="113">
        <f t="shared" si="194"/>
        <v>50.194444444444443</v>
      </c>
      <c r="I1785" s="113">
        <v>18.600000000000001</v>
      </c>
      <c r="J1785" s="113">
        <v>70.17</v>
      </c>
      <c r="K1785" s="113">
        <v>-53.2</v>
      </c>
      <c r="L1785" s="186"/>
      <c r="M1785" s="16">
        <v>1782</v>
      </c>
      <c r="N1785" s="16">
        <f t="shared" si="196"/>
        <v>1.8435897699894399E-2</v>
      </c>
      <c r="O1785" s="16">
        <v>5</v>
      </c>
      <c r="P1785" s="16">
        <f t="shared" si="192"/>
        <v>8.1742160278745661</v>
      </c>
      <c r="Q1785" s="16">
        <f t="shared" si="197"/>
        <v>54.242002004910674</v>
      </c>
      <c r="R1785" s="113">
        <f t="shared" si="193"/>
        <v>319.54399999999998</v>
      </c>
      <c r="S1785" s="16">
        <f>IF(S1784=15800,15800,ROUND((((Q1785*60)/'Gearing Calculator'!$C$14)*'Track Data'!P1785),-2))</f>
        <v>13400</v>
      </c>
      <c r="T1785" s="16">
        <f t="shared" si="195"/>
        <v>-11.216477997530474</v>
      </c>
      <c r="U1785" s="16">
        <f>IF(AC1785=100,Braking!$AG$2354,IF(AC1785=50,Braking!$AG$1179,IF(AC1785=75,Braking!$AG$1767,0)))</f>
        <v>-11.216477997530474</v>
      </c>
      <c r="V1785" s="16">
        <f>0.5*'Gearing Calculator'!$C$15*'Gearing Calculator'!$C$20*'Gearing Calculator'!$W$20*('Track Data'!Q1785^2)</f>
        <v>311.40189567403758</v>
      </c>
      <c r="W1785" s="16">
        <f>('Gearing Calculator'!$U$9*'Track Data'!T1785)+'Track Data'!V1785</f>
        <v>-2674.4245472685743</v>
      </c>
      <c r="X1785" s="16">
        <f>('Gearing Calculator'!$U$9*9.81)*('Gearing Calculator'!$U$16/'Gearing Calculator'!$C$7)-(('Track Data'!W1785)*('Gearing Calculator'!$U$17/'Gearing Calculator'!$C$7))</f>
        <v>2858.9063246977057</v>
      </c>
      <c r="Y1785" s="16">
        <f>('Gearing Calculator'!$U$9*9.81)*(('Gearing Calculator'!$C$7-'Gearing Calculator'!$U$16)/'Gearing Calculator'!$C$7)+(('Track Data'!W1785)*('Gearing Calculator'!$U$17/'Gearing Calculator'!$C$7))</f>
        <v>-247.48432469770592</v>
      </c>
      <c r="Z1785" s="16">
        <f>((X1785*COS('Gearing Calculator'!$C$21))/'Gearing Calculator'!$C$22)/2</f>
        <v>88.388341609310132</v>
      </c>
      <c r="AA1785" s="16">
        <f>Y1785/'Gearing Calculator'!$C$24</f>
        <v>-3.455711246636008</v>
      </c>
      <c r="AB1785" s="16">
        <f t="shared" si="198"/>
        <v>255.31950568638521</v>
      </c>
      <c r="AC1785" s="16">
        <v>50</v>
      </c>
      <c r="AD1785" s="16">
        <v>0</v>
      </c>
      <c r="AE1785" s="16">
        <v>1782</v>
      </c>
      <c r="AF1785" s="16">
        <f>IF(AC1785=0,IF(O1785=6,INDEX(Acceleration!$V$4:$V$110,MATCH('Track Data'!S1785,Acceleration!$K$4:$K$110,0)),IF('Track Data'!O1785=5,INDEX(Acceleration!$U$4:$U$110,MATCH('Track Data'!S1785,Acceleration!$K$4:$K$110,0)),1)),U1785)</f>
        <v>-11.216477997530474</v>
      </c>
      <c r="AG1785" s="16">
        <f>IF(AC1785=0,IF(O1785=4,INDEX(Acceleration!$T$4:$T$110,MATCH('Track Data'!S1785,Acceleration!$K$4:$K$110,0)),IF('Track Data'!O1785=3,INDEX(Acceleration!$S$4:$S$110,MATCH('Track Data'!S1785,Acceleration!$K$4:$K$110,0)),'Track Data'!AF1785)),'Track Data'!U1785)</f>
        <v>-11.216477997530474</v>
      </c>
      <c r="AH1785" s="16">
        <f>IF(AC1785=0,IF(O1785=2,INDEX(Acceleration!$R$4:$R$110,MATCH('Track Data'!S1785,Acceleration!$K$4:$K$110,0)),IF('Track Data'!O1785=1,INDEX(Acceleration!$Q$4:$Q$110,MATCH('Track Data'!S1785,Acceleration!$K$4:$K$110,0)),'Track Data'!AG1785)),'Track Data'!U1785)</f>
        <v>-11.216477997530474</v>
      </c>
    </row>
    <row r="1786" spans="2:34" x14ac:dyDescent="0.25">
      <c r="B1786" s="16">
        <v>244.346</v>
      </c>
      <c r="C1786" s="16">
        <v>9056</v>
      </c>
      <c r="D1786" s="16">
        <v>1783</v>
      </c>
      <c r="E1786" s="113">
        <v>198</v>
      </c>
      <c r="F1786" s="113">
        <v>193.3</v>
      </c>
      <c r="G1786" s="113">
        <v>180.3</v>
      </c>
      <c r="H1786" s="113">
        <f t="shared" si="194"/>
        <v>50.083333333333336</v>
      </c>
      <c r="I1786" s="113">
        <v>17.899999999999999</v>
      </c>
      <c r="J1786" s="113">
        <v>69.849999999999994</v>
      </c>
      <c r="K1786" s="113">
        <v>-55.3</v>
      </c>
      <c r="L1786" s="182" t="s">
        <v>196</v>
      </c>
      <c r="M1786" s="16">
        <v>1783</v>
      </c>
      <c r="N1786" s="16">
        <f t="shared" si="196"/>
        <v>1.8506585030011565E-2</v>
      </c>
      <c r="O1786" s="16">
        <v>5</v>
      </c>
      <c r="P1786" s="16">
        <f t="shared" si="192"/>
        <v>8.1742160278745661</v>
      </c>
      <c r="Q1786" s="134">
        <f t="shared" si="197"/>
        <v>54.034820491102515</v>
      </c>
      <c r="R1786" s="113">
        <f t="shared" si="193"/>
        <v>319.54399999999998</v>
      </c>
      <c r="S1786" s="16">
        <f>IF(S1785=15800,15800,ROUND((((Q1786*60)/'Gearing Calculator'!$C$14)*'Track Data'!P1786),-2))</f>
        <v>13400</v>
      </c>
      <c r="T1786" s="16">
        <f t="shared" si="195"/>
        <v>3.9259213927261993</v>
      </c>
      <c r="U1786" s="16">
        <f>IF(AC1786=100,Braking!$AG$2354,IF(AC1786=50,Braking!$AG$1179,IF(AC1786=75,Braking!$AG$1767,0)))</f>
        <v>0</v>
      </c>
      <c r="V1786" s="16">
        <f>0.5*'Gearing Calculator'!$C$15*'Gearing Calculator'!$C$20*'Gearing Calculator'!$W$20*('Track Data'!Q1786^2)</f>
        <v>309.02759161152034</v>
      </c>
      <c r="W1786" s="16">
        <f>('Gearing Calculator'!$U$9*'Track Data'!T1786)+'Track Data'!V1786</f>
        <v>1354.1078663552346</v>
      </c>
      <c r="X1786" s="16">
        <f>('Gearing Calculator'!$U$9*9.81)*('Gearing Calculator'!$U$16/'Gearing Calculator'!$C$7)-(('Track Data'!W1786)*('Gearing Calculator'!$U$17/'Gearing Calculator'!$C$7))</f>
        <v>663.08103575513042</v>
      </c>
      <c r="Y1786" s="16">
        <f>('Gearing Calculator'!$U$9*9.81)*(('Gearing Calculator'!$C$7-'Gearing Calculator'!$U$16)/'Gearing Calculator'!$C$7)+(('Track Data'!W1786)*('Gearing Calculator'!$U$17/'Gearing Calculator'!$C$7))</f>
        <v>1948.3409642448696</v>
      </c>
      <c r="Z1786" s="16">
        <f>((X1786*COS('Gearing Calculator'!$C$21))/'Gearing Calculator'!$C$22)/2</f>
        <v>20.500368478906633</v>
      </c>
      <c r="AA1786" s="16">
        <f>Y1786/'Gearing Calculator'!$C$24</f>
        <v>27.205374686443935</v>
      </c>
      <c r="AB1786" s="16">
        <f t="shared" si="198"/>
        <v>328.65719857515131</v>
      </c>
      <c r="AC1786" s="16">
        <v>0</v>
      </c>
      <c r="AD1786" s="16">
        <v>-49.842163139380297</v>
      </c>
      <c r="AE1786" s="16">
        <v>1783</v>
      </c>
      <c r="AF1786" s="16">
        <f>IF(AC1786=0,IF(O1786=6,INDEX(Acceleration!$V$4:$V$110,MATCH('Track Data'!S1786,Acceleration!$K$4:$K$110,0)),IF('Track Data'!O1786=5,INDEX(Acceleration!$U$4:$U$110,MATCH('Track Data'!S1786,Acceleration!$K$4:$K$110,0)),1)),U1786)</f>
        <v>3.9259213927261993</v>
      </c>
      <c r="AG1786" s="16">
        <f>IF(AC1786=0,IF(O1786=4,INDEX(Acceleration!$T$4:$T$110,MATCH('Track Data'!S1786,Acceleration!$K$4:$K$110,0)),IF('Track Data'!O1786=3,INDEX(Acceleration!$S$4:$S$110,MATCH('Track Data'!S1786,Acceleration!$K$4:$K$110,0)),'Track Data'!AF1786)),'Track Data'!U1786)</f>
        <v>3.9259213927261993</v>
      </c>
      <c r="AH1786" s="16">
        <f>IF(AC1786=0,IF(O1786=2,INDEX(Acceleration!$R$4:$R$110,MATCH('Track Data'!S1786,Acceleration!$K$4:$K$110,0)),IF('Track Data'!O1786=1,INDEX(Acceleration!$Q$4:$Q$110,MATCH('Track Data'!S1786,Acceleration!$K$4:$K$110,0)),'Track Data'!AG1786)),'Track Data'!U1786)</f>
        <v>3.9259213927261993</v>
      </c>
    </row>
    <row r="1787" spans="2:34" x14ac:dyDescent="0.25">
      <c r="B1787" s="16">
        <v>244.36500000000001</v>
      </c>
      <c r="C1787" s="16">
        <v>9057</v>
      </c>
      <c r="D1787" s="16">
        <v>1784</v>
      </c>
      <c r="E1787" s="113">
        <v>198</v>
      </c>
      <c r="F1787" s="113">
        <v>192.8</v>
      </c>
      <c r="G1787" s="113">
        <v>179.9</v>
      </c>
      <c r="H1787" s="113">
        <f t="shared" si="194"/>
        <v>49.972222222222221</v>
      </c>
      <c r="I1787" s="113">
        <v>17.399999999999999</v>
      </c>
      <c r="J1787" s="113">
        <v>69.099999999999994</v>
      </c>
      <c r="K1787" s="113">
        <v>-57.5</v>
      </c>
      <c r="L1787" s="183"/>
      <c r="M1787" s="16">
        <v>1784</v>
      </c>
      <c r="N1787" s="16">
        <f t="shared" si="196"/>
        <v>1.8506585030011565E-2</v>
      </c>
      <c r="O1787" s="16">
        <v>5</v>
      </c>
      <c r="P1787" s="16">
        <f t="shared" si="192"/>
        <v>8.1742160278745661</v>
      </c>
      <c r="Q1787" s="16">
        <f t="shared" si="197"/>
        <v>54.034820491102515</v>
      </c>
      <c r="R1787" s="113">
        <f t="shared" si="193"/>
        <v>319.54399999999998</v>
      </c>
      <c r="S1787" s="16">
        <f>IF(S1786=15800,15800,ROUND((((Q1787*60)/'Gearing Calculator'!$C$14)*'Track Data'!P1787),-2))</f>
        <v>13400</v>
      </c>
      <c r="T1787" s="16">
        <f t="shared" si="195"/>
        <v>3.9259213927261993</v>
      </c>
      <c r="U1787" s="16">
        <f>IF(AC1787=100,Braking!$AG$2354,IF(AC1787=50,Braking!$AG$1179,IF(AC1787=75,Braking!$AG$1767,0)))</f>
        <v>0</v>
      </c>
      <c r="V1787" s="16">
        <f>0.5*'Gearing Calculator'!$C$15*'Gearing Calculator'!$C$20*'Gearing Calculator'!$W$20*('Track Data'!Q1787^2)</f>
        <v>309.02759161152034</v>
      </c>
      <c r="W1787" s="16">
        <f>('Gearing Calculator'!$U$9*'Track Data'!T1787)+'Track Data'!V1787</f>
        <v>1354.1078663552346</v>
      </c>
      <c r="X1787" s="16">
        <f>('Gearing Calculator'!$U$9*9.81)*('Gearing Calculator'!$U$16/'Gearing Calculator'!$C$7)-(('Track Data'!W1787)*('Gearing Calculator'!$U$17/'Gearing Calculator'!$C$7))</f>
        <v>663.08103575513042</v>
      </c>
      <c r="Y1787" s="16">
        <f>('Gearing Calculator'!$U$9*9.81)*(('Gearing Calculator'!$C$7-'Gearing Calculator'!$U$16)/'Gearing Calculator'!$C$7)+(('Track Data'!W1787)*('Gearing Calculator'!$U$17/'Gearing Calculator'!$C$7))</f>
        <v>1948.3409642448696</v>
      </c>
      <c r="Z1787" s="16">
        <f>((X1787*COS('Gearing Calculator'!$C$21))/'Gearing Calculator'!$C$22)/2</f>
        <v>20.500368478906633</v>
      </c>
      <c r="AA1787" s="16">
        <f>Y1787/'Gearing Calculator'!$C$24</f>
        <v>27.205374686443935</v>
      </c>
      <c r="AB1787" s="16">
        <f t="shared" si="198"/>
        <v>328.65719857515131</v>
      </c>
      <c r="AC1787" s="16">
        <v>0</v>
      </c>
      <c r="AD1787" s="16">
        <v>-49.842163139380297</v>
      </c>
      <c r="AE1787" s="16">
        <v>1784</v>
      </c>
      <c r="AF1787" s="16">
        <f>IF(AC1787=0,IF(O1787=6,INDEX(Acceleration!$V$4:$V$110,MATCH('Track Data'!S1787,Acceleration!$K$4:$K$110,0)),IF('Track Data'!O1787=5,INDEX(Acceleration!$U$4:$U$110,MATCH('Track Data'!S1787,Acceleration!$K$4:$K$110,0)),1)),U1787)</f>
        <v>3.9259213927261993</v>
      </c>
      <c r="AG1787" s="16">
        <f>IF(AC1787=0,IF(O1787=4,INDEX(Acceleration!$T$4:$T$110,MATCH('Track Data'!S1787,Acceleration!$K$4:$K$110,0)),IF('Track Data'!O1787=3,INDEX(Acceleration!$S$4:$S$110,MATCH('Track Data'!S1787,Acceleration!$K$4:$K$110,0)),'Track Data'!AF1787)),'Track Data'!U1787)</f>
        <v>3.9259213927261993</v>
      </c>
      <c r="AH1787" s="16">
        <f>IF(AC1787=0,IF(O1787=2,INDEX(Acceleration!$R$4:$R$110,MATCH('Track Data'!S1787,Acceleration!$K$4:$K$110,0)),IF('Track Data'!O1787=1,INDEX(Acceleration!$Q$4:$Q$110,MATCH('Track Data'!S1787,Acceleration!$K$4:$K$110,0)),'Track Data'!AG1787)),'Track Data'!U1787)</f>
        <v>3.9259213927261993</v>
      </c>
    </row>
    <row r="1788" spans="2:34" x14ac:dyDescent="0.25">
      <c r="B1788" s="16">
        <v>244.38300000000001</v>
      </c>
      <c r="C1788" s="16">
        <v>9058</v>
      </c>
      <c r="D1788" s="16">
        <v>1785</v>
      </c>
      <c r="E1788" s="113">
        <v>198</v>
      </c>
      <c r="F1788" s="113">
        <v>192.5</v>
      </c>
      <c r="G1788" s="113">
        <v>179.5</v>
      </c>
      <c r="H1788" s="113">
        <f t="shared" si="194"/>
        <v>49.861111111111107</v>
      </c>
      <c r="I1788" s="113">
        <v>17.100000000000001</v>
      </c>
      <c r="J1788" s="113">
        <v>63.36</v>
      </c>
      <c r="K1788" s="113">
        <v>-59.6</v>
      </c>
      <c r="L1788" s="183"/>
      <c r="M1788" s="16">
        <v>1785</v>
      </c>
      <c r="N1788" s="16">
        <f t="shared" si="196"/>
        <v>1.8506585030011565E-2</v>
      </c>
      <c r="O1788" s="16">
        <v>5</v>
      </c>
      <c r="P1788" s="16">
        <f t="shared" si="192"/>
        <v>8.1742160278745661</v>
      </c>
      <c r="Q1788" s="16">
        <f t="shared" si="197"/>
        <v>54.034820491102515</v>
      </c>
      <c r="R1788" s="113">
        <f t="shared" si="193"/>
        <v>319.54399999999998</v>
      </c>
      <c r="S1788" s="16">
        <f>IF(S1787=15800,15800,ROUND((((Q1788*60)/'Gearing Calculator'!$C$14)*'Track Data'!P1788),-2))</f>
        <v>13400</v>
      </c>
      <c r="T1788" s="16">
        <f t="shared" si="195"/>
        <v>3.9259213927261993</v>
      </c>
      <c r="U1788" s="16">
        <f>IF(AC1788=100,Braking!$AG$2354,IF(AC1788=50,Braking!$AG$1179,IF(AC1788=75,Braking!$AG$1767,0)))</f>
        <v>0</v>
      </c>
      <c r="V1788" s="16">
        <f>0.5*'Gearing Calculator'!$C$15*'Gearing Calculator'!$C$20*'Gearing Calculator'!$W$20*('Track Data'!Q1788^2)</f>
        <v>309.02759161152034</v>
      </c>
      <c r="W1788" s="16">
        <f>('Gearing Calculator'!$U$9*'Track Data'!T1788)+'Track Data'!V1788</f>
        <v>1354.1078663552346</v>
      </c>
      <c r="X1788" s="16">
        <f>('Gearing Calculator'!$U$9*9.81)*('Gearing Calculator'!$U$16/'Gearing Calculator'!$C$7)-(('Track Data'!W1788)*('Gearing Calculator'!$U$17/'Gearing Calculator'!$C$7))</f>
        <v>663.08103575513042</v>
      </c>
      <c r="Y1788" s="16">
        <f>('Gearing Calculator'!$U$9*9.81)*(('Gearing Calculator'!$C$7-'Gearing Calculator'!$U$16)/'Gearing Calculator'!$C$7)+(('Track Data'!W1788)*('Gearing Calculator'!$U$17/'Gearing Calculator'!$C$7))</f>
        <v>1948.3409642448696</v>
      </c>
      <c r="Z1788" s="16">
        <f>((X1788*COS('Gearing Calculator'!$C$21))/'Gearing Calculator'!$C$22)/2</f>
        <v>20.500368478906633</v>
      </c>
      <c r="AA1788" s="16">
        <f>Y1788/'Gearing Calculator'!$C$24</f>
        <v>27.205374686443935</v>
      </c>
      <c r="AB1788" s="16">
        <f t="shared" si="198"/>
        <v>328.65719857515131</v>
      </c>
      <c r="AC1788" s="16">
        <v>0</v>
      </c>
      <c r="AD1788" s="16">
        <v>-49.842163139380297</v>
      </c>
      <c r="AE1788" s="16">
        <v>1785</v>
      </c>
      <c r="AF1788" s="16">
        <f>IF(AC1788=0,IF(O1788=6,INDEX(Acceleration!$V$4:$V$110,MATCH('Track Data'!S1788,Acceleration!$K$4:$K$110,0)),IF('Track Data'!O1788=5,INDEX(Acceleration!$U$4:$U$110,MATCH('Track Data'!S1788,Acceleration!$K$4:$K$110,0)),1)),U1788)</f>
        <v>3.9259213927261993</v>
      </c>
      <c r="AG1788" s="16">
        <f>IF(AC1788=0,IF(O1788=4,INDEX(Acceleration!$T$4:$T$110,MATCH('Track Data'!S1788,Acceleration!$K$4:$K$110,0)),IF('Track Data'!O1788=3,INDEX(Acceleration!$S$4:$S$110,MATCH('Track Data'!S1788,Acceleration!$K$4:$K$110,0)),'Track Data'!AF1788)),'Track Data'!U1788)</f>
        <v>3.9259213927261993</v>
      </c>
      <c r="AH1788" s="16">
        <f>IF(AC1788=0,IF(O1788=2,INDEX(Acceleration!$R$4:$R$110,MATCH('Track Data'!S1788,Acceleration!$K$4:$K$110,0)),IF('Track Data'!O1788=1,INDEX(Acceleration!$Q$4:$Q$110,MATCH('Track Data'!S1788,Acceleration!$K$4:$K$110,0)),'Track Data'!AG1788)),'Track Data'!U1788)</f>
        <v>3.9259213927261993</v>
      </c>
    </row>
    <row r="1789" spans="2:34" x14ac:dyDescent="0.25">
      <c r="B1789" s="16">
        <v>244.40199999999999</v>
      </c>
      <c r="C1789" s="16">
        <v>9059</v>
      </c>
      <c r="D1789" s="16">
        <v>1786</v>
      </c>
      <c r="E1789" s="113">
        <v>198</v>
      </c>
      <c r="F1789" s="113">
        <v>192.2</v>
      </c>
      <c r="G1789" s="113">
        <v>179.1</v>
      </c>
      <c r="H1789" s="113">
        <f t="shared" si="194"/>
        <v>49.75</v>
      </c>
      <c r="I1789" s="113">
        <v>15.6</v>
      </c>
      <c r="J1789" s="113">
        <v>61.94</v>
      </c>
      <c r="K1789" s="113">
        <v>-61.3</v>
      </c>
      <c r="L1789" s="183"/>
      <c r="M1789" s="16">
        <v>1786</v>
      </c>
      <c r="N1789" s="16">
        <f t="shared" si="196"/>
        <v>1.8506585030011565E-2</v>
      </c>
      <c r="O1789" s="16">
        <v>5</v>
      </c>
      <c r="P1789" s="16">
        <f t="shared" si="192"/>
        <v>8.1742160278745661</v>
      </c>
      <c r="Q1789" s="16">
        <f t="shared" si="197"/>
        <v>54.034820491102515</v>
      </c>
      <c r="R1789" s="113">
        <f t="shared" si="193"/>
        <v>319.54399999999998</v>
      </c>
      <c r="S1789" s="16">
        <f>IF(S1788=15800,15800,ROUND((((Q1789*60)/'Gearing Calculator'!$C$14)*'Track Data'!P1789),-2))</f>
        <v>13400</v>
      </c>
      <c r="T1789" s="16">
        <f t="shared" si="195"/>
        <v>3.9259213927261993</v>
      </c>
      <c r="U1789" s="16">
        <f>IF(AC1789=100,Braking!$AG$2354,IF(AC1789=50,Braking!$AG$1179,IF(AC1789=75,Braking!$AG$1767,0)))</f>
        <v>0</v>
      </c>
      <c r="V1789" s="16">
        <f>0.5*'Gearing Calculator'!$C$15*'Gearing Calculator'!$C$20*'Gearing Calculator'!$W$20*('Track Data'!Q1789^2)</f>
        <v>309.02759161152034</v>
      </c>
      <c r="W1789" s="16">
        <f>('Gearing Calculator'!$U$9*'Track Data'!T1789)+'Track Data'!V1789</f>
        <v>1354.1078663552346</v>
      </c>
      <c r="X1789" s="16">
        <f>('Gearing Calculator'!$U$9*9.81)*('Gearing Calculator'!$U$16/'Gearing Calculator'!$C$7)-(('Track Data'!W1789)*('Gearing Calculator'!$U$17/'Gearing Calculator'!$C$7))</f>
        <v>663.08103575513042</v>
      </c>
      <c r="Y1789" s="16">
        <f>('Gearing Calculator'!$U$9*9.81)*(('Gearing Calculator'!$C$7-'Gearing Calculator'!$U$16)/'Gearing Calculator'!$C$7)+(('Track Data'!W1789)*('Gearing Calculator'!$U$17/'Gearing Calculator'!$C$7))</f>
        <v>1948.3409642448696</v>
      </c>
      <c r="Z1789" s="16">
        <f>((X1789*COS('Gearing Calculator'!$C$21))/'Gearing Calculator'!$C$22)/2</f>
        <v>20.500368478906633</v>
      </c>
      <c r="AA1789" s="16">
        <f>Y1789/'Gearing Calculator'!$C$24</f>
        <v>27.205374686443935</v>
      </c>
      <c r="AB1789" s="16">
        <f t="shared" si="198"/>
        <v>328.65719857515131</v>
      </c>
      <c r="AC1789" s="16">
        <v>0</v>
      </c>
      <c r="AD1789" s="16">
        <v>-49.842163139380297</v>
      </c>
      <c r="AE1789" s="16">
        <v>1786</v>
      </c>
      <c r="AF1789" s="16">
        <f>IF(AC1789=0,IF(O1789=6,INDEX(Acceleration!$V$4:$V$110,MATCH('Track Data'!S1789,Acceleration!$K$4:$K$110,0)),IF('Track Data'!O1789=5,INDEX(Acceleration!$U$4:$U$110,MATCH('Track Data'!S1789,Acceleration!$K$4:$K$110,0)),1)),U1789)</f>
        <v>3.9259213927261993</v>
      </c>
      <c r="AG1789" s="16">
        <f>IF(AC1789=0,IF(O1789=4,INDEX(Acceleration!$T$4:$T$110,MATCH('Track Data'!S1789,Acceleration!$K$4:$K$110,0)),IF('Track Data'!O1789=3,INDEX(Acceleration!$S$4:$S$110,MATCH('Track Data'!S1789,Acceleration!$K$4:$K$110,0)),'Track Data'!AF1789)),'Track Data'!U1789)</f>
        <v>3.9259213927261993</v>
      </c>
      <c r="AH1789" s="16">
        <f>IF(AC1789=0,IF(O1789=2,INDEX(Acceleration!$R$4:$R$110,MATCH('Track Data'!S1789,Acceleration!$K$4:$K$110,0)),IF('Track Data'!O1789=1,INDEX(Acceleration!$Q$4:$Q$110,MATCH('Track Data'!S1789,Acceleration!$K$4:$K$110,0)),'Track Data'!AG1789)),'Track Data'!U1789)</f>
        <v>3.9259213927261993</v>
      </c>
    </row>
    <row r="1790" spans="2:34" x14ac:dyDescent="0.25">
      <c r="B1790" s="16">
        <v>244.42099999999999</v>
      </c>
      <c r="C1790" s="16">
        <v>9060</v>
      </c>
      <c r="D1790" s="16">
        <v>1787</v>
      </c>
      <c r="E1790" s="113">
        <v>200</v>
      </c>
      <c r="F1790" s="113">
        <v>192.2</v>
      </c>
      <c r="G1790" s="113">
        <v>178.7</v>
      </c>
      <c r="H1790" s="113">
        <f t="shared" si="194"/>
        <v>49.638888888888886</v>
      </c>
      <c r="I1790" s="113">
        <v>13.3</v>
      </c>
      <c r="J1790" s="113">
        <v>59.21</v>
      </c>
      <c r="K1790" s="113">
        <v>-61.3</v>
      </c>
      <c r="L1790" s="183"/>
      <c r="M1790" s="16">
        <v>1787</v>
      </c>
      <c r="N1790" s="16">
        <f t="shared" si="196"/>
        <v>1.8506585030011565E-2</v>
      </c>
      <c r="O1790" s="16">
        <v>5</v>
      </c>
      <c r="P1790" s="16">
        <f t="shared" si="192"/>
        <v>8.1742160278745661</v>
      </c>
      <c r="Q1790" s="16">
        <f t="shared" si="197"/>
        <v>54.034820491102515</v>
      </c>
      <c r="R1790" s="113">
        <f t="shared" si="193"/>
        <v>319.54399999999998</v>
      </c>
      <c r="S1790" s="16">
        <f>IF(S1789=15800,15800,ROUND((((Q1790*60)/'Gearing Calculator'!$C$14)*'Track Data'!P1790),-2))</f>
        <v>13400</v>
      </c>
      <c r="T1790" s="16">
        <f t="shared" si="195"/>
        <v>3.9259213927261993</v>
      </c>
      <c r="U1790" s="16">
        <f>IF(AC1790=100,Braking!$AG$2354,IF(AC1790=50,Braking!$AG$1179,IF(AC1790=75,Braking!$AG$1767,0)))</f>
        <v>0</v>
      </c>
      <c r="V1790" s="16">
        <f>0.5*'Gearing Calculator'!$C$15*'Gearing Calculator'!$C$20*'Gearing Calculator'!$W$20*('Track Data'!Q1790^2)</f>
        <v>309.02759161152034</v>
      </c>
      <c r="W1790" s="16">
        <f>('Gearing Calculator'!$U$9*'Track Data'!T1790)+'Track Data'!V1790</f>
        <v>1354.1078663552346</v>
      </c>
      <c r="X1790" s="16">
        <f>('Gearing Calculator'!$U$9*9.81)*('Gearing Calculator'!$U$16/'Gearing Calculator'!$C$7)-(('Track Data'!W1790)*('Gearing Calculator'!$U$17/'Gearing Calculator'!$C$7))</f>
        <v>663.08103575513042</v>
      </c>
      <c r="Y1790" s="16">
        <f>('Gearing Calculator'!$U$9*9.81)*(('Gearing Calculator'!$C$7-'Gearing Calculator'!$U$16)/'Gearing Calculator'!$C$7)+(('Track Data'!W1790)*('Gearing Calculator'!$U$17/'Gearing Calculator'!$C$7))</f>
        <v>1948.3409642448696</v>
      </c>
      <c r="Z1790" s="16">
        <f>((X1790*COS('Gearing Calculator'!$C$21))/'Gearing Calculator'!$C$22)/2</f>
        <v>20.500368478906633</v>
      </c>
      <c r="AA1790" s="16">
        <f>Y1790/'Gearing Calculator'!$C$24</f>
        <v>27.205374686443935</v>
      </c>
      <c r="AB1790" s="16">
        <f t="shared" si="198"/>
        <v>328.65719857515131</v>
      </c>
      <c r="AC1790" s="16">
        <v>0</v>
      </c>
      <c r="AD1790" s="16">
        <v>-49.842163139380297</v>
      </c>
      <c r="AE1790" s="16">
        <v>1787</v>
      </c>
      <c r="AF1790" s="16">
        <f>IF(AC1790=0,IF(O1790=6,INDEX(Acceleration!$V$4:$V$110,MATCH('Track Data'!S1790,Acceleration!$K$4:$K$110,0)),IF('Track Data'!O1790=5,INDEX(Acceleration!$U$4:$U$110,MATCH('Track Data'!S1790,Acceleration!$K$4:$K$110,0)),1)),U1790)</f>
        <v>3.9259213927261993</v>
      </c>
      <c r="AG1790" s="16">
        <f>IF(AC1790=0,IF(O1790=4,INDEX(Acceleration!$T$4:$T$110,MATCH('Track Data'!S1790,Acceleration!$K$4:$K$110,0)),IF('Track Data'!O1790=3,INDEX(Acceleration!$S$4:$S$110,MATCH('Track Data'!S1790,Acceleration!$K$4:$K$110,0)),'Track Data'!AF1790)),'Track Data'!U1790)</f>
        <v>3.9259213927261993</v>
      </c>
      <c r="AH1790" s="16">
        <f>IF(AC1790=0,IF(O1790=2,INDEX(Acceleration!$R$4:$R$110,MATCH('Track Data'!S1790,Acceleration!$K$4:$K$110,0)),IF('Track Data'!O1790=1,INDEX(Acceleration!$Q$4:$Q$110,MATCH('Track Data'!S1790,Acceleration!$K$4:$K$110,0)),'Track Data'!AG1790)),'Track Data'!U1790)</f>
        <v>3.9259213927261993</v>
      </c>
    </row>
    <row r="1791" spans="2:34" x14ac:dyDescent="0.25">
      <c r="B1791" s="16">
        <v>244.43899999999999</v>
      </c>
      <c r="C1791" s="16">
        <v>9061</v>
      </c>
      <c r="D1791" s="16">
        <v>1788</v>
      </c>
      <c r="E1791" s="113">
        <v>200</v>
      </c>
      <c r="F1791" s="113">
        <v>192.2</v>
      </c>
      <c r="G1791" s="113">
        <v>178.6</v>
      </c>
      <c r="H1791" s="113">
        <f t="shared" si="194"/>
        <v>49.611111111111107</v>
      </c>
      <c r="I1791" s="113">
        <v>12</v>
      </c>
      <c r="J1791" s="113">
        <v>57.94</v>
      </c>
      <c r="K1791" s="113">
        <v>-61.3</v>
      </c>
      <c r="L1791" s="183"/>
      <c r="M1791" s="16">
        <v>1788</v>
      </c>
      <c r="N1791" s="16">
        <f t="shared" si="196"/>
        <v>1.8506585030011565E-2</v>
      </c>
      <c r="O1791" s="16">
        <v>5</v>
      </c>
      <c r="P1791" s="16">
        <f t="shared" si="192"/>
        <v>8.1742160278745661</v>
      </c>
      <c r="Q1791" s="16">
        <f t="shared" si="197"/>
        <v>54.034820491102515</v>
      </c>
      <c r="R1791" s="113">
        <f t="shared" si="193"/>
        <v>319.54399999999998</v>
      </c>
      <c r="S1791" s="16">
        <f>IF(S1790=15800,15800,ROUND((((Q1791*60)/'Gearing Calculator'!$C$14)*'Track Data'!P1791),-2))</f>
        <v>13400</v>
      </c>
      <c r="T1791" s="16">
        <f t="shared" si="195"/>
        <v>3.9259213927261993</v>
      </c>
      <c r="U1791" s="16">
        <f>IF(AC1791=100,Braking!$AG$2354,IF(AC1791=50,Braking!$AG$1179,IF(AC1791=75,Braking!$AG$1767,0)))</f>
        <v>0</v>
      </c>
      <c r="V1791" s="16">
        <f>0.5*'Gearing Calculator'!$C$15*'Gearing Calculator'!$C$20*'Gearing Calculator'!$W$20*('Track Data'!Q1791^2)</f>
        <v>309.02759161152034</v>
      </c>
      <c r="W1791" s="16">
        <f>('Gearing Calculator'!$U$9*'Track Data'!T1791)+'Track Data'!V1791</f>
        <v>1354.1078663552346</v>
      </c>
      <c r="X1791" s="16">
        <f>('Gearing Calculator'!$U$9*9.81)*('Gearing Calculator'!$U$16/'Gearing Calculator'!$C$7)-(('Track Data'!W1791)*('Gearing Calculator'!$U$17/'Gearing Calculator'!$C$7))</f>
        <v>663.08103575513042</v>
      </c>
      <c r="Y1791" s="16">
        <f>('Gearing Calculator'!$U$9*9.81)*(('Gearing Calculator'!$C$7-'Gearing Calculator'!$U$16)/'Gearing Calculator'!$C$7)+(('Track Data'!W1791)*('Gearing Calculator'!$U$17/'Gearing Calculator'!$C$7))</f>
        <v>1948.3409642448696</v>
      </c>
      <c r="Z1791" s="16">
        <f>((X1791*COS('Gearing Calculator'!$C$21))/'Gearing Calculator'!$C$22)/2</f>
        <v>20.500368478906633</v>
      </c>
      <c r="AA1791" s="16">
        <f>Y1791/'Gearing Calculator'!$C$24</f>
        <v>27.205374686443935</v>
      </c>
      <c r="AB1791" s="16">
        <f t="shared" si="198"/>
        <v>328.65719857515131</v>
      </c>
      <c r="AC1791" s="16">
        <v>0</v>
      </c>
      <c r="AD1791" s="16">
        <v>-49.842163139380297</v>
      </c>
      <c r="AE1791" s="16">
        <v>1788</v>
      </c>
      <c r="AF1791" s="16">
        <f>IF(AC1791=0,IF(O1791=6,INDEX(Acceleration!$V$4:$V$110,MATCH('Track Data'!S1791,Acceleration!$K$4:$K$110,0)),IF('Track Data'!O1791=5,INDEX(Acceleration!$U$4:$U$110,MATCH('Track Data'!S1791,Acceleration!$K$4:$K$110,0)),1)),U1791)</f>
        <v>3.9259213927261993</v>
      </c>
      <c r="AG1791" s="16">
        <f>IF(AC1791=0,IF(O1791=4,INDEX(Acceleration!$T$4:$T$110,MATCH('Track Data'!S1791,Acceleration!$K$4:$K$110,0)),IF('Track Data'!O1791=3,INDEX(Acceleration!$S$4:$S$110,MATCH('Track Data'!S1791,Acceleration!$K$4:$K$110,0)),'Track Data'!AF1791)),'Track Data'!U1791)</f>
        <v>3.9259213927261993</v>
      </c>
      <c r="AH1791" s="16">
        <f>IF(AC1791=0,IF(O1791=2,INDEX(Acceleration!$R$4:$R$110,MATCH('Track Data'!S1791,Acceleration!$K$4:$K$110,0)),IF('Track Data'!O1791=1,INDEX(Acceleration!$Q$4:$Q$110,MATCH('Track Data'!S1791,Acceleration!$K$4:$K$110,0)),'Track Data'!AG1791)),'Track Data'!U1791)</f>
        <v>3.9259213927261993</v>
      </c>
    </row>
    <row r="1792" spans="2:34" x14ac:dyDescent="0.25">
      <c r="B1792" s="16">
        <v>244.458</v>
      </c>
      <c r="C1792" s="16">
        <v>9062</v>
      </c>
      <c r="D1792" s="16">
        <v>1789</v>
      </c>
      <c r="E1792" s="113">
        <v>201</v>
      </c>
      <c r="F1792" s="113">
        <v>192.2</v>
      </c>
      <c r="G1792" s="113">
        <v>178.3</v>
      </c>
      <c r="H1792" s="113">
        <f t="shared" si="194"/>
        <v>49.527777777777779</v>
      </c>
      <c r="I1792" s="113">
        <v>11.3</v>
      </c>
      <c r="J1792" s="113">
        <v>54.58</v>
      </c>
      <c r="K1792" s="113">
        <v>-61.3</v>
      </c>
      <c r="L1792" s="183"/>
      <c r="M1792" s="16">
        <v>1789</v>
      </c>
      <c r="N1792" s="16">
        <f t="shared" si="196"/>
        <v>1.8506585030011565E-2</v>
      </c>
      <c r="O1792" s="16">
        <v>5</v>
      </c>
      <c r="P1792" s="16">
        <f t="shared" si="192"/>
        <v>8.1742160278745661</v>
      </c>
      <c r="Q1792" s="16">
        <f t="shared" si="197"/>
        <v>54.034820491102515</v>
      </c>
      <c r="R1792" s="113">
        <f t="shared" si="193"/>
        <v>319.54399999999998</v>
      </c>
      <c r="S1792" s="16">
        <f>IF(S1791=15800,15800,ROUND((((Q1792*60)/'Gearing Calculator'!$C$14)*'Track Data'!P1792),-2))</f>
        <v>13400</v>
      </c>
      <c r="T1792" s="16">
        <f t="shared" si="195"/>
        <v>3.9259213927261993</v>
      </c>
      <c r="U1792" s="16">
        <f>IF(AC1792=100,Braking!$AG$2354,IF(AC1792=50,Braking!$AG$1179,IF(AC1792=75,Braking!$AG$1767,0)))</f>
        <v>0</v>
      </c>
      <c r="V1792" s="16">
        <f>0.5*'Gearing Calculator'!$C$15*'Gearing Calculator'!$C$20*'Gearing Calculator'!$W$20*('Track Data'!Q1792^2)</f>
        <v>309.02759161152034</v>
      </c>
      <c r="W1792" s="16">
        <f>('Gearing Calculator'!$U$9*'Track Data'!T1792)+'Track Data'!V1792</f>
        <v>1354.1078663552346</v>
      </c>
      <c r="X1792" s="16">
        <f>('Gearing Calculator'!$U$9*9.81)*('Gearing Calculator'!$U$16/'Gearing Calculator'!$C$7)-(('Track Data'!W1792)*('Gearing Calculator'!$U$17/'Gearing Calculator'!$C$7))</f>
        <v>663.08103575513042</v>
      </c>
      <c r="Y1792" s="16">
        <f>('Gearing Calculator'!$U$9*9.81)*(('Gearing Calculator'!$C$7-'Gearing Calculator'!$U$16)/'Gearing Calculator'!$C$7)+(('Track Data'!W1792)*('Gearing Calculator'!$U$17/'Gearing Calculator'!$C$7))</f>
        <v>1948.3409642448696</v>
      </c>
      <c r="Z1792" s="16">
        <f>((X1792*COS('Gearing Calculator'!$C$21))/'Gearing Calculator'!$C$22)/2</f>
        <v>20.500368478906633</v>
      </c>
      <c r="AA1792" s="16">
        <f>Y1792/'Gearing Calculator'!$C$24</f>
        <v>27.205374686443935</v>
      </c>
      <c r="AB1792" s="16">
        <f t="shared" si="198"/>
        <v>328.65719857515131</v>
      </c>
      <c r="AC1792" s="16">
        <v>0</v>
      </c>
      <c r="AD1792" s="16">
        <v>-49.842163139380297</v>
      </c>
      <c r="AE1792" s="16">
        <v>1789</v>
      </c>
      <c r="AF1792" s="16">
        <f>IF(AC1792=0,IF(O1792=6,INDEX(Acceleration!$V$4:$V$110,MATCH('Track Data'!S1792,Acceleration!$K$4:$K$110,0)),IF('Track Data'!O1792=5,INDEX(Acceleration!$U$4:$U$110,MATCH('Track Data'!S1792,Acceleration!$K$4:$K$110,0)),1)),U1792)</f>
        <v>3.9259213927261993</v>
      </c>
      <c r="AG1792" s="16">
        <f>IF(AC1792=0,IF(O1792=4,INDEX(Acceleration!$T$4:$T$110,MATCH('Track Data'!S1792,Acceleration!$K$4:$K$110,0)),IF('Track Data'!O1792=3,INDEX(Acceleration!$S$4:$S$110,MATCH('Track Data'!S1792,Acceleration!$K$4:$K$110,0)),'Track Data'!AF1792)),'Track Data'!U1792)</f>
        <v>3.9259213927261993</v>
      </c>
      <c r="AH1792" s="16">
        <f>IF(AC1792=0,IF(O1792=2,INDEX(Acceleration!$R$4:$R$110,MATCH('Track Data'!S1792,Acceleration!$K$4:$K$110,0)),IF('Track Data'!O1792=1,INDEX(Acceleration!$Q$4:$Q$110,MATCH('Track Data'!S1792,Acceleration!$K$4:$K$110,0)),'Track Data'!AG1792)),'Track Data'!U1792)</f>
        <v>3.9259213927261993</v>
      </c>
    </row>
    <row r="1793" spans="2:34" x14ac:dyDescent="0.25">
      <c r="B1793" s="16">
        <v>244.477</v>
      </c>
      <c r="C1793" s="16">
        <v>9063</v>
      </c>
      <c r="D1793" s="16">
        <v>1790</v>
      </c>
      <c r="E1793" s="113">
        <v>201</v>
      </c>
      <c r="F1793" s="113">
        <v>192.1</v>
      </c>
      <c r="G1793" s="113">
        <v>178</v>
      </c>
      <c r="H1793" s="113">
        <f t="shared" si="194"/>
        <v>49.444444444444443</v>
      </c>
      <c r="I1793" s="113">
        <v>11.3</v>
      </c>
      <c r="J1793" s="113">
        <v>53.8</v>
      </c>
      <c r="K1793" s="113">
        <v>-61.3</v>
      </c>
      <c r="L1793" s="183"/>
      <c r="M1793" s="16">
        <v>1790</v>
      </c>
      <c r="N1793" s="16">
        <f t="shared" si="196"/>
        <v>1.8506585030011565E-2</v>
      </c>
      <c r="O1793" s="16">
        <v>5</v>
      </c>
      <c r="P1793" s="16">
        <f t="shared" si="192"/>
        <v>8.1742160278745661</v>
      </c>
      <c r="Q1793" s="16">
        <f t="shared" si="197"/>
        <v>54.034820491102515</v>
      </c>
      <c r="R1793" s="113">
        <f t="shared" si="193"/>
        <v>319.54399999999998</v>
      </c>
      <c r="S1793" s="16">
        <f>IF(S1792=15800,15800,ROUND((((Q1793*60)/'Gearing Calculator'!$C$14)*'Track Data'!P1793),-2))</f>
        <v>13400</v>
      </c>
      <c r="T1793" s="16">
        <f t="shared" si="195"/>
        <v>3.9259213927261993</v>
      </c>
      <c r="U1793" s="16">
        <f>IF(AC1793=100,Braking!$AG$2354,IF(AC1793=50,Braking!$AG$1179,IF(AC1793=75,Braking!$AG$1767,0)))</f>
        <v>0</v>
      </c>
      <c r="V1793" s="16">
        <f>0.5*'Gearing Calculator'!$C$15*'Gearing Calculator'!$C$20*'Gearing Calculator'!$W$20*('Track Data'!Q1793^2)</f>
        <v>309.02759161152034</v>
      </c>
      <c r="W1793" s="16">
        <f>('Gearing Calculator'!$U$9*'Track Data'!T1793)+'Track Data'!V1793</f>
        <v>1354.1078663552346</v>
      </c>
      <c r="X1793" s="16">
        <f>('Gearing Calculator'!$U$9*9.81)*('Gearing Calculator'!$U$16/'Gearing Calculator'!$C$7)-(('Track Data'!W1793)*('Gearing Calculator'!$U$17/'Gearing Calculator'!$C$7))</f>
        <v>663.08103575513042</v>
      </c>
      <c r="Y1793" s="16">
        <f>('Gearing Calculator'!$U$9*9.81)*(('Gearing Calculator'!$C$7-'Gearing Calculator'!$U$16)/'Gearing Calculator'!$C$7)+(('Track Data'!W1793)*('Gearing Calculator'!$U$17/'Gearing Calculator'!$C$7))</f>
        <v>1948.3409642448696</v>
      </c>
      <c r="Z1793" s="16">
        <f>((X1793*COS('Gearing Calculator'!$C$21))/'Gearing Calculator'!$C$22)/2</f>
        <v>20.500368478906633</v>
      </c>
      <c r="AA1793" s="16">
        <f>Y1793/'Gearing Calculator'!$C$24</f>
        <v>27.205374686443935</v>
      </c>
      <c r="AB1793" s="16">
        <f t="shared" si="198"/>
        <v>328.65719857515131</v>
      </c>
      <c r="AC1793" s="16">
        <v>0</v>
      </c>
      <c r="AD1793" s="16">
        <v>-49.842163139380297</v>
      </c>
      <c r="AE1793" s="16">
        <v>1790</v>
      </c>
      <c r="AF1793" s="16">
        <f>IF(AC1793=0,IF(O1793=6,INDEX(Acceleration!$V$4:$V$110,MATCH('Track Data'!S1793,Acceleration!$K$4:$K$110,0)),IF('Track Data'!O1793=5,INDEX(Acceleration!$U$4:$U$110,MATCH('Track Data'!S1793,Acceleration!$K$4:$K$110,0)),1)),U1793)</f>
        <v>3.9259213927261993</v>
      </c>
      <c r="AG1793" s="16">
        <f>IF(AC1793=0,IF(O1793=4,INDEX(Acceleration!$T$4:$T$110,MATCH('Track Data'!S1793,Acceleration!$K$4:$K$110,0)),IF('Track Data'!O1793=3,INDEX(Acceleration!$S$4:$S$110,MATCH('Track Data'!S1793,Acceleration!$K$4:$K$110,0)),'Track Data'!AF1793)),'Track Data'!U1793)</f>
        <v>3.9259213927261993</v>
      </c>
      <c r="AH1793" s="16">
        <f>IF(AC1793=0,IF(O1793=2,INDEX(Acceleration!$R$4:$R$110,MATCH('Track Data'!S1793,Acceleration!$K$4:$K$110,0)),IF('Track Data'!O1793=1,INDEX(Acceleration!$Q$4:$Q$110,MATCH('Track Data'!S1793,Acceleration!$K$4:$K$110,0)),'Track Data'!AG1793)),'Track Data'!U1793)</f>
        <v>3.9259213927261993</v>
      </c>
    </row>
    <row r="1794" spans="2:34" x14ac:dyDescent="0.25">
      <c r="B1794" s="16">
        <v>244.49600000000001</v>
      </c>
      <c r="C1794" s="16">
        <v>9064</v>
      </c>
      <c r="D1794" s="16">
        <v>1791</v>
      </c>
      <c r="E1794" s="113">
        <v>201</v>
      </c>
      <c r="F1794" s="113">
        <v>192</v>
      </c>
      <c r="G1794" s="113">
        <v>177.7</v>
      </c>
      <c r="H1794" s="113">
        <f t="shared" si="194"/>
        <v>49.361111111111107</v>
      </c>
      <c r="I1794" s="113">
        <v>11.9</v>
      </c>
      <c r="J1794" s="113">
        <v>54.14</v>
      </c>
      <c r="K1794" s="113">
        <v>-60.6</v>
      </c>
      <c r="L1794" s="183"/>
      <c r="M1794" s="16">
        <v>1791</v>
      </c>
      <c r="N1794" s="16">
        <f t="shared" si="196"/>
        <v>1.8506585030011565E-2</v>
      </c>
      <c r="O1794" s="16">
        <v>5</v>
      </c>
      <c r="P1794" s="16">
        <f t="shared" si="192"/>
        <v>8.1742160278745661</v>
      </c>
      <c r="Q1794" s="16">
        <f t="shared" si="197"/>
        <v>54.034820491102515</v>
      </c>
      <c r="R1794" s="113">
        <f t="shared" si="193"/>
        <v>319.54399999999998</v>
      </c>
      <c r="S1794" s="16">
        <f>IF(S1793=15800,15800,ROUND((((Q1794*60)/'Gearing Calculator'!$C$14)*'Track Data'!P1794),-2))</f>
        <v>13400</v>
      </c>
      <c r="T1794" s="16">
        <f t="shared" si="195"/>
        <v>3.9259213927261993</v>
      </c>
      <c r="U1794" s="16">
        <f>IF(AC1794=100,Braking!$AG$2354,IF(AC1794=50,Braking!$AG$1179,IF(AC1794=75,Braking!$AG$1767,0)))</f>
        <v>0</v>
      </c>
      <c r="V1794" s="16">
        <f>0.5*'Gearing Calculator'!$C$15*'Gearing Calculator'!$C$20*'Gearing Calculator'!$W$20*('Track Data'!Q1794^2)</f>
        <v>309.02759161152034</v>
      </c>
      <c r="W1794" s="16">
        <f>('Gearing Calculator'!$U$9*'Track Data'!T1794)+'Track Data'!V1794</f>
        <v>1354.1078663552346</v>
      </c>
      <c r="X1794" s="16">
        <f>('Gearing Calculator'!$U$9*9.81)*('Gearing Calculator'!$U$16/'Gearing Calculator'!$C$7)-(('Track Data'!W1794)*('Gearing Calculator'!$U$17/'Gearing Calculator'!$C$7))</f>
        <v>663.08103575513042</v>
      </c>
      <c r="Y1794" s="16">
        <f>('Gearing Calculator'!$U$9*9.81)*(('Gearing Calculator'!$C$7-'Gearing Calculator'!$U$16)/'Gearing Calculator'!$C$7)+(('Track Data'!W1794)*('Gearing Calculator'!$U$17/'Gearing Calculator'!$C$7))</f>
        <v>1948.3409642448696</v>
      </c>
      <c r="Z1794" s="16">
        <f>((X1794*COS('Gearing Calculator'!$C$21))/'Gearing Calculator'!$C$22)/2</f>
        <v>20.500368478906633</v>
      </c>
      <c r="AA1794" s="16">
        <f>Y1794/'Gearing Calculator'!$C$24</f>
        <v>27.205374686443935</v>
      </c>
      <c r="AB1794" s="16">
        <f t="shared" si="198"/>
        <v>328.65719857515131</v>
      </c>
      <c r="AC1794" s="16">
        <v>0</v>
      </c>
      <c r="AD1794" s="16">
        <v>-49.842163139380297</v>
      </c>
      <c r="AE1794" s="16">
        <v>1791</v>
      </c>
      <c r="AF1794" s="16">
        <f>IF(AC1794=0,IF(O1794=6,INDEX(Acceleration!$V$4:$V$110,MATCH('Track Data'!S1794,Acceleration!$K$4:$K$110,0)),IF('Track Data'!O1794=5,INDEX(Acceleration!$U$4:$U$110,MATCH('Track Data'!S1794,Acceleration!$K$4:$K$110,0)),1)),U1794)</f>
        <v>3.9259213927261993</v>
      </c>
      <c r="AG1794" s="16">
        <f>IF(AC1794=0,IF(O1794=4,INDEX(Acceleration!$T$4:$T$110,MATCH('Track Data'!S1794,Acceleration!$K$4:$K$110,0)),IF('Track Data'!O1794=3,INDEX(Acceleration!$S$4:$S$110,MATCH('Track Data'!S1794,Acceleration!$K$4:$K$110,0)),'Track Data'!AF1794)),'Track Data'!U1794)</f>
        <v>3.9259213927261993</v>
      </c>
      <c r="AH1794" s="16">
        <f>IF(AC1794=0,IF(O1794=2,INDEX(Acceleration!$R$4:$R$110,MATCH('Track Data'!S1794,Acceleration!$K$4:$K$110,0)),IF('Track Data'!O1794=1,INDEX(Acceleration!$Q$4:$Q$110,MATCH('Track Data'!S1794,Acceleration!$K$4:$K$110,0)),'Track Data'!AG1794)),'Track Data'!U1794)</f>
        <v>3.9259213927261993</v>
      </c>
    </row>
    <row r="1795" spans="2:34" x14ac:dyDescent="0.25">
      <c r="B1795" s="16">
        <v>244.51400000000001</v>
      </c>
      <c r="C1795" s="16">
        <v>9065</v>
      </c>
      <c r="D1795" s="16">
        <v>1792</v>
      </c>
      <c r="E1795" s="113">
        <v>201</v>
      </c>
      <c r="F1795" s="113">
        <v>191.8</v>
      </c>
      <c r="G1795" s="113">
        <v>177.4</v>
      </c>
      <c r="H1795" s="113">
        <f t="shared" si="194"/>
        <v>49.277777777777779</v>
      </c>
      <c r="I1795" s="113">
        <v>12.3</v>
      </c>
      <c r="J1795" s="113">
        <v>53.66</v>
      </c>
      <c r="K1795" s="113">
        <v>-59.6</v>
      </c>
      <c r="L1795" s="183"/>
      <c r="M1795" s="16">
        <v>1792</v>
      </c>
      <c r="N1795" s="16">
        <f t="shared" si="196"/>
        <v>1.8506585030011565E-2</v>
      </c>
      <c r="O1795" s="16">
        <v>5</v>
      </c>
      <c r="P1795" s="16">
        <f t="shared" si="192"/>
        <v>8.1742160278745661</v>
      </c>
      <c r="Q1795" s="16">
        <f t="shared" si="197"/>
        <v>54.034820491102515</v>
      </c>
      <c r="R1795" s="113">
        <f t="shared" si="193"/>
        <v>319.54399999999998</v>
      </c>
      <c r="S1795" s="16">
        <f>IF(S1794=15800,15800,ROUND((((Q1795*60)/'Gearing Calculator'!$C$14)*'Track Data'!P1795),-2))</f>
        <v>13400</v>
      </c>
      <c r="T1795" s="16">
        <f t="shared" si="195"/>
        <v>3.9259213927261993</v>
      </c>
      <c r="U1795" s="16">
        <f>IF(AC1795=100,Braking!$AG$2354,IF(AC1795=50,Braking!$AG$1179,IF(AC1795=75,Braking!$AG$1767,0)))</f>
        <v>0</v>
      </c>
      <c r="V1795" s="16">
        <f>0.5*'Gearing Calculator'!$C$15*'Gearing Calculator'!$C$20*'Gearing Calculator'!$W$20*('Track Data'!Q1795^2)</f>
        <v>309.02759161152034</v>
      </c>
      <c r="W1795" s="16">
        <f>('Gearing Calculator'!$U$9*'Track Data'!T1795)+'Track Data'!V1795</f>
        <v>1354.1078663552346</v>
      </c>
      <c r="X1795" s="16">
        <f>('Gearing Calculator'!$U$9*9.81)*('Gearing Calculator'!$U$16/'Gearing Calculator'!$C$7)-(('Track Data'!W1795)*('Gearing Calculator'!$U$17/'Gearing Calculator'!$C$7))</f>
        <v>663.08103575513042</v>
      </c>
      <c r="Y1795" s="16">
        <f>('Gearing Calculator'!$U$9*9.81)*(('Gearing Calculator'!$C$7-'Gearing Calculator'!$U$16)/'Gearing Calculator'!$C$7)+(('Track Data'!W1795)*('Gearing Calculator'!$U$17/'Gearing Calculator'!$C$7))</f>
        <v>1948.3409642448696</v>
      </c>
      <c r="Z1795" s="16">
        <f>((X1795*COS('Gearing Calculator'!$C$21))/'Gearing Calculator'!$C$22)/2</f>
        <v>20.500368478906633</v>
      </c>
      <c r="AA1795" s="16">
        <f>Y1795/'Gearing Calculator'!$C$24</f>
        <v>27.205374686443935</v>
      </c>
      <c r="AB1795" s="16">
        <f t="shared" si="198"/>
        <v>328.65719857515131</v>
      </c>
      <c r="AC1795" s="16">
        <v>0</v>
      </c>
      <c r="AD1795" s="16">
        <v>-49.842163139380297</v>
      </c>
      <c r="AE1795" s="16">
        <v>1792</v>
      </c>
      <c r="AF1795" s="16">
        <f>IF(AC1795=0,IF(O1795=6,INDEX(Acceleration!$V$4:$V$110,MATCH('Track Data'!S1795,Acceleration!$K$4:$K$110,0)),IF('Track Data'!O1795=5,INDEX(Acceleration!$U$4:$U$110,MATCH('Track Data'!S1795,Acceleration!$K$4:$K$110,0)),1)),U1795)</f>
        <v>3.9259213927261993</v>
      </c>
      <c r="AG1795" s="16">
        <f>IF(AC1795=0,IF(O1795=4,INDEX(Acceleration!$T$4:$T$110,MATCH('Track Data'!S1795,Acceleration!$K$4:$K$110,0)),IF('Track Data'!O1795=3,INDEX(Acceleration!$S$4:$S$110,MATCH('Track Data'!S1795,Acceleration!$K$4:$K$110,0)),'Track Data'!AF1795)),'Track Data'!U1795)</f>
        <v>3.9259213927261993</v>
      </c>
      <c r="AH1795" s="16">
        <f>IF(AC1795=0,IF(O1795=2,INDEX(Acceleration!$R$4:$R$110,MATCH('Track Data'!S1795,Acceleration!$K$4:$K$110,0)),IF('Track Data'!O1795=1,INDEX(Acceleration!$Q$4:$Q$110,MATCH('Track Data'!S1795,Acceleration!$K$4:$K$110,0)),'Track Data'!AG1795)),'Track Data'!U1795)</f>
        <v>3.9259213927261993</v>
      </c>
    </row>
    <row r="1796" spans="2:34" x14ac:dyDescent="0.25">
      <c r="B1796" s="16">
        <v>244.53200000000001</v>
      </c>
      <c r="C1796" s="16">
        <v>9066</v>
      </c>
      <c r="D1796" s="16">
        <v>1793</v>
      </c>
      <c r="E1796" s="113">
        <v>201</v>
      </c>
      <c r="F1796" s="113">
        <v>191.3</v>
      </c>
      <c r="G1796" s="113">
        <v>177.1</v>
      </c>
      <c r="H1796" s="113">
        <f t="shared" si="194"/>
        <v>49.194444444444443</v>
      </c>
      <c r="I1796" s="113">
        <v>13.6</v>
      </c>
      <c r="J1796" s="113">
        <v>50.63</v>
      </c>
      <c r="K1796" s="113">
        <v>-58.5</v>
      </c>
      <c r="L1796" s="183"/>
      <c r="M1796" s="16">
        <v>1793</v>
      </c>
      <c r="N1796" s="16">
        <f t="shared" si="196"/>
        <v>1.8506585030011565E-2</v>
      </c>
      <c r="O1796" s="16">
        <v>5</v>
      </c>
      <c r="P1796" s="16">
        <f t="shared" ref="P1796:P1859" si="199">VLOOKUP(O1796,$AJ$5:$AK$10,2,FALSE)</f>
        <v>8.1742160278745661</v>
      </c>
      <c r="Q1796" s="16">
        <f t="shared" si="197"/>
        <v>54.034820491102515</v>
      </c>
      <c r="R1796" s="113">
        <f t="shared" ref="R1796:R1859" si="200">VLOOKUP(O1796,$AJ$5:$AL$10,3,FALSE)</f>
        <v>319.54399999999998</v>
      </c>
      <c r="S1796" s="16">
        <f>IF(S1795=15800,15800,ROUND((((Q1796*60)/'Gearing Calculator'!$C$14)*'Track Data'!P1796),-2))</f>
        <v>13400</v>
      </c>
      <c r="T1796" s="16">
        <f t="shared" si="195"/>
        <v>3.9259213927261993</v>
      </c>
      <c r="U1796" s="16">
        <f>IF(AC1796=100,Braking!$AG$2354,IF(AC1796=50,Braking!$AG$1179,IF(AC1796=75,Braking!$AG$1767,0)))</f>
        <v>0</v>
      </c>
      <c r="V1796" s="16">
        <f>0.5*'Gearing Calculator'!$C$15*'Gearing Calculator'!$C$20*'Gearing Calculator'!$W$20*('Track Data'!Q1796^2)</f>
        <v>309.02759161152034</v>
      </c>
      <c r="W1796" s="16">
        <f>('Gearing Calculator'!$U$9*'Track Data'!T1796)+'Track Data'!V1796</f>
        <v>1354.1078663552346</v>
      </c>
      <c r="X1796" s="16">
        <f>('Gearing Calculator'!$U$9*9.81)*('Gearing Calculator'!$U$16/'Gearing Calculator'!$C$7)-(('Track Data'!W1796)*('Gearing Calculator'!$U$17/'Gearing Calculator'!$C$7))</f>
        <v>663.08103575513042</v>
      </c>
      <c r="Y1796" s="16">
        <f>('Gearing Calculator'!$U$9*9.81)*(('Gearing Calculator'!$C$7-'Gearing Calculator'!$U$16)/'Gearing Calculator'!$C$7)+(('Track Data'!W1796)*('Gearing Calculator'!$U$17/'Gearing Calculator'!$C$7))</f>
        <v>1948.3409642448696</v>
      </c>
      <c r="Z1796" s="16">
        <f>((X1796*COS('Gearing Calculator'!$C$21))/'Gearing Calculator'!$C$22)/2</f>
        <v>20.500368478906633</v>
      </c>
      <c r="AA1796" s="16">
        <f>Y1796/'Gearing Calculator'!$C$24</f>
        <v>27.205374686443935</v>
      </c>
      <c r="AB1796" s="16">
        <f t="shared" si="198"/>
        <v>328.65719857515131</v>
      </c>
      <c r="AC1796" s="16">
        <v>0</v>
      </c>
      <c r="AD1796" s="16">
        <v>-49.842163139380297</v>
      </c>
      <c r="AE1796" s="16">
        <v>1793</v>
      </c>
      <c r="AF1796" s="16">
        <f>IF(AC1796=0,IF(O1796=6,INDEX(Acceleration!$V$4:$V$110,MATCH('Track Data'!S1796,Acceleration!$K$4:$K$110,0)),IF('Track Data'!O1796=5,INDEX(Acceleration!$U$4:$U$110,MATCH('Track Data'!S1796,Acceleration!$K$4:$K$110,0)),1)),U1796)</f>
        <v>3.9259213927261993</v>
      </c>
      <c r="AG1796" s="16">
        <f>IF(AC1796=0,IF(O1796=4,INDEX(Acceleration!$T$4:$T$110,MATCH('Track Data'!S1796,Acceleration!$K$4:$K$110,0)),IF('Track Data'!O1796=3,INDEX(Acceleration!$S$4:$S$110,MATCH('Track Data'!S1796,Acceleration!$K$4:$K$110,0)),'Track Data'!AF1796)),'Track Data'!U1796)</f>
        <v>3.9259213927261993</v>
      </c>
      <c r="AH1796" s="16">
        <f>IF(AC1796=0,IF(O1796=2,INDEX(Acceleration!$R$4:$R$110,MATCH('Track Data'!S1796,Acceleration!$K$4:$K$110,0)),IF('Track Data'!O1796=1,INDEX(Acceleration!$Q$4:$Q$110,MATCH('Track Data'!S1796,Acceleration!$K$4:$K$110,0)),'Track Data'!AG1796)),'Track Data'!U1796)</f>
        <v>3.9259213927261993</v>
      </c>
    </row>
    <row r="1797" spans="2:34" x14ac:dyDescent="0.25">
      <c r="B1797" s="16">
        <v>244.55099999999999</v>
      </c>
      <c r="C1797" s="16">
        <v>9067</v>
      </c>
      <c r="D1797" s="16">
        <v>1794</v>
      </c>
      <c r="E1797" s="113">
        <v>200</v>
      </c>
      <c r="F1797" s="113">
        <v>190.8</v>
      </c>
      <c r="G1797" s="113">
        <v>176.9</v>
      </c>
      <c r="H1797" s="113">
        <f t="shared" ref="H1797:H1860" si="201">G1797/3.6</f>
        <v>49.138888888888886</v>
      </c>
      <c r="I1797" s="113">
        <v>14.3</v>
      </c>
      <c r="J1797" s="113">
        <v>50.59</v>
      </c>
      <c r="K1797" s="113">
        <v>-57.5</v>
      </c>
      <c r="L1797" s="183"/>
      <c r="M1797" s="16">
        <v>1794</v>
      </c>
      <c r="N1797" s="16">
        <f t="shared" si="196"/>
        <v>1.8506585030011565E-2</v>
      </c>
      <c r="O1797" s="16">
        <v>5</v>
      </c>
      <c r="P1797" s="16">
        <f t="shared" si="199"/>
        <v>8.1742160278745661</v>
      </c>
      <c r="Q1797" s="16">
        <f t="shared" si="197"/>
        <v>54.034820491102515</v>
      </c>
      <c r="R1797" s="113">
        <f t="shared" si="200"/>
        <v>319.54399999999998</v>
      </c>
      <c r="S1797" s="16">
        <f>IF(S1796=15800,15800,ROUND((((Q1797*60)/'Gearing Calculator'!$C$14)*'Track Data'!P1797),-2))</f>
        <v>13400</v>
      </c>
      <c r="T1797" s="16">
        <f t="shared" ref="T1797:T1860" si="202">AH1797</f>
        <v>3.9259213927261993</v>
      </c>
      <c r="U1797" s="16">
        <f>IF(AC1797=100,Braking!$AG$2354,IF(AC1797=50,Braking!$AG$1179,IF(AC1797=75,Braking!$AG$1767,0)))</f>
        <v>0</v>
      </c>
      <c r="V1797" s="16">
        <f>0.5*'Gearing Calculator'!$C$15*'Gearing Calculator'!$C$20*'Gearing Calculator'!$W$20*('Track Data'!Q1797^2)</f>
        <v>309.02759161152034</v>
      </c>
      <c r="W1797" s="16">
        <f>('Gearing Calculator'!$U$9*'Track Data'!T1797)+'Track Data'!V1797</f>
        <v>1354.1078663552346</v>
      </c>
      <c r="X1797" s="16">
        <f>('Gearing Calculator'!$U$9*9.81)*('Gearing Calculator'!$U$16/'Gearing Calculator'!$C$7)-(('Track Data'!W1797)*('Gearing Calculator'!$U$17/'Gearing Calculator'!$C$7))</f>
        <v>663.08103575513042</v>
      </c>
      <c r="Y1797" s="16">
        <f>('Gearing Calculator'!$U$9*9.81)*(('Gearing Calculator'!$C$7-'Gearing Calculator'!$U$16)/'Gearing Calculator'!$C$7)+(('Track Data'!W1797)*('Gearing Calculator'!$U$17/'Gearing Calculator'!$C$7))</f>
        <v>1948.3409642448696</v>
      </c>
      <c r="Z1797" s="16">
        <f>((X1797*COS('Gearing Calculator'!$C$21))/'Gearing Calculator'!$C$22)/2</f>
        <v>20.500368478906633</v>
      </c>
      <c r="AA1797" s="16">
        <f>Y1797/'Gearing Calculator'!$C$24</f>
        <v>27.205374686443935</v>
      </c>
      <c r="AB1797" s="16">
        <f t="shared" si="198"/>
        <v>328.65719857515131</v>
      </c>
      <c r="AC1797" s="16">
        <v>0</v>
      </c>
      <c r="AD1797" s="16">
        <v>-49.842163139380297</v>
      </c>
      <c r="AE1797" s="16">
        <v>1794</v>
      </c>
      <c r="AF1797" s="16">
        <f>IF(AC1797=0,IF(O1797=6,INDEX(Acceleration!$V$4:$V$110,MATCH('Track Data'!S1797,Acceleration!$K$4:$K$110,0)),IF('Track Data'!O1797=5,INDEX(Acceleration!$U$4:$U$110,MATCH('Track Data'!S1797,Acceleration!$K$4:$K$110,0)),1)),U1797)</f>
        <v>3.9259213927261993</v>
      </c>
      <c r="AG1797" s="16">
        <f>IF(AC1797=0,IF(O1797=4,INDEX(Acceleration!$T$4:$T$110,MATCH('Track Data'!S1797,Acceleration!$K$4:$K$110,0)),IF('Track Data'!O1797=3,INDEX(Acceleration!$S$4:$S$110,MATCH('Track Data'!S1797,Acceleration!$K$4:$K$110,0)),'Track Data'!AF1797)),'Track Data'!U1797)</f>
        <v>3.9259213927261993</v>
      </c>
      <c r="AH1797" s="16">
        <f>IF(AC1797=0,IF(O1797=2,INDEX(Acceleration!$R$4:$R$110,MATCH('Track Data'!S1797,Acceleration!$K$4:$K$110,0)),IF('Track Data'!O1797=1,INDEX(Acceleration!$Q$4:$Q$110,MATCH('Track Data'!S1797,Acceleration!$K$4:$K$110,0)),'Track Data'!AG1797)),'Track Data'!U1797)</f>
        <v>3.9259213927261993</v>
      </c>
    </row>
    <row r="1798" spans="2:34" x14ac:dyDescent="0.25">
      <c r="B1798" s="16">
        <v>244.57</v>
      </c>
      <c r="C1798" s="16">
        <v>9068</v>
      </c>
      <c r="D1798" s="16">
        <v>1795</v>
      </c>
      <c r="E1798" s="113">
        <v>200</v>
      </c>
      <c r="F1798" s="113">
        <v>190.8</v>
      </c>
      <c r="G1798" s="113">
        <v>176.7</v>
      </c>
      <c r="H1798" s="113">
        <f t="shared" si="201"/>
        <v>49.083333333333329</v>
      </c>
      <c r="I1798" s="113">
        <v>14.5</v>
      </c>
      <c r="J1798" s="113">
        <v>47.08</v>
      </c>
      <c r="K1798" s="113">
        <v>-57.2</v>
      </c>
      <c r="L1798" s="183"/>
      <c r="M1798" s="16">
        <v>1795</v>
      </c>
      <c r="N1798" s="16">
        <f t="shared" ref="N1798:N1861" si="203">1/Q1798</f>
        <v>1.8506585030011565E-2</v>
      </c>
      <c r="O1798" s="16">
        <v>5</v>
      </c>
      <c r="P1798" s="16">
        <f t="shared" si="199"/>
        <v>8.1742160278745661</v>
      </c>
      <c r="Q1798" s="16">
        <f t="shared" ref="Q1798:Q1861" si="204">IF(AD1797=0,SQRT(Q1797^2+(2*T1797)),Q1797)</f>
        <v>54.034820491102515</v>
      </c>
      <c r="R1798" s="113">
        <f t="shared" si="200"/>
        <v>319.54399999999998</v>
      </c>
      <c r="S1798" s="16">
        <f>IF(S1797=15800,15800,ROUND((((Q1798*60)/'Gearing Calculator'!$C$14)*'Track Data'!P1798),-2))</f>
        <v>13400</v>
      </c>
      <c r="T1798" s="16">
        <f t="shared" si="202"/>
        <v>3.9259213927261993</v>
      </c>
      <c r="U1798" s="16">
        <f>IF(AC1798=100,Braking!$AG$2354,IF(AC1798=50,Braking!$AG$1179,IF(AC1798=75,Braking!$AG$1767,0)))</f>
        <v>0</v>
      </c>
      <c r="V1798" s="16">
        <f>0.5*'Gearing Calculator'!$C$15*'Gearing Calculator'!$C$20*'Gearing Calculator'!$W$20*('Track Data'!Q1798^2)</f>
        <v>309.02759161152034</v>
      </c>
      <c r="W1798" s="16">
        <f>('Gearing Calculator'!$U$9*'Track Data'!T1798)+'Track Data'!V1798</f>
        <v>1354.1078663552346</v>
      </c>
      <c r="X1798" s="16">
        <f>('Gearing Calculator'!$U$9*9.81)*('Gearing Calculator'!$U$16/'Gearing Calculator'!$C$7)-(('Track Data'!W1798)*('Gearing Calculator'!$U$17/'Gearing Calculator'!$C$7))</f>
        <v>663.08103575513042</v>
      </c>
      <c r="Y1798" s="16">
        <f>('Gearing Calculator'!$U$9*9.81)*(('Gearing Calculator'!$C$7-'Gearing Calculator'!$U$16)/'Gearing Calculator'!$C$7)+(('Track Data'!W1798)*('Gearing Calculator'!$U$17/'Gearing Calculator'!$C$7))</f>
        <v>1948.3409642448696</v>
      </c>
      <c r="Z1798" s="16">
        <f>((X1798*COS('Gearing Calculator'!$C$21))/'Gearing Calculator'!$C$22)/2</f>
        <v>20.500368478906633</v>
      </c>
      <c r="AA1798" s="16">
        <f>Y1798/'Gearing Calculator'!$C$24</f>
        <v>27.205374686443935</v>
      </c>
      <c r="AB1798" s="16">
        <f t="shared" si="198"/>
        <v>328.65719857515131</v>
      </c>
      <c r="AC1798" s="16">
        <v>0</v>
      </c>
      <c r="AD1798" s="16">
        <v>-49.842163139380297</v>
      </c>
      <c r="AE1798" s="16">
        <v>1795</v>
      </c>
      <c r="AF1798" s="16">
        <f>IF(AC1798=0,IF(O1798=6,INDEX(Acceleration!$V$4:$V$110,MATCH('Track Data'!S1798,Acceleration!$K$4:$K$110,0)),IF('Track Data'!O1798=5,INDEX(Acceleration!$U$4:$U$110,MATCH('Track Data'!S1798,Acceleration!$K$4:$K$110,0)),1)),U1798)</f>
        <v>3.9259213927261993</v>
      </c>
      <c r="AG1798" s="16">
        <f>IF(AC1798=0,IF(O1798=4,INDEX(Acceleration!$T$4:$T$110,MATCH('Track Data'!S1798,Acceleration!$K$4:$K$110,0)),IF('Track Data'!O1798=3,INDEX(Acceleration!$S$4:$S$110,MATCH('Track Data'!S1798,Acceleration!$K$4:$K$110,0)),'Track Data'!AF1798)),'Track Data'!U1798)</f>
        <v>3.9259213927261993</v>
      </c>
      <c r="AH1798" s="16">
        <f>IF(AC1798=0,IF(O1798=2,INDEX(Acceleration!$R$4:$R$110,MATCH('Track Data'!S1798,Acceleration!$K$4:$K$110,0)),IF('Track Data'!O1798=1,INDEX(Acceleration!$Q$4:$Q$110,MATCH('Track Data'!S1798,Acceleration!$K$4:$K$110,0)),'Track Data'!AG1798)),'Track Data'!U1798)</f>
        <v>3.9259213927261993</v>
      </c>
    </row>
    <row r="1799" spans="2:34" x14ac:dyDescent="0.25">
      <c r="B1799" s="16">
        <v>244.589</v>
      </c>
      <c r="C1799" s="16">
        <v>9069</v>
      </c>
      <c r="D1799" s="16">
        <v>1796</v>
      </c>
      <c r="E1799" s="113">
        <v>200</v>
      </c>
      <c r="F1799" s="113">
        <v>190.8</v>
      </c>
      <c r="G1799" s="113">
        <v>176.6</v>
      </c>
      <c r="H1799" s="113">
        <f t="shared" si="201"/>
        <v>49.05555555555555</v>
      </c>
      <c r="I1799" s="113">
        <v>14.2</v>
      </c>
      <c r="J1799" s="113">
        <v>45.19</v>
      </c>
      <c r="K1799" s="113">
        <v>-57.2</v>
      </c>
      <c r="L1799" s="183"/>
      <c r="M1799" s="16">
        <v>1796</v>
      </c>
      <c r="N1799" s="16">
        <f t="shared" si="203"/>
        <v>1.8506585030011565E-2</v>
      </c>
      <c r="O1799" s="16">
        <v>5</v>
      </c>
      <c r="P1799" s="16">
        <f t="shared" si="199"/>
        <v>8.1742160278745661</v>
      </c>
      <c r="Q1799" s="16">
        <f t="shared" si="204"/>
        <v>54.034820491102515</v>
      </c>
      <c r="R1799" s="113">
        <f t="shared" si="200"/>
        <v>319.54399999999998</v>
      </c>
      <c r="S1799" s="16">
        <f>IF(S1798=15800,15800,ROUND((((Q1799*60)/'Gearing Calculator'!$C$14)*'Track Data'!P1799),-2))</f>
        <v>13400</v>
      </c>
      <c r="T1799" s="16">
        <f t="shared" si="202"/>
        <v>3.9259213927261993</v>
      </c>
      <c r="U1799" s="16">
        <f>IF(AC1799=100,Braking!$AG$2354,IF(AC1799=50,Braking!$AG$1179,IF(AC1799=75,Braking!$AG$1767,0)))</f>
        <v>0</v>
      </c>
      <c r="V1799" s="16">
        <f>0.5*'Gearing Calculator'!$C$15*'Gearing Calculator'!$C$20*'Gearing Calculator'!$W$20*('Track Data'!Q1799^2)</f>
        <v>309.02759161152034</v>
      </c>
      <c r="W1799" s="16">
        <f>('Gearing Calculator'!$U$9*'Track Data'!T1799)+'Track Data'!V1799</f>
        <v>1354.1078663552346</v>
      </c>
      <c r="X1799" s="16">
        <f>('Gearing Calculator'!$U$9*9.81)*('Gearing Calculator'!$U$16/'Gearing Calculator'!$C$7)-(('Track Data'!W1799)*('Gearing Calculator'!$U$17/'Gearing Calculator'!$C$7))</f>
        <v>663.08103575513042</v>
      </c>
      <c r="Y1799" s="16">
        <f>('Gearing Calculator'!$U$9*9.81)*(('Gearing Calculator'!$C$7-'Gearing Calculator'!$U$16)/'Gearing Calculator'!$C$7)+(('Track Data'!W1799)*('Gearing Calculator'!$U$17/'Gearing Calculator'!$C$7))</f>
        <v>1948.3409642448696</v>
      </c>
      <c r="Z1799" s="16">
        <f>((X1799*COS('Gearing Calculator'!$C$21))/'Gearing Calculator'!$C$22)/2</f>
        <v>20.500368478906633</v>
      </c>
      <c r="AA1799" s="16">
        <f>Y1799/'Gearing Calculator'!$C$24</f>
        <v>27.205374686443935</v>
      </c>
      <c r="AB1799" s="16">
        <f t="shared" si="198"/>
        <v>328.65719857515131</v>
      </c>
      <c r="AC1799" s="16">
        <v>0</v>
      </c>
      <c r="AD1799" s="16">
        <v>-49.842163139380297</v>
      </c>
      <c r="AE1799" s="16">
        <v>1796</v>
      </c>
      <c r="AF1799" s="16">
        <f>IF(AC1799=0,IF(O1799=6,INDEX(Acceleration!$V$4:$V$110,MATCH('Track Data'!S1799,Acceleration!$K$4:$K$110,0)),IF('Track Data'!O1799=5,INDEX(Acceleration!$U$4:$U$110,MATCH('Track Data'!S1799,Acceleration!$K$4:$K$110,0)),1)),U1799)</f>
        <v>3.9259213927261993</v>
      </c>
      <c r="AG1799" s="16">
        <f>IF(AC1799=0,IF(O1799=4,INDEX(Acceleration!$T$4:$T$110,MATCH('Track Data'!S1799,Acceleration!$K$4:$K$110,0)),IF('Track Data'!O1799=3,INDEX(Acceleration!$S$4:$S$110,MATCH('Track Data'!S1799,Acceleration!$K$4:$K$110,0)),'Track Data'!AF1799)),'Track Data'!U1799)</f>
        <v>3.9259213927261993</v>
      </c>
      <c r="AH1799" s="16">
        <f>IF(AC1799=0,IF(O1799=2,INDEX(Acceleration!$R$4:$R$110,MATCH('Track Data'!S1799,Acceleration!$K$4:$K$110,0)),IF('Track Data'!O1799=1,INDEX(Acceleration!$Q$4:$Q$110,MATCH('Track Data'!S1799,Acceleration!$K$4:$K$110,0)),'Track Data'!AG1799)),'Track Data'!U1799)</f>
        <v>3.9259213927261993</v>
      </c>
    </row>
    <row r="1800" spans="2:34" x14ac:dyDescent="0.25">
      <c r="B1800" s="16">
        <v>244.608</v>
      </c>
      <c r="C1800" s="16">
        <v>9070</v>
      </c>
      <c r="D1800" s="16">
        <v>1797</v>
      </c>
      <c r="E1800" s="113">
        <v>200</v>
      </c>
      <c r="F1800" s="113">
        <v>190.9</v>
      </c>
      <c r="G1800" s="113">
        <v>176.3</v>
      </c>
      <c r="H1800" s="113">
        <f t="shared" si="201"/>
        <v>48.972222222222221</v>
      </c>
      <c r="I1800" s="113">
        <v>13.1</v>
      </c>
      <c r="J1800" s="113">
        <v>43.01</v>
      </c>
      <c r="K1800" s="113">
        <v>-57.2</v>
      </c>
      <c r="L1800" s="183"/>
      <c r="M1800" s="16">
        <v>1797</v>
      </c>
      <c r="N1800" s="16">
        <f t="shared" si="203"/>
        <v>1.8506585030011565E-2</v>
      </c>
      <c r="O1800" s="16">
        <v>5</v>
      </c>
      <c r="P1800" s="16">
        <f t="shared" si="199"/>
        <v>8.1742160278745661</v>
      </c>
      <c r="Q1800" s="16">
        <f t="shared" si="204"/>
        <v>54.034820491102515</v>
      </c>
      <c r="R1800" s="113">
        <f t="shared" si="200"/>
        <v>319.54399999999998</v>
      </c>
      <c r="S1800" s="16">
        <f>IF(S1799=15800,15800,ROUND((((Q1800*60)/'Gearing Calculator'!$C$14)*'Track Data'!P1800),-2))</f>
        <v>13400</v>
      </c>
      <c r="T1800" s="16">
        <f t="shared" si="202"/>
        <v>3.9259213927261993</v>
      </c>
      <c r="U1800" s="16">
        <f>IF(AC1800=100,Braking!$AG$2354,IF(AC1800=50,Braking!$AG$1179,IF(AC1800=75,Braking!$AG$1767,0)))</f>
        <v>0</v>
      </c>
      <c r="V1800" s="16">
        <f>0.5*'Gearing Calculator'!$C$15*'Gearing Calculator'!$C$20*'Gearing Calculator'!$W$20*('Track Data'!Q1800^2)</f>
        <v>309.02759161152034</v>
      </c>
      <c r="W1800" s="16">
        <f>('Gearing Calculator'!$U$9*'Track Data'!T1800)+'Track Data'!V1800</f>
        <v>1354.1078663552346</v>
      </c>
      <c r="X1800" s="16">
        <f>('Gearing Calculator'!$U$9*9.81)*('Gearing Calculator'!$U$16/'Gearing Calculator'!$C$7)-(('Track Data'!W1800)*('Gearing Calculator'!$U$17/'Gearing Calculator'!$C$7))</f>
        <v>663.08103575513042</v>
      </c>
      <c r="Y1800" s="16">
        <f>('Gearing Calculator'!$U$9*9.81)*(('Gearing Calculator'!$C$7-'Gearing Calculator'!$U$16)/'Gearing Calculator'!$C$7)+(('Track Data'!W1800)*('Gearing Calculator'!$U$17/'Gearing Calculator'!$C$7))</f>
        <v>1948.3409642448696</v>
      </c>
      <c r="Z1800" s="16">
        <f>((X1800*COS('Gearing Calculator'!$C$21))/'Gearing Calculator'!$C$22)/2</f>
        <v>20.500368478906633</v>
      </c>
      <c r="AA1800" s="16">
        <f>Y1800/'Gearing Calculator'!$C$24</f>
        <v>27.205374686443935</v>
      </c>
      <c r="AB1800" s="16">
        <f t="shared" si="198"/>
        <v>328.65719857515131</v>
      </c>
      <c r="AC1800" s="16">
        <v>0</v>
      </c>
      <c r="AD1800" s="16">
        <v>-49.842163139380297</v>
      </c>
      <c r="AE1800" s="16">
        <v>1797</v>
      </c>
      <c r="AF1800" s="16">
        <f>IF(AC1800=0,IF(O1800=6,INDEX(Acceleration!$V$4:$V$110,MATCH('Track Data'!S1800,Acceleration!$K$4:$K$110,0)),IF('Track Data'!O1800=5,INDEX(Acceleration!$U$4:$U$110,MATCH('Track Data'!S1800,Acceleration!$K$4:$K$110,0)),1)),U1800)</f>
        <v>3.9259213927261993</v>
      </c>
      <c r="AG1800" s="16">
        <f>IF(AC1800=0,IF(O1800=4,INDEX(Acceleration!$T$4:$T$110,MATCH('Track Data'!S1800,Acceleration!$K$4:$K$110,0)),IF('Track Data'!O1800=3,INDEX(Acceleration!$S$4:$S$110,MATCH('Track Data'!S1800,Acceleration!$K$4:$K$110,0)),'Track Data'!AF1800)),'Track Data'!U1800)</f>
        <v>3.9259213927261993</v>
      </c>
      <c r="AH1800" s="16">
        <f>IF(AC1800=0,IF(O1800=2,INDEX(Acceleration!$R$4:$R$110,MATCH('Track Data'!S1800,Acceleration!$K$4:$K$110,0)),IF('Track Data'!O1800=1,INDEX(Acceleration!$Q$4:$Q$110,MATCH('Track Data'!S1800,Acceleration!$K$4:$K$110,0)),'Track Data'!AG1800)),'Track Data'!U1800)</f>
        <v>3.9259213927261993</v>
      </c>
    </row>
    <row r="1801" spans="2:34" x14ac:dyDescent="0.25">
      <c r="B1801" s="16">
        <v>244.62700000000001</v>
      </c>
      <c r="C1801" s="16">
        <v>9071</v>
      </c>
      <c r="D1801" s="16">
        <v>1798</v>
      </c>
      <c r="E1801" s="113">
        <v>201</v>
      </c>
      <c r="F1801" s="113">
        <v>191.1</v>
      </c>
      <c r="G1801" s="113">
        <v>176.1</v>
      </c>
      <c r="H1801" s="113">
        <f t="shared" si="201"/>
        <v>48.916666666666664</v>
      </c>
      <c r="I1801" s="113">
        <v>11.1</v>
      </c>
      <c r="J1801" s="113">
        <v>47.97</v>
      </c>
      <c r="K1801" s="113">
        <v>-57.2</v>
      </c>
      <c r="L1801" s="183"/>
      <c r="M1801" s="16">
        <v>1798</v>
      </c>
      <c r="N1801" s="16">
        <f t="shared" si="203"/>
        <v>1.8506585030011565E-2</v>
      </c>
      <c r="O1801" s="16">
        <v>5</v>
      </c>
      <c r="P1801" s="16">
        <f t="shared" si="199"/>
        <v>8.1742160278745661</v>
      </c>
      <c r="Q1801" s="16">
        <f t="shared" si="204"/>
        <v>54.034820491102515</v>
      </c>
      <c r="R1801" s="113">
        <f t="shared" si="200"/>
        <v>319.54399999999998</v>
      </c>
      <c r="S1801" s="16">
        <f>IF(S1800=15800,15800,ROUND((((Q1801*60)/'Gearing Calculator'!$C$14)*'Track Data'!P1801),-2))</f>
        <v>13400</v>
      </c>
      <c r="T1801" s="16">
        <f t="shared" si="202"/>
        <v>3.9259213927261993</v>
      </c>
      <c r="U1801" s="16">
        <f>IF(AC1801=100,Braking!$AG$2354,IF(AC1801=50,Braking!$AG$1179,IF(AC1801=75,Braking!$AG$1767,0)))</f>
        <v>0</v>
      </c>
      <c r="V1801" s="16">
        <f>0.5*'Gearing Calculator'!$C$15*'Gearing Calculator'!$C$20*'Gearing Calculator'!$W$20*('Track Data'!Q1801^2)</f>
        <v>309.02759161152034</v>
      </c>
      <c r="W1801" s="16">
        <f>('Gearing Calculator'!$U$9*'Track Data'!T1801)+'Track Data'!V1801</f>
        <v>1354.1078663552346</v>
      </c>
      <c r="X1801" s="16">
        <f>('Gearing Calculator'!$U$9*9.81)*('Gearing Calculator'!$U$16/'Gearing Calculator'!$C$7)-(('Track Data'!W1801)*('Gearing Calculator'!$U$17/'Gearing Calculator'!$C$7))</f>
        <v>663.08103575513042</v>
      </c>
      <c r="Y1801" s="16">
        <f>('Gearing Calculator'!$U$9*9.81)*(('Gearing Calculator'!$C$7-'Gearing Calculator'!$U$16)/'Gearing Calculator'!$C$7)+(('Track Data'!W1801)*('Gearing Calculator'!$U$17/'Gearing Calculator'!$C$7))</f>
        <v>1948.3409642448696</v>
      </c>
      <c r="Z1801" s="16">
        <f>((X1801*COS('Gearing Calculator'!$C$21))/'Gearing Calculator'!$C$22)/2</f>
        <v>20.500368478906633</v>
      </c>
      <c r="AA1801" s="16">
        <f>Y1801/'Gearing Calculator'!$C$24</f>
        <v>27.205374686443935</v>
      </c>
      <c r="AB1801" s="16">
        <f t="shared" si="198"/>
        <v>328.65719857515131</v>
      </c>
      <c r="AC1801" s="16">
        <v>0</v>
      </c>
      <c r="AD1801" s="16">
        <v>-49.842163139380297</v>
      </c>
      <c r="AE1801" s="16">
        <v>1798</v>
      </c>
      <c r="AF1801" s="16">
        <f>IF(AC1801=0,IF(O1801=6,INDEX(Acceleration!$V$4:$V$110,MATCH('Track Data'!S1801,Acceleration!$K$4:$K$110,0)),IF('Track Data'!O1801=5,INDEX(Acceleration!$U$4:$U$110,MATCH('Track Data'!S1801,Acceleration!$K$4:$K$110,0)),1)),U1801)</f>
        <v>3.9259213927261993</v>
      </c>
      <c r="AG1801" s="16">
        <f>IF(AC1801=0,IF(O1801=4,INDEX(Acceleration!$T$4:$T$110,MATCH('Track Data'!S1801,Acceleration!$K$4:$K$110,0)),IF('Track Data'!O1801=3,INDEX(Acceleration!$S$4:$S$110,MATCH('Track Data'!S1801,Acceleration!$K$4:$K$110,0)),'Track Data'!AF1801)),'Track Data'!U1801)</f>
        <v>3.9259213927261993</v>
      </c>
      <c r="AH1801" s="16">
        <f>IF(AC1801=0,IF(O1801=2,INDEX(Acceleration!$R$4:$R$110,MATCH('Track Data'!S1801,Acceleration!$K$4:$K$110,0)),IF('Track Data'!O1801=1,INDEX(Acceleration!$Q$4:$Q$110,MATCH('Track Data'!S1801,Acceleration!$K$4:$K$110,0)),'Track Data'!AG1801)),'Track Data'!U1801)</f>
        <v>3.9259213927261993</v>
      </c>
    </row>
    <row r="1802" spans="2:34" x14ac:dyDescent="0.25">
      <c r="B1802" s="16">
        <v>244.64599999999999</v>
      </c>
      <c r="C1802" s="16">
        <v>9072</v>
      </c>
      <c r="D1802" s="16">
        <v>1799</v>
      </c>
      <c r="E1802" s="113">
        <v>201</v>
      </c>
      <c r="F1802" s="113">
        <v>191.1</v>
      </c>
      <c r="G1802" s="113">
        <v>175.9</v>
      </c>
      <c r="H1802" s="113">
        <f t="shared" si="201"/>
        <v>48.861111111111114</v>
      </c>
      <c r="I1802" s="113">
        <v>10.8</v>
      </c>
      <c r="J1802" s="113">
        <v>45.54</v>
      </c>
      <c r="K1802" s="113">
        <v>-57.1</v>
      </c>
      <c r="L1802" s="183"/>
      <c r="M1802" s="16">
        <v>1799</v>
      </c>
      <c r="N1802" s="16">
        <f t="shared" si="203"/>
        <v>1.8506585030011565E-2</v>
      </c>
      <c r="O1802" s="16">
        <v>5</v>
      </c>
      <c r="P1802" s="16">
        <f t="shared" si="199"/>
        <v>8.1742160278745661</v>
      </c>
      <c r="Q1802" s="16">
        <f t="shared" si="204"/>
        <v>54.034820491102515</v>
      </c>
      <c r="R1802" s="113">
        <f t="shared" si="200"/>
        <v>319.54399999999998</v>
      </c>
      <c r="S1802" s="16">
        <f>IF(S1801=15800,15800,ROUND((((Q1802*60)/'Gearing Calculator'!$C$14)*'Track Data'!P1802),-2))</f>
        <v>13400</v>
      </c>
      <c r="T1802" s="16">
        <f t="shared" si="202"/>
        <v>3.9259213927261993</v>
      </c>
      <c r="U1802" s="16">
        <f>IF(AC1802=100,Braking!$AG$2354,IF(AC1802=50,Braking!$AG$1179,IF(AC1802=75,Braking!$AG$1767,0)))</f>
        <v>0</v>
      </c>
      <c r="V1802" s="16">
        <f>0.5*'Gearing Calculator'!$C$15*'Gearing Calculator'!$C$20*'Gearing Calculator'!$W$20*('Track Data'!Q1802^2)</f>
        <v>309.02759161152034</v>
      </c>
      <c r="W1802" s="16">
        <f>('Gearing Calculator'!$U$9*'Track Data'!T1802)+'Track Data'!V1802</f>
        <v>1354.1078663552346</v>
      </c>
      <c r="X1802" s="16">
        <f>('Gearing Calculator'!$U$9*9.81)*('Gearing Calculator'!$U$16/'Gearing Calculator'!$C$7)-(('Track Data'!W1802)*('Gearing Calculator'!$U$17/'Gearing Calculator'!$C$7))</f>
        <v>663.08103575513042</v>
      </c>
      <c r="Y1802" s="16">
        <f>('Gearing Calculator'!$U$9*9.81)*(('Gearing Calculator'!$C$7-'Gearing Calculator'!$U$16)/'Gearing Calculator'!$C$7)+(('Track Data'!W1802)*('Gearing Calculator'!$U$17/'Gearing Calculator'!$C$7))</f>
        <v>1948.3409642448696</v>
      </c>
      <c r="Z1802" s="16">
        <f>((X1802*COS('Gearing Calculator'!$C$21))/'Gearing Calculator'!$C$22)/2</f>
        <v>20.500368478906633</v>
      </c>
      <c r="AA1802" s="16">
        <f>Y1802/'Gearing Calculator'!$C$24</f>
        <v>27.205374686443935</v>
      </c>
      <c r="AB1802" s="16">
        <f t="shared" si="198"/>
        <v>328.65719857515131</v>
      </c>
      <c r="AC1802" s="16">
        <v>0</v>
      </c>
      <c r="AD1802" s="16">
        <v>-49.842163139380297</v>
      </c>
      <c r="AE1802" s="16">
        <v>1799</v>
      </c>
      <c r="AF1802" s="16">
        <f>IF(AC1802=0,IF(O1802=6,INDEX(Acceleration!$V$4:$V$110,MATCH('Track Data'!S1802,Acceleration!$K$4:$K$110,0)),IF('Track Data'!O1802=5,INDEX(Acceleration!$U$4:$U$110,MATCH('Track Data'!S1802,Acceleration!$K$4:$K$110,0)),1)),U1802)</f>
        <v>3.9259213927261993</v>
      </c>
      <c r="AG1802" s="16">
        <f>IF(AC1802=0,IF(O1802=4,INDEX(Acceleration!$T$4:$T$110,MATCH('Track Data'!S1802,Acceleration!$K$4:$K$110,0)),IF('Track Data'!O1802=3,INDEX(Acceleration!$S$4:$S$110,MATCH('Track Data'!S1802,Acceleration!$K$4:$K$110,0)),'Track Data'!AF1802)),'Track Data'!U1802)</f>
        <v>3.9259213927261993</v>
      </c>
      <c r="AH1802" s="16">
        <f>IF(AC1802=0,IF(O1802=2,INDEX(Acceleration!$R$4:$R$110,MATCH('Track Data'!S1802,Acceleration!$K$4:$K$110,0)),IF('Track Data'!O1802=1,INDEX(Acceleration!$Q$4:$Q$110,MATCH('Track Data'!S1802,Acceleration!$K$4:$K$110,0)),'Track Data'!AG1802)),'Track Data'!U1802)</f>
        <v>3.9259213927261993</v>
      </c>
    </row>
    <row r="1803" spans="2:34" x14ac:dyDescent="0.25">
      <c r="B1803" s="16">
        <v>244.66399999999999</v>
      </c>
      <c r="C1803" s="16">
        <v>9073</v>
      </c>
      <c r="D1803" s="16">
        <v>1800</v>
      </c>
      <c r="E1803" s="113">
        <v>200</v>
      </c>
      <c r="F1803" s="113">
        <v>190.9</v>
      </c>
      <c r="G1803" s="113">
        <v>175.8</v>
      </c>
      <c r="H1803" s="113">
        <f t="shared" si="201"/>
        <v>48.833333333333336</v>
      </c>
      <c r="I1803" s="113">
        <v>11.3</v>
      </c>
      <c r="J1803" s="113">
        <v>45.35</v>
      </c>
      <c r="K1803" s="113">
        <v>-56.7</v>
      </c>
      <c r="L1803" s="183"/>
      <c r="M1803" s="16">
        <v>1800</v>
      </c>
      <c r="N1803" s="16">
        <f t="shared" si="203"/>
        <v>1.8506585030011565E-2</v>
      </c>
      <c r="O1803" s="16">
        <v>5</v>
      </c>
      <c r="P1803" s="16">
        <f t="shared" si="199"/>
        <v>8.1742160278745661</v>
      </c>
      <c r="Q1803" s="16">
        <f t="shared" si="204"/>
        <v>54.034820491102515</v>
      </c>
      <c r="R1803" s="113">
        <f t="shared" si="200"/>
        <v>319.54399999999998</v>
      </c>
      <c r="S1803" s="16">
        <f>IF(S1802=15800,15800,ROUND((((Q1803*60)/'Gearing Calculator'!$C$14)*'Track Data'!P1803),-2))</f>
        <v>13400</v>
      </c>
      <c r="T1803" s="16">
        <f t="shared" si="202"/>
        <v>3.9259213927261993</v>
      </c>
      <c r="U1803" s="16">
        <f>IF(AC1803=100,Braking!$AG$2354,IF(AC1803=50,Braking!$AG$1179,IF(AC1803=75,Braking!$AG$1767,0)))</f>
        <v>0</v>
      </c>
      <c r="V1803" s="16">
        <f>0.5*'Gearing Calculator'!$C$15*'Gearing Calculator'!$C$20*'Gearing Calculator'!$W$20*('Track Data'!Q1803^2)</f>
        <v>309.02759161152034</v>
      </c>
      <c r="W1803" s="16">
        <f>('Gearing Calculator'!$U$9*'Track Data'!T1803)+'Track Data'!V1803</f>
        <v>1354.1078663552346</v>
      </c>
      <c r="X1803" s="16">
        <f>('Gearing Calculator'!$U$9*9.81)*('Gearing Calculator'!$U$16/'Gearing Calculator'!$C$7)-(('Track Data'!W1803)*('Gearing Calculator'!$U$17/'Gearing Calculator'!$C$7))</f>
        <v>663.08103575513042</v>
      </c>
      <c r="Y1803" s="16">
        <f>('Gearing Calculator'!$U$9*9.81)*(('Gearing Calculator'!$C$7-'Gearing Calculator'!$U$16)/'Gearing Calculator'!$C$7)+(('Track Data'!W1803)*('Gearing Calculator'!$U$17/'Gearing Calculator'!$C$7))</f>
        <v>1948.3409642448696</v>
      </c>
      <c r="Z1803" s="16">
        <f>((X1803*COS('Gearing Calculator'!$C$21))/'Gearing Calculator'!$C$22)/2</f>
        <v>20.500368478906633</v>
      </c>
      <c r="AA1803" s="16">
        <f>Y1803/'Gearing Calculator'!$C$24</f>
        <v>27.205374686443935</v>
      </c>
      <c r="AB1803" s="16">
        <f t="shared" si="198"/>
        <v>328.65719857515131</v>
      </c>
      <c r="AC1803" s="16">
        <v>0</v>
      </c>
      <c r="AD1803" s="16">
        <v>-49.842163139380297</v>
      </c>
      <c r="AE1803" s="16">
        <v>1800</v>
      </c>
      <c r="AF1803" s="16">
        <f>IF(AC1803=0,IF(O1803=6,INDEX(Acceleration!$V$4:$V$110,MATCH('Track Data'!S1803,Acceleration!$K$4:$K$110,0)),IF('Track Data'!O1803=5,INDEX(Acceleration!$U$4:$U$110,MATCH('Track Data'!S1803,Acceleration!$K$4:$K$110,0)),1)),U1803)</f>
        <v>3.9259213927261993</v>
      </c>
      <c r="AG1803" s="16">
        <f>IF(AC1803=0,IF(O1803=4,INDEX(Acceleration!$T$4:$T$110,MATCH('Track Data'!S1803,Acceleration!$K$4:$K$110,0)),IF('Track Data'!O1803=3,INDEX(Acceleration!$S$4:$S$110,MATCH('Track Data'!S1803,Acceleration!$K$4:$K$110,0)),'Track Data'!AF1803)),'Track Data'!U1803)</f>
        <v>3.9259213927261993</v>
      </c>
      <c r="AH1803" s="16">
        <f>IF(AC1803=0,IF(O1803=2,INDEX(Acceleration!$R$4:$R$110,MATCH('Track Data'!S1803,Acceleration!$K$4:$K$110,0)),IF('Track Data'!O1803=1,INDEX(Acceleration!$Q$4:$Q$110,MATCH('Track Data'!S1803,Acceleration!$K$4:$K$110,0)),'Track Data'!AG1803)),'Track Data'!U1803)</f>
        <v>3.9259213927261993</v>
      </c>
    </row>
    <row r="1804" spans="2:34" x14ac:dyDescent="0.25">
      <c r="B1804" s="16">
        <v>244.68299999999999</v>
      </c>
      <c r="C1804" s="16">
        <v>9074</v>
      </c>
      <c r="D1804" s="16">
        <v>1801</v>
      </c>
      <c r="E1804" s="113">
        <v>199</v>
      </c>
      <c r="F1804" s="113">
        <v>190.7</v>
      </c>
      <c r="G1804" s="113">
        <v>175.6</v>
      </c>
      <c r="H1804" s="113">
        <f t="shared" si="201"/>
        <v>48.777777777777771</v>
      </c>
      <c r="I1804" s="113">
        <v>11.9</v>
      </c>
      <c r="J1804" s="113">
        <v>50.94</v>
      </c>
      <c r="K1804" s="113">
        <v>-56.4</v>
      </c>
      <c r="L1804" s="183"/>
      <c r="M1804" s="16">
        <v>1801</v>
      </c>
      <c r="N1804" s="16">
        <f t="shared" si="203"/>
        <v>1.8506585030011565E-2</v>
      </c>
      <c r="O1804" s="16">
        <v>5</v>
      </c>
      <c r="P1804" s="16">
        <f t="shared" si="199"/>
        <v>8.1742160278745661</v>
      </c>
      <c r="Q1804" s="16">
        <f t="shared" si="204"/>
        <v>54.034820491102515</v>
      </c>
      <c r="R1804" s="113">
        <f t="shared" si="200"/>
        <v>319.54399999999998</v>
      </c>
      <c r="S1804" s="16">
        <f>IF(S1803=15800,15800,ROUND((((Q1804*60)/'Gearing Calculator'!$C$14)*'Track Data'!P1804),-2))</f>
        <v>13400</v>
      </c>
      <c r="T1804" s="16">
        <f t="shared" si="202"/>
        <v>3.9259213927261993</v>
      </c>
      <c r="U1804" s="16">
        <f>IF(AC1804=100,Braking!$AG$2354,IF(AC1804=50,Braking!$AG$1179,IF(AC1804=75,Braking!$AG$1767,0)))</f>
        <v>0</v>
      </c>
      <c r="V1804" s="16">
        <f>0.5*'Gearing Calculator'!$C$15*'Gearing Calculator'!$C$20*'Gearing Calculator'!$W$20*('Track Data'!Q1804^2)</f>
        <v>309.02759161152034</v>
      </c>
      <c r="W1804" s="16">
        <f>('Gearing Calculator'!$U$9*'Track Data'!T1804)+'Track Data'!V1804</f>
        <v>1354.1078663552346</v>
      </c>
      <c r="X1804" s="16">
        <f>('Gearing Calculator'!$U$9*9.81)*('Gearing Calculator'!$U$16/'Gearing Calculator'!$C$7)-(('Track Data'!W1804)*('Gearing Calculator'!$U$17/'Gearing Calculator'!$C$7))</f>
        <v>663.08103575513042</v>
      </c>
      <c r="Y1804" s="16">
        <f>('Gearing Calculator'!$U$9*9.81)*(('Gearing Calculator'!$C$7-'Gearing Calculator'!$U$16)/'Gearing Calculator'!$C$7)+(('Track Data'!W1804)*('Gearing Calculator'!$U$17/'Gearing Calculator'!$C$7))</f>
        <v>1948.3409642448696</v>
      </c>
      <c r="Z1804" s="16">
        <f>((X1804*COS('Gearing Calculator'!$C$21))/'Gearing Calculator'!$C$22)/2</f>
        <v>20.500368478906633</v>
      </c>
      <c r="AA1804" s="16">
        <f>Y1804/'Gearing Calculator'!$C$24</f>
        <v>27.205374686443935</v>
      </c>
      <c r="AB1804" s="16">
        <f t="shared" si="198"/>
        <v>328.65719857515131</v>
      </c>
      <c r="AC1804" s="16">
        <v>0</v>
      </c>
      <c r="AD1804" s="16">
        <v>-49.842163139380297</v>
      </c>
      <c r="AE1804" s="16">
        <v>1801</v>
      </c>
      <c r="AF1804" s="16">
        <f>IF(AC1804=0,IF(O1804=6,INDEX(Acceleration!$V$4:$V$110,MATCH('Track Data'!S1804,Acceleration!$K$4:$K$110,0)),IF('Track Data'!O1804=5,INDEX(Acceleration!$U$4:$U$110,MATCH('Track Data'!S1804,Acceleration!$K$4:$K$110,0)),1)),U1804)</f>
        <v>3.9259213927261993</v>
      </c>
      <c r="AG1804" s="16">
        <f>IF(AC1804=0,IF(O1804=4,INDEX(Acceleration!$T$4:$T$110,MATCH('Track Data'!S1804,Acceleration!$K$4:$K$110,0)),IF('Track Data'!O1804=3,INDEX(Acceleration!$S$4:$S$110,MATCH('Track Data'!S1804,Acceleration!$K$4:$K$110,0)),'Track Data'!AF1804)),'Track Data'!U1804)</f>
        <v>3.9259213927261993</v>
      </c>
      <c r="AH1804" s="16">
        <f>IF(AC1804=0,IF(O1804=2,INDEX(Acceleration!$R$4:$R$110,MATCH('Track Data'!S1804,Acceleration!$K$4:$K$110,0)),IF('Track Data'!O1804=1,INDEX(Acceleration!$Q$4:$Q$110,MATCH('Track Data'!S1804,Acceleration!$K$4:$K$110,0)),'Track Data'!AG1804)),'Track Data'!U1804)</f>
        <v>3.9259213927261993</v>
      </c>
    </row>
    <row r="1805" spans="2:34" x14ac:dyDescent="0.25">
      <c r="B1805" s="16">
        <v>244.702</v>
      </c>
      <c r="C1805" s="16">
        <v>9075</v>
      </c>
      <c r="D1805" s="16">
        <v>1802</v>
      </c>
      <c r="E1805" s="113">
        <v>200</v>
      </c>
      <c r="F1805" s="113">
        <v>190.7</v>
      </c>
      <c r="G1805" s="113">
        <v>175.4</v>
      </c>
      <c r="H1805" s="113">
        <f t="shared" si="201"/>
        <v>48.722222222222221</v>
      </c>
      <c r="I1805" s="113">
        <v>11.9</v>
      </c>
      <c r="J1805" s="113">
        <v>50.3</v>
      </c>
      <c r="K1805" s="113">
        <v>-56</v>
      </c>
      <c r="L1805" s="183"/>
      <c r="M1805" s="16">
        <v>1802</v>
      </c>
      <c r="N1805" s="16">
        <f t="shared" si="203"/>
        <v>1.8506585030011565E-2</v>
      </c>
      <c r="O1805" s="16">
        <v>5</v>
      </c>
      <c r="P1805" s="16">
        <f t="shared" si="199"/>
        <v>8.1742160278745661</v>
      </c>
      <c r="Q1805" s="16">
        <f t="shared" si="204"/>
        <v>54.034820491102515</v>
      </c>
      <c r="R1805" s="113">
        <f t="shared" si="200"/>
        <v>319.54399999999998</v>
      </c>
      <c r="S1805" s="16">
        <f>IF(S1804=15800,15800,ROUND((((Q1805*60)/'Gearing Calculator'!$C$14)*'Track Data'!P1805),-2))</f>
        <v>13400</v>
      </c>
      <c r="T1805" s="16">
        <f t="shared" si="202"/>
        <v>3.9259213927261993</v>
      </c>
      <c r="U1805" s="16">
        <f>IF(AC1805=100,Braking!$AG$2354,IF(AC1805=50,Braking!$AG$1179,IF(AC1805=75,Braking!$AG$1767,0)))</f>
        <v>0</v>
      </c>
      <c r="V1805" s="16">
        <f>0.5*'Gearing Calculator'!$C$15*'Gearing Calculator'!$C$20*'Gearing Calculator'!$W$20*('Track Data'!Q1805^2)</f>
        <v>309.02759161152034</v>
      </c>
      <c r="W1805" s="16">
        <f>('Gearing Calculator'!$U$9*'Track Data'!T1805)+'Track Data'!V1805</f>
        <v>1354.1078663552346</v>
      </c>
      <c r="X1805" s="16">
        <f>('Gearing Calculator'!$U$9*9.81)*('Gearing Calculator'!$U$16/'Gearing Calculator'!$C$7)-(('Track Data'!W1805)*('Gearing Calculator'!$U$17/'Gearing Calculator'!$C$7))</f>
        <v>663.08103575513042</v>
      </c>
      <c r="Y1805" s="16">
        <f>('Gearing Calculator'!$U$9*9.81)*(('Gearing Calculator'!$C$7-'Gearing Calculator'!$U$16)/'Gearing Calculator'!$C$7)+(('Track Data'!W1805)*('Gearing Calculator'!$U$17/'Gearing Calculator'!$C$7))</f>
        <v>1948.3409642448696</v>
      </c>
      <c r="Z1805" s="16">
        <f>((X1805*COS('Gearing Calculator'!$C$21))/'Gearing Calculator'!$C$22)/2</f>
        <v>20.500368478906633</v>
      </c>
      <c r="AA1805" s="16">
        <f>Y1805/'Gearing Calculator'!$C$24</f>
        <v>27.205374686443935</v>
      </c>
      <c r="AB1805" s="16">
        <f t="shared" si="198"/>
        <v>328.65719857515131</v>
      </c>
      <c r="AC1805" s="16">
        <v>0</v>
      </c>
      <c r="AD1805" s="16">
        <v>-49.842163139380297</v>
      </c>
      <c r="AE1805" s="16">
        <v>1802</v>
      </c>
      <c r="AF1805" s="16">
        <f>IF(AC1805=0,IF(O1805=6,INDEX(Acceleration!$V$4:$V$110,MATCH('Track Data'!S1805,Acceleration!$K$4:$K$110,0)),IF('Track Data'!O1805=5,INDEX(Acceleration!$U$4:$U$110,MATCH('Track Data'!S1805,Acceleration!$K$4:$K$110,0)),1)),U1805)</f>
        <v>3.9259213927261993</v>
      </c>
      <c r="AG1805" s="16">
        <f>IF(AC1805=0,IF(O1805=4,INDEX(Acceleration!$T$4:$T$110,MATCH('Track Data'!S1805,Acceleration!$K$4:$K$110,0)),IF('Track Data'!O1805=3,INDEX(Acceleration!$S$4:$S$110,MATCH('Track Data'!S1805,Acceleration!$K$4:$K$110,0)),'Track Data'!AF1805)),'Track Data'!U1805)</f>
        <v>3.9259213927261993</v>
      </c>
      <c r="AH1805" s="16">
        <f>IF(AC1805=0,IF(O1805=2,INDEX(Acceleration!$R$4:$R$110,MATCH('Track Data'!S1805,Acceleration!$K$4:$K$110,0)),IF('Track Data'!O1805=1,INDEX(Acceleration!$Q$4:$Q$110,MATCH('Track Data'!S1805,Acceleration!$K$4:$K$110,0)),'Track Data'!AG1805)),'Track Data'!U1805)</f>
        <v>3.9259213927261993</v>
      </c>
    </row>
    <row r="1806" spans="2:34" x14ac:dyDescent="0.25">
      <c r="B1806" s="16">
        <v>244.721</v>
      </c>
      <c r="C1806" s="16">
        <v>9076</v>
      </c>
      <c r="D1806" s="16">
        <v>1803</v>
      </c>
      <c r="E1806" s="113">
        <v>200</v>
      </c>
      <c r="F1806" s="113">
        <v>190.8</v>
      </c>
      <c r="G1806" s="113">
        <v>175.3</v>
      </c>
      <c r="H1806" s="113">
        <f t="shared" si="201"/>
        <v>48.694444444444443</v>
      </c>
      <c r="I1806" s="113">
        <v>11.9</v>
      </c>
      <c r="J1806" s="113">
        <v>48.32</v>
      </c>
      <c r="K1806" s="113">
        <v>-55.6</v>
      </c>
      <c r="L1806" s="183"/>
      <c r="M1806" s="16">
        <v>1803</v>
      </c>
      <c r="N1806" s="16">
        <f t="shared" si="203"/>
        <v>1.8506585030011565E-2</v>
      </c>
      <c r="O1806" s="16">
        <v>5</v>
      </c>
      <c r="P1806" s="16">
        <f t="shared" si="199"/>
        <v>8.1742160278745661</v>
      </c>
      <c r="Q1806" s="16">
        <f t="shared" si="204"/>
        <v>54.034820491102515</v>
      </c>
      <c r="R1806" s="113">
        <f t="shared" si="200"/>
        <v>319.54399999999998</v>
      </c>
      <c r="S1806" s="16">
        <f>IF(S1805=15800,15800,ROUND((((Q1806*60)/'Gearing Calculator'!$C$14)*'Track Data'!P1806),-2))</f>
        <v>13400</v>
      </c>
      <c r="T1806" s="16">
        <f t="shared" si="202"/>
        <v>3.9259213927261993</v>
      </c>
      <c r="U1806" s="16">
        <f>IF(AC1806=100,Braking!$AG$2354,IF(AC1806=50,Braking!$AG$1179,IF(AC1806=75,Braking!$AG$1767,0)))</f>
        <v>0</v>
      </c>
      <c r="V1806" s="16">
        <f>0.5*'Gearing Calculator'!$C$15*'Gearing Calculator'!$C$20*'Gearing Calculator'!$W$20*('Track Data'!Q1806^2)</f>
        <v>309.02759161152034</v>
      </c>
      <c r="W1806" s="16">
        <f>('Gearing Calculator'!$U$9*'Track Data'!T1806)+'Track Data'!V1806</f>
        <v>1354.1078663552346</v>
      </c>
      <c r="X1806" s="16">
        <f>('Gearing Calculator'!$U$9*9.81)*('Gearing Calculator'!$U$16/'Gearing Calculator'!$C$7)-(('Track Data'!W1806)*('Gearing Calculator'!$U$17/'Gearing Calculator'!$C$7))</f>
        <v>663.08103575513042</v>
      </c>
      <c r="Y1806" s="16">
        <f>('Gearing Calculator'!$U$9*9.81)*(('Gearing Calculator'!$C$7-'Gearing Calculator'!$U$16)/'Gearing Calculator'!$C$7)+(('Track Data'!W1806)*('Gearing Calculator'!$U$17/'Gearing Calculator'!$C$7))</f>
        <v>1948.3409642448696</v>
      </c>
      <c r="Z1806" s="16">
        <f>((X1806*COS('Gearing Calculator'!$C$21))/'Gearing Calculator'!$C$22)/2</f>
        <v>20.500368478906633</v>
      </c>
      <c r="AA1806" s="16">
        <f>Y1806/'Gearing Calculator'!$C$24</f>
        <v>27.205374686443935</v>
      </c>
      <c r="AB1806" s="16">
        <f t="shared" si="198"/>
        <v>328.65719857515131</v>
      </c>
      <c r="AC1806" s="16">
        <v>0</v>
      </c>
      <c r="AD1806" s="16">
        <v>-49.842163139380297</v>
      </c>
      <c r="AE1806" s="16">
        <v>1803</v>
      </c>
      <c r="AF1806" s="16">
        <f>IF(AC1806=0,IF(O1806=6,INDEX(Acceleration!$V$4:$V$110,MATCH('Track Data'!S1806,Acceleration!$K$4:$K$110,0)),IF('Track Data'!O1806=5,INDEX(Acceleration!$U$4:$U$110,MATCH('Track Data'!S1806,Acceleration!$K$4:$K$110,0)),1)),U1806)</f>
        <v>3.9259213927261993</v>
      </c>
      <c r="AG1806" s="16">
        <f>IF(AC1806=0,IF(O1806=4,INDEX(Acceleration!$T$4:$T$110,MATCH('Track Data'!S1806,Acceleration!$K$4:$K$110,0)),IF('Track Data'!O1806=3,INDEX(Acceleration!$S$4:$S$110,MATCH('Track Data'!S1806,Acceleration!$K$4:$K$110,0)),'Track Data'!AF1806)),'Track Data'!U1806)</f>
        <v>3.9259213927261993</v>
      </c>
      <c r="AH1806" s="16">
        <f>IF(AC1806=0,IF(O1806=2,INDEX(Acceleration!$R$4:$R$110,MATCH('Track Data'!S1806,Acceleration!$K$4:$K$110,0)),IF('Track Data'!O1806=1,INDEX(Acceleration!$Q$4:$Q$110,MATCH('Track Data'!S1806,Acceleration!$K$4:$K$110,0)),'Track Data'!AG1806)),'Track Data'!U1806)</f>
        <v>3.9259213927261993</v>
      </c>
    </row>
    <row r="1807" spans="2:34" x14ac:dyDescent="0.25">
      <c r="B1807" s="16">
        <v>244.739</v>
      </c>
      <c r="C1807" s="16">
        <v>9077</v>
      </c>
      <c r="D1807" s="16">
        <v>1804</v>
      </c>
      <c r="E1807" s="113">
        <v>200</v>
      </c>
      <c r="F1807" s="113">
        <v>190.9</v>
      </c>
      <c r="G1807" s="113">
        <v>175.2</v>
      </c>
      <c r="H1807" s="113">
        <f t="shared" si="201"/>
        <v>48.666666666666664</v>
      </c>
      <c r="I1807" s="113">
        <v>11.9</v>
      </c>
      <c r="J1807" s="113">
        <v>47.66</v>
      </c>
      <c r="K1807" s="113">
        <v>-55.4</v>
      </c>
      <c r="L1807" s="183"/>
      <c r="M1807" s="16">
        <v>1804</v>
      </c>
      <c r="N1807" s="16">
        <f t="shared" si="203"/>
        <v>1.8506585030011565E-2</v>
      </c>
      <c r="O1807" s="16">
        <v>5</v>
      </c>
      <c r="P1807" s="16">
        <f t="shared" si="199"/>
        <v>8.1742160278745661</v>
      </c>
      <c r="Q1807" s="16">
        <f t="shared" si="204"/>
        <v>54.034820491102515</v>
      </c>
      <c r="R1807" s="113">
        <f t="shared" si="200"/>
        <v>319.54399999999998</v>
      </c>
      <c r="S1807" s="16">
        <f>IF(S1806=15800,15800,ROUND((((Q1807*60)/'Gearing Calculator'!$C$14)*'Track Data'!P1807),-2))</f>
        <v>13400</v>
      </c>
      <c r="T1807" s="16">
        <f t="shared" si="202"/>
        <v>3.9259213927261993</v>
      </c>
      <c r="U1807" s="16">
        <f>IF(AC1807=100,Braking!$AG$2354,IF(AC1807=50,Braking!$AG$1179,IF(AC1807=75,Braking!$AG$1767,0)))</f>
        <v>0</v>
      </c>
      <c r="V1807" s="16">
        <f>0.5*'Gearing Calculator'!$C$15*'Gearing Calculator'!$C$20*'Gearing Calculator'!$W$20*('Track Data'!Q1807^2)</f>
        <v>309.02759161152034</v>
      </c>
      <c r="W1807" s="16">
        <f>('Gearing Calculator'!$U$9*'Track Data'!T1807)+'Track Data'!V1807</f>
        <v>1354.1078663552346</v>
      </c>
      <c r="X1807" s="16">
        <f>('Gearing Calculator'!$U$9*9.81)*('Gearing Calculator'!$U$16/'Gearing Calculator'!$C$7)-(('Track Data'!W1807)*('Gearing Calculator'!$U$17/'Gearing Calculator'!$C$7))</f>
        <v>663.08103575513042</v>
      </c>
      <c r="Y1807" s="16">
        <f>('Gearing Calculator'!$U$9*9.81)*(('Gearing Calculator'!$C$7-'Gearing Calculator'!$U$16)/'Gearing Calculator'!$C$7)+(('Track Data'!W1807)*('Gearing Calculator'!$U$17/'Gearing Calculator'!$C$7))</f>
        <v>1948.3409642448696</v>
      </c>
      <c r="Z1807" s="16">
        <f>((X1807*COS('Gearing Calculator'!$C$21))/'Gearing Calculator'!$C$22)/2</f>
        <v>20.500368478906633</v>
      </c>
      <c r="AA1807" s="16">
        <f>Y1807/'Gearing Calculator'!$C$24</f>
        <v>27.205374686443935</v>
      </c>
      <c r="AB1807" s="16">
        <f t="shared" si="198"/>
        <v>328.65719857515131</v>
      </c>
      <c r="AC1807" s="16">
        <v>0</v>
      </c>
      <c r="AD1807" s="16">
        <v>-49.842163139380297</v>
      </c>
      <c r="AE1807" s="16">
        <v>1804</v>
      </c>
      <c r="AF1807" s="16">
        <f>IF(AC1807=0,IF(O1807=6,INDEX(Acceleration!$V$4:$V$110,MATCH('Track Data'!S1807,Acceleration!$K$4:$K$110,0)),IF('Track Data'!O1807=5,INDEX(Acceleration!$U$4:$U$110,MATCH('Track Data'!S1807,Acceleration!$K$4:$K$110,0)),1)),U1807)</f>
        <v>3.9259213927261993</v>
      </c>
      <c r="AG1807" s="16">
        <f>IF(AC1807=0,IF(O1807=4,INDEX(Acceleration!$T$4:$T$110,MATCH('Track Data'!S1807,Acceleration!$K$4:$K$110,0)),IF('Track Data'!O1807=3,INDEX(Acceleration!$S$4:$S$110,MATCH('Track Data'!S1807,Acceleration!$K$4:$K$110,0)),'Track Data'!AF1807)),'Track Data'!U1807)</f>
        <v>3.9259213927261993</v>
      </c>
      <c r="AH1807" s="16">
        <f>IF(AC1807=0,IF(O1807=2,INDEX(Acceleration!$R$4:$R$110,MATCH('Track Data'!S1807,Acceleration!$K$4:$K$110,0)),IF('Track Data'!O1807=1,INDEX(Acceleration!$Q$4:$Q$110,MATCH('Track Data'!S1807,Acceleration!$K$4:$K$110,0)),'Track Data'!AG1807)),'Track Data'!U1807)</f>
        <v>3.9259213927261993</v>
      </c>
    </row>
    <row r="1808" spans="2:34" x14ac:dyDescent="0.25">
      <c r="B1808" s="16">
        <v>244.75800000000001</v>
      </c>
      <c r="C1808" s="16">
        <v>9078</v>
      </c>
      <c r="D1808" s="16">
        <v>1805</v>
      </c>
      <c r="E1808" s="113">
        <v>199</v>
      </c>
      <c r="F1808" s="113">
        <v>191.2</v>
      </c>
      <c r="G1808" s="113">
        <v>175.1</v>
      </c>
      <c r="H1808" s="113">
        <f t="shared" si="201"/>
        <v>48.638888888888886</v>
      </c>
      <c r="I1808" s="113">
        <v>11.9</v>
      </c>
      <c r="J1808" s="113">
        <v>47.27</v>
      </c>
      <c r="K1808" s="113">
        <v>-54.9</v>
      </c>
      <c r="L1808" s="183"/>
      <c r="M1808" s="16">
        <v>1805</v>
      </c>
      <c r="N1808" s="16">
        <f t="shared" si="203"/>
        <v>1.8506585030011565E-2</v>
      </c>
      <c r="O1808" s="16">
        <v>5</v>
      </c>
      <c r="P1808" s="16">
        <f t="shared" si="199"/>
        <v>8.1742160278745661</v>
      </c>
      <c r="Q1808" s="16">
        <f t="shared" si="204"/>
        <v>54.034820491102515</v>
      </c>
      <c r="R1808" s="113">
        <f t="shared" si="200"/>
        <v>319.54399999999998</v>
      </c>
      <c r="S1808" s="16">
        <f>IF(S1807=15800,15800,ROUND((((Q1808*60)/'Gearing Calculator'!$C$14)*'Track Data'!P1808),-2))</f>
        <v>13400</v>
      </c>
      <c r="T1808" s="16">
        <f t="shared" si="202"/>
        <v>3.9259213927261993</v>
      </c>
      <c r="U1808" s="16">
        <f>IF(AC1808=100,Braking!$AG$2354,IF(AC1808=50,Braking!$AG$1179,IF(AC1808=75,Braking!$AG$1767,0)))</f>
        <v>0</v>
      </c>
      <c r="V1808" s="16">
        <f>0.5*'Gearing Calculator'!$C$15*'Gearing Calculator'!$C$20*'Gearing Calculator'!$W$20*('Track Data'!Q1808^2)</f>
        <v>309.02759161152034</v>
      </c>
      <c r="W1808" s="16">
        <f>('Gearing Calculator'!$U$9*'Track Data'!T1808)+'Track Data'!V1808</f>
        <v>1354.1078663552346</v>
      </c>
      <c r="X1808" s="16">
        <f>('Gearing Calculator'!$U$9*9.81)*('Gearing Calculator'!$U$16/'Gearing Calculator'!$C$7)-(('Track Data'!W1808)*('Gearing Calculator'!$U$17/'Gearing Calculator'!$C$7))</f>
        <v>663.08103575513042</v>
      </c>
      <c r="Y1808" s="16">
        <f>('Gearing Calculator'!$U$9*9.81)*(('Gearing Calculator'!$C$7-'Gearing Calculator'!$U$16)/'Gearing Calculator'!$C$7)+(('Track Data'!W1808)*('Gearing Calculator'!$U$17/'Gearing Calculator'!$C$7))</f>
        <v>1948.3409642448696</v>
      </c>
      <c r="Z1808" s="16">
        <f>((X1808*COS('Gearing Calculator'!$C$21))/'Gearing Calculator'!$C$22)/2</f>
        <v>20.500368478906633</v>
      </c>
      <c r="AA1808" s="16">
        <f>Y1808/'Gearing Calculator'!$C$24</f>
        <v>27.205374686443935</v>
      </c>
      <c r="AB1808" s="16">
        <f t="shared" si="198"/>
        <v>328.65719857515131</v>
      </c>
      <c r="AC1808" s="16">
        <v>0</v>
      </c>
      <c r="AD1808" s="16">
        <v>-49.842163139380297</v>
      </c>
      <c r="AE1808" s="16">
        <v>1805</v>
      </c>
      <c r="AF1808" s="16">
        <f>IF(AC1808=0,IF(O1808=6,INDEX(Acceleration!$V$4:$V$110,MATCH('Track Data'!S1808,Acceleration!$K$4:$K$110,0)),IF('Track Data'!O1808=5,INDEX(Acceleration!$U$4:$U$110,MATCH('Track Data'!S1808,Acceleration!$K$4:$K$110,0)),1)),U1808)</f>
        <v>3.9259213927261993</v>
      </c>
      <c r="AG1808" s="16">
        <f>IF(AC1808=0,IF(O1808=4,INDEX(Acceleration!$T$4:$T$110,MATCH('Track Data'!S1808,Acceleration!$K$4:$K$110,0)),IF('Track Data'!O1808=3,INDEX(Acceleration!$S$4:$S$110,MATCH('Track Data'!S1808,Acceleration!$K$4:$K$110,0)),'Track Data'!AF1808)),'Track Data'!U1808)</f>
        <v>3.9259213927261993</v>
      </c>
      <c r="AH1808" s="16">
        <f>IF(AC1808=0,IF(O1808=2,INDEX(Acceleration!$R$4:$R$110,MATCH('Track Data'!S1808,Acceleration!$K$4:$K$110,0)),IF('Track Data'!O1808=1,INDEX(Acceleration!$Q$4:$Q$110,MATCH('Track Data'!S1808,Acceleration!$K$4:$K$110,0)),'Track Data'!AG1808)),'Track Data'!U1808)</f>
        <v>3.9259213927261993</v>
      </c>
    </row>
    <row r="1809" spans="2:34" x14ac:dyDescent="0.25">
      <c r="B1809" s="16">
        <v>244.77699999999999</v>
      </c>
      <c r="C1809" s="16">
        <v>9079</v>
      </c>
      <c r="D1809" s="16">
        <v>1806</v>
      </c>
      <c r="E1809" s="113">
        <v>199</v>
      </c>
      <c r="F1809" s="113">
        <v>191.1</v>
      </c>
      <c r="G1809" s="113">
        <v>175</v>
      </c>
      <c r="H1809" s="113">
        <f t="shared" si="201"/>
        <v>48.611111111111107</v>
      </c>
      <c r="I1809" s="113">
        <v>11.6</v>
      </c>
      <c r="J1809" s="113">
        <v>49.85</v>
      </c>
      <c r="K1809" s="113">
        <v>-54.5</v>
      </c>
      <c r="L1809" s="183"/>
      <c r="M1809" s="16">
        <v>1806</v>
      </c>
      <c r="N1809" s="16">
        <f t="shared" si="203"/>
        <v>1.8506585030011565E-2</v>
      </c>
      <c r="O1809" s="16">
        <v>5</v>
      </c>
      <c r="P1809" s="16">
        <f t="shared" si="199"/>
        <v>8.1742160278745661</v>
      </c>
      <c r="Q1809" s="16">
        <f t="shared" si="204"/>
        <v>54.034820491102515</v>
      </c>
      <c r="R1809" s="113">
        <f t="shared" si="200"/>
        <v>319.54399999999998</v>
      </c>
      <c r="S1809" s="16">
        <f>IF(S1808=15800,15800,ROUND((((Q1809*60)/'Gearing Calculator'!$C$14)*'Track Data'!P1809),-2))</f>
        <v>13400</v>
      </c>
      <c r="T1809" s="16">
        <f t="shared" si="202"/>
        <v>3.9259213927261993</v>
      </c>
      <c r="U1809" s="16">
        <f>IF(AC1809=100,Braking!$AG$2354,IF(AC1809=50,Braking!$AG$1179,IF(AC1809=75,Braking!$AG$1767,0)))</f>
        <v>0</v>
      </c>
      <c r="V1809" s="16">
        <f>0.5*'Gearing Calculator'!$C$15*'Gearing Calculator'!$C$20*'Gearing Calculator'!$W$20*('Track Data'!Q1809^2)</f>
        <v>309.02759161152034</v>
      </c>
      <c r="W1809" s="16">
        <f>('Gearing Calculator'!$U$9*'Track Data'!T1809)+'Track Data'!V1809</f>
        <v>1354.1078663552346</v>
      </c>
      <c r="X1809" s="16">
        <f>('Gearing Calculator'!$U$9*9.81)*('Gearing Calculator'!$U$16/'Gearing Calculator'!$C$7)-(('Track Data'!W1809)*('Gearing Calculator'!$U$17/'Gearing Calculator'!$C$7))</f>
        <v>663.08103575513042</v>
      </c>
      <c r="Y1809" s="16">
        <f>('Gearing Calculator'!$U$9*9.81)*(('Gearing Calculator'!$C$7-'Gearing Calculator'!$U$16)/'Gearing Calculator'!$C$7)+(('Track Data'!W1809)*('Gearing Calculator'!$U$17/'Gearing Calculator'!$C$7))</f>
        <v>1948.3409642448696</v>
      </c>
      <c r="Z1809" s="16">
        <f>((X1809*COS('Gearing Calculator'!$C$21))/'Gearing Calculator'!$C$22)/2</f>
        <v>20.500368478906633</v>
      </c>
      <c r="AA1809" s="16">
        <f>Y1809/'Gearing Calculator'!$C$24</f>
        <v>27.205374686443935</v>
      </c>
      <c r="AB1809" s="16">
        <f t="shared" si="198"/>
        <v>328.65719857515131</v>
      </c>
      <c r="AC1809" s="16">
        <v>0</v>
      </c>
      <c r="AD1809" s="16">
        <v>-49.842163139380297</v>
      </c>
      <c r="AE1809" s="16">
        <v>1806</v>
      </c>
      <c r="AF1809" s="16">
        <f>IF(AC1809=0,IF(O1809=6,INDEX(Acceleration!$V$4:$V$110,MATCH('Track Data'!S1809,Acceleration!$K$4:$K$110,0)),IF('Track Data'!O1809=5,INDEX(Acceleration!$U$4:$U$110,MATCH('Track Data'!S1809,Acceleration!$K$4:$K$110,0)),1)),U1809)</f>
        <v>3.9259213927261993</v>
      </c>
      <c r="AG1809" s="16">
        <f>IF(AC1809=0,IF(O1809=4,INDEX(Acceleration!$T$4:$T$110,MATCH('Track Data'!S1809,Acceleration!$K$4:$K$110,0)),IF('Track Data'!O1809=3,INDEX(Acceleration!$S$4:$S$110,MATCH('Track Data'!S1809,Acceleration!$K$4:$K$110,0)),'Track Data'!AF1809)),'Track Data'!U1809)</f>
        <v>3.9259213927261993</v>
      </c>
      <c r="AH1809" s="16">
        <f>IF(AC1809=0,IF(O1809=2,INDEX(Acceleration!$R$4:$R$110,MATCH('Track Data'!S1809,Acceleration!$K$4:$K$110,0)),IF('Track Data'!O1809=1,INDEX(Acceleration!$Q$4:$Q$110,MATCH('Track Data'!S1809,Acceleration!$K$4:$K$110,0)),'Track Data'!AG1809)),'Track Data'!U1809)</f>
        <v>3.9259213927261993</v>
      </c>
    </row>
    <row r="1810" spans="2:34" x14ac:dyDescent="0.25">
      <c r="B1810" s="16">
        <v>244.79599999999999</v>
      </c>
      <c r="C1810" s="16">
        <v>9080</v>
      </c>
      <c r="D1810" s="16">
        <v>1807</v>
      </c>
      <c r="E1810" s="113">
        <v>200</v>
      </c>
      <c r="F1810" s="113">
        <v>191</v>
      </c>
      <c r="G1810" s="113">
        <v>174.9</v>
      </c>
      <c r="H1810" s="113">
        <f t="shared" si="201"/>
        <v>48.583333333333336</v>
      </c>
      <c r="I1810" s="113">
        <v>11.7</v>
      </c>
      <c r="J1810" s="113">
        <v>52.5</v>
      </c>
      <c r="K1810" s="113">
        <v>-54.1</v>
      </c>
      <c r="L1810" s="183"/>
      <c r="M1810" s="16">
        <v>1807</v>
      </c>
      <c r="N1810" s="16">
        <f t="shared" si="203"/>
        <v>1.8506585030011565E-2</v>
      </c>
      <c r="O1810" s="16">
        <v>5</v>
      </c>
      <c r="P1810" s="16">
        <f t="shared" si="199"/>
        <v>8.1742160278745661</v>
      </c>
      <c r="Q1810" s="16">
        <f t="shared" si="204"/>
        <v>54.034820491102515</v>
      </c>
      <c r="R1810" s="113">
        <f t="shared" si="200"/>
        <v>319.54399999999998</v>
      </c>
      <c r="S1810" s="16">
        <f>IF(S1809=15800,15800,ROUND((((Q1810*60)/'Gearing Calculator'!$C$14)*'Track Data'!P1810),-2))</f>
        <v>13400</v>
      </c>
      <c r="T1810" s="16">
        <f t="shared" si="202"/>
        <v>3.9259213927261993</v>
      </c>
      <c r="U1810" s="16">
        <f>IF(AC1810=100,Braking!$AG$2354,IF(AC1810=50,Braking!$AG$1179,IF(AC1810=75,Braking!$AG$1767,0)))</f>
        <v>0</v>
      </c>
      <c r="V1810" s="16">
        <f>0.5*'Gearing Calculator'!$C$15*'Gearing Calculator'!$C$20*'Gearing Calculator'!$W$20*('Track Data'!Q1810^2)</f>
        <v>309.02759161152034</v>
      </c>
      <c r="W1810" s="16">
        <f>('Gearing Calculator'!$U$9*'Track Data'!T1810)+'Track Data'!V1810</f>
        <v>1354.1078663552346</v>
      </c>
      <c r="X1810" s="16">
        <f>('Gearing Calculator'!$U$9*9.81)*('Gearing Calculator'!$U$16/'Gearing Calculator'!$C$7)-(('Track Data'!W1810)*('Gearing Calculator'!$U$17/'Gearing Calculator'!$C$7))</f>
        <v>663.08103575513042</v>
      </c>
      <c r="Y1810" s="16">
        <f>('Gearing Calculator'!$U$9*9.81)*(('Gearing Calculator'!$C$7-'Gearing Calculator'!$U$16)/'Gearing Calculator'!$C$7)+(('Track Data'!W1810)*('Gearing Calculator'!$U$17/'Gearing Calculator'!$C$7))</f>
        <v>1948.3409642448696</v>
      </c>
      <c r="Z1810" s="16">
        <f>((X1810*COS('Gearing Calculator'!$C$21))/'Gearing Calculator'!$C$22)/2</f>
        <v>20.500368478906633</v>
      </c>
      <c r="AA1810" s="16">
        <f>Y1810/'Gearing Calculator'!$C$24</f>
        <v>27.205374686443935</v>
      </c>
      <c r="AB1810" s="16">
        <f t="shared" si="198"/>
        <v>328.65719857515131</v>
      </c>
      <c r="AC1810" s="16">
        <v>0</v>
      </c>
      <c r="AD1810" s="16">
        <v>-49.842163139380297</v>
      </c>
      <c r="AE1810" s="16">
        <v>1807</v>
      </c>
      <c r="AF1810" s="16">
        <f>IF(AC1810=0,IF(O1810=6,INDEX(Acceleration!$V$4:$V$110,MATCH('Track Data'!S1810,Acceleration!$K$4:$K$110,0)),IF('Track Data'!O1810=5,INDEX(Acceleration!$U$4:$U$110,MATCH('Track Data'!S1810,Acceleration!$K$4:$K$110,0)),1)),U1810)</f>
        <v>3.9259213927261993</v>
      </c>
      <c r="AG1810" s="16">
        <f>IF(AC1810=0,IF(O1810=4,INDEX(Acceleration!$T$4:$T$110,MATCH('Track Data'!S1810,Acceleration!$K$4:$K$110,0)),IF('Track Data'!O1810=3,INDEX(Acceleration!$S$4:$S$110,MATCH('Track Data'!S1810,Acceleration!$K$4:$K$110,0)),'Track Data'!AF1810)),'Track Data'!U1810)</f>
        <v>3.9259213927261993</v>
      </c>
      <c r="AH1810" s="16">
        <f>IF(AC1810=0,IF(O1810=2,INDEX(Acceleration!$R$4:$R$110,MATCH('Track Data'!S1810,Acceleration!$K$4:$K$110,0)),IF('Track Data'!O1810=1,INDEX(Acceleration!$Q$4:$Q$110,MATCH('Track Data'!S1810,Acceleration!$K$4:$K$110,0)),'Track Data'!AG1810)),'Track Data'!U1810)</f>
        <v>3.9259213927261993</v>
      </c>
    </row>
    <row r="1811" spans="2:34" x14ac:dyDescent="0.25">
      <c r="B1811" s="16">
        <v>244.815</v>
      </c>
      <c r="C1811" s="16">
        <v>9082</v>
      </c>
      <c r="D1811" s="16">
        <v>1808</v>
      </c>
      <c r="E1811" s="113">
        <v>199</v>
      </c>
      <c r="F1811" s="113">
        <v>190.8</v>
      </c>
      <c r="G1811" s="113">
        <v>174.8</v>
      </c>
      <c r="H1811" s="113">
        <f t="shared" si="201"/>
        <v>48.555555555555557</v>
      </c>
      <c r="I1811" s="113">
        <v>14.1</v>
      </c>
      <c r="J1811" s="113">
        <v>52.74</v>
      </c>
      <c r="K1811" s="113">
        <v>-53.9</v>
      </c>
      <c r="L1811" s="183"/>
      <c r="M1811" s="16">
        <v>1808</v>
      </c>
      <c r="N1811" s="16">
        <f t="shared" si="203"/>
        <v>1.8506585030011565E-2</v>
      </c>
      <c r="O1811" s="16">
        <v>5</v>
      </c>
      <c r="P1811" s="16">
        <f t="shared" si="199"/>
        <v>8.1742160278745661</v>
      </c>
      <c r="Q1811" s="16">
        <f t="shared" si="204"/>
        <v>54.034820491102515</v>
      </c>
      <c r="R1811" s="113">
        <f t="shared" si="200"/>
        <v>319.54399999999998</v>
      </c>
      <c r="S1811" s="16">
        <f>IF(S1810=15800,15800,ROUND((((Q1811*60)/'Gearing Calculator'!$C$14)*'Track Data'!P1811),-2))</f>
        <v>13400</v>
      </c>
      <c r="T1811" s="16">
        <f t="shared" si="202"/>
        <v>3.9259213927261993</v>
      </c>
      <c r="U1811" s="16">
        <f>IF(AC1811=100,Braking!$AG$2354,IF(AC1811=50,Braking!$AG$1179,IF(AC1811=75,Braking!$AG$1767,0)))</f>
        <v>0</v>
      </c>
      <c r="V1811" s="16">
        <f>0.5*'Gearing Calculator'!$C$15*'Gearing Calculator'!$C$20*'Gearing Calculator'!$W$20*('Track Data'!Q1811^2)</f>
        <v>309.02759161152034</v>
      </c>
      <c r="W1811" s="16">
        <f>('Gearing Calculator'!$U$9*'Track Data'!T1811)+'Track Data'!V1811</f>
        <v>1354.1078663552346</v>
      </c>
      <c r="X1811" s="16">
        <f>('Gearing Calculator'!$U$9*9.81)*('Gearing Calculator'!$U$16/'Gearing Calculator'!$C$7)-(('Track Data'!W1811)*('Gearing Calculator'!$U$17/'Gearing Calculator'!$C$7))</f>
        <v>663.08103575513042</v>
      </c>
      <c r="Y1811" s="16">
        <f>('Gearing Calculator'!$U$9*9.81)*(('Gearing Calculator'!$C$7-'Gearing Calculator'!$U$16)/'Gearing Calculator'!$C$7)+(('Track Data'!W1811)*('Gearing Calculator'!$U$17/'Gearing Calculator'!$C$7))</f>
        <v>1948.3409642448696</v>
      </c>
      <c r="Z1811" s="16">
        <f>((X1811*COS('Gearing Calculator'!$C$21))/'Gearing Calculator'!$C$22)/2</f>
        <v>20.500368478906633</v>
      </c>
      <c r="AA1811" s="16">
        <f>Y1811/'Gearing Calculator'!$C$24</f>
        <v>27.205374686443935</v>
      </c>
      <c r="AB1811" s="16">
        <f t="shared" si="198"/>
        <v>328.65719857515131</v>
      </c>
      <c r="AC1811" s="16">
        <v>0</v>
      </c>
      <c r="AD1811" s="16">
        <v>-49.842163139380297</v>
      </c>
      <c r="AE1811" s="16">
        <v>1808</v>
      </c>
      <c r="AF1811" s="16">
        <f>IF(AC1811=0,IF(O1811=6,INDEX(Acceleration!$V$4:$V$110,MATCH('Track Data'!S1811,Acceleration!$K$4:$K$110,0)),IF('Track Data'!O1811=5,INDEX(Acceleration!$U$4:$U$110,MATCH('Track Data'!S1811,Acceleration!$K$4:$K$110,0)),1)),U1811)</f>
        <v>3.9259213927261993</v>
      </c>
      <c r="AG1811" s="16">
        <f>IF(AC1811=0,IF(O1811=4,INDEX(Acceleration!$T$4:$T$110,MATCH('Track Data'!S1811,Acceleration!$K$4:$K$110,0)),IF('Track Data'!O1811=3,INDEX(Acceleration!$S$4:$S$110,MATCH('Track Data'!S1811,Acceleration!$K$4:$K$110,0)),'Track Data'!AF1811)),'Track Data'!U1811)</f>
        <v>3.9259213927261993</v>
      </c>
      <c r="AH1811" s="16">
        <f>IF(AC1811=0,IF(O1811=2,INDEX(Acceleration!$R$4:$R$110,MATCH('Track Data'!S1811,Acceleration!$K$4:$K$110,0)),IF('Track Data'!O1811=1,INDEX(Acceleration!$Q$4:$Q$110,MATCH('Track Data'!S1811,Acceleration!$K$4:$K$110,0)),'Track Data'!AG1811)),'Track Data'!U1811)</f>
        <v>3.9259213927261993</v>
      </c>
    </row>
    <row r="1812" spans="2:34" x14ac:dyDescent="0.25">
      <c r="B1812" s="16">
        <v>244.834</v>
      </c>
      <c r="C1812" s="16">
        <v>9082</v>
      </c>
      <c r="D1812" s="16">
        <v>1809</v>
      </c>
      <c r="E1812" s="113">
        <v>198</v>
      </c>
      <c r="F1812" s="113">
        <v>190.7</v>
      </c>
      <c r="G1812" s="113">
        <v>174.7</v>
      </c>
      <c r="H1812" s="113">
        <f t="shared" si="201"/>
        <v>48.527777777777771</v>
      </c>
      <c r="I1812" s="113">
        <v>16</v>
      </c>
      <c r="J1812" s="113">
        <v>51.92</v>
      </c>
      <c r="K1812" s="113">
        <v>-53.9</v>
      </c>
      <c r="L1812" s="183"/>
      <c r="M1812" s="16">
        <v>1809</v>
      </c>
      <c r="N1812" s="16">
        <f t="shared" si="203"/>
        <v>1.8506585030011565E-2</v>
      </c>
      <c r="O1812" s="16">
        <v>5</v>
      </c>
      <c r="P1812" s="16">
        <f t="shared" si="199"/>
        <v>8.1742160278745661</v>
      </c>
      <c r="Q1812" s="16">
        <f t="shared" si="204"/>
        <v>54.034820491102515</v>
      </c>
      <c r="R1812" s="113">
        <f t="shared" si="200"/>
        <v>319.54399999999998</v>
      </c>
      <c r="S1812" s="16">
        <f>IF(S1811=15800,15800,ROUND((((Q1812*60)/'Gearing Calculator'!$C$14)*'Track Data'!P1812),-2))</f>
        <v>13400</v>
      </c>
      <c r="T1812" s="16">
        <f t="shared" si="202"/>
        <v>3.9259213927261993</v>
      </c>
      <c r="U1812" s="16">
        <f>IF(AC1812=100,Braking!$AG$2354,IF(AC1812=50,Braking!$AG$1179,IF(AC1812=75,Braking!$AG$1767,0)))</f>
        <v>0</v>
      </c>
      <c r="V1812" s="16">
        <f>0.5*'Gearing Calculator'!$C$15*'Gearing Calculator'!$C$20*'Gearing Calculator'!$W$20*('Track Data'!Q1812^2)</f>
        <v>309.02759161152034</v>
      </c>
      <c r="W1812" s="16">
        <f>('Gearing Calculator'!$U$9*'Track Data'!T1812)+'Track Data'!V1812</f>
        <v>1354.1078663552346</v>
      </c>
      <c r="X1812" s="16">
        <f>('Gearing Calculator'!$U$9*9.81)*('Gearing Calculator'!$U$16/'Gearing Calculator'!$C$7)-(('Track Data'!W1812)*('Gearing Calculator'!$U$17/'Gearing Calculator'!$C$7))</f>
        <v>663.08103575513042</v>
      </c>
      <c r="Y1812" s="16">
        <f>('Gearing Calculator'!$U$9*9.81)*(('Gearing Calculator'!$C$7-'Gearing Calculator'!$U$16)/'Gearing Calculator'!$C$7)+(('Track Data'!W1812)*('Gearing Calculator'!$U$17/'Gearing Calculator'!$C$7))</f>
        <v>1948.3409642448696</v>
      </c>
      <c r="Z1812" s="16">
        <f>((X1812*COS('Gearing Calculator'!$C$21))/'Gearing Calculator'!$C$22)/2</f>
        <v>20.500368478906633</v>
      </c>
      <c r="AA1812" s="16">
        <f>Y1812/'Gearing Calculator'!$C$24</f>
        <v>27.205374686443935</v>
      </c>
      <c r="AB1812" s="16">
        <f t="shared" si="198"/>
        <v>328.65719857515131</v>
      </c>
      <c r="AC1812" s="16">
        <v>0</v>
      </c>
      <c r="AD1812" s="16">
        <v>-49.842163139380297</v>
      </c>
      <c r="AE1812" s="16">
        <v>1809</v>
      </c>
      <c r="AF1812" s="16">
        <f>IF(AC1812=0,IF(O1812=6,INDEX(Acceleration!$V$4:$V$110,MATCH('Track Data'!S1812,Acceleration!$K$4:$K$110,0)),IF('Track Data'!O1812=5,INDEX(Acceleration!$U$4:$U$110,MATCH('Track Data'!S1812,Acceleration!$K$4:$K$110,0)),1)),U1812)</f>
        <v>3.9259213927261993</v>
      </c>
      <c r="AG1812" s="16">
        <f>IF(AC1812=0,IF(O1812=4,INDEX(Acceleration!$T$4:$T$110,MATCH('Track Data'!S1812,Acceleration!$K$4:$K$110,0)),IF('Track Data'!O1812=3,INDEX(Acceleration!$S$4:$S$110,MATCH('Track Data'!S1812,Acceleration!$K$4:$K$110,0)),'Track Data'!AF1812)),'Track Data'!U1812)</f>
        <v>3.9259213927261993</v>
      </c>
      <c r="AH1812" s="16">
        <f>IF(AC1812=0,IF(O1812=2,INDEX(Acceleration!$R$4:$R$110,MATCH('Track Data'!S1812,Acceleration!$K$4:$K$110,0)),IF('Track Data'!O1812=1,INDEX(Acceleration!$Q$4:$Q$110,MATCH('Track Data'!S1812,Acceleration!$K$4:$K$110,0)),'Track Data'!AG1812)),'Track Data'!U1812)</f>
        <v>3.9259213927261993</v>
      </c>
    </row>
    <row r="1813" spans="2:34" x14ac:dyDescent="0.25">
      <c r="B1813" s="16">
        <v>244.852</v>
      </c>
      <c r="C1813" s="16">
        <v>9083</v>
      </c>
      <c r="D1813" s="16">
        <v>1810</v>
      </c>
      <c r="E1813" s="113">
        <v>199</v>
      </c>
      <c r="F1813" s="113">
        <v>190.7</v>
      </c>
      <c r="G1813" s="113">
        <v>174.6</v>
      </c>
      <c r="H1813" s="113">
        <f t="shared" si="201"/>
        <v>48.5</v>
      </c>
      <c r="I1813" s="113">
        <v>16.399999999999999</v>
      </c>
      <c r="J1813" s="113">
        <v>51.26</v>
      </c>
      <c r="K1813" s="113">
        <v>-53.9</v>
      </c>
      <c r="L1813" s="183"/>
      <c r="M1813" s="16">
        <v>1810</v>
      </c>
      <c r="N1813" s="16">
        <f t="shared" si="203"/>
        <v>1.8506585030011565E-2</v>
      </c>
      <c r="O1813" s="16">
        <v>5</v>
      </c>
      <c r="P1813" s="16">
        <f t="shared" si="199"/>
        <v>8.1742160278745661</v>
      </c>
      <c r="Q1813" s="16">
        <f t="shared" si="204"/>
        <v>54.034820491102515</v>
      </c>
      <c r="R1813" s="113">
        <f t="shared" si="200"/>
        <v>319.54399999999998</v>
      </c>
      <c r="S1813" s="16">
        <f>IF(S1812=15800,15800,ROUND((((Q1813*60)/'Gearing Calculator'!$C$14)*'Track Data'!P1813),-2))</f>
        <v>13400</v>
      </c>
      <c r="T1813" s="16">
        <f t="shared" si="202"/>
        <v>3.9259213927261993</v>
      </c>
      <c r="U1813" s="16">
        <f>IF(AC1813=100,Braking!$AG$2354,IF(AC1813=50,Braking!$AG$1179,IF(AC1813=75,Braking!$AG$1767,0)))</f>
        <v>0</v>
      </c>
      <c r="V1813" s="16">
        <f>0.5*'Gearing Calculator'!$C$15*'Gearing Calculator'!$C$20*'Gearing Calculator'!$W$20*('Track Data'!Q1813^2)</f>
        <v>309.02759161152034</v>
      </c>
      <c r="W1813" s="16">
        <f>('Gearing Calculator'!$U$9*'Track Data'!T1813)+'Track Data'!V1813</f>
        <v>1354.1078663552346</v>
      </c>
      <c r="X1813" s="16">
        <f>('Gearing Calculator'!$U$9*9.81)*('Gearing Calculator'!$U$16/'Gearing Calculator'!$C$7)-(('Track Data'!W1813)*('Gearing Calculator'!$U$17/'Gearing Calculator'!$C$7))</f>
        <v>663.08103575513042</v>
      </c>
      <c r="Y1813" s="16">
        <f>('Gearing Calculator'!$U$9*9.81)*(('Gearing Calculator'!$C$7-'Gearing Calculator'!$U$16)/'Gearing Calculator'!$C$7)+(('Track Data'!W1813)*('Gearing Calculator'!$U$17/'Gearing Calculator'!$C$7))</f>
        <v>1948.3409642448696</v>
      </c>
      <c r="Z1813" s="16">
        <f>((X1813*COS('Gearing Calculator'!$C$21))/'Gearing Calculator'!$C$22)/2</f>
        <v>20.500368478906633</v>
      </c>
      <c r="AA1813" s="16">
        <f>Y1813/'Gearing Calculator'!$C$24</f>
        <v>27.205374686443935</v>
      </c>
      <c r="AB1813" s="16">
        <f t="shared" si="198"/>
        <v>328.65719857515131</v>
      </c>
      <c r="AC1813" s="16">
        <v>0</v>
      </c>
      <c r="AD1813" s="16">
        <v>-49.842163139380297</v>
      </c>
      <c r="AE1813" s="16">
        <v>1810</v>
      </c>
      <c r="AF1813" s="16">
        <f>IF(AC1813=0,IF(O1813=6,INDEX(Acceleration!$V$4:$V$110,MATCH('Track Data'!S1813,Acceleration!$K$4:$K$110,0)),IF('Track Data'!O1813=5,INDEX(Acceleration!$U$4:$U$110,MATCH('Track Data'!S1813,Acceleration!$K$4:$K$110,0)),1)),U1813)</f>
        <v>3.9259213927261993</v>
      </c>
      <c r="AG1813" s="16">
        <f>IF(AC1813=0,IF(O1813=4,INDEX(Acceleration!$T$4:$T$110,MATCH('Track Data'!S1813,Acceleration!$K$4:$K$110,0)),IF('Track Data'!O1813=3,INDEX(Acceleration!$S$4:$S$110,MATCH('Track Data'!S1813,Acceleration!$K$4:$K$110,0)),'Track Data'!AF1813)),'Track Data'!U1813)</f>
        <v>3.9259213927261993</v>
      </c>
      <c r="AH1813" s="16">
        <f>IF(AC1813=0,IF(O1813=2,INDEX(Acceleration!$R$4:$R$110,MATCH('Track Data'!S1813,Acceleration!$K$4:$K$110,0)),IF('Track Data'!O1813=1,INDEX(Acceleration!$Q$4:$Q$110,MATCH('Track Data'!S1813,Acceleration!$K$4:$K$110,0)),'Track Data'!AG1813)),'Track Data'!U1813)</f>
        <v>3.9259213927261993</v>
      </c>
    </row>
    <row r="1814" spans="2:34" x14ac:dyDescent="0.25">
      <c r="B1814" s="16">
        <v>244.87100000000001</v>
      </c>
      <c r="C1814" s="16">
        <v>9084</v>
      </c>
      <c r="D1814" s="16">
        <v>1811</v>
      </c>
      <c r="E1814" s="113">
        <v>200</v>
      </c>
      <c r="F1814" s="113">
        <v>190.7</v>
      </c>
      <c r="G1814" s="113">
        <v>174.5</v>
      </c>
      <c r="H1814" s="113">
        <f t="shared" si="201"/>
        <v>48.472222222222221</v>
      </c>
      <c r="I1814" s="113">
        <v>14.3</v>
      </c>
      <c r="J1814" s="113">
        <v>50.1</v>
      </c>
      <c r="K1814" s="113">
        <v>-53.9</v>
      </c>
      <c r="L1814" s="183"/>
      <c r="M1814" s="16">
        <v>1811</v>
      </c>
      <c r="N1814" s="16">
        <f t="shared" si="203"/>
        <v>1.8506585030011565E-2</v>
      </c>
      <c r="O1814" s="16">
        <v>5</v>
      </c>
      <c r="P1814" s="16">
        <f t="shared" si="199"/>
        <v>8.1742160278745661</v>
      </c>
      <c r="Q1814" s="16">
        <f t="shared" si="204"/>
        <v>54.034820491102515</v>
      </c>
      <c r="R1814" s="113">
        <f t="shared" si="200"/>
        <v>319.54399999999998</v>
      </c>
      <c r="S1814" s="16">
        <f>IF(S1813=15800,15800,ROUND((((Q1814*60)/'Gearing Calculator'!$C$14)*'Track Data'!P1814),-2))</f>
        <v>13400</v>
      </c>
      <c r="T1814" s="16">
        <f t="shared" si="202"/>
        <v>3.9259213927261993</v>
      </c>
      <c r="U1814" s="16">
        <f>IF(AC1814=100,Braking!$AG$2354,IF(AC1814=50,Braking!$AG$1179,IF(AC1814=75,Braking!$AG$1767,0)))</f>
        <v>0</v>
      </c>
      <c r="V1814" s="16">
        <f>0.5*'Gearing Calculator'!$C$15*'Gearing Calculator'!$C$20*'Gearing Calculator'!$W$20*('Track Data'!Q1814^2)</f>
        <v>309.02759161152034</v>
      </c>
      <c r="W1814" s="16">
        <f>('Gearing Calculator'!$U$9*'Track Data'!T1814)+'Track Data'!V1814</f>
        <v>1354.1078663552346</v>
      </c>
      <c r="X1814" s="16">
        <f>('Gearing Calculator'!$U$9*9.81)*('Gearing Calculator'!$U$16/'Gearing Calculator'!$C$7)-(('Track Data'!W1814)*('Gearing Calculator'!$U$17/'Gearing Calculator'!$C$7))</f>
        <v>663.08103575513042</v>
      </c>
      <c r="Y1814" s="16">
        <f>('Gearing Calculator'!$U$9*9.81)*(('Gearing Calculator'!$C$7-'Gearing Calculator'!$U$16)/'Gearing Calculator'!$C$7)+(('Track Data'!W1814)*('Gearing Calculator'!$U$17/'Gearing Calculator'!$C$7))</f>
        <v>1948.3409642448696</v>
      </c>
      <c r="Z1814" s="16">
        <f>((X1814*COS('Gearing Calculator'!$C$21))/'Gearing Calculator'!$C$22)/2</f>
        <v>20.500368478906633</v>
      </c>
      <c r="AA1814" s="16">
        <f>Y1814/'Gearing Calculator'!$C$24</f>
        <v>27.205374686443935</v>
      </c>
      <c r="AB1814" s="16">
        <f t="shared" si="198"/>
        <v>328.65719857515131</v>
      </c>
      <c r="AC1814" s="16">
        <v>0</v>
      </c>
      <c r="AD1814" s="16">
        <v>-49.842163139380297</v>
      </c>
      <c r="AE1814" s="16">
        <v>1811</v>
      </c>
      <c r="AF1814" s="16">
        <f>IF(AC1814=0,IF(O1814=6,INDEX(Acceleration!$V$4:$V$110,MATCH('Track Data'!S1814,Acceleration!$K$4:$K$110,0)),IF('Track Data'!O1814=5,INDEX(Acceleration!$U$4:$U$110,MATCH('Track Data'!S1814,Acceleration!$K$4:$K$110,0)),1)),U1814)</f>
        <v>3.9259213927261993</v>
      </c>
      <c r="AG1814" s="16">
        <f>IF(AC1814=0,IF(O1814=4,INDEX(Acceleration!$T$4:$T$110,MATCH('Track Data'!S1814,Acceleration!$K$4:$K$110,0)),IF('Track Data'!O1814=3,INDEX(Acceleration!$S$4:$S$110,MATCH('Track Data'!S1814,Acceleration!$K$4:$K$110,0)),'Track Data'!AF1814)),'Track Data'!U1814)</f>
        <v>3.9259213927261993</v>
      </c>
      <c r="AH1814" s="16">
        <f>IF(AC1814=0,IF(O1814=2,INDEX(Acceleration!$R$4:$R$110,MATCH('Track Data'!S1814,Acceleration!$K$4:$K$110,0)),IF('Track Data'!O1814=1,INDEX(Acceleration!$Q$4:$Q$110,MATCH('Track Data'!S1814,Acceleration!$K$4:$K$110,0)),'Track Data'!AG1814)),'Track Data'!U1814)</f>
        <v>3.9259213927261993</v>
      </c>
    </row>
    <row r="1815" spans="2:34" x14ac:dyDescent="0.25">
      <c r="B1815" s="16">
        <v>244.89</v>
      </c>
      <c r="C1815" s="16">
        <v>9085</v>
      </c>
      <c r="D1815" s="16">
        <v>1812</v>
      </c>
      <c r="E1815" s="113">
        <v>200</v>
      </c>
      <c r="F1815" s="113">
        <v>190.8</v>
      </c>
      <c r="G1815" s="113">
        <v>174.4</v>
      </c>
      <c r="H1815" s="113">
        <f t="shared" si="201"/>
        <v>48.444444444444443</v>
      </c>
      <c r="I1815" s="113">
        <v>12</v>
      </c>
      <c r="J1815" s="113">
        <v>45.61</v>
      </c>
      <c r="K1815" s="113">
        <v>-53.3</v>
      </c>
      <c r="L1815" s="183"/>
      <c r="M1815" s="16">
        <v>1812</v>
      </c>
      <c r="N1815" s="16">
        <f t="shared" si="203"/>
        <v>1.8506585030011565E-2</v>
      </c>
      <c r="O1815" s="16">
        <v>5</v>
      </c>
      <c r="P1815" s="16">
        <f t="shared" si="199"/>
        <v>8.1742160278745661</v>
      </c>
      <c r="Q1815" s="16">
        <f t="shared" si="204"/>
        <v>54.034820491102515</v>
      </c>
      <c r="R1815" s="113">
        <f t="shared" si="200"/>
        <v>319.54399999999998</v>
      </c>
      <c r="S1815" s="16">
        <f>IF(S1814=15800,15800,ROUND((((Q1815*60)/'Gearing Calculator'!$C$14)*'Track Data'!P1815),-2))</f>
        <v>13400</v>
      </c>
      <c r="T1815" s="16">
        <f t="shared" si="202"/>
        <v>3.9259213927261993</v>
      </c>
      <c r="U1815" s="16">
        <f>IF(AC1815=100,Braking!$AG$2354,IF(AC1815=50,Braking!$AG$1179,IF(AC1815=75,Braking!$AG$1767,0)))</f>
        <v>0</v>
      </c>
      <c r="V1815" s="16">
        <f>0.5*'Gearing Calculator'!$C$15*'Gearing Calculator'!$C$20*'Gearing Calculator'!$W$20*('Track Data'!Q1815^2)</f>
        <v>309.02759161152034</v>
      </c>
      <c r="W1815" s="16">
        <f>('Gearing Calculator'!$U$9*'Track Data'!T1815)+'Track Data'!V1815</f>
        <v>1354.1078663552346</v>
      </c>
      <c r="X1815" s="16">
        <f>('Gearing Calculator'!$U$9*9.81)*('Gearing Calculator'!$U$16/'Gearing Calculator'!$C$7)-(('Track Data'!W1815)*('Gearing Calculator'!$U$17/'Gearing Calculator'!$C$7))</f>
        <v>663.08103575513042</v>
      </c>
      <c r="Y1815" s="16">
        <f>('Gearing Calculator'!$U$9*9.81)*(('Gearing Calculator'!$C$7-'Gearing Calculator'!$U$16)/'Gearing Calculator'!$C$7)+(('Track Data'!W1815)*('Gearing Calculator'!$U$17/'Gearing Calculator'!$C$7))</f>
        <v>1948.3409642448696</v>
      </c>
      <c r="Z1815" s="16">
        <f>((X1815*COS('Gearing Calculator'!$C$21))/'Gearing Calculator'!$C$22)/2</f>
        <v>20.500368478906633</v>
      </c>
      <c r="AA1815" s="16">
        <f>Y1815/'Gearing Calculator'!$C$24</f>
        <v>27.205374686443935</v>
      </c>
      <c r="AB1815" s="16">
        <f t="shared" si="198"/>
        <v>328.65719857515131</v>
      </c>
      <c r="AC1815" s="16">
        <v>0</v>
      </c>
      <c r="AD1815" s="16">
        <v>-49.842163139380297</v>
      </c>
      <c r="AE1815" s="16">
        <v>1812</v>
      </c>
      <c r="AF1815" s="16">
        <f>IF(AC1815=0,IF(O1815=6,INDEX(Acceleration!$V$4:$V$110,MATCH('Track Data'!S1815,Acceleration!$K$4:$K$110,0)),IF('Track Data'!O1815=5,INDEX(Acceleration!$U$4:$U$110,MATCH('Track Data'!S1815,Acceleration!$K$4:$K$110,0)),1)),U1815)</f>
        <v>3.9259213927261993</v>
      </c>
      <c r="AG1815" s="16">
        <f>IF(AC1815=0,IF(O1815=4,INDEX(Acceleration!$T$4:$T$110,MATCH('Track Data'!S1815,Acceleration!$K$4:$K$110,0)),IF('Track Data'!O1815=3,INDEX(Acceleration!$S$4:$S$110,MATCH('Track Data'!S1815,Acceleration!$K$4:$K$110,0)),'Track Data'!AF1815)),'Track Data'!U1815)</f>
        <v>3.9259213927261993</v>
      </c>
      <c r="AH1815" s="16">
        <f>IF(AC1815=0,IF(O1815=2,INDEX(Acceleration!$R$4:$R$110,MATCH('Track Data'!S1815,Acceleration!$K$4:$K$110,0)),IF('Track Data'!O1815=1,INDEX(Acceleration!$Q$4:$Q$110,MATCH('Track Data'!S1815,Acceleration!$K$4:$K$110,0)),'Track Data'!AG1815)),'Track Data'!U1815)</f>
        <v>3.9259213927261993</v>
      </c>
    </row>
    <row r="1816" spans="2:34" x14ac:dyDescent="0.25">
      <c r="B1816" s="16">
        <v>244.90899999999999</v>
      </c>
      <c r="C1816" s="16">
        <v>9086</v>
      </c>
      <c r="D1816" s="16">
        <v>1813</v>
      </c>
      <c r="E1816" s="113">
        <v>201</v>
      </c>
      <c r="F1816" s="113">
        <v>190.9</v>
      </c>
      <c r="G1816" s="113">
        <v>174.4</v>
      </c>
      <c r="H1816" s="113">
        <f t="shared" si="201"/>
        <v>48.444444444444443</v>
      </c>
      <c r="I1816" s="113">
        <v>10.8</v>
      </c>
      <c r="J1816" s="113">
        <v>46.66</v>
      </c>
      <c r="K1816" s="113">
        <v>-52.7</v>
      </c>
      <c r="L1816" s="183"/>
      <c r="M1816" s="16">
        <v>1813</v>
      </c>
      <c r="N1816" s="16">
        <f t="shared" si="203"/>
        <v>1.8506585030011565E-2</v>
      </c>
      <c r="O1816" s="16">
        <v>5</v>
      </c>
      <c r="P1816" s="16">
        <f t="shared" si="199"/>
        <v>8.1742160278745661</v>
      </c>
      <c r="Q1816" s="16">
        <f t="shared" si="204"/>
        <v>54.034820491102515</v>
      </c>
      <c r="R1816" s="113">
        <f t="shared" si="200"/>
        <v>319.54399999999998</v>
      </c>
      <c r="S1816" s="16">
        <f>IF(S1815=15800,15800,ROUND((((Q1816*60)/'Gearing Calculator'!$C$14)*'Track Data'!P1816),-2))</f>
        <v>13400</v>
      </c>
      <c r="T1816" s="16">
        <f t="shared" si="202"/>
        <v>3.9259213927261993</v>
      </c>
      <c r="U1816" s="16">
        <f>IF(AC1816=100,Braking!$AG$2354,IF(AC1816=50,Braking!$AG$1179,IF(AC1816=75,Braking!$AG$1767,0)))</f>
        <v>0</v>
      </c>
      <c r="V1816" s="16">
        <f>0.5*'Gearing Calculator'!$C$15*'Gearing Calculator'!$C$20*'Gearing Calculator'!$W$20*('Track Data'!Q1816^2)</f>
        <v>309.02759161152034</v>
      </c>
      <c r="W1816" s="16">
        <f>('Gearing Calculator'!$U$9*'Track Data'!T1816)+'Track Data'!V1816</f>
        <v>1354.1078663552346</v>
      </c>
      <c r="X1816" s="16">
        <f>('Gearing Calculator'!$U$9*9.81)*('Gearing Calculator'!$U$16/'Gearing Calculator'!$C$7)-(('Track Data'!W1816)*('Gearing Calculator'!$U$17/'Gearing Calculator'!$C$7))</f>
        <v>663.08103575513042</v>
      </c>
      <c r="Y1816" s="16">
        <f>('Gearing Calculator'!$U$9*9.81)*(('Gearing Calculator'!$C$7-'Gearing Calculator'!$U$16)/'Gearing Calculator'!$C$7)+(('Track Data'!W1816)*('Gearing Calculator'!$U$17/'Gearing Calculator'!$C$7))</f>
        <v>1948.3409642448696</v>
      </c>
      <c r="Z1816" s="16">
        <f>((X1816*COS('Gearing Calculator'!$C$21))/'Gearing Calculator'!$C$22)/2</f>
        <v>20.500368478906633</v>
      </c>
      <c r="AA1816" s="16">
        <f>Y1816/'Gearing Calculator'!$C$24</f>
        <v>27.205374686443935</v>
      </c>
      <c r="AB1816" s="16">
        <f t="shared" si="198"/>
        <v>328.65719857515131</v>
      </c>
      <c r="AC1816" s="16">
        <v>0</v>
      </c>
      <c r="AD1816" s="16">
        <v>-49.842163139380297</v>
      </c>
      <c r="AE1816" s="16">
        <v>1813</v>
      </c>
      <c r="AF1816" s="16">
        <f>IF(AC1816=0,IF(O1816=6,INDEX(Acceleration!$V$4:$V$110,MATCH('Track Data'!S1816,Acceleration!$K$4:$K$110,0)),IF('Track Data'!O1816=5,INDEX(Acceleration!$U$4:$U$110,MATCH('Track Data'!S1816,Acceleration!$K$4:$K$110,0)),1)),U1816)</f>
        <v>3.9259213927261993</v>
      </c>
      <c r="AG1816" s="16">
        <f>IF(AC1816=0,IF(O1816=4,INDEX(Acceleration!$T$4:$T$110,MATCH('Track Data'!S1816,Acceleration!$K$4:$K$110,0)),IF('Track Data'!O1816=3,INDEX(Acceleration!$S$4:$S$110,MATCH('Track Data'!S1816,Acceleration!$K$4:$K$110,0)),'Track Data'!AF1816)),'Track Data'!U1816)</f>
        <v>3.9259213927261993</v>
      </c>
      <c r="AH1816" s="16">
        <f>IF(AC1816=0,IF(O1816=2,INDEX(Acceleration!$R$4:$R$110,MATCH('Track Data'!S1816,Acceleration!$K$4:$K$110,0)),IF('Track Data'!O1816=1,INDEX(Acceleration!$Q$4:$Q$110,MATCH('Track Data'!S1816,Acceleration!$K$4:$K$110,0)),'Track Data'!AG1816)),'Track Data'!U1816)</f>
        <v>3.9259213927261993</v>
      </c>
    </row>
    <row r="1817" spans="2:34" x14ac:dyDescent="0.25">
      <c r="B1817" s="16">
        <v>244.928</v>
      </c>
      <c r="C1817" s="16">
        <v>9087</v>
      </c>
      <c r="D1817" s="16">
        <v>1814</v>
      </c>
      <c r="E1817" s="113">
        <v>201</v>
      </c>
      <c r="F1817" s="113">
        <v>190.9</v>
      </c>
      <c r="G1817" s="113">
        <v>174.3</v>
      </c>
      <c r="H1817" s="113">
        <f t="shared" si="201"/>
        <v>48.416666666666671</v>
      </c>
      <c r="I1817" s="113">
        <v>10.1</v>
      </c>
      <c r="J1817" s="113">
        <v>50.8</v>
      </c>
      <c r="K1817" s="113">
        <v>-51.8</v>
      </c>
      <c r="L1817" s="183"/>
      <c r="M1817" s="16">
        <v>1814</v>
      </c>
      <c r="N1817" s="16">
        <f t="shared" si="203"/>
        <v>1.8506585030011565E-2</v>
      </c>
      <c r="O1817" s="16">
        <v>5</v>
      </c>
      <c r="P1817" s="16">
        <f t="shared" si="199"/>
        <v>8.1742160278745661</v>
      </c>
      <c r="Q1817" s="16">
        <f t="shared" si="204"/>
        <v>54.034820491102515</v>
      </c>
      <c r="R1817" s="113">
        <f t="shared" si="200"/>
        <v>319.54399999999998</v>
      </c>
      <c r="S1817" s="16">
        <f>IF(S1816=15800,15800,ROUND((((Q1817*60)/'Gearing Calculator'!$C$14)*'Track Data'!P1817),-2))</f>
        <v>13400</v>
      </c>
      <c r="T1817" s="16">
        <f t="shared" si="202"/>
        <v>3.9259213927261993</v>
      </c>
      <c r="U1817" s="16">
        <f>IF(AC1817=100,Braking!$AG$2354,IF(AC1817=50,Braking!$AG$1179,IF(AC1817=75,Braking!$AG$1767,0)))</f>
        <v>0</v>
      </c>
      <c r="V1817" s="16">
        <f>0.5*'Gearing Calculator'!$C$15*'Gearing Calculator'!$C$20*'Gearing Calculator'!$W$20*('Track Data'!Q1817^2)</f>
        <v>309.02759161152034</v>
      </c>
      <c r="W1817" s="16">
        <f>('Gearing Calculator'!$U$9*'Track Data'!T1817)+'Track Data'!V1817</f>
        <v>1354.1078663552346</v>
      </c>
      <c r="X1817" s="16">
        <f>('Gearing Calculator'!$U$9*9.81)*('Gearing Calculator'!$U$16/'Gearing Calculator'!$C$7)-(('Track Data'!W1817)*('Gearing Calculator'!$U$17/'Gearing Calculator'!$C$7))</f>
        <v>663.08103575513042</v>
      </c>
      <c r="Y1817" s="16">
        <f>('Gearing Calculator'!$U$9*9.81)*(('Gearing Calculator'!$C$7-'Gearing Calculator'!$U$16)/'Gearing Calculator'!$C$7)+(('Track Data'!W1817)*('Gearing Calculator'!$U$17/'Gearing Calculator'!$C$7))</f>
        <v>1948.3409642448696</v>
      </c>
      <c r="Z1817" s="16">
        <f>((X1817*COS('Gearing Calculator'!$C$21))/'Gearing Calculator'!$C$22)/2</f>
        <v>20.500368478906633</v>
      </c>
      <c r="AA1817" s="16">
        <f>Y1817/'Gearing Calculator'!$C$24</f>
        <v>27.205374686443935</v>
      </c>
      <c r="AB1817" s="16">
        <f t="shared" si="198"/>
        <v>328.65719857515131</v>
      </c>
      <c r="AC1817" s="16">
        <v>0</v>
      </c>
      <c r="AD1817" s="16">
        <v>-49.842163139380297</v>
      </c>
      <c r="AE1817" s="16">
        <v>1814</v>
      </c>
      <c r="AF1817" s="16">
        <f>IF(AC1817=0,IF(O1817=6,INDEX(Acceleration!$V$4:$V$110,MATCH('Track Data'!S1817,Acceleration!$K$4:$K$110,0)),IF('Track Data'!O1817=5,INDEX(Acceleration!$U$4:$U$110,MATCH('Track Data'!S1817,Acceleration!$K$4:$K$110,0)),1)),U1817)</f>
        <v>3.9259213927261993</v>
      </c>
      <c r="AG1817" s="16">
        <f>IF(AC1817=0,IF(O1817=4,INDEX(Acceleration!$T$4:$T$110,MATCH('Track Data'!S1817,Acceleration!$K$4:$K$110,0)),IF('Track Data'!O1817=3,INDEX(Acceleration!$S$4:$S$110,MATCH('Track Data'!S1817,Acceleration!$K$4:$K$110,0)),'Track Data'!AF1817)),'Track Data'!U1817)</f>
        <v>3.9259213927261993</v>
      </c>
      <c r="AH1817" s="16">
        <f>IF(AC1817=0,IF(O1817=2,INDEX(Acceleration!$R$4:$R$110,MATCH('Track Data'!S1817,Acceleration!$K$4:$K$110,0)),IF('Track Data'!O1817=1,INDEX(Acceleration!$Q$4:$Q$110,MATCH('Track Data'!S1817,Acceleration!$K$4:$K$110,0)),'Track Data'!AG1817)),'Track Data'!U1817)</f>
        <v>3.9259213927261993</v>
      </c>
    </row>
    <row r="1818" spans="2:34" x14ac:dyDescent="0.25">
      <c r="B1818" s="16">
        <v>244.946</v>
      </c>
      <c r="C1818" s="16">
        <v>9088</v>
      </c>
      <c r="D1818" s="16">
        <v>1815</v>
      </c>
      <c r="E1818" s="113">
        <v>200</v>
      </c>
      <c r="F1818" s="113">
        <v>191</v>
      </c>
      <c r="G1818" s="113">
        <v>174.3</v>
      </c>
      <c r="H1818" s="113">
        <f t="shared" si="201"/>
        <v>48.416666666666671</v>
      </c>
      <c r="I1818" s="113">
        <v>11.5</v>
      </c>
      <c r="J1818" s="113">
        <v>55.78</v>
      </c>
      <c r="K1818" s="113">
        <v>-50.9</v>
      </c>
      <c r="L1818" s="183"/>
      <c r="M1818" s="16">
        <v>1815</v>
      </c>
      <c r="N1818" s="16">
        <f t="shared" si="203"/>
        <v>1.8506585030011565E-2</v>
      </c>
      <c r="O1818" s="16">
        <v>5</v>
      </c>
      <c r="P1818" s="16">
        <f t="shared" si="199"/>
        <v>8.1742160278745661</v>
      </c>
      <c r="Q1818" s="16">
        <f t="shared" si="204"/>
        <v>54.034820491102515</v>
      </c>
      <c r="R1818" s="113">
        <f t="shared" si="200"/>
        <v>319.54399999999998</v>
      </c>
      <c r="S1818" s="16">
        <f>IF(S1817=15800,15800,ROUND((((Q1818*60)/'Gearing Calculator'!$C$14)*'Track Data'!P1818),-2))</f>
        <v>13400</v>
      </c>
      <c r="T1818" s="16">
        <f t="shared" si="202"/>
        <v>3.9259213927261993</v>
      </c>
      <c r="U1818" s="16">
        <f>IF(AC1818=100,Braking!$AG$2354,IF(AC1818=50,Braking!$AG$1179,IF(AC1818=75,Braking!$AG$1767,0)))</f>
        <v>0</v>
      </c>
      <c r="V1818" s="16">
        <f>0.5*'Gearing Calculator'!$C$15*'Gearing Calculator'!$C$20*'Gearing Calculator'!$W$20*('Track Data'!Q1818^2)</f>
        <v>309.02759161152034</v>
      </c>
      <c r="W1818" s="16">
        <f>('Gearing Calculator'!$U$9*'Track Data'!T1818)+'Track Data'!V1818</f>
        <v>1354.1078663552346</v>
      </c>
      <c r="X1818" s="16">
        <f>('Gearing Calculator'!$U$9*9.81)*('Gearing Calculator'!$U$16/'Gearing Calculator'!$C$7)-(('Track Data'!W1818)*('Gearing Calculator'!$U$17/'Gearing Calculator'!$C$7))</f>
        <v>663.08103575513042</v>
      </c>
      <c r="Y1818" s="16">
        <f>('Gearing Calculator'!$U$9*9.81)*(('Gearing Calculator'!$C$7-'Gearing Calculator'!$U$16)/'Gearing Calculator'!$C$7)+(('Track Data'!W1818)*('Gearing Calculator'!$U$17/'Gearing Calculator'!$C$7))</f>
        <v>1948.3409642448696</v>
      </c>
      <c r="Z1818" s="16">
        <f>((X1818*COS('Gearing Calculator'!$C$21))/'Gearing Calculator'!$C$22)/2</f>
        <v>20.500368478906633</v>
      </c>
      <c r="AA1818" s="16">
        <f>Y1818/'Gearing Calculator'!$C$24</f>
        <v>27.205374686443935</v>
      </c>
      <c r="AB1818" s="16">
        <f t="shared" si="198"/>
        <v>328.65719857515131</v>
      </c>
      <c r="AC1818" s="16">
        <v>0</v>
      </c>
      <c r="AD1818" s="16">
        <v>-49.842163139380297</v>
      </c>
      <c r="AE1818" s="16">
        <v>1815</v>
      </c>
      <c r="AF1818" s="16">
        <f>IF(AC1818=0,IF(O1818=6,INDEX(Acceleration!$V$4:$V$110,MATCH('Track Data'!S1818,Acceleration!$K$4:$K$110,0)),IF('Track Data'!O1818=5,INDEX(Acceleration!$U$4:$U$110,MATCH('Track Data'!S1818,Acceleration!$K$4:$K$110,0)),1)),U1818)</f>
        <v>3.9259213927261993</v>
      </c>
      <c r="AG1818" s="16">
        <f>IF(AC1818=0,IF(O1818=4,INDEX(Acceleration!$T$4:$T$110,MATCH('Track Data'!S1818,Acceleration!$K$4:$K$110,0)),IF('Track Data'!O1818=3,INDEX(Acceleration!$S$4:$S$110,MATCH('Track Data'!S1818,Acceleration!$K$4:$K$110,0)),'Track Data'!AF1818)),'Track Data'!U1818)</f>
        <v>3.9259213927261993</v>
      </c>
      <c r="AH1818" s="16">
        <f>IF(AC1818=0,IF(O1818=2,INDEX(Acceleration!$R$4:$R$110,MATCH('Track Data'!S1818,Acceleration!$K$4:$K$110,0)),IF('Track Data'!O1818=1,INDEX(Acceleration!$Q$4:$Q$110,MATCH('Track Data'!S1818,Acceleration!$K$4:$K$110,0)),'Track Data'!AG1818)),'Track Data'!U1818)</f>
        <v>3.9259213927261993</v>
      </c>
    </row>
    <row r="1819" spans="2:34" x14ac:dyDescent="0.25">
      <c r="B1819" s="16">
        <v>244.965</v>
      </c>
      <c r="C1819" s="16">
        <v>9089</v>
      </c>
      <c r="D1819" s="16">
        <v>1816</v>
      </c>
      <c r="E1819" s="113">
        <v>199</v>
      </c>
      <c r="F1819" s="113">
        <v>191.1</v>
      </c>
      <c r="G1819" s="113">
        <v>174.2</v>
      </c>
      <c r="H1819" s="113">
        <f t="shared" si="201"/>
        <v>48.388888888888886</v>
      </c>
      <c r="I1819" s="113">
        <v>15.5</v>
      </c>
      <c r="J1819" s="113">
        <v>57.26</v>
      </c>
      <c r="K1819" s="113">
        <v>-50.1</v>
      </c>
      <c r="L1819" s="183"/>
      <c r="M1819" s="16">
        <v>1816</v>
      </c>
      <c r="N1819" s="16">
        <f t="shared" si="203"/>
        <v>1.8506585030011565E-2</v>
      </c>
      <c r="O1819" s="16">
        <v>5</v>
      </c>
      <c r="P1819" s="16">
        <f t="shared" si="199"/>
        <v>8.1742160278745661</v>
      </c>
      <c r="Q1819" s="16">
        <f t="shared" si="204"/>
        <v>54.034820491102515</v>
      </c>
      <c r="R1819" s="113">
        <f t="shared" si="200"/>
        <v>319.54399999999998</v>
      </c>
      <c r="S1819" s="16">
        <f>IF(S1818=15800,15800,ROUND((((Q1819*60)/'Gearing Calculator'!$C$14)*'Track Data'!P1819),-2))</f>
        <v>13400</v>
      </c>
      <c r="T1819" s="16">
        <f t="shared" si="202"/>
        <v>3.9259213927261993</v>
      </c>
      <c r="U1819" s="16">
        <f>IF(AC1819=100,Braking!$AG$2354,IF(AC1819=50,Braking!$AG$1179,IF(AC1819=75,Braking!$AG$1767,0)))</f>
        <v>0</v>
      </c>
      <c r="V1819" s="16">
        <f>0.5*'Gearing Calculator'!$C$15*'Gearing Calculator'!$C$20*'Gearing Calculator'!$W$20*('Track Data'!Q1819^2)</f>
        <v>309.02759161152034</v>
      </c>
      <c r="W1819" s="16">
        <f>('Gearing Calculator'!$U$9*'Track Data'!T1819)+'Track Data'!V1819</f>
        <v>1354.1078663552346</v>
      </c>
      <c r="X1819" s="16">
        <f>('Gearing Calculator'!$U$9*9.81)*('Gearing Calculator'!$U$16/'Gearing Calculator'!$C$7)-(('Track Data'!W1819)*('Gearing Calculator'!$U$17/'Gearing Calculator'!$C$7))</f>
        <v>663.08103575513042</v>
      </c>
      <c r="Y1819" s="16">
        <f>('Gearing Calculator'!$U$9*9.81)*(('Gearing Calculator'!$C$7-'Gearing Calculator'!$U$16)/'Gearing Calculator'!$C$7)+(('Track Data'!W1819)*('Gearing Calculator'!$U$17/'Gearing Calculator'!$C$7))</f>
        <v>1948.3409642448696</v>
      </c>
      <c r="Z1819" s="16">
        <f>((X1819*COS('Gearing Calculator'!$C$21))/'Gearing Calculator'!$C$22)/2</f>
        <v>20.500368478906633</v>
      </c>
      <c r="AA1819" s="16">
        <f>Y1819/'Gearing Calculator'!$C$24</f>
        <v>27.205374686443935</v>
      </c>
      <c r="AB1819" s="16">
        <f t="shared" si="198"/>
        <v>328.65719857515131</v>
      </c>
      <c r="AC1819" s="16">
        <v>0</v>
      </c>
      <c r="AD1819" s="16">
        <v>-49.842163139380297</v>
      </c>
      <c r="AE1819" s="16">
        <v>1816</v>
      </c>
      <c r="AF1819" s="16">
        <f>IF(AC1819=0,IF(O1819=6,INDEX(Acceleration!$V$4:$V$110,MATCH('Track Data'!S1819,Acceleration!$K$4:$K$110,0)),IF('Track Data'!O1819=5,INDEX(Acceleration!$U$4:$U$110,MATCH('Track Data'!S1819,Acceleration!$K$4:$K$110,0)),1)),U1819)</f>
        <v>3.9259213927261993</v>
      </c>
      <c r="AG1819" s="16">
        <f>IF(AC1819=0,IF(O1819=4,INDEX(Acceleration!$T$4:$T$110,MATCH('Track Data'!S1819,Acceleration!$K$4:$K$110,0)),IF('Track Data'!O1819=3,INDEX(Acceleration!$S$4:$S$110,MATCH('Track Data'!S1819,Acceleration!$K$4:$K$110,0)),'Track Data'!AF1819)),'Track Data'!U1819)</f>
        <v>3.9259213927261993</v>
      </c>
      <c r="AH1819" s="16">
        <f>IF(AC1819=0,IF(O1819=2,INDEX(Acceleration!$R$4:$R$110,MATCH('Track Data'!S1819,Acceleration!$K$4:$K$110,0)),IF('Track Data'!O1819=1,INDEX(Acceleration!$Q$4:$Q$110,MATCH('Track Data'!S1819,Acceleration!$K$4:$K$110,0)),'Track Data'!AG1819)),'Track Data'!U1819)</f>
        <v>3.9259213927261993</v>
      </c>
    </row>
    <row r="1820" spans="2:34" x14ac:dyDescent="0.25">
      <c r="B1820" s="16">
        <v>244.98400000000001</v>
      </c>
      <c r="C1820" s="16">
        <v>9090</v>
      </c>
      <c r="D1820" s="16">
        <v>1817</v>
      </c>
      <c r="E1820" s="113">
        <v>198</v>
      </c>
      <c r="F1820" s="113">
        <v>190.7</v>
      </c>
      <c r="G1820" s="113">
        <v>174.1</v>
      </c>
      <c r="H1820" s="113">
        <f t="shared" si="201"/>
        <v>48.361111111111107</v>
      </c>
      <c r="I1820" s="113">
        <v>19.3</v>
      </c>
      <c r="J1820" s="113">
        <v>61.3</v>
      </c>
      <c r="K1820" s="113">
        <v>-50.1</v>
      </c>
      <c r="L1820" s="183"/>
      <c r="M1820" s="16">
        <v>1817</v>
      </c>
      <c r="N1820" s="16">
        <f t="shared" si="203"/>
        <v>1.8506585030011565E-2</v>
      </c>
      <c r="O1820" s="16">
        <v>5</v>
      </c>
      <c r="P1820" s="16">
        <f t="shared" si="199"/>
        <v>8.1742160278745661</v>
      </c>
      <c r="Q1820" s="16">
        <f t="shared" si="204"/>
        <v>54.034820491102515</v>
      </c>
      <c r="R1820" s="113">
        <f t="shared" si="200"/>
        <v>319.54399999999998</v>
      </c>
      <c r="S1820" s="16">
        <f>IF(S1819=15800,15800,ROUND((((Q1820*60)/'Gearing Calculator'!$C$14)*'Track Data'!P1820),-2))</f>
        <v>13400</v>
      </c>
      <c r="T1820" s="16">
        <f t="shared" si="202"/>
        <v>3.9259213927261993</v>
      </c>
      <c r="U1820" s="16">
        <f>IF(AC1820=100,Braking!$AG$2354,IF(AC1820=50,Braking!$AG$1179,IF(AC1820=75,Braking!$AG$1767,0)))</f>
        <v>0</v>
      </c>
      <c r="V1820" s="16">
        <f>0.5*'Gearing Calculator'!$C$15*'Gearing Calculator'!$C$20*'Gearing Calculator'!$W$20*('Track Data'!Q1820^2)</f>
        <v>309.02759161152034</v>
      </c>
      <c r="W1820" s="16">
        <f>('Gearing Calculator'!$U$9*'Track Data'!T1820)+'Track Data'!V1820</f>
        <v>1354.1078663552346</v>
      </c>
      <c r="X1820" s="16">
        <f>('Gearing Calculator'!$U$9*9.81)*('Gearing Calculator'!$U$16/'Gearing Calculator'!$C$7)-(('Track Data'!W1820)*('Gearing Calculator'!$U$17/'Gearing Calculator'!$C$7))</f>
        <v>663.08103575513042</v>
      </c>
      <c r="Y1820" s="16">
        <f>('Gearing Calculator'!$U$9*9.81)*(('Gearing Calculator'!$C$7-'Gearing Calculator'!$U$16)/'Gearing Calculator'!$C$7)+(('Track Data'!W1820)*('Gearing Calculator'!$U$17/'Gearing Calculator'!$C$7))</f>
        <v>1948.3409642448696</v>
      </c>
      <c r="Z1820" s="16">
        <f>((X1820*COS('Gearing Calculator'!$C$21))/'Gearing Calculator'!$C$22)/2</f>
        <v>20.500368478906633</v>
      </c>
      <c r="AA1820" s="16">
        <f>Y1820/'Gearing Calculator'!$C$24</f>
        <v>27.205374686443935</v>
      </c>
      <c r="AB1820" s="16">
        <f t="shared" si="198"/>
        <v>328.65719857515131</v>
      </c>
      <c r="AC1820" s="16">
        <v>0</v>
      </c>
      <c r="AD1820" s="16">
        <v>-49.842163139380297</v>
      </c>
      <c r="AE1820" s="16">
        <v>1817</v>
      </c>
      <c r="AF1820" s="16">
        <f>IF(AC1820=0,IF(O1820=6,INDEX(Acceleration!$V$4:$V$110,MATCH('Track Data'!S1820,Acceleration!$K$4:$K$110,0)),IF('Track Data'!O1820=5,INDEX(Acceleration!$U$4:$U$110,MATCH('Track Data'!S1820,Acceleration!$K$4:$K$110,0)),1)),U1820)</f>
        <v>3.9259213927261993</v>
      </c>
      <c r="AG1820" s="16">
        <f>IF(AC1820=0,IF(O1820=4,INDEX(Acceleration!$T$4:$T$110,MATCH('Track Data'!S1820,Acceleration!$K$4:$K$110,0)),IF('Track Data'!O1820=3,INDEX(Acceleration!$S$4:$S$110,MATCH('Track Data'!S1820,Acceleration!$K$4:$K$110,0)),'Track Data'!AF1820)),'Track Data'!U1820)</f>
        <v>3.9259213927261993</v>
      </c>
      <c r="AH1820" s="16">
        <f>IF(AC1820=0,IF(O1820=2,INDEX(Acceleration!$R$4:$R$110,MATCH('Track Data'!S1820,Acceleration!$K$4:$K$110,0)),IF('Track Data'!O1820=1,INDEX(Acceleration!$Q$4:$Q$110,MATCH('Track Data'!S1820,Acceleration!$K$4:$K$110,0)),'Track Data'!AG1820)),'Track Data'!U1820)</f>
        <v>3.9259213927261993</v>
      </c>
    </row>
    <row r="1821" spans="2:34" x14ac:dyDescent="0.25">
      <c r="B1821" s="16">
        <v>245.00200000000001</v>
      </c>
      <c r="C1821" s="16">
        <v>9091</v>
      </c>
      <c r="D1821" s="16">
        <v>1818</v>
      </c>
      <c r="E1821" s="113">
        <v>197</v>
      </c>
      <c r="F1821" s="113">
        <v>190.4</v>
      </c>
      <c r="G1821" s="113">
        <v>174.1</v>
      </c>
      <c r="H1821" s="113">
        <f t="shared" si="201"/>
        <v>48.361111111111107</v>
      </c>
      <c r="I1821" s="113">
        <v>21.9</v>
      </c>
      <c r="J1821" s="113">
        <v>65.349999999999994</v>
      </c>
      <c r="K1821" s="113">
        <v>-50.1</v>
      </c>
      <c r="L1821" s="183"/>
      <c r="M1821" s="16">
        <v>1818</v>
      </c>
      <c r="N1821" s="16">
        <f t="shared" si="203"/>
        <v>1.8506585030011565E-2</v>
      </c>
      <c r="O1821" s="16">
        <v>5</v>
      </c>
      <c r="P1821" s="16">
        <f t="shared" si="199"/>
        <v>8.1742160278745661</v>
      </c>
      <c r="Q1821" s="16">
        <f t="shared" si="204"/>
        <v>54.034820491102515</v>
      </c>
      <c r="R1821" s="113">
        <f t="shared" si="200"/>
        <v>319.54399999999998</v>
      </c>
      <c r="S1821" s="16">
        <f>IF(S1820=15800,15800,ROUND((((Q1821*60)/'Gearing Calculator'!$C$14)*'Track Data'!P1821),-2))</f>
        <v>13400</v>
      </c>
      <c r="T1821" s="16">
        <f t="shared" si="202"/>
        <v>3.9259213927261993</v>
      </c>
      <c r="U1821" s="16">
        <f>IF(AC1821=100,Braking!$AG$2354,IF(AC1821=50,Braking!$AG$1179,IF(AC1821=75,Braking!$AG$1767,0)))</f>
        <v>0</v>
      </c>
      <c r="V1821" s="16">
        <f>0.5*'Gearing Calculator'!$C$15*'Gearing Calculator'!$C$20*'Gearing Calculator'!$W$20*('Track Data'!Q1821^2)</f>
        <v>309.02759161152034</v>
      </c>
      <c r="W1821" s="16">
        <f>('Gearing Calculator'!$U$9*'Track Data'!T1821)+'Track Data'!V1821</f>
        <v>1354.1078663552346</v>
      </c>
      <c r="X1821" s="16">
        <f>('Gearing Calculator'!$U$9*9.81)*('Gearing Calculator'!$U$16/'Gearing Calculator'!$C$7)-(('Track Data'!W1821)*('Gearing Calculator'!$U$17/'Gearing Calculator'!$C$7))</f>
        <v>663.08103575513042</v>
      </c>
      <c r="Y1821" s="16">
        <f>('Gearing Calculator'!$U$9*9.81)*(('Gearing Calculator'!$C$7-'Gearing Calculator'!$U$16)/'Gearing Calculator'!$C$7)+(('Track Data'!W1821)*('Gearing Calculator'!$U$17/'Gearing Calculator'!$C$7))</f>
        <v>1948.3409642448696</v>
      </c>
      <c r="Z1821" s="16">
        <f>((X1821*COS('Gearing Calculator'!$C$21))/'Gearing Calculator'!$C$22)/2</f>
        <v>20.500368478906633</v>
      </c>
      <c r="AA1821" s="16">
        <f>Y1821/'Gearing Calculator'!$C$24</f>
        <v>27.205374686443935</v>
      </c>
      <c r="AB1821" s="16">
        <f t="shared" si="198"/>
        <v>328.65719857515131</v>
      </c>
      <c r="AC1821" s="16">
        <v>0</v>
      </c>
      <c r="AD1821" s="16">
        <v>-49.842163139380297</v>
      </c>
      <c r="AE1821" s="16">
        <v>1818</v>
      </c>
      <c r="AF1821" s="16">
        <f>IF(AC1821=0,IF(O1821=6,INDEX(Acceleration!$V$4:$V$110,MATCH('Track Data'!S1821,Acceleration!$K$4:$K$110,0)),IF('Track Data'!O1821=5,INDEX(Acceleration!$U$4:$U$110,MATCH('Track Data'!S1821,Acceleration!$K$4:$K$110,0)),1)),U1821)</f>
        <v>3.9259213927261993</v>
      </c>
      <c r="AG1821" s="16">
        <f>IF(AC1821=0,IF(O1821=4,INDEX(Acceleration!$T$4:$T$110,MATCH('Track Data'!S1821,Acceleration!$K$4:$K$110,0)),IF('Track Data'!O1821=3,INDEX(Acceleration!$S$4:$S$110,MATCH('Track Data'!S1821,Acceleration!$K$4:$K$110,0)),'Track Data'!AF1821)),'Track Data'!U1821)</f>
        <v>3.9259213927261993</v>
      </c>
      <c r="AH1821" s="16">
        <f>IF(AC1821=0,IF(O1821=2,INDEX(Acceleration!$R$4:$R$110,MATCH('Track Data'!S1821,Acceleration!$K$4:$K$110,0)),IF('Track Data'!O1821=1,INDEX(Acceleration!$Q$4:$Q$110,MATCH('Track Data'!S1821,Acceleration!$K$4:$K$110,0)),'Track Data'!AG1821)),'Track Data'!U1821)</f>
        <v>3.9259213927261993</v>
      </c>
    </row>
    <row r="1822" spans="2:34" x14ac:dyDescent="0.25">
      <c r="B1822" s="16">
        <v>245.02199999999999</v>
      </c>
      <c r="C1822" s="16">
        <v>9092</v>
      </c>
      <c r="D1822" s="16">
        <v>1819</v>
      </c>
      <c r="E1822" s="113">
        <v>198</v>
      </c>
      <c r="F1822" s="113">
        <v>189.9</v>
      </c>
      <c r="G1822" s="113">
        <v>174</v>
      </c>
      <c r="H1822" s="113">
        <f t="shared" si="201"/>
        <v>48.333333333333329</v>
      </c>
      <c r="I1822" s="113">
        <v>23.6</v>
      </c>
      <c r="J1822" s="113">
        <v>67.3</v>
      </c>
      <c r="K1822" s="113">
        <v>-50.1</v>
      </c>
      <c r="L1822" s="183"/>
      <c r="M1822" s="16">
        <v>1819</v>
      </c>
      <c r="N1822" s="16">
        <f t="shared" si="203"/>
        <v>1.8506585030011565E-2</v>
      </c>
      <c r="O1822" s="16">
        <v>5</v>
      </c>
      <c r="P1822" s="16">
        <f t="shared" si="199"/>
        <v>8.1742160278745661</v>
      </c>
      <c r="Q1822" s="16">
        <f t="shared" si="204"/>
        <v>54.034820491102515</v>
      </c>
      <c r="R1822" s="113">
        <f t="shared" si="200"/>
        <v>319.54399999999998</v>
      </c>
      <c r="S1822" s="16">
        <f>IF(S1821=15800,15800,ROUND((((Q1822*60)/'Gearing Calculator'!$C$14)*'Track Data'!P1822),-2))</f>
        <v>13400</v>
      </c>
      <c r="T1822" s="16">
        <f t="shared" si="202"/>
        <v>3.9259213927261993</v>
      </c>
      <c r="U1822" s="16">
        <f>IF(AC1822=100,Braking!$AG$2354,IF(AC1822=50,Braking!$AG$1179,IF(AC1822=75,Braking!$AG$1767,0)))</f>
        <v>0</v>
      </c>
      <c r="V1822" s="16">
        <f>0.5*'Gearing Calculator'!$C$15*'Gearing Calculator'!$C$20*'Gearing Calculator'!$W$20*('Track Data'!Q1822^2)</f>
        <v>309.02759161152034</v>
      </c>
      <c r="W1822" s="16">
        <f>('Gearing Calculator'!$U$9*'Track Data'!T1822)+'Track Data'!V1822</f>
        <v>1354.1078663552346</v>
      </c>
      <c r="X1822" s="16">
        <f>('Gearing Calculator'!$U$9*9.81)*('Gearing Calculator'!$U$16/'Gearing Calculator'!$C$7)-(('Track Data'!W1822)*('Gearing Calculator'!$U$17/'Gearing Calculator'!$C$7))</f>
        <v>663.08103575513042</v>
      </c>
      <c r="Y1822" s="16">
        <f>('Gearing Calculator'!$U$9*9.81)*(('Gearing Calculator'!$C$7-'Gearing Calculator'!$U$16)/'Gearing Calculator'!$C$7)+(('Track Data'!W1822)*('Gearing Calculator'!$U$17/'Gearing Calculator'!$C$7))</f>
        <v>1948.3409642448696</v>
      </c>
      <c r="Z1822" s="16">
        <f>((X1822*COS('Gearing Calculator'!$C$21))/'Gearing Calculator'!$C$22)/2</f>
        <v>20.500368478906633</v>
      </c>
      <c r="AA1822" s="16">
        <f>Y1822/'Gearing Calculator'!$C$24</f>
        <v>27.205374686443935</v>
      </c>
      <c r="AB1822" s="16">
        <f t="shared" si="198"/>
        <v>328.65719857515131</v>
      </c>
      <c r="AC1822" s="16">
        <v>0</v>
      </c>
      <c r="AD1822" s="16">
        <v>-49.842163139380297</v>
      </c>
      <c r="AE1822" s="16">
        <v>1819</v>
      </c>
      <c r="AF1822" s="16">
        <f>IF(AC1822=0,IF(O1822=6,INDEX(Acceleration!$V$4:$V$110,MATCH('Track Data'!S1822,Acceleration!$K$4:$K$110,0)),IF('Track Data'!O1822=5,INDEX(Acceleration!$U$4:$U$110,MATCH('Track Data'!S1822,Acceleration!$K$4:$K$110,0)),1)),U1822)</f>
        <v>3.9259213927261993</v>
      </c>
      <c r="AG1822" s="16">
        <f>IF(AC1822=0,IF(O1822=4,INDEX(Acceleration!$T$4:$T$110,MATCH('Track Data'!S1822,Acceleration!$K$4:$K$110,0)),IF('Track Data'!O1822=3,INDEX(Acceleration!$S$4:$S$110,MATCH('Track Data'!S1822,Acceleration!$K$4:$K$110,0)),'Track Data'!AF1822)),'Track Data'!U1822)</f>
        <v>3.9259213927261993</v>
      </c>
      <c r="AH1822" s="16">
        <f>IF(AC1822=0,IF(O1822=2,INDEX(Acceleration!$R$4:$R$110,MATCH('Track Data'!S1822,Acceleration!$K$4:$K$110,0)),IF('Track Data'!O1822=1,INDEX(Acceleration!$Q$4:$Q$110,MATCH('Track Data'!S1822,Acceleration!$K$4:$K$110,0)),'Track Data'!AG1822)),'Track Data'!U1822)</f>
        <v>3.9259213927261993</v>
      </c>
    </row>
    <row r="1823" spans="2:34" x14ac:dyDescent="0.25">
      <c r="B1823" s="16">
        <v>245.041</v>
      </c>
      <c r="C1823" s="16">
        <v>9093</v>
      </c>
      <c r="D1823" s="16">
        <v>1820</v>
      </c>
      <c r="E1823" s="113">
        <v>198</v>
      </c>
      <c r="F1823" s="113">
        <v>189.6</v>
      </c>
      <c r="G1823" s="113">
        <v>174</v>
      </c>
      <c r="H1823" s="113">
        <f t="shared" si="201"/>
        <v>48.333333333333329</v>
      </c>
      <c r="I1823" s="113">
        <v>25.6</v>
      </c>
      <c r="J1823" s="113">
        <v>62.18</v>
      </c>
      <c r="K1823" s="113">
        <v>-50.1</v>
      </c>
      <c r="L1823" s="183"/>
      <c r="M1823" s="16">
        <v>1820</v>
      </c>
      <c r="N1823" s="16">
        <f t="shared" si="203"/>
        <v>1.8506585030011565E-2</v>
      </c>
      <c r="O1823" s="16">
        <v>5</v>
      </c>
      <c r="P1823" s="16">
        <f t="shared" si="199"/>
        <v>8.1742160278745661</v>
      </c>
      <c r="Q1823" s="16">
        <f t="shared" si="204"/>
        <v>54.034820491102515</v>
      </c>
      <c r="R1823" s="113">
        <f t="shared" si="200"/>
        <v>319.54399999999998</v>
      </c>
      <c r="S1823" s="16">
        <f>IF(S1822=15800,15800,ROUND((((Q1823*60)/'Gearing Calculator'!$C$14)*'Track Data'!P1823),-2))</f>
        <v>13400</v>
      </c>
      <c r="T1823" s="16">
        <f t="shared" si="202"/>
        <v>3.9259213927261993</v>
      </c>
      <c r="U1823" s="16">
        <f>IF(AC1823=100,Braking!$AG$2354,IF(AC1823=50,Braking!$AG$1179,IF(AC1823=75,Braking!$AG$1767,0)))</f>
        <v>0</v>
      </c>
      <c r="V1823" s="16">
        <f>0.5*'Gearing Calculator'!$C$15*'Gearing Calculator'!$C$20*'Gearing Calculator'!$W$20*('Track Data'!Q1823^2)</f>
        <v>309.02759161152034</v>
      </c>
      <c r="W1823" s="16">
        <f>('Gearing Calculator'!$U$9*'Track Data'!T1823)+'Track Data'!V1823</f>
        <v>1354.1078663552346</v>
      </c>
      <c r="X1823" s="16">
        <f>('Gearing Calculator'!$U$9*9.81)*('Gearing Calculator'!$U$16/'Gearing Calculator'!$C$7)-(('Track Data'!W1823)*('Gearing Calculator'!$U$17/'Gearing Calculator'!$C$7))</f>
        <v>663.08103575513042</v>
      </c>
      <c r="Y1823" s="16">
        <f>('Gearing Calculator'!$U$9*9.81)*(('Gearing Calculator'!$C$7-'Gearing Calculator'!$U$16)/'Gearing Calculator'!$C$7)+(('Track Data'!W1823)*('Gearing Calculator'!$U$17/'Gearing Calculator'!$C$7))</f>
        <v>1948.3409642448696</v>
      </c>
      <c r="Z1823" s="16">
        <f>((X1823*COS('Gearing Calculator'!$C$21))/'Gearing Calculator'!$C$22)/2</f>
        <v>20.500368478906633</v>
      </c>
      <c r="AA1823" s="16">
        <f>Y1823/'Gearing Calculator'!$C$24</f>
        <v>27.205374686443935</v>
      </c>
      <c r="AB1823" s="16">
        <f t="shared" si="198"/>
        <v>328.65719857515131</v>
      </c>
      <c r="AC1823" s="16">
        <v>0</v>
      </c>
      <c r="AD1823" s="16">
        <v>-49.842163139380297</v>
      </c>
      <c r="AE1823" s="16">
        <v>1820</v>
      </c>
      <c r="AF1823" s="16">
        <f>IF(AC1823=0,IF(O1823=6,INDEX(Acceleration!$V$4:$V$110,MATCH('Track Data'!S1823,Acceleration!$K$4:$K$110,0)),IF('Track Data'!O1823=5,INDEX(Acceleration!$U$4:$U$110,MATCH('Track Data'!S1823,Acceleration!$K$4:$K$110,0)),1)),U1823)</f>
        <v>3.9259213927261993</v>
      </c>
      <c r="AG1823" s="16">
        <f>IF(AC1823=0,IF(O1823=4,INDEX(Acceleration!$T$4:$T$110,MATCH('Track Data'!S1823,Acceleration!$K$4:$K$110,0)),IF('Track Data'!O1823=3,INDEX(Acceleration!$S$4:$S$110,MATCH('Track Data'!S1823,Acceleration!$K$4:$K$110,0)),'Track Data'!AF1823)),'Track Data'!U1823)</f>
        <v>3.9259213927261993</v>
      </c>
      <c r="AH1823" s="16">
        <f>IF(AC1823=0,IF(O1823=2,INDEX(Acceleration!$R$4:$R$110,MATCH('Track Data'!S1823,Acceleration!$K$4:$K$110,0)),IF('Track Data'!O1823=1,INDEX(Acceleration!$Q$4:$Q$110,MATCH('Track Data'!S1823,Acceleration!$K$4:$K$110,0)),'Track Data'!AG1823)),'Track Data'!U1823)</f>
        <v>3.9259213927261993</v>
      </c>
    </row>
    <row r="1824" spans="2:34" x14ac:dyDescent="0.25">
      <c r="B1824" s="16">
        <v>245.059</v>
      </c>
      <c r="C1824" s="16">
        <v>9094</v>
      </c>
      <c r="D1824" s="16">
        <v>1821</v>
      </c>
      <c r="E1824" s="113">
        <v>198</v>
      </c>
      <c r="F1824" s="113">
        <v>189.5</v>
      </c>
      <c r="G1824" s="113">
        <v>174</v>
      </c>
      <c r="H1824" s="113">
        <f t="shared" si="201"/>
        <v>48.333333333333329</v>
      </c>
      <c r="I1824" s="113">
        <v>26.2</v>
      </c>
      <c r="J1824" s="113">
        <v>61.88</v>
      </c>
      <c r="K1824" s="113">
        <v>-50.3</v>
      </c>
      <c r="L1824" s="183"/>
      <c r="M1824" s="16">
        <v>1821</v>
      </c>
      <c r="N1824" s="16">
        <f t="shared" si="203"/>
        <v>1.8506585030011565E-2</v>
      </c>
      <c r="O1824" s="16">
        <v>5</v>
      </c>
      <c r="P1824" s="16">
        <f t="shared" si="199"/>
        <v>8.1742160278745661</v>
      </c>
      <c r="Q1824" s="16">
        <f t="shared" si="204"/>
        <v>54.034820491102515</v>
      </c>
      <c r="R1824" s="113">
        <f t="shared" si="200"/>
        <v>319.54399999999998</v>
      </c>
      <c r="S1824" s="16">
        <f>IF(S1823=15800,15800,ROUND((((Q1824*60)/'Gearing Calculator'!$C$14)*'Track Data'!P1824),-2))</f>
        <v>13400</v>
      </c>
      <c r="T1824" s="16">
        <f t="shared" si="202"/>
        <v>3.9259213927261993</v>
      </c>
      <c r="U1824" s="16">
        <f>IF(AC1824=100,Braking!$AG$2354,IF(AC1824=50,Braking!$AG$1179,IF(AC1824=75,Braking!$AG$1767,0)))</f>
        <v>0</v>
      </c>
      <c r="V1824" s="16">
        <f>0.5*'Gearing Calculator'!$C$15*'Gearing Calculator'!$C$20*'Gearing Calculator'!$W$20*('Track Data'!Q1824^2)</f>
        <v>309.02759161152034</v>
      </c>
      <c r="W1824" s="16">
        <f>('Gearing Calculator'!$U$9*'Track Data'!T1824)+'Track Data'!V1824</f>
        <v>1354.1078663552346</v>
      </c>
      <c r="X1824" s="16">
        <f>('Gearing Calculator'!$U$9*9.81)*('Gearing Calculator'!$U$16/'Gearing Calculator'!$C$7)-(('Track Data'!W1824)*('Gearing Calculator'!$U$17/'Gearing Calculator'!$C$7))</f>
        <v>663.08103575513042</v>
      </c>
      <c r="Y1824" s="16">
        <f>('Gearing Calculator'!$U$9*9.81)*(('Gearing Calculator'!$C$7-'Gearing Calculator'!$U$16)/'Gearing Calculator'!$C$7)+(('Track Data'!W1824)*('Gearing Calculator'!$U$17/'Gearing Calculator'!$C$7))</f>
        <v>1948.3409642448696</v>
      </c>
      <c r="Z1824" s="16">
        <f>((X1824*COS('Gearing Calculator'!$C$21))/'Gearing Calculator'!$C$22)/2</f>
        <v>20.500368478906633</v>
      </c>
      <c r="AA1824" s="16">
        <f>Y1824/'Gearing Calculator'!$C$24</f>
        <v>27.205374686443935</v>
      </c>
      <c r="AB1824" s="16">
        <f t="shared" si="198"/>
        <v>328.65719857515131</v>
      </c>
      <c r="AC1824" s="16">
        <v>0</v>
      </c>
      <c r="AD1824" s="16">
        <v>-49.842163139380297</v>
      </c>
      <c r="AE1824" s="16">
        <v>1821</v>
      </c>
      <c r="AF1824" s="16">
        <f>IF(AC1824=0,IF(O1824=6,INDEX(Acceleration!$V$4:$V$110,MATCH('Track Data'!S1824,Acceleration!$K$4:$K$110,0)),IF('Track Data'!O1824=5,INDEX(Acceleration!$U$4:$U$110,MATCH('Track Data'!S1824,Acceleration!$K$4:$K$110,0)),1)),U1824)</f>
        <v>3.9259213927261993</v>
      </c>
      <c r="AG1824" s="16">
        <f>IF(AC1824=0,IF(O1824=4,INDEX(Acceleration!$T$4:$T$110,MATCH('Track Data'!S1824,Acceleration!$K$4:$K$110,0)),IF('Track Data'!O1824=3,INDEX(Acceleration!$S$4:$S$110,MATCH('Track Data'!S1824,Acceleration!$K$4:$K$110,0)),'Track Data'!AF1824)),'Track Data'!U1824)</f>
        <v>3.9259213927261993</v>
      </c>
      <c r="AH1824" s="16">
        <f>IF(AC1824=0,IF(O1824=2,INDEX(Acceleration!$R$4:$R$110,MATCH('Track Data'!S1824,Acceleration!$K$4:$K$110,0)),IF('Track Data'!O1824=1,INDEX(Acceleration!$Q$4:$Q$110,MATCH('Track Data'!S1824,Acceleration!$K$4:$K$110,0)),'Track Data'!AG1824)),'Track Data'!U1824)</f>
        <v>3.9259213927261993</v>
      </c>
    </row>
    <row r="1825" spans="2:34" x14ac:dyDescent="0.25">
      <c r="B1825" s="16">
        <v>245.078</v>
      </c>
      <c r="C1825" s="16">
        <v>9095</v>
      </c>
      <c r="D1825" s="16">
        <v>1822</v>
      </c>
      <c r="E1825" s="113">
        <v>197</v>
      </c>
      <c r="F1825" s="113">
        <v>189.4</v>
      </c>
      <c r="G1825" s="113">
        <v>174</v>
      </c>
      <c r="H1825" s="113">
        <f t="shared" si="201"/>
        <v>48.333333333333329</v>
      </c>
      <c r="I1825" s="113">
        <v>26.7</v>
      </c>
      <c r="J1825" s="113">
        <v>68.81</v>
      </c>
      <c r="K1825" s="113">
        <v>-50.6</v>
      </c>
      <c r="L1825" s="183"/>
      <c r="M1825" s="16">
        <v>1822</v>
      </c>
      <c r="N1825" s="16">
        <f t="shared" si="203"/>
        <v>1.8506585030011565E-2</v>
      </c>
      <c r="O1825" s="16">
        <v>5</v>
      </c>
      <c r="P1825" s="16">
        <f t="shared" si="199"/>
        <v>8.1742160278745661</v>
      </c>
      <c r="Q1825" s="16">
        <f t="shared" si="204"/>
        <v>54.034820491102515</v>
      </c>
      <c r="R1825" s="113">
        <f t="shared" si="200"/>
        <v>319.54399999999998</v>
      </c>
      <c r="S1825" s="16">
        <f>IF(S1824=15800,15800,ROUND((((Q1825*60)/'Gearing Calculator'!$C$14)*'Track Data'!P1825),-2))</f>
        <v>13400</v>
      </c>
      <c r="T1825" s="16">
        <f t="shared" si="202"/>
        <v>3.9259213927261993</v>
      </c>
      <c r="U1825" s="16">
        <f>IF(AC1825=100,Braking!$AG$2354,IF(AC1825=50,Braking!$AG$1179,IF(AC1825=75,Braking!$AG$1767,0)))</f>
        <v>0</v>
      </c>
      <c r="V1825" s="16">
        <f>0.5*'Gearing Calculator'!$C$15*'Gearing Calculator'!$C$20*'Gearing Calculator'!$W$20*('Track Data'!Q1825^2)</f>
        <v>309.02759161152034</v>
      </c>
      <c r="W1825" s="16">
        <f>('Gearing Calculator'!$U$9*'Track Data'!T1825)+'Track Data'!V1825</f>
        <v>1354.1078663552346</v>
      </c>
      <c r="X1825" s="16">
        <f>('Gearing Calculator'!$U$9*9.81)*('Gearing Calculator'!$U$16/'Gearing Calculator'!$C$7)-(('Track Data'!W1825)*('Gearing Calculator'!$U$17/'Gearing Calculator'!$C$7))</f>
        <v>663.08103575513042</v>
      </c>
      <c r="Y1825" s="16">
        <f>('Gearing Calculator'!$U$9*9.81)*(('Gearing Calculator'!$C$7-'Gearing Calculator'!$U$16)/'Gearing Calculator'!$C$7)+(('Track Data'!W1825)*('Gearing Calculator'!$U$17/'Gearing Calculator'!$C$7))</f>
        <v>1948.3409642448696</v>
      </c>
      <c r="Z1825" s="16">
        <f>((X1825*COS('Gearing Calculator'!$C$21))/'Gearing Calculator'!$C$22)/2</f>
        <v>20.500368478906633</v>
      </c>
      <c r="AA1825" s="16">
        <f>Y1825/'Gearing Calculator'!$C$24</f>
        <v>27.205374686443935</v>
      </c>
      <c r="AB1825" s="16">
        <f t="shared" si="198"/>
        <v>328.65719857515131</v>
      </c>
      <c r="AC1825" s="16">
        <v>0</v>
      </c>
      <c r="AD1825" s="16">
        <v>-49.842163139380297</v>
      </c>
      <c r="AE1825" s="16">
        <v>1822</v>
      </c>
      <c r="AF1825" s="16">
        <f>IF(AC1825=0,IF(O1825=6,INDEX(Acceleration!$V$4:$V$110,MATCH('Track Data'!S1825,Acceleration!$K$4:$K$110,0)),IF('Track Data'!O1825=5,INDEX(Acceleration!$U$4:$U$110,MATCH('Track Data'!S1825,Acceleration!$K$4:$K$110,0)),1)),U1825)</f>
        <v>3.9259213927261993</v>
      </c>
      <c r="AG1825" s="16">
        <f>IF(AC1825=0,IF(O1825=4,INDEX(Acceleration!$T$4:$T$110,MATCH('Track Data'!S1825,Acceleration!$K$4:$K$110,0)),IF('Track Data'!O1825=3,INDEX(Acceleration!$S$4:$S$110,MATCH('Track Data'!S1825,Acceleration!$K$4:$K$110,0)),'Track Data'!AF1825)),'Track Data'!U1825)</f>
        <v>3.9259213927261993</v>
      </c>
      <c r="AH1825" s="16">
        <f>IF(AC1825=0,IF(O1825=2,INDEX(Acceleration!$R$4:$R$110,MATCH('Track Data'!S1825,Acceleration!$K$4:$K$110,0)),IF('Track Data'!O1825=1,INDEX(Acceleration!$Q$4:$Q$110,MATCH('Track Data'!S1825,Acceleration!$K$4:$K$110,0)),'Track Data'!AG1825)),'Track Data'!U1825)</f>
        <v>3.9259213927261993</v>
      </c>
    </row>
    <row r="1826" spans="2:34" x14ac:dyDescent="0.25">
      <c r="B1826" s="16">
        <v>245.09700000000001</v>
      </c>
      <c r="C1826" s="16">
        <v>9096</v>
      </c>
      <c r="D1826" s="16">
        <v>1823</v>
      </c>
      <c r="E1826" s="113">
        <v>197</v>
      </c>
      <c r="F1826" s="113">
        <v>189.4</v>
      </c>
      <c r="G1826" s="113">
        <v>173.9</v>
      </c>
      <c r="H1826" s="113">
        <f t="shared" si="201"/>
        <v>48.305555555555557</v>
      </c>
      <c r="I1826" s="113">
        <v>25.8</v>
      </c>
      <c r="J1826" s="113">
        <v>73.150000000000006</v>
      </c>
      <c r="K1826" s="113">
        <v>-50.9</v>
      </c>
      <c r="L1826" s="183"/>
      <c r="M1826" s="16">
        <v>1823</v>
      </c>
      <c r="N1826" s="16">
        <f t="shared" si="203"/>
        <v>1.8506585030011565E-2</v>
      </c>
      <c r="O1826" s="16">
        <v>5</v>
      </c>
      <c r="P1826" s="16">
        <f t="shared" si="199"/>
        <v>8.1742160278745661</v>
      </c>
      <c r="Q1826" s="16">
        <f t="shared" si="204"/>
        <v>54.034820491102515</v>
      </c>
      <c r="R1826" s="113">
        <f t="shared" si="200"/>
        <v>319.54399999999998</v>
      </c>
      <c r="S1826" s="16">
        <f>IF(S1825=15800,15800,ROUND((((Q1826*60)/'Gearing Calculator'!$C$14)*'Track Data'!P1826),-2))</f>
        <v>13400</v>
      </c>
      <c r="T1826" s="16">
        <f t="shared" si="202"/>
        <v>3.9259213927261993</v>
      </c>
      <c r="U1826" s="16">
        <f>IF(AC1826=100,Braking!$AG$2354,IF(AC1826=50,Braking!$AG$1179,IF(AC1826=75,Braking!$AG$1767,0)))</f>
        <v>0</v>
      </c>
      <c r="V1826" s="16">
        <f>0.5*'Gearing Calculator'!$C$15*'Gearing Calculator'!$C$20*'Gearing Calculator'!$W$20*('Track Data'!Q1826^2)</f>
        <v>309.02759161152034</v>
      </c>
      <c r="W1826" s="16">
        <f>('Gearing Calculator'!$U$9*'Track Data'!T1826)+'Track Data'!V1826</f>
        <v>1354.1078663552346</v>
      </c>
      <c r="X1826" s="16">
        <f>('Gearing Calculator'!$U$9*9.81)*('Gearing Calculator'!$U$16/'Gearing Calculator'!$C$7)-(('Track Data'!W1826)*('Gearing Calculator'!$U$17/'Gearing Calculator'!$C$7))</f>
        <v>663.08103575513042</v>
      </c>
      <c r="Y1826" s="16">
        <f>('Gearing Calculator'!$U$9*9.81)*(('Gearing Calculator'!$C$7-'Gearing Calculator'!$U$16)/'Gearing Calculator'!$C$7)+(('Track Data'!W1826)*('Gearing Calculator'!$U$17/'Gearing Calculator'!$C$7))</f>
        <v>1948.3409642448696</v>
      </c>
      <c r="Z1826" s="16">
        <f>((X1826*COS('Gearing Calculator'!$C$21))/'Gearing Calculator'!$C$22)/2</f>
        <v>20.500368478906633</v>
      </c>
      <c r="AA1826" s="16">
        <f>Y1826/'Gearing Calculator'!$C$24</f>
        <v>27.205374686443935</v>
      </c>
      <c r="AB1826" s="16">
        <f t="shared" si="198"/>
        <v>328.65719857515131</v>
      </c>
      <c r="AC1826" s="16">
        <v>0</v>
      </c>
      <c r="AD1826" s="16">
        <v>-49.842163139380297</v>
      </c>
      <c r="AE1826" s="16">
        <v>1823</v>
      </c>
      <c r="AF1826" s="16">
        <f>IF(AC1826=0,IF(O1826=6,INDEX(Acceleration!$V$4:$V$110,MATCH('Track Data'!S1826,Acceleration!$K$4:$K$110,0)),IF('Track Data'!O1826=5,INDEX(Acceleration!$U$4:$U$110,MATCH('Track Data'!S1826,Acceleration!$K$4:$K$110,0)),1)),U1826)</f>
        <v>3.9259213927261993</v>
      </c>
      <c r="AG1826" s="16">
        <f>IF(AC1826=0,IF(O1826=4,INDEX(Acceleration!$T$4:$T$110,MATCH('Track Data'!S1826,Acceleration!$K$4:$K$110,0)),IF('Track Data'!O1826=3,INDEX(Acceleration!$S$4:$S$110,MATCH('Track Data'!S1826,Acceleration!$K$4:$K$110,0)),'Track Data'!AF1826)),'Track Data'!U1826)</f>
        <v>3.9259213927261993</v>
      </c>
      <c r="AH1826" s="16">
        <f>IF(AC1826=0,IF(O1826=2,INDEX(Acceleration!$R$4:$R$110,MATCH('Track Data'!S1826,Acceleration!$K$4:$K$110,0)),IF('Track Data'!O1826=1,INDEX(Acceleration!$Q$4:$Q$110,MATCH('Track Data'!S1826,Acceleration!$K$4:$K$110,0)),'Track Data'!AG1826)),'Track Data'!U1826)</f>
        <v>3.9259213927261993</v>
      </c>
    </row>
    <row r="1827" spans="2:34" x14ac:dyDescent="0.25">
      <c r="B1827" s="16">
        <v>245.11600000000001</v>
      </c>
      <c r="C1827" s="16">
        <v>9097</v>
      </c>
      <c r="D1827" s="16">
        <v>1824</v>
      </c>
      <c r="E1827" s="113">
        <v>196</v>
      </c>
      <c r="F1827" s="113">
        <v>189.5</v>
      </c>
      <c r="G1827" s="113">
        <v>173.9</v>
      </c>
      <c r="H1827" s="113">
        <f t="shared" si="201"/>
        <v>48.305555555555557</v>
      </c>
      <c r="I1827" s="113">
        <v>25.8</v>
      </c>
      <c r="J1827" s="113">
        <v>68.77</v>
      </c>
      <c r="K1827" s="113">
        <v>-51.2</v>
      </c>
      <c r="L1827" s="183"/>
      <c r="M1827" s="16">
        <v>1824</v>
      </c>
      <c r="N1827" s="16">
        <f t="shared" si="203"/>
        <v>1.8506585030011565E-2</v>
      </c>
      <c r="O1827" s="16">
        <v>5</v>
      </c>
      <c r="P1827" s="16">
        <f t="shared" si="199"/>
        <v>8.1742160278745661</v>
      </c>
      <c r="Q1827" s="16">
        <f t="shared" si="204"/>
        <v>54.034820491102515</v>
      </c>
      <c r="R1827" s="113">
        <f t="shared" si="200"/>
        <v>319.54399999999998</v>
      </c>
      <c r="S1827" s="16">
        <f>IF(S1826=15800,15800,ROUND((((Q1827*60)/'Gearing Calculator'!$C$14)*'Track Data'!P1827),-2))</f>
        <v>13400</v>
      </c>
      <c r="T1827" s="16">
        <f t="shared" si="202"/>
        <v>3.9259213927261993</v>
      </c>
      <c r="U1827" s="16">
        <f>IF(AC1827=100,Braking!$AG$2354,IF(AC1827=50,Braking!$AG$1179,IF(AC1827=75,Braking!$AG$1767,0)))</f>
        <v>0</v>
      </c>
      <c r="V1827" s="16">
        <f>0.5*'Gearing Calculator'!$C$15*'Gearing Calculator'!$C$20*'Gearing Calculator'!$W$20*('Track Data'!Q1827^2)</f>
        <v>309.02759161152034</v>
      </c>
      <c r="W1827" s="16">
        <f>('Gearing Calculator'!$U$9*'Track Data'!T1827)+'Track Data'!V1827</f>
        <v>1354.1078663552346</v>
      </c>
      <c r="X1827" s="16">
        <f>('Gearing Calculator'!$U$9*9.81)*('Gearing Calculator'!$U$16/'Gearing Calculator'!$C$7)-(('Track Data'!W1827)*('Gearing Calculator'!$U$17/'Gearing Calculator'!$C$7))</f>
        <v>663.08103575513042</v>
      </c>
      <c r="Y1827" s="16">
        <f>('Gearing Calculator'!$U$9*9.81)*(('Gearing Calculator'!$C$7-'Gearing Calculator'!$U$16)/'Gearing Calculator'!$C$7)+(('Track Data'!W1827)*('Gearing Calculator'!$U$17/'Gearing Calculator'!$C$7))</f>
        <v>1948.3409642448696</v>
      </c>
      <c r="Z1827" s="16">
        <f>((X1827*COS('Gearing Calculator'!$C$21))/'Gearing Calculator'!$C$22)/2</f>
        <v>20.500368478906633</v>
      </c>
      <c r="AA1827" s="16">
        <f>Y1827/'Gearing Calculator'!$C$24</f>
        <v>27.205374686443935</v>
      </c>
      <c r="AB1827" s="16">
        <f t="shared" si="198"/>
        <v>328.65719857515131</v>
      </c>
      <c r="AC1827" s="16">
        <v>0</v>
      </c>
      <c r="AD1827" s="16">
        <v>-49.842163139380297</v>
      </c>
      <c r="AE1827" s="16">
        <v>1824</v>
      </c>
      <c r="AF1827" s="16">
        <f>IF(AC1827=0,IF(O1827=6,INDEX(Acceleration!$V$4:$V$110,MATCH('Track Data'!S1827,Acceleration!$K$4:$K$110,0)),IF('Track Data'!O1827=5,INDEX(Acceleration!$U$4:$U$110,MATCH('Track Data'!S1827,Acceleration!$K$4:$K$110,0)),1)),U1827)</f>
        <v>3.9259213927261993</v>
      </c>
      <c r="AG1827" s="16">
        <f>IF(AC1827=0,IF(O1827=4,INDEX(Acceleration!$T$4:$T$110,MATCH('Track Data'!S1827,Acceleration!$K$4:$K$110,0)),IF('Track Data'!O1827=3,INDEX(Acceleration!$S$4:$S$110,MATCH('Track Data'!S1827,Acceleration!$K$4:$K$110,0)),'Track Data'!AF1827)),'Track Data'!U1827)</f>
        <v>3.9259213927261993</v>
      </c>
      <c r="AH1827" s="16">
        <f>IF(AC1827=0,IF(O1827=2,INDEX(Acceleration!$R$4:$R$110,MATCH('Track Data'!S1827,Acceleration!$K$4:$K$110,0)),IF('Track Data'!O1827=1,INDEX(Acceleration!$Q$4:$Q$110,MATCH('Track Data'!S1827,Acceleration!$K$4:$K$110,0)),'Track Data'!AG1827)),'Track Data'!U1827)</f>
        <v>3.9259213927261993</v>
      </c>
    </row>
    <row r="1828" spans="2:34" x14ac:dyDescent="0.25">
      <c r="B1828" s="16">
        <v>245.13499999999999</v>
      </c>
      <c r="C1828" s="16">
        <v>9098</v>
      </c>
      <c r="D1828" s="16">
        <v>1825</v>
      </c>
      <c r="E1828" s="113">
        <v>196</v>
      </c>
      <c r="F1828" s="113">
        <v>189.5</v>
      </c>
      <c r="G1828" s="113">
        <v>173.9</v>
      </c>
      <c r="H1828" s="113">
        <f t="shared" si="201"/>
        <v>48.305555555555557</v>
      </c>
      <c r="I1828" s="113">
        <v>26.4</v>
      </c>
      <c r="J1828" s="113">
        <v>69.540000000000006</v>
      </c>
      <c r="K1828" s="113">
        <v>-46.7</v>
      </c>
      <c r="L1828" s="183"/>
      <c r="M1828" s="16">
        <v>1825</v>
      </c>
      <c r="N1828" s="16">
        <f t="shared" si="203"/>
        <v>1.8506585030011565E-2</v>
      </c>
      <c r="O1828" s="16">
        <v>5</v>
      </c>
      <c r="P1828" s="16">
        <f t="shared" si="199"/>
        <v>8.1742160278745661</v>
      </c>
      <c r="Q1828" s="16">
        <f t="shared" si="204"/>
        <v>54.034820491102515</v>
      </c>
      <c r="R1828" s="113">
        <f t="shared" si="200"/>
        <v>319.54399999999998</v>
      </c>
      <c r="S1828" s="16">
        <f>IF(S1827=15800,15800,ROUND((((Q1828*60)/'Gearing Calculator'!$C$14)*'Track Data'!P1828),-2))</f>
        <v>13400</v>
      </c>
      <c r="T1828" s="16">
        <f t="shared" si="202"/>
        <v>3.9259213927261993</v>
      </c>
      <c r="U1828" s="16">
        <f>IF(AC1828=100,Braking!$AG$2354,IF(AC1828=50,Braking!$AG$1179,IF(AC1828=75,Braking!$AG$1767,0)))</f>
        <v>0</v>
      </c>
      <c r="V1828" s="16">
        <f>0.5*'Gearing Calculator'!$C$15*'Gearing Calculator'!$C$20*'Gearing Calculator'!$W$20*('Track Data'!Q1828^2)</f>
        <v>309.02759161152034</v>
      </c>
      <c r="W1828" s="16">
        <f>('Gearing Calculator'!$U$9*'Track Data'!T1828)+'Track Data'!V1828</f>
        <v>1354.1078663552346</v>
      </c>
      <c r="X1828" s="16">
        <f>('Gearing Calculator'!$U$9*9.81)*('Gearing Calculator'!$U$16/'Gearing Calculator'!$C$7)-(('Track Data'!W1828)*('Gearing Calculator'!$U$17/'Gearing Calculator'!$C$7))</f>
        <v>663.08103575513042</v>
      </c>
      <c r="Y1828" s="16">
        <f>('Gearing Calculator'!$U$9*9.81)*(('Gearing Calculator'!$C$7-'Gearing Calculator'!$U$16)/'Gearing Calculator'!$C$7)+(('Track Data'!W1828)*('Gearing Calculator'!$U$17/'Gearing Calculator'!$C$7))</f>
        <v>1948.3409642448696</v>
      </c>
      <c r="Z1828" s="16">
        <f>((X1828*COS('Gearing Calculator'!$C$21))/'Gearing Calculator'!$C$22)/2</f>
        <v>20.500368478906633</v>
      </c>
      <c r="AA1828" s="16">
        <f>Y1828/'Gearing Calculator'!$C$24</f>
        <v>27.205374686443935</v>
      </c>
      <c r="AB1828" s="16">
        <f t="shared" si="198"/>
        <v>328.65719857515131</v>
      </c>
      <c r="AC1828" s="16">
        <v>0</v>
      </c>
      <c r="AD1828" s="16">
        <v>-49.842163139380297</v>
      </c>
      <c r="AE1828" s="16">
        <v>1825</v>
      </c>
      <c r="AF1828" s="16">
        <f>IF(AC1828=0,IF(O1828=6,INDEX(Acceleration!$V$4:$V$110,MATCH('Track Data'!S1828,Acceleration!$K$4:$K$110,0)),IF('Track Data'!O1828=5,INDEX(Acceleration!$U$4:$U$110,MATCH('Track Data'!S1828,Acceleration!$K$4:$K$110,0)),1)),U1828)</f>
        <v>3.9259213927261993</v>
      </c>
      <c r="AG1828" s="16">
        <f>IF(AC1828=0,IF(O1828=4,INDEX(Acceleration!$T$4:$T$110,MATCH('Track Data'!S1828,Acceleration!$K$4:$K$110,0)),IF('Track Data'!O1828=3,INDEX(Acceleration!$S$4:$S$110,MATCH('Track Data'!S1828,Acceleration!$K$4:$K$110,0)),'Track Data'!AF1828)),'Track Data'!U1828)</f>
        <v>3.9259213927261993</v>
      </c>
      <c r="AH1828" s="16">
        <f>IF(AC1828=0,IF(O1828=2,INDEX(Acceleration!$R$4:$R$110,MATCH('Track Data'!S1828,Acceleration!$K$4:$K$110,0)),IF('Track Data'!O1828=1,INDEX(Acceleration!$Q$4:$Q$110,MATCH('Track Data'!S1828,Acceleration!$K$4:$K$110,0)),'Track Data'!AG1828)),'Track Data'!U1828)</f>
        <v>3.9259213927261993</v>
      </c>
    </row>
    <row r="1829" spans="2:34" x14ac:dyDescent="0.25">
      <c r="B1829" s="16">
        <v>245.154</v>
      </c>
      <c r="C1829" s="16">
        <v>9099</v>
      </c>
      <c r="D1829" s="16">
        <v>1826</v>
      </c>
      <c r="E1829" s="113">
        <v>196</v>
      </c>
      <c r="F1829" s="113">
        <v>189.4</v>
      </c>
      <c r="G1829" s="113">
        <v>173.9</v>
      </c>
      <c r="H1829" s="113">
        <f t="shared" si="201"/>
        <v>48.305555555555557</v>
      </c>
      <c r="I1829" s="113">
        <v>26.2</v>
      </c>
      <c r="J1829" s="113">
        <v>70.67</v>
      </c>
      <c r="K1829" s="113">
        <v>-40</v>
      </c>
      <c r="L1829" s="183"/>
      <c r="M1829" s="16">
        <v>1826</v>
      </c>
      <c r="N1829" s="16">
        <f t="shared" si="203"/>
        <v>1.8506585030011565E-2</v>
      </c>
      <c r="O1829" s="16">
        <v>5</v>
      </c>
      <c r="P1829" s="16">
        <f t="shared" si="199"/>
        <v>8.1742160278745661</v>
      </c>
      <c r="Q1829" s="16">
        <f t="shared" si="204"/>
        <v>54.034820491102515</v>
      </c>
      <c r="R1829" s="113">
        <f t="shared" si="200"/>
        <v>319.54399999999998</v>
      </c>
      <c r="S1829" s="16">
        <f>IF(S1828=15800,15800,ROUND((((Q1829*60)/'Gearing Calculator'!$C$14)*'Track Data'!P1829),-2))</f>
        <v>13400</v>
      </c>
      <c r="T1829" s="16">
        <f t="shared" si="202"/>
        <v>3.9259213927261993</v>
      </c>
      <c r="U1829" s="16">
        <f>IF(AC1829=100,Braking!$AG$2354,IF(AC1829=50,Braking!$AG$1179,IF(AC1829=75,Braking!$AG$1767,0)))</f>
        <v>0</v>
      </c>
      <c r="V1829" s="16">
        <f>0.5*'Gearing Calculator'!$C$15*'Gearing Calculator'!$C$20*'Gearing Calculator'!$W$20*('Track Data'!Q1829^2)</f>
        <v>309.02759161152034</v>
      </c>
      <c r="W1829" s="16">
        <f>('Gearing Calculator'!$U$9*'Track Data'!T1829)+'Track Data'!V1829</f>
        <v>1354.1078663552346</v>
      </c>
      <c r="X1829" s="16">
        <f>('Gearing Calculator'!$U$9*9.81)*('Gearing Calculator'!$U$16/'Gearing Calculator'!$C$7)-(('Track Data'!W1829)*('Gearing Calculator'!$U$17/'Gearing Calculator'!$C$7))</f>
        <v>663.08103575513042</v>
      </c>
      <c r="Y1829" s="16">
        <f>('Gearing Calculator'!$U$9*9.81)*(('Gearing Calculator'!$C$7-'Gearing Calculator'!$U$16)/'Gearing Calculator'!$C$7)+(('Track Data'!W1829)*('Gearing Calculator'!$U$17/'Gearing Calculator'!$C$7))</f>
        <v>1948.3409642448696</v>
      </c>
      <c r="Z1829" s="16">
        <f>((X1829*COS('Gearing Calculator'!$C$21))/'Gearing Calculator'!$C$22)/2</f>
        <v>20.500368478906633</v>
      </c>
      <c r="AA1829" s="16">
        <f>Y1829/'Gearing Calculator'!$C$24</f>
        <v>27.205374686443935</v>
      </c>
      <c r="AB1829" s="16">
        <f t="shared" si="198"/>
        <v>328.65719857515131</v>
      </c>
      <c r="AC1829" s="16">
        <v>0</v>
      </c>
      <c r="AD1829" s="16">
        <v>-49.842163139380297</v>
      </c>
      <c r="AE1829" s="16">
        <v>1826</v>
      </c>
      <c r="AF1829" s="16">
        <f>IF(AC1829=0,IF(O1829=6,INDEX(Acceleration!$V$4:$V$110,MATCH('Track Data'!S1829,Acceleration!$K$4:$K$110,0)),IF('Track Data'!O1829=5,INDEX(Acceleration!$U$4:$U$110,MATCH('Track Data'!S1829,Acceleration!$K$4:$K$110,0)),1)),U1829)</f>
        <v>3.9259213927261993</v>
      </c>
      <c r="AG1829" s="16">
        <f>IF(AC1829=0,IF(O1829=4,INDEX(Acceleration!$T$4:$T$110,MATCH('Track Data'!S1829,Acceleration!$K$4:$K$110,0)),IF('Track Data'!O1829=3,INDEX(Acceleration!$S$4:$S$110,MATCH('Track Data'!S1829,Acceleration!$K$4:$K$110,0)),'Track Data'!AF1829)),'Track Data'!U1829)</f>
        <v>3.9259213927261993</v>
      </c>
      <c r="AH1829" s="16">
        <f>IF(AC1829=0,IF(O1829=2,INDEX(Acceleration!$R$4:$R$110,MATCH('Track Data'!S1829,Acceleration!$K$4:$K$110,0)),IF('Track Data'!O1829=1,INDEX(Acceleration!$Q$4:$Q$110,MATCH('Track Data'!S1829,Acceleration!$K$4:$K$110,0)),'Track Data'!AG1829)),'Track Data'!U1829)</f>
        <v>3.9259213927261993</v>
      </c>
    </row>
    <row r="1830" spans="2:34" x14ac:dyDescent="0.25">
      <c r="B1830" s="16">
        <v>245.173</v>
      </c>
      <c r="C1830" s="16">
        <v>9100</v>
      </c>
      <c r="D1830" s="16">
        <v>1827</v>
      </c>
      <c r="E1830" s="113">
        <v>196</v>
      </c>
      <c r="F1830" s="113">
        <v>189.1</v>
      </c>
      <c r="G1830" s="113">
        <v>173.9</v>
      </c>
      <c r="H1830" s="113">
        <f t="shared" si="201"/>
        <v>48.305555555555557</v>
      </c>
      <c r="I1830" s="113">
        <v>25.1</v>
      </c>
      <c r="J1830" s="113">
        <v>71.790000000000006</v>
      </c>
      <c r="K1830" s="113">
        <v>-33.299999999999997</v>
      </c>
      <c r="L1830" s="183"/>
      <c r="M1830" s="16">
        <v>1827</v>
      </c>
      <c r="N1830" s="16">
        <f t="shared" si="203"/>
        <v>1.8506585030011565E-2</v>
      </c>
      <c r="O1830" s="16">
        <v>5</v>
      </c>
      <c r="P1830" s="16">
        <f t="shared" si="199"/>
        <v>8.1742160278745661</v>
      </c>
      <c r="Q1830" s="16">
        <f t="shared" si="204"/>
        <v>54.034820491102515</v>
      </c>
      <c r="R1830" s="113">
        <f t="shared" si="200"/>
        <v>319.54399999999998</v>
      </c>
      <c r="S1830" s="16">
        <f>IF(S1829=15800,15800,ROUND((((Q1830*60)/'Gearing Calculator'!$C$14)*'Track Data'!P1830),-2))</f>
        <v>13400</v>
      </c>
      <c r="T1830" s="16">
        <f t="shared" si="202"/>
        <v>3.9259213927261993</v>
      </c>
      <c r="U1830" s="16">
        <f>IF(AC1830=100,Braking!$AG$2354,IF(AC1830=50,Braking!$AG$1179,IF(AC1830=75,Braking!$AG$1767,0)))</f>
        <v>0</v>
      </c>
      <c r="V1830" s="16">
        <f>0.5*'Gearing Calculator'!$C$15*'Gearing Calculator'!$C$20*'Gearing Calculator'!$W$20*('Track Data'!Q1830^2)</f>
        <v>309.02759161152034</v>
      </c>
      <c r="W1830" s="16">
        <f>('Gearing Calculator'!$U$9*'Track Data'!T1830)+'Track Data'!V1830</f>
        <v>1354.1078663552346</v>
      </c>
      <c r="X1830" s="16">
        <f>('Gearing Calculator'!$U$9*9.81)*('Gearing Calculator'!$U$16/'Gearing Calculator'!$C$7)-(('Track Data'!W1830)*('Gearing Calculator'!$U$17/'Gearing Calculator'!$C$7))</f>
        <v>663.08103575513042</v>
      </c>
      <c r="Y1830" s="16">
        <f>('Gearing Calculator'!$U$9*9.81)*(('Gearing Calculator'!$C$7-'Gearing Calculator'!$U$16)/'Gearing Calculator'!$C$7)+(('Track Data'!W1830)*('Gearing Calculator'!$U$17/'Gearing Calculator'!$C$7))</f>
        <v>1948.3409642448696</v>
      </c>
      <c r="Z1830" s="16">
        <f>((X1830*COS('Gearing Calculator'!$C$21))/'Gearing Calculator'!$C$22)/2</f>
        <v>20.500368478906633</v>
      </c>
      <c r="AA1830" s="16">
        <f>Y1830/'Gearing Calculator'!$C$24</f>
        <v>27.205374686443935</v>
      </c>
      <c r="AB1830" s="16">
        <f t="shared" si="198"/>
        <v>328.65719857515131</v>
      </c>
      <c r="AC1830" s="16">
        <v>0</v>
      </c>
      <c r="AD1830" s="16">
        <v>-49.842163139380297</v>
      </c>
      <c r="AE1830" s="16">
        <v>1827</v>
      </c>
      <c r="AF1830" s="16">
        <f>IF(AC1830=0,IF(O1830=6,INDEX(Acceleration!$V$4:$V$110,MATCH('Track Data'!S1830,Acceleration!$K$4:$K$110,0)),IF('Track Data'!O1830=5,INDEX(Acceleration!$U$4:$U$110,MATCH('Track Data'!S1830,Acceleration!$K$4:$K$110,0)),1)),U1830)</f>
        <v>3.9259213927261993</v>
      </c>
      <c r="AG1830" s="16">
        <f>IF(AC1830=0,IF(O1830=4,INDEX(Acceleration!$T$4:$T$110,MATCH('Track Data'!S1830,Acceleration!$K$4:$K$110,0)),IF('Track Data'!O1830=3,INDEX(Acceleration!$S$4:$S$110,MATCH('Track Data'!S1830,Acceleration!$K$4:$K$110,0)),'Track Data'!AF1830)),'Track Data'!U1830)</f>
        <v>3.9259213927261993</v>
      </c>
      <c r="AH1830" s="16">
        <f>IF(AC1830=0,IF(O1830=2,INDEX(Acceleration!$R$4:$R$110,MATCH('Track Data'!S1830,Acceleration!$K$4:$K$110,0)),IF('Track Data'!O1830=1,INDEX(Acceleration!$Q$4:$Q$110,MATCH('Track Data'!S1830,Acceleration!$K$4:$K$110,0)),'Track Data'!AG1830)),'Track Data'!U1830)</f>
        <v>3.9259213927261993</v>
      </c>
    </row>
    <row r="1831" spans="2:34" x14ac:dyDescent="0.25">
      <c r="B1831" s="16">
        <v>245.19200000000001</v>
      </c>
      <c r="C1831" s="16">
        <v>9101</v>
      </c>
      <c r="D1831" s="16">
        <v>1828</v>
      </c>
      <c r="E1831" s="113">
        <v>197</v>
      </c>
      <c r="F1831" s="113">
        <v>188.5</v>
      </c>
      <c r="G1831" s="113">
        <v>173.9</v>
      </c>
      <c r="H1831" s="113">
        <f t="shared" si="201"/>
        <v>48.305555555555557</v>
      </c>
      <c r="I1831" s="113">
        <v>24.9</v>
      </c>
      <c r="J1831" s="113">
        <v>70.84</v>
      </c>
      <c r="K1831" s="113">
        <v>-26.6</v>
      </c>
      <c r="L1831" s="183"/>
      <c r="M1831" s="16">
        <v>1828</v>
      </c>
      <c r="N1831" s="16">
        <f t="shared" si="203"/>
        <v>1.8506585030011565E-2</v>
      </c>
      <c r="O1831" s="16">
        <v>5</v>
      </c>
      <c r="P1831" s="16">
        <f t="shared" si="199"/>
        <v>8.1742160278745661</v>
      </c>
      <c r="Q1831" s="16">
        <f t="shared" si="204"/>
        <v>54.034820491102515</v>
      </c>
      <c r="R1831" s="113">
        <f t="shared" si="200"/>
        <v>319.54399999999998</v>
      </c>
      <c r="S1831" s="16">
        <f>IF(S1830=15800,15800,ROUND((((Q1831*60)/'Gearing Calculator'!$C$14)*'Track Data'!P1831),-2))</f>
        <v>13400</v>
      </c>
      <c r="T1831" s="16">
        <f t="shared" si="202"/>
        <v>3.9259213927261993</v>
      </c>
      <c r="U1831" s="16">
        <f>IF(AC1831=100,Braking!$AG$2354,IF(AC1831=50,Braking!$AG$1179,IF(AC1831=75,Braking!$AG$1767,0)))</f>
        <v>0</v>
      </c>
      <c r="V1831" s="16">
        <f>0.5*'Gearing Calculator'!$C$15*'Gearing Calculator'!$C$20*'Gearing Calculator'!$W$20*('Track Data'!Q1831^2)</f>
        <v>309.02759161152034</v>
      </c>
      <c r="W1831" s="16">
        <f>('Gearing Calculator'!$U$9*'Track Data'!T1831)+'Track Data'!V1831</f>
        <v>1354.1078663552346</v>
      </c>
      <c r="X1831" s="16">
        <f>('Gearing Calculator'!$U$9*9.81)*('Gearing Calculator'!$U$16/'Gearing Calculator'!$C$7)-(('Track Data'!W1831)*('Gearing Calculator'!$U$17/'Gearing Calculator'!$C$7))</f>
        <v>663.08103575513042</v>
      </c>
      <c r="Y1831" s="16">
        <f>('Gearing Calculator'!$U$9*9.81)*(('Gearing Calculator'!$C$7-'Gearing Calculator'!$U$16)/'Gearing Calculator'!$C$7)+(('Track Data'!W1831)*('Gearing Calculator'!$U$17/'Gearing Calculator'!$C$7))</f>
        <v>1948.3409642448696</v>
      </c>
      <c r="Z1831" s="16">
        <f>((X1831*COS('Gearing Calculator'!$C$21))/'Gearing Calculator'!$C$22)/2</f>
        <v>20.500368478906633</v>
      </c>
      <c r="AA1831" s="16">
        <f>Y1831/'Gearing Calculator'!$C$24</f>
        <v>27.205374686443935</v>
      </c>
      <c r="AB1831" s="16">
        <f t="shared" si="198"/>
        <v>328.65719857515131</v>
      </c>
      <c r="AC1831" s="16">
        <v>0</v>
      </c>
      <c r="AD1831" s="16">
        <v>-49.842163139380297</v>
      </c>
      <c r="AE1831" s="16">
        <v>1828</v>
      </c>
      <c r="AF1831" s="16">
        <f>IF(AC1831=0,IF(O1831=6,INDEX(Acceleration!$V$4:$V$110,MATCH('Track Data'!S1831,Acceleration!$K$4:$K$110,0)),IF('Track Data'!O1831=5,INDEX(Acceleration!$U$4:$U$110,MATCH('Track Data'!S1831,Acceleration!$K$4:$K$110,0)),1)),U1831)</f>
        <v>3.9259213927261993</v>
      </c>
      <c r="AG1831" s="16">
        <f>IF(AC1831=0,IF(O1831=4,INDEX(Acceleration!$T$4:$T$110,MATCH('Track Data'!S1831,Acceleration!$K$4:$K$110,0)),IF('Track Data'!O1831=3,INDEX(Acceleration!$S$4:$S$110,MATCH('Track Data'!S1831,Acceleration!$K$4:$K$110,0)),'Track Data'!AF1831)),'Track Data'!U1831)</f>
        <v>3.9259213927261993</v>
      </c>
      <c r="AH1831" s="16">
        <f>IF(AC1831=0,IF(O1831=2,INDEX(Acceleration!$R$4:$R$110,MATCH('Track Data'!S1831,Acceleration!$K$4:$K$110,0)),IF('Track Data'!O1831=1,INDEX(Acceleration!$Q$4:$Q$110,MATCH('Track Data'!S1831,Acceleration!$K$4:$K$110,0)),'Track Data'!AG1831)),'Track Data'!U1831)</f>
        <v>3.9259213927261993</v>
      </c>
    </row>
    <row r="1832" spans="2:34" x14ac:dyDescent="0.25">
      <c r="B1832" s="16">
        <v>245.21100000000001</v>
      </c>
      <c r="C1832" s="16">
        <v>9102</v>
      </c>
      <c r="D1832" s="16">
        <v>1829</v>
      </c>
      <c r="E1832" s="113">
        <v>196</v>
      </c>
      <c r="F1832" s="113">
        <v>188.1</v>
      </c>
      <c r="G1832" s="113">
        <v>173.9</v>
      </c>
      <c r="H1832" s="113">
        <f t="shared" si="201"/>
        <v>48.305555555555557</v>
      </c>
      <c r="I1832" s="113">
        <v>26.2</v>
      </c>
      <c r="J1832" s="113">
        <v>67.31</v>
      </c>
      <c r="K1832" s="113">
        <v>-31.2</v>
      </c>
      <c r="L1832" s="183"/>
      <c r="M1832" s="16">
        <v>1829</v>
      </c>
      <c r="N1832" s="16">
        <f t="shared" si="203"/>
        <v>1.8506585030011565E-2</v>
      </c>
      <c r="O1832" s="16">
        <v>5</v>
      </c>
      <c r="P1832" s="16">
        <f t="shared" si="199"/>
        <v>8.1742160278745661</v>
      </c>
      <c r="Q1832" s="16">
        <f t="shared" si="204"/>
        <v>54.034820491102515</v>
      </c>
      <c r="R1832" s="113">
        <f t="shared" si="200"/>
        <v>319.54399999999998</v>
      </c>
      <c r="S1832" s="16">
        <f>IF(S1831=15800,15800,ROUND((((Q1832*60)/'Gearing Calculator'!$C$14)*'Track Data'!P1832),-2))</f>
        <v>13400</v>
      </c>
      <c r="T1832" s="16">
        <f t="shared" si="202"/>
        <v>3.9259213927261993</v>
      </c>
      <c r="U1832" s="16">
        <f>IF(AC1832=100,Braking!$AG$2354,IF(AC1832=50,Braking!$AG$1179,IF(AC1832=75,Braking!$AG$1767,0)))</f>
        <v>0</v>
      </c>
      <c r="V1832" s="16">
        <f>0.5*'Gearing Calculator'!$C$15*'Gearing Calculator'!$C$20*'Gearing Calculator'!$W$20*('Track Data'!Q1832^2)</f>
        <v>309.02759161152034</v>
      </c>
      <c r="W1832" s="16">
        <f>('Gearing Calculator'!$U$9*'Track Data'!T1832)+'Track Data'!V1832</f>
        <v>1354.1078663552346</v>
      </c>
      <c r="X1832" s="16">
        <f>('Gearing Calculator'!$U$9*9.81)*('Gearing Calculator'!$U$16/'Gearing Calculator'!$C$7)-(('Track Data'!W1832)*('Gearing Calculator'!$U$17/'Gearing Calculator'!$C$7))</f>
        <v>663.08103575513042</v>
      </c>
      <c r="Y1832" s="16">
        <f>('Gearing Calculator'!$U$9*9.81)*(('Gearing Calculator'!$C$7-'Gearing Calculator'!$U$16)/'Gearing Calculator'!$C$7)+(('Track Data'!W1832)*('Gearing Calculator'!$U$17/'Gearing Calculator'!$C$7))</f>
        <v>1948.3409642448696</v>
      </c>
      <c r="Z1832" s="16">
        <f>((X1832*COS('Gearing Calculator'!$C$21))/'Gearing Calculator'!$C$22)/2</f>
        <v>20.500368478906633</v>
      </c>
      <c r="AA1832" s="16">
        <f>Y1832/'Gearing Calculator'!$C$24</f>
        <v>27.205374686443935</v>
      </c>
      <c r="AB1832" s="16">
        <f t="shared" si="198"/>
        <v>328.65719857515131</v>
      </c>
      <c r="AC1832" s="16">
        <v>0</v>
      </c>
      <c r="AD1832" s="16">
        <v>-49.842163139380297</v>
      </c>
      <c r="AE1832" s="16">
        <v>1829</v>
      </c>
      <c r="AF1832" s="16">
        <f>IF(AC1832=0,IF(O1832=6,INDEX(Acceleration!$V$4:$V$110,MATCH('Track Data'!S1832,Acceleration!$K$4:$K$110,0)),IF('Track Data'!O1832=5,INDEX(Acceleration!$U$4:$U$110,MATCH('Track Data'!S1832,Acceleration!$K$4:$K$110,0)),1)),U1832)</f>
        <v>3.9259213927261993</v>
      </c>
      <c r="AG1832" s="16">
        <f>IF(AC1832=0,IF(O1832=4,INDEX(Acceleration!$T$4:$T$110,MATCH('Track Data'!S1832,Acceleration!$K$4:$K$110,0)),IF('Track Data'!O1832=3,INDEX(Acceleration!$S$4:$S$110,MATCH('Track Data'!S1832,Acceleration!$K$4:$K$110,0)),'Track Data'!AF1832)),'Track Data'!U1832)</f>
        <v>3.9259213927261993</v>
      </c>
      <c r="AH1832" s="16">
        <f>IF(AC1832=0,IF(O1832=2,INDEX(Acceleration!$R$4:$R$110,MATCH('Track Data'!S1832,Acceleration!$K$4:$K$110,0)),IF('Track Data'!O1832=1,INDEX(Acceleration!$Q$4:$Q$110,MATCH('Track Data'!S1832,Acceleration!$K$4:$K$110,0)),'Track Data'!AG1832)),'Track Data'!U1832)</f>
        <v>3.9259213927261993</v>
      </c>
    </row>
    <row r="1833" spans="2:34" x14ac:dyDescent="0.25">
      <c r="B1833" s="16">
        <v>245.23</v>
      </c>
      <c r="C1833" s="16">
        <v>9103</v>
      </c>
      <c r="D1833" s="16">
        <v>1830</v>
      </c>
      <c r="E1833" s="113">
        <v>195</v>
      </c>
      <c r="F1833" s="113">
        <v>187.7</v>
      </c>
      <c r="G1833" s="113">
        <v>173.9</v>
      </c>
      <c r="H1833" s="113">
        <f t="shared" si="201"/>
        <v>48.305555555555557</v>
      </c>
      <c r="I1833" s="113">
        <v>26.7</v>
      </c>
      <c r="J1833" s="113">
        <v>61.06</v>
      </c>
      <c r="K1833" s="113">
        <v>-40.9</v>
      </c>
      <c r="L1833" s="183"/>
      <c r="M1833" s="16">
        <v>1830</v>
      </c>
      <c r="N1833" s="16">
        <f t="shared" si="203"/>
        <v>1.8506585030011565E-2</v>
      </c>
      <c r="O1833" s="16">
        <v>5</v>
      </c>
      <c r="P1833" s="16">
        <f t="shared" si="199"/>
        <v>8.1742160278745661</v>
      </c>
      <c r="Q1833" s="16">
        <f t="shared" si="204"/>
        <v>54.034820491102515</v>
      </c>
      <c r="R1833" s="113">
        <f t="shared" si="200"/>
        <v>319.54399999999998</v>
      </c>
      <c r="S1833" s="16">
        <f>IF(S1832=15800,15800,ROUND((((Q1833*60)/'Gearing Calculator'!$C$14)*'Track Data'!P1833),-2))</f>
        <v>13400</v>
      </c>
      <c r="T1833" s="16">
        <f t="shared" si="202"/>
        <v>3.9259213927261993</v>
      </c>
      <c r="U1833" s="16">
        <f>IF(AC1833=100,Braking!$AG$2354,IF(AC1833=50,Braking!$AG$1179,IF(AC1833=75,Braking!$AG$1767,0)))</f>
        <v>0</v>
      </c>
      <c r="V1833" s="16">
        <f>0.5*'Gearing Calculator'!$C$15*'Gearing Calculator'!$C$20*'Gearing Calculator'!$W$20*('Track Data'!Q1833^2)</f>
        <v>309.02759161152034</v>
      </c>
      <c r="W1833" s="16">
        <f>('Gearing Calculator'!$U$9*'Track Data'!T1833)+'Track Data'!V1833</f>
        <v>1354.1078663552346</v>
      </c>
      <c r="X1833" s="16">
        <f>('Gearing Calculator'!$U$9*9.81)*('Gearing Calculator'!$U$16/'Gearing Calculator'!$C$7)-(('Track Data'!W1833)*('Gearing Calculator'!$U$17/'Gearing Calculator'!$C$7))</f>
        <v>663.08103575513042</v>
      </c>
      <c r="Y1833" s="16">
        <f>('Gearing Calculator'!$U$9*9.81)*(('Gearing Calculator'!$C$7-'Gearing Calculator'!$U$16)/'Gearing Calculator'!$C$7)+(('Track Data'!W1833)*('Gearing Calculator'!$U$17/'Gearing Calculator'!$C$7))</f>
        <v>1948.3409642448696</v>
      </c>
      <c r="Z1833" s="16">
        <f>((X1833*COS('Gearing Calculator'!$C$21))/'Gearing Calculator'!$C$22)/2</f>
        <v>20.500368478906633</v>
      </c>
      <c r="AA1833" s="16">
        <f>Y1833/'Gearing Calculator'!$C$24</f>
        <v>27.205374686443935</v>
      </c>
      <c r="AB1833" s="16">
        <f t="shared" si="198"/>
        <v>328.65719857515131</v>
      </c>
      <c r="AC1833" s="16">
        <v>0</v>
      </c>
      <c r="AD1833" s="16">
        <v>-49.842163139380297</v>
      </c>
      <c r="AE1833" s="16">
        <v>1830</v>
      </c>
      <c r="AF1833" s="16">
        <f>IF(AC1833=0,IF(O1833=6,INDEX(Acceleration!$V$4:$V$110,MATCH('Track Data'!S1833,Acceleration!$K$4:$K$110,0)),IF('Track Data'!O1833=5,INDEX(Acceleration!$U$4:$U$110,MATCH('Track Data'!S1833,Acceleration!$K$4:$K$110,0)),1)),U1833)</f>
        <v>3.9259213927261993</v>
      </c>
      <c r="AG1833" s="16">
        <f>IF(AC1833=0,IF(O1833=4,INDEX(Acceleration!$T$4:$T$110,MATCH('Track Data'!S1833,Acceleration!$K$4:$K$110,0)),IF('Track Data'!O1833=3,INDEX(Acceleration!$S$4:$S$110,MATCH('Track Data'!S1833,Acceleration!$K$4:$K$110,0)),'Track Data'!AF1833)),'Track Data'!U1833)</f>
        <v>3.9259213927261993</v>
      </c>
      <c r="AH1833" s="16">
        <f>IF(AC1833=0,IF(O1833=2,INDEX(Acceleration!$R$4:$R$110,MATCH('Track Data'!S1833,Acceleration!$K$4:$K$110,0)),IF('Track Data'!O1833=1,INDEX(Acceleration!$Q$4:$Q$110,MATCH('Track Data'!S1833,Acceleration!$K$4:$K$110,0)),'Track Data'!AG1833)),'Track Data'!U1833)</f>
        <v>3.9259213927261993</v>
      </c>
    </row>
    <row r="1834" spans="2:34" x14ac:dyDescent="0.25">
      <c r="B1834" s="16">
        <v>245.249</v>
      </c>
      <c r="C1834" s="16">
        <v>9104</v>
      </c>
      <c r="D1834" s="16">
        <v>1831</v>
      </c>
      <c r="E1834" s="113">
        <v>196</v>
      </c>
      <c r="F1834" s="113">
        <v>187.5</v>
      </c>
      <c r="G1834" s="113">
        <v>173.9</v>
      </c>
      <c r="H1834" s="113">
        <f t="shared" si="201"/>
        <v>48.305555555555557</v>
      </c>
      <c r="I1834" s="113">
        <v>26.1</v>
      </c>
      <c r="J1834" s="113">
        <v>57.1</v>
      </c>
      <c r="K1834" s="113">
        <v>-45.8</v>
      </c>
      <c r="L1834" s="183"/>
      <c r="M1834" s="16">
        <v>1831</v>
      </c>
      <c r="N1834" s="16">
        <f t="shared" si="203"/>
        <v>1.8506585030011565E-2</v>
      </c>
      <c r="O1834" s="16">
        <v>5</v>
      </c>
      <c r="P1834" s="16">
        <f t="shared" si="199"/>
        <v>8.1742160278745661</v>
      </c>
      <c r="Q1834" s="16">
        <f t="shared" si="204"/>
        <v>54.034820491102515</v>
      </c>
      <c r="R1834" s="113">
        <f t="shared" si="200"/>
        <v>319.54399999999998</v>
      </c>
      <c r="S1834" s="16">
        <f>IF(S1833=15800,15800,ROUND((((Q1834*60)/'Gearing Calculator'!$C$14)*'Track Data'!P1834),-2))</f>
        <v>13400</v>
      </c>
      <c r="T1834" s="16">
        <f t="shared" si="202"/>
        <v>3.9259213927261993</v>
      </c>
      <c r="U1834" s="16">
        <f>IF(AC1834=100,Braking!$AG$2354,IF(AC1834=50,Braking!$AG$1179,IF(AC1834=75,Braking!$AG$1767,0)))</f>
        <v>0</v>
      </c>
      <c r="V1834" s="16">
        <f>0.5*'Gearing Calculator'!$C$15*'Gearing Calculator'!$C$20*'Gearing Calculator'!$W$20*('Track Data'!Q1834^2)</f>
        <v>309.02759161152034</v>
      </c>
      <c r="W1834" s="16">
        <f>('Gearing Calculator'!$U$9*'Track Data'!T1834)+'Track Data'!V1834</f>
        <v>1354.1078663552346</v>
      </c>
      <c r="X1834" s="16">
        <f>('Gearing Calculator'!$U$9*9.81)*('Gearing Calculator'!$U$16/'Gearing Calculator'!$C$7)-(('Track Data'!W1834)*('Gearing Calculator'!$U$17/'Gearing Calculator'!$C$7))</f>
        <v>663.08103575513042</v>
      </c>
      <c r="Y1834" s="16">
        <f>('Gearing Calculator'!$U$9*9.81)*(('Gearing Calculator'!$C$7-'Gearing Calculator'!$U$16)/'Gearing Calculator'!$C$7)+(('Track Data'!W1834)*('Gearing Calculator'!$U$17/'Gearing Calculator'!$C$7))</f>
        <v>1948.3409642448696</v>
      </c>
      <c r="Z1834" s="16">
        <f>((X1834*COS('Gearing Calculator'!$C$21))/'Gearing Calculator'!$C$22)/2</f>
        <v>20.500368478906633</v>
      </c>
      <c r="AA1834" s="16">
        <f>Y1834/'Gearing Calculator'!$C$24</f>
        <v>27.205374686443935</v>
      </c>
      <c r="AB1834" s="16">
        <f t="shared" si="198"/>
        <v>328.65719857515131</v>
      </c>
      <c r="AC1834" s="16">
        <v>0</v>
      </c>
      <c r="AD1834" s="16">
        <v>-49.842163139380297</v>
      </c>
      <c r="AE1834" s="16">
        <v>1831</v>
      </c>
      <c r="AF1834" s="16">
        <f>IF(AC1834=0,IF(O1834=6,INDEX(Acceleration!$V$4:$V$110,MATCH('Track Data'!S1834,Acceleration!$K$4:$K$110,0)),IF('Track Data'!O1834=5,INDEX(Acceleration!$U$4:$U$110,MATCH('Track Data'!S1834,Acceleration!$K$4:$K$110,0)),1)),U1834)</f>
        <v>3.9259213927261993</v>
      </c>
      <c r="AG1834" s="16">
        <f>IF(AC1834=0,IF(O1834=4,INDEX(Acceleration!$T$4:$T$110,MATCH('Track Data'!S1834,Acceleration!$K$4:$K$110,0)),IF('Track Data'!O1834=3,INDEX(Acceleration!$S$4:$S$110,MATCH('Track Data'!S1834,Acceleration!$K$4:$K$110,0)),'Track Data'!AF1834)),'Track Data'!U1834)</f>
        <v>3.9259213927261993</v>
      </c>
      <c r="AH1834" s="16">
        <f>IF(AC1834=0,IF(O1834=2,INDEX(Acceleration!$R$4:$R$110,MATCH('Track Data'!S1834,Acceleration!$K$4:$K$110,0)),IF('Track Data'!O1834=1,INDEX(Acceleration!$Q$4:$Q$110,MATCH('Track Data'!S1834,Acceleration!$K$4:$K$110,0)),'Track Data'!AG1834)),'Track Data'!U1834)</f>
        <v>3.9259213927261993</v>
      </c>
    </row>
    <row r="1835" spans="2:34" x14ac:dyDescent="0.25">
      <c r="B1835" s="16">
        <v>245.268</v>
      </c>
      <c r="C1835" s="16">
        <v>9105</v>
      </c>
      <c r="D1835" s="16">
        <v>1832</v>
      </c>
      <c r="E1835" s="113">
        <v>198</v>
      </c>
      <c r="F1835" s="113">
        <v>187.1</v>
      </c>
      <c r="G1835" s="113">
        <v>174</v>
      </c>
      <c r="H1835" s="113">
        <f t="shared" si="201"/>
        <v>48.333333333333329</v>
      </c>
      <c r="I1835" s="113">
        <v>21.4</v>
      </c>
      <c r="J1835" s="113">
        <v>55.25</v>
      </c>
      <c r="K1835" s="113">
        <v>-55.5</v>
      </c>
      <c r="L1835" s="183"/>
      <c r="M1835" s="16">
        <v>1832</v>
      </c>
      <c r="N1835" s="16">
        <f t="shared" si="203"/>
        <v>1.8506585030011565E-2</v>
      </c>
      <c r="O1835" s="16">
        <v>5</v>
      </c>
      <c r="P1835" s="16">
        <f t="shared" si="199"/>
        <v>8.1742160278745661</v>
      </c>
      <c r="Q1835" s="16">
        <f t="shared" si="204"/>
        <v>54.034820491102515</v>
      </c>
      <c r="R1835" s="113">
        <f t="shared" si="200"/>
        <v>319.54399999999998</v>
      </c>
      <c r="S1835" s="16">
        <f>IF(S1834=15800,15800,ROUND((((Q1835*60)/'Gearing Calculator'!$C$14)*'Track Data'!P1835),-2))</f>
        <v>13400</v>
      </c>
      <c r="T1835" s="16">
        <f t="shared" si="202"/>
        <v>3.9259213927261993</v>
      </c>
      <c r="U1835" s="16">
        <f>IF(AC1835=100,Braking!$AG$2354,IF(AC1835=50,Braking!$AG$1179,IF(AC1835=75,Braking!$AG$1767,0)))</f>
        <v>0</v>
      </c>
      <c r="V1835" s="16">
        <f>0.5*'Gearing Calculator'!$C$15*'Gearing Calculator'!$C$20*'Gearing Calculator'!$W$20*('Track Data'!Q1835^2)</f>
        <v>309.02759161152034</v>
      </c>
      <c r="W1835" s="16">
        <f>('Gearing Calculator'!$U$9*'Track Data'!T1835)+'Track Data'!V1835</f>
        <v>1354.1078663552346</v>
      </c>
      <c r="X1835" s="16">
        <f>('Gearing Calculator'!$U$9*9.81)*('Gearing Calculator'!$U$16/'Gearing Calculator'!$C$7)-(('Track Data'!W1835)*('Gearing Calculator'!$U$17/'Gearing Calculator'!$C$7))</f>
        <v>663.08103575513042</v>
      </c>
      <c r="Y1835" s="16">
        <f>('Gearing Calculator'!$U$9*9.81)*(('Gearing Calculator'!$C$7-'Gearing Calculator'!$U$16)/'Gearing Calculator'!$C$7)+(('Track Data'!W1835)*('Gearing Calculator'!$U$17/'Gearing Calculator'!$C$7))</f>
        <v>1948.3409642448696</v>
      </c>
      <c r="Z1835" s="16">
        <f>((X1835*COS('Gearing Calculator'!$C$21))/'Gearing Calculator'!$C$22)/2</f>
        <v>20.500368478906633</v>
      </c>
      <c r="AA1835" s="16">
        <f>Y1835/'Gearing Calculator'!$C$24</f>
        <v>27.205374686443935</v>
      </c>
      <c r="AB1835" s="16">
        <f t="shared" si="198"/>
        <v>328.65719857515131</v>
      </c>
      <c r="AC1835" s="16">
        <v>0</v>
      </c>
      <c r="AD1835" s="16">
        <v>-49.842163139380297</v>
      </c>
      <c r="AE1835" s="16">
        <v>1832</v>
      </c>
      <c r="AF1835" s="16">
        <f>IF(AC1835=0,IF(O1835=6,INDEX(Acceleration!$V$4:$V$110,MATCH('Track Data'!S1835,Acceleration!$K$4:$K$110,0)),IF('Track Data'!O1835=5,INDEX(Acceleration!$U$4:$U$110,MATCH('Track Data'!S1835,Acceleration!$K$4:$K$110,0)),1)),U1835)</f>
        <v>3.9259213927261993</v>
      </c>
      <c r="AG1835" s="16">
        <f>IF(AC1835=0,IF(O1835=4,INDEX(Acceleration!$T$4:$T$110,MATCH('Track Data'!S1835,Acceleration!$K$4:$K$110,0)),IF('Track Data'!O1835=3,INDEX(Acceleration!$S$4:$S$110,MATCH('Track Data'!S1835,Acceleration!$K$4:$K$110,0)),'Track Data'!AF1835)),'Track Data'!U1835)</f>
        <v>3.9259213927261993</v>
      </c>
      <c r="AH1835" s="16">
        <f>IF(AC1835=0,IF(O1835=2,INDEX(Acceleration!$R$4:$R$110,MATCH('Track Data'!S1835,Acceleration!$K$4:$K$110,0)),IF('Track Data'!O1835=1,INDEX(Acceleration!$Q$4:$Q$110,MATCH('Track Data'!S1835,Acceleration!$K$4:$K$110,0)),'Track Data'!AG1835)),'Track Data'!U1835)</f>
        <v>3.9259213927261993</v>
      </c>
    </row>
    <row r="1836" spans="2:34" x14ac:dyDescent="0.25">
      <c r="B1836" s="16">
        <v>245.28700000000001</v>
      </c>
      <c r="C1836" s="16">
        <v>9106</v>
      </c>
      <c r="D1836" s="16">
        <v>1833</v>
      </c>
      <c r="E1836" s="113">
        <v>200</v>
      </c>
      <c r="F1836" s="113">
        <v>186.8</v>
      </c>
      <c r="G1836" s="113">
        <v>174</v>
      </c>
      <c r="H1836" s="113">
        <f t="shared" si="201"/>
        <v>48.333333333333329</v>
      </c>
      <c r="I1836" s="113">
        <v>15.2</v>
      </c>
      <c r="J1836" s="113">
        <v>50.24</v>
      </c>
      <c r="K1836" s="113">
        <v>-63.5</v>
      </c>
      <c r="L1836" s="183"/>
      <c r="M1836" s="16">
        <v>1833</v>
      </c>
      <c r="N1836" s="16">
        <f t="shared" si="203"/>
        <v>1.8506585030011565E-2</v>
      </c>
      <c r="O1836" s="16">
        <v>5</v>
      </c>
      <c r="P1836" s="16">
        <f t="shared" si="199"/>
        <v>8.1742160278745661</v>
      </c>
      <c r="Q1836" s="16">
        <f t="shared" si="204"/>
        <v>54.034820491102515</v>
      </c>
      <c r="R1836" s="113">
        <f t="shared" si="200"/>
        <v>319.54399999999998</v>
      </c>
      <c r="S1836" s="16">
        <f>IF(S1835=15800,15800,ROUND((((Q1836*60)/'Gearing Calculator'!$C$14)*'Track Data'!P1836),-2))</f>
        <v>13400</v>
      </c>
      <c r="T1836" s="16">
        <f t="shared" si="202"/>
        <v>3.9259213927261993</v>
      </c>
      <c r="U1836" s="16">
        <f>IF(AC1836=100,Braking!$AG$2354,IF(AC1836=50,Braking!$AG$1179,IF(AC1836=75,Braking!$AG$1767,0)))</f>
        <v>0</v>
      </c>
      <c r="V1836" s="16">
        <f>0.5*'Gearing Calculator'!$C$15*'Gearing Calculator'!$C$20*'Gearing Calculator'!$W$20*('Track Data'!Q1836^2)</f>
        <v>309.02759161152034</v>
      </c>
      <c r="W1836" s="16">
        <f>('Gearing Calculator'!$U$9*'Track Data'!T1836)+'Track Data'!V1836</f>
        <v>1354.1078663552346</v>
      </c>
      <c r="X1836" s="16">
        <f>('Gearing Calculator'!$U$9*9.81)*('Gearing Calculator'!$U$16/'Gearing Calculator'!$C$7)-(('Track Data'!W1836)*('Gearing Calculator'!$U$17/'Gearing Calculator'!$C$7))</f>
        <v>663.08103575513042</v>
      </c>
      <c r="Y1836" s="16">
        <f>('Gearing Calculator'!$U$9*9.81)*(('Gearing Calculator'!$C$7-'Gearing Calculator'!$U$16)/'Gearing Calculator'!$C$7)+(('Track Data'!W1836)*('Gearing Calculator'!$U$17/'Gearing Calculator'!$C$7))</f>
        <v>1948.3409642448696</v>
      </c>
      <c r="Z1836" s="16">
        <f>((X1836*COS('Gearing Calculator'!$C$21))/'Gearing Calculator'!$C$22)/2</f>
        <v>20.500368478906633</v>
      </c>
      <c r="AA1836" s="16">
        <f>Y1836/'Gearing Calculator'!$C$24</f>
        <v>27.205374686443935</v>
      </c>
      <c r="AB1836" s="16">
        <f t="shared" si="198"/>
        <v>328.65719857515131</v>
      </c>
      <c r="AC1836" s="16">
        <v>0</v>
      </c>
      <c r="AD1836" s="16">
        <v>-49.842163139380297</v>
      </c>
      <c r="AE1836" s="16">
        <v>1833</v>
      </c>
      <c r="AF1836" s="16">
        <f>IF(AC1836=0,IF(O1836=6,INDEX(Acceleration!$V$4:$V$110,MATCH('Track Data'!S1836,Acceleration!$K$4:$K$110,0)),IF('Track Data'!O1836=5,INDEX(Acceleration!$U$4:$U$110,MATCH('Track Data'!S1836,Acceleration!$K$4:$K$110,0)),1)),U1836)</f>
        <v>3.9259213927261993</v>
      </c>
      <c r="AG1836" s="16">
        <f>IF(AC1836=0,IF(O1836=4,INDEX(Acceleration!$T$4:$T$110,MATCH('Track Data'!S1836,Acceleration!$K$4:$K$110,0)),IF('Track Data'!O1836=3,INDEX(Acceleration!$S$4:$S$110,MATCH('Track Data'!S1836,Acceleration!$K$4:$K$110,0)),'Track Data'!AF1836)),'Track Data'!U1836)</f>
        <v>3.9259213927261993</v>
      </c>
      <c r="AH1836" s="16">
        <f>IF(AC1836=0,IF(O1836=2,INDEX(Acceleration!$R$4:$R$110,MATCH('Track Data'!S1836,Acceleration!$K$4:$K$110,0)),IF('Track Data'!O1836=1,INDEX(Acceleration!$Q$4:$Q$110,MATCH('Track Data'!S1836,Acceleration!$K$4:$K$110,0)),'Track Data'!AG1836)),'Track Data'!U1836)</f>
        <v>3.9259213927261993</v>
      </c>
    </row>
    <row r="1837" spans="2:34" x14ac:dyDescent="0.25">
      <c r="B1837" s="16">
        <v>245.30699999999999</v>
      </c>
      <c r="C1837" s="16">
        <v>9107</v>
      </c>
      <c r="D1837" s="16">
        <v>1834</v>
      </c>
      <c r="E1837" s="113">
        <v>200</v>
      </c>
      <c r="F1837" s="113">
        <v>186.8</v>
      </c>
      <c r="G1837" s="113">
        <v>174.1</v>
      </c>
      <c r="H1837" s="113">
        <f t="shared" si="201"/>
        <v>48.361111111111107</v>
      </c>
      <c r="I1837" s="113">
        <v>11.6</v>
      </c>
      <c r="J1837" s="113">
        <v>39.31</v>
      </c>
      <c r="K1837" s="113">
        <v>-64</v>
      </c>
      <c r="L1837" s="183"/>
      <c r="M1837" s="16">
        <v>1834</v>
      </c>
      <c r="N1837" s="16">
        <f t="shared" si="203"/>
        <v>1.8506585030011565E-2</v>
      </c>
      <c r="O1837" s="16">
        <v>5</v>
      </c>
      <c r="P1837" s="16">
        <f t="shared" si="199"/>
        <v>8.1742160278745661</v>
      </c>
      <c r="Q1837" s="16">
        <f t="shared" si="204"/>
        <v>54.034820491102515</v>
      </c>
      <c r="R1837" s="113">
        <f t="shared" si="200"/>
        <v>319.54399999999998</v>
      </c>
      <c r="S1837" s="16">
        <f>IF(S1836=15800,15800,ROUND((((Q1837*60)/'Gearing Calculator'!$C$14)*'Track Data'!P1837),-2))</f>
        <v>13400</v>
      </c>
      <c r="T1837" s="16">
        <f t="shared" si="202"/>
        <v>3.9259213927261993</v>
      </c>
      <c r="U1837" s="16">
        <f>IF(AC1837=100,Braking!$AG$2354,IF(AC1837=50,Braking!$AG$1179,IF(AC1837=75,Braking!$AG$1767,0)))</f>
        <v>0</v>
      </c>
      <c r="V1837" s="16">
        <f>0.5*'Gearing Calculator'!$C$15*'Gearing Calculator'!$C$20*'Gearing Calculator'!$W$20*('Track Data'!Q1837^2)</f>
        <v>309.02759161152034</v>
      </c>
      <c r="W1837" s="16">
        <f>('Gearing Calculator'!$U$9*'Track Data'!T1837)+'Track Data'!V1837</f>
        <v>1354.1078663552346</v>
      </c>
      <c r="X1837" s="16">
        <f>('Gearing Calculator'!$U$9*9.81)*('Gearing Calculator'!$U$16/'Gearing Calculator'!$C$7)-(('Track Data'!W1837)*('Gearing Calculator'!$U$17/'Gearing Calculator'!$C$7))</f>
        <v>663.08103575513042</v>
      </c>
      <c r="Y1837" s="16">
        <f>('Gearing Calculator'!$U$9*9.81)*(('Gearing Calculator'!$C$7-'Gearing Calculator'!$U$16)/'Gearing Calculator'!$C$7)+(('Track Data'!W1837)*('Gearing Calculator'!$U$17/'Gearing Calculator'!$C$7))</f>
        <v>1948.3409642448696</v>
      </c>
      <c r="Z1837" s="16">
        <f>((X1837*COS('Gearing Calculator'!$C$21))/'Gearing Calculator'!$C$22)/2</f>
        <v>20.500368478906633</v>
      </c>
      <c r="AA1837" s="16">
        <f>Y1837/'Gearing Calculator'!$C$24</f>
        <v>27.205374686443935</v>
      </c>
      <c r="AB1837" s="16">
        <f t="shared" si="198"/>
        <v>328.65719857515131</v>
      </c>
      <c r="AC1837" s="16">
        <v>0</v>
      </c>
      <c r="AD1837" s="16">
        <v>-49.842163139380297</v>
      </c>
      <c r="AE1837" s="16">
        <v>1834</v>
      </c>
      <c r="AF1837" s="16">
        <f>IF(AC1837=0,IF(O1837=6,INDEX(Acceleration!$V$4:$V$110,MATCH('Track Data'!S1837,Acceleration!$K$4:$K$110,0)),IF('Track Data'!O1837=5,INDEX(Acceleration!$U$4:$U$110,MATCH('Track Data'!S1837,Acceleration!$K$4:$K$110,0)),1)),U1837)</f>
        <v>3.9259213927261993</v>
      </c>
      <c r="AG1837" s="16">
        <f>IF(AC1837=0,IF(O1837=4,INDEX(Acceleration!$T$4:$T$110,MATCH('Track Data'!S1837,Acceleration!$K$4:$K$110,0)),IF('Track Data'!O1837=3,INDEX(Acceleration!$S$4:$S$110,MATCH('Track Data'!S1837,Acceleration!$K$4:$K$110,0)),'Track Data'!AF1837)),'Track Data'!U1837)</f>
        <v>3.9259213927261993</v>
      </c>
      <c r="AH1837" s="16">
        <f>IF(AC1837=0,IF(O1837=2,INDEX(Acceleration!$R$4:$R$110,MATCH('Track Data'!S1837,Acceleration!$K$4:$K$110,0)),IF('Track Data'!O1837=1,INDEX(Acceleration!$Q$4:$Q$110,MATCH('Track Data'!S1837,Acceleration!$K$4:$K$110,0)),'Track Data'!AG1837)),'Track Data'!U1837)</f>
        <v>3.9259213927261993</v>
      </c>
    </row>
    <row r="1838" spans="2:34" x14ac:dyDescent="0.25">
      <c r="B1838" s="16">
        <v>245.32599999999999</v>
      </c>
      <c r="C1838" s="16">
        <v>9108</v>
      </c>
      <c r="D1838" s="16">
        <v>1835</v>
      </c>
      <c r="E1838" s="113">
        <v>200</v>
      </c>
      <c r="F1838" s="113">
        <v>186.9</v>
      </c>
      <c r="G1838" s="113">
        <v>174.1</v>
      </c>
      <c r="H1838" s="113">
        <f t="shared" si="201"/>
        <v>48.361111111111107</v>
      </c>
      <c r="I1838" s="113">
        <v>8.9</v>
      </c>
      <c r="J1838" s="113">
        <v>31.21</v>
      </c>
      <c r="K1838" s="113">
        <v>-64.5</v>
      </c>
      <c r="L1838" s="183"/>
      <c r="M1838" s="16">
        <v>1835</v>
      </c>
      <c r="N1838" s="16">
        <f t="shared" si="203"/>
        <v>1.8506585030011565E-2</v>
      </c>
      <c r="O1838" s="16">
        <v>5</v>
      </c>
      <c r="P1838" s="16">
        <f t="shared" si="199"/>
        <v>8.1742160278745661</v>
      </c>
      <c r="Q1838" s="16">
        <f t="shared" si="204"/>
        <v>54.034820491102515</v>
      </c>
      <c r="R1838" s="113">
        <f t="shared" si="200"/>
        <v>319.54399999999998</v>
      </c>
      <c r="S1838" s="16">
        <f>IF(S1837=15800,15800,ROUND((((Q1838*60)/'Gearing Calculator'!$C$14)*'Track Data'!P1838),-2))</f>
        <v>13400</v>
      </c>
      <c r="T1838" s="16">
        <f t="shared" si="202"/>
        <v>3.9259213927261993</v>
      </c>
      <c r="U1838" s="16">
        <f>IF(AC1838=100,Braking!$AG$2354,IF(AC1838=50,Braking!$AG$1179,IF(AC1838=75,Braking!$AG$1767,0)))</f>
        <v>0</v>
      </c>
      <c r="V1838" s="16">
        <f>0.5*'Gearing Calculator'!$C$15*'Gearing Calculator'!$C$20*'Gearing Calculator'!$W$20*('Track Data'!Q1838^2)</f>
        <v>309.02759161152034</v>
      </c>
      <c r="W1838" s="16">
        <f>('Gearing Calculator'!$U$9*'Track Data'!T1838)+'Track Data'!V1838</f>
        <v>1354.1078663552346</v>
      </c>
      <c r="X1838" s="16">
        <f>('Gearing Calculator'!$U$9*9.81)*('Gearing Calculator'!$U$16/'Gearing Calculator'!$C$7)-(('Track Data'!W1838)*('Gearing Calculator'!$U$17/'Gearing Calculator'!$C$7))</f>
        <v>663.08103575513042</v>
      </c>
      <c r="Y1838" s="16">
        <f>('Gearing Calculator'!$U$9*9.81)*(('Gearing Calculator'!$C$7-'Gearing Calculator'!$U$16)/'Gearing Calculator'!$C$7)+(('Track Data'!W1838)*('Gearing Calculator'!$U$17/'Gearing Calculator'!$C$7))</f>
        <v>1948.3409642448696</v>
      </c>
      <c r="Z1838" s="16">
        <f>((X1838*COS('Gearing Calculator'!$C$21))/'Gearing Calculator'!$C$22)/2</f>
        <v>20.500368478906633</v>
      </c>
      <c r="AA1838" s="16">
        <f>Y1838/'Gearing Calculator'!$C$24</f>
        <v>27.205374686443935</v>
      </c>
      <c r="AB1838" s="16">
        <f t="shared" si="198"/>
        <v>328.65719857515131</v>
      </c>
      <c r="AC1838" s="16">
        <v>0</v>
      </c>
      <c r="AD1838" s="16">
        <v>-49.842163139380297</v>
      </c>
      <c r="AE1838" s="16">
        <v>1835</v>
      </c>
      <c r="AF1838" s="16">
        <f>IF(AC1838=0,IF(O1838=6,INDEX(Acceleration!$V$4:$V$110,MATCH('Track Data'!S1838,Acceleration!$K$4:$K$110,0)),IF('Track Data'!O1838=5,INDEX(Acceleration!$U$4:$U$110,MATCH('Track Data'!S1838,Acceleration!$K$4:$K$110,0)),1)),U1838)</f>
        <v>3.9259213927261993</v>
      </c>
      <c r="AG1838" s="16">
        <f>IF(AC1838=0,IF(O1838=4,INDEX(Acceleration!$T$4:$T$110,MATCH('Track Data'!S1838,Acceleration!$K$4:$K$110,0)),IF('Track Data'!O1838=3,INDEX(Acceleration!$S$4:$S$110,MATCH('Track Data'!S1838,Acceleration!$K$4:$K$110,0)),'Track Data'!AF1838)),'Track Data'!U1838)</f>
        <v>3.9259213927261993</v>
      </c>
      <c r="AH1838" s="16">
        <f>IF(AC1838=0,IF(O1838=2,INDEX(Acceleration!$R$4:$R$110,MATCH('Track Data'!S1838,Acceleration!$K$4:$K$110,0)),IF('Track Data'!O1838=1,INDEX(Acceleration!$Q$4:$Q$110,MATCH('Track Data'!S1838,Acceleration!$K$4:$K$110,0)),'Track Data'!AG1838)),'Track Data'!U1838)</f>
        <v>3.9259213927261993</v>
      </c>
    </row>
    <row r="1839" spans="2:34" x14ac:dyDescent="0.25">
      <c r="B1839" s="16">
        <v>245.345</v>
      </c>
      <c r="C1839" s="16">
        <v>9109</v>
      </c>
      <c r="D1839" s="16">
        <v>1836</v>
      </c>
      <c r="E1839" s="113">
        <v>201</v>
      </c>
      <c r="F1839" s="113">
        <v>187.2</v>
      </c>
      <c r="G1839" s="113">
        <v>174.2</v>
      </c>
      <c r="H1839" s="113">
        <f t="shared" si="201"/>
        <v>48.388888888888886</v>
      </c>
      <c r="I1839" s="113">
        <v>4.7</v>
      </c>
      <c r="J1839" s="113">
        <v>41.96</v>
      </c>
      <c r="K1839" s="113">
        <v>-65.099999999999994</v>
      </c>
      <c r="L1839" s="183"/>
      <c r="M1839" s="16">
        <v>1836</v>
      </c>
      <c r="N1839" s="16">
        <f t="shared" si="203"/>
        <v>1.8506585030011565E-2</v>
      </c>
      <c r="O1839" s="16">
        <v>5</v>
      </c>
      <c r="P1839" s="16">
        <f t="shared" si="199"/>
        <v>8.1742160278745661</v>
      </c>
      <c r="Q1839" s="16">
        <f t="shared" si="204"/>
        <v>54.034820491102515</v>
      </c>
      <c r="R1839" s="113">
        <f t="shared" si="200"/>
        <v>319.54399999999998</v>
      </c>
      <c r="S1839" s="16">
        <f>IF(S1838=15800,15800,ROUND((((Q1839*60)/'Gearing Calculator'!$C$14)*'Track Data'!P1839),-2))</f>
        <v>13400</v>
      </c>
      <c r="T1839" s="16">
        <f t="shared" si="202"/>
        <v>3.9259213927261993</v>
      </c>
      <c r="U1839" s="16">
        <f>IF(AC1839=100,Braking!$AG$2354,IF(AC1839=50,Braking!$AG$1179,IF(AC1839=75,Braking!$AG$1767,0)))</f>
        <v>0</v>
      </c>
      <c r="V1839" s="16">
        <f>0.5*'Gearing Calculator'!$C$15*'Gearing Calculator'!$C$20*'Gearing Calculator'!$W$20*('Track Data'!Q1839^2)</f>
        <v>309.02759161152034</v>
      </c>
      <c r="W1839" s="16">
        <f>('Gearing Calculator'!$U$9*'Track Data'!T1839)+'Track Data'!V1839</f>
        <v>1354.1078663552346</v>
      </c>
      <c r="X1839" s="16">
        <f>('Gearing Calculator'!$U$9*9.81)*('Gearing Calculator'!$U$16/'Gearing Calculator'!$C$7)-(('Track Data'!W1839)*('Gearing Calculator'!$U$17/'Gearing Calculator'!$C$7))</f>
        <v>663.08103575513042</v>
      </c>
      <c r="Y1839" s="16">
        <f>('Gearing Calculator'!$U$9*9.81)*(('Gearing Calculator'!$C$7-'Gearing Calculator'!$U$16)/'Gearing Calculator'!$C$7)+(('Track Data'!W1839)*('Gearing Calculator'!$U$17/'Gearing Calculator'!$C$7))</f>
        <v>1948.3409642448696</v>
      </c>
      <c r="Z1839" s="16">
        <f>((X1839*COS('Gearing Calculator'!$C$21))/'Gearing Calculator'!$C$22)/2</f>
        <v>20.500368478906633</v>
      </c>
      <c r="AA1839" s="16">
        <f>Y1839/'Gearing Calculator'!$C$24</f>
        <v>27.205374686443935</v>
      </c>
      <c r="AB1839" s="16">
        <f t="shared" si="198"/>
        <v>328.65719857515131</v>
      </c>
      <c r="AC1839" s="16">
        <v>0</v>
      </c>
      <c r="AD1839" s="16">
        <v>-49.842163139380297</v>
      </c>
      <c r="AE1839" s="16">
        <v>1836</v>
      </c>
      <c r="AF1839" s="16">
        <f>IF(AC1839=0,IF(O1839=6,INDEX(Acceleration!$V$4:$V$110,MATCH('Track Data'!S1839,Acceleration!$K$4:$K$110,0)),IF('Track Data'!O1839=5,INDEX(Acceleration!$U$4:$U$110,MATCH('Track Data'!S1839,Acceleration!$K$4:$K$110,0)),1)),U1839)</f>
        <v>3.9259213927261993</v>
      </c>
      <c r="AG1839" s="16">
        <f>IF(AC1839=0,IF(O1839=4,INDEX(Acceleration!$T$4:$T$110,MATCH('Track Data'!S1839,Acceleration!$K$4:$K$110,0)),IF('Track Data'!O1839=3,INDEX(Acceleration!$S$4:$S$110,MATCH('Track Data'!S1839,Acceleration!$K$4:$K$110,0)),'Track Data'!AF1839)),'Track Data'!U1839)</f>
        <v>3.9259213927261993</v>
      </c>
      <c r="AH1839" s="16">
        <f>IF(AC1839=0,IF(O1839=2,INDEX(Acceleration!$R$4:$R$110,MATCH('Track Data'!S1839,Acceleration!$K$4:$K$110,0)),IF('Track Data'!O1839=1,INDEX(Acceleration!$Q$4:$Q$110,MATCH('Track Data'!S1839,Acceleration!$K$4:$K$110,0)),'Track Data'!AG1839)),'Track Data'!U1839)</f>
        <v>3.9259213927261993</v>
      </c>
    </row>
    <row r="1840" spans="2:34" x14ac:dyDescent="0.25">
      <c r="B1840" s="16">
        <v>245.364</v>
      </c>
      <c r="C1840" s="16">
        <v>9110</v>
      </c>
      <c r="D1840" s="16">
        <v>1837</v>
      </c>
      <c r="E1840" s="113">
        <v>202</v>
      </c>
      <c r="F1840" s="113">
        <v>187.6</v>
      </c>
      <c r="G1840" s="113">
        <v>174.3</v>
      </c>
      <c r="H1840" s="113">
        <f t="shared" si="201"/>
        <v>48.416666666666671</v>
      </c>
      <c r="I1840" s="113">
        <v>3.4</v>
      </c>
      <c r="J1840" s="113">
        <v>43.32</v>
      </c>
      <c r="K1840" s="113">
        <v>-65.5</v>
      </c>
      <c r="L1840" s="183"/>
      <c r="M1840" s="16">
        <v>1837</v>
      </c>
      <c r="N1840" s="16">
        <f t="shared" si="203"/>
        <v>1.8506585030011565E-2</v>
      </c>
      <c r="O1840" s="16">
        <v>5</v>
      </c>
      <c r="P1840" s="16">
        <f t="shared" si="199"/>
        <v>8.1742160278745661</v>
      </c>
      <c r="Q1840" s="16">
        <f t="shared" si="204"/>
        <v>54.034820491102515</v>
      </c>
      <c r="R1840" s="113">
        <f t="shared" si="200"/>
        <v>319.54399999999998</v>
      </c>
      <c r="S1840" s="16">
        <f>IF(S1839=15800,15800,ROUND((((Q1840*60)/'Gearing Calculator'!$C$14)*'Track Data'!P1840),-2))</f>
        <v>13400</v>
      </c>
      <c r="T1840" s="16">
        <f t="shared" si="202"/>
        <v>3.9259213927261993</v>
      </c>
      <c r="U1840" s="16">
        <f>IF(AC1840=100,Braking!$AG$2354,IF(AC1840=50,Braking!$AG$1179,IF(AC1840=75,Braking!$AG$1767,0)))</f>
        <v>0</v>
      </c>
      <c r="V1840" s="16">
        <f>0.5*'Gearing Calculator'!$C$15*'Gearing Calculator'!$C$20*'Gearing Calculator'!$W$20*('Track Data'!Q1840^2)</f>
        <v>309.02759161152034</v>
      </c>
      <c r="W1840" s="16">
        <f>('Gearing Calculator'!$U$9*'Track Data'!T1840)+'Track Data'!V1840</f>
        <v>1354.1078663552346</v>
      </c>
      <c r="X1840" s="16">
        <f>('Gearing Calculator'!$U$9*9.81)*('Gearing Calculator'!$U$16/'Gearing Calculator'!$C$7)-(('Track Data'!W1840)*('Gearing Calculator'!$U$17/'Gearing Calculator'!$C$7))</f>
        <v>663.08103575513042</v>
      </c>
      <c r="Y1840" s="16">
        <f>('Gearing Calculator'!$U$9*9.81)*(('Gearing Calculator'!$C$7-'Gearing Calculator'!$U$16)/'Gearing Calculator'!$C$7)+(('Track Data'!W1840)*('Gearing Calculator'!$U$17/'Gearing Calculator'!$C$7))</f>
        <v>1948.3409642448696</v>
      </c>
      <c r="Z1840" s="16">
        <f>((X1840*COS('Gearing Calculator'!$C$21))/'Gearing Calculator'!$C$22)/2</f>
        <v>20.500368478906633</v>
      </c>
      <c r="AA1840" s="16">
        <f>Y1840/'Gearing Calculator'!$C$24</f>
        <v>27.205374686443935</v>
      </c>
      <c r="AB1840" s="16">
        <f t="shared" si="198"/>
        <v>328.65719857515131</v>
      </c>
      <c r="AC1840" s="16">
        <v>0</v>
      </c>
      <c r="AD1840" s="16">
        <v>-49.842163139380297</v>
      </c>
      <c r="AE1840" s="16">
        <v>1837</v>
      </c>
      <c r="AF1840" s="16">
        <f>IF(AC1840=0,IF(O1840=6,INDEX(Acceleration!$V$4:$V$110,MATCH('Track Data'!S1840,Acceleration!$K$4:$K$110,0)),IF('Track Data'!O1840=5,INDEX(Acceleration!$U$4:$U$110,MATCH('Track Data'!S1840,Acceleration!$K$4:$K$110,0)),1)),U1840)</f>
        <v>3.9259213927261993</v>
      </c>
      <c r="AG1840" s="16">
        <f>IF(AC1840=0,IF(O1840=4,INDEX(Acceleration!$T$4:$T$110,MATCH('Track Data'!S1840,Acceleration!$K$4:$K$110,0)),IF('Track Data'!O1840=3,INDEX(Acceleration!$S$4:$S$110,MATCH('Track Data'!S1840,Acceleration!$K$4:$K$110,0)),'Track Data'!AF1840)),'Track Data'!U1840)</f>
        <v>3.9259213927261993</v>
      </c>
      <c r="AH1840" s="16">
        <f>IF(AC1840=0,IF(O1840=2,INDEX(Acceleration!$R$4:$R$110,MATCH('Track Data'!S1840,Acceleration!$K$4:$K$110,0)),IF('Track Data'!O1840=1,INDEX(Acceleration!$Q$4:$Q$110,MATCH('Track Data'!S1840,Acceleration!$K$4:$K$110,0)),'Track Data'!AG1840)),'Track Data'!U1840)</f>
        <v>3.9259213927261993</v>
      </c>
    </row>
    <row r="1841" spans="2:34" x14ac:dyDescent="0.25">
      <c r="B1841" s="16">
        <v>245.38399999999999</v>
      </c>
      <c r="C1841" s="16">
        <v>9111</v>
      </c>
      <c r="D1841" s="16">
        <v>1838</v>
      </c>
      <c r="E1841" s="113">
        <v>200</v>
      </c>
      <c r="F1841" s="113">
        <v>187.8</v>
      </c>
      <c r="G1841" s="113">
        <v>174.3</v>
      </c>
      <c r="H1841" s="113">
        <f t="shared" si="201"/>
        <v>48.416666666666671</v>
      </c>
      <c r="I1841" s="113">
        <v>5.3</v>
      </c>
      <c r="J1841" s="113">
        <v>38.5</v>
      </c>
      <c r="K1841" s="113">
        <v>-65.5</v>
      </c>
      <c r="L1841" s="183"/>
      <c r="M1841" s="16">
        <v>1838</v>
      </c>
      <c r="N1841" s="16">
        <f t="shared" si="203"/>
        <v>1.8506585030011565E-2</v>
      </c>
      <c r="O1841" s="16">
        <v>5</v>
      </c>
      <c r="P1841" s="16">
        <f t="shared" si="199"/>
        <v>8.1742160278745661</v>
      </c>
      <c r="Q1841" s="16">
        <f t="shared" si="204"/>
        <v>54.034820491102515</v>
      </c>
      <c r="R1841" s="113">
        <f t="shared" si="200"/>
        <v>319.54399999999998</v>
      </c>
      <c r="S1841" s="16">
        <f>IF(S1840=15800,15800,ROUND((((Q1841*60)/'Gearing Calculator'!$C$14)*'Track Data'!P1841),-2))</f>
        <v>13400</v>
      </c>
      <c r="T1841" s="16">
        <f t="shared" si="202"/>
        <v>3.9259213927261993</v>
      </c>
      <c r="U1841" s="16">
        <f>IF(AC1841=100,Braking!$AG$2354,IF(AC1841=50,Braking!$AG$1179,IF(AC1841=75,Braking!$AG$1767,0)))</f>
        <v>0</v>
      </c>
      <c r="V1841" s="16">
        <f>0.5*'Gearing Calculator'!$C$15*'Gearing Calculator'!$C$20*'Gearing Calculator'!$W$20*('Track Data'!Q1841^2)</f>
        <v>309.02759161152034</v>
      </c>
      <c r="W1841" s="16">
        <f>('Gearing Calculator'!$U$9*'Track Data'!T1841)+'Track Data'!V1841</f>
        <v>1354.1078663552346</v>
      </c>
      <c r="X1841" s="16">
        <f>('Gearing Calculator'!$U$9*9.81)*('Gearing Calculator'!$U$16/'Gearing Calculator'!$C$7)-(('Track Data'!W1841)*('Gearing Calculator'!$U$17/'Gearing Calculator'!$C$7))</f>
        <v>663.08103575513042</v>
      </c>
      <c r="Y1841" s="16">
        <f>('Gearing Calculator'!$U$9*9.81)*(('Gearing Calculator'!$C$7-'Gearing Calculator'!$U$16)/'Gearing Calculator'!$C$7)+(('Track Data'!W1841)*('Gearing Calculator'!$U$17/'Gearing Calculator'!$C$7))</f>
        <v>1948.3409642448696</v>
      </c>
      <c r="Z1841" s="16">
        <f>((X1841*COS('Gearing Calculator'!$C$21))/'Gearing Calculator'!$C$22)/2</f>
        <v>20.500368478906633</v>
      </c>
      <c r="AA1841" s="16">
        <f>Y1841/'Gearing Calculator'!$C$24</f>
        <v>27.205374686443935</v>
      </c>
      <c r="AB1841" s="16">
        <f t="shared" si="198"/>
        <v>328.65719857515131</v>
      </c>
      <c r="AC1841" s="16">
        <v>0</v>
      </c>
      <c r="AD1841" s="16">
        <v>-49.842163139380297</v>
      </c>
      <c r="AE1841" s="16">
        <v>1838</v>
      </c>
      <c r="AF1841" s="16">
        <f>IF(AC1841=0,IF(O1841=6,INDEX(Acceleration!$V$4:$V$110,MATCH('Track Data'!S1841,Acceleration!$K$4:$K$110,0)),IF('Track Data'!O1841=5,INDEX(Acceleration!$U$4:$U$110,MATCH('Track Data'!S1841,Acceleration!$K$4:$K$110,0)),1)),U1841)</f>
        <v>3.9259213927261993</v>
      </c>
      <c r="AG1841" s="16">
        <f>IF(AC1841=0,IF(O1841=4,INDEX(Acceleration!$T$4:$T$110,MATCH('Track Data'!S1841,Acceleration!$K$4:$K$110,0)),IF('Track Data'!O1841=3,INDEX(Acceleration!$S$4:$S$110,MATCH('Track Data'!S1841,Acceleration!$K$4:$K$110,0)),'Track Data'!AF1841)),'Track Data'!U1841)</f>
        <v>3.9259213927261993</v>
      </c>
      <c r="AH1841" s="16">
        <f>IF(AC1841=0,IF(O1841=2,INDEX(Acceleration!$R$4:$R$110,MATCH('Track Data'!S1841,Acceleration!$K$4:$K$110,0)),IF('Track Data'!O1841=1,INDEX(Acceleration!$Q$4:$Q$110,MATCH('Track Data'!S1841,Acceleration!$K$4:$K$110,0)),'Track Data'!AG1841)),'Track Data'!U1841)</f>
        <v>3.9259213927261993</v>
      </c>
    </row>
    <row r="1842" spans="2:34" x14ac:dyDescent="0.25">
      <c r="B1842" s="16">
        <v>245.40299999999999</v>
      </c>
      <c r="C1842" s="16">
        <v>9112</v>
      </c>
      <c r="D1842" s="16">
        <v>1839</v>
      </c>
      <c r="E1842" s="113">
        <v>198</v>
      </c>
      <c r="F1842" s="113">
        <v>188.1</v>
      </c>
      <c r="G1842" s="113">
        <v>174.4</v>
      </c>
      <c r="H1842" s="113">
        <f t="shared" si="201"/>
        <v>48.444444444444443</v>
      </c>
      <c r="I1842" s="113">
        <v>8.1999999999999993</v>
      </c>
      <c r="J1842" s="113">
        <v>37.75</v>
      </c>
      <c r="K1842" s="113">
        <v>-65.5</v>
      </c>
      <c r="L1842" s="183"/>
      <c r="M1842" s="16">
        <v>1839</v>
      </c>
      <c r="N1842" s="16">
        <f t="shared" si="203"/>
        <v>1.8506585030011565E-2</v>
      </c>
      <c r="O1842" s="16">
        <v>5</v>
      </c>
      <c r="P1842" s="16">
        <f t="shared" si="199"/>
        <v>8.1742160278745661</v>
      </c>
      <c r="Q1842" s="16">
        <f t="shared" si="204"/>
        <v>54.034820491102515</v>
      </c>
      <c r="R1842" s="113">
        <f t="shared" si="200"/>
        <v>319.54399999999998</v>
      </c>
      <c r="S1842" s="16">
        <f>IF(S1841=15800,15800,ROUND((((Q1842*60)/'Gearing Calculator'!$C$14)*'Track Data'!P1842),-2))</f>
        <v>13400</v>
      </c>
      <c r="T1842" s="16">
        <f t="shared" si="202"/>
        <v>3.9259213927261993</v>
      </c>
      <c r="U1842" s="16">
        <f>IF(AC1842=100,Braking!$AG$2354,IF(AC1842=50,Braking!$AG$1179,IF(AC1842=75,Braking!$AG$1767,0)))</f>
        <v>0</v>
      </c>
      <c r="V1842" s="16">
        <f>0.5*'Gearing Calculator'!$C$15*'Gearing Calculator'!$C$20*'Gearing Calculator'!$W$20*('Track Data'!Q1842^2)</f>
        <v>309.02759161152034</v>
      </c>
      <c r="W1842" s="16">
        <f>('Gearing Calculator'!$U$9*'Track Data'!T1842)+'Track Data'!V1842</f>
        <v>1354.1078663552346</v>
      </c>
      <c r="X1842" s="16">
        <f>('Gearing Calculator'!$U$9*9.81)*('Gearing Calculator'!$U$16/'Gearing Calculator'!$C$7)-(('Track Data'!W1842)*('Gearing Calculator'!$U$17/'Gearing Calculator'!$C$7))</f>
        <v>663.08103575513042</v>
      </c>
      <c r="Y1842" s="16">
        <f>('Gearing Calculator'!$U$9*9.81)*(('Gearing Calculator'!$C$7-'Gearing Calculator'!$U$16)/'Gearing Calculator'!$C$7)+(('Track Data'!W1842)*('Gearing Calculator'!$U$17/'Gearing Calculator'!$C$7))</f>
        <v>1948.3409642448696</v>
      </c>
      <c r="Z1842" s="16">
        <f>((X1842*COS('Gearing Calculator'!$C$21))/'Gearing Calculator'!$C$22)/2</f>
        <v>20.500368478906633</v>
      </c>
      <c r="AA1842" s="16">
        <f>Y1842/'Gearing Calculator'!$C$24</f>
        <v>27.205374686443935</v>
      </c>
      <c r="AB1842" s="16">
        <f t="shared" si="198"/>
        <v>328.65719857515131</v>
      </c>
      <c r="AC1842" s="16">
        <v>0</v>
      </c>
      <c r="AD1842" s="16">
        <v>-49.842163139380297</v>
      </c>
      <c r="AE1842" s="16">
        <v>1839</v>
      </c>
      <c r="AF1842" s="16">
        <f>IF(AC1842=0,IF(O1842=6,INDEX(Acceleration!$V$4:$V$110,MATCH('Track Data'!S1842,Acceleration!$K$4:$K$110,0)),IF('Track Data'!O1842=5,INDEX(Acceleration!$U$4:$U$110,MATCH('Track Data'!S1842,Acceleration!$K$4:$K$110,0)),1)),U1842)</f>
        <v>3.9259213927261993</v>
      </c>
      <c r="AG1842" s="16">
        <f>IF(AC1842=0,IF(O1842=4,INDEX(Acceleration!$T$4:$T$110,MATCH('Track Data'!S1842,Acceleration!$K$4:$K$110,0)),IF('Track Data'!O1842=3,INDEX(Acceleration!$S$4:$S$110,MATCH('Track Data'!S1842,Acceleration!$K$4:$K$110,0)),'Track Data'!AF1842)),'Track Data'!U1842)</f>
        <v>3.9259213927261993</v>
      </c>
      <c r="AH1842" s="16">
        <f>IF(AC1842=0,IF(O1842=2,INDEX(Acceleration!$R$4:$R$110,MATCH('Track Data'!S1842,Acceleration!$K$4:$K$110,0)),IF('Track Data'!O1842=1,INDEX(Acceleration!$Q$4:$Q$110,MATCH('Track Data'!S1842,Acceleration!$K$4:$K$110,0)),'Track Data'!AG1842)),'Track Data'!U1842)</f>
        <v>3.9259213927261993</v>
      </c>
    </row>
    <row r="1843" spans="2:34" x14ac:dyDescent="0.25">
      <c r="B1843" s="16">
        <v>245.422</v>
      </c>
      <c r="C1843" s="16">
        <v>9113</v>
      </c>
      <c r="D1843" s="16">
        <v>1840</v>
      </c>
      <c r="E1843" s="113">
        <v>199</v>
      </c>
      <c r="F1843" s="113">
        <v>187.9</v>
      </c>
      <c r="G1843" s="113">
        <v>174.5</v>
      </c>
      <c r="H1843" s="113">
        <f t="shared" si="201"/>
        <v>48.472222222222221</v>
      </c>
      <c r="I1843" s="113">
        <v>8.6999999999999993</v>
      </c>
      <c r="J1843" s="113">
        <v>40.909999999999997</v>
      </c>
      <c r="K1843" s="113">
        <v>-65.5</v>
      </c>
      <c r="L1843" s="183"/>
      <c r="M1843" s="16">
        <v>1840</v>
      </c>
      <c r="N1843" s="16">
        <f t="shared" si="203"/>
        <v>1.8506585030011565E-2</v>
      </c>
      <c r="O1843" s="16">
        <v>5</v>
      </c>
      <c r="P1843" s="16">
        <f t="shared" si="199"/>
        <v>8.1742160278745661</v>
      </c>
      <c r="Q1843" s="16">
        <f t="shared" si="204"/>
        <v>54.034820491102515</v>
      </c>
      <c r="R1843" s="113">
        <f t="shared" si="200"/>
        <v>319.54399999999998</v>
      </c>
      <c r="S1843" s="16">
        <f>IF(S1842=15800,15800,ROUND((((Q1843*60)/'Gearing Calculator'!$C$14)*'Track Data'!P1843),-2))</f>
        <v>13400</v>
      </c>
      <c r="T1843" s="16">
        <f t="shared" si="202"/>
        <v>3.9259213927261993</v>
      </c>
      <c r="U1843" s="16">
        <f>IF(AC1843=100,Braking!$AG$2354,IF(AC1843=50,Braking!$AG$1179,IF(AC1843=75,Braking!$AG$1767,0)))</f>
        <v>0</v>
      </c>
      <c r="V1843" s="16">
        <f>0.5*'Gearing Calculator'!$C$15*'Gearing Calculator'!$C$20*'Gearing Calculator'!$W$20*('Track Data'!Q1843^2)</f>
        <v>309.02759161152034</v>
      </c>
      <c r="W1843" s="16">
        <f>('Gearing Calculator'!$U$9*'Track Data'!T1843)+'Track Data'!V1843</f>
        <v>1354.1078663552346</v>
      </c>
      <c r="X1843" s="16">
        <f>('Gearing Calculator'!$U$9*9.81)*('Gearing Calculator'!$U$16/'Gearing Calculator'!$C$7)-(('Track Data'!W1843)*('Gearing Calculator'!$U$17/'Gearing Calculator'!$C$7))</f>
        <v>663.08103575513042</v>
      </c>
      <c r="Y1843" s="16">
        <f>('Gearing Calculator'!$U$9*9.81)*(('Gearing Calculator'!$C$7-'Gearing Calculator'!$U$16)/'Gearing Calculator'!$C$7)+(('Track Data'!W1843)*('Gearing Calculator'!$U$17/'Gearing Calculator'!$C$7))</f>
        <v>1948.3409642448696</v>
      </c>
      <c r="Z1843" s="16">
        <f>((X1843*COS('Gearing Calculator'!$C$21))/'Gearing Calculator'!$C$22)/2</f>
        <v>20.500368478906633</v>
      </c>
      <c r="AA1843" s="16">
        <f>Y1843/'Gearing Calculator'!$C$24</f>
        <v>27.205374686443935</v>
      </c>
      <c r="AB1843" s="16">
        <f t="shared" si="198"/>
        <v>328.65719857515131</v>
      </c>
      <c r="AC1843" s="16">
        <v>0</v>
      </c>
      <c r="AD1843" s="16">
        <v>-49.842163139380297</v>
      </c>
      <c r="AE1843" s="16">
        <v>1840</v>
      </c>
      <c r="AF1843" s="16">
        <f>IF(AC1843=0,IF(O1843=6,INDEX(Acceleration!$V$4:$V$110,MATCH('Track Data'!S1843,Acceleration!$K$4:$K$110,0)),IF('Track Data'!O1843=5,INDEX(Acceleration!$U$4:$U$110,MATCH('Track Data'!S1843,Acceleration!$K$4:$K$110,0)),1)),U1843)</f>
        <v>3.9259213927261993</v>
      </c>
      <c r="AG1843" s="16">
        <f>IF(AC1843=0,IF(O1843=4,INDEX(Acceleration!$T$4:$T$110,MATCH('Track Data'!S1843,Acceleration!$K$4:$K$110,0)),IF('Track Data'!O1843=3,INDEX(Acceleration!$S$4:$S$110,MATCH('Track Data'!S1843,Acceleration!$K$4:$K$110,0)),'Track Data'!AF1843)),'Track Data'!U1843)</f>
        <v>3.9259213927261993</v>
      </c>
      <c r="AH1843" s="16">
        <f>IF(AC1843=0,IF(O1843=2,INDEX(Acceleration!$R$4:$R$110,MATCH('Track Data'!S1843,Acceleration!$K$4:$K$110,0)),IF('Track Data'!O1843=1,INDEX(Acceleration!$Q$4:$Q$110,MATCH('Track Data'!S1843,Acceleration!$K$4:$K$110,0)),'Track Data'!AG1843)),'Track Data'!U1843)</f>
        <v>3.9259213927261993</v>
      </c>
    </row>
    <row r="1844" spans="2:34" x14ac:dyDescent="0.25">
      <c r="B1844" s="16">
        <v>245.441</v>
      </c>
      <c r="C1844" s="16">
        <v>9114</v>
      </c>
      <c r="D1844" s="16">
        <v>1841</v>
      </c>
      <c r="E1844" s="113">
        <v>200</v>
      </c>
      <c r="F1844" s="113">
        <v>187.7</v>
      </c>
      <c r="G1844" s="113">
        <v>174.6</v>
      </c>
      <c r="H1844" s="113">
        <f t="shared" si="201"/>
        <v>48.5</v>
      </c>
      <c r="I1844" s="113">
        <v>9.5</v>
      </c>
      <c r="J1844" s="113">
        <v>39.380000000000003</v>
      </c>
      <c r="K1844" s="113">
        <v>-65.2</v>
      </c>
      <c r="L1844" s="183"/>
      <c r="M1844" s="16">
        <v>1841</v>
      </c>
      <c r="N1844" s="16">
        <f t="shared" si="203"/>
        <v>1.8506585030011565E-2</v>
      </c>
      <c r="O1844" s="16">
        <v>5</v>
      </c>
      <c r="P1844" s="16">
        <f t="shared" si="199"/>
        <v>8.1742160278745661</v>
      </c>
      <c r="Q1844" s="16">
        <f t="shared" si="204"/>
        <v>54.034820491102515</v>
      </c>
      <c r="R1844" s="113">
        <f t="shared" si="200"/>
        <v>319.54399999999998</v>
      </c>
      <c r="S1844" s="16">
        <f>IF(S1843=15800,15800,ROUND((((Q1844*60)/'Gearing Calculator'!$C$14)*'Track Data'!P1844),-2))</f>
        <v>13400</v>
      </c>
      <c r="T1844" s="16">
        <f t="shared" si="202"/>
        <v>3.9259213927261993</v>
      </c>
      <c r="U1844" s="16">
        <f>IF(AC1844=100,Braking!$AG$2354,IF(AC1844=50,Braking!$AG$1179,IF(AC1844=75,Braking!$AG$1767,0)))</f>
        <v>0</v>
      </c>
      <c r="V1844" s="16">
        <f>0.5*'Gearing Calculator'!$C$15*'Gearing Calculator'!$C$20*'Gearing Calculator'!$W$20*('Track Data'!Q1844^2)</f>
        <v>309.02759161152034</v>
      </c>
      <c r="W1844" s="16">
        <f>('Gearing Calculator'!$U$9*'Track Data'!T1844)+'Track Data'!V1844</f>
        <v>1354.1078663552346</v>
      </c>
      <c r="X1844" s="16">
        <f>('Gearing Calculator'!$U$9*9.81)*('Gearing Calculator'!$U$16/'Gearing Calculator'!$C$7)-(('Track Data'!W1844)*('Gearing Calculator'!$U$17/'Gearing Calculator'!$C$7))</f>
        <v>663.08103575513042</v>
      </c>
      <c r="Y1844" s="16">
        <f>('Gearing Calculator'!$U$9*9.81)*(('Gearing Calculator'!$C$7-'Gearing Calculator'!$U$16)/'Gearing Calculator'!$C$7)+(('Track Data'!W1844)*('Gearing Calculator'!$U$17/'Gearing Calculator'!$C$7))</f>
        <v>1948.3409642448696</v>
      </c>
      <c r="Z1844" s="16">
        <f>((X1844*COS('Gearing Calculator'!$C$21))/'Gearing Calculator'!$C$22)/2</f>
        <v>20.500368478906633</v>
      </c>
      <c r="AA1844" s="16">
        <f>Y1844/'Gearing Calculator'!$C$24</f>
        <v>27.205374686443935</v>
      </c>
      <c r="AB1844" s="16">
        <f t="shared" si="198"/>
        <v>328.65719857515131</v>
      </c>
      <c r="AC1844" s="16">
        <v>0</v>
      </c>
      <c r="AD1844" s="16">
        <v>-49.842163139380297</v>
      </c>
      <c r="AE1844" s="16">
        <v>1841</v>
      </c>
      <c r="AF1844" s="16">
        <f>IF(AC1844=0,IF(O1844=6,INDEX(Acceleration!$V$4:$V$110,MATCH('Track Data'!S1844,Acceleration!$K$4:$K$110,0)),IF('Track Data'!O1844=5,INDEX(Acceleration!$U$4:$U$110,MATCH('Track Data'!S1844,Acceleration!$K$4:$K$110,0)),1)),U1844)</f>
        <v>3.9259213927261993</v>
      </c>
      <c r="AG1844" s="16">
        <f>IF(AC1844=0,IF(O1844=4,INDEX(Acceleration!$T$4:$T$110,MATCH('Track Data'!S1844,Acceleration!$K$4:$K$110,0)),IF('Track Data'!O1844=3,INDEX(Acceleration!$S$4:$S$110,MATCH('Track Data'!S1844,Acceleration!$K$4:$K$110,0)),'Track Data'!AF1844)),'Track Data'!U1844)</f>
        <v>3.9259213927261993</v>
      </c>
      <c r="AH1844" s="16">
        <f>IF(AC1844=0,IF(O1844=2,INDEX(Acceleration!$R$4:$R$110,MATCH('Track Data'!S1844,Acceleration!$K$4:$K$110,0)),IF('Track Data'!O1844=1,INDEX(Acceleration!$Q$4:$Q$110,MATCH('Track Data'!S1844,Acceleration!$K$4:$K$110,0)),'Track Data'!AG1844)),'Track Data'!U1844)</f>
        <v>3.9259213927261993</v>
      </c>
    </row>
    <row r="1845" spans="2:34" x14ac:dyDescent="0.25">
      <c r="B1845" s="16">
        <v>245.46</v>
      </c>
      <c r="C1845" s="16">
        <v>9115</v>
      </c>
      <c r="D1845" s="16">
        <v>1842</v>
      </c>
      <c r="E1845" s="113">
        <v>199</v>
      </c>
      <c r="F1845" s="113">
        <v>187.8</v>
      </c>
      <c r="G1845" s="113">
        <v>174.7</v>
      </c>
      <c r="H1845" s="113">
        <f t="shared" si="201"/>
        <v>48.527777777777771</v>
      </c>
      <c r="I1845" s="113">
        <v>11.1</v>
      </c>
      <c r="J1845" s="113">
        <v>33.619999999999997</v>
      </c>
      <c r="K1845" s="113">
        <v>-63.5</v>
      </c>
      <c r="L1845" s="183"/>
      <c r="M1845" s="16">
        <v>1842</v>
      </c>
      <c r="N1845" s="16">
        <f t="shared" si="203"/>
        <v>1.8506585030011565E-2</v>
      </c>
      <c r="O1845" s="16">
        <v>5</v>
      </c>
      <c r="P1845" s="16">
        <f t="shared" si="199"/>
        <v>8.1742160278745661</v>
      </c>
      <c r="Q1845" s="16">
        <f t="shared" si="204"/>
        <v>54.034820491102515</v>
      </c>
      <c r="R1845" s="113">
        <f t="shared" si="200"/>
        <v>319.54399999999998</v>
      </c>
      <c r="S1845" s="16">
        <f>IF(S1844=15800,15800,ROUND((((Q1845*60)/'Gearing Calculator'!$C$14)*'Track Data'!P1845),-2))</f>
        <v>13400</v>
      </c>
      <c r="T1845" s="16">
        <f t="shared" si="202"/>
        <v>3.9259213927261993</v>
      </c>
      <c r="U1845" s="16">
        <f>IF(AC1845=100,Braking!$AG$2354,IF(AC1845=50,Braking!$AG$1179,IF(AC1845=75,Braking!$AG$1767,0)))</f>
        <v>0</v>
      </c>
      <c r="V1845" s="16">
        <f>0.5*'Gearing Calculator'!$C$15*'Gearing Calculator'!$C$20*'Gearing Calculator'!$W$20*('Track Data'!Q1845^2)</f>
        <v>309.02759161152034</v>
      </c>
      <c r="W1845" s="16">
        <f>('Gearing Calculator'!$U$9*'Track Data'!T1845)+'Track Data'!V1845</f>
        <v>1354.1078663552346</v>
      </c>
      <c r="X1845" s="16">
        <f>('Gearing Calculator'!$U$9*9.81)*('Gearing Calculator'!$U$16/'Gearing Calculator'!$C$7)-(('Track Data'!W1845)*('Gearing Calculator'!$U$17/'Gearing Calculator'!$C$7))</f>
        <v>663.08103575513042</v>
      </c>
      <c r="Y1845" s="16">
        <f>('Gearing Calculator'!$U$9*9.81)*(('Gearing Calculator'!$C$7-'Gearing Calculator'!$U$16)/'Gearing Calculator'!$C$7)+(('Track Data'!W1845)*('Gearing Calculator'!$U$17/'Gearing Calculator'!$C$7))</f>
        <v>1948.3409642448696</v>
      </c>
      <c r="Z1845" s="16">
        <f>((X1845*COS('Gearing Calculator'!$C$21))/'Gearing Calculator'!$C$22)/2</f>
        <v>20.500368478906633</v>
      </c>
      <c r="AA1845" s="16">
        <f>Y1845/'Gearing Calculator'!$C$24</f>
        <v>27.205374686443935</v>
      </c>
      <c r="AB1845" s="16">
        <f t="shared" si="198"/>
        <v>328.65719857515131</v>
      </c>
      <c r="AC1845" s="16">
        <v>0</v>
      </c>
      <c r="AD1845" s="16">
        <v>-49.842163139380297</v>
      </c>
      <c r="AE1845" s="16">
        <v>1842</v>
      </c>
      <c r="AF1845" s="16">
        <f>IF(AC1845=0,IF(O1845=6,INDEX(Acceleration!$V$4:$V$110,MATCH('Track Data'!S1845,Acceleration!$K$4:$K$110,0)),IF('Track Data'!O1845=5,INDEX(Acceleration!$U$4:$U$110,MATCH('Track Data'!S1845,Acceleration!$K$4:$K$110,0)),1)),U1845)</f>
        <v>3.9259213927261993</v>
      </c>
      <c r="AG1845" s="16">
        <f>IF(AC1845=0,IF(O1845=4,INDEX(Acceleration!$T$4:$T$110,MATCH('Track Data'!S1845,Acceleration!$K$4:$K$110,0)),IF('Track Data'!O1845=3,INDEX(Acceleration!$S$4:$S$110,MATCH('Track Data'!S1845,Acceleration!$K$4:$K$110,0)),'Track Data'!AF1845)),'Track Data'!U1845)</f>
        <v>3.9259213927261993</v>
      </c>
      <c r="AH1845" s="16">
        <f>IF(AC1845=0,IF(O1845=2,INDEX(Acceleration!$R$4:$R$110,MATCH('Track Data'!S1845,Acceleration!$K$4:$K$110,0)),IF('Track Data'!O1845=1,INDEX(Acceleration!$Q$4:$Q$110,MATCH('Track Data'!S1845,Acceleration!$K$4:$K$110,0)),'Track Data'!AG1845)),'Track Data'!U1845)</f>
        <v>3.9259213927261993</v>
      </c>
    </row>
    <row r="1846" spans="2:34" x14ac:dyDescent="0.25">
      <c r="B1846" s="16">
        <v>245.47900000000001</v>
      </c>
      <c r="C1846" s="16">
        <v>9116</v>
      </c>
      <c r="D1846" s="16">
        <v>1843</v>
      </c>
      <c r="E1846" s="113">
        <v>199</v>
      </c>
      <c r="F1846" s="113">
        <v>187.8</v>
      </c>
      <c r="G1846" s="113">
        <v>174.8</v>
      </c>
      <c r="H1846" s="113">
        <f t="shared" si="201"/>
        <v>48.555555555555557</v>
      </c>
      <c r="I1846" s="113">
        <v>12.2</v>
      </c>
      <c r="J1846" s="113">
        <v>30.43</v>
      </c>
      <c r="K1846" s="113">
        <v>-62.7</v>
      </c>
      <c r="L1846" s="183"/>
      <c r="M1846" s="16">
        <v>1843</v>
      </c>
      <c r="N1846" s="16">
        <f t="shared" si="203"/>
        <v>1.8506585030011565E-2</v>
      </c>
      <c r="O1846" s="16">
        <v>5</v>
      </c>
      <c r="P1846" s="16">
        <f t="shared" si="199"/>
        <v>8.1742160278745661</v>
      </c>
      <c r="Q1846" s="16">
        <f t="shared" si="204"/>
        <v>54.034820491102515</v>
      </c>
      <c r="R1846" s="113">
        <f t="shared" si="200"/>
        <v>319.54399999999998</v>
      </c>
      <c r="S1846" s="16">
        <f>IF(S1845=15800,15800,ROUND((((Q1846*60)/'Gearing Calculator'!$C$14)*'Track Data'!P1846),-2))</f>
        <v>13400</v>
      </c>
      <c r="T1846" s="16">
        <f t="shared" si="202"/>
        <v>3.9259213927261993</v>
      </c>
      <c r="U1846" s="16">
        <f>IF(AC1846=100,Braking!$AG$2354,IF(AC1846=50,Braking!$AG$1179,IF(AC1846=75,Braking!$AG$1767,0)))</f>
        <v>0</v>
      </c>
      <c r="V1846" s="16">
        <f>0.5*'Gearing Calculator'!$C$15*'Gearing Calculator'!$C$20*'Gearing Calculator'!$W$20*('Track Data'!Q1846^2)</f>
        <v>309.02759161152034</v>
      </c>
      <c r="W1846" s="16">
        <f>('Gearing Calculator'!$U$9*'Track Data'!T1846)+'Track Data'!V1846</f>
        <v>1354.1078663552346</v>
      </c>
      <c r="X1846" s="16">
        <f>('Gearing Calculator'!$U$9*9.81)*('Gearing Calculator'!$U$16/'Gearing Calculator'!$C$7)-(('Track Data'!W1846)*('Gearing Calculator'!$U$17/'Gearing Calculator'!$C$7))</f>
        <v>663.08103575513042</v>
      </c>
      <c r="Y1846" s="16">
        <f>('Gearing Calculator'!$U$9*9.81)*(('Gearing Calculator'!$C$7-'Gearing Calculator'!$U$16)/'Gearing Calculator'!$C$7)+(('Track Data'!W1846)*('Gearing Calculator'!$U$17/'Gearing Calculator'!$C$7))</f>
        <v>1948.3409642448696</v>
      </c>
      <c r="Z1846" s="16">
        <f>((X1846*COS('Gearing Calculator'!$C$21))/'Gearing Calculator'!$C$22)/2</f>
        <v>20.500368478906633</v>
      </c>
      <c r="AA1846" s="16">
        <f>Y1846/'Gearing Calculator'!$C$24</f>
        <v>27.205374686443935</v>
      </c>
      <c r="AB1846" s="16">
        <f t="shared" ref="AB1846:AB1909" si="205">(T1846*O1846)+V1846</f>
        <v>328.65719857515131</v>
      </c>
      <c r="AC1846" s="16">
        <v>0</v>
      </c>
      <c r="AD1846" s="16">
        <v>-49.842163139380297</v>
      </c>
      <c r="AE1846" s="16">
        <v>1843</v>
      </c>
      <c r="AF1846" s="16">
        <f>IF(AC1846=0,IF(O1846=6,INDEX(Acceleration!$V$4:$V$110,MATCH('Track Data'!S1846,Acceleration!$K$4:$K$110,0)),IF('Track Data'!O1846=5,INDEX(Acceleration!$U$4:$U$110,MATCH('Track Data'!S1846,Acceleration!$K$4:$K$110,0)),1)),U1846)</f>
        <v>3.9259213927261993</v>
      </c>
      <c r="AG1846" s="16">
        <f>IF(AC1846=0,IF(O1846=4,INDEX(Acceleration!$T$4:$T$110,MATCH('Track Data'!S1846,Acceleration!$K$4:$K$110,0)),IF('Track Data'!O1846=3,INDEX(Acceleration!$S$4:$S$110,MATCH('Track Data'!S1846,Acceleration!$K$4:$K$110,0)),'Track Data'!AF1846)),'Track Data'!U1846)</f>
        <v>3.9259213927261993</v>
      </c>
      <c r="AH1846" s="16">
        <f>IF(AC1846=0,IF(O1846=2,INDEX(Acceleration!$R$4:$R$110,MATCH('Track Data'!S1846,Acceleration!$K$4:$K$110,0)),IF('Track Data'!O1846=1,INDEX(Acceleration!$Q$4:$Q$110,MATCH('Track Data'!S1846,Acceleration!$K$4:$K$110,0)),'Track Data'!AG1846)),'Track Data'!U1846)</f>
        <v>3.9259213927261993</v>
      </c>
    </row>
    <row r="1847" spans="2:34" x14ac:dyDescent="0.25">
      <c r="B1847" s="16">
        <v>245.49799999999999</v>
      </c>
      <c r="C1847" s="16">
        <v>9117</v>
      </c>
      <c r="D1847" s="16">
        <v>1844</v>
      </c>
      <c r="E1847" s="113">
        <v>199</v>
      </c>
      <c r="F1847" s="113">
        <v>187.7</v>
      </c>
      <c r="G1847" s="113">
        <v>174.9</v>
      </c>
      <c r="H1847" s="113">
        <f t="shared" si="201"/>
        <v>48.583333333333336</v>
      </c>
      <c r="I1847" s="113">
        <v>12.7</v>
      </c>
      <c r="J1847" s="113">
        <v>30.32</v>
      </c>
      <c r="K1847" s="113">
        <v>-61</v>
      </c>
      <c r="L1847" s="183"/>
      <c r="M1847" s="16">
        <v>1844</v>
      </c>
      <c r="N1847" s="16">
        <f t="shared" si="203"/>
        <v>1.8506585030011565E-2</v>
      </c>
      <c r="O1847" s="16">
        <v>5</v>
      </c>
      <c r="P1847" s="16">
        <f t="shared" si="199"/>
        <v>8.1742160278745661</v>
      </c>
      <c r="Q1847" s="16">
        <f t="shared" si="204"/>
        <v>54.034820491102515</v>
      </c>
      <c r="R1847" s="113">
        <f t="shared" si="200"/>
        <v>319.54399999999998</v>
      </c>
      <c r="S1847" s="16">
        <f>IF(S1846=15800,15800,ROUND((((Q1847*60)/'Gearing Calculator'!$C$14)*'Track Data'!P1847),-2))</f>
        <v>13400</v>
      </c>
      <c r="T1847" s="16">
        <f t="shared" si="202"/>
        <v>3.9259213927261993</v>
      </c>
      <c r="U1847" s="16">
        <f>IF(AC1847=100,Braking!$AG$2354,IF(AC1847=50,Braking!$AG$1179,IF(AC1847=75,Braking!$AG$1767,0)))</f>
        <v>0</v>
      </c>
      <c r="V1847" s="16">
        <f>0.5*'Gearing Calculator'!$C$15*'Gearing Calculator'!$C$20*'Gearing Calculator'!$W$20*('Track Data'!Q1847^2)</f>
        <v>309.02759161152034</v>
      </c>
      <c r="W1847" s="16">
        <f>('Gearing Calculator'!$U$9*'Track Data'!T1847)+'Track Data'!V1847</f>
        <v>1354.1078663552346</v>
      </c>
      <c r="X1847" s="16">
        <f>('Gearing Calculator'!$U$9*9.81)*('Gearing Calculator'!$U$16/'Gearing Calculator'!$C$7)-(('Track Data'!W1847)*('Gearing Calculator'!$U$17/'Gearing Calculator'!$C$7))</f>
        <v>663.08103575513042</v>
      </c>
      <c r="Y1847" s="16">
        <f>('Gearing Calculator'!$U$9*9.81)*(('Gearing Calculator'!$C$7-'Gearing Calculator'!$U$16)/'Gearing Calculator'!$C$7)+(('Track Data'!W1847)*('Gearing Calculator'!$U$17/'Gearing Calculator'!$C$7))</f>
        <v>1948.3409642448696</v>
      </c>
      <c r="Z1847" s="16">
        <f>((X1847*COS('Gearing Calculator'!$C$21))/'Gearing Calculator'!$C$22)/2</f>
        <v>20.500368478906633</v>
      </c>
      <c r="AA1847" s="16">
        <f>Y1847/'Gearing Calculator'!$C$24</f>
        <v>27.205374686443935</v>
      </c>
      <c r="AB1847" s="16">
        <f t="shared" si="205"/>
        <v>328.65719857515131</v>
      </c>
      <c r="AC1847" s="16">
        <v>0</v>
      </c>
      <c r="AD1847" s="16">
        <v>-49.842163139380297</v>
      </c>
      <c r="AE1847" s="16">
        <v>1844</v>
      </c>
      <c r="AF1847" s="16">
        <f>IF(AC1847=0,IF(O1847=6,INDEX(Acceleration!$V$4:$V$110,MATCH('Track Data'!S1847,Acceleration!$K$4:$K$110,0)),IF('Track Data'!O1847=5,INDEX(Acceleration!$U$4:$U$110,MATCH('Track Data'!S1847,Acceleration!$K$4:$K$110,0)),1)),U1847)</f>
        <v>3.9259213927261993</v>
      </c>
      <c r="AG1847" s="16">
        <f>IF(AC1847=0,IF(O1847=4,INDEX(Acceleration!$T$4:$T$110,MATCH('Track Data'!S1847,Acceleration!$K$4:$K$110,0)),IF('Track Data'!O1847=3,INDEX(Acceleration!$S$4:$S$110,MATCH('Track Data'!S1847,Acceleration!$K$4:$K$110,0)),'Track Data'!AF1847)),'Track Data'!U1847)</f>
        <v>3.9259213927261993</v>
      </c>
      <c r="AH1847" s="16">
        <f>IF(AC1847=0,IF(O1847=2,INDEX(Acceleration!$R$4:$R$110,MATCH('Track Data'!S1847,Acceleration!$K$4:$K$110,0)),IF('Track Data'!O1847=1,INDEX(Acceleration!$Q$4:$Q$110,MATCH('Track Data'!S1847,Acceleration!$K$4:$K$110,0)),'Track Data'!AG1847)),'Track Data'!U1847)</f>
        <v>3.9259213927261993</v>
      </c>
    </row>
    <row r="1848" spans="2:34" x14ac:dyDescent="0.25">
      <c r="B1848" s="16">
        <v>245.518</v>
      </c>
      <c r="C1848" s="16">
        <v>9118</v>
      </c>
      <c r="D1848" s="16">
        <v>1845</v>
      </c>
      <c r="E1848" s="113">
        <v>200</v>
      </c>
      <c r="F1848" s="113">
        <v>187.6</v>
      </c>
      <c r="G1848" s="113">
        <v>175</v>
      </c>
      <c r="H1848" s="113">
        <f t="shared" si="201"/>
        <v>48.611111111111107</v>
      </c>
      <c r="I1848" s="113">
        <v>12.3</v>
      </c>
      <c r="J1848" s="113">
        <v>29.4</v>
      </c>
      <c r="K1848" s="113">
        <v>-59.3</v>
      </c>
      <c r="L1848" s="183"/>
      <c r="M1848" s="16">
        <v>1845</v>
      </c>
      <c r="N1848" s="16">
        <f t="shared" si="203"/>
        <v>1.8506585030011565E-2</v>
      </c>
      <c r="O1848" s="16">
        <v>5</v>
      </c>
      <c r="P1848" s="16">
        <f t="shared" si="199"/>
        <v>8.1742160278745661</v>
      </c>
      <c r="Q1848" s="16">
        <f t="shared" si="204"/>
        <v>54.034820491102515</v>
      </c>
      <c r="R1848" s="113">
        <f t="shared" si="200"/>
        <v>319.54399999999998</v>
      </c>
      <c r="S1848" s="16">
        <f>IF(S1847=15800,15800,ROUND((((Q1848*60)/'Gearing Calculator'!$C$14)*'Track Data'!P1848),-2))</f>
        <v>13400</v>
      </c>
      <c r="T1848" s="16">
        <f t="shared" si="202"/>
        <v>3.9259213927261993</v>
      </c>
      <c r="U1848" s="16">
        <f>IF(AC1848=100,Braking!$AG$2354,IF(AC1848=50,Braking!$AG$1179,IF(AC1848=75,Braking!$AG$1767,0)))</f>
        <v>0</v>
      </c>
      <c r="V1848" s="16">
        <f>0.5*'Gearing Calculator'!$C$15*'Gearing Calculator'!$C$20*'Gearing Calculator'!$W$20*('Track Data'!Q1848^2)</f>
        <v>309.02759161152034</v>
      </c>
      <c r="W1848" s="16">
        <f>('Gearing Calculator'!$U$9*'Track Data'!T1848)+'Track Data'!V1848</f>
        <v>1354.1078663552346</v>
      </c>
      <c r="X1848" s="16">
        <f>('Gearing Calculator'!$U$9*9.81)*('Gearing Calculator'!$U$16/'Gearing Calculator'!$C$7)-(('Track Data'!W1848)*('Gearing Calculator'!$U$17/'Gearing Calculator'!$C$7))</f>
        <v>663.08103575513042</v>
      </c>
      <c r="Y1848" s="16">
        <f>('Gearing Calculator'!$U$9*9.81)*(('Gearing Calculator'!$C$7-'Gearing Calculator'!$U$16)/'Gearing Calculator'!$C$7)+(('Track Data'!W1848)*('Gearing Calculator'!$U$17/'Gearing Calculator'!$C$7))</f>
        <v>1948.3409642448696</v>
      </c>
      <c r="Z1848" s="16">
        <f>((X1848*COS('Gearing Calculator'!$C$21))/'Gearing Calculator'!$C$22)/2</f>
        <v>20.500368478906633</v>
      </c>
      <c r="AA1848" s="16">
        <f>Y1848/'Gearing Calculator'!$C$24</f>
        <v>27.205374686443935</v>
      </c>
      <c r="AB1848" s="16">
        <f t="shared" si="205"/>
        <v>328.65719857515131</v>
      </c>
      <c r="AC1848" s="16">
        <v>0</v>
      </c>
      <c r="AD1848" s="16">
        <v>-49.842163139380297</v>
      </c>
      <c r="AE1848" s="16">
        <v>1845</v>
      </c>
      <c r="AF1848" s="16">
        <f>IF(AC1848=0,IF(O1848=6,INDEX(Acceleration!$V$4:$V$110,MATCH('Track Data'!S1848,Acceleration!$K$4:$K$110,0)),IF('Track Data'!O1848=5,INDEX(Acceleration!$U$4:$U$110,MATCH('Track Data'!S1848,Acceleration!$K$4:$K$110,0)),1)),U1848)</f>
        <v>3.9259213927261993</v>
      </c>
      <c r="AG1848" s="16">
        <f>IF(AC1848=0,IF(O1848=4,INDEX(Acceleration!$T$4:$T$110,MATCH('Track Data'!S1848,Acceleration!$K$4:$K$110,0)),IF('Track Data'!O1848=3,INDEX(Acceleration!$S$4:$S$110,MATCH('Track Data'!S1848,Acceleration!$K$4:$K$110,0)),'Track Data'!AF1848)),'Track Data'!U1848)</f>
        <v>3.9259213927261993</v>
      </c>
      <c r="AH1848" s="16">
        <f>IF(AC1848=0,IF(O1848=2,INDEX(Acceleration!$R$4:$R$110,MATCH('Track Data'!S1848,Acceleration!$K$4:$K$110,0)),IF('Track Data'!O1848=1,INDEX(Acceleration!$Q$4:$Q$110,MATCH('Track Data'!S1848,Acceleration!$K$4:$K$110,0)),'Track Data'!AG1848)),'Track Data'!U1848)</f>
        <v>3.9259213927261993</v>
      </c>
    </row>
    <row r="1849" spans="2:34" x14ac:dyDescent="0.25">
      <c r="B1849" s="16">
        <v>245.536</v>
      </c>
      <c r="C1849" s="16">
        <v>9119</v>
      </c>
      <c r="D1849" s="16">
        <v>1846</v>
      </c>
      <c r="E1849" s="113">
        <v>200</v>
      </c>
      <c r="F1849" s="113">
        <v>187.6</v>
      </c>
      <c r="G1849" s="113">
        <v>175.2</v>
      </c>
      <c r="H1849" s="113">
        <f t="shared" si="201"/>
        <v>48.666666666666664</v>
      </c>
      <c r="I1849" s="113">
        <v>11.7</v>
      </c>
      <c r="J1849" s="113">
        <v>30.06</v>
      </c>
      <c r="K1849" s="113">
        <v>-57</v>
      </c>
      <c r="L1849" s="183"/>
      <c r="M1849" s="16">
        <v>1846</v>
      </c>
      <c r="N1849" s="16">
        <f t="shared" si="203"/>
        <v>1.8506585030011565E-2</v>
      </c>
      <c r="O1849" s="16">
        <v>5</v>
      </c>
      <c r="P1849" s="16">
        <f t="shared" si="199"/>
        <v>8.1742160278745661</v>
      </c>
      <c r="Q1849" s="16">
        <f t="shared" si="204"/>
        <v>54.034820491102515</v>
      </c>
      <c r="R1849" s="113">
        <f t="shared" si="200"/>
        <v>319.54399999999998</v>
      </c>
      <c r="S1849" s="16">
        <f>IF(S1848=15800,15800,ROUND((((Q1849*60)/'Gearing Calculator'!$C$14)*'Track Data'!P1849),-2))</f>
        <v>13400</v>
      </c>
      <c r="T1849" s="16">
        <f t="shared" si="202"/>
        <v>3.9259213927261993</v>
      </c>
      <c r="U1849" s="16">
        <f>IF(AC1849=100,Braking!$AG$2354,IF(AC1849=50,Braking!$AG$1179,IF(AC1849=75,Braking!$AG$1767,0)))</f>
        <v>0</v>
      </c>
      <c r="V1849" s="16">
        <f>0.5*'Gearing Calculator'!$C$15*'Gearing Calculator'!$C$20*'Gearing Calculator'!$W$20*('Track Data'!Q1849^2)</f>
        <v>309.02759161152034</v>
      </c>
      <c r="W1849" s="16">
        <f>('Gearing Calculator'!$U$9*'Track Data'!T1849)+'Track Data'!V1849</f>
        <v>1354.1078663552346</v>
      </c>
      <c r="X1849" s="16">
        <f>('Gearing Calculator'!$U$9*9.81)*('Gearing Calculator'!$U$16/'Gearing Calculator'!$C$7)-(('Track Data'!W1849)*('Gearing Calculator'!$U$17/'Gearing Calculator'!$C$7))</f>
        <v>663.08103575513042</v>
      </c>
      <c r="Y1849" s="16">
        <f>('Gearing Calculator'!$U$9*9.81)*(('Gearing Calculator'!$C$7-'Gearing Calculator'!$U$16)/'Gearing Calculator'!$C$7)+(('Track Data'!W1849)*('Gearing Calculator'!$U$17/'Gearing Calculator'!$C$7))</f>
        <v>1948.3409642448696</v>
      </c>
      <c r="Z1849" s="16">
        <f>((X1849*COS('Gearing Calculator'!$C$21))/'Gearing Calculator'!$C$22)/2</f>
        <v>20.500368478906633</v>
      </c>
      <c r="AA1849" s="16">
        <f>Y1849/'Gearing Calculator'!$C$24</f>
        <v>27.205374686443935</v>
      </c>
      <c r="AB1849" s="16">
        <f t="shared" si="205"/>
        <v>328.65719857515131</v>
      </c>
      <c r="AC1849" s="16">
        <v>0</v>
      </c>
      <c r="AD1849" s="16">
        <v>-49.842163139380297</v>
      </c>
      <c r="AE1849" s="16">
        <v>1846</v>
      </c>
      <c r="AF1849" s="16">
        <f>IF(AC1849=0,IF(O1849=6,INDEX(Acceleration!$V$4:$V$110,MATCH('Track Data'!S1849,Acceleration!$K$4:$K$110,0)),IF('Track Data'!O1849=5,INDEX(Acceleration!$U$4:$U$110,MATCH('Track Data'!S1849,Acceleration!$K$4:$K$110,0)),1)),U1849)</f>
        <v>3.9259213927261993</v>
      </c>
      <c r="AG1849" s="16">
        <f>IF(AC1849=0,IF(O1849=4,INDEX(Acceleration!$T$4:$T$110,MATCH('Track Data'!S1849,Acceleration!$K$4:$K$110,0)),IF('Track Data'!O1849=3,INDEX(Acceleration!$S$4:$S$110,MATCH('Track Data'!S1849,Acceleration!$K$4:$K$110,0)),'Track Data'!AF1849)),'Track Data'!U1849)</f>
        <v>3.9259213927261993</v>
      </c>
      <c r="AH1849" s="16">
        <f>IF(AC1849=0,IF(O1849=2,INDEX(Acceleration!$R$4:$R$110,MATCH('Track Data'!S1849,Acceleration!$K$4:$K$110,0)),IF('Track Data'!O1849=1,INDEX(Acceleration!$Q$4:$Q$110,MATCH('Track Data'!S1849,Acceleration!$K$4:$K$110,0)),'Track Data'!AG1849)),'Track Data'!U1849)</f>
        <v>3.9259213927261993</v>
      </c>
    </row>
    <row r="1850" spans="2:34" x14ac:dyDescent="0.25">
      <c r="B1850" s="16">
        <v>245.55600000000001</v>
      </c>
      <c r="C1850" s="16">
        <v>9120</v>
      </c>
      <c r="D1850" s="16">
        <v>1847</v>
      </c>
      <c r="E1850" s="113">
        <v>199</v>
      </c>
      <c r="F1850" s="113">
        <v>187.7</v>
      </c>
      <c r="G1850" s="113">
        <v>175.3</v>
      </c>
      <c r="H1850" s="113">
        <f t="shared" si="201"/>
        <v>48.694444444444443</v>
      </c>
      <c r="I1850" s="113">
        <v>11.9</v>
      </c>
      <c r="J1850" s="113">
        <v>28.77</v>
      </c>
      <c r="K1850" s="113">
        <v>-54.3</v>
      </c>
      <c r="L1850" s="183"/>
      <c r="M1850" s="16">
        <v>1847</v>
      </c>
      <c r="N1850" s="16">
        <f t="shared" si="203"/>
        <v>1.8506585030011565E-2</v>
      </c>
      <c r="O1850" s="16">
        <v>5</v>
      </c>
      <c r="P1850" s="16">
        <f t="shared" si="199"/>
        <v>8.1742160278745661</v>
      </c>
      <c r="Q1850" s="16">
        <f t="shared" si="204"/>
        <v>54.034820491102515</v>
      </c>
      <c r="R1850" s="113">
        <f t="shared" si="200"/>
        <v>319.54399999999998</v>
      </c>
      <c r="S1850" s="16">
        <f>IF(S1849=15800,15800,ROUND((((Q1850*60)/'Gearing Calculator'!$C$14)*'Track Data'!P1850),-2))</f>
        <v>13400</v>
      </c>
      <c r="T1850" s="16">
        <f t="shared" si="202"/>
        <v>3.9259213927261993</v>
      </c>
      <c r="U1850" s="16">
        <f>IF(AC1850=100,Braking!$AG$2354,IF(AC1850=50,Braking!$AG$1179,IF(AC1850=75,Braking!$AG$1767,0)))</f>
        <v>0</v>
      </c>
      <c r="V1850" s="16">
        <f>0.5*'Gearing Calculator'!$C$15*'Gearing Calculator'!$C$20*'Gearing Calculator'!$W$20*('Track Data'!Q1850^2)</f>
        <v>309.02759161152034</v>
      </c>
      <c r="W1850" s="16">
        <f>('Gearing Calculator'!$U$9*'Track Data'!T1850)+'Track Data'!V1850</f>
        <v>1354.1078663552346</v>
      </c>
      <c r="X1850" s="16">
        <f>('Gearing Calculator'!$U$9*9.81)*('Gearing Calculator'!$U$16/'Gearing Calculator'!$C$7)-(('Track Data'!W1850)*('Gearing Calculator'!$U$17/'Gearing Calculator'!$C$7))</f>
        <v>663.08103575513042</v>
      </c>
      <c r="Y1850" s="16">
        <f>('Gearing Calculator'!$U$9*9.81)*(('Gearing Calculator'!$C$7-'Gearing Calculator'!$U$16)/'Gearing Calculator'!$C$7)+(('Track Data'!W1850)*('Gearing Calculator'!$U$17/'Gearing Calculator'!$C$7))</f>
        <v>1948.3409642448696</v>
      </c>
      <c r="Z1850" s="16">
        <f>((X1850*COS('Gearing Calculator'!$C$21))/'Gearing Calculator'!$C$22)/2</f>
        <v>20.500368478906633</v>
      </c>
      <c r="AA1850" s="16">
        <f>Y1850/'Gearing Calculator'!$C$24</f>
        <v>27.205374686443935</v>
      </c>
      <c r="AB1850" s="16">
        <f t="shared" si="205"/>
        <v>328.65719857515131</v>
      </c>
      <c r="AC1850" s="16">
        <v>0</v>
      </c>
      <c r="AD1850" s="16">
        <v>-49.842163139380297</v>
      </c>
      <c r="AE1850" s="16">
        <v>1847</v>
      </c>
      <c r="AF1850" s="16">
        <f>IF(AC1850=0,IF(O1850=6,INDEX(Acceleration!$V$4:$V$110,MATCH('Track Data'!S1850,Acceleration!$K$4:$K$110,0)),IF('Track Data'!O1850=5,INDEX(Acceleration!$U$4:$U$110,MATCH('Track Data'!S1850,Acceleration!$K$4:$K$110,0)),1)),U1850)</f>
        <v>3.9259213927261993</v>
      </c>
      <c r="AG1850" s="16">
        <f>IF(AC1850=0,IF(O1850=4,INDEX(Acceleration!$T$4:$T$110,MATCH('Track Data'!S1850,Acceleration!$K$4:$K$110,0)),IF('Track Data'!O1850=3,INDEX(Acceleration!$S$4:$S$110,MATCH('Track Data'!S1850,Acceleration!$K$4:$K$110,0)),'Track Data'!AF1850)),'Track Data'!U1850)</f>
        <v>3.9259213927261993</v>
      </c>
      <c r="AH1850" s="16">
        <f>IF(AC1850=0,IF(O1850=2,INDEX(Acceleration!$R$4:$R$110,MATCH('Track Data'!S1850,Acceleration!$K$4:$K$110,0)),IF('Track Data'!O1850=1,INDEX(Acceleration!$Q$4:$Q$110,MATCH('Track Data'!S1850,Acceleration!$K$4:$K$110,0)),'Track Data'!AG1850)),'Track Data'!U1850)</f>
        <v>3.9259213927261993</v>
      </c>
    </row>
    <row r="1851" spans="2:34" x14ac:dyDescent="0.25">
      <c r="B1851" s="16">
        <v>245.57400000000001</v>
      </c>
      <c r="C1851" s="16">
        <v>9121</v>
      </c>
      <c r="D1851" s="16">
        <v>1848</v>
      </c>
      <c r="E1851" s="113">
        <v>199</v>
      </c>
      <c r="F1851" s="113">
        <v>187.6</v>
      </c>
      <c r="G1851" s="113">
        <v>175.5</v>
      </c>
      <c r="H1851" s="113">
        <f t="shared" si="201"/>
        <v>48.75</v>
      </c>
      <c r="I1851" s="113">
        <v>12.4</v>
      </c>
      <c r="J1851" s="113">
        <v>30.43</v>
      </c>
      <c r="K1851" s="113">
        <v>-51.7</v>
      </c>
      <c r="L1851" s="183"/>
      <c r="M1851" s="16">
        <v>1848</v>
      </c>
      <c r="N1851" s="16">
        <f t="shared" si="203"/>
        <v>1.8506585030011565E-2</v>
      </c>
      <c r="O1851" s="16">
        <v>5</v>
      </c>
      <c r="P1851" s="16">
        <f t="shared" si="199"/>
        <v>8.1742160278745661</v>
      </c>
      <c r="Q1851" s="16">
        <f t="shared" si="204"/>
        <v>54.034820491102515</v>
      </c>
      <c r="R1851" s="113">
        <f t="shared" si="200"/>
        <v>319.54399999999998</v>
      </c>
      <c r="S1851" s="16">
        <f>IF(S1850=15800,15800,ROUND((((Q1851*60)/'Gearing Calculator'!$C$14)*'Track Data'!P1851),-2))</f>
        <v>13400</v>
      </c>
      <c r="T1851" s="16">
        <f t="shared" si="202"/>
        <v>3.9259213927261993</v>
      </c>
      <c r="U1851" s="16">
        <f>IF(AC1851=100,Braking!$AG$2354,IF(AC1851=50,Braking!$AG$1179,IF(AC1851=75,Braking!$AG$1767,0)))</f>
        <v>0</v>
      </c>
      <c r="V1851" s="16">
        <f>0.5*'Gearing Calculator'!$C$15*'Gearing Calculator'!$C$20*'Gearing Calculator'!$W$20*('Track Data'!Q1851^2)</f>
        <v>309.02759161152034</v>
      </c>
      <c r="W1851" s="16">
        <f>('Gearing Calculator'!$U$9*'Track Data'!T1851)+'Track Data'!V1851</f>
        <v>1354.1078663552346</v>
      </c>
      <c r="X1851" s="16">
        <f>('Gearing Calculator'!$U$9*9.81)*('Gearing Calculator'!$U$16/'Gearing Calculator'!$C$7)-(('Track Data'!W1851)*('Gearing Calculator'!$U$17/'Gearing Calculator'!$C$7))</f>
        <v>663.08103575513042</v>
      </c>
      <c r="Y1851" s="16">
        <f>('Gearing Calculator'!$U$9*9.81)*(('Gearing Calculator'!$C$7-'Gearing Calculator'!$U$16)/'Gearing Calculator'!$C$7)+(('Track Data'!W1851)*('Gearing Calculator'!$U$17/'Gearing Calculator'!$C$7))</f>
        <v>1948.3409642448696</v>
      </c>
      <c r="Z1851" s="16">
        <f>((X1851*COS('Gearing Calculator'!$C$21))/'Gearing Calculator'!$C$22)/2</f>
        <v>20.500368478906633</v>
      </c>
      <c r="AA1851" s="16">
        <f>Y1851/'Gearing Calculator'!$C$24</f>
        <v>27.205374686443935</v>
      </c>
      <c r="AB1851" s="16">
        <f t="shared" si="205"/>
        <v>328.65719857515131</v>
      </c>
      <c r="AC1851" s="16">
        <v>0</v>
      </c>
      <c r="AD1851" s="16">
        <v>-49.842163139380297</v>
      </c>
      <c r="AE1851" s="16">
        <v>1848</v>
      </c>
      <c r="AF1851" s="16">
        <f>IF(AC1851=0,IF(O1851=6,INDEX(Acceleration!$V$4:$V$110,MATCH('Track Data'!S1851,Acceleration!$K$4:$K$110,0)),IF('Track Data'!O1851=5,INDEX(Acceleration!$U$4:$U$110,MATCH('Track Data'!S1851,Acceleration!$K$4:$K$110,0)),1)),U1851)</f>
        <v>3.9259213927261993</v>
      </c>
      <c r="AG1851" s="16">
        <f>IF(AC1851=0,IF(O1851=4,INDEX(Acceleration!$T$4:$T$110,MATCH('Track Data'!S1851,Acceleration!$K$4:$K$110,0)),IF('Track Data'!O1851=3,INDEX(Acceleration!$S$4:$S$110,MATCH('Track Data'!S1851,Acceleration!$K$4:$K$110,0)),'Track Data'!AF1851)),'Track Data'!U1851)</f>
        <v>3.9259213927261993</v>
      </c>
      <c r="AH1851" s="16">
        <f>IF(AC1851=0,IF(O1851=2,INDEX(Acceleration!$R$4:$R$110,MATCH('Track Data'!S1851,Acceleration!$K$4:$K$110,0)),IF('Track Data'!O1851=1,INDEX(Acceleration!$Q$4:$Q$110,MATCH('Track Data'!S1851,Acceleration!$K$4:$K$110,0)),'Track Data'!AG1851)),'Track Data'!U1851)</f>
        <v>3.9259213927261993</v>
      </c>
    </row>
    <row r="1852" spans="2:34" x14ac:dyDescent="0.25">
      <c r="B1852" s="16">
        <v>245.59399999999999</v>
      </c>
      <c r="C1852" s="16">
        <v>9122</v>
      </c>
      <c r="D1852" s="16">
        <v>1849</v>
      </c>
      <c r="E1852" s="113">
        <v>199</v>
      </c>
      <c r="F1852" s="113">
        <v>187.6</v>
      </c>
      <c r="G1852" s="113">
        <v>175.6</v>
      </c>
      <c r="H1852" s="113">
        <f t="shared" si="201"/>
        <v>48.777777777777771</v>
      </c>
      <c r="I1852" s="113">
        <v>13.1</v>
      </c>
      <c r="J1852" s="113">
        <v>30.67</v>
      </c>
      <c r="K1852" s="113">
        <v>-49</v>
      </c>
      <c r="L1852" s="183"/>
      <c r="M1852" s="16">
        <v>1849</v>
      </c>
      <c r="N1852" s="16">
        <f t="shared" si="203"/>
        <v>1.8506585030011565E-2</v>
      </c>
      <c r="O1852" s="16">
        <v>5</v>
      </c>
      <c r="P1852" s="16">
        <f t="shared" si="199"/>
        <v>8.1742160278745661</v>
      </c>
      <c r="Q1852" s="16">
        <f t="shared" si="204"/>
        <v>54.034820491102515</v>
      </c>
      <c r="R1852" s="113">
        <f t="shared" si="200"/>
        <v>319.54399999999998</v>
      </c>
      <c r="S1852" s="16">
        <f>IF(S1851=15800,15800,ROUND((((Q1852*60)/'Gearing Calculator'!$C$14)*'Track Data'!P1852),-2))</f>
        <v>13400</v>
      </c>
      <c r="T1852" s="16">
        <f t="shared" si="202"/>
        <v>3.9259213927261993</v>
      </c>
      <c r="U1852" s="16">
        <f>IF(AC1852=100,Braking!$AG$2354,IF(AC1852=50,Braking!$AG$1179,IF(AC1852=75,Braking!$AG$1767,0)))</f>
        <v>0</v>
      </c>
      <c r="V1852" s="16">
        <f>0.5*'Gearing Calculator'!$C$15*'Gearing Calculator'!$C$20*'Gearing Calculator'!$W$20*('Track Data'!Q1852^2)</f>
        <v>309.02759161152034</v>
      </c>
      <c r="W1852" s="16">
        <f>('Gearing Calculator'!$U$9*'Track Data'!T1852)+'Track Data'!V1852</f>
        <v>1354.1078663552346</v>
      </c>
      <c r="X1852" s="16">
        <f>('Gearing Calculator'!$U$9*9.81)*('Gearing Calculator'!$U$16/'Gearing Calculator'!$C$7)-(('Track Data'!W1852)*('Gearing Calculator'!$U$17/'Gearing Calculator'!$C$7))</f>
        <v>663.08103575513042</v>
      </c>
      <c r="Y1852" s="16">
        <f>('Gearing Calculator'!$U$9*9.81)*(('Gearing Calculator'!$C$7-'Gearing Calculator'!$U$16)/'Gearing Calculator'!$C$7)+(('Track Data'!W1852)*('Gearing Calculator'!$U$17/'Gearing Calculator'!$C$7))</f>
        <v>1948.3409642448696</v>
      </c>
      <c r="Z1852" s="16">
        <f>((X1852*COS('Gearing Calculator'!$C$21))/'Gearing Calculator'!$C$22)/2</f>
        <v>20.500368478906633</v>
      </c>
      <c r="AA1852" s="16">
        <f>Y1852/'Gearing Calculator'!$C$24</f>
        <v>27.205374686443935</v>
      </c>
      <c r="AB1852" s="16">
        <f t="shared" si="205"/>
        <v>328.65719857515131</v>
      </c>
      <c r="AC1852" s="16">
        <v>0</v>
      </c>
      <c r="AD1852" s="16">
        <v>-49.842163139380297</v>
      </c>
      <c r="AE1852" s="16">
        <v>1849</v>
      </c>
      <c r="AF1852" s="16">
        <f>IF(AC1852=0,IF(O1852=6,INDEX(Acceleration!$V$4:$V$110,MATCH('Track Data'!S1852,Acceleration!$K$4:$K$110,0)),IF('Track Data'!O1852=5,INDEX(Acceleration!$U$4:$U$110,MATCH('Track Data'!S1852,Acceleration!$K$4:$K$110,0)),1)),U1852)</f>
        <v>3.9259213927261993</v>
      </c>
      <c r="AG1852" s="16">
        <f>IF(AC1852=0,IF(O1852=4,INDEX(Acceleration!$T$4:$T$110,MATCH('Track Data'!S1852,Acceleration!$K$4:$K$110,0)),IF('Track Data'!O1852=3,INDEX(Acceleration!$S$4:$S$110,MATCH('Track Data'!S1852,Acceleration!$K$4:$K$110,0)),'Track Data'!AF1852)),'Track Data'!U1852)</f>
        <v>3.9259213927261993</v>
      </c>
      <c r="AH1852" s="16">
        <f>IF(AC1852=0,IF(O1852=2,INDEX(Acceleration!$R$4:$R$110,MATCH('Track Data'!S1852,Acceleration!$K$4:$K$110,0)),IF('Track Data'!O1852=1,INDEX(Acceleration!$Q$4:$Q$110,MATCH('Track Data'!S1852,Acceleration!$K$4:$K$110,0)),'Track Data'!AG1852)),'Track Data'!U1852)</f>
        <v>3.9259213927261993</v>
      </c>
    </row>
    <row r="1853" spans="2:34" x14ac:dyDescent="0.25">
      <c r="B1853" s="16">
        <v>245.613</v>
      </c>
      <c r="C1853" s="16">
        <v>9124</v>
      </c>
      <c r="D1853" s="16">
        <v>1850</v>
      </c>
      <c r="E1853" s="113">
        <v>200</v>
      </c>
      <c r="F1853" s="113">
        <v>187.6</v>
      </c>
      <c r="G1853" s="113">
        <v>175.8</v>
      </c>
      <c r="H1853" s="113">
        <f t="shared" si="201"/>
        <v>48.833333333333336</v>
      </c>
      <c r="I1853" s="113">
        <v>13</v>
      </c>
      <c r="J1853" s="113">
        <v>27.1</v>
      </c>
      <c r="K1853" s="113">
        <v>-47.7</v>
      </c>
      <c r="L1853" s="183"/>
      <c r="M1853" s="16">
        <v>1850</v>
      </c>
      <c r="N1853" s="16">
        <f t="shared" si="203"/>
        <v>1.8506585030011565E-2</v>
      </c>
      <c r="O1853" s="16">
        <v>5</v>
      </c>
      <c r="P1853" s="16">
        <f t="shared" si="199"/>
        <v>8.1742160278745661</v>
      </c>
      <c r="Q1853" s="16">
        <f t="shared" si="204"/>
        <v>54.034820491102515</v>
      </c>
      <c r="R1853" s="113">
        <f t="shared" si="200"/>
        <v>319.54399999999998</v>
      </c>
      <c r="S1853" s="16">
        <f>IF(S1852=15800,15800,ROUND((((Q1853*60)/'Gearing Calculator'!$C$14)*'Track Data'!P1853),-2))</f>
        <v>13400</v>
      </c>
      <c r="T1853" s="16">
        <f t="shared" si="202"/>
        <v>3.9259213927261993</v>
      </c>
      <c r="U1853" s="16">
        <f>IF(AC1853=100,Braking!$AG$2354,IF(AC1853=50,Braking!$AG$1179,IF(AC1853=75,Braking!$AG$1767,0)))</f>
        <v>0</v>
      </c>
      <c r="V1853" s="16">
        <f>0.5*'Gearing Calculator'!$C$15*'Gearing Calculator'!$C$20*'Gearing Calculator'!$W$20*('Track Data'!Q1853^2)</f>
        <v>309.02759161152034</v>
      </c>
      <c r="W1853" s="16">
        <f>('Gearing Calculator'!$U$9*'Track Data'!T1853)+'Track Data'!V1853</f>
        <v>1354.1078663552346</v>
      </c>
      <c r="X1853" s="16">
        <f>('Gearing Calculator'!$U$9*9.81)*('Gearing Calculator'!$U$16/'Gearing Calculator'!$C$7)-(('Track Data'!W1853)*('Gearing Calculator'!$U$17/'Gearing Calculator'!$C$7))</f>
        <v>663.08103575513042</v>
      </c>
      <c r="Y1853" s="16">
        <f>('Gearing Calculator'!$U$9*9.81)*(('Gearing Calculator'!$C$7-'Gearing Calculator'!$U$16)/'Gearing Calculator'!$C$7)+(('Track Data'!W1853)*('Gearing Calculator'!$U$17/'Gearing Calculator'!$C$7))</f>
        <v>1948.3409642448696</v>
      </c>
      <c r="Z1853" s="16">
        <f>((X1853*COS('Gearing Calculator'!$C$21))/'Gearing Calculator'!$C$22)/2</f>
        <v>20.500368478906633</v>
      </c>
      <c r="AA1853" s="16">
        <f>Y1853/'Gearing Calculator'!$C$24</f>
        <v>27.205374686443935</v>
      </c>
      <c r="AB1853" s="16">
        <f t="shared" si="205"/>
        <v>328.65719857515131</v>
      </c>
      <c r="AC1853" s="16">
        <v>0</v>
      </c>
      <c r="AD1853" s="16">
        <v>-49.842163139380297</v>
      </c>
      <c r="AE1853" s="16">
        <v>1850</v>
      </c>
      <c r="AF1853" s="16">
        <f>IF(AC1853=0,IF(O1853=6,INDEX(Acceleration!$V$4:$V$110,MATCH('Track Data'!S1853,Acceleration!$K$4:$K$110,0)),IF('Track Data'!O1853=5,INDEX(Acceleration!$U$4:$U$110,MATCH('Track Data'!S1853,Acceleration!$K$4:$K$110,0)),1)),U1853)</f>
        <v>3.9259213927261993</v>
      </c>
      <c r="AG1853" s="16">
        <f>IF(AC1853=0,IF(O1853=4,INDEX(Acceleration!$T$4:$T$110,MATCH('Track Data'!S1853,Acceleration!$K$4:$K$110,0)),IF('Track Data'!O1853=3,INDEX(Acceleration!$S$4:$S$110,MATCH('Track Data'!S1853,Acceleration!$K$4:$K$110,0)),'Track Data'!AF1853)),'Track Data'!U1853)</f>
        <v>3.9259213927261993</v>
      </c>
      <c r="AH1853" s="16">
        <f>IF(AC1853=0,IF(O1853=2,INDEX(Acceleration!$R$4:$R$110,MATCH('Track Data'!S1853,Acceleration!$K$4:$K$110,0)),IF('Track Data'!O1853=1,INDEX(Acceleration!$Q$4:$Q$110,MATCH('Track Data'!S1853,Acceleration!$K$4:$K$110,0)),'Track Data'!AG1853)),'Track Data'!U1853)</f>
        <v>3.9259213927261993</v>
      </c>
    </row>
    <row r="1854" spans="2:34" x14ac:dyDescent="0.25">
      <c r="B1854" s="16">
        <v>245.63200000000001</v>
      </c>
      <c r="C1854" s="16">
        <v>9124</v>
      </c>
      <c r="D1854" s="16">
        <v>1851</v>
      </c>
      <c r="E1854" s="113">
        <v>201</v>
      </c>
      <c r="F1854" s="113">
        <v>187.7</v>
      </c>
      <c r="G1854" s="113">
        <v>176</v>
      </c>
      <c r="H1854" s="113">
        <f t="shared" si="201"/>
        <v>48.888888888888886</v>
      </c>
      <c r="I1854" s="113">
        <v>11.6</v>
      </c>
      <c r="J1854" s="113">
        <v>27.23</v>
      </c>
      <c r="K1854" s="113">
        <v>-47.1</v>
      </c>
      <c r="L1854" s="183"/>
      <c r="M1854" s="16">
        <v>1851</v>
      </c>
      <c r="N1854" s="16">
        <f t="shared" si="203"/>
        <v>1.8506585030011565E-2</v>
      </c>
      <c r="O1854" s="16">
        <v>5</v>
      </c>
      <c r="P1854" s="16">
        <f t="shared" si="199"/>
        <v>8.1742160278745661</v>
      </c>
      <c r="Q1854" s="16">
        <f t="shared" si="204"/>
        <v>54.034820491102515</v>
      </c>
      <c r="R1854" s="113">
        <f t="shared" si="200"/>
        <v>319.54399999999998</v>
      </c>
      <c r="S1854" s="16">
        <f>IF(S1853=15800,15800,ROUND((((Q1854*60)/'Gearing Calculator'!$C$14)*'Track Data'!P1854),-2))</f>
        <v>13400</v>
      </c>
      <c r="T1854" s="16">
        <f t="shared" si="202"/>
        <v>3.9259213927261993</v>
      </c>
      <c r="U1854" s="16">
        <f>IF(AC1854=100,Braking!$AG$2354,IF(AC1854=50,Braking!$AG$1179,IF(AC1854=75,Braking!$AG$1767,0)))</f>
        <v>0</v>
      </c>
      <c r="V1854" s="16">
        <f>0.5*'Gearing Calculator'!$C$15*'Gearing Calculator'!$C$20*'Gearing Calculator'!$W$20*('Track Data'!Q1854^2)</f>
        <v>309.02759161152034</v>
      </c>
      <c r="W1854" s="16">
        <f>('Gearing Calculator'!$U$9*'Track Data'!T1854)+'Track Data'!V1854</f>
        <v>1354.1078663552346</v>
      </c>
      <c r="X1854" s="16">
        <f>('Gearing Calculator'!$U$9*9.81)*('Gearing Calculator'!$U$16/'Gearing Calculator'!$C$7)-(('Track Data'!W1854)*('Gearing Calculator'!$U$17/'Gearing Calculator'!$C$7))</f>
        <v>663.08103575513042</v>
      </c>
      <c r="Y1854" s="16">
        <f>('Gearing Calculator'!$U$9*9.81)*(('Gearing Calculator'!$C$7-'Gearing Calculator'!$U$16)/'Gearing Calculator'!$C$7)+(('Track Data'!W1854)*('Gearing Calculator'!$U$17/'Gearing Calculator'!$C$7))</f>
        <v>1948.3409642448696</v>
      </c>
      <c r="Z1854" s="16">
        <f>((X1854*COS('Gearing Calculator'!$C$21))/'Gearing Calculator'!$C$22)/2</f>
        <v>20.500368478906633</v>
      </c>
      <c r="AA1854" s="16">
        <f>Y1854/'Gearing Calculator'!$C$24</f>
        <v>27.205374686443935</v>
      </c>
      <c r="AB1854" s="16">
        <f t="shared" si="205"/>
        <v>328.65719857515131</v>
      </c>
      <c r="AC1854" s="16">
        <v>0</v>
      </c>
      <c r="AD1854" s="16">
        <v>-49.842163139380297</v>
      </c>
      <c r="AE1854" s="16">
        <v>1851</v>
      </c>
      <c r="AF1854" s="16">
        <f>IF(AC1854=0,IF(O1854=6,INDEX(Acceleration!$V$4:$V$110,MATCH('Track Data'!S1854,Acceleration!$K$4:$K$110,0)),IF('Track Data'!O1854=5,INDEX(Acceleration!$U$4:$U$110,MATCH('Track Data'!S1854,Acceleration!$K$4:$K$110,0)),1)),U1854)</f>
        <v>3.9259213927261993</v>
      </c>
      <c r="AG1854" s="16">
        <f>IF(AC1854=0,IF(O1854=4,INDEX(Acceleration!$T$4:$T$110,MATCH('Track Data'!S1854,Acceleration!$K$4:$K$110,0)),IF('Track Data'!O1854=3,INDEX(Acceleration!$S$4:$S$110,MATCH('Track Data'!S1854,Acceleration!$K$4:$K$110,0)),'Track Data'!AF1854)),'Track Data'!U1854)</f>
        <v>3.9259213927261993</v>
      </c>
      <c r="AH1854" s="16">
        <f>IF(AC1854=0,IF(O1854=2,INDEX(Acceleration!$R$4:$R$110,MATCH('Track Data'!S1854,Acceleration!$K$4:$K$110,0)),IF('Track Data'!O1854=1,INDEX(Acceleration!$Q$4:$Q$110,MATCH('Track Data'!S1854,Acceleration!$K$4:$K$110,0)),'Track Data'!AG1854)),'Track Data'!U1854)</f>
        <v>3.9259213927261993</v>
      </c>
    </row>
    <row r="1855" spans="2:34" x14ac:dyDescent="0.25">
      <c r="B1855" s="16">
        <v>245.65100000000001</v>
      </c>
      <c r="C1855" s="16">
        <v>9125</v>
      </c>
      <c r="D1855" s="16">
        <v>1852</v>
      </c>
      <c r="E1855" s="113">
        <v>201</v>
      </c>
      <c r="F1855" s="113">
        <v>187.7</v>
      </c>
      <c r="G1855" s="113">
        <v>176.2</v>
      </c>
      <c r="H1855" s="113">
        <f t="shared" si="201"/>
        <v>48.944444444444443</v>
      </c>
      <c r="I1855" s="113">
        <v>10.199999999999999</v>
      </c>
      <c r="J1855" s="113">
        <v>31.37</v>
      </c>
      <c r="K1855" s="113">
        <v>-46.4</v>
      </c>
      <c r="L1855" s="183"/>
      <c r="M1855" s="16">
        <v>1852</v>
      </c>
      <c r="N1855" s="16">
        <f t="shared" si="203"/>
        <v>1.8506585030011565E-2</v>
      </c>
      <c r="O1855" s="16">
        <v>5</v>
      </c>
      <c r="P1855" s="16">
        <f t="shared" si="199"/>
        <v>8.1742160278745661</v>
      </c>
      <c r="Q1855" s="16">
        <f t="shared" si="204"/>
        <v>54.034820491102515</v>
      </c>
      <c r="R1855" s="113">
        <f t="shared" si="200"/>
        <v>319.54399999999998</v>
      </c>
      <c r="S1855" s="16">
        <f>IF(S1854=15800,15800,ROUND((((Q1855*60)/'Gearing Calculator'!$C$14)*'Track Data'!P1855),-2))</f>
        <v>13400</v>
      </c>
      <c r="T1855" s="16">
        <f t="shared" si="202"/>
        <v>3.9259213927261993</v>
      </c>
      <c r="U1855" s="16">
        <f>IF(AC1855=100,Braking!$AG$2354,IF(AC1855=50,Braking!$AG$1179,IF(AC1855=75,Braking!$AG$1767,0)))</f>
        <v>0</v>
      </c>
      <c r="V1855" s="16">
        <f>0.5*'Gearing Calculator'!$C$15*'Gearing Calculator'!$C$20*'Gearing Calculator'!$W$20*('Track Data'!Q1855^2)</f>
        <v>309.02759161152034</v>
      </c>
      <c r="W1855" s="16">
        <f>('Gearing Calculator'!$U$9*'Track Data'!T1855)+'Track Data'!V1855</f>
        <v>1354.1078663552346</v>
      </c>
      <c r="X1855" s="16">
        <f>('Gearing Calculator'!$U$9*9.81)*('Gearing Calculator'!$U$16/'Gearing Calculator'!$C$7)-(('Track Data'!W1855)*('Gearing Calculator'!$U$17/'Gearing Calculator'!$C$7))</f>
        <v>663.08103575513042</v>
      </c>
      <c r="Y1855" s="16">
        <f>('Gearing Calculator'!$U$9*9.81)*(('Gearing Calculator'!$C$7-'Gearing Calculator'!$U$16)/'Gearing Calculator'!$C$7)+(('Track Data'!W1855)*('Gearing Calculator'!$U$17/'Gearing Calculator'!$C$7))</f>
        <v>1948.3409642448696</v>
      </c>
      <c r="Z1855" s="16">
        <f>((X1855*COS('Gearing Calculator'!$C$21))/'Gearing Calculator'!$C$22)/2</f>
        <v>20.500368478906633</v>
      </c>
      <c r="AA1855" s="16">
        <f>Y1855/'Gearing Calculator'!$C$24</f>
        <v>27.205374686443935</v>
      </c>
      <c r="AB1855" s="16">
        <f t="shared" si="205"/>
        <v>328.65719857515131</v>
      </c>
      <c r="AC1855" s="16">
        <v>0</v>
      </c>
      <c r="AD1855" s="16">
        <v>-49.842163139380297</v>
      </c>
      <c r="AE1855" s="16">
        <v>1852</v>
      </c>
      <c r="AF1855" s="16">
        <f>IF(AC1855=0,IF(O1855=6,INDEX(Acceleration!$V$4:$V$110,MATCH('Track Data'!S1855,Acceleration!$K$4:$K$110,0)),IF('Track Data'!O1855=5,INDEX(Acceleration!$U$4:$U$110,MATCH('Track Data'!S1855,Acceleration!$K$4:$K$110,0)),1)),U1855)</f>
        <v>3.9259213927261993</v>
      </c>
      <c r="AG1855" s="16">
        <f>IF(AC1855=0,IF(O1855=4,INDEX(Acceleration!$T$4:$T$110,MATCH('Track Data'!S1855,Acceleration!$K$4:$K$110,0)),IF('Track Data'!O1855=3,INDEX(Acceleration!$S$4:$S$110,MATCH('Track Data'!S1855,Acceleration!$K$4:$K$110,0)),'Track Data'!AF1855)),'Track Data'!U1855)</f>
        <v>3.9259213927261993</v>
      </c>
      <c r="AH1855" s="16">
        <f>IF(AC1855=0,IF(O1855=2,INDEX(Acceleration!$R$4:$R$110,MATCH('Track Data'!S1855,Acceleration!$K$4:$K$110,0)),IF('Track Data'!O1855=1,INDEX(Acceleration!$Q$4:$Q$110,MATCH('Track Data'!S1855,Acceleration!$K$4:$K$110,0)),'Track Data'!AG1855)),'Track Data'!U1855)</f>
        <v>3.9259213927261993</v>
      </c>
    </row>
    <row r="1856" spans="2:34" x14ac:dyDescent="0.25">
      <c r="B1856" s="16">
        <v>245.67</v>
      </c>
      <c r="C1856" s="16">
        <v>9126</v>
      </c>
      <c r="D1856" s="16">
        <v>1853</v>
      </c>
      <c r="E1856" s="113">
        <v>201</v>
      </c>
      <c r="F1856" s="113">
        <v>187.8</v>
      </c>
      <c r="G1856" s="113">
        <v>176.4</v>
      </c>
      <c r="H1856" s="113">
        <f t="shared" si="201"/>
        <v>49</v>
      </c>
      <c r="I1856" s="113">
        <v>10</v>
      </c>
      <c r="J1856" s="113">
        <v>30.09</v>
      </c>
      <c r="K1856" s="113">
        <v>-45.7</v>
      </c>
      <c r="L1856" s="183"/>
      <c r="M1856" s="16">
        <v>1853</v>
      </c>
      <c r="N1856" s="16">
        <f t="shared" si="203"/>
        <v>1.8506585030011565E-2</v>
      </c>
      <c r="O1856" s="16">
        <v>5</v>
      </c>
      <c r="P1856" s="16">
        <f t="shared" si="199"/>
        <v>8.1742160278745661</v>
      </c>
      <c r="Q1856" s="16">
        <f t="shared" si="204"/>
        <v>54.034820491102515</v>
      </c>
      <c r="R1856" s="113">
        <f t="shared" si="200"/>
        <v>319.54399999999998</v>
      </c>
      <c r="S1856" s="16">
        <f>IF(S1855=15800,15800,ROUND((((Q1856*60)/'Gearing Calculator'!$C$14)*'Track Data'!P1856),-2))</f>
        <v>13400</v>
      </c>
      <c r="T1856" s="16">
        <f t="shared" si="202"/>
        <v>3.9259213927261993</v>
      </c>
      <c r="U1856" s="16">
        <f>IF(AC1856=100,Braking!$AG$2354,IF(AC1856=50,Braking!$AG$1179,IF(AC1856=75,Braking!$AG$1767,0)))</f>
        <v>0</v>
      </c>
      <c r="V1856" s="16">
        <f>0.5*'Gearing Calculator'!$C$15*'Gearing Calculator'!$C$20*'Gearing Calculator'!$W$20*('Track Data'!Q1856^2)</f>
        <v>309.02759161152034</v>
      </c>
      <c r="W1856" s="16">
        <f>('Gearing Calculator'!$U$9*'Track Data'!T1856)+'Track Data'!V1856</f>
        <v>1354.1078663552346</v>
      </c>
      <c r="X1856" s="16">
        <f>('Gearing Calculator'!$U$9*9.81)*('Gearing Calculator'!$U$16/'Gearing Calculator'!$C$7)-(('Track Data'!W1856)*('Gearing Calculator'!$U$17/'Gearing Calculator'!$C$7))</f>
        <v>663.08103575513042</v>
      </c>
      <c r="Y1856" s="16">
        <f>('Gearing Calculator'!$U$9*9.81)*(('Gearing Calculator'!$C$7-'Gearing Calculator'!$U$16)/'Gearing Calculator'!$C$7)+(('Track Data'!W1856)*('Gearing Calculator'!$U$17/'Gearing Calculator'!$C$7))</f>
        <v>1948.3409642448696</v>
      </c>
      <c r="Z1856" s="16">
        <f>((X1856*COS('Gearing Calculator'!$C$21))/'Gearing Calculator'!$C$22)/2</f>
        <v>20.500368478906633</v>
      </c>
      <c r="AA1856" s="16">
        <f>Y1856/'Gearing Calculator'!$C$24</f>
        <v>27.205374686443935</v>
      </c>
      <c r="AB1856" s="16">
        <f t="shared" si="205"/>
        <v>328.65719857515131</v>
      </c>
      <c r="AC1856" s="16">
        <v>0</v>
      </c>
      <c r="AD1856" s="16">
        <v>-49.842163139380297</v>
      </c>
      <c r="AE1856" s="16">
        <v>1853</v>
      </c>
      <c r="AF1856" s="16">
        <f>IF(AC1856=0,IF(O1856=6,INDEX(Acceleration!$V$4:$V$110,MATCH('Track Data'!S1856,Acceleration!$K$4:$K$110,0)),IF('Track Data'!O1856=5,INDEX(Acceleration!$U$4:$U$110,MATCH('Track Data'!S1856,Acceleration!$K$4:$K$110,0)),1)),U1856)</f>
        <v>3.9259213927261993</v>
      </c>
      <c r="AG1856" s="16">
        <f>IF(AC1856=0,IF(O1856=4,INDEX(Acceleration!$T$4:$T$110,MATCH('Track Data'!S1856,Acceleration!$K$4:$K$110,0)),IF('Track Data'!O1856=3,INDEX(Acceleration!$S$4:$S$110,MATCH('Track Data'!S1856,Acceleration!$K$4:$K$110,0)),'Track Data'!AF1856)),'Track Data'!U1856)</f>
        <v>3.9259213927261993</v>
      </c>
      <c r="AH1856" s="16">
        <f>IF(AC1856=0,IF(O1856=2,INDEX(Acceleration!$R$4:$R$110,MATCH('Track Data'!S1856,Acceleration!$K$4:$K$110,0)),IF('Track Data'!O1856=1,INDEX(Acceleration!$Q$4:$Q$110,MATCH('Track Data'!S1856,Acceleration!$K$4:$K$110,0)),'Track Data'!AG1856)),'Track Data'!U1856)</f>
        <v>3.9259213927261993</v>
      </c>
    </row>
    <row r="1857" spans="2:34" x14ac:dyDescent="0.25">
      <c r="B1857" s="16">
        <v>245.68899999999999</v>
      </c>
      <c r="C1857" s="16">
        <v>9127</v>
      </c>
      <c r="D1857" s="16">
        <v>1854</v>
      </c>
      <c r="E1857" s="113">
        <v>201</v>
      </c>
      <c r="F1857" s="113">
        <v>187.8</v>
      </c>
      <c r="G1857" s="113">
        <v>176.5</v>
      </c>
      <c r="H1857" s="113">
        <f t="shared" si="201"/>
        <v>49.027777777777779</v>
      </c>
      <c r="I1857" s="113">
        <v>10.199999999999999</v>
      </c>
      <c r="J1857" s="113">
        <v>27.67</v>
      </c>
      <c r="K1857" s="113">
        <v>-45.6</v>
      </c>
      <c r="L1857" s="183"/>
      <c r="M1857" s="16">
        <v>1854</v>
      </c>
      <c r="N1857" s="16">
        <f t="shared" si="203"/>
        <v>1.8506585030011565E-2</v>
      </c>
      <c r="O1857" s="16">
        <v>5</v>
      </c>
      <c r="P1857" s="16">
        <f t="shared" si="199"/>
        <v>8.1742160278745661</v>
      </c>
      <c r="Q1857" s="16">
        <f t="shared" si="204"/>
        <v>54.034820491102515</v>
      </c>
      <c r="R1857" s="113">
        <f t="shared" si="200"/>
        <v>319.54399999999998</v>
      </c>
      <c r="S1857" s="16">
        <f>IF(S1856=15800,15800,ROUND((((Q1857*60)/'Gearing Calculator'!$C$14)*'Track Data'!P1857),-2))</f>
        <v>13400</v>
      </c>
      <c r="T1857" s="16">
        <f t="shared" si="202"/>
        <v>3.9259213927261993</v>
      </c>
      <c r="U1857" s="16">
        <f>IF(AC1857=100,Braking!$AG$2354,IF(AC1857=50,Braking!$AG$1179,IF(AC1857=75,Braking!$AG$1767,0)))</f>
        <v>0</v>
      </c>
      <c r="V1857" s="16">
        <f>0.5*'Gearing Calculator'!$C$15*'Gearing Calculator'!$C$20*'Gearing Calculator'!$W$20*('Track Data'!Q1857^2)</f>
        <v>309.02759161152034</v>
      </c>
      <c r="W1857" s="16">
        <f>('Gearing Calculator'!$U$9*'Track Data'!T1857)+'Track Data'!V1857</f>
        <v>1354.1078663552346</v>
      </c>
      <c r="X1857" s="16">
        <f>('Gearing Calculator'!$U$9*9.81)*('Gearing Calculator'!$U$16/'Gearing Calculator'!$C$7)-(('Track Data'!W1857)*('Gearing Calculator'!$U$17/'Gearing Calculator'!$C$7))</f>
        <v>663.08103575513042</v>
      </c>
      <c r="Y1857" s="16">
        <f>('Gearing Calculator'!$U$9*9.81)*(('Gearing Calculator'!$C$7-'Gearing Calculator'!$U$16)/'Gearing Calculator'!$C$7)+(('Track Data'!W1857)*('Gearing Calculator'!$U$17/'Gearing Calculator'!$C$7))</f>
        <v>1948.3409642448696</v>
      </c>
      <c r="Z1857" s="16">
        <f>((X1857*COS('Gearing Calculator'!$C$21))/'Gearing Calculator'!$C$22)/2</f>
        <v>20.500368478906633</v>
      </c>
      <c r="AA1857" s="16">
        <f>Y1857/'Gearing Calculator'!$C$24</f>
        <v>27.205374686443935</v>
      </c>
      <c r="AB1857" s="16">
        <f t="shared" si="205"/>
        <v>328.65719857515131</v>
      </c>
      <c r="AC1857" s="16">
        <v>0</v>
      </c>
      <c r="AD1857" s="16">
        <v>-49.842163139380297</v>
      </c>
      <c r="AE1857" s="16">
        <v>1854</v>
      </c>
      <c r="AF1857" s="16">
        <f>IF(AC1857=0,IF(O1857=6,INDEX(Acceleration!$V$4:$V$110,MATCH('Track Data'!S1857,Acceleration!$K$4:$K$110,0)),IF('Track Data'!O1857=5,INDEX(Acceleration!$U$4:$U$110,MATCH('Track Data'!S1857,Acceleration!$K$4:$K$110,0)),1)),U1857)</f>
        <v>3.9259213927261993</v>
      </c>
      <c r="AG1857" s="16">
        <f>IF(AC1857=0,IF(O1857=4,INDEX(Acceleration!$T$4:$T$110,MATCH('Track Data'!S1857,Acceleration!$K$4:$K$110,0)),IF('Track Data'!O1857=3,INDEX(Acceleration!$S$4:$S$110,MATCH('Track Data'!S1857,Acceleration!$K$4:$K$110,0)),'Track Data'!AF1857)),'Track Data'!U1857)</f>
        <v>3.9259213927261993</v>
      </c>
      <c r="AH1857" s="16">
        <f>IF(AC1857=0,IF(O1857=2,INDEX(Acceleration!$R$4:$R$110,MATCH('Track Data'!S1857,Acceleration!$K$4:$K$110,0)),IF('Track Data'!O1857=1,INDEX(Acceleration!$Q$4:$Q$110,MATCH('Track Data'!S1857,Acceleration!$K$4:$K$110,0)),'Track Data'!AG1857)),'Track Data'!U1857)</f>
        <v>3.9259213927261993</v>
      </c>
    </row>
    <row r="1858" spans="2:34" x14ac:dyDescent="0.25">
      <c r="B1858" s="16">
        <v>245.709</v>
      </c>
      <c r="C1858" s="16">
        <v>9128</v>
      </c>
      <c r="D1858" s="16">
        <v>1855</v>
      </c>
      <c r="E1858" s="113">
        <v>201</v>
      </c>
      <c r="F1858" s="113">
        <v>188.2</v>
      </c>
      <c r="G1858" s="113">
        <v>176.7</v>
      </c>
      <c r="H1858" s="113">
        <f t="shared" si="201"/>
        <v>49.083333333333329</v>
      </c>
      <c r="I1858" s="113">
        <v>10.9</v>
      </c>
      <c r="J1858" s="113">
        <v>25.33</v>
      </c>
      <c r="K1858" s="113">
        <v>-46.2</v>
      </c>
      <c r="L1858" s="183"/>
      <c r="M1858" s="16">
        <v>1855</v>
      </c>
      <c r="N1858" s="16">
        <f t="shared" si="203"/>
        <v>1.8506585030011565E-2</v>
      </c>
      <c r="O1858" s="16">
        <v>5</v>
      </c>
      <c r="P1858" s="16">
        <f t="shared" si="199"/>
        <v>8.1742160278745661</v>
      </c>
      <c r="Q1858" s="16">
        <f t="shared" si="204"/>
        <v>54.034820491102515</v>
      </c>
      <c r="R1858" s="113">
        <f t="shared" si="200"/>
        <v>319.54399999999998</v>
      </c>
      <c r="S1858" s="16">
        <f>IF(S1857=15800,15800,ROUND((((Q1858*60)/'Gearing Calculator'!$C$14)*'Track Data'!P1858),-2))</f>
        <v>13400</v>
      </c>
      <c r="T1858" s="16">
        <f t="shared" si="202"/>
        <v>3.9259213927261993</v>
      </c>
      <c r="U1858" s="16">
        <f>IF(AC1858=100,Braking!$AG$2354,IF(AC1858=50,Braking!$AG$1179,IF(AC1858=75,Braking!$AG$1767,0)))</f>
        <v>0</v>
      </c>
      <c r="V1858" s="16">
        <f>0.5*'Gearing Calculator'!$C$15*'Gearing Calculator'!$C$20*'Gearing Calculator'!$W$20*('Track Data'!Q1858^2)</f>
        <v>309.02759161152034</v>
      </c>
      <c r="W1858" s="16">
        <f>('Gearing Calculator'!$U$9*'Track Data'!T1858)+'Track Data'!V1858</f>
        <v>1354.1078663552346</v>
      </c>
      <c r="X1858" s="16">
        <f>('Gearing Calculator'!$U$9*9.81)*('Gearing Calculator'!$U$16/'Gearing Calculator'!$C$7)-(('Track Data'!W1858)*('Gearing Calculator'!$U$17/'Gearing Calculator'!$C$7))</f>
        <v>663.08103575513042</v>
      </c>
      <c r="Y1858" s="16">
        <f>('Gearing Calculator'!$U$9*9.81)*(('Gearing Calculator'!$C$7-'Gearing Calculator'!$U$16)/'Gearing Calculator'!$C$7)+(('Track Data'!W1858)*('Gearing Calculator'!$U$17/'Gearing Calculator'!$C$7))</f>
        <v>1948.3409642448696</v>
      </c>
      <c r="Z1858" s="16">
        <f>((X1858*COS('Gearing Calculator'!$C$21))/'Gearing Calculator'!$C$22)/2</f>
        <v>20.500368478906633</v>
      </c>
      <c r="AA1858" s="16">
        <f>Y1858/'Gearing Calculator'!$C$24</f>
        <v>27.205374686443935</v>
      </c>
      <c r="AB1858" s="16">
        <f t="shared" si="205"/>
        <v>328.65719857515131</v>
      </c>
      <c r="AC1858" s="16">
        <v>0</v>
      </c>
      <c r="AD1858" s="16">
        <v>-49.842163139380297</v>
      </c>
      <c r="AE1858" s="16">
        <v>1855</v>
      </c>
      <c r="AF1858" s="16">
        <f>IF(AC1858=0,IF(O1858=6,INDEX(Acceleration!$V$4:$V$110,MATCH('Track Data'!S1858,Acceleration!$K$4:$K$110,0)),IF('Track Data'!O1858=5,INDEX(Acceleration!$U$4:$U$110,MATCH('Track Data'!S1858,Acceleration!$K$4:$K$110,0)),1)),U1858)</f>
        <v>3.9259213927261993</v>
      </c>
      <c r="AG1858" s="16">
        <f>IF(AC1858=0,IF(O1858=4,INDEX(Acceleration!$T$4:$T$110,MATCH('Track Data'!S1858,Acceleration!$K$4:$K$110,0)),IF('Track Data'!O1858=3,INDEX(Acceleration!$S$4:$S$110,MATCH('Track Data'!S1858,Acceleration!$K$4:$K$110,0)),'Track Data'!AF1858)),'Track Data'!U1858)</f>
        <v>3.9259213927261993</v>
      </c>
      <c r="AH1858" s="16">
        <f>IF(AC1858=0,IF(O1858=2,INDEX(Acceleration!$R$4:$R$110,MATCH('Track Data'!S1858,Acceleration!$K$4:$K$110,0)),IF('Track Data'!O1858=1,INDEX(Acceleration!$Q$4:$Q$110,MATCH('Track Data'!S1858,Acceleration!$K$4:$K$110,0)),'Track Data'!AG1858)),'Track Data'!U1858)</f>
        <v>3.9259213927261993</v>
      </c>
    </row>
    <row r="1859" spans="2:34" x14ac:dyDescent="0.25">
      <c r="B1859" s="16">
        <v>245.727</v>
      </c>
      <c r="C1859" s="16">
        <v>9129</v>
      </c>
      <c r="D1859" s="16">
        <v>1856</v>
      </c>
      <c r="E1859" s="113">
        <v>201</v>
      </c>
      <c r="F1859" s="113">
        <v>188.6</v>
      </c>
      <c r="G1859" s="113">
        <v>176.9</v>
      </c>
      <c r="H1859" s="113">
        <f t="shared" si="201"/>
        <v>49.138888888888886</v>
      </c>
      <c r="I1859" s="113">
        <v>10.1</v>
      </c>
      <c r="J1859" s="113">
        <v>26.71</v>
      </c>
      <c r="K1859" s="113">
        <v>-46.8</v>
      </c>
      <c r="L1859" s="183"/>
      <c r="M1859" s="16">
        <v>1856</v>
      </c>
      <c r="N1859" s="16">
        <f t="shared" si="203"/>
        <v>1.8506585030011565E-2</v>
      </c>
      <c r="O1859" s="16">
        <v>5</v>
      </c>
      <c r="P1859" s="16">
        <f t="shared" si="199"/>
        <v>8.1742160278745661</v>
      </c>
      <c r="Q1859" s="16">
        <f t="shared" si="204"/>
        <v>54.034820491102515</v>
      </c>
      <c r="R1859" s="113">
        <f t="shared" si="200"/>
        <v>319.54399999999998</v>
      </c>
      <c r="S1859" s="16">
        <f>IF(S1858=15800,15800,ROUND((((Q1859*60)/'Gearing Calculator'!$C$14)*'Track Data'!P1859),-2))</f>
        <v>13400</v>
      </c>
      <c r="T1859" s="16">
        <f t="shared" si="202"/>
        <v>3.9259213927261993</v>
      </c>
      <c r="U1859" s="16">
        <f>IF(AC1859=100,Braking!$AG$2354,IF(AC1859=50,Braking!$AG$1179,IF(AC1859=75,Braking!$AG$1767,0)))</f>
        <v>0</v>
      </c>
      <c r="V1859" s="16">
        <f>0.5*'Gearing Calculator'!$C$15*'Gearing Calculator'!$C$20*'Gearing Calculator'!$W$20*('Track Data'!Q1859^2)</f>
        <v>309.02759161152034</v>
      </c>
      <c r="W1859" s="16">
        <f>('Gearing Calculator'!$U$9*'Track Data'!T1859)+'Track Data'!V1859</f>
        <v>1354.1078663552346</v>
      </c>
      <c r="X1859" s="16">
        <f>('Gearing Calculator'!$U$9*9.81)*('Gearing Calculator'!$U$16/'Gearing Calculator'!$C$7)-(('Track Data'!W1859)*('Gearing Calculator'!$U$17/'Gearing Calculator'!$C$7))</f>
        <v>663.08103575513042</v>
      </c>
      <c r="Y1859" s="16">
        <f>('Gearing Calculator'!$U$9*9.81)*(('Gearing Calculator'!$C$7-'Gearing Calculator'!$U$16)/'Gearing Calculator'!$C$7)+(('Track Data'!W1859)*('Gearing Calculator'!$U$17/'Gearing Calculator'!$C$7))</f>
        <v>1948.3409642448696</v>
      </c>
      <c r="Z1859" s="16">
        <f>((X1859*COS('Gearing Calculator'!$C$21))/'Gearing Calculator'!$C$22)/2</f>
        <v>20.500368478906633</v>
      </c>
      <c r="AA1859" s="16">
        <f>Y1859/'Gearing Calculator'!$C$24</f>
        <v>27.205374686443935</v>
      </c>
      <c r="AB1859" s="16">
        <f t="shared" si="205"/>
        <v>328.65719857515131</v>
      </c>
      <c r="AC1859" s="16">
        <v>0</v>
      </c>
      <c r="AD1859" s="16">
        <v>-49.842163139380297</v>
      </c>
      <c r="AE1859" s="16">
        <v>1856</v>
      </c>
      <c r="AF1859" s="16">
        <f>IF(AC1859=0,IF(O1859=6,INDEX(Acceleration!$V$4:$V$110,MATCH('Track Data'!S1859,Acceleration!$K$4:$K$110,0)),IF('Track Data'!O1859=5,INDEX(Acceleration!$U$4:$U$110,MATCH('Track Data'!S1859,Acceleration!$K$4:$K$110,0)),1)),U1859)</f>
        <v>3.9259213927261993</v>
      </c>
      <c r="AG1859" s="16">
        <f>IF(AC1859=0,IF(O1859=4,INDEX(Acceleration!$T$4:$T$110,MATCH('Track Data'!S1859,Acceleration!$K$4:$K$110,0)),IF('Track Data'!O1859=3,INDEX(Acceleration!$S$4:$S$110,MATCH('Track Data'!S1859,Acceleration!$K$4:$K$110,0)),'Track Data'!AF1859)),'Track Data'!U1859)</f>
        <v>3.9259213927261993</v>
      </c>
      <c r="AH1859" s="16">
        <f>IF(AC1859=0,IF(O1859=2,INDEX(Acceleration!$R$4:$R$110,MATCH('Track Data'!S1859,Acceleration!$K$4:$K$110,0)),IF('Track Data'!O1859=1,INDEX(Acceleration!$Q$4:$Q$110,MATCH('Track Data'!S1859,Acceleration!$K$4:$K$110,0)),'Track Data'!AG1859)),'Track Data'!U1859)</f>
        <v>3.9259213927261993</v>
      </c>
    </row>
    <row r="1860" spans="2:34" x14ac:dyDescent="0.25">
      <c r="B1860" s="16">
        <v>245.74700000000001</v>
      </c>
      <c r="C1860" s="16">
        <v>9130</v>
      </c>
      <c r="D1860" s="16">
        <v>1857</v>
      </c>
      <c r="E1860" s="113">
        <v>202</v>
      </c>
      <c r="F1860" s="113">
        <v>188.5</v>
      </c>
      <c r="G1860" s="113">
        <v>177.1</v>
      </c>
      <c r="H1860" s="113">
        <f t="shared" si="201"/>
        <v>49.194444444444443</v>
      </c>
      <c r="I1860" s="113">
        <v>8.6</v>
      </c>
      <c r="J1860" s="113">
        <v>27.19</v>
      </c>
      <c r="K1860" s="113">
        <v>-47.4</v>
      </c>
      <c r="L1860" s="183"/>
      <c r="M1860" s="16">
        <v>1857</v>
      </c>
      <c r="N1860" s="16">
        <f t="shared" si="203"/>
        <v>1.8506585030011565E-2</v>
      </c>
      <c r="O1860" s="16">
        <v>5</v>
      </c>
      <c r="P1860" s="16">
        <f t="shared" ref="P1860:P1923" si="206">VLOOKUP(O1860,$AJ$5:$AK$10,2,FALSE)</f>
        <v>8.1742160278745661</v>
      </c>
      <c r="Q1860" s="16">
        <f t="shared" si="204"/>
        <v>54.034820491102515</v>
      </c>
      <c r="R1860" s="113">
        <f t="shared" ref="R1860:R1923" si="207">VLOOKUP(O1860,$AJ$5:$AL$10,3,FALSE)</f>
        <v>319.54399999999998</v>
      </c>
      <c r="S1860" s="16">
        <f>IF(S1859=15800,15800,ROUND((((Q1860*60)/'Gearing Calculator'!$C$14)*'Track Data'!P1860),-2))</f>
        <v>13400</v>
      </c>
      <c r="T1860" s="16">
        <f t="shared" si="202"/>
        <v>3.9259213927261993</v>
      </c>
      <c r="U1860" s="16">
        <f>IF(AC1860=100,Braking!$AG$2354,IF(AC1860=50,Braking!$AG$1179,IF(AC1860=75,Braking!$AG$1767,0)))</f>
        <v>0</v>
      </c>
      <c r="V1860" s="16">
        <f>0.5*'Gearing Calculator'!$C$15*'Gearing Calculator'!$C$20*'Gearing Calculator'!$W$20*('Track Data'!Q1860^2)</f>
        <v>309.02759161152034</v>
      </c>
      <c r="W1860" s="16">
        <f>('Gearing Calculator'!$U$9*'Track Data'!T1860)+'Track Data'!V1860</f>
        <v>1354.1078663552346</v>
      </c>
      <c r="X1860" s="16">
        <f>('Gearing Calculator'!$U$9*9.81)*('Gearing Calculator'!$U$16/'Gearing Calculator'!$C$7)-(('Track Data'!W1860)*('Gearing Calculator'!$U$17/'Gearing Calculator'!$C$7))</f>
        <v>663.08103575513042</v>
      </c>
      <c r="Y1860" s="16">
        <f>('Gearing Calculator'!$U$9*9.81)*(('Gearing Calculator'!$C$7-'Gearing Calculator'!$U$16)/'Gearing Calculator'!$C$7)+(('Track Data'!W1860)*('Gearing Calculator'!$U$17/'Gearing Calculator'!$C$7))</f>
        <v>1948.3409642448696</v>
      </c>
      <c r="Z1860" s="16">
        <f>((X1860*COS('Gearing Calculator'!$C$21))/'Gearing Calculator'!$C$22)/2</f>
        <v>20.500368478906633</v>
      </c>
      <c r="AA1860" s="16">
        <f>Y1860/'Gearing Calculator'!$C$24</f>
        <v>27.205374686443935</v>
      </c>
      <c r="AB1860" s="16">
        <f t="shared" si="205"/>
        <v>328.65719857515131</v>
      </c>
      <c r="AC1860" s="16">
        <v>0</v>
      </c>
      <c r="AD1860" s="16">
        <v>-49.842163139380297</v>
      </c>
      <c r="AE1860" s="16">
        <v>1857</v>
      </c>
      <c r="AF1860" s="16">
        <f>IF(AC1860=0,IF(O1860=6,INDEX(Acceleration!$V$4:$V$110,MATCH('Track Data'!S1860,Acceleration!$K$4:$K$110,0)),IF('Track Data'!O1860=5,INDEX(Acceleration!$U$4:$U$110,MATCH('Track Data'!S1860,Acceleration!$K$4:$K$110,0)),1)),U1860)</f>
        <v>3.9259213927261993</v>
      </c>
      <c r="AG1860" s="16">
        <f>IF(AC1860=0,IF(O1860=4,INDEX(Acceleration!$T$4:$T$110,MATCH('Track Data'!S1860,Acceleration!$K$4:$K$110,0)),IF('Track Data'!O1860=3,INDEX(Acceleration!$S$4:$S$110,MATCH('Track Data'!S1860,Acceleration!$K$4:$K$110,0)),'Track Data'!AF1860)),'Track Data'!U1860)</f>
        <v>3.9259213927261993</v>
      </c>
      <c r="AH1860" s="16">
        <f>IF(AC1860=0,IF(O1860=2,INDEX(Acceleration!$R$4:$R$110,MATCH('Track Data'!S1860,Acceleration!$K$4:$K$110,0)),IF('Track Data'!O1860=1,INDEX(Acceleration!$Q$4:$Q$110,MATCH('Track Data'!S1860,Acceleration!$K$4:$K$110,0)),'Track Data'!AG1860)),'Track Data'!U1860)</f>
        <v>3.9259213927261993</v>
      </c>
    </row>
    <row r="1861" spans="2:34" x14ac:dyDescent="0.25">
      <c r="B1861" s="16">
        <v>245.76599999999999</v>
      </c>
      <c r="C1861" s="16">
        <v>9131</v>
      </c>
      <c r="D1861" s="16">
        <v>1858</v>
      </c>
      <c r="E1861" s="113">
        <v>203</v>
      </c>
      <c r="F1861" s="113">
        <v>188.5</v>
      </c>
      <c r="G1861" s="113">
        <v>177.3</v>
      </c>
      <c r="H1861" s="113">
        <f t="shared" ref="H1861:H1924" si="208">G1861/3.6</f>
        <v>49.25</v>
      </c>
      <c r="I1861" s="113">
        <v>8.1</v>
      </c>
      <c r="J1861" s="113">
        <v>26.75</v>
      </c>
      <c r="K1861" s="113">
        <v>-47.9</v>
      </c>
      <c r="L1861" s="183"/>
      <c r="M1861" s="16">
        <v>1858</v>
      </c>
      <c r="N1861" s="16">
        <f t="shared" si="203"/>
        <v>1.8506585030011565E-2</v>
      </c>
      <c r="O1861" s="16">
        <v>5</v>
      </c>
      <c r="P1861" s="16">
        <f t="shared" si="206"/>
        <v>8.1742160278745661</v>
      </c>
      <c r="Q1861" s="16">
        <f t="shared" si="204"/>
        <v>54.034820491102515</v>
      </c>
      <c r="R1861" s="113">
        <f t="shared" si="207"/>
        <v>319.54399999999998</v>
      </c>
      <c r="S1861" s="16">
        <f>IF(S1860=15800,15800,ROUND((((Q1861*60)/'Gearing Calculator'!$C$14)*'Track Data'!P1861),-2))</f>
        <v>13400</v>
      </c>
      <c r="T1861" s="16">
        <f t="shared" ref="T1861:T1924" si="209">AH1861</f>
        <v>3.9259213927261993</v>
      </c>
      <c r="U1861" s="16">
        <f>IF(AC1861=100,Braking!$AG$2354,IF(AC1861=50,Braking!$AG$1179,IF(AC1861=75,Braking!$AG$1767,0)))</f>
        <v>0</v>
      </c>
      <c r="V1861" s="16">
        <f>0.5*'Gearing Calculator'!$C$15*'Gearing Calculator'!$C$20*'Gearing Calculator'!$W$20*('Track Data'!Q1861^2)</f>
        <v>309.02759161152034</v>
      </c>
      <c r="W1861" s="16">
        <f>('Gearing Calculator'!$U$9*'Track Data'!T1861)+'Track Data'!V1861</f>
        <v>1354.1078663552346</v>
      </c>
      <c r="X1861" s="16">
        <f>('Gearing Calculator'!$U$9*9.81)*('Gearing Calculator'!$U$16/'Gearing Calculator'!$C$7)-(('Track Data'!W1861)*('Gearing Calculator'!$U$17/'Gearing Calculator'!$C$7))</f>
        <v>663.08103575513042</v>
      </c>
      <c r="Y1861" s="16">
        <f>('Gearing Calculator'!$U$9*9.81)*(('Gearing Calculator'!$C$7-'Gearing Calculator'!$U$16)/'Gearing Calculator'!$C$7)+(('Track Data'!W1861)*('Gearing Calculator'!$U$17/'Gearing Calculator'!$C$7))</f>
        <v>1948.3409642448696</v>
      </c>
      <c r="Z1861" s="16">
        <f>((X1861*COS('Gearing Calculator'!$C$21))/'Gearing Calculator'!$C$22)/2</f>
        <v>20.500368478906633</v>
      </c>
      <c r="AA1861" s="16">
        <f>Y1861/'Gearing Calculator'!$C$24</f>
        <v>27.205374686443935</v>
      </c>
      <c r="AB1861" s="16">
        <f t="shared" si="205"/>
        <v>328.65719857515131</v>
      </c>
      <c r="AC1861" s="16">
        <v>0</v>
      </c>
      <c r="AD1861" s="16">
        <v>-49.842163139380297</v>
      </c>
      <c r="AE1861" s="16">
        <v>1858</v>
      </c>
      <c r="AF1861" s="16">
        <f>IF(AC1861=0,IF(O1861=6,INDEX(Acceleration!$V$4:$V$110,MATCH('Track Data'!S1861,Acceleration!$K$4:$K$110,0)),IF('Track Data'!O1861=5,INDEX(Acceleration!$U$4:$U$110,MATCH('Track Data'!S1861,Acceleration!$K$4:$K$110,0)),1)),U1861)</f>
        <v>3.9259213927261993</v>
      </c>
      <c r="AG1861" s="16">
        <f>IF(AC1861=0,IF(O1861=4,INDEX(Acceleration!$T$4:$T$110,MATCH('Track Data'!S1861,Acceleration!$K$4:$K$110,0)),IF('Track Data'!O1861=3,INDEX(Acceleration!$S$4:$S$110,MATCH('Track Data'!S1861,Acceleration!$K$4:$K$110,0)),'Track Data'!AF1861)),'Track Data'!U1861)</f>
        <v>3.9259213927261993</v>
      </c>
      <c r="AH1861" s="16">
        <f>IF(AC1861=0,IF(O1861=2,INDEX(Acceleration!$R$4:$R$110,MATCH('Track Data'!S1861,Acceleration!$K$4:$K$110,0)),IF('Track Data'!O1861=1,INDEX(Acceleration!$Q$4:$Q$110,MATCH('Track Data'!S1861,Acceleration!$K$4:$K$110,0)),'Track Data'!AG1861)),'Track Data'!U1861)</f>
        <v>3.9259213927261993</v>
      </c>
    </row>
    <row r="1862" spans="2:34" x14ac:dyDescent="0.25">
      <c r="B1862" s="16">
        <v>245.785</v>
      </c>
      <c r="C1862" s="16">
        <v>9132</v>
      </c>
      <c r="D1862" s="16">
        <v>1859</v>
      </c>
      <c r="E1862" s="113">
        <v>202</v>
      </c>
      <c r="F1862" s="113">
        <v>188.6</v>
      </c>
      <c r="G1862" s="113">
        <v>177.6</v>
      </c>
      <c r="H1862" s="113">
        <f t="shared" si="208"/>
        <v>49.333333333333329</v>
      </c>
      <c r="I1862" s="113">
        <v>8.5</v>
      </c>
      <c r="J1862" s="113">
        <v>25.6</v>
      </c>
      <c r="K1862" s="113">
        <v>-47.9</v>
      </c>
      <c r="L1862" s="183"/>
      <c r="M1862" s="16">
        <v>1859</v>
      </c>
      <c r="N1862" s="16">
        <f t="shared" ref="N1862:N1925" si="210">1/Q1862</f>
        <v>1.8506585030011565E-2</v>
      </c>
      <c r="O1862" s="16">
        <v>5</v>
      </c>
      <c r="P1862" s="16">
        <f t="shared" si="206"/>
        <v>8.1742160278745661</v>
      </c>
      <c r="Q1862" s="16">
        <f t="shared" ref="Q1862:Q1925" si="211">IF(AD1861=0,SQRT(Q1861^2+(2*T1861)),Q1861)</f>
        <v>54.034820491102515</v>
      </c>
      <c r="R1862" s="113">
        <f t="shared" si="207"/>
        <v>319.54399999999998</v>
      </c>
      <c r="S1862" s="16">
        <f>IF(S1861=15800,15800,ROUND((((Q1862*60)/'Gearing Calculator'!$C$14)*'Track Data'!P1862),-2))</f>
        <v>13400</v>
      </c>
      <c r="T1862" s="16">
        <f t="shared" si="209"/>
        <v>3.9259213927261993</v>
      </c>
      <c r="U1862" s="16">
        <f>IF(AC1862=100,Braking!$AG$2354,IF(AC1862=50,Braking!$AG$1179,IF(AC1862=75,Braking!$AG$1767,0)))</f>
        <v>0</v>
      </c>
      <c r="V1862" s="16">
        <f>0.5*'Gearing Calculator'!$C$15*'Gearing Calculator'!$C$20*'Gearing Calculator'!$W$20*('Track Data'!Q1862^2)</f>
        <v>309.02759161152034</v>
      </c>
      <c r="W1862" s="16">
        <f>('Gearing Calculator'!$U$9*'Track Data'!T1862)+'Track Data'!V1862</f>
        <v>1354.1078663552346</v>
      </c>
      <c r="X1862" s="16">
        <f>('Gearing Calculator'!$U$9*9.81)*('Gearing Calculator'!$U$16/'Gearing Calculator'!$C$7)-(('Track Data'!W1862)*('Gearing Calculator'!$U$17/'Gearing Calculator'!$C$7))</f>
        <v>663.08103575513042</v>
      </c>
      <c r="Y1862" s="16">
        <f>('Gearing Calculator'!$U$9*9.81)*(('Gearing Calculator'!$C$7-'Gearing Calculator'!$U$16)/'Gearing Calculator'!$C$7)+(('Track Data'!W1862)*('Gearing Calculator'!$U$17/'Gearing Calculator'!$C$7))</f>
        <v>1948.3409642448696</v>
      </c>
      <c r="Z1862" s="16">
        <f>((X1862*COS('Gearing Calculator'!$C$21))/'Gearing Calculator'!$C$22)/2</f>
        <v>20.500368478906633</v>
      </c>
      <c r="AA1862" s="16">
        <f>Y1862/'Gearing Calculator'!$C$24</f>
        <v>27.205374686443935</v>
      </c>
      <c r="AB1862" s="16">
        <f t="shared" si="205"/>
        <v>328.65719857515131</v>
      </c>
      <c r="AC1862" s="16">
        <v>0</v>
      </c>
      <c r="AD1862" s="16">
        <v>-49.842163139380297</v>
      </c>
      <c r="AE1862" s="16">
        <v>1859</v>
      </c>
      <c r="AF1862" s="16">
        <f>IF(AC1862=0,IF(O1862=6,INDEX(Acceleration!$V$4:$V$110,MATCH('Track Data'!S1862,Acceleration!$K$4:$K$110,0)),IF('Track Data'!O1862=5,INDEX(Acceleration!$U$4:$U$110,MATCH('Track Data'!S1862,Acceleration!$K$4:$K$110,0)),1)),U1862)</f>
        <v>3.9259213927261993</v>
      </c>
      <c r="AG1862" s="16">
        <f>IF(AC1862=0,IF(O1862=4,INDEX(Acceleration!$T$4:$T$110,MATCH('Track Data'!S1862,Acceleration!$K$4:$K$110,0)),IF('Track Data'!O1862=3,INDEX(Acceleration!$S$4:$S$110,MATCH('Track Data'!S1862,Acceleration!$K$4:$K$110,0)),'Track Data'!AF1862)),'Track Data'!U1862)</f>
        <v>3.9259213927261993</v>
      </c>
      <c r="AH1862" s="16">
        <f>IF(AC1862=0,IF(O1862=2,INDEX(Acceleration!$R$4:$R$110,MATCH('Track Data'!S1862,Acceleration!$K$4:$K$110,0)),IF('Track Data'!O1862=1,INDEX(Acceleration!$Q$4:$Q$110,MATCH('Track Data'!S1862,Acceleration!$K$4:$K$110,0)),'Track Data'!AG1862)),'Track Data'!U1862)</f>
        <v>3.9259213927261993</v>
      </c>
    </row>
    <row r="1863" spans="2:34" x14ac:dyDescent="0.25">
      <c r="B1863" s="16">
        <v>245.804</v>
      </c>
      <c r="C1863" s="16">
        <v>9133</v>
      </c>
      <c r="D1863" s="16">
        <v>1860</v>
      </c>
      <c r="E1863" s="113">
        <v>201</v>
      </c>
      <c r="F1863" s="113">
        <v>188.6</v>
      </c>
      <c r="G1863" s="113">
        <v>177.8</v>
      </c>
      <c r="H1863" s="113">
        <f t="shared" si="208"/>
        <v>49.388888888888893</v>
      </c>
      <c r="I1863" s="113">
        <v>9.6</v>
      </c>
      <c r="J1863" s="113">
        <v>20.27</v>
      </c>
      <c r="K1863" s="113">
        <v>-47.9</v>
      </c>
      <c r="L1863" s="183"/>
      <c r="M1863" s="16">
        <v>1860</v>
      </c>
      <c r="N1863" s="16">
        <f t="shared" si="210"/>
        <v>1.8506585030011565E-2</v>
      </c>
      <c r="O1863" s="16">
        <v>5</v>
      </c>
      <c r="P1863" s="16">
        <f t="shared" si="206"/>
        <v>8.1742160278745661</v>
      </c>
      <c r="Q1863" s="16">
        <f t="shared" si="211"/>
        <v>54.034820491102515</v>
      </c>
      <c r="R1863" s="113">
        <f t="shared" si="207"/>
        <v>319.54399999999998</v>
      </c>
      <c r="S1863" s="16">
        <f>IF(S1862=15800,15800,ROUND((((Q1863*60)/'Gearing Calculator'!$C$14)*'Track Data'!P1863),-2))</f>
        <v>13400</v>
      </c>
      <c r="T1863" s="16">
        <f t="shared" si="209"/>
        <v>3.9259213927261993</v>
      </c>
      <c r="U1863" s="16">
        <f>IF(AC1863=100,Braking!$AG$2354,IF(AC1863=50,Braking!$AG$1179,IF(AC1863=75,Braking!$AG$1767,0)))</f>
        <v>0</v>
      </c>
      <c r="V1863" s="16">
        <f>0.5*'Gearing Calculator'!$C$15*'Gearing Calculator'!$C$20*'Gearing Calculator'!$W$20*('Track Data'!Q1863^2)</f>
        <v>309.02759161152034</v>
      </c>
      <c r="W1863" s="16">
        <f>('Gearing Calculator'!$U$9*'Track Data'!T1863)+'Track Data'!V1863</f>
        <v>1354.1078663552346</v>
      </c>
      <c r="X1863" s="16">
        <f>('Gearing Calculator'!$U$9*9.81)*('Gearing Calculator'!$U$16/'Gearing Calculator'!$C$7)-(('Track Data'!W1863)*('Gearing Calculator'!$U$17/'Gearing Calculator'!$C$7))</f>
        <v>663.08103575513042</v>
      </c>
      <c r="Y1863" s="16">
        <f>('Gearing Calculator'!$U$9*9.81)*(('Gearing Calculator'!$C$7-'Gearing Calculator'!$U$16)/'Gearing Calculator'!$C$7)+(('Track Data'!W1863)*('Gearing Calculator'!$U$17/'Gearing Calculator'!$C$7))</f>
        <v>1948.3409642448696</v>
      </c>
      <c r="Z1863" s="16">
        <f>((X1863*COS('Gearing Calculator'!$C$21))/'Gearing Calculator'!$C$22)/2</f>
        <v>20.500368478906633</v>
      </c>
      <c r="AA1863" s="16">
        <f>Y1863/'Gearing Calculator'!$C$24</f>
        <v>27.205374686443935</v>
      </c>
      <c r="AB1863" s="16">
        <f t="shared" si="205"/>
        <v>328.65719857515131</v>
      </c>
      <c r="AC1863" s="16">
        <v>0</v>
      </c>
      <c r="AD1863" s="16">
        <v>-49.842163139380297</v>
      </c>
      <c r="AE1863" s="16">
        <v>1860</v>
      </c>
      <c r="AF1863" s="16">
        <f>IF(AC1863=0,IF(O1863=6,INDEX(Acceleration!$V$4:$V$110,MATCH('Track Data'!S1863,Acceleration!$K$4:$K$110,0)),IF('Track Data'!O1863=5,INDEX(Acceleration!$U$4:$U$110,MATCH('Track Data'!S1863,Acceleration!$K$4:$K$110,0)),1)),U1863)</f>
        <v>3.9259213927261993</v>
      </c>
      <c r="AG1863" s="16">
        <f>IF(AC1863=0,IF(O1863=4,INDEX(Acceleration!$T$4:$T$110,MATCH('Track Data'!S1863,Acceleration!$K$4:$K$110,0)),IF('Track Data'!O1863=3,INDEX(Acceleration!$S$4:$S$110,MATCH('Track Data'!S1863,Acceleration!$K$4:$K$110,0)),'Track Data'!AF1863)),'Track Data'!U1863)</f>
        <v>3.9259213927261993</v>
      </c>
      <c r="AH1863" s="16">
        <f>IF(AC1863=0,IF(O1863=2,INDEX(Acceleration!$R$4:$R$110,MATCH('Track Data'!S1863,Acceleration!$K$4:$K$110,0)),IF('Track Data'!O1863=1,INDEX(Acceleration!$Q$4:$Q$110,MATCH('Track Data'!S1863,Acceleration!$K$4:$K$110,0)),'Track Data'!AG1863)),'Track Data'!U1863)</f>
        <v>3.9259213927261993</v>
      </c>
    </row>
    <row r="1864" spans="2:34" x14ac:dyDescent="0.25">
      <c r="B1864" s="16">
        <v>245.822</v>
      </c>
      <c r="C1864" s="16">
        <v>9134</v>
      </c>
      <c r="D1864" s="16">
        <v>1861</v>
      </c>
      <c r="E1864" s="113">
        <v>203</v>
      </c>
      <c r="F1864" s="113">
        <v>188.9</v>
      </c>
      <c r="G1864" s="113">
        <v>178</v>
      </c>
      <c r="H1864" s="113">
        <f t="shared" si="208"/>
        <v>49.444444444444443</v>
      </c>
      <c r="I1864" s="113">
        <v>8.8000000000000007</v>
      </c>
      <c r="J1864" s="113">
        <v>18.559999999999999</v>
      </c>
      <c r="K1864" s="113">
        <v>-47.9</v>
      </c>
      <c r="L1864" s="183"/>
      <c r="M1864" s="16">
        <v>1861</v>
      </c>
      <c r="N1864" s="16">
        <f t="shared" si="210"/>
        <v>1.8506585030011565E-2</v>
      </c>
      <c r="O1864" s="16">
        <v>5</v>
      </c>
      <c r="P1864" s="16">
        <f t="shared" si="206"/>
        <v>8.1742160278745661</v>
      </c>
      <c r="Q1864" s="16">
        <f t="shared" si="211"/>
        <v>54.034820491102515</v>
      </c>
      <c r="R1864" s="113">
        <f t="shared" si="207"/>
        <v>319.54399999999998</v>
      </c>
      <c r="S1864" s="16">
        <f>IF(S1863=15800,15800,ROUND((((Q1864*60)/'Gearing Calculator'!$C$14)*'Track Data'!P1864),-2))</f>
        <v>13400</v>
      </c>
      <c r="T1864" s="16">
        <f t="shared" si="209"/>
        <v>3.9259213927261993</v>
      </c>
      <c r="U1864" s="16">
        <f>IF(AC1864=100,Braking!$AG$2354,IF(AC1864=50,Braking!$AG$1179,IF(AC1864=75,Braking!$AG$1767,0)))</f>
        <v>0</v>
      </c>
      <c r="V1864" s="16">
        <f>0.5*'Gearing Calculator'!$C$15*'Gearing Calculator'!$C$20*'Gearing Calculator'!$W$20*('Track Data'!Q1864^2)</f>
        <v>309.02759161152034</v>
      </c>
      <c r="W1864" s="16">
        <f>('Gearing Calculator'!$U$9*'Track Data'!T1864)+'Track Data'!V1864</f>
        <v>1354.1078663552346</v>
      </c>
      <c r="X1864" s="16">
        <f>('Gearing Calculator'!$U$9*9.81)*('Gearing Calculator'!$U$16/'Gearing Calculator'!$C$7)-(('Track Data'!W1864)*('Gearing Calculator'!$U$17/'Gearing Calculator'!$C$7))</f>
        <v>663.08103575513042</v>
      </c>
      <c r="Y1864" s="16">
        <f>('Gearing Calculator'!$U$9*9.81)*(('Gearing Calculator'!$C$7-'Gearing Calculator'!$U$16)/'Gearing Calculator'!$C$7)+(('Track Data'!W1864)*('Gearing Calculator'!$U$17/'Gearing Calculator'!$C$7))</f>
        <v>1948.3409642448696</v>
      </c>
      <c r="Z1864" s="16">
        <f>((X1864*COS('Gearing Calculator'!$C$21))/'Gearing Calculator'!$C$22)/2</f>
        <v>20.500368478906633</v>
      </c>
      <c r="AA1864" s="16">
        <f>Y1864/'Gearing Calculator'!$C$24</f>
        <v>27.205374686443935</v>
      </c>
      <c r="AB1864" s="16">
        <f t="shared" si="205"/>
        <v>328.65719857515131</v>
      </c>
      <c r="AC1864" s="16">
        <v>0</v>
      </c>
      <c r="AD1864" s="16">
        <v>-49.842163139380297</v>
      </c>
      <c r="AE1864" s="16">
        <v>1861</v>
      </c>
      <c r="AF1864" s="16">
        <f>IF(AC1864=0,IF(O1864=6,INDEX(Acceleration!$V$4:$V$110,MATCH('Track Data'!S1864,Acceleration!$K$4:$K$110,0)),IF('Track Data'!O1864=5,INDEX(Acceleration!$U$4:$U$110,MATCH('Track Data'!S1864,Acceleration!$K$4:$K$110,0)),1)),U1864)</f>
        <v>3.9259213927261993</v>
      </c>
      <c r="AG1864" s="16">
        <f>IF(AC1864=0,IF(O1864=4,INDEX(Acceleration!$T$4:$T$110,MATCH('Track Data'!S1864,Acceleration!$K$4:$K$110,0)),IF('Track Data'!O1864=3,INDEX(Acceleration!$S$4:$S$110,MATCH('Track Data'!S1864,Acceleration!$K$4:$K$110,0)),'Track Data'!AF1864)),'Track Data'!U1864)</f>
        <v>3.9259213927261993</v>
      </c>
      <c r="AH1864" s="16">
        <f>IF(AC1864=0,IF(O1864=2,INDEX(Acceleration!$R$4:$R$110,MATCH('Track Data'!S1864,Acceleration!$K$4:$K$110,0)),IF('Track Data'!O1864=1,INDEX(Acceleration!$Q$4:$Q$110,MATCH('Track Data'!S1864,Acceleration!$K$4:$K$110,0)),'Track Data'!AG1864)),'Track Data'!U1864)</f>
        <v>3.9259213927261993</v>
      </c>
    </row>
    <row r="1865" spans="2:34" x14ac:dyDescent="0.25">
      <c r="B1865" s="16">
        <v>245.84200000000001</v>
      </c>
      <c r="C1865" s="16">
        <v>9135</v>
      </c>
      <c r="D1865" s="16">
        <v>1862</v>
      </c>
      <c r="E1865" s="113">
        <v>204</v>
      </c>
      <c r="F1865" s="113">
        <v>189.1</v>
      </c>
      <c r="G1865" s="113">
        <v>178.3</v>
      </c>
      <c r="H1865" s="113">
        <f t="shared" si="208"/>
        <v>49.527777777777779</v>
      </c>
      <c r="I1865" s="113">
        <v>7.4</v>
      </c>
      <c r="J1865" s="113">
        <v>24.24</v>
      </c>
      <c r="K1865" s="113">
        <v>-47.9</v>
      </c>
      <c r="L1865" s="183"/>
      <c r="M1865" s="16">
        <v>1862</v>
      </c>
      <c r="N1865" s="16">
        <f t="shared" si="210"/>
        <v>1.8506585030011565E-2</v>
      </c>
      <c r="O1865" s="16">
        <v>5</v>
      </c>
      <c r="P1865" s="16">
        <f t="shared" si="206"/>
        <v>8.1742160278745661</v>
      </c>
      <c r="Q1865" s="16">
        <f t="shared" si="211"/>
        <v>54.034820491102515</v>
      </c>
      <c r="R1865" s="113">
        <f t="shared" si="207"/>
        <v>319.54399999999998</v>
      </c>
      <c r="S1865" s="16">
        <f>IF(S1864=15800,15800,ROUND((((Q1865*60)/'Gearing Calculator'!$C$14)*'Track Data'!P1865),-2))</f>
        <v>13400</v>
      </c>
      <c r="T1865" s="16">
        <f t="shared" si="209"/>
        <v>3.9259213927261993</v>
      </c>
      <c r="U1865" s="16">
        <f>IF(AC1865=100,Braking!$AG$2354,IF(AC1865=50,Braking!$AG$1179,IF(AC1865=75,Braking!$AG$1767,0)))</f>
        <v>0</v>
      </c>
      <c r="V1865" s="16">
        <f>0.5*'Gearing Calculator'!$C$15*'Gearing Calculator'!$C$20*'Gearing Calculator'!$W$20*('Track Data'!Q1865^2)</f>
        <v>309.02759161152034</v>
      </c>
      <c r="W1865" s="16">
        <f>('Gearing Calculator'!$U$9*'Track Data'!T1865)+'Track Data'!V1865</f>
        <v>1354.1078663552346</v>
      </c>
      <c r="X1865" s="16">
        <f>('Gearing Calculator'!$U$9*9.81)*('Gearing Calculator'!$U$16/'Gearing Calculator'!$C$7)-(('Track Data'!W1865)*('Gearing Calculator'!$U$17/'Gearing Calculator'!$C$7))</f>
        <v>663.08103575513042</v>
      </c>
      <c r="Y1865" s="16">
        <f>('Gearing Calculator'!$U$9*9.81)*(('Gearing Calculator'!$C$7-'Gearing Calculator'!$U$16)/'Gearing Calculator'!$C$7)+(('Track Data'!W1865)*('Gearing Calculator'!$U$17/'Gearing Calculator'!$C$7))</f>
        <v>1948.3409642448696</v>
      </c>
      <c r="Z1865" s="16">
        <f>((X1865*COS('Gearing Calculator'!$C$21))/'Gearing Calculator'!$C$22)/2</f>
        <v>20.500368478906633</v>
      </c>
      <c r="AA1865" s="16">
        <f>Y1865/'Gearing Calculator'!$C$24</f>
        <v>27.205374686443935</v>
      </c>
      <c r="AB1865" s="16">
        <f t="shared" si="205"/>
        <v>328.65719857515131</v>
      </c>
      <c r="AC1865" s="16">
        <v>0</v>
      </c>
      <c r="AD1865" s="16">
        <v>-49.842163139380297</v>
      </c>
      <c r="AE1865" s="16">
        <v>1862</v>
      </c>
      <c r="AF1865" s="16">
        <f>IF(AC1865=0,IF(O1865=6,INDEX(Acceleration!$V$4:$V$110,MATCH('Track Data'!S1865,Acceleration!$K$4:$K$110,0)),IF('Track Data'!O1865=5,INDEX(Acceleration!$U$4:$U$110,MATCH('Track Data'!S1865,Acceleration!$K$4:$K$110,0)),1)),U1865)</f>
        <v>3.9259213927261993</v>
      </c>
      <c r="AG1865" s="16">
        <f>IF(AC1865=0,IF(O1865=4,INDEX(Acceleration!$T$4:$T$110,MATCH('Track Data'!S1865,Acceleration!$K$4:$K$110,0)),IF('Track Data'!O1865=3,INDEX(Acceleration!$S$4:$S$110,MATCH('Track Data'!S1865,Acceleration!$K$4:$K$110,0)),'Track Data'!AF1865)),'Track Data'!U1865)</f>
        <v>3.9259213927261993</v>
      </c>
      <c r="AH1865" s="16">
        <f>IF(AC1865=0,IF(O1865=2,INDEX(Acceleration!$R$4:$R$110,MATCH('Track Data'!S1865,Acceleration!$K$4:$K$110,0)),IF('Track Data'!O1865=1,INDEX(Acceleration!$Q$4:$Q$110,MATCH('Track Data'!S1865,Acceleration!$K$4:$K$110,0)),'Track Data'!AG1865)),'Track Data'!U1865)</f>
        <v>3.9259213927261993</v>
      </c>
    </row>
    <row r="1866" spans="2:34" x14ac:dyDescent="0.25">
      <c r="B1866" s="16">
        <v>245.86099999999999</v>
      </c>
      <c r="C1866" s="16">
        <v>9136</v>
      </c>
      <c r="D1866" s="16">
        <v>1863</v>
      </c>
      <c r="E1866" s="113">
        <v>203</v>
      </c>
      <c r="F1866" s="113">
        <v>189.2</v>
      </c>
      <c r="G1866" s="113">
        <v>178.4</v>
      </c>
      <c r="H1866" s="113">
        <f t="shared" si="208"/>
        <v>49.555555555555557</v>
      </c>
      <c r="I1866" s="113">
        <v>6.8</v>
      </c>
      <c r="J1866" s="113">
        <v>33.56</v>
      </c>
      <c r="K1866" s="113">
        <v>-47.7</v>
      </c>
      <c r="L1866" s="183"/>
      <c r="M1866" s="16">
        <v>1863</v>
      </c>
      <c r="N1866" s="16">
        <f t="shared" si="210"/>
        <v>1.8506585030011565E-2</v>
      </c>
      <c r="O1866" s="16">
        <v>5</v>
      </c>
      <c r="P1866" s="16">
        <f t="shared" si="206"/>
        <v>8.1742160278745661</v>
      </c>
      <c r="Q1866" s="16">
        <f t="shared" si="211"/>
        <v>54.034820491102515</v>
      </c>
      <c r="R1866" s="113">
        <f t="shared" si="207"/>
        <v>319.54399999999998</v>
      </c>
      <c r="S1866" s="16">
        <f>IF(S1865=15800,15800,ROUND((((Q1866*60)/'Gearing Calculator'!$C$14)*'Track Data'!P1866),-2))</f>
        <v>13400</v>
      </c>
      <c r="T1866" s="16">
        <f t="shared" si="209"/>
        <v>3.9259213927261993</v>
      </c>
      <c r="U1866" s="16">
        <f>IF(AC1866=100,Braking!$AG$2354,IF(AC1866=50,Braking!$AG$1179,IF(AC1866=75,Braking!$AG$1767,0)))</f>
        <v>0</v>
      </c>
      <c r="V1866" s="16">
        <f>0.5*'Gearing Calculator'!$C$15*'Gearing Calculator'!$C$20*'Gearing Calculator'!$W$20*('Track Data'!Q1866^2)</f>
        <v>309.02759161152034</v>
      </c>
      <c r="W1866" s="16">
        <f>('Gearing Calculator'!$U$9*'Track Data'!T1866)+'Track Data'!V1866</f>
        <v>1354.1078663552346</v>
      </c>
      <c r="X1866" s="16">
        <f>('Gearing Calculator'!$U$9*9.81)*('Gearing Calculator'!$U$16/'Gearing Calculator'!$C$7)-(('Track Data'!W1866)*('Gearing Calculator'!$U$17/'Gearing Calculator'!$C$7))</f>
        <v>663.08103575513042</v>
      </c>
      <c r="Y1866" s="16">
        <f>('Gearing Calculator'!$U$9*9.81)*(('Gearing Calculator'!$C$7-'Gearing Calculator'!$U$16)/'Gearing Calculator'!$C$7)+(('Track Data'!W1866)*('Gearing Calculator'!$U$17/'Gearing Calculator'!$C$7))</f>
        <v>1948.3409642448696</v>
      </c>
      <c r="Z1866" s="16">
        <f>((X1866*COS('Gearing Calculator'!$C$21))/'Gearing Calculator'!$C$22)/2</f>
        <v>20.500368478906633</v>
      </c>
      <c r="AA1866" s="16">
        <f>Y1866/'Gearing Calculator'!$C$24</f>
        <v>27.205374686443935</v>
      </c>
      <c r="AB1866" s="16">
        <f t="shared" si="205"/>
        <v>328.65719857515131</v>
      </c>
      <c r="AC1866" s="16">
        <v>0</v>
      </c>
      <c r="AD1866" s="16">
        <v>-49.842163139380297</v>
      </c>
      <c r="AE1866" s="16">
        <v>1863</v>
      </c>
      <c r="AF1866" s="16">
        <f>IF(AC1866=0,IF(O1866=6,INDEX(Acceleration!$V$4:$V$110,MATCH('Track Data'!S1866,Acceleration!$K$4:$K$110,0)),IF('Track Data'!O1866=5,INDEX(Acceleration!$U$4:$U$110,MATCH('Track Data'!S1866,Acceleration!$K$4:$K$110,0)),1)),U1866)</f>
        <v>3.9259213927261993</v>
      </c>
      <c r="AG1866" s="16">
        <f>IF(AC1866=0,IF(O1866=4,INDEX(Acceleration!$T$4:$T$110,MATCH('Track Data'!S1866,Acceleration!$K$4:$K$110,0)),IF('Track Data'!O1866=3,INDEX(Acceleration!$S$4:$S$110,MATCH('Track Data'!S1866,Acceleration!$K$4:$K$110,0)),'Track Data'!AF1866)),'Track Data'!U1866)</f>
        <v>3.9259213927261993</v>
      </c>
      <c r="AH1866" s="16">
        <f>IF(AC1866=0,IF(O1866=2,INDEX(Acceleration!$R$4:$R$110,MATCH('Track Data'!S1866,Acceleration!$K$4:$K$110,0)),IF('Track Data'!O1866=1,INDEX(Acceleration!$Q$4:$Q$110,MATCH('Track Data'!S1866,Acceleration!$K$4:$K$110,0)),'Track Data'!AG1866)),'Track Data'!U1866)</f>
        <v>3.9259213927261993</v>
      </c>
    </row>
    <row r="1867" spans="2:34" x14ac:dyDescent="0.25">
      <c r="B1867" s="16">
        <v>245.88</v>
      </c>
      <c r="C1867" s="16">
        <v>9137</v>
      </c>
      <c r="D1867" s="16">
        <v>1864</v>
      </c>
      <c r="E1867" s="113">
        <v>202</v>
      </c>
      <c r="F1867" s="113">
        <v>189.4</v>
      </c>
      <c r="G1867" s="113">
        <v>178.6</v>
      </c>
      <c r="H1867" s="113">
        <f t="shared" si="208"/>
        <v>49.611111111111107</v>
      </c>
      <c r="I1867" s="113">
        <v>10.199999999999999</v>
      </c>
      <c r="J1867" s="113">
        <v>31.25</v>
      </c>
      <c r="K1867" s="113">
        <v>-47.5</v>
      </c>
      <c r="L1867" s="183"/>
      <c r="M1867" s="16">
        <v>1864</v>
      </c>
      <c r="N1867" s="16">
        <f t="shared" si="210"/>
        <v>1.8506585030011565E-2</v>
      </c>
      <c r="O1867" s="16">
        <v>5</v>
      </c>
      <c r="P1867" s="16">
        <f t="shared" si="206"/>
        <v>8.1742160278745661</v>
      </c>
      <c r="Q1867" s="16">
        <f t="shared" si="211"/>
        <v>54.034820491102515</v>
      </c>
      <c r="R1867" s="113">
        <f t="shared" si="207"/>
        <v>319.54399999999998</v>
      </c>
      <c r="S1867" s="16">
        <f>IF(S1866=15800,15800,ROUND((((Q1867*60)/'Gearing Calculator'!$C$14)*'Track Data'!P1867),-2))</f>
        <v>13400</v>
      </c>
      <c r="T1867" s="16">
        <f t="shared" si="209"/>
        <v>3.9259213927261993</v>
      </c>
      <c r="U1867" s="16">
        <f>IF(AC1867=100,Braking!$AG$2354,IF(AC1867=50,Braking!$AG$1179,IF(AC1867=75,Braking!$AG$1767,0)))</f>
        <v>0</v>
      </c>
      <c r="V1867" s="16">
        <f>0.5*'Gearing Calculator'!$C$15*'Gearing Calculator'!$C$20*'Gearing Calculator'!$W$20*('Track Data'!Q1867^2)</f>
        <v>309.02759161152034</v>
      </c>
      <c r="W1867" s="16">
        <f>('Gearing Calculator'!$U$9*'Track Data'!T1867)+'Track Data'!V1867</f>
        <v>1354.1078663552346</v>
      </c>
      <c r="X1867" s="16">
        <f>('Gearing Calculator'!$U$9*9.81)*('Gearing Calculator'!$U$16/'Gearing Calculator'!$C$7)-(('Track Data'!W1867)*('Gearing Calculator'!$U$17/'Gearing Calculator'!$C$7))</f>
        <v>663.08103575513042</v>
      </c>
      <c r="Y1867" s="16">
        <f>('Gearing Calculator'!$U$9*9.81)*(('Gearing Calculator'!$C$7-'Gearing Calculator'!$U$16)/'Gearing Calculator'!$C$7)+(('Track Data'!W1867)*('Gearing Calculator'!$U$17/'Gearing Calculator'!$C$7))</f>
        <v>1948.3409642448696</v>
      </c>
      <c r="Z1867" s="16">
        <f>((X1867*COS('Gearing Calculator'!$C$21))/'Gearing Calculator'!$C$22)/2</f>
        <v>20.500368478906633</v>
      </c>
      <c r="AA1867" s="16">
        <f>Y1867/'Gearing Calculator'!$C$24</f>
        <v>27.205374686443935</v>
      </c>
      <c r="AB1867" s="16">
        <f t="shared" si="205"/>
        <v>328.65719857515131</v>
      </c>
      <c r="AC1867" s="16">
        <v>0</v>
      </c>
      <c r="AD1867" s="16">
        <v>-49.842163139380297</v>
      </c>
      <c r="AE1867" s="16">
        <v>1864</v>
      </c>
      <c r="AF1867" s="16">
        <f>IF(AC1867=0,IF(O1867=6,INDEX(Acceleration!$V$4:$V$110,MATCH('Track Data'!S1867,Acceleration!$K$4:$K$110,0)),IF('Track Data'!O1867=5,INDEX(Acceleration!$U$4:$U$110,MATCH('Track Data'!S1867,Acceleration!$K$4:$K$110,0)),1)),U1867)</f>
        <v>3.9259213927261993</v>
      </c>
      <c r="AG1867" s="16">
        <f>IF(AC1867=0,IF(O1867=4,INDEX(Acceleration!$T$4:$T$110,MATCH('Track Data'!S1867,Acceleration!$K$4:$K$110,0)),IF('Track Data'!O1867=3,INDEX(Acceleration!$S$4:$S$110,MATCH('Track Data'!S1867,Acceleration!$K$4:$K$110,0)),'Track Data'!AF1867)),'Track Data'!U1867)</f>
        <v>3.9259213927261993</v>
      </c>
      <c r="AH1867" s="16">
        <f>IF(AC1867=0,IF(O1867=2,INDEX(Acceleration!$R$4:$R$110,MATCH('Track Data'!S1867,Acceleration!$K$4:$K$110,0)),IF('Track Data'!O1867=1,INDEX(Acceleration!$Q$4:$Q$110,MATCH('Track Data'!S1867,Acceleration!$K$4:$K$110,0)),'Track Data'!AG1867)),'Track Data'!U1867)</f>
        <v>3.9259213927261993</v>
      </c>
    </row>
    <row r="1868" spans="2:34" x14ac:dyDescent="0.25">
      <c r="B1868" s="16">
        <v>245.899</v>
      </c>
      <c r="C1868" s="16">
        <v>9138</v>
      </c>
      <c r="D1868" s="16">
        <v>1865</v>
      </c>
      <c r="E1868" s="113">
        <v>201</v>
      </c>
      <c r="F1868" s="113">
        <v>189.6</v>
      </c>
      <c r="G1868" s="113">
        <v>178.7</v>
      </c>
      <c r="H1868" s="113">
        <f t="shared" si="208"/>
        <v>49.638888888888886</v>
      </c>
      <c r="I1868" s="113">
        <v>12.3</v>
      </c>
      <c r="J1868" s="113">
        <v>30.26</v>
      </c>
      <c r="K1868" s="113">
        <v>-47.3</v>
      </c>
      <c r="L1868" s="183"/>
      <c r="M1868" s="16">
        <v>1865</v>
      </c>
      <c r="N1868" s="16">
        <f t="shared" si="210"/>
        <v>1.8506585030011565E-2</v>
      </c>
      <c r="O1868" s="16">
        <v>5</v>
      </c>
      <c r="P1868" s="16">
        <f t="shared" si="206"/>
        <v>8.1742160278745661</v>
      </c>
      <c r="Q1868" s="16">
        <f t="shared" si="211"/>
        <v>54.034820491102515</v>
      </c>
      <c r="R1868" s="113">
        <f t="shared" si="207"/>
        <v>319.54399999999998</v>
      </c>
      <c r="S1868" s="16">
        <f>IF(S1867=15800,15800,ROUND((((Q1868*60)/'Gearing Calculator'!$C$14)*'Track Data'!P1868),-2))</f>
        <v>13400</v>
      </c>
      <c r="T1868" s="16">
        <f t="shared" si="209"/>
        <v>3.9259213927261993</v>
      </c>
      <c r="U1868" s="16">
        <f>IF(AC1868=100,Braking!$AG$2354,IF(AC1868=50,Braking!$AG$1179,IF(AC1868=75,Braking!$AG$1767,0)))</f>
        <v>0</v>
      </c>
      <c r="V1868" s="16">
        <f>0.5*'Gearing Calculator'!$C$15*'Gearing Calculator'!$C$20*'Gearing Calculator'!$W$20*('Track Data'!Q1868^2)</f>
        <v>309.02759161152034</v>
      </c>
      <c r="W1868" s="16">
        <f>('Gearing Calculator'!$U$9*'Track Data'!T1868)+'Track Data'!V1868</f>
        <v>1354.1078663552346</v>
      </c>
      <c r="X1868" s="16">
        <f>('Gearing Calculator'!$U$9*9.81)*('Gearing Calculator'!$U$16/'Gearing Calculator'!$C$7)-(('Track Data'!W1868)*('Gearing Calculator'!$U$17/'Gearing Calculator'!$C$7))</f>
        <v>663.08103575513042</v>
      </c>
      <c r="Y1868" s="16">
        <f>('Gearing Calculator'!$U$9*9.81)*(('Gearing Calculator'!$C$7-'Gearing Calculator'!$U$16)/'Gearing Calculator'!$C$7)+(('Track Data'!W1868)*('Gearing Calculator'!$U$17/'Gearing Calculator'!$C$7))</f>
        <v>1948.3409642448696</v>
      </c>
      <c r="Z1868" s="16">
        <f>((X1868*COS('Gearing Calculator'!$C$21))/'Gearing Calculator'!$C$22)/2</f>
        <v>20.500368478906633</v>
      </c>
      <c r="AA1868" s="16">
        <f>Y1868/'Gearing Calculator'!$C$24</f>
        <v>27.205374686443935</v>
      </c>
      <c r="AB1868" s="16">
        <f t="shared" si="205"/>
        <v>328.65719857515131</v>
      </c>
      <c r="AC1868" s="16">
        <v>0</v>
      </c>
      <c r="AD1868" s="16">
        <v>-49.842163139380297</v>
      </c>
      <c r="AE1868" s="16">
        <v>1865</v>
      </c>
      <c r="AF1868" s="16">
        <f>IF(AC1868=0,IF(O1868=6,INDEX(Acceleration!$V$4:$V$110,MATCH('Track Data'!S1868,Acceleration!$K$4:$K$110,0)),IF('Track Data'!O1868=5,INDEX(Acceleration!$U$4:$U$110,MATCH('Track Data'!S1868,Acceleration!$K$4:$K$110,0)),1)),U1868)</f>
        <v>3.9259213927261993</v>
      </c>
      <c r="AG1868" s="16">
        <f>IF(AC1868=0,IF(O1868=4,INDEX(Acceleration!$T$4:$T$110,MATCH('Track Data'!S1868,Acceleration!$K$4:$K$110,0)),IF('Track Data'!O1868=3,INDEX(Acceleration!$S$4:$S$110,MATCH('Track Data'!S1868,Acceleration!$K$4:$K$110,0)),'Track Data'!AF1868)),'Track Data'!U1868)</f>
        <v>3.9259213927261993</v>
      </c>
      <c r="AH1868" s="16">
        <f>IF(AC1868=0,IF(O1868=2,INDEX(Acceleration!$R$4:$R$110,MATCH('Track Data'!S1868,Acceleration!$K$4:$K$110,0)),IF('Track Data'!O1868=1,INDEX(Acceleration!$Q$4:$Q$110,MATCH('Track Data'!S1868,Acceleration!$K$4:$K$110,0)),'Track Data'!AG1868)),'Track Data'!U1868)</f>
        <v>3.9259213927261993</v>
      </c>
    </row>
    <row r="1869" spans="2:34" x14ac:dyDescent="0.25">
      <c r="B1869" s="16">
        <v>245.917</v>
      </c>
      <c r="C1869" s="16">
        <v>9139</v>
      </c>
      <c r="D1869" s="16">
        <v>1866</v>
      </c>
      <c r="E1869" s="113">
        <v>200</v>
      </c>
      <c r="F1869" s="113">
        <v>189.9</v>
      </c>
      <c r="G1869" s="113">
        <v>178.9</v>
      </c>
      <c r="H1869" s="113">
        <f t="shared" si="208"/>
        <v>49.694444444444443</v>
      </c>
      <c r="I1869" s="113">
        <v>14.6</v>
      </c>
      <c r="J1869" s="113">
        <v>28.92</v>
      </c>
      <c r="K1869" s="113">
        <v>-47.1</v>
      </c>
      <c r="L1869" s="183"/>
      <c r="M1869" s="16">
        <v>1866</v>
      </c>
      <c r="N1869" s="16">
        <f t="shared" si="210"/>
        <v>1.8506585030011565E-2</v>
      </c>
      <c r="O1869" s="16">
        <v>5</v>
      </c>
      <c r="P1869" s="16">
        <f t="shared" si="206"/>
        <v>8.1742160278745661</v>
      </c>
      <c r="Q1869" s="16">
        <f t="shared" si="211"/>
        <v>54.034820491102515</v>
      </c>
      <c r="R1869" s="113">
        <f t="shared" si="207"/>
        <v>319.54399999999998</v>
      </c>
      <c r="S1869" s="16">
        <f>IF(S1868=15800,15800,ROUND((((Q1869*60)/'Gearing Calculator'!$C$14)*'Track Data'!P1869),-2))</f>
        <v>13400</v>
      </c>
      <c r="T1869" s="16">
        <f t="shared" si="209"/>
        <v>3.9259213927261993</v>
      </c>
      <c r="U1869" s="16">
        <f>IF(AC1869=100,Braking!$AG$2354,IF(AC1869=50,Braking!$AG$1179,IF(AC1869=75,Braking!$AG$1767,0)))</f>
        <v>0</v>
      </c>
      <c r="V1869" s="16">
        <f>0.5*'Gearing Calculator'!$C$15*'Gearing Calculator'!$C$20*'Gearing Calculator'!$W$20*('Track Data'!Q1869^2)</f>
        <v>309.02759161152034</v>
      </c>
      <c r="W1869" s="16">
        <f>('Gearing Calculator'!$U$9*'Track Data'!T1869)+'Track Data'!V1869</f>
        <v>1354.1078663552346</v>
      </c>
      <c r="X1869" s="16">
        <f>('Gearing Calculator'!$U$9*9.81)*('Gearing Calculator'!$U$16/'Gearing Calculator'!$C$7)-(('Track Data'!W1869)*('Gearing Calculator'!$U$17/'Gearing Calculator'!$C$7))</f>
        <v>663.08103575513042</v>
      </c>
      <c r="Y1869" s="16">
        <f>('Gearing Calculator'!$U$9*9.81)*(('Gearing Calculator'!$C$7-'Gearing Calculator'!$U$16)/'Gearing Calculator'!$C$7)+(('Track Data'!W1869)*('Gearing Calculator'!$U$17/'Gearing Calculator'!$C$7))</f>
        <v>1948.3409642448696</v>
      </c>
      <c r="Z1869" s="16">
        <f>((X1869*COS('Gearing Calculator'!$C$21))/'Gearing Calculator'!$C$22)/2</f>
        <v>20.500368478906633</v>
      </c>
      <c r="AA1869" s="16">
        <f>Y1869/'Gearing Calculator'!$C$24</f>
        <v>27.205374686443935</v>
      </c>
      <c r="AB1869" s="16">
        <f t="shared" si="205"/>
        <v>328.65719857515131</v>
      </c>
      <c r="AC1869" s="16">
        <v>0</v>
      </c>
      <c r="AD1869" s="16">
        <v>-49.842163139380297</v>
      </c>
      <c r="AE1869" s="16">
        <v>1866</v>
      </c>
      <c r="AF1869" s="16">
        <f>IF(AC1869=0,IF(O1869=6,INDEX(Acceleration!$V$4:$V$110,MATCH('Track Data'!S1869,Acceleration!$K$4:$K$110,0)),IF('Track Data'!O1869=5,INDEX(Acceleration!$U$4:$U$110,MATCH('Track Data'!S1869,Acceleration!$K$4:$K$110,0)),1)),U1869)</f>
        <v>3.9259213927261993</v>
      </c>
      <c r="AG1869" s="16">
        <f>IF(AC1869=0,IF(O1869=4,INDEX(Acceleration!$T$4:$T$110,MATCH('Track Data'!S1869,Acceleration!$K$4:$K$110,0)),IF('Track Data'!O1869=3,INDEX(Acceleration!$S$4:$S$110,MATCH('Track Data'!S1869,Acceleration!$K$4:$K$110,0)),'Track Data'!AF1869)),'Track Data'!U1869)</f>
        <v>3.9259213927261993</v>
      </c>
      <c r="AH1869" s="16">
        <f>IF(AC1869=0,IF(O1869=2,INDEX(Acceleration!$R$4:$R$110,MATCH('Track Data'!S1869,Acceleration!$K$4:$K$110,0)),IF('Track Data'!O1869=1,INDEX(Acceleration!$Q$4:$Q$110,MATCH('Track Data'!S1869,Acceleration!$K$4:$K$110,0)),'Track Data'!AG1869)),'Track Data'!U1869)</f>
        <v>3.9259213927261993</v>
      </c>
    </row>
    <row r="1870" spans="2:34" x14ac:dyDescent="0.25">
      <c r="B1870" s="16">
        <v>245.93700000000001</v>
      </c>
      <c r="C1870" s="16">
        <v>9140</v>
      </c>
      <c r="D1870" s="16">
        <v>1867</v>
      </c>
      <c r="E1870" s="113">
        <v>200</v>
      </c>
      <c r="F1870" s="113">
        <v>190</v>
      </c>
      <c r="G1870" s="113">
        <v>179.1</v>
      </c>
      <c r="H1870" s="113">
        <f t="shared" si="208"/>
        <v>49.75</v>
      </c>
      <c r="I1870" s="113">
        <v>14.6</v>
      </c>
      <c r="J1870" s="113">
        <v>32.78</v>
      </c>
      <c r="K1870" s="113">
        <v>-46.7</v>
      </c>
      <c r="L1870" s="183"/>
      <c r="M1870" s="16">
        <v>1867</v>
      </c>
      <c r="N1870" s="16">
        <f t="shared" si="210"/>
        <v>1.8506585030011565E-2</v>
      </c>
      <c r="O1870" s="16">
        <v>5</v>
      </c>
      <c r="P1870" s="16">
        <f t="shared" si="206"/>
        <v>8.1742160278745661</v>
      </c>
      <c r="Q1870" s="16">
        <f t="shared" si="211"/>
        <v>54.034820491102515</v>
      </c>
      <c r="R1870" s="113">
        <f t="shared" si="207"/>
        <v>319.54399999999998</v>
      </c>
      <c r="S1870" s="16">
        <f>IF(S1869=15800,15800,ROUND((((Q1870*60)/'Gearing Calculator'!$C$14)*'Track Data'!P1870),-2))</f>
        <v>13400</v>
      </c>
      <c r="T1870" s="16">
        <f t="shared" si="209"/>
        <v>3.9259213927261993</v>
      </c>
      <c r="U1870" s="16">
        <f>IF(AC1870=100,Braking!$AG$2354,IF(AC1870=50,Braking!$AG$1179,IF(AC1870=75,Braking!$AG$1767,0)))</f>
        <v>0</v>
      </c>
      <c r="V1870" s="16">
        <f>0.5*'Gearing Calculator'!$C$15*'Gearing Calculator'!$C$20*'Gearing Calculator'!$W$20*('Track Data'!Q1870^2)</f>
        <v>309.02759161152034</v>
      </c>
      <c r="W1870" s="16">
        <f>('Gearing Calculator'!$U$9*'Track Data'!T1870)+'Track Data'!V1870</f>
        <v>1354.1078663552346</v>
      </c>
      <c r="X1870" s="16">
        <f>('Gearing Calculator'!$U$9*9.81)*('Gearing Calculator'!$U$16/'Gearing Calculator'!$C$7)-(('Track Data'!W1870)*('Gearing Calculator'!$U$17/'Gearing Calculator'!$C$7))</f>
        <v>663.08103575513042</v>
      </c>
      <c r="Y1870" s="16">
        <f>('Gearing Calculator'!$U$9*9.81)*(('Gearing Calculator'!$C$7-'Gearing Calculator'!$U$16)/'Gearing Calculator'!$C$7)+(('Track Data'!W1870)*('Gearing Calculator'!$U$17/'Gearing Calculator'!$C$7))</f>
        <v>1948.3409642448696</v>
      </c>
      <c r="Z1870" s="16">
        <f>((X1870*COS('Gearing Calculator'!$C$21))/'Gearing Calculator'!$C$22)/2</f>
        <v>20.500368478906633</v>
      </c>
      <c r="AA1870" s="16">
        <f>Y1870/'Gearing Calculator'!$C$24</f>
        <v>27.205374686443935</v>
      </c>
      <c r="AB1870" s="16">
        <f t="shared" si="205"/>
        <v>328.65719857515131</v>
      </c>
      <c r="AC1870" s="16">
        <v>0</v>
      </c>
      <c r="AD1870" s="16">
        <v>-49.842163139380297</v>
      </c>
      <c r="AE1870" s="16">
        <v>1867</v>
      </c>
      <c r="AF1870" s="16">
        <f>IF(AC1870=0,IF(O1870=6,INDEX(Acceleration!$V$4:$V$110,MATCH('Track Data'!S1870,Acceleration!$K$4:$K$110,0)),IF('Track Data'!O1870=5,INDEX(Acceleration!$U$4:$U$110,MATCH('Track Data'!S1870,Acceleration!$K$4:$K$110,0)),1)),U1870)</f>
        <v>3.9259213927261993</v>
      </c>
      <c r="AG1870" s="16">
        <f>IF(AC1870=0,IF(O1870=4,INDEX(Acceleration!$T$4:$T$110,MATCH('Track Data'!S1870,Acceleration!$K$4:$K$110,0)),IF('Track Data'!O1870=3,INDEX(Acceleration!$S$4:$S$110,MATCH('Track Data'!S1870,Acceleration!$K$4:$K$110,0)),'Track Data'!AF1870)),'Track Data'!U1870)</f>
        <v>3.9259213927261993</v>
      </c>
      <c r="AH1870" s="16">
        <f>IF(AC1870=0,IF(O1870=2,INDEX(Acceleration!$R$4:$R$110,MATCH('Track Data'!S1870,Acceleration!$K$4:$K$110,0)),IF('Track Data'!O1870=1,INDEX(Acceleration!$Q$4:$Q$110,MATCH('Track Data'!S1870,Acceleration!$K$4:$K$110,0)),'Track Data'!AG1870)),'Track Data'!U1870)</f>
        <v>3.9259213927261993</v>
      </c>
    </row>
    <row r="1871" spans="2:34" x14ac:dyDescent="0.25">
      <c r="B1871" s="16">
        <v>245.95599999999999</v>
      </c>
      <c r="C1871" s="16">
        <v>9141</v>
      </c>
      <c r="D1871" s="16">
        <v>1868</v>
      </c>
      <c r="E1871" s="113">
        <v>201</v>
      </c>
      <c r="F1871" s="113">
        <v>190.1</v>
      </c>
      <c r="G1871" s="113">
        <v>179.3</v>
      </c>
      <c r="H1871" s="113">
        <f t="shared" si="208"/>
        <v>49.805555555555557</v>
      </c>
      <c r="I1871" s="113">
        <v>14.7</v>
      </c>
      <c r="J1871" s="113">
        <v>32.369999999999997</v>
      </c>
      <c r="K1871" s="113">
        <v>-45.9</v>
      </c>
      <c r="L1871" s="183"/>
      <c r="M1871" s="16">
        <v>1868</v>
      </c>
      <c r="N1871" s="16">
        <f t="shared" si="210"/>
        <v>1.8506585030011565E-2</v>
      </c>
      <c r="O1871" s="16">
        <v>5</v>
      </c>
      <c r="P1871" s="16">
        <f t="shared" si="206"/>
        <v>8.1742160278745661</v>
      </c>
      <c r="Q1871" s="16">
        <f t="shared" si="211"/>
        <v>54.034820491102515</v>
      </c>
      <c r="R1871" s="113">
        <f t="shared" si="207"/>
        <v>319.54399999999998</v>
      </c>
      <c r="S1871" s="16">
        <f>IF(S1870=15800,15800,ROUND((((Q1871*60)/'Gearing Calculator'!$C$14)*'Track Data'!P1871),-2))</f>
        <v>13400</v>
      </c>
      <c r="T1871" s="16">
        <f t="shared" si="209"/>
        <v>3.9259213927261993</v>
      </c>
      <c r="U1871" s="16">
        <f>IF(AC1871=100,Braking!$AG$2354,IF(AC1871=50,Braking!$AG$1179,IF(AC1871=75,Braking!$AG$1767,0)))</f>
        <v>0</v>
      </c>
      <c r="V1871" s="16">
        <f>0.5*'Gearing Calculator'!$C$15*'Gearing Calculator'!$C$20*'Gearing Calculator'!$W$20*('Track Data'!Q1871^2)</f>
        <v>309.02759161152034</v>
      </c>
      <c r="W1871" s="16">
        <f>('Gearing Calculator'!$U$9*'Track Data'!T1871)+'Track Data'!V1871</f>
        <v>1354.1078663552346</v>
      </c>
      <c r="X1871" s="16">
        <f>('Gearing Calculator'!$U$9*9.81)*('Gearing Calculator'!$U$16/'Gearing Calculator'!$C$7)-(('Track Data'!W1871)*('Gearing Calculator'!$U$17/'Gearing Calculator'!$C$7))</f>
        <v>663.08103575513042</v>
      </c>
      <c r="Y1871" s="16">
        <f>('Gearing Calculator'!$U$9*9.81)*(('Gearing Calculator'!$C$7-'Gearing Calculator'!$U$16)/'Gearing Calculator'!$C$7)+(('Track Data'!W1871)*('Gearing Calculator'!$U$17/'Gearing Calculator'!$C$7))</f>
        <v>1948.3409642448696</v>
      </c>
      <c r="Z1871" s="16">
        <f>((X1871*COS('Gearing Calculator'!$C$21))/'Gearing Calculator'!$C$22)/2</f>
        <v>20.500368478906633</v>
      </c>
      <c r="AA1871" s="16">
        <f>Y1871/'Gearing Calculator'!$C$24</f>
        <v>27.205374686443935</v>
      </c>
      <c r="AB1871" s="16">
        <f t="shared" si="205"/>
        <v>328.65719857515131</v>
      </c>
      <c r="AC1871" s="16">
        <v>0</v>
      </c>
      <c r="AD1871" s="16">
        <v>-49.842163139380297</v>
      </c>
      <c r="AE1871" s="16">
        <v>1868</v>
      </c>
      <c r="AF1871" s="16">
        <f>IF(AC1871=0,IF(O1871=6,INDEX(Acceleration!$V$4:$V$110,MATCH('Track Data'!S1871,Acceleration!$K$4:$K$110,0)),IF('Track Data'!O1871=5,INDEX(Acceleration!$U$4:$U$110,MATCH('Track Data'!S1871,Acceleration!$K$4:$K$110,0)),1)),U1871)</f>
        <v>3.9259213927261993</v>
      </c>
      <c r="AG1871" s="16">
        <f>IF(AC1871=0,IF(O1871=4,INDEX(Acceleration!$T$4:$T$110,MATCH('Track Data'!S1871,Acceleration!$K$4:$K$110,0)),IF('Track Data'!O1871=3,INDEX(Acceleration!$S$4:$S$110,MATCH('Track Data'!S1871,Acceleration!$K$4:$K$110,0)),'Track Data'!AF1871)),'Track Data'!U1871)</f>
        <v>3.9259213927261993</v>
      </c>
      <c r="AH1871" s="16">
        <f>IF(AC1871=0,IF(O1871=2,INDEX(Acceleration!$R$4:$R$110,MATCH('Track Data'!S1871,Acceleration!$K$4:$K$110,0)),IF('Track Data'!O1871=1,INDEX(Acceleration!$Q$4:$Q$110,MATCH('Track Data'!S1871,Acceleration!$K$4:$K$110,0)),'Track Data'!AG1871)),'Track Data'!U1871)</f>
        <v>3.9259213927261993</v>
      </c>
    </row>
    <row r="1872" spans="2:34" x14ac:dyDescent="0.25">
      <c r="B1872" s="16">
        <v>245.97399999999999</v>
      </c>
      <c r="C1872" s="16">
        <v>9142</v>
      </c>
      <c r="D1872" s="16">
        <v>1869</v>
      </c>
      <c r="E1872" s="113">
        <v>200</v>
      </c>
      <c r="F1872" s="113">
        <v>190</v>
      </c>
      <c r="G1872" s="113">
        <v>179.5</v>
      </c>
      <c r="H1872" s="113">
        <f t="shared" si="208"/>
        <v>49.861111111111107</v>
      </c>
      <c r="I1872" s="113">
        <v>15.9</v>
      </c>
      <c r="J1872" s="113">
        <v>32.21</v>
      </c>
      <c r="K1872" s="113">
        <v>-45.3</v>
      </c>
      <c r="L1872" s="183"/>
      <c r="M1872" s="16">
        <v>1869</v>
      </c>
      <c r="N1872" s="16">
        <f t="shared" si="210"/>
        <v>1.8506585030011565E-2</v>
      </c>
      <c r="O1872" s="16">
        <v>5</v>
      </c>
      <c r="P1872" s="16">
        <f t="shared" si="206"/>
        <v>8.1742160278745661</v>
      </c>
      <c r="Q1872" s="16">
        <f t="shared" si="211"/>
        <v>54.034820491102515</v>
      </c>
      <c r="R1872" s="113">
        <f t="shared" si="207"/>
        <v>319.54399999999998</v>
      </c>
      <c r="S1872" s="16">
        <f>IF(S1871=15800,15800,ROUND((((Q1872*60)/'Gearing Calculator'!$C$14)*'Track Data'!P1872),-2))</f>
        <v>13400</v>
      </c>
      <c r="T1872" s="16">
        <f t="shared" si="209"/>
        <v>3.9259213927261993</v>
      </c>
      <c r="U1872" s="16">
        <f>IF(AC1872=100,Braking!$AG$2354,IF(AC1872=50,Braking!$AG$1179,IF(AC1872=75,Braking!$AG$1767,0)))</f>
        <v>0</v>
      </c>
      <c r="V1872" s="16">
        <f>0.5*'Gearing Calculator'!$C$15*'Gearing Calculator'!$C$20*'Gearing Calculator'!$W$20*('Track Data'!Q1872^2)</f>
        <v>309.02759161152034</v>
      </c>
      <c r="W1872" s="16">
        <f>('Gearing Calculator'!$U$9*'Track Data'!T1872)+'Track Data'!V1872</f>
        <v>1354.1078663552346</v>
      </c>
      <c r="X1872" s="16">
        <f>('Gearing Calculator'!$U$9*9.81)*('Gearing Calculator'!$U$16/'Gearing Calculator'!$C$7)-(('Track Data'!W1872)*('Gearing Calculator'!$U$17/'Gearing Calculator'!$C$7))</f>
        <v>663.08103575513042</v>
      </c>
      <c r="Y1872" s="16">
        <f>('Gearing Calculator'!$U$9*9.81)*(('Gearing Calculator'!$C$7-'Gearing Calculator'!$U$16)/'Gearing Calculator'!$C$7)+(('Track Data'!W1872)*('Gearing Calculator'!$U$17/'Gearing Calculator'!$C$7))</f>
        <v>1948.3409642448696</v>
      </c>
      <c r="Z1872" s="16">
        <f>((X1872*COS('Gearing Calculator'!$C$21))/'Gearing Calculator'!$C$22)/2</f>
        <v>20.500368478906633</v>
      </c>
      <c r="AA1872" s="16">
        <f>Y1872/'Gearing Calculator'!$C$24</f>
        <v>27.205374686443935</v>
      </c>
      <c r="AB1872" s="16">
        <f t="shared" si="205"/>
        <v>328.65719857515131</v>
      </c>
      <c r="AC1872" s="16">
        <v>0</v>
      </c>
      <c r="AD1872" s="16">
        <v>-49.842163139380297</v>
      </c>
      <c r="AE1872" s="16">
        <v>1869</v>
      </c>
      <c r="AF1872" s="16">
        <f>IF(AC1872=0,IF(O1872=6,INDEX(Acceleration!$V$4:$V$110,MATCH('Track Data'!S1872,Acceleration!$K$4:$K$110,0)),IF('Track Data'!O1872=5,INDEX(Acceleration!$U$4:$U$110,MATCH('Track Data'!S1872,Acceleration!$K$4:$K$110,0)),1)),U1872)</f>
        <v>3.9259213927261993</v>
      </c>
      <c r="AG1872" s="16">
        <f>IF(AC1872=0,IF(O1872=4,INDEX(Acceleration!$T$4:$T$110,MATCH('Track Data'!S1872,Acceleration!$K$4:$K$110,0)),IF('Track Data'!O1872=3,INDEX(Acceleration!$S$4:$S$110,MATCH('Track Data'!S1872,Acceleration!$K$4:$K$110,0)),'Track Data'!AF1872)),'Track Data'!U1872)</f>
        <v>3.9259213927261993</v>
      </c>
      <c r="AH1872" s="16">
        <f>IF(AC1872=0,IF(O1872=2,INDEX(Acceleration!$R$4:$R$110,MATCH('Track Data'!S1872,Acceleration!$K$4:$K$110,0)),IF('Track Data'!O1872=1,INDEX(Acceleration!$Q$4:$Q$110,MATCH('Track Data'!S1872,Acceleration!$K$4:$K$110,0)),'Track Data'!AG1872)),'Track Data'!U1872)</f>
        <v>3.9259213927261993</v>
      </c>
    </row>
    <row r="1873" spans="2:34" x14ac:dyDescent="0.25">
      <c r="B1873" s="16">
        <v>245.99299999999999</v>
      </c>
      <c r="C1873" s="16">
        <v>9143</v>
      </c>
      <c r="D1873" s="16">
        <v>1870</v>
      </c>
      <c r="E1873" s="113">
        <v>198</v>
      </c>
      <c r="F1873" s="113">
        <v>189.9</v>
      </c>
      <c r="G1873" s="113">
        <v>179.8</v>
      </c>
      <c r="H1873" s="113">
        <f t="shared" si="208"/>
        <v>49.944444444444443</v>
      </c>
      <c r="I1873" s="113">
        <v>18.5</v>
      </c>
      <c r="J1873" s="113">
        <v>31.99</v>
      </c>
      <c r="K1873" s="113">
        <v>-44.6</v>
      </c>
      <c r="L1873" s="183"/>
      <c r="M1873" s="16">
        <v>1870</v>
      </c>
      <c r="N1873" s="16">
        <f t="shared" si="210"/>
        <v>1.8506585030011565E-2</v>
      </c>
      <c r="O1873" s="16">
        <v>5</v>
      </c>
      <c r="P1873" s="16">
        <f t="shared" si="206"/>
        <v>8.1742160278745661</v>
      </c>
      <c r="Q1873" s="16">
        <f t="shared" si="211"/>
        <v>54.034820491102515</v>
      </c>
      <c r="R1873" s="113">
        <f t="shared" si="207"/>
        <v>319.54399999999998</v>
      </c>
      <c r="S1873" s="16">
        <f>IF(S1872=15800,15800,ROUND((((Q1873*60)/'Gearing Calculator'!$C$14)*'Track Data'!P1873),-2))</f>
        <v>13400</v>
      </c>
      <c r="T1873" s="16">
        <f t="shared" si="209"/>
        <v>3.9259213927261993</v>
      </c>
      <c r="U1873" s="16">
        <f>IF(AC1873=100,Braking!$AG$2354,IF(AC1873=50,Braking!$AG$1179,IF(AC1873=75,Braking!$AG$1767,0)))</f>
        <v>0</v>
      </c>
      <c r="V1873" s="16">
        <f>0.5*'Gearing Calculator'!$C$15*'Gearing Calculator'!$C$20*'Gearing Calculator'!$W$20*('Track Data'!Q1873^2)</f>
        <v>309.02759161152034</v>
      </c>
      <c r="W1873" s="16">
        <f>('Gearing Calculator'!$U$9*'Track Data'!T1873)+'Track Data'!V1873</f>
        <v>1354.1078663552346</v>
      </c>
      <c r="X1873" s="16">
        <f>('Gearing Calculator'!$U$9*9.81)*('Gearing Calculator'!$U$16/'Gearing Calculator'!$C$7)-(('Track Data'!W1873)*('Gearing Calculator'!$U$17/'Gearing Calculator'!$C$7))</f>
        <v>663.08103575513042</v>
      </c>
      <c r="Y1873" s="16">
        <f>('Gearing Calculator'!$U$9*9.81)*(('Gearing Calculator'!$C$7-'Gearing Calculator'!$U$16)/'Gearing Calculator'!$C$7)+(('Track Data'!W1873)*('Gearing Calculator'!$U$17/'Gearing Calculator'!$C$7))</f>
        <v>1948.3409642448696</v>
      </c>
      <c r="Z1873" s="16">
        <f>((X1873*COS('Gearing Calculator'!$C$21))/'Gearing Calculator'!$C$22)/2</f>
        <v>20.500368478906633</v>
      </c>
      <c r="AA1873" s="16">
        <f>Y1873/'Gearing Calculator'!$C$24</f>
        <v>27.205374686443935</v>
      </c>
      <c r="AB1873" s="16">
        <f t="shared" si="205"/>
        <v>328.65719857515131</v>
      </c>
      <c r="AC1873" s="16">
        <v>0</v>
      </c>
      <c r="AD1873" s="16">
        <v>-49.842163139380297</v>
      </c>
      <c r="AE1873" s="16">
        <v>1870</v>
      </c>
      <c r="AF1873" s="16">
        <f>IF(AC1873=0,IF(O1873=6,INDEX(Acceleration!$V$4:$V$110,MATCH('Track Data'!S1873,Acceleration!$K$4:$K$110,0)),IF('Track Data'!O1873=5,INDEX(Acceleration!$U$4:$U$110,MATCH('Track Data'!S1873,Acceleration!$K$4:$K$110,0)),1)),U1873)</f>
        <v>3.9259213927261993</v>
      </c>
      <c r="AG1873" s="16">
        <f>IF(AC1873=0,IF(O1873=4,INDEX(Acceleration!$T$4:$T$110,MATCH('Track Data'!S1873,Acceleration!$K$4:$K$110,0)),IF('Track Data'!O1873=3,INDEX(Acceleration!$S$4:$S$110,MATCH('Track Data'!S1873,Acceleration!$K$4:$K$110,0)),'Track Data'!AF1873)),'Track Data'!U1873)</f>
        <v>3.9259213927261993</v>
      </c>
      <c r="AH1873" s="16">
        <f>IF(AC1873=0,IF(O1873=2,INDEX(Acceleration!$R$4:$R$110,MATCH('Track Data'!S1873,Acceleration!$K$4:$K$110,0)),IF('Track Data'!O1873=1,INDEX(Acceleration!$Q$4:$Q$110,MATCH('Track Data'!S1873,Acceleration!$K$4:$K$110,0)),'Track Data'!AG1873)),'Track Data'!U1873)</f>
        <v>3.9259213927261993</v>
      </c>
    </row>
    <row r="1874" spans="2:34" x14ac:dyDescent="0.25">
      <c r="B1874" s="16">
        <v>246.012</v>
      </c>
      <c r="C1874" s="16">
        <v>9145</v>
      </c>
      <c r="D1874" s="16">
        <v>1871</v>
      </c>
      <c r="E1874" s="113">
        <v>199</v>
      </c>
      <c r="F1874" s="113">
        <v>189.6</v>
      </c>
      <c r="G1874" s="113">
        <v>180</v>
      </c>
      <c r="H1874" s="113">
        <f t="shared" si="208"/>
        <v>50</v>
      </c>
      <c r="I1874" s="113">
        <v>19.600000000000001</v>
      </c>
      <c r="J1874" s="113">
        <v>31.68</v>
      </c>
      <c r="K1874" s="113">
        <v>-44.3</v>
      </c>
      <c r="L1874" s="183"/>
      <c r="M1874" s="16">
        <v>1871</v>
      </c>
      <c r="N1874" s="16">
        <f t="shared" si="210"/>
        <v>1.8506585030011565E-2</v>
      </c>
      <c r="O1874" s="16">
        <v>5</v>
      </c>
      <c r="P1874" s="16">
        <f t="shared" si="206"/>
        <v>8.1742160278745661</v>
      </c>
      <c r="Q1874" s="16">
        <f t="shared" si="211"/>
        <v>54.034820491102515</v>
      </c>
      <c r="R1874" s="113">
        <f t="shared" si="207"/>
        <v>319.54399999999998</v>
      </c>
      <c r="S1874" s="16">
        <f>IF(S1873=15800,15800,ROUND((((Q1874*60)/'Gearing Calculator'!$C$14)*'Track Data'!P1874),-2))</f>
        <v>13400</v>
      </c>
      <c r="T1874" s="16">
        <f t="shared" si="209"/>
        <v>3.9259213927261993</v>
      </c>
      <c r="U1874" s="16">
        <f>IF(AC1874=100,Braking!$AG$2354,IF(AC1874=50,Braking!$AG$1179,IF(AC1874=75,Braking!$AG$1767,0)))</f>
        <v>0</v>
      </c>
      <c r="V1874" s="16">
        <f>0.5*'Gearing Calculator'!$C$15*'Gearing Calculator'!$C$20*'Gearing Calculator'!$W$20*('Track Data'!Q1874^2)</f>
        <v>309.02759161152034</v>
      </c>
      <c r="W1874" s="16">
        <f>('Gearing Calculator'!$U$9*'Track Data'!T1874)+'Track Data'!V1874</f>
        <v>1354.1078663552346</v>
      </c>
      <c r="X1874" s="16">
        <f>('Gearing Calculator'!$U$9*9.81)*('Gearing Calculator'!$U$16/'Gearing Calculator'!$C$7)-(('Track Data'!W1874)*('Gearing Calculator'!$U$17/'Gearing Calculator'!$C$7))</f>
        <v>663.08103575513042</v>
      </c>
      <c r="Y1874" s="16">
        <f>('Gearing Calculator'!$U$9*9.81)*(('Gearing Calculator'!$C$7-'Gearing Calculator'!$U$16)/'Gearing Calculator'!$C$7)+(('Track Data'!W1874)*('Gearing Calculator'!$U$17/'Gearing Calculator'!$C$7))</f>
        <v>1948.3409642448696</v>
      </c>
      <c r="Z1874" s="16">
        <f>((X1874*COS('Gearing Calculator'!$C$21))/'Gearing Calculator'!$C$22)/2</f>
        <v>20.500368478906633</v>
      </c>
      <c r="AA1874" s="16">
        <f>Y1874/'Gearing Calculator'!$C$24</f>
        <v>27.205374686443935</v>
      </c>
      <c r="AB1874" s="16">
        <f t="shared" si="205"/>
        <v>328.65719857515131</v>
      </c>
      <c r="AC1874" s="16">
        <v>0</v>
      </c>
      <c r="AD1874" s="16">
        <v>-49.842163139380297</v>
      </c>
      <c r="AE1874" s="16">
        <v>1871</v>
      </c>
      <c r="AF1874" s="16">
        <f>IF(AC1874=0,IF(O1874=6,INDEX(Acceleration!$V$4:$V$110,MATCH('Track Data'!S1874,Acceleration!$K$4:$K$110,0)),IF('Track Data'!O1874=5,INDEX(Acceleration!$U$4:$U$110,MATCH('Track Data'!S1874,Acceleration!$K$4:$K$110,0)),1)),U1874)</f>
        <v>3.9259213927261993</v>
      </c>
      <c r="AG1874" s="16">
        <f>IF(AC1874=0,IF(O1874=4,INDEX(Acceleration!$T$4:$T$110,MATCH('Track Data'!S1874,Acceleration!$K$4:$K$110,0)),IF('Track Data'!O1874=3,INDEX(Acceleration!$S$4:$S$110,MATCH('Track Data'!S1874,Acceleration!$K$4:$K$110,0)),'Track Data'!AF1874)),'Track Data'!U1874)</f>
        <v>3.9259213927261993</v>
      </c>
      <c r="AH1874" s="16">
        <f>IF(AC1874=0,IF(O1874=2,INDEX(Acceleration!$R$4:$R$110,MATCH('Track Data'!S1874,Acceleration!$K$4:$K$110,0)),IF('Track Data'!O1874=1,INDEX(Acceleration!$Q$4:$Q$110,MATCH('Track Data'!S1874,Acceleration!$K$4:$K$110,0)),'Track Data'!AG1874)),'Track Data'!U1874)</f>
        <v>3.9259213927261993</v>
      </c>
    </row>
    <row r="1875" spans="2:34" x14ac:dyDescent="0.25">
      <c r="B1875" s="16">
        <v>246.03100000000001</v>
      </c>
      <c r="C1875" s="16">
        <v>9146</v>
      </c>
      <c r="D1875" s="16">
        <v>1872</v>
      </c>
      <c r="E1875" s="113">
        <v>200</v>
      </c>
      <c r="F1875" s="113">
        <v>189.4</v>
      </c>
      <c r="G1875" s="113">
        <v>180.2</v>
      </c>
      <c r="H1875" s="113">
        <f t="shared" si="208"/>
        <v>50.05555555555555</v>
      </c>
      <c r="I1875" s="113">
        <v>19.899999999999999</v>
      </c>
      <c r="J1875" s="113">
        <v>30.47</v>
      </c>
      <c r="K1875" s="113">
        <v>-44.1</v>
      </c>
      <c r="L1875" s="183"/>
      <c r="M1875" s="16">
        <v>1872</v>
      </c>
      <c r="N1875" s="16">
        <f t="shared" si="210"/>
        <v>1.8506585030011565E-2</v>
      </c>
      <c r="O1875" s="16">
        <v>5</v>
      </c>
      <c r="P1875" s="16">
        <f t="shared" si="206"/>
        <v>8.1742160278745661</v>
      </c>
      <c r="Q1875" s="16">
        <f t="shared" si="211"/>
        <v>54.034820491102515</v>
      </c>
      <c r="R1875" s="113">
        <f t="shared" si="207"/>
        <v>319.54399999999998</v>
      </c>
      <c r="S1875" s="16">
        <f>IF(S1874=15800,15800,ROUND((((Q1875*60)/'Gearing Calculator'!$C$14)*'Track Data'!P1875),-2))</f>
        <v>13400</v>
      </c>
      <c r="T1875" s="16">
        <f t="shared" si="209"/>
        <v>3.9259213927261993</v>
      </c>
      <c r="U1875" s="16">
        <f>IF(AC1875=100,Braking!$AG$2354,IF(AC1875=50,Braking!$AG$1179,IF(AC1875=75,Braking!$AG$1767,0)))</f>
        <v>0</v>
      </c>
      <c r="V1875" s="16">
        <f>0.5*'Gearing Calculator'!$C$15*'Gearing Calculator'!$C$20*'Gearing Calculator'!$W$20*('Track Data'!Q1875^2)</f>
        <v>309.02759161152034</v>
      </c>
      <c r="W1875" s="16">
        <f>('Gearing Calculator'!$U$9*'Track Data'!T1875)+'Track Data'!V1875</f>
        <v>1354.1078663552346</v>
      </c>
      <c r="X1875" s="16">
        <f>('Gearing Calculator'!$U$9*9.81)*('Gearing Calculator'!$U$16/'Gearing Calculator'!$C$7)-(('Track Data'!W1875)*('Gearing Calculator'!$U$17/'Gearing Calculator'!$C$7))</f>
        <v>663.08103575513042</v>
      </c>
      <c r="Y1875" s="16">
        <f>('Gearing Calculator'!$U$9*9.81)*(('Gearing Calculator'!$C$7-'Gearing Calculator'!$U$16)/'Gearing Calculator'!$C$7)+(('Track Data'!W1875)*('Gearing Calculator'!$U$17/'Gearing Calculator'!$C$7))</f>
        <v>1948.3409642448696</v>
      </c>
      <c r="Z1875" s="16">
        <f>((X1875*COS('Gearing Calculator'!$C$21))/'Gearing Calculator'!$C$22)/2</f>
        <v>20.500368478906633</v>
      </c>
      <c r="AA1875" s="16">
        <f>Y1875/'Gearing Calculator'!$C$24</f>
        <v>27.205374686443935</v>
      </c>
      <c r="AB1875" s="16">
        <f t="shared" si="205"/>
        <v>328.65719857515131</v>
      </c>
      <c r="AC1875" s="16">
        <v>0</v>
      </c>
      <c r="AD1875" s="16">
        <v>-49.842163139380297</v>
      </c>
      <c r="AE1875" s="16">
        <v>1872</v>
      </c>
      <c r="AF1875" s="16">
        <f>IF(AC1875=0,IF(O1875=6,INDEX(Acceleration!$V$4:$V$110,MATCH('Track Data'!S1875,Acceleration!$K$4:$K$110,0)),IF('Track Data'!O1875=5,INDEX(Acceleration!$U$4:$U$110,MATCH('Track Data'!S1875,Acceleration!$K$4:$K$110,0)),1)),U1875)</f>
        <v>3.9259213927261993</v>
      </c>
      <c r="AG1875" s="16">
        <f>IF(AC1875=0,IF(O1875=4,INDEX(Acceleration!$T$4:$T$110,MATCH('Track Data'!S1875,Acceleration!$K$4:$K$110,0)),IF('Track Data'!O1875=3,INDEX(Acceleration!$S$4:$S$110,MATCH('Track Data'!S1875,Acceleration!$K$4:$K$110,0)),'Track Data'!AF1875)),'Track Data'!U1875)</f>
        <v>3.9259213927261993</v>
      </c>
      <c r="AH1875" s="16">
        <f>IF(AC1875=0,IF(O1875=2,INDEX(Acceleration!$R$4:$R$110,MATCH('Track Data'!S1875,Acceleration!$K$4:$K$110,0)),IF('Track Data'!O1875=1,INDEX(Acceleration!$Q$4:$Q$110,MATCH('Track Data'!S1875,Acceleration!$K$4:$K$110,0)),'Track Data'!AG1875)),'Track Data'!U1875)</f>
        <v>3.9259213927261993</v>
      </c>
    </row>
    <row r="1876" spans="2:34" x14ac:dyDescent="0.25">
      <c r="B1876" s="16">
        <v>246.05</v>
      </c>
      <c r="C1876" s="16">
        <v>9146</v>
      </c>
      <c r="D1876" s="16">
        <v>1873</v>
      </c>
      <c r="E1876" s="113">
        <v>200</v>
      </c>
      <c r="F1876" s="113">
        <v>189.5</v>
      </c>
      <c r="G1876" s="113">
        <v>180.4</v>
      </c>
      <c r="H1876" s="113">
        <f t="shared" si="208"/>
        <v>50.111111111111114</v>
      </c>
      <c r="I1876" s="113">
        <v>18.5</v>
      </c>
      <c r="J1876" s="113">
        <v>27.48</v>
      </c>
      <c r="K1876" s="113">
        <v>-43.9</v>
      </c>
      <c r="L1876" s="183"/>
      <c r="M1876" s="16">
        <v>1873</v>
      </c>
      <c r="N1876" s="16">
        <f t="shared" si="210"/>
        <v>1.8506585030011565E-2</v>
      </c>
      <c r="O1876" s="16">
        <v>5</v>
      </c>
      <c r="P1876" s="16">
        <f t="shared" si="206"/>
        <v>8.1742160278745661</v>
      </c>
      <c r="Q1876" s="16">
        <f t="shared" si="211"/>
        <v>54.034820491102515</v>
      </c>
      <c r="R1876" s="113">
        <f t="shared" si="207"/>
        <v>319.54399999999998</v>
      </c>
      <c r="S1876" s="16">
        <f>IF(S1875=15800,15800,ROUND((((Q1876*60)/'Gearing Calculator'!$C$14)*'Track Data'!P1876),-2))</f>
        <v>13400</v>
      </c>
      <c r="T1876" s="16">
        <f t="shared" si="209"/>
        <v>3.9259213927261993</v>
      </c>
      <c r="U1876" s="16">
        <f>IF(AC1876=100,Braking!$AG$2354,IF(AC1876=50,Braking!$AG$1179,IF(AC1876=75,Braking!$AG$1767,0)))</f>
        <v>0</v>
      </c>
      <c r="V1876" s="16">
        <f>0.5*'Gearing Calculator'!$C$15*'Gearing Calculator'!$C$20*'Gearing Calculator'!$W$20*('Track Data'!Q1876^2)</f>
        <v>309.02759161152034</v>
      </c>
      <c r="W1876" s="16">
        <f>('Gearing Calculator'!$U$9*'Track Data'!T1876)+'Track Data'!V1876</f>
        <v>1354.1078663552346</v>
      </c>
      <c r="X1876" s="16">
        <f>('Gearing Calculator'!$U$9*9.81)*('Gearing Calculator'!$U$16/'Gearing Calculator'!$C$7)-(('Track Data'!W1876)*('Gearing Calculator'!$U$17/'Gearing Calculator'!$C$7))</f>
        <v>663.08103575513042</v>
      </c>
      <c r="Y1876" s="16">
        <f>('Gearing Calculator'!$U$9*9.81)*(('Gearing Calculator'!$C$7-'Gearing Calculator'!$U$16)/'Gearing Calculator'!$C$7)+(('Track Data'!W1876)*('Gearing Calculator'!$U$17/'Gearing Calculator'!$C$7))</f>
        <v>1948.3409642448696</v>
      </c>
      <c r="Z1876" s="16">
        <f>((X1876*COS('Gearing Calculator'!$C$21))/'Gearing Calculator'!$C$22)/2</f>
        <v>20.500368478906633</v>
      </c>
      <c r="AA1876" s="16">
        <f>Y1876/'Gearing Calculator'!$C$24</f>
        <v>27.205374686443935</v>
      </c>
      <c r="AB1876" s="16">
        <f t="shared" si="205"/>
        <v>328.65719857515131</v>
      </c>
      <c r="AC1876" s="16">
        <v>0</v>
      </c>
      <c r="AD1876" s="16">
        <v>-49.842163139380297</v>
      </c>
      <c r="AE1876" s="16">
        <v>1873</v>
      </c>
      <c r="AF1876" s="16">
        <f>IF(AC1876=0,IF(O1876=6,INDEX(Acceleration!$V$4:$V$110,MATCH('Track Data'!S1876,Acceleration!$K$4:$K$110,0)),IF('Track Data'!O1876=5,INDEX(Acceleration!$U$4:$U$110,MATCH('Track Data'!S1876,Acceleration!$K$4:$K$110,0)),1)),U1876)</f>
        <v>3.9259213927261993</v>
      </c>
      <c r="AG1876" s="16">
        <f>IF(AC1876=0,IF(O1876=4,INDEX(Acceleration!$T$4:$T$110,MATCH('Track Data'!S1876,Acceleration!$K$4:$K$110,0)),IF('Track Data'!O1876=3,INDEX(Acceleration!$S$4:$S$110,MATCH('Track Data'!S1876,Acceleration!$K$4:$K$110,0)),'Track Data'!AF1876)),'Track Data'!U1876)</f>
        <v>3.9259213927261993</v>
      </c>
      <c r="AH1876" s="16">
        <f>IF(AC1876=0,IF(O1876=2,INDEX(Acceleration!$R$4:$R$110,MATCH('Track Data'!S1876,Acceleration!$K$4:$K$110,0)),IF('Track Data'!O1876=1,INDEX(Acceleration!$Q$4:$Q$110,MATCH('Track Data'!S1876,Acceleration!$K$4:$K$110,0)),'Track Data'!AG1876)),'Track Data'!U1876)</f>
        <v>3.9259213927261993</v>
      </c>
    </row>
    <row r="1877" spans="2:34" x14ac:dyDescent="0.25">
      <c r="B1877" s="16">
        <v>246.06899999999999</v>
      </c>
      <c r="C1877" s="16">
        <v>9147</v>
      </c>
      <c r="D1877" s="16">
        <v>1874</v>
      </c>
      <c r="E1877" s="113">
        <v>201</v>
      </c>
      <c r="F1877" s="113">
        <v>189.6</v>
      </c>
      <c r="G1877" s="113">
        <v>180.5</v>
      </c>
      <c r="H1877" s="113">
        <f t="shared" si="208"/>
        <v>50.138888888888886</v>
      </c>
      <c r="I1877" s="113">
        <v>17.2</v>
      </c>
      <c r="J1877" s="113">
        <v>25.76</v>
      </c>
      <c r="K1877" s="113">
        <v>-43.7</v>
      </c>
      <c r="L1877" s="183"/>
      <c r="M1877" s="16">
        <v>1874</v>
      </c>
      <c r="N1877" s="16">
        <f t="shared" si="210"/>
        <v>1.8506585030011565E-2</v>
      </c>
      <c r="O1877" s="16">
        <v>5</v>
      </c>
      <c r="P1877" s="16">
        <f t="shared" si="206"/>
        <v>8.1742160278745661</v>
      </c>
      <c r="Q1877" s="16">
        <f t="shared" si="211"/>
        <v>54.034820491102515</v>
      </c>
      <c r="R1877" s="113">
        <f t="shared" si="207"/>
        <v>319.54399999999998</v>
      </c>
      <c r="S1877" s="16">
        <f>IF(S1876=15800,15800,ROUND((((Q1877*60)/'Gearing Calculator'!$C$14)*'Track Data'!P1877),-2))</f>
        <v>13400</v>
      </c>
      <c r="T1877" s="16">
        <f t="shared" si="209"/>
        <v>3.9259213927261993</v>
      </c>
      <c r="U1877" s="16">
        <f>IF(AC1877=100,Braking!$AG$2354,IF(AC1877=50,Braking!$AG$1179,IF(AC1877=75,Braking!$AG$1767,0)))</f>
        <v>0</v>
      </c>
      <c r="V1877" s="16">
        <f>0.5*'Gearing Calculator'!$C$15*'Gearing Calculator'!$C$20*'Gearing Calculator'!$W$20*('Track Data'!Q1877^2)</f>
        <v>309.02759161152034</v>
      </c>
      <c r="W1877" s="16">
        <f>('Gearing Calculator'!$U$9*'Track Data'!T1877)+'Track Data'!V1877</f>
        <v>1354.1078663552346</v>
      </c>
      <c r="X1877" s="16">
        <f>('Gearing Calculator'!$U$9*9.81)*('Gearing Calculator'!$U$16/'Gearing Calculator'!$C$7)-(('Track Data'!W1877)*('Gearing Calculator'!$U$17/'Gearing Calculator'!$C$7))</f>
        <v>663.08103575513042</v>
      </c>
      <c r="Y1877" s="16">
        <f>('Gearing Calculator'!$U$9*9.81)*(('Gearing Calculator'!$C$7-'Gearing Calculator'!$U$16)/'Gearing Calculator'!$C$7)+(('Track Data'!W1877)*('Gearing Calculator'!$U$17/'Gearing Calculator'!$C$7))</f>
        <v>1948.3409642448696</v>
      </c>
      <c r="Z1877" s="16">
        <f>((X1877*COS('Gearing Calculator'!$C$21))/'Gearing Calculator'!$C$22)/2</f>
        <v>20.500368478906633</v>
      </c>
      <c r="AA1877" s="16">
        <f>Y1877/'Gearing Calculator'!$C$24</f>
        <v>27.205374686443935</v>
      </c>
      <c r="AB1877" s="16">
        <f t="shared" si="205"/>
        <v>328.65719857515131</v>
      </c>
      <c r="AC1877" s="16">
        <v>0</v>
      </c>
      <c r="AD1877" s="16">
        <v>-49.842163139380297</v>
      </c>
      <c r="AE1877" s="16">
        <v>1874</v>
      </c>
      <c r="AF1877" s="16">
        <f>IF(AC1877=0,IF(O1877=6,INDEX(Acceleration!$V$4:$V$110,MATCH('Track Data'!S1877,Acceleration!$K$4:$K$110,0)),IF('Track Data'!O1877=5,INDEX(Acceleration!$U$4:$U$110,MATCH('Track Data'!S1877,Acceleration!$K$4:$K$110,0)),1)),U1877)</f>
        <v>3.9259213927261993</v>
      </c>
      <c r="AG1877" s="16">
        <f>IF(AC1877=0,IF(O1877=4,INDEX(Acceleration!$T$4:$T$110,MATCH('Track Data'!S1877,Acceleration!$K$4:$K$110,0)),IF('Track Data'!O1877=3,INDEX(Acceleration!$S$4:$S$110,MATCH('Track Data'!S1877,Acceleration!$K$4:$K$110,0)),'Track Data'!AF1877)),'Track Data'!U1877)</f>
        <v>3.9259213927261993</v>
      </c>
      <c r="AH1877" s="16">
        <f>IF(AC1877=0,IF(O1877=2,INDEX(Acceleration!$R$4:$R$110,MATCH('Track Data'!S1877,Acceleration!$K$4:$K$110,0)),IF('Track Data'!O1877=1,INDEX(Acceleration!$Q$4:$Q$110,MATCH('Track Data'!S1877,Acceleration!$K$4:$K$110,0)),'Track Data'!AG1877)),'Track Data'!U1877)</f>
        <v>3.9259213927261993</v>
      </c>
    </row>
    <row r="1878" spans="2:34" x14ac:dyDescent="0.25">
      <c r="B1878" s="16">
        <v>246.08799999999999</v>
      </c>
      <c r="C1878" s="16">
        <v>9148</v>
      </c>
      <c r="D1878" s="16">
        <v>1875</v>
      </c>
      <c r="E1878" s="113">
        <v>201</v>
      </c>
      <c r="F1878" s="113">
        <v>189.8</v>
      </c>
      <c r="G1878" s="113">
        <v>180.8</v>
      </c>
      <c r="H1878" s="113">
        <f t="shared" si="208"/>
        <v>50.222222222222221</v>
      </c>
      <c r="I1878" s="113">
        <v>14.1</v>
      </c>
      <c r="J1878" s="113">
        <v>24.99</v>
      </c>
      <c r="K1878" s="113">
        <v>-42.5</v>
      </c>
      <c r="L1878" s="183"/>
      <c r="M1878" s="16">
        <v>1875</v>
      </c>
      <c r="N1878" s="16">
        <f t="shared" si="210"/>
        <v>1.8506585030011565E-2</v>
      </c>
      <c r="O1878" s="16">
        <v>5</v>
      </c>
      <c r="P1878" s="16">
        <f t="shared" si="206"/>
        <v>8.1742160278745661</v>
      </c>
      <c r="Q1878" s="16">
        <f t="shared" si="211"/>
        <v>54.034820491102515</v>
      </c>
      <c r="R1878" s="113">
        <f t="shared" si="207"/>
        <v>319.54399999999998</v>
      </c>
      <c r="S1878" s="16">
        <f>IF(S1877=15800,15800,ROUND((((Q1878*60)/'Gearing Calculator'!$C$14)*'Track Data'!P1878),-2))</f>
        <v>13400</v>
      </c>
      <c r="T1878" s="16">
        <f t="shared" si="209"/>
        <v>3.9259213927261993</v>
      </c>
      <c r="U1878" s="16">
        <f>IF(AC1878=100,Braking!$AG$2354,IF(AC1878=50,Braking!$AG$1179,IF(AC1878=75,Braking!$AG$1767,0)))</f>
        <v>0</v>
      </c>
      <c r="V1878" s="16">
        <f>0.5*'Gearing Calculator'!$C$15*'Gearing Calculator'!$C$20*'Gearing Calculator'!$W$20*('Track Data'!Q1878^2)</f>
        <v>309.02759161152034</v>
      </c>
      <c r="W1878" s="16">
        <f>('Gearing Calculator'!$U$9*'Track Data'!T1878)+'Track Data'!V1878</f>
        <v>1354.1078663552346</v>
      </c>
      <c r="X1878" s="16">
        <f>('Gearing Calculator'!$U$9*9.81)*('Gearing Calculator'!$U$16/'Gearing Calculator'!$C$7)-(('Track Data'!W1878)*('Gearing Calculator'!$U$17/'Gearing Calculator'!$C$7))</f>
        <v>663.08103575513042</v>
      </c>
      <c r="Y1878" s="16">
        <f>('Gearing Calculator'!$U$9*9.81)*(('Gearing Calculator'!$C$7-'Gearing Calculator'!$U$16)/'Gearing Calculator'!$C$7)+(('Track Data'!W1878)*('Gearing Calculator'!$U$17/'Gearing Calculator'!$C$7))</f>
        <v>1948.3409642448696</v>
      </c>
      <c r="Z1878" s="16">
        <f>((X1878*COS('Gearing Calculator'!$C$21))/'Gearing Calculator'!$C$22)/2</f>
        <v>20.500368478906633</v>
      </c>
      <c r="AA1878" s="16">
        <f>Y1878/'Gearing Calculator'!$C$24</f>
        <v>27.205374686443935</v>
      </c>
      <c r="AB1878" s="16">
        <f t="shared" si="205"/>
        <v>328.65719857515131</v>
      </c>
      <c r="AC1878" s="16">
        <v>0</v>
      </c>
      <c r="AD1878" s="16">
        <v>-49.842163139380297</v>
      </c>
      <c r="AE1878" s="16">
        <v>1875</v>
      </c>
      <c r="AF1878" s="16">
        <f>IF(AC1878=0,IF(O1878=6,INDEX(Acceleration!$V$4:$V$110,MATCH('Track Data'!S1878,Acceleration!$K$4:$K$110,0)),IF('Track Data'!O1878=5,INDEX(Acceleration!$U$4:$U$110,MATCH('Track Data'!S1878,Acceleration!$K$4:$K$110,0)),1)),U1878)</f>
        <v>3.9259213927261993</v>
      </c>
      <c r="AG1878" s="16">
        <f>IF(AC1878=0,IF(O1878=4,INDEX(Acceleration!$T$4:$T$110,MATCH('Track Data'!S1878,Acceleration!$K$4:$K$110,0)),IF('Track Data'!O1878=3,INDEX(Acceleration!$S$4:$S$110,MATCH('Track Data'!S1878,Acceleration!$K$4:$K$110,0)),'Track Data'!AF1878)),'Track Data'!U1878)</f>
        <v>3.9259213927261993</v>
      </c>
      <c r="AH1878" s="16">
        <f>IF(AC1878=0,IF(O1878=2,INDEX(Acceleration!$R$4:$R$110,MATCH('Track Data'!S1878,Acceleration!$K$4:$K$110,0)),IF('Track Data'!O1878=1,INDEX(Acceleration!$Q$4:$Q$110,MATCH('Track Data'!S1878,Acceleration!$K$4:$K$110,0)),'Track Data'!AG1878)),'Track Data'!U1878)</f>
        <v>3.9259213927261993</v>
      </c>
    </row>
    <row r="1879" spans="2:34" x14ac:dyDescent="0.25">
      <c r="B1879" s="16">
        <v>246.107</v>
      </c>
      <c r="C1879" s="16">
        <v>9149</v>
      </c>
      <c r="D1879" s="16">
        <v>1876</v>
      </c>
      <c r="E1879" s="113">
        <v>201</v>
      </c>
      <c r="F1879" s="113">
        <v>190</v>
      </c>
      <c r="G1879" s="113">
        <v>181</v>
      </c>
      <c r="H1879" s="113">
        <f t="shared" si="208"/>
        <v>50.277777777777779</v>
      </c>
      <c r="I1879" s="113">
        <v>11.9</v>
      </c>
      <c r="J1879" s="113">
        <v>24.32</v>
      </c>
      <c r="K1879" s="113">
        <v>-36.299999999999997</v>
      </c>
      <c r="L1879" s="183"/>
      <c r="M1879" s="16">
        <v>1876</v>
      </c>
      <c r="N1879" s="16">
        <f t="shared" si="210"/>
        <v>1.8506585030011565E-2</v>
      </c>
      <c r="O1879" s="16">
        <v>5</v>
      </c>
      <c r="P1879" s="16">
        <f t="shared" si="206"/>
        <v>8.1742160278745661</v>
      </c>
      <c r="Q1879" s="16">
        <f t="shared" si="211"/>
        <v>54.034820491102515</v>
      </c>
      <c r="R1879" s="113">
        <f t="shared" si="207"/>
        <v>319.54399999999998</v>
      </c>
      <c r="S1879" s="16">
        <f>IF(S1878=15800,15800,ROUND((((Q1879*60)/'Gearing Calculator'!$C$14)*'Track Data'!P1879),-2))</f>
        <v>13400</v>
      </c>
      <c r="T1879" s="16">
        <f t="shared" si="209"/>
        <v>3.9259213927261993</v>
      </c>
      <c r="U1879" s="16">
        <f>IF(AC1879=100,Braking!$AG$2354,IF(AC1879=50,Braking!$AG$1179,IF(AC1879=75,Braking!$AG$1767,0)))</f>
        <v>0</v>
      </c>
      <c r="V1879" s="16">
        <f>0.5*'Gearing Calculator'!$C$15*'Gearing Calculator'!$C$20*'Gearing Calculator'!$W$20*('Track Data'!Q1879^2)</f>
        <v>309.02759161152034</v>
      </c>
      <c r="W1879" s="16">
        <f>('Gearing Calculator'!$U$9*'Track Data'!T1879)+'Track Data'!V1879</f>
        <v>1354.1078663552346</v>
      </c>
      <c r="X1879" s="16">
        <f>('Gearing Calculator'!$U$9*9.81)*('Gearing Calculator'!$U$16/'Gearing Calculator'!$C$7)-(('Track Data'!W1879)*('Gearing Calculator'!$U$17/'Gearing Calculator'!$C$7))</f>
        <v>663.08103575513042</v>
      </c>
      <c r="Y1879" s="16">
        <f>('Gearing Calculator'!$U$9*9.81)*(('Gearing Calculator'!$C$7-'Gearing Calculator'!$U$16)/'Gearing Calculator'!$C$7)+(('Track Data'!W1879)*('Gearing Calculator'!$U$17/'Gearing Calculator'!$C$7))</f>
        <v>1948.3409642448696</v>
      </c>
      <c r="Z1879" s="16">
        <f>((X1879*COS('Gearing Calculator'!$C$21))/'Gearing Calculator'!$C$22)/2</f>
        <v>20.500368478906633</v>
      </c>
      <c r="AA1879" s="16">
        <f>Y1879/'Gearing Calculator'!$C$24</f>
        <v>27.205374686443935</v>
      </c>
      <c r="AB1879" s="16">
        <f t="shared" si="205"/>
        <v>328.65719857515131</v>
      </c>
      <c r="AC1879" s="16">
        <v>0</v>
      </c>
      <c r="AD1879" s="16">
        <v>-49.842163139380297</v>
      </c>
      <c r="AE1879" s="16">
        <v>1876</v>
      </c>
      <c r="AF1879" s="16">
        <f>IF(AC1879=0,IF(O1879=6,INDEX(Acceleration!$V$4:$V$110,MATCH('Track Data'!S1879,Acceleration!$K$4:$K$110,0)),IF('Track Data'!O1879=5,INDEX(Acceleration!$U$4:$U$110,MATCH('Track Data'!S1879,Acceleration!$K$4:$K$110,0)),1)),U1879)</f>
        <v>3.9259213927261993</v>
      </c>
      <c r="AG1879" s="16">
        <f>IF(AC1879=0,IF(O1879=4,INDEX(Acceleration!$T$4:$T$110,MATCH('Track Data'!S1879,Acceleration!$K$4:$K$110,0)),IF('Track Data'!O1879=3,INDEX(Acceleration!$S$4:$S$110,MATCH('Track Data'!S1879,Acceleration!$K$4:$K$110,0)),'Track Data'!AF1879)),'Track Data'!U1879)</f>
        <v>3.9259213927261993</v>
      </c>
      <c r="AH1879" s="16">
        <f>IF(AC1879=0,IF(O1879=2,INDEX(Acceleration!$R$4:$R$110,MATCH('Track Data'!S1879,Acceleration!$K$4:$K$110,0)),IF('Track Data'!O1879=1,INDEX(Acceleration!$Q$4:$Q$110,MATCH('Track Data'!S1879,Acceleration!$K$4:$K$110,0)),'Track Data'!AG1879)),'Track Data'!U1879)</f>
        <v>3.9259213927261993</v>
      </c>
    </row>
    <row r="1880" spans="2:34" x14ac:dyDescent="0.25">
      <c r="B1880" s="16">
        <v>246.126</v>
      </c>
      <c r="C1880" s="16">
        <v>9150</v>
      </c>
      <c r="D1880" s="16">
        <v>1877</v>
      </c>
      <c r="E1880" s="113">
        <v>201</v>
      </c>
      <c r="F1880" s="113">
        <v>190.3</v>
      </c>
      <c r="G1880" s="113">
        <v>181.2</v>
      </c>
      <c r="H1880" s="113">
        <f t="shared" si="208"/>
        <v>50.333333333333329</v>
      </c>
      <c r="I1880" s="113">
        <v>10.5</v>
      </c>
      <c r="J1880" s="113">
        <v>25.93</v>
      </c>
      <c r="K1880" s="113">
        <v>-30.1</v>
      </c>
      <c r="L1880" s="183"/>
      <c r="M1880" s="16">
        <v>1877</v>
      </c>
      <c r="N1880" s="16">
        <f t="shared" si="210"/>
        <v>1.8506585030011565E-2</v>
      </c>
      <c r="O1880" s="16">
        <v>5</v>
      </c>
      <c r="P1880" s="16">
        <f t="shared" si="206"/>
        <v>8.1742160278745661</v>
      </c>
      <c r="Q1880" s="16">
        <f t="shared" si="211"/>
        <v>54.034820491102515</v>
      </c>
      <c r="R1880" s="113">
        <f t="shared" si="207"/>
        <v>319.54399999999998</v>
      </c>
      <c r="S1880" s="16">
        <f>IF(S1879=15800,15800,ROUND((((Q1880*60)/'Gearing Calculator'!$C$14)*'Track Data'!P1880),-2))</f>
        <v>13400</v>
      </c>
      <c r="T1880" s="16">
        <f t="shared" si="209"/>
        <v>3.9259213927261993</v>
      </c>
      <c r="U1880" s="16">
        <f>IF(AC1880=100,Braking!$AG$2354,IF(AC1880=50,Braking!$AG$1179,IF(AC1880=75,Braking!$AG$1767,0)))</f>
        <v>0</v>
      </c>
      <c r="V1880" s="16">
        <f>0.5*'Gearing Calculator'!$C$15*'Gearing Calculator'!$C$20*'Gearing Calculator'!$W$20*('Track Data'!Q1880^2)</f>
        <v>309.02759161152034</v>
      </c>
      <c r="W1880" s="16">
        <f>('Gearing Calculator'!$U$9*'Track Data'!T1880)+'Track Data'!V1880</f>
        <v>1354.1078663552346</v>
      </c>
      <c r="X1880" s="16">
        <f>('Gearing Calculator'!$U$9*9.81)*('Gearing Calculator'!$U$16/'Gearing Calculator'!$C$7)-(('Track Data'!W1880)*('Gearing Calculator'!$U$17/'Gearing Calculator'!$C$7))</f>
        <v>663.08103575513042</v>
      </c>
      <c r="Y1880" s="16">
        <f>('Gearing Calculator'!$U$9*9.81)*(('Gearing Calculator'!$C$7-'Gearing Calculator'!$U$16)/'Gearing Calculator'!$C$7)+(('Track Data'!W1880)*('Gearing Calculator'!$U$17/'Gearing Calculator'!$C$7))</f>
        <v>1948.3409642448696</v>
      </c>
      <c r="Z1880" s="16">
        <f>((X1880*COS('Gearing Calculator'!$C$21))/'Gearing Calculator'!$C$22)/2</f>
        <v>20.500368478906633</v>
      </c>
      <c r="AA1880" s="16">
        <f>Y1880/'Gearing Calculator'!$C$24</f>
        <v>27.205374686443935</v>
      </c>
      <c r="AB1880" s="16">
        <f t="shared" si="205"/>
        <v>328.65719857515131</v>
      </c>
      <c r="AC1880" s="16">
        <v>0</v>
      </c>
      <c r="AD1880" s="16">
        <v>-49.842163139380297</v>
      </c>
      <c r="AE1880" s="16">
        <v>1877</v>
      </c>
      <c r="AF1880" s="16">
        <f>IF(AC1880=0,IF(O1880=6,INDEX(Acceleration!$V$4:$V$110,MATCH('Track Data'!S1880,Acceleration!$K$4:$K$110,0)),IF('Track Data'!O1880=5,INDEX(Acceleration!$U$4:$U$110,MATCH('Track Data'!S1880,Acceleration!$K$4:$K$110,0)),1)),U1880)</f>
        <v>3.9259213927261993</v>
      </c>
      <c r="AG1880" s="16">
        <f>IF(AC1880=0,IF(O1880=4,INDEX(Acceleration!$T$4:$T$110,MATCH('Track Data'!S1880,Acceleration!$K$4:$K$110,0)),IF('Track Data'!O1880=3,INDEX(Acceleration!$S$4:$S$110,MATCH('Track Data'!S1880,Acceleration!$K$4:$K$110,0)),'Track Data'!AF1880)),'Track Data'!U1880)</f>
        <v>3.9259213927261993</v>
      </c>
      <c r="AH1880" s="16">
        <f>IF(AC1880=0,IF(O1880=2,INDEX(Acceleration!$R$4:$R$110,MATCH('Track Data'!S1880,Acceleration!$K$4:$K$110,0)),IF('Track Data'!O1880=1,INDEX(Acceleration!$Q$4:$Q$110,MATCH('Track Data'!S1880,Acceleration!$K$4:$K$110,0)),'Track Data'!AG1880)),'Track Data'!U1880)</f>
        <v>3.9259213927261993</v>
      </c>
    </row>
    <row r="1881" spans="2:34" x14ac:dyDescent="0.25">
      <c r="B1881" s="16">
        <v>246.14400000000001</v>
      </c>
      <c r="C1881" s="16">
        <v>9151</v>
      </c>
      <c r="D1881" s="16">
        <v>1878</v>
      </c>
      <c r="E1881" s="113">
        <v>200</v>
      </c>
      <c r="F1881" s="113">
        <v>190.4</v>
      </c>
      <c r="G1881" s="113">
        <v>181.5</v>
      </c>
      <c r="H1881" s="113">
        <f t="shared" si="208"/>
        <v>50.416666666666664</v>
      </c>
      <c r="I1881" s="113">
        <v>10.5</v>
      </c>
      <c r="J1881" s="113">
        <v>27.5</v>
      </c>
      <c r="K1881" s="113">
        <v>-23.9</v>
      </c>
      <c r="L1881" s="183"/>
      <c r="M1881" s="16">
        <v>1878</v>
      </c>
      <c r="N1881" s="16">
        <f t="shared" si="210"/>
        <v>1.8506585030011565E-2</v>
      </c>
      <c r="O1881" s="16">
        <v>5</v>
      </c>
      <c r="P1881" s="16">
        <f t="shared" si="206"/>
        <v>8.1742160278745661</v>
      </c>
      <c r="Q1881" s="16">
        <f t="shared" si="211"/>
        <v>54.034820491102515</v>
      </c>
      <c r="R1881" s="113">
        <f t="shared" si="207"/>
        <v>319.54399999999998</v>
      </c>
      <c r="S1881" s="16">
        <f>IF(S1880=15800,15800,ROUND((((Q1881*60)/'Gearing Calculator'!$C$14)*'Track Data'!P1881),-2))</f>
        <v>13400</v>
      </c>
      <c r="T1881" s="16">
        <f t="shared" si="209"/>
        <v>3.9259213927261993</v>
      </c>
      <c r="U1881" s="16">
        <f>IF(AC1881=100,Braking!$AG$2354,IF(AC1881=50,Braking!$AG$1179,IF(AC1881=75,Braking!$AG$1767,0)))</f>
        <v>0</v>
      </c>
      <c r="V1881" s="16">
        <f>0.5*'Gearing Calculator'!$C$15*'Gearing Calculator'!$C$20*'Gearing Calculator'!$W$20*('Track Data'!Q1881^2)</f>
        <v>309.02759161152034</v>
      </c>
      <c r="W1881" s="16">
        <f>('Gearing Calculator'!$U$9*'Track Data'!T1881)+'Track Data'!V1881</f>
        <v>1354.1078663552346</v>
      </c>
      <c r="X1881" s="16">
        <f>('Gearing Calculator'!$U$9*9.81)*('Gearing Calculator'!$U$16/'Gearing Calculator'!$C$7)-(('Track Data'!W1881)*('Gearing Calculator'!$U$17/'Gearing Calculator'!$C$7))</f>
        <v>663.08103575513042</v>
      </c>
      <c r="Y1881" s="16">
        <f>('Gearing Calculator'!$U$9*9.81)*(('Gearing Calculator'!$C$7-'Gearing Calculator'!$U$16)/'Gearing Calculator'!$C$7)+(('Track Data'!W1881)*('Gearing Calculator'!$U$17/'Gearing Calculator'!$C$7))</f>
        <v>1948.3409642448696</v>
      </c>
      <c r="Z1881" s="16">
        <f>((X1881*COS('Gearing Calculator'!$C$21))/'Gearing Calculator'!$C$22)/2</f>
        <v>20.500368478906633</v>
      </c>
      <c r="AA1881" s="16">
        <f>Y1881/'Gearing Calculator'!$C$24</f>
        <v>27.205374686443935</v>
      </c>
      <c r="AB1881" s="16">
        <f t="shared" si="205"/>
        <v>328.65719857515131</v>
      </c>
      <c r="AC1881" s="16">
        <v>0</v>
      </c>
      <c r="AD1881" s="16">
        <v>-49.842163139380297</v>
      </c>
      <c r="AE1881" s="16">
        <v>1878</v>
      </c>
      <c r="AF1881" s="16">
        <f>IF(AC1881=0,IF(O1881=6,INDEX(Acceleration!$V$4:$V$110,MATCH('Track Data'!S1881,Acceleration!$K$4:$K$110,0)),IF('Track Data'!O1881=5,INDEX(Acceleration!$U$4:$U$110,MATCH('Track Data'!S1881,Acceleration!$K$4:$K$110,0)),1)),U1881)</f>
        <v>3.9259213927261993</v>
      </c>
      <c r="AG1881" s="16">
        <f>IF(AC1881=0,IF(O1881=4,INDEX(Acceleration!$T$4:$T$110,MATCH('Track Data'!S1881,Acceleration!$K$4:$K$110,0)),IF('Track Data'!O1881=3,INDEX(Acceleration!$S$4:$S$110,MATCH('Track Data'!S1881,Acceleration!$K$4:$K$110,0)),'Track Data'!AF1881)),'Track Data'!U1881)</f>
        <v>3.9259213927261993</v>
      </c>
      <c r="AH1881" s="16">
        <f>IF(AC1881=0,IF(O1881=2,INDEX(Acceleration!$R$4:$R$110,MATCH('Track Data'!S1881,Acceleration!$K$4:$K$110,0)),IF('Track Data'!O1881=1,INDEX(Acceleration!$Q$4:$Q$110,MATCH('Track Data'!S1881,Acceleration!$K$4:$K$110,0)),'Track Data'!AG1881)),'Track Data'!U1881)</f>
        <v>3.9259213927261993</v>
      </c>
    </row>
    <row r="1882" spans="2:34" x14ac:dyDescent="0.25">
      <c r="B1882" s="16">
        <v>246.16399999999999</v>
      </c>
      <c r="C1882" s="16">
        <v>9152</v>
      </c>
      <c r="D1882" s="16">
        <v>1879</v>
      </c>
      <c r="E1882" s="113">
        <v>199</v>
      </c>
      <c r="F1882" s="113">
        <v>190.5</v>
      </c>
      <c r="G1882" s="113">
        <v>181.7</v>
      </c>
      <c r="H1882" s="113">
        <f t="shared" si="208"/>
        <v>50.472222222222214</v>
      </c>
      <c r="I1882" s="113">
        <v>10.9</v>
      </c>
      <c r="J1882" s="113">
        <v>27.85</v>
      </c>
      <c r="K1882" s="113">
        <v>-18.899999999999999</v>
      </c>
      <c r="L1882" s="183"/>
      <c r="M1882" s="16">
        <v>1879</v>
      </c>
      <c r="N1882" s="16">
        <f t="shared" si="210"/>
        <v>1.8506585030011565E-2</v>
      </c>
      <c r="O1882" s="16">
        <v>5</v>
      </c>
      <c r="P1882" s="16">
        <f t="shared" si="206"/>
        <v>8.1742160278745661</v>
      </c>
      <c r="Q1882" s="16">
        <f t="shared" si="211"/>
        <v>54.034820491102515</v>
      </c>
      <c r="R1882" s="113">
        <f t="shared" si="207"/>
        <v>319.54399999999998</v>
      </c>
      <c r="S1882" s="16">
        <f>IF(S1881=15800,15800,ROUND((((Q1882*60)/'Gearing Calculator'!$C$14)*'Track Data'!P1882),-2))</f>
        <v>13400</v>
      </c>
      <c r="T1882" s="16">
        <f t="shared" si="209"/>
        <v>3.9259213927261993</v>
      </c>
      <c r="U1882" s="16">
        <f>IF(AC1882=100,Braking!$AG$2354,IF(AC1882=50,Braking!$AG$1179,IF(AC1882=75,Braking!$AG$1767,0)))</f>
        <v>0</v>
      </c>
      <c r="V1882" s="16">
        <f>0.5*'Gearing Calculator'!$C$15*'Gearing Calculator'!$C$20*'Gearing Calculator'!$W$20*('Track Data'!Q1882^2)</f>
        <v>309.02759161152034</v>
      </c>
      <c r="W1882" s="16">
        <f>('Gearing Calculator'!$U$9*'Track Data'!T1882)+'Track Data'!V1882</f>
        <v>1354.1078663552346</v>
      </c>
      <c r="X1882" s="16">
        <f>('Gearing Calculator'!$U$9*9.81)*('Gearing Calculator'!$U$16/'Gearing Calculator'!$C$7)-(('Track Data'!W1882)*('Gearing Calculator'!$U$17/'Gearing Calculator'!$C$7))</f>
        <v>663.08103575513042</v>
      </c>
      <c r="Y1882" s="16">
        <f>('Gearing Calculator'!$U$9*9.81)*(('Gearing Calculator'!$C$7-'Gearing Calculator'!$U$16)/'Gearing Calculator'!$C$7)+(('Track Data'!W1882)*('Gearing Calculator'!$U$17/'Gearing Calculator'!$C$7))</f>
        <v>1948.3409642448696</v>
      </c>
      <c r="Z1882" s="16">
        <f>((X1882*COS('Gearing Calculator'!$C$21))/'Gearing Calculator'!$C$22)/2</f>
        <v>20.500368478906633</v>
      </c>
      <c r="AA1882" s="16">
        <f>Y1882/'Gearing Calculator'!$C$24</f>
        <v>27.205374686443935</v>
      </c>
      <c r="AB1882" s="16">
        <f t="shared" si="205"/>
        <v>328.65719857515131</v>
      </c>
      <c r="AC1882" s="16">
        <v>0</v>
      </c>
      <c r="AD1882" s="16">
        <v>-49.842163139380297</v>
      </c>
      <c r="AE1882" s="16">
        <v>1879</v>
      </c>
      <c r="AF1882" s="16">
        <f>IF(AC1882=0,IF(O1882=6,INDEX(Acceleration!$V$4:$V$110,MATCH('Track Data'!S1882,Acceleration!$K$4:$K$110,0)),IF('Track Data'!O1882=5,INDEX(Acceleration!$U$4:$U$110,MATCH('Track Data'!S1882,Acceleration!$K$4:$K$110,0)),1)),U1882)</f>
        <v>3.9259213927261993</v>
      </c>
      <c r="AG1882" s="16">
        <f>IF(AC1882=0,IF(O1882=4,INDEX(Acceleration!$T$4:$T$110,MATCH('Track Data'!S1882,Acceleration!$K$4:$K$110,0)),IF('Track Data'!O1882=3,INDEX(Acceleration!$S$4:$S$110,MATCH('Track Data'!S1882,Acceleration!$K$4:$K$110,0)),'Track Data'!AF1882)),'Track Data'!U1882)</f>
        <v>3.9259213927261993</v>
      </c>
      <c r="AH1882" s="16">
        <f>IF(AC1882=0,IF(O1882=2,INDEX(Acceleration!$R$4:$R$110,MATCH('Track Data'!S1882,Acceleration!$K$4:$K$110,0)),IF('Track Data'!O1882=1,INDEX(Acceleration!$Q$4:$Q$110,MATCH('Track Data'!S1882,Acceleration!$K$4:$K$110,0)),'Track Data'!AG1882)),'Track Data'!U1882)</f>
        <v>3.9259213927261993</v>
      </c>
    </row>
    <row r="1883" spans="2:34" x14ac:dyDescent="0.25">
      <c r="B1883" s="16">
        <v>246.18299999999999</v>
      </c>
      <c r="C1883" s="16">
        <v>9153</v>
      </c>
      <c r="D1883" s="16">
        <v>1880</v>
      </c>
      <c r="E1883" s="113">
        <v>199</v>
      </c>
      <c r="F1883" s="113">
        <v>190.4</v>
      </c>
      <c r="G1883" s="113">
        <v>181.9</v>
      </c>
      <c r="H1883" s="113">
        <f t="shared" si="208"/>
        <v>50.527777777777779</v>
      </c>
      <c r="I1883" s="113">
        <v>11.6</v>
      </c>
      <c r="J1883" s="113">
        <v>29.4</v>
      </c>
      <c r="K1883" s="113">
        <v>-18.899999999999999</v>
      </c>
      <c r="L1883" s="183"/>
      <c r="M1883" s="16">
        <v>1880</v>
      </c>
      <c r="N1883" s="16">
        <f t="shared" si="210"/>
        <v>1.8506585030011565E-2</v>
      </c>
      <c r="O1883" s="16">
        <v>5</v>
      </c>
      <c r="P1883" s="16">
        <f t="shared" si="206"/>
        <v>8.1742160278745661</v>
      </c>
      <c r="Q1883" s="16">
        <f t="shared" si="211"/>
        <v>54.034820491102515</v>
      </c>
      <c r="R1883" s="113">
        <f t="shared" si="207"/>
        <v>319.54399999999998</v>
      </c>
      <c r="S1883" s="16">
        <f>IF(S1882=15800,15800,ROUND((((Q1883*60)/'Gearing Calculator'!$C$14)*'Track Data'!P1883),-2))</f>
        <v>13400</v>
      </c>
      <c r="T1883" s="16">
        <f t="shared" si="209"/>
        <v>3.9259213927261993</v>
      </c>
      <c r="U1883" s="16">
        <f>IF(AC1883=100,Braking!$AG$2354,IF(AC1883=50,Braking!$AG$1179,IF(AC1883=75,Braking!$AG$1767,0)))</f>
        <v>0</v>
      </c>
      <c r="V1883" s="16">
        <f>0.5*'Gearing Calculator'!$C$15*'Gearing Calculator'!$C$20*'Gearing Calculator'!$W$20*('Track Data'!Q1883^2)</f>
        <v>309.02759161152034</v>
      </c>
      <c r="W1883" s="16">
        <f>('Gearing Calculator'!$U$9*'Track Data'!T1883)+'Track Data'!V1883</f>
        <v>1354.1078663552346</v>
      </c>
      <c r="X1883" s="16">
        <f>('Gearing Calculator'!$U$9*9.81)*('Gearing Calculator'!$U$16/'Gearing Calculator'!$C$7)-(('Track Data'!W1883)*('Gearing Calculator'!$U$17/'Gearing Calculator'!$C$7))</f>
        <v>663.08103575513042</v>
      </c>
      <c r="Y1883" s="16">
        <f>('Gearing Calculator'!$U$9*9.81)*(('Gearing Calculator'!$C$7-'Gearing Calculator'!$U$16)/'Gearing Calculator'!$C$7)+(('Track Data'!W1883)*('Gearing Calculator'!$U$17/'Gearing Calculator'!$C$7))</f>
        <v>1948.3409642448696</v>
      </c>
      <c r="Z1883" s="16">
        <f>((X1883*COS('Gearing Calculator'!$C$21))/'Gearing Calculator'!$C$22)/2</f>
        <v>20.500368478906633</v>
      </c>
      <c r="AA1883" s="16">
        <f>Y1883/'Gearing Calculator'!$C$24</f>
        <v>27.205374686443935</v>
      </c>
      <c r="AB1883" s="16">
        <f t="shared" si="205"/>
        <v>328.65719857515131</v>
      </c>
      <c r="AC1883" s="16">
        <v>0</v>
      </c>
      <c r="AD1883" s="16">
        <v>-49.842163139380297</v>
      </c>
      <c r="AE1883" s="16">
        <v>1880</v>
      </c>
      <c r="AF1883" s="16">
        <f>IF(AC1883=0,IF(O1883=6,INDEX(Acceleration!$V$4:$V$110,MATCH('Track Data'!S1883,Acceleration!$K$4:$K$110,0)),IF('Track Data'!O1883=5,INDEX(Acceleration!$U$4:$U$110,MATCH('Track Data'!S1883,Acceleration!$K$4:$K$110,0)),1)),U1883)</f>
        <v>3.9259213927261993</v>
      </c>
      <c r="AG1883" s="16">
        <f>IF(AC1883=0,IF(O1883=4,INDEX(Acceleration!$T$4:$T$110,MATCH('Track Data'!S1883,Acceleration!$K$4:$K$110,0)),IF('Track Data'!O1883=3,INDEX(Acceleration!$S$4:$S$110,MATCH('Track Data'!S1883,Acceleration!$K$4:$K$110,0)),'Track Data'!AF1883)),'Track Data'!U1883)</f>
        <v>3.9259213927261993</v>
      </c>
      <c r="AH1883" s="16">
        <f>IF(AC1883=0,IF(O1883=2,INDEX(Acceleration!$R$4:$R$110,MATCH('Track Data'!S1883,Acceleration!$K$4:$K$110,0)),IF('Track Data'!O1883=1,INDEX(Acceleration!$Q$4:$Q$110,MATCH('Track Data'!S1883,Acceleration!$K$4:$K$110,0)),'Track Data'!AG1883)),'Track Data'!U1883)</f>
        <v>3.9259213927261993</v>
      </c>
    </row>
    <row r="1884" spans="2:34" x14ac:dyDescent="0.25">
      <c r="B1884" s="16">
        <v>246.20099999999999</v>
      </c>
      <c r="C1884" s="16">
        <v>9154</v>
      </c>
      <c r="D1884" s="16">
        <v>1881</v>
      </c>
      <c r="E1884" s="113">
        <v>199</v>
      </c>
      <c r="F1884" s="113">
        <v>190.3</v>
      </c>
      <c r="G1884" s="113">
        <v>182.2</v>
      </c>
      <c r="H1884" s="113">
        <f t="shared" si="208"/>
        <v>50.611111111111107</v>
      </c>
      <c r="I1884" s="113">
        <v>11.5</v>
      </c>
      <c r="J1884" s="113">
        <v>28.28</v>
      </c>
      <c r="K1884" s="113">
        <v>-18.899999999999999</v>
      </c>
      <c r="L1884" s="183"/>
      <c r="M1884" s="16">
        <v>1881</v>
      </c>
      <c r="N1884" s="16">
        <f t="shared" si="210"/>
        <v>1.8506585030011565E-2</v>
      </c>
      <c r="O1884" s="16">
        <v>5</v>
      </c>
      <c r="P1884" s="16">
        <f t="shared" si="206"/>
        <v>8.1742160278745661</v>
      </c>
      <c r="Q1884" s="16">
        <f t="shared" si="211"/>
        <v>54.034820491102515</v>
      </c>
      <c r="R1884" s="113">
        <f t="shared" si="207"/>
        <v>319.54399999999998</v>
      </c>
      <c r="S1884" s="16">
        <f>IF(S1883=15800,15800,ROUND((((Q1884*60)/'Gearing Calculator'!$C$14)*'Track Data'!P1884),-2))</f>
        <v>13400</v>
      </c>
      <c r="T1884" s="16">
        <f t="shared" si="209"/>
        <v>3.9259213927261993</v>
      </c>
      <c r="U1884" s="16">
        <f>IF(AC1884=100,Braking!$AG$2354,IF(AC1884=50,Braking!$AG$1179,IF(AC1884=75,Braking!$AG$1767,0)))</f>
        <v>0</v>
      </c>
      <c r="V1884" s="16">
        <f>0.5*'Gearing Calculator'!$C$15*'Gearing Calculator'!$C$20*'Gearing Calculator'!$W$20*('Track Data'!Q1884^2)</f>
        <v>309.02759161152034</v>
      </c>
      <c r="W1884" s="16">
        <f>('Gearing Calculator'!$U$9*'Track Data'!T1884)+'Track Data'!V1884</f>
        <v>1354.1078663552346</v>
      </c>
      <c r="X1884" s="16">
        <f>('Gearing Calculator'!$U$9*9.81)*('Gearing Calculator'!$U$16/'Gearing Calculator'!$C$7)-(('Track Data'!W1884)*('Gearing Calculator'!$U$17/'Gearing Calculator'!$C$7))</f>
        <v>663.08103575513042</v>
      </c>
      <c r="Y1884" s="16">
        <f>('Gearing Calculator'!$U$9*9.81)*(('Gearing Calculator'!$C$7-'Gearing Calculator'!$U$16)/'Gearing Calculator'!$C$7)+(('Track Data'!W1884)*('Gearing Calculator'!$U$17/'Gearing Calculator'!$C$7))</f>
        <v>1948.3409642448696</v>
      </c>
      <c r="Z1884" s="16">
        <f>((X1884*COS('Gearing Calculator'!$C$21))/'Gearing Calculator'!$C$22)/2</f>
        <v>20.500368478906633</v>
      </c>
      <c r="AA1884" s="16">
        <f>Y1884/'Gearing Calculator'!$C$24</f>
        <v>27.205374686443935</v>
      </c>
      <c r="AB1884" s="16">
        <f t="shared" si="205"/>
        <v>328.65719857515131</v>
      </c>
      <c r="AC1884" s="16">
        <v>0</v>
      </c>
      <c r="AD1884" s="16">
        <v>-49.842163139380297</v>
      </c>
      <c r="AE1884" s="16">
        <v>1881</v>
      </c>
      <c r="AF1884" s="16">
        <f>IF(AC1884=0,IF(O1884=6,INDEX(Acceleration!$V$4:$V$110,MATCH('Track Data'!S1884,Acceleration!$K$4:$K$110,0)),IF('Track Data'!O1884=5,INDEX(Acceleration!$U$4:$U$110,MATCH('Track Data'!S1884,Acceleration!$K$4:$K$110,0)),1)),U1884)</f>
        <v>3.9259213927261993</v>
      </c>
      <c r="AG1884" s="16">
        <f>IF(AC1884=0,IF(O1884=4,INDEX(Acceleration!$T$4:$T$110,MATCH('Track Data'!S1884,Acceleration!$K$4:$K$110,0)),IF('Track Data'!O1884=3,INDEX(Acceleration!$S$4:$S$110,MATCH('Track Data'!S1884,Acceleration!$K$4:$K$110,0)),'Track Data'!AF1884)),'Track Data'!U1884)</f>
        <v>3.9259213927261993</v>
      </c>
      <c r="AH1884" s="16">
        <f>IF(AC1884=0,IF(O1884=2,INDEX(Acceleration!$R$4:$R$110,MATCH('Track Data'!S1884,Acceleration!$K$4:$K$110,0)),IF('Track Data'!O1884=1,INDEX(Acceleration!$Q$4:$Q$110,MATCH('Track Data'!S1884,Acceleration!$K$4:$K$110,0)),'Track Data'!AG1884)),'Track Data'!U1884)</f>
        <v>3.9259213927261993</v>
      </c>
    </row>
    <row r="1885" spans="2:34" ht="15.75" thickBot="1" x14ac:dyDescent="0.3">
      <c r="B1885" s="16">
        <v>246.22</v>
      </c>
      <c r="C1885" s="16">
        <v>9155</v>
      </c>
      <c r="D1885" s="16">
        <v>1882</v>
      </c>
      <c r="E1885" s="113">
        <v>200</v>
      </c>
      <c r="F1885" s="113">
        <v>190.3</v>
      </c>
      <c r="G1885" s="113">
        <v>182.4</v>
      </c>
      <c r="H1885" s="113">
        <f t="shared" si="208"/>
        <v>50.666666666666664</v>
      </c>
      <c r="I1885" s="113">
        <v>9.4</v>
      </c>
      <c r="J1885" s="113">
        <v>28.17</v>
      </c>
      <c r="K1885" s="113">
        <v>-18.899999999999999</v>
      </c>
      <c r="L1885" s="183"/>
      <c r="M1885" s="16">
        <v>1882</v>
      </c>
      <c r="N1885" s="16">
        <f t="shared" si="210"/>
        <v>1.8506585030011565E-2</v>
      </c>
      <c r="O1885" s="16">
        <v>5</v>
      </c>
      <c r="P1885" s="16">
        <f t="shared" si="206"/>
        <v>8.1742160278745661</v>
      </c>
      <c r="Q1885" s="16">
        <f t="shared" si="211"/>
        <v>54.034820491102515</v>
      </c>
      <c r="R1885" s="113">
        <f t="shared" si="207"/>
        <v>319.54399999999998</v>
      </c>
      <c r="S1885" s="16">
        <f>IF(S1884=15800,15800,ROUND((((Q1885*60)/'Gearing Calculator'!$C$14)*'Track Data'!P1885),-2))</f>
        <v>13400</v>
      </c>
      <c r="T1885" s="16">
        <f t="shared" si="209"/>
        <v>3.9259213927261993</v>
      </c>
      <c r="U1885" s="16">
        <f>IF(AC1885=100,Braking!$AG$2354,IF(AC1885=50,Braking!$AG$1179,IF(AC1885=75,Braking!$AG$1767,0)))</f>
        <v>0</v>
      </c>
      <c r="V1885" s="16">
        <f>0.5*'Gearing Calculator'!$C$15*'Gearing Calculator'!$C$20*'Gearing Calculator'!$W$20*('Track Data'!Q1885^2)</f>
        <v>309.02759161152034</v>
      </c>
      <c r="W1885" s="16">
        <f>('Gearing Calculator'!$U$9*'Track Data'!T1885)+'Track Data'!V1885</f>
        <v>1354.1078663552346</v>
      </c>
      <c r="X1885" s="16">
        <f>('Gearing Calculator'!$U$9*9.81)*('Gearing Calculator'!$U$16/'Gearing Calculator'!$C$7)-(('Track Data'!W1885)*('Gearing Calculator'!$U$17/'Gearing Calculator'!$C$7))</f>
        <v>663.08103575513042</v>
      </c>
      <c r="Y1885" s="16">
        <f>('Gearing Calculator'!$U$9*9.81)*(('Gearing Calculator'!$C$7-'Gearing Calculator'!$U$16)/'Gearing Calculator'!$C$7)+(('Track Data'!W1885)*('Gearing Calculator'!$U$17/'Gearing Calculator'!$C$7))</f>
        <v>1948.3409642448696</v>
      </c>
      <c r="Z1885" s="16">
        <f>((X1885*COS('Gearing Calculator'!$C$21))/'Gearing Calculator'!$C$22)/2</f>
        <v>20.500368478906633</v>
      </c>
      <c r="AA1885" s="16">
        <f>Y1885/'Gearing Calculator'!$C$24</f>
        <v>27.205374686443935</v>
      </c>
      <c r="AB1885" s="16">
        <f t="shared" si="205"/>
        <v>328.65719857515131</v>
      </c>
      <c r="AC1885" s="16">
        <v>0</v>
      </c>
      <c r="AD1885" s="16">
        <v>-49.842163139380297</v>
      </c>
      <c r="AE1885" s="16">
        <v>1882</v>
      </c>
      <c r="AF1885" s="16">
        <f>IF(AC1885=0,IF(O1885=6,INDEX(Acceleration!$V$4:$V$110,MATCH('Track Data'!S1885,Acceleration!$K$4:$K$110,0)),IF('Track Data'!O1885=5,INDEX(Acceleration!$U$4:$U$110,MATCH('Track Data'!S1885,Acceleration!$K$4:$K$110,0)),1)),U1885)</f>
        <v>3.9259213927261993</v>
      </c>
      <c r="AG1885" s="16">
        <f>IF(AC1885=0,IF(O1885=4,INDEX(Acceleration!$T$4:$T$110,MATCH('Track Data'!S1885,Acceleration!$K$4:$K$110,0)),IF('Track Data'!O1885=3,INDEX(Acceleration!$S$4:$S$110,MATCH('Track Data'!S1885,Acceleration!$K$4:$K$110,0)),'Track Data'!AF1885)),'Track Data'!U1885)</f>
        <v>3.9259213927261993</v>
      </c>
      <c r="AH1885" s="16">
        <f>IF(AC1885=0,IF(O1885=2,INDEX(Acceleration!$R$4:$R$110,MATCH('Track Data'!S1885,Acceleration!$K$4:$K$110,0)),IF('Track Data'!O1885=1,INDEX(Acceleration!$Q$4:$Q$110,MATCH('Track Data'!S1885,Acceleration!$K$4:$K$110,0)),'Track Data'!AG1885)),'Track Data'!U1885)</f>
        <v>3.9259213927261993</v>
      </c>
    </row>
    <row r="1886" spans="2:34" x14ac:dyDescent="0.25">
      <c r="B1886" s="16">
        <v>246.239</v>
      </c>
      <c r="C1886" s="16">
        <v>9156</v>
      </c>
      <c r="D1886" s="16">
        <v>1883</v>
      </c>
      <c r="E1886" s="113">
        <v>200</v>
      </c>
      <c r="F1886" s="113">
        <v>190.3</v>
      </c>
      <c r="G1886" s="113">
        <v>182.6</v>
      </c>
      <c r="H1886" s="113">
        <f t="shared" si="208"/>
        <v>50.722222222222221</v>
      </c>
      <c r="I1886" s="113">
        <v>8.5</v>
      </c>
      <c r="J1886" s="113">
        <v>27.16</v>
      </c>
      <c r="K1886" s="113">
        <v>-18.899999999999999</v>
      </c>
      <c r="L1886" s="184" t="s">
        <v>197</v>
      </c>
      <c r="M1886" s="16">
        <v>1883</v>
      </c>
      <c r="N1886" s="16">
        <f t="shared" si="210"/>
        <v>1.8506585030011565E-2</v>
      </c>
      <c r="O1886" s="16">
        <v>5</v>
      </c>
      <c r="P1886" s="16">
        <f t="shared" si="206"/>
        <v>8.1742160278745661</v>
      </c>
      <c r="Q1886" s="16">
        <f t="shared" si="211"/>
        <v>54.034820491102515</v>
      </c>
      <c r="R1886" s="113">
        <f t="shared" si="207"/>
        <v>319.54399999999998</v>
      </c>
      <c r="S1886" s="16">
        <f>IF(S1885=15800,15800,ROUND((((Q1886*60)/'Gearing Calculator'!$C$14)*'Track Data'!P1886),-2))</f>
        <v>13400</v>
      </c>
      <c r="T1886" s="16">
        <f t="shared" si="209"/>
        <v>3.9259213927261993</v>
      </c>
      <c r="U1886" s="16">
        <f>IF(AC1886=100,Braking!$AG$2354,IF(AC1886=50,Braking!$AG$1179,IF(AC1886=75,Braking!$AG$1767,0)))</f>
        <v>0</v>
      </c>
      <c r="V1886" s="16">
        <f>0.5*'Gearing Calculator'!$C$15*'Gearing Calculator'!$C$20*'Gearing Calculator'!$W$20*('Track Data'!Q1886^2)</f>
        <v>309.02759161152034</v>
      </c>
      <c r="W1886" s="16">
        <f>('Gearing Calculator'!$U$9*'Track Data'!T1886)+'Track Data'!V1886</f>
        <v>1354.1078663552346</v>
      </c>
      <c r="X1886" s="16">
        <f>('Gearing Calculator'!$U$9*9.81)*('Gearing Calculator'!$U$16/'Gearing Calculator'!$C$7)-(('Track Data'!W1886)*('Gearing Calculator'!$U$17/'Gearing Calculator'!$C$7))</f>
        <v>663.08103575513042</v>
      </c>
      <c r="Y1886" s="16">
        <f>('Gearing Calculator'!$U$9*9.81)*(('Gearing Calculator'!$C$7-'Gearing Calculator'!$U$16)/'Gearing Calculator'!$C$7)+(('Track Data'!W1886)*('Gearing Calculator'!$U$17/'Gearing Calculator'!$C$7))</f>
        <v>1948.3409642448696</v>
      </c>
      <c r="Z1886" s="16">
        <f>((X1886*COS('Gearing Calculator'!$C$21))/'Gearing Calculator'!$C$22)/2</f>
        <v>20.500368478906633</v>
      </c>
      <c r="AA1886" s="16">
        <f>Y1886/'Gearing Calculator'!$C$24</f>
        <v>27.205374686443935</v>
      </c>
      <c r="AB1886" s="16">
        <f t="shared" si="205"/>
        <v>328.65719857515131</v>
      </c>
      <c r="AC1886" s="16">
        <v>0</v>
      </c>
      <c r="AD1886" s="16">
        <v>0</v>
      </c>
      <c r="AE1886" s="16">
        <v>1883</v>
      </c>
      <c r="AF1886" s="16">
        <f>IF(AC1886=0,IF(O1886=6,INDEX(Acceleration!$V$4:$V$110,MATCH('Track Data'!S1886,Acceleration!$K$4:$K$110,0)),IF('Track Data'!O1886=5,INDEX(Acceleration!$U$4:$U$110,MATCH('Track Data'!S1886,Acceleration!$K$4:$K$110,0)),1)),U1886)</f>
        <v>3.9259213927261993</v>
      </c>
      <c r="AG1886" s="16">
        <f>IF(AC1886=0,IF(O1886=4,INDEX(Acceleration!$T$4:$T$110,MATCH('Track Data'!S1886,Acceleration!$K$4:$K$110,0)),IF('Track Data'!O1886=3,INDEX(Acceleration!$S$4:$S$110,MATCH('Track Data'!S1886,Acceleration!$K$4:$K$110,0)),'Track Data'!AF1886)),'Track Data'!U1886)</f>
        <v>3.9259213927261993</v>
      </c>
      <c r="AH1886" s="16">
        <f>IF(AC1886=0,IF(O1886=2,INDEX(Acceleration!$R$4:$R$110,MATCH('Track Data'!S1886,Acceleration!$K$4:$K$110,0)),IF('Track Data'!O1886=1,INDEX(Acceleration!$Q$4:$Q$110,MATCH('Track Data'!S1886,Acceleration!$K$4:$K$110,0)),'Track Data'!AG1886)),'Track Data'!U1886)</f>
        <v>3.9259213927261993</v>
      </c>
    </row>
    <row r="1887" spans="2:34" x14ac:dyDescent="0.25">
      <c r="B1887" s="16">
        <v>246.25700000000001</v>
      </c>
      <c r="C1887" s="16">
        <v>9157</v>
      </c>
      <c r="D1887" s="16">
        <v>1884</v>
      </c>
      <c r="E1887" s="113">
        <v>200</v>
      </c>
      <c r="F1887" s="113">
        <v>190.6</v>
      </c>
      <c r="G1887" s="113">
        <v>182.9</v>
      </c>
      <c r="H1887" s="113">
        <f t="shared" si="208"/>
        <v>50.805555555555557</v>
      </c>
      <c r="I1887" s="113">
        <v>6.8</v>
      </c>
      <c r="J1887" s="113">
        <v>24.52</v>
      </c>
      <c r="K1887" s="113">
        <v>-24</v>
      </c>
      <c r="L1887" s="185"/>
      <c r="M1887" s="16">
        <v>1884</v>
      </c>
      <c r="N1887" s="16">
        <f t="shared" si="210"/>
        <v>1.8481751091149204E-2</v>
      </c>
      <c r="O1887" s="16">
        <v>5</v>
      </c>
      <c r="P1887" s="16">
        <f t="shared" si="206"/>
        <v>8.1742160278745661</v>
      </c>
      <c r="Q1887" s="16">
        <f t="shared" si="211"/>
        <v>54.107427108402824</v>
      </c>
      <c r="R1887" s="113">
        <f t="shared" si="207"/>
        <v>319.54399999999998</v>
      </c>
      <c r="S1887" s="16">
        <f>IF(S1886=15800,15800,ROUND((((Q1887*60)/'Gearing Calculator'!$C$14)*'Track Data'!P1887),-2))</f>
        <v>13400</v>
      </c>
      <c r="T1887" s="16">
        <f t="shared" si="209"/>
        <v>3.9259213927261993</v>
      </c>
      <c r="U1887" s="16">
        <f>IF(AC1887=100,Braking!$AG$2354,IF(AC1887=50,Braking!$AG$1179,IF(AC1887=75,Braking!$AG$1767,0)))</f>
        <v>0</v>
      </c>
      <c r="V1887" s="16">
        <f>0.5*'Gearing Calculator'!$C$15*'Gearing Calculator'!$C$20*'Gearing Calculator'!$W$20*('Track Data'!Q1887^2)</f>
        <v>309.85863065193263</v>
      </c>
      <c r="W1887" s="16">
        <f>('Gearing Calculator'!$U$9*'Track Data'!T1887)+'Track Data'!V1887</f>
        <v>1354.9389053956468</v>
      </c>
      <c r="X1887" s="16">
        <f>('Gearing Calculator'!$U$9*9.81)*('Gearing Calculator'!$U$16/'Gearing Calculator'!$C$7)-(('Track Data'!W1887)*('Gearing Calculator'!$U$17/'Gearing Calculator'!$C$7))</f>
        <v>662.62806272334728</v>
      </c>
      <c r="Y1887" s="16">
        <f>('Gearing Calculator'!$U$9*9.81)*(('Gearing Calculator'!$C$7-'Gearing Calculator'!$U$16)/'Gearing Calculator'!$C$7)+(('Track Data'!W1887)*('Gearing Calculator'!$U$17/'Gearing Calculator'!$C$7))</f>
        <v>1948.7939372766527</v>
      </c>
      <c r="Z1887" s="16">
        <f>((X1887*COS('Gearing Calculator'!$C$21))/'Gearing Calculator'!$C$22)/2</f>
        <v>20.486363985395538</v>
      </c>
      <c r="AA1887" s="16">
        <f>Y1887/'Gearing Calculator'!$C$24</f>
        <v>27.211699709260099</v>
      </c>
      <c r="AB1887" s="16">
        <f t="shared" si="205"/>
        <v>329.48823761556361</v>
      </c>
      <c r="AC1887" s="16">
        <v>0</v>
      </c>
      <c r="AD1887" s="16">
        <v>0</v>
      </c>
      <c r="AE1887" s="16">
        <v>1884</v>
      </c>
      <c r="AF1887" s="16">
        <f>IF(AC1887=0,IF(O1887=6,INDEX(Acceleration!$V$4:$V$110,MATCH('Track Data'!S1887,Acceleration!$K$4:$K$110,0)),IF('Track Data'!O1887=5,INDEX(Acceleration!$U$4:$U$110,MATCH('Track Data'!S1887,Acceleration!$K$4:$K$110,0)),1)),U1887)</f>
        <v>3.9259213927261993</v>
      </c>
      <c r="AG1887" s="16">
        <f>IF(AC1887=0,IF(O1887=4,INDEX(Acceleration!$T$4:$T$110,MATCH('Track Data'!S1887,Acceleration!$K$4:$K$110,0)),IF('Track Data'!O1887=3,INDEX(Acceleration!$S$4:$S$110,MATCH('Track Data'!S1887,Acceleration!$K$4:$K$110,0)),'Track Data'!AF1887)),'Track Data'!U1887)</f>
        <v>3.9259213927261993</v>
      </c>
      <c r="AH1887" s="16">
        <f>IF(AC1887=0,IF(O1887=2,INDEX(Acceleration!$R$4:$R$110,MATCH('Track Data'!S1887,Acceleration!$K$4:$K$110,0)),IF('Track Data'!O1887=1,INDEX(Acceleration!$Q$4:$Q$110,MATCH('Track Data'!S1887,Acceleration!$K$4:$K$110,0)),'Track Data'!AG1887)),'Track Data'!U1887)</f>
        <v>3.9259213927261993</v>
      </c>
    </row>
    <row r="1888" spans="2:34" x14ac:dyDescent="0.25">
      <c r="B1888" s="16">
        <v>246.27699999999999</v>
      </c>
      <c r="C1888" s="16">
        <v>9158</v>
      </c>
      <c r="D1888" s="16">
        <v>1885</v>
      </c>
      <c r="E1888" s="113">
        <v>199</v>
      </c>
      <c r="F1888" s="113">
        <v>191.1</v>
      </c>
      <c r="G1888" s="113">
        <v>183.2</v>
      </c>
      <c r="H1888" s="113">
        <f t="shared" si="208"/>
        <v>50.888888888888886</v>
      </c>
      <c r="I1888" s="113">
        <v>5.7</v>
      </c>
      <c r="J1888" s="113">
        <v>20.3</v>
      </c>
      <c r="K1888" s="113">
        <v>-31.5</v>
      </c>
      <c r="L1888" s="185"/>
      <c r="M1888" s="16">
        <v>1885</v>
      </c>
      <c r="N1888" s="16">
        <f t="shared" si="210"/>
        <v>1.8457016858521708E-2</v>
      </c>
      <c r="O1888" s="16">
        <v>5</v>
      </c>
      <c r="P1888" s="16">
        <f t="shared" si="206"/>
        <v>8.1742160278745661</v>
      </c>
      <c r="Q1888" s="16">
        <f t="shared" si="211"/>
        <v>54.179936425549421</v>
      </c>
      <c r="R1888" s="113">
        <f t="shared" si="207"/>
        <v>319.54399999999998</v>
      </c>
      <c r="S1888" s="16">
        <f>IF(S1887=15800,15800,ROUND((((Q1888*60)/'Gearing Calculator'!$C$14)*'Track Data'!P1888),-2))</f>
        <v>13400</v>
      </c>
      <c r="T1888" s="16">
        <f t="shared" si="209"/>
        <v>3.9259213927261993</v>
      </c>
      <c r="U1888" s="16">
        <f>IF(AC1888=100,Braking!$AG$2354,IF(AC1888=50,Braking!$AG$1179,IF(AC1888=75,Braking!$AG$1767,0)))</f>
        <v>0</v>
      </c>
      <c r="V1888" s="16">
        <f>0.5*'Gearing Calculator'!$C$15*'Gearing Calculator'!$C$20*'Gearing Calculator'!$W$20*('Track Data'!Q1888^2)</f>
        <v>310.68966969234486</v>
      </c>
      <c r="W1888" s="16">
        <f>('Gearing Calculator'!$U$9*'Track Data'!T1888)+'Track Data'!V1888</f>
        <v>1355.7699444360592</v>
      </c>
      <c r="X1888" s="16">
        <f>('Gearing Calculator'!$U$9*9.81)*('Gearing Calculator'!$U$16/'Gearing Calculator'!$C$7)-(('Track Data'!W1888)*('Gearing Calculator'!$U$17/'Gearing Calculator'!$C$7))</f>
        <v>662.17508969156415</v>
      </c>
      <c r="Y1888" s="16">
        <f>('Gearing Calculator'!$U$9*9.81)*(('Gearing Calculator'!$C$7-'Gearing Calculator'!$U$16)/'Gearing Calculator'!$C$7)+(('Track Data'!W1888)*('Gearing Calculator'!$U$17/'Gearing Calculator'!$C$7))</f>
        <v>1949.2469103084359</v>
      </c>
      <c r="Z1888" s="16">
        <f>((X1888*COS('Gearing Calculator'!$C$21))/'Gearing Calculator'!$C$22)/2</f>
        <v>20.472359491884447</v>
      </c>
      <c r="AA1888" s="16">
        <f>Y1888/'Gearing Calculator'!$C$24</f>
        <v>27.218024732076262</v>
      </c>
      <c r="AB1888" s="16">
        <f t="shared" si="205"/>
        <v>330.31927665597584</v>
      </c>
      <c r="AC1888" s="16">
        <v>0</v>
      </c>
      <c r="AD1888" s="16">
        <v>0</v>
      </c>
      <c r="AE1888" s="16">
        <v>1885</v>
      </c>
      <c r="AF1888" s="16">
        <f>IF(AC1888=0,IF(O1888=6,INDEX(Acceleration!$V$4:$V$110,MATCH('Track Data'!S1888,Acceleration!$K$4:$K$110,0)),IF('Track Data'!O1888=5,INDEX(Acceleration!$U$4:$U$110,MATCH('Track Data'!S1888,Acceleration!$K$4:$K$110,0)),1)),U1888)</f>
        <v>3.9259213927261993</v>
      </c>
      <c r="AG1888" s="16">
        <f>IF(AC1888=0,IF(O1888=4,INDEX(Acceleration!$T$4:$T$110,MATCH('Track Data'!S1888,Acceleration!$K$4:$K$110,0)),IF('Track Data'!O1888=3,INDEX(Acceleration!$S$4:$S$110,MATCH('Track Data'!S1888,Acceleration!$K$4:$K$110,0)),'Track Data'!AF1888)),'Track Data'!U1888)</f>
        <v>3.9259213927261993</v>
      </c>
      <c r="AH1888" s="16">
        <f>IF(AC1888=0,IF(O1888=2,INDEX(Acceleration!$R$4:$R$110,MATCH('Track Data'!S1888,Acceleration!$K$4:$K$110,0)),IF('Track Data'!O1888=1,INDEX(Acceleration!$Q$4:$Q$110,MATCH('Track Data'!S1888,Acceleration!$K$4:$K$110,0)),'Track Data'!AG1888)),'Track Data'!U1888)</f>
        <v>3.9259213927261993</v>
      </c>
    </row>
    <row r="1889" spans="2:34" x14ac:dyDescent="0.25">
      <c r="B1889" s="16">
        <v>246.29599999999999</v>
      </c>
      <c r="C1889" s="16">
        <v>9159</v>
      </c>
      <c r="D1889" s="16">
        <v>1886</v>
      </c>
      <c r="E1889" s="113">
        <v>199</v>
      </c>
      <c r="F1889" s="113">
        <v>191.2</v>
      </c>
      <c r="G1889" s="113">
        <v>183.6</v>
      </c>
      <c r="H1889" s="113">
        <f t="shared" si="208"/>
        <v>51</v>
      </c>
      <c r="I1889" s="113">
        <v>4.5999999999999996</v>
      </c>
      <c r="J1889" s="113">
        <v>20.45</v>
      </c>
      <c r="K1889" s="113">
        <v>-39</v>
      </c>
      <c r="L1889" s="185"/>
      <c r="M1889" s="16">
        <v>1886</v>
      </c>
      <c r="N1889" s="16">
        <f t="shared" si="210"/>
        <v>1.8432381666722598E-2</v>
      </c>
      <c r="O1889" s="16">
        <v>5</v>
      </c>
      <c r="P1889" s="16">
        <f t="shared" si="206"/>
        <v>8.1742160278745661</v>
      </c>
      <c r="Q1889" s="16">
        <f t="shared" si="211"/>
        <v>54.252348832672944</v>
      </c>
      <c r="R1889" s="113">
        <f t="shared" si="207"/>
        <v>319.54399999999998</v>
      </c>
      <c r="S1889" s="16">
        <f>IF(S1888=15800,15800,ROUND((((Q1889*60)/'Gearing Calculator'!$C$14)*'Track Data'!P1889),-2))</f>
        <v>13400</v>
      </c>
      <c r="T1889" s="16">
        <f t="shared" si="209"/>
        <v>3.9259213927261993</v>
      </c>
      <c r="U1889" s="16">
        <f>IF(AC1889=100,Braking!$AG$2354,IF(AC1889=50,Braking!$AG$1179,IF(AC1889=75,Braking!$AG$1767,0)))</f>
        <v>0</v>
      </c>
      <c r="V1889" s="16">
        <f>0.5*'Gearing Calculator'!$C$15*'Gearing Calculator'!$C$20*'Gearing Calculator'!$W$20*('Track Data'!Q1889^2)</f>
        <v>311.52070873275716</v>
      </c>
      <c r="W1889" s="16">
        <f>('Gearing Calculator'!$U$9*'Track Data'!T1889)+'Track Data'!V1889</f>
        <v>1356.6009834764714</v>
      </c>
      <c r="X1889" s="16">
        <f>('Gearing Calculator'!$U$9*9.81)*('Gearing Calculator'!$U$16/'Gearing Calculator'!$C$7)-(('Track Data'!W1889)*('Gearing Calculator'!$U$17/'Gearing Calculator'!$C$7))</f>
        <v>661.72211665978102</v>
      </c>
      <c r="Y1889" s="16">
        <f>('Gearing Calculator'!$U$9*9.81)*(('Gearing Calculator'!$C$7-'Gearing Calculator'!$U$16)/'Gearing Calculator'!$C$7)+(('Track Data'!W1889)*('Gearing Calculator'!$U$17/'Gearing Calculator'!$C$7))</f>
        <v>1949.699883340219</v>
      </c>
      <c r="Z1889" s="16">
        <f>((X1889*COS('Gearing Calculator'!$C$21))/'Gearing Calculator'!$C$22)/2</f>
        <v>20.458354998373355</v>
      </c>
      <c r="AA1889" s="16">
        <f>Y1889/'Gearing Calculator'!$C$24</f>
        <v>27.224349754892426</v>
      </c>
      <c r="AB1889" s="16">
        <f t="shared" si="205"/>
        <v>331.15031569638813</v>
      </c>
      <c r="AC1889" s="16">
        <v>0</v>
      </c>
      <c r="AD1889" s="16">
        <v>0</v>
      </c>
      <c r="AE1889" s="16">
        <v>1886</v>
      </c>
      <c r="AF1889" s="16">
        <f>IF(AC1889=0,IF(O1889=6,INDEX(Acceleration!$V$4:$V$110,MATCH('Track Data'!S1889,Acceleration!$K$4:$K$110,0)),IF('Track Data'!O1889=5,INDEX(Acceleration!$U$4:$U$110,MATCH('Track Data'!S1889,Acceleration!$K$4:$K$110,0)),1)),U1889)</f>
        <v>3.9259213927261993</v>
      </c>
      <c r="AG1889" s="16">
        <f>IF(AC1889=0,IF(O1889=4,INDEX(Acceleration!$T$4:$T$110,MATCH('Track Data'!S1889,Acceleration!$K$4:$K$110,0)),IF('Track Data'!O1889=3,INDEX(Acceleration!$S$4:$S$110,MATCH('Track Data'!S1889,Acceleration!$K$4:$K$110,0)),'Track Data'!AF1889)),'Track Data'!U1889)</f>
        <v>3.9259213927261993</v>
      </c>
      <c r="AH1889" s="16">
        <f>IF(AC1889=0,IF(O1889=2,INDEX(Acceleration!$R$4:$R$110,MATCH('Track Data'!S1889,Acceleration!$K$4:$K$110,0)),IF('Track Data'!O1889=1,INDEX(Acceleration!$Q$4:$Q$110,MATCH('Track Data'!S1889,Acceleration!$K$4:$K$110,0)),'Track Data'!AG1889)),'Track Data'!U1889)</f>
        <v>3.9259213927261993</v>
      </c>
    </row>
    <row r="1890" spans="2:34" x14ac:dyDescent="0.25">
      <c r="B1890" s="16">
        <v>246.31399999999999</v>
      </c>
      <c r="C1890" s="16">
        <v>9160</v>
      </c>
      <c r="D1890" s="16">
        <v>1887</v>
      </c>
      <c r="E1890" s="113">
        <v>199</v>
      </c>
      <c r="F1890" s="113">
        <v>191.1</v>
      </c>
      <c r="G1890" s="113">
        <v>183.9</v>
      </c>
      <c r="H1890" s="113">
        <f t="shared" si="208"/>
        <v>51.083333333333336</v>
      </c>
      <c r="I1890" s="113">
        <v>4.5</v>
      </c>
      <c r="J1890" s="113">
        <v>20.36</v>
      </c>
      <c r="K1890" s="113">
        <v>-46.5</v>
      </c>
      <c r="L1890" s="185"/>
      <c r="M1890" s="16">
        <v>1887</v>
      </c>
      <c r="N1890" s="16">
        <f t="shared" si="210"/>
        <v>1.8407844856545848E-2</v>
      </c>
      <c r="O1890" s="16">
        <v>5</v>
      </c>
      <c r="P1890" s="16">
        <f t="shared" si="206"/>
        <v>8.1742160278745661</v>
      </c>
      <c r="Q1890" s="16">
        <f t="shared" si="211"/>
        <v>54.324664717303889</v>
      </c>
      <c r="R1890" s="113">
        <f t="shared" si="207"/>
        <v>319.54399999999998</v>
      </c>
      <c r="S1890" s="16">
        <f>IF(S1889=15800,15800,ROUND((((Q1890*60)/'Gearing Calculator'!$C$14)*'Track Data'!P1890),-2))</f>
        <v>13500</v>
      </c>
      <c r="T1890" s="16">
        <f t="shared" si="209"/>
        <v>3.879554995965909</v>
      </c>
      <c r="U1890" s="16">
        <f>IF(AC1890=100,Braking!$AG$2354,IF(AC1890=50,Braking!$AG$1179,IF(AC1890=75,Braking!$AG$1767,0)))</f>
        <v>0</v>
      </c>
      <c r="V1890" s="16">
        <f>0.5*'Gearing Calculator'!$C$15*'Gearing Calculator'!$C$20*'Gearing Calculator'!$W$20*('Track Data'!Q1890^2)</f>
        <v>312.35174777316951</v>
      </c>
      <c r="W1890" s="16">
        <f>('Gearing Calculator'!$U$9*'Track Data'!T1890)+'Track Data'!V1890</f>
        <v>1345.0892876992946</v>
      </c>
      <c r="X1890" s="16">
        <f>('Gearing Calculator'!$U$9*9.81)*('Gearing Calculator'!$U$16/'Gearing Calculator'!$C$7)-(('Track Data'!W1890)*('Gearing Calculator'!$U$17/'Gearing Calculator'!$C$7))</f>
        <v>667.99677703502175</v>
      </c>
      <c r="Y1890" s="16">
        <f>('Gearing Calculator'!$U$9*9.81)*(('Gearing Calculator'!$C$7-'Gearing Calculator'!$U$16)/'Gearing Calculator'!$C$7)+(('Track Data'!W1890)*('Gearing Calculator'!$U$17/'Gearing Calculator'!$C$7))</f>
        <v>1943.4252229649783</v>
      </c>
      <c r="Z1890" s="16">
        <f>((X1890*COS('Gearing Calculator'!$C$21))/'Gearing Calculator'!$C$22)/2</f>
        <v>20.6523476521158</v>
      </c>
      <c r="AA1890" s="16">
        <f>Y1890/'Gearing Calculator'!$C$24</f>
        <v>27.136734450553348</v>
      </c>
      <c r="AB1890" s="16">
        <f t="shared" si="205"/>
        <v>331.74952275299904</v>
      </c>
      <c r="AC1890" s="16">
        <v>0</v>
      </c>
      <c r="AD1890" s="16">
        <v>0</v>
      </c>
      <c r="AE1890" s="16">
        <v>1887</v>
      </c>
      <c r="AF1890" s="16">
        <f>IF(AC1890=0,IF(O1890=6,INDEX(Acceleration!$V$4:$V$110,MATCH('Track Data'!S1890,Acceleration!$K$4:$K$110,0)),IF('Track Data'!O1890=5,INDEX(Acceleration!$U$4:$U$110,MATCH('Track Data'!S1890,Acceleration!$K$4:$K$110,0)),1)),U1890)</f>
        <v>3.879554995965909</v>
      </c>
      <c r="AG1890" s="16">
        <f>IF(AC1890=0,IF(O1890=4,INDEX(Acceleration!$T$4:$T$110,MATCH('Track Data'!S1890,Acceleration!$K$4:$K$110,0)),IF('Track Data'!O1890=3,INDEX(Acceleration!$S$4:$S$110,MATCH('Track Data'!S1890,Acceleration!$K$4:$K$110,0)),'Track Data'!AF1890)),'Track Data'!U1890)</f>
        <v>3.879554995965909</v>
      </c>
      <c r="AH1890" s="16">
        <f>IF(AC1890=0,IF(O1890=2,INDEX(Acceleration!$R$4:$R$110,MATCH('Track Data'!S1890,Acceleration!$K$4:$K$110,0)),IF('Track Data'!O1890=1,INDEX(Acceleration!$Q$4:$Q$110,MATCH('Track Data'!S1890,Acceleration!$K$4:$K$110,0)),'Track Data'!AG1890)),'Track Data'!U1890)</f>
        <v>3.879554995965909</v>
      </c>
    </row>
    <row r="1891" spans="2:34" x14ac:dyDescent="0.25">
      <c r="B1891" s="16">
        <v>246.333</v>
      </c>
      <c r="C1891" s="16">
        <v>9161</v>
      </c>
      <c r="D1891" s="16">
        <v>1888</v>
      </c>
      <c r="E1891" s="113">
        <v>199</v>
      </c>
      <c r="F1891" s="113">
        <v>191.2</v>
      </c>
      <c r="G1891" s="113">
        <v>184.2</v>
      </c>
      <c r="H1891" s="113">
        <f t="shared" si="208"/>
        <v>51.166666666666664</v>
      </c>
      <c r="I1891" s="113">
        <v>4.7</v>
      </c>
      <c r="J1891" s="113">
        <v>20.2</v>
      </c>
      <c r="K1891" s="113">
        <v>-48.3</v>
      </c>
      <c r="L1891" s="185"/>
      <c r="M1891" s="16">
        <v>1888</v>
      </c>
      <c r="N1891" s="16">
        <f t="shared" si="210"/>
        <v>1.8383693840562362E-2</v>
      </c>
      <c r="O1891" s="16">
        <v>5</v>
      </c>
      <c r="P1891" s="16">
        <f t="shared" si="206"/>
        <v>8.1742160278745661</v>
      </c>
      <c r="Q1891" s="16">
        <f t="shared" si="211"/>
        <v>54.396032085432608</v>
      </c>
      <c r="R1891" s="113">
        <f t="shared" si="207"/>
        <v>319.54399999999998</v>
      </c>
      <c r="S1891" s="16">
        <f>IF(S1890=15800,15800,ROUND((((Q1891*60)/'Gearing Calculator'!$C$14)*'Track Data'!P1891),-2))</f>
        <v>13500</v>
      </c>
      <c r="T1891" s="16">
        <f t="shared" si="209"/>
        <v>3.879554995965909</v>
      </c>
      <c r="U1891" s="16">
        <f>IF(AC1891=100,Braking!$AG$2354,IF(AC1891=50,Braking!$AG$1179,IF(AC1891=75,Braking!$AG$1767,0)))</f>
        <v>0</v>
      </c>
      <c r="V1891" s="16">
        <f>0.5*'Gearing Calculator'!$C$15*'Gearing Calculator'!$C$20*'Gearing Calculator'!$W$20*('Track Data'!Q1891^2)</f>
        <v>313.17297197471549</v>
      </c>
      <c r="W1891" s="16">
        <f>('Gearing Calculator'!$U$9*'Track Data'!T1891)+'Track Data'!V1891</f>
        <v>1345.9105119008404</v>
      </c>
      <c r="X1891" s="16">
        <f>('Gearing Calculator'!$U$9*9.81)*('Gearing Calculator'!$U$16/'Gearing Calculator'!$C$7)-(('Track Data'!W1891)*('Gearing Calculator'!$U$17/'Gearing Calculator'!$C$7))</f>
        <v>667.54915376071278</v>
      </c>
      <c r="Y1891" s="16">
        <f>('Gearing Calculator'!$U$9*9.81)*(('Gearing Calculator'!$C$7-'Gearing Calculator'!$U$16)/'Gearing Calculator'!$C$7)+(('Track Data'!W1891)*('Gearing Calculator'!$U$17/'Gearing Calculator'!$C$7))</f>
        <v>1943.8728462392874</v>
      </c>
      <c r="Z1891" s="16">
        <f>((X1891*COS('Gearing Calculator'!$C$21))/'Gearing Calculator'!$C$22)/2</f>
        <v>20.638508556185968</v>
      </c>
      <c r="AA1891" s="16">
        <f>Y1891/'Gearing Calculator'!$C$24</f>
        <v>27.14298477281184</v>
      </c>
      <c r="AB1891" s="16">
        <f t="shared" si="205"/>
        <v>332.57074695454503</v>
      </c>
      <c r="AC1891" s="16">
        <v>0</v>
      </c>
      <c r="AD1891" s="16">
        <v>0</v>
      </c>
      <c r="AE1891" s="16">
        <v>1888</v>
      </c>
      <c r="AF1891" s="16">
        <f>IF(AC1891=0,IF(O1891=6,INDEX(Acceleration!$V$4:$V$110,MATCH('Track Data'!S1891,Acceleration!$K$4:$K$110,0)),IF('Track Data'!O1891=5,INDEX(Acceleration!$U$4:$U$110,MATCH('Track Data'!S1891,Acceleration!$K$4:$K$110,0)),1)),U1891)</f>
        <v>3.879554995965909</v>
      </c>
      <c r="AG1891" s="16">
        <f>IF(AC1891=0,IF(O1891=4,INDEX(Acceleration!$T$4:$T$110,MATCH('Track Data'!S1891,Acceleration!$K$4:$K$110,0)),IF('Track Data'!O1891=3,INDEX(Acceleration!$S$4:$S$110,MATCH('Track Data'!S1891,Acceleration!$K$4:$K$110,0)),'Track Data'!AF1891)),'Track Data'!U1891)</f>
        <v>3.879554995965909</v>
      </c>
      <c r="AH1891" s="16">
        <f>IF(AC1891=0,IF(O1891=2,INDEX(Acceleration!$R$4:$R$110,MATCH('Track Data'!S1891,Acceleration!$K$4:$K$110,0)),IF('Track Data'!O1891=1,INDEX(Acceleration!$Q$4:$Q$110,MATCH('Track Data'!S1891,Acceleration!$K$4:$K$110,0)),'Track Data'!AG1891)),'Track Data'!U1891)</f>
        <v>3.879554995965909</v>
      </c>
    </row>
    <row r="1892" spans="2:34" x14ac:dyDescent="0.25">
      <c r="B1892" s="16">
        <v>246.352</v>
      </c>
      <c r="C1892" s="16">
        <v>9162</v>
      </c>
      <c r="D1892" s="16">
        <v>1889</v>
      </c>
      <c r="E1892" s="113">
        <v>198</v>
      </c>
      <c r="F1892" s="113">
        <v>191.5</v>
      </c>
      <c r="G1892" s="113">
        <v>184.6</v>
      </c>
      <c r="H1892" s="113">
        <f t="shared" si="208"/>
        <v>51.277777777777771</v>
      </c>
      <c r="I1892" s="113">
        <v>5.6</v>
      </c>
      <c r="J1892" s="113">
        <v>17.05</v>
      </c>
      <c r="K1892" s="113">
        <v>-47.5</v>
      </c>
      <c r="L1892" s="185"/>
      <c r="M1892" s="16">
        <v>1889</v>
      </c>
      <c r="N1892" s="16">
        <f t="shared" si="210"/>
        <v>1.8359637633925001E-2</v>
      </c>
      <c r="O1892" s="16">
        <v>5</v>
      </c>
      <c r="P1892" s="16">
        <f t="shared" si="206"/>
        <v>8.1742160278745661</v>
      </c>
      <c r="Q1892" s="16">
        <f t="shared" si="211"/>
        <v>54.467305942476585</v>
      </c>
      <c r="R1892" s="113">
        <f t="shared" si="207"/>
        <v>319.54399999999998</v>
      </c>
      <c r="S1892" s="16">
        <f>IF(S1891=15800,15800,ROUND((((Q1892*60)/'Gearing Calculator'!$C$14)*'Track Data'!P1892),-2))</f>
        <v>13500</v>
      </c>
      <c r="T1892" s="16">
        <f t="shared" si="209"/>
        <v>3.879554995965909</v>
      </c>
      <c r="U1892" s="16">
        <f>IF(AC1892=100,Braking!$AG$2354,IF(AC1892=50,Braking!$AG$1179,IF(AC1892=75,Braking!$AG$1767,0)))</f>
        <v>0</v>
      </c>
      <c r="V1892" s="16">
        <f>0.5*'Gearing Calculator'!$C$15*'Gearing Calculator'!$C$20*'Gearing Calculator'!$W$20*('Track Data'!Q1892^2)</f>
        <v>313.99419617626154</v>
      </c>
      <c r="W1892" s="16">
        <f>('Gearing Calculator'!$U$9*'Track Data'!T1892)+'Track Data'!V1892</f>
        <v>1346.7317361023865</v>
      </c>
      <c r="X1892" s="16">
        <f>('Gearing Calculator'!$U$9*9.81)*('Gearing Calculator'!$U$16/'Gearing Calculator'!$C$7)-(('Track Data'!W1892)*('Gearing Calculator'!$U$17/'Gearing Calculator'!$C$7))</f>
        <v>667.1015304864037</v>
      </c>
      <c r="Y1892" s="16">
        <f>('Gearing Calculator'!$U$9*9.81)*(('Gearing Calculator'!$C$7-'Gearing Calculator'!$U$16)/'Gearing Calculator'!$C$7)+(('Track Data'!W1892)*('Gearing Calculator'!$U$17/'Gearing Calculator'!$C$7))</f>
        <v>1944.3204695135964</v>
      </c>
      <c r="Z1892" s="16">
        <f>((X1892*COS('Gearing Calculator'!$C$21))/'Gearing Calculator'!$C$22)/2</f>
        <v>20.624669460256133</v>
      </c>
      <c r="AA1892" s="16">
        <f>Y1892/'Gearing Calculator'!$C$24</f>
        <v>27.149235095070331</v>
      </c>
      <c r="AB1892" s="16">
        <f t="shared" si="205"/>
        <v>333.39197115609107</v>
      </c>
      <c r="AC1892" s="16">
        <v>0</v>
      </c>
      <c r="AD1892" s="16">
        <v>0</v>
      </c>
      <c r="AE1892" s="16">
        <v>1889</v>
      </c>
      <c r="AF1892" s="16">
        <f>IF(AC1892=0,IF(O1892=6,INDEX(Acceleration!$V$4:$V$110,MATCH('Track Data'!S1892,Acceleration!$K$4:$K$110,0)),IF('Track Data'!O1892=5,INDEX(Acceleration!$U$4:$U$110,MATCH('Track Data'!S1892,Acceleration!$K$4:$K$110,0)),1)),U1892)</f>
        <v>3.879554995965909</v>
      </c>
      <c r="AG1892" s="16">
        <f>IF(AC1892=0,IF(O1892=4,INDEX(Acceleration!$T$4:$T$110,MATCH('Track Data'!S1892,Acceleration!$K$4:$K$110,0)),IF('Track Data'!O1892=3,INDEX(Acceleration!$S$4:$S$110,MATCH('Track Data'!S1892,Acceleration!$K$4:$K$110,0)),'Track Data'!AF1892)),'Track Data'!U1892)</f>
        <v>3.879554995965909</v>
      </c>
      <c r="AH1892" s="16">
        <f>IF(AC1892=0,IF(O1892=2,INDEX(Acceleration!$R$4:$R$110,MATCH('Track Data'!S1892,Acceleration!$K$4:$K$110,0)),IF('Track Data'!O1892=1,INDEX(Acceleration!$Q$4:$Q$110,MATCH('Track Data'!S1892,Acceleration!$K$4:$K$110,0)),'Track Data'!AG1892)),'Track Data'!U1892)</f>
        <v>3.879554995965909</v>
      </c>
    </row>
    <row r="1893" spans="2:34" x14ac:dyDescent="0.25">
      <c r="B1893" s="16">
        <v>246.37100000000001</v>
      </c>
      <c r="C1893" s="16">
        <v>9164</v>
      </c>
      <c r="D1893" s="16">
        <v>1890</v>
      </c>
      <c r="E1893" s="113">
        <v>198</v>
      </c>
      <c r="F1893" s="113">
        <v>191.7</v>
      </c>
      <c r="G1893" s="113">
        <v>184.9</v>
      </c>
      <c r="H1893" s="113">
        <f t="shared" si="208"/>
        <v>51.361111111111114</v>
      </c>
      <c r="I1893" s="113">
        <v>5.3</v>
      </c>
      <c r="J1893" s="113">
        <v>16.54</v>
      </c>
      <c r="K1893" s="113">
        <v>-46.5</v>
      </c>
      <c r="L1893" s="185"/>
      <c r="M1893" s="16">
        <v>1890</v>
      </c>
      <c r="N1893" s="16">
        <f t="shared" si="210"/>
        <v>1.8335675617933003E-2</v>
      </c>
      <c r="O1893" s="16">
        <v>5</v>
      </c>
      <c r="P1893" s="16">
        <f t="shared" si="206"/>
        <v>8.1742160278745661</v>
      </c>
      <c r="Q1893" s="16">
        <f t="shared" si="211"/>
        <v>54.538486655051926</v>
      </c>
      <c r="R1893" s="113">
        <f t="shared" si="207"/>
        <v>319.54399999999998</v>
      </c>
      <c r="S1893" s="16">
        <f>IF(S1892=15800,15800,ROUND((((Q1893*60)/'Gearing Calculator'!$C$14)*'Track Data'!P1893),-2))</f>
        <v>13500</v>
      </c>
      <c r="T1893" s="16">
        <f t="shared" si="209"/>
        <v>3.879554995965909</v>
      </c>
      <c r="U1893" s="16">
        <f>IF(AC1893=100,Braking!$AG$2354,IF(AC1893=50,Braking!$AG$1179,IF(AC1893=75,Braking!$AG$1767,0)))</f>
        <v>0</v>
      </c>
      <c r="V1893" s="16">
        <f>0.5*'Gearing Calculator'!$C$15*'Gearing Calculator'!$C$20*'Gearing Calculator'!$W$20*('Track Data'!Q1893^2)</f>
        <v>314.81542037780758</v>
      </c>
      <c r="W1893" s="16">
        <f>('Gearing Calculator'!$U$9*'Track Data'!T1893)+'Track Data'!V1893</f>
        <v>1347.5529603039327</v>
      </c>
      <c r="X1893" s="16">
        <f>('Gearing Calculator'!$U$9*9.81)*('Gearing Calculator'!$U$16/'Gearing Calculator'!$C$7)-(('Track Data'!W1893)*('Gearing Calculator'!$U$17/'Gearing Calculator'!$C$7))</f>
        <v>666.65390721209462</v>
      </c>
      <c r="Y1893" s="16">
        <f>('Gearing Calculator'!$U$9*9.81)*(('Gearing Calculator'!$C$7-'Gearing Calculator'!$U$16)/'Gearing Calculator'!$C$7)+(('Track Data'!W1893)*('Gearing Calculator'!$U$17/'Gearing Calculator'!$C$7))</f>
        <v>1944.7680927879055</v>
      </c>
      <c r="Z1893" s="16">
        <f>((X1893*COS('Gearing Calculator'!$C$21))/'Gearing Calculator'!$C$22)/2</f>
        <v>20.610830364326294</v>
      </c>
      <c r="AA1893" s="16">
        <f>Y1893/'Gearing Calculator'!$C$24</f>
        <v>27.155485417328823</v>
      </c>
      <c r="AB1893" s="16">
        <f t="shared" si="205"/>
        <v>334.21319535763712</v>
      </c>
      <c r="AC1893" s="16">
        <v>0</v>
      </c>
      <c r="AD1893" s="16">
        <v>0</v>
      </c>
      <c r="AE1893" s="16">
        <v>1890</v>
      </c>
      <c r="AF1893" s="16">
        <f>IF(AC1893=0,IF(O1893=6,INDEX(Acceleration!$V$4:$V$110,MATCH('Track Data'!S1893,Acceleration!$K$4:$K$110,0)),IF('Track Data'!O1893=5,INDEX(Acceleration!$U$4:$U$110,MATCH('Track Data'!S1893,Acceleration!$K$4:$K$110,0)),1)),U1893)</f>
        <v>3.879554995965909</v>
      </c>
      <c r="AG1893" s="16">
        <f>IF(AC1893=0,IF(O1893=4,INDEX(Acceleration!$T$4:$T$110,MATCH('Track Data'!S1893,Acceleration!$K$4:$K$110,0)),IF('Track Data'!O1893=3,INDEX(Acceleration!$S$4:$S$110,MATCH('Track Data'!S1893,Acceleration!$K$4:$K$110,0)),'Track Data'!AF1893)),'Track Data'!U1893)</f>
        <v>3.879554995965909</v>
      </c>
      <c r="AH1893" s="16">
        <f>IF(AC1893=0,IF(O1893=2,INDEX(Acceleration!$R$4:$R$110,MATCH('Track Data'!S1893,Acceleration!$K$4:$K$110,0)),IF('Track Data'!O1893=1,INDEX(Acceleration!$Q$4:$Q$110,MATCH('Track Data'!S1893,Acceleration!$K$4:$K$110,0)),'Track Data'!AG1893)),'Track Data'!U1893)</f>
        <v>3.879554995965909</v>
      </c>
    </row>
    <row r="1894" spans="2:34" x14ac:dyDescent="0.25">
      <c r="B1894" s="16">
        <v>246.38900000000001</v>
      </c>
      <c r="C1894" s="16">
        <v>9164</v>
      </c>
      <c r="D1894" s="16">
        <v>1891</v>
      </c>
      <c r="E1894" s="113">
        <v>198</v>
      </c>
      <c r="F1894" s="113">
        <v>191.8</v>
      </c>
      <c r="G1894" s="113">
        <v>185.1</v>
      </c>
      <c r="H1894" s="113">
        <f t="shared" si="208"/>
        <v>51.416666666666664</v>
      </c>
      <c r="I1894" s="113">
        <v>5.0999999999999996</v>
      </c>
      <c r="J1894" s="113">
        <v>16.52</v>
      </c>
      <c r="K1894" s="113">
        <v>-46.1</v>
      </c>
      <c r="L1894" s="185"/>
      <c r="M1894" s="16">
        <v>1891</v>
      </c>
      <c r="N1894" s="16">
        <f t="shared" si="210"/>
        <v>1.8311807179523354E-2</v>
      </c>
      <c r="O1894" s="16">
        <v>5</v>
      </c>
      <c r="P1894" s="16">
        <f t="shared" si="206"/>
        <v>8.1742160278745661</v>
      </c>
      <c r="Q1894" s="16">
        <f t="shared" si="211"/>
        <v>54.609574587385396</v>
      </c>
      <c r="R1894" s="113">
        <f t="shared" si="207"/>
        <v>319.54399999999998</v>
      </c>
      <c r="S1894" s="16">
        <f>IF(S1893=15800,15800,ROUND((((Q1894*60)/'Gearing Calculator'!$C$14)*'Track Data'!P1894),-2))</f>
        <v>13500</v>
      </c>
      <c r="T1894" s="16">
        <f t="shared" si="209"/>
        <v>3.879554995965909</v>
      </c>
      <c r="U1894" s="16">
        <f>IF(AC1894=100,Braking!$AG$2354,IF(AC1894=50,Braking!$AG$1179,IF(AC1894=75,Braking!$AG$1767,0)))</f>
        <v>0</v>
      </c>
      <c r="V1894" s="16">
        <f>0.5*'Gearing Calculator'!$C$15*'Gearing Calculator'!$C$20*'Gearing Calculator'!$W$20*('Track Data'!Q1894^2)</f>
        <v>315.63664457935369</v>
      </c>
      <c r="W1894" s="16">
        <f>('Gearing Calculator'!$U$9*'Track Data'!T1894)+'Track Data'!V1894</f>
        <v>1348.3741845054788</v>
      </c>
      <c r="X1894" s="16">
        <f>('Gearing Calculator'!$U$9*9.81)*('Gearing Calculator'!$U$16/'Gearing Calculator'!$C$7)-(('Track Data'!W1894)*('Gearing Calculator'!$U$17/'Gearing Calculator'!$C$7))</f>
        <v>666.20628393778554</v>
      </c>
      <c r="Y1894" s="16">
        <f>('Gearing Calculator'!$U$9*9.81)*(('Gearing Calculator'!$C$7-'Gearing Calculator'!$U$16)/'Gearing Calculator'!$C$7)+(('Track Data'!W1894)*('Gearing Calculator'!$U$17/'Gearing Calculator'!$C$7))</f>
        <v>1945.2157160622146</v>
      </c>
      <c r="Z1894" s="16">
        <f>((X1894*COS('Gearing Calculator'!$C$21))/'Gearing Calculator'!$C$22)/2</f>
        <v>20.596991268396458</v>
      </c>
      <c r="AA1894" s="16">
        <f>Y1894/'Gearing Calculator'!$C$24</f>
        <v>27.161735739587314</v>
      </c>
      <c r="AB1894" s="16">
        <f t="shared" si="205"/>
        <v>335.03441955918322</v>
      </c>
      <c r="AC1894" s="16">
        <v>0</v>
      </c>
      <c r="AD1894" s="16">
        <v>0</v>
      </c>
      <c r="AE1894" s="16">
        <v>1891</v>
      </c>
      <c r="AF1894" s="16">
        <f>IF(AC1894=0,IF(O1894=6,INDEX(Acceleration!$V$4:$V$110,MATCH('Track Data'!S1894,Acceleration!$K$4:$K$110,0)),IF('Track Data'!O1894=5,INDEX(Acceleration!$U$4:$U$110,MATCH('Track Data'!S1894,Acceleration!$K$4:$K$110,0)),1)),U1894)</f>
        <v>3.879554995965909</v>
      </c>
      <c r="AG1894" s="16">
        <f>IF(AC1894=0,IF(O1894=4,INDEX(Acceleration!$T$4:$T$110,MATCH('Track Data'!S1894,Acceleration!$K$4:$K$110,0)),IF('Track Data'!O1894=3,INDEX(Acceleration!$S$4:$S$110,MATCH('Track Data'!S1894,Acceleration!$K$4:$K$110,0)),'Track Data'!AF1894)),'Track Data'!U1894)</f>
        <v>3.879554995965909</v>
      </c>
      <c r="AH1894" s="16">
        <f>IF(AC1894=0,IF(O1894=2,INDEX(Acceleration!$R$4:$R$110,MATCH('Track Data'!S1894,Acceleration!$K$4:$K$110,0)),IF('Track Data'!O1894=1,INDEX(Acceleration!$Q$4:$Q$110,MATCH('Track Data'!S1894,Acceleration!$K$4:$K$110,0)),'Track Data'!AG1894)),'Track Data'!U1894)</f>
        <v>3.879554995965909</v>
      </c>
    </row>
    <row r="1895" spans="2:34" x14ac:dyDescent="0.25">
      <c r="B1895" s="16">
        <v>246.40799999999999</v>
      </c>
      <c r="C1895" s="16">
        <v>9165</v>
      </c>
      <c r="D1895" s="16">
        <v>1892</v>
      </c>
      <c r="E1895" s="113">
        <v>198</v>
      </c>
      <c r="F1895" s="113">
        <v>192</v>
      </c>
      <c r="G1895" s="113">
        <v>185.4</v>
      </c>
      <c r="H1895" s="113">
        <f t="shared" si="208"/>
        <v>51.5</v>
      </c>
      <c r="I1895" s="113">
        <v>4.7</v>
      </c>
      <c r="J1895" s="113">
        <v>19.28</v>
      </c>
      <c r="K1895" s="113">
        <v>-45.2</v>
      </c>
      <c r="L1895" s="185"/>
      <c r="M1895" s="16">
        <v>1892</v>
      </c>
      <c r="N1895" s="16">
        <f t="shared" si="210"/>
        <v>1.8288031711204925E-2</v>
      </c>
      <c r="O1895" s="16">
        <v>5</v>
      </c>
      <c r="P1895" s="16">
        <f t="shared" si="206"/>
        <v>8.1742160278745661</v>
      </c>
      <c r="Q1895" s="16">
        <f t="shared" si="211"/>
        <v>54.680570101336187</v>
      </c>
      <c r="R1895" s="113">
        <f t="shared" si="207"/>
        <v>319.54399999999998</v>
      </c>
      <c r="S1895" s="16">
        <f>IF(S1894=15800,15800,ROUND((((Q1895*60)/'Gearing Calculator'!$C$14)*'Track Data'!P1895),-2))</f>
        <v>13600</v>
      </c>
      <c r="T1895" s="16">
        <f t="shared" si="209"/>
        <v>3.8336143672031953</v>
      </c>
      <c r="U1895" s="16">
        <f>IF(AC1895=100,Braking!$AG$2354,IF(AC1895=50,Braking!$AG$1179,IF(AC1895=75,Braking!$AG$1767,0)))</f>
        <v>0</v>
      </c>
      <c r="V1895" s="16">
        <f>0.5*'Gearing Calculator'!$C$15*'Gearing Calculator'!$C$20*'Gearing Calculator'!$W$20*('Track Data'!Q1895^2)</f>
        <v>316.45786878089979</v>
      </c>
      <c r="W1895" s="16">
        <f>('Gearing Calculator'!$U$9*'Track Data'!T1895)+'Track Data'!V1895</f>
        <v>1336.9660133303903</v>
      </c>
      <c r="X1895" s="16">
        <f>('Gearing Calculator'!$U$9*9.81)*('Gearing Calculator'!$U$16/'Gearing Calculator'!$C$7)-(('Track Data'!W1895)*('Gearing Calculator'!$U$17/'Gearing Calculator'!$C$7))</f>
        <v>672.42451633480653</v>
      </c>
      <c r="Y1895" s="16">
        <f>('Gearing Calculator'!$U$9*9.81)*(('Gearing Calculator'!$C$7-'Gearing Calculator'!$U$16)/'Gearing Calculator'!$C$7)+(('Track Data'!W1895)*('Gearing Calculator'!$U$17/'Gearing Calculator'!$C$7))</f>
        <v>1938.9974836651936</v>
      </c>
      <c r="Z1895" s="16">
        <f>((X1895*COS('Gearing Calculator'!$C$21))/'Gearing Calculator'!$C$22)/2</f>
        <v>20.789239347518841</v>
      </c>
      <c r="AA1895" s="16">
        <f>Y1895/'Gearing Calculator'!$C$24</f>
        <v>27.07490835908623</v>
      </c>
      <c r="AB1895" s="16">
        <f t="shared" si="205"/>
        <v>335.62594061691578</v>
      </c>
      <c r="AC1895" s="16">
        <v>0</v>
      </c>
      <c r="AD1895" s="16">
        <v>0</v>
      </c>
      <c r="AE1895" s="16">
        <v>1892</v>
      </c>
      <c r="AF1895" s="16">
        <f>IF(AC1895=0,IF(O1895=6,INDEX(Acceleration!$V$4:$V$110,MATCH('Track Data'!S1895,Acceleration!$K$4:$K$110,0)),IF('Track Data'!O1895=5,INDEX(Acceleration!$U$4:$U$110,MATCH('Track Data'!S1895,Acceleration!$K$4:$K$110,0)),1)),U1895)</f>
        <v>3.8336143672031953</v>
      </c>
      <c r="AG1895" s="16">
        <f>IF(AC1895=0,IF(O1895=4,INDEX(Acceleration!$T$4:$T$110,MATCH('Track Data'!S1895,Acceleration!$K$4:$K$110,0)),IF('Track Data'!O1895=3,INDEX(Acceleration!$S$4:$S$110,MATCH('Track Data'!S1895,Acceleration!$K$4:$K$110,0)),'Track Data'!AF1895)),'Track Data'!U1895)</f>
        <v>3.8336143672031953</v>
      </c>
      <c r="AH1895" s="16">
        <f>IF(AC1895=0,IF(O1895=2,INDEX(Acceleration!$R$4:$R$110,MATCH('Track Data'!S1895,Acceleration!$K$4:$K$110,0)),IF('Track Data'!O1895=1,INDEX(Acceleration!$Q$4:$Q$110,MATCH('Track Data'!S1895,Acceleration!$K$4:$K$110,0)),'Track Data'!AG1895)),'Track Data'!U1895)</f>
        <v>3.8336143672031953</v>
      </c>
    </row>
    <row r="1896" spans="2:34" x14ac:dyDescent="0.25">
      <c r="B1896" s="16">
        <v>246.42699999999999</v>
      </c>
      <c r="C1896" s="16">
        <v>9166</v>
      </c>
      <c r="D1896" s="16">
        <v>1893</v>
      </c>
      <c r="E1896" s="113">
        <v>197</v>
      </c>
      <c r="F1896" s="113">
        <v>191.8</v>
      </c>
      <c r="G1896" s="113">
        <v>185.7</v>
      </c>
      <c r="H1896" s="113">
        <f t="shared" si="208"/>
        <v>51.583333333333329</v>
      </c>
      <c r="I1896" s="113">
        <v>5.5</v>
      </c>
      <c r="J1896" s="113">
        <v>19.25</v>
      </c>
      <c r="K1896" s="113">
        <v>-43.8</v>
      </c>
      <c r="L1896" s="185"/>
      <c r="M1896" s="16">
        <v>1893</v>
      </c>
      <c r="N1896" s="16">
        <f t="shared" si="210"/>
        <v>1.8264628521681831E-2</v>
      </c>
      <c r="O1896" s="16">
        <v>5</v>
      </c>
      <c r="P1896" s="16">
        <f t="shared" si="206"/>
        <v>8.1742160278745661</v>
      </c>
      <c r="Q1896" s="16">
        <f t="shared" si="211"/>
        <v>54.75063447432867</v>
      </c>
      <c r="R1896" s="113">
        <f t="shared" si="207"/>
        <v>319.54399999999998</v>
      </c>
      <c r="S1896" s="16">
        <f>IF(S1895=15800,15800,ROUND((((Q1896*60)/'Gearing Calculator'!$C$14)*'Track Data'!P1896),-2))</f>
        <v>13600</v>
      </c>
      <c r="T1896" s="16">
        <f t="shared" si="209"/>
        <v>3.8336143672031953</v>
      </c>
      <c r="U1896" s="16">
        <f>IF(AC1896=100,Braking!$AG$2354,IF(AC1896=50,Braking!$AG$1179,IF(AC1896=75,Braking!$AG$1767,0)))</f>
        <v>0</v>
      </c>
      <c r="V1896" s="16">
        <f>0.5*'Gearing Calculator'!$C$15*'Gearing Calculator'!$C$20*'Gearing Calculator'!$W$20*('Track Data'!Q1896^2)</f>
        <v>317.2693682701493</v>
      </c>
      <c r="W1896" s="16">
        <f>('Gearing Calculator'!$U$9*'Track Data'!T1896)+'Track Data'!V1896</f>
        <v>1337.7775128196399</v>
      </c>
      <c r="X1896" s="16">
        <f>('Gearing Calculator'!$U$9*9.81)*('Gearing Calculator'!$U$16/'Gearing Calculator'!$C$7)-(('Track Data'!W1896)*('Gearing Calculator'!$U$17/'Gearing Calculator'!$C$7))</f>
        <v>671.98219369283595</v>
      </c>
      <c r="Y1896" s="16">
        <f>('Gearing Calculator'!$U$9*9.81)*(('Gearing Calculator'!$C$7-'Gearing Calculator'!$U$16)/'Gearing Calculator'!$C$7)+(('Track Data'!W1896)*('Gearing Calculator'!$U$17/'Gearing Calculator'!$C$7))</f>
        <v>1939.439806307164</v>
      </c>
      <c r="Z1896" s="16">
        <f>((X1896*COS('Gearing Calculator'!$C$21))/'Gearing Calculator'!$C$22)/2</f>
        <v>20.775564130376441</v>
      </c>
      <c r="AA1896" s="16">
        <f>Y1896/'Gearing Calculator'!$C$24</f>
        <v>27.081084666738708</v>
      </c>
      <c r="AB1896" s="16">
        <f t="shared" si="205"/>
        <v>336.4374401061653</v>
      </c>
      <c r="AC1896" s="16">
        <v>0</v>
      </c>
      <c r="AD1896" s="16">
        <v>0</v>
      </c>
      <c r="AE1896" s="16">
        <v>1893</v>
      </c>
      <c r="AF1896" s="16">
        <f>IF(AC1896=0,IF(O1896=6,INDEX(Acceleration!$V$4:$V$110,MATCH('Track Data'!S1896,Acceleration!$K$4:$K$110,0)),IF('Track Data'!O1896=5,INDEX(Acceleration!$U$4:$U$110,MATCH('Track Data'!S1896,Acceleration!$K$4:$K$110,0)),1)),U1896)</f>
        <v>3.8336143672031953</v>
      </c>
      <c r="AG1896" s="16">
        <f>IF(AC1896=0,IF(O1896=4,INDEX(Acceleration!$T$4:$T$110,MATCH('Track Data'!S1896,Acceleration!$K$4:$K$110,0)),IF('Track Data'!O1896=3,INDEX(Acceleration!$S$4:$S$110,MATCH('Track Data'!S1896,Acceleration!$K$4:$K$110,0)),'Track Data'!AF1896)),'Track Data'!U1896)</f>
        <v>3.8336143672031953</v>
      </c>
      <c r="AH1896" s="16">
        <f>IF(AC1896=0,IF(O1896=2,INDEX(Acceleration!$R$4:$R$110,MATCH('Track Data'!S1896,Acceleration!$K$4:$K$110,0)),IF('Track Data'!O1896=1,INDEX(Acceleration!$Q$4:$Q$110,MATCH('Track Data'!S1896,Acceleration!$K$4:$K$110,0)),'Track Data'!AG1896)),'Track Data'!U1896)</f>
        <v>3.8336143672031953</v>
      </c>
    </row>
    <row r="1897" spans="2:34" x14ac:dyDescent="0.25">
      <c r="B1897" s="16">
        <v>246.446</v>
      </c>
      <c r="C1897" s="16">
        <v>9167</v>
      </c>
      <c r="D1897" s="16">
        <v>1894</v>
      </c>
      <c r="E1897" s="113">
        <v>197</v>
      </c>
      <c r="F1897" s="113">
        <v>191.6</v>
      </c>
      <c r="G1897" s="113">
        <v>186</v>
      </c>
      <c r="H1897" s="113">
        <f t="shared" si="208"/>
        <v>51.666666666666664</v>
      </c>
      <c r="I1897" s="113">
        <v>6.7</v>
      </c>
      <c r="J1897" s="113">
        <v>20.83</v>
      </c>
      <c r="K1897" s="113">
        <v>-42.3</v>
      </c>
      <c r="L1897" s="185"/>
      <c r="M1897" s="16">
        <v>1894</v>
      </c>
      <c r="N1897" s="16">
        <f t="shared" si="210"/>
        <v>1.8241314949982344E-2</v>
      </c>
      <c r="O1897" s="16">
        <v>5</v>
      </c>
      <c r="P1897" s="16">
        <f t="shared" si="206"/>
        <v>8.1742160278745661</v>
      </c>
      <c r="Q1897" s="16">
        <f t="shared" si="211"/>
        <v>54.820609300480719</v>
      </c>
      <c r="R1897" s="113">
        <f t="shared" si="207"/>
        <v>319.54399999999998</v>
      </c>
      <c r="S1897" s="16">
        <f>IF(S1896=15800,15800,ROUND((((Q1897*60)/'Gearing Calculator'!$C$14)*'Track Data'!P1897),-2))</f>
        <v>13600</v>
      </c>
      <c r="T1897" s="16">
        <f t="shared" si="209"/>
        <v>3.8336143672031953</v>
      </c>
      <c r="U1897" s="16">
        <f>IF(AC1897=100,Braking!$AG$2354,IF(AC1897=50,Braking!$AG$1179,IF(AC1897=75,Braking!$AG$1767,0)))</f>
        <v>0</v>
      </c>
      <c r="V1897" s="16">
        <f>0.5*'Gearing Calculator'!$C$15*'Gearing Calculator'!$C$20*'Gearing Calculator'!$W$20*('Track Data'!Q1897^2)</f>
        <v>318.08086775939887</v>
      </c>
      <c r="W1897" s="16">
        <f>('Gearing Calculator'!$U$9*'Track Data'!T1897)+'Track Data'!V1897</f>
        <v>1338.5890123088893</v>
      </c>
      <c r="X1897" s="16">
        <f>('Gearing Calculator'!$U$9*9.81)*('Gearing Calculator'!$U$16/'Gearing Calculator'!$C$7)-(('Track Data'!W1897)*('Gearing Calculator'!$U$17/'Gearing Calculator'!$C$7))</f>
        <v>671.53987105086549</v>
      </c>
      <c r="Y1897" s="16">
        <f>('Gearing Calculator'!$U$9*9.81)*(('Gearing Calculator'!$C$7-'Gearing Calculator'!$U$16)/'Gearing Calculator'!$C$7)+(('Track Data'!W1897)*('Gearing Calculator'!$U$17/'Gearing Calculator'!$C$7))</f>
        <v>1939.8821289491345</v>
      </c>
      <c r="Z1897" s="16">
        <f>((X1897*COS('Gearing Calculator'!$C$21))/'Gearing Calculator'!$C$22)/2</f>
        <v>20.761888913234042</v>
      </c>
      <c r="AA1897" s="16">
        <f>Y1897/'Gearing Calculator'!$C$24</f>
        <v>27.087260974391189</v>
      </c>
      <c r="AB1897" s="16">
        <f t="shared" si="205"/>
        <v>337.24893959541487</v>
      </c>
      <c r="AC1897" s="16">
        <v>0</v>
      </c>
      <c r="AD1897" s="16">
        <v>0</v>
      </c>
      <c r="AE1897" s="16">
        <v>1894</v>
      </c>
      <c r="AF1897" s="16">
        <f>IF(AC1897=0,IF(O1897=6,INDEX(Acceleration!$V$4:$V$110,MATCH('Track Data'!S1897,Acceleration!$K$4:$K$110,0)),IF('Track Data'!O1897=5,INDEX(Acceleration!$U$4:$U$110,MATCH('Track Data'!S1897,Acceleration!$K$4:$K$110,0)),1)),U1897)</f>
        <v>3.8336143672031953</v>
      </c>
      <c r="AG1897" s="16">
        <f>IF(AC1897=0,IF(O1897=4,INDEX(Acceleration!$T$4:$T$110,MATCH('Track Data'!S1897,Acceleration!$K$4:$K$110,0)),IF('Track Data'!O1897=3,INDEX(Acceleration!$S$4:$S$110,MATCH('Track Data'!S1897,Acceleration!$K$4:$K$110,0)),'Track Data'!AF1897)),'Track Data'!U1897)</f>
        <v>3.8336143672031953</v>
      </c>
      <c r="AH1897" s="16">
        <f>IF(AC1897=0,IF(O1897=2,INDEX(Acceleration!$R$4:$R$110,MATCH('Track Data'!S1897,Acceleration!$K$4:$K$110,0)),IF('Track Data'!O1897=1,INDEX(Acceleration!$Q$4:$Q$110,MATCH('Track Data'!S1897,Acceleration!$K$4:$K$110,0)),'Track Data'!AG1897)),'Track Data'!U1897)</f>
        <v>3.8336143672031953</v>
      </c>
    </row>
    <row r="1898" spans="2:34" x14ac:dyDescent="0.25">
      <c r="B1898" s="16">
        <v>246.464</v>
      </c>
      <c r="C1898" s="16">
        <v>9168</v>
      </c>
      <c r="D1898" s="16">
        <v>1895</v>
      </c>
      <c r="E1898" s="113">
        <v>196</v>
      </c>
      <c r="F1898" s="113">
        <v>191.3</v>
      </c>
      <c r="G1898" s="113">
        <v>186.3</v>
      </c>
      <c r="H1898" s="113">
        <f t="shared" si="208"/>
        <v>51.75</v>
      </c>
      <c r="I1898" s="113">
        <v>8.1999999999999993</v>
      </c>
      <c r="J1898" s="113">
        <v>18.53</v>
      </c>
      <c r="K1898" s="113">
        <v>-40.9</v>
      </c>
      <c r="L1898" s="185"/>
      <c r="M1898" s="16">
        <v>1895</v>
      </c>
      <c r="N1898" s="16">
        <f t="shared" si="210"/>
        <v>1.8218090425606886E-2</v>
      </c>
      <c r="O1898" s="16">
        <v>5</v>
      </c>
      <c r="P1898" s="16">
        <f t="shared" si="206"/>
        <v>8.1742160278745661</v>
      </c>
      <c r="Q1898" s="16">
        <f t="shared" si="211"/>
        <v>54.890494922257346</v>
      </c>
      <c r="R1898" s="113">
        <f t="shared" si="207"/>
        <v>319.54399999999998</v>
      </c>
      <c r="S1898" s="16">
        <f>IF(S1897=15800,15800,ROUND((((Q1898*60)/'Gearing Calculator'!$C$14)*'Track Data'!P1898),-2))</f>
        <v>13600</v>
      </c>
      <c r="T1898" s="16">
        <f t="shared" si="209"/>
        <v>3.8336143672031953</v>
      </c>
      <c r="U1898" s="16">
        <f>IF(AC1898=100,Braking!$AG$2354,IF(AC1898=50,Braking!$AG$1179,IF(AC1898=75,Braking!$AG$1767,0)))</f>
        <v>0</v>
      </c>
      <c r="V1898" s="16">
        <f>0.5*'Gearing Calculator'!$C$15*'Gearing Calculator'!$C$20*'Gearing Calculator'!$W$20*('Track Data'!Q1898^2)</f>
        <v>318.89236724864844</v>
      </c>
      <c r="W1898" s="16">
        <f>('Gearing Calculator'!$U$9*'Track Data'!T1898)+'Track Data'!V1898</f>
        <v>1339.400511798139</v>
      </c>
      <c r="X1898" s="16">
        <f>('Gearing Calculator'!$U$9*9.81)*('Gearing Calculator'!$U$16/'Gearing Calculator'!$C$7)-(('Track Data'!W1898)*('Gearing Calculator'!$U$17/'Gearing Calculator'!$C$7))</f>
        <v>671.0975484088948</v>
      </c>
      <c r="Y1898" s="16">
        <f>('Gearing Calculator'!$U$9*9.81)*(('Gearing Calculator'!$C$7-'Gearing Calculator'!$U$16)/'Gearing Calculator'!$C$7)+(('Track Data'!W1898)*('Gearing Calculator'!$U$17/'Gearing Calculator'!$C$7))</f>
        <v>1940.3244515911051</v>
      </c>
      <c r="Z1898" s="16">
        <f>((X1898*COS('Gearing Calculator'!$C$21))/'Gearing Calculator'!$C$22)/2</f>
        <v>20.748213696091639</v>
      </c>
      <c r="AA1898" s="16">
        <f>Y1898/'Gearing Calculator'!$C$24</f>
        <v>27.09343728204367</v>
      </c>
      <c r="AB1898" s="16">
        <f t="shared" si="205"/>
        <v>338.06043908466444</v>
      </c>
      <c r="AC1898" s="16">
        <v>0</v>
      </c>
      <c r="AD1898" s="16">
        <v>0</v>
      </c>
      <c r="AE1898" s="16">
        <v>1895</v>
      </c>
      <c r="AF1898" s="16">
        <f>IF(AC1898=0,IF(O1898=6,INDEX(Acceleration!$V$4:$V$110,MATCH('Track Data'!S1898,Acceleration!$K$4:$K$110,0)),IF('Track Data'!O1898=5,INDEX(Acceleration!$U$4:$U$110,MATCH('Track Data'!S1898,Acceleration!$K$4:$K$110,0)),1)),U1898)</f>
        <v>3.8336143672031953</v>
      </c>
      <c r="AG1898" s="16">
        <f>IF(AC1898=0,IF(O1898=4,INDEX(Acceleration!$T$4:$T$110,MATCH('Track Data'!S1898,Acceleration!$K$4:$K$110,0)),IF('Track Data'!O1898=3,INDEX(Acceleration!$S$4:$S$110,MATCH('Track Data'!S1898,Acceleration!$K$4:$K$110,0)),'Track Data'!AF1898)),'Track Data'!U1898)</f>
        <v>3.8336143672031953</v>
      </c>
      <c r="AH1898" s="16">
        <f>IF(AC1898=0,IF(O1898=2,INDEX(Acceleration!$R$4:$R$110,MATCH('Track Data'!S1898,Acceleration!$K$4:$K$110,0)),IF('Track Data'!O1898=1,INDEX(Acceleration!$Q$4:$Q$110,MATCH('Track Data'!S1898,Acceleration!$K$4:$K$110,0)),'Track Data'!AG1898)),'Track Data'!U1898)</f>
        <v>3.8336143672031953</v>
      </c>
    </row>
    <row r="1899" spans="2:34" x14ac:dyDescent="0.25">
      <c r="B1899" s="16">
        <v>246.482</v>
      </c>
      <c r="C1899" s="16">
        <v>9169</v>
      </c>
      <c r="D1899" s="16">
        <v>1896</v>
      </c>
      <c r="E1899" s="113">
        <v>196</v>
      </c>
      <c r="F1899" s="113">
        <v>191.1</v>
      </c>
      <c r="G1899" s="113">
        <v>186.7</v>
      </c>
      <c r="H1899" s="113">
        <f t="shared" si="208"/>
        <v>51.861111111111107</v>
      </c>
      <c r="I1899" s="113">
        <v>8</v>
      </c>
      <c r="J1899" s="113">
        <v>16.850000000000001</v>
      </c>
      <c r="K1899" s="113">
        <v>-39.6</v>
      </c>
      <c r="L1899" s="185"/>
      <c r="M1899" s="16">
        <v>1896</v>
      </c>
      <c r="N1899" s="16">
        <f t="shared" si="210"/>
        <v>1.8194954383127439E-2</v>
      </c>
      <c r="O1899" s="16">
        <v>5</v>
      </c>
      <c r="P1899" s="16">
        <f t="shared" si="206"/>
        <v>8.1742160278745661</v>
      </c>
      <c r="Q1899" s="16">
        <f t="shared" si="211"/>
        <v>54.960291679946224</v>
      </c>
      <c r="R1899" s="113">
        <f t="shared" si="207"/>
        <v>319.54399999999998</v>
      </c>
      <c r="S1899" s="16">
        <f>IF(S1898=15800,15800,ROUND((((Q1899*60)/'Gearing Calculator'!$C$14)*'Track Data'!P1899),-2))</f>
        <v>13600</v>
      </c>
      <c r="T1899" s="16">
        <f t="shared" si="209"/>
        <v>3.8336143672031953</v>
      </c>
      <c r="U1899" s="16">
        <f>IF(AC1899=100,Braking!$AG$2354,IF(AC1899=50,Braking!$AG$1179,IF(AC1899=75,Braking!$AG$1767,0)))</f>
        <v>0</v>
      </c>
      <c r="V1899" s="16">
        <f>0.5*'Gearing Calculator'!$C$15*'Gearing Calculator'!$C$20*'Gearing Calculator'!$W$20*('Track Data'!Q1899^2)</f>
        <v>319.70386673789801</v>
      </c>
      <c r="W1899" s="16">
        <f>('Gearing Calculator'!$U$9*'Track Data'!T1899)+'Track Data'!V1899</f>
        <v>1340.2120112873886</v>
      </c>
      <c r="X1899" s="16">
        <f>('Gearing Calculator'!$U$9*9.81)*('Gearing Calculator'!$U$16/'Gearing Calculator'!$C$7)-(('Track Data'!W1899)*('Gearing Calculator'!$U$17/'Gearing Calculator'!$C$7))</f>
        <v>670.65522576692422</v>
      </c>
      <c r="Y1899" s="16">
        <f>('Gearing Calculator'!$U$9*9.81)*(('Gearing Calculator'!$C$7-'Gearing Calculator'!$U$16)/'Gearing Calculator'!$C$7)+(('Track Data'!W1899)*('Gearing Calculator'!$U$17/'Gearing Calculator'!$C$7))</f>
        <v>1940.7667742330759</v>
      </c>
      <c r="Z1899" s="16">
        <f>((X1899*COS('Gearing Calculator'!$C$21))/'Gearing Calculator'!$C$22)/2</f>
        <v>20.734538478949236</v>
      </c>
      <c r="AA1899" s="16">
        <f>Y1899/'Gearing Calculator'!$C$24</f>
        <v>27.099613589696151</v>
      </c>
      <c r="AB1899" s="16">
        <f t="shared" si="205"/>
        <v>338.87193857391401</v>
      </c>
      <c r="AC1899" s="16">
        <v>0</v>
      </c>
      <c r="AD1899" s="16">
        <v>0</v>
      </c>
      <c r="AE1899" s="16">
        <v>1896</v>
      </c>
      <c r="AF1899" s="16">
        <f>IF(AC1899=0,IF(O1899=6,INDEX(Acceleration!$V$4:$V$110,MATCH('Track Data'!S1899,Acceleration!$K$4:$K$110,0)),IF('Track Data'!O1899=5,INDEX(Acceleration!$U$4:$U$110,MATCH('Track Data'!S1899,Acceleration!$K$4:$K$110,0)),1)),U1899)</f>
        <v>3.8336143672031953</v>
      </c>
      <c r="AG1899" s="16">
        <f>IF(AC1899=0,IF(O1899=4,INDEX(Acceleration!$T$4:$T$110,MATCH('Track Data'!S1899,Acceleration!$K$4:$K$110,0)),IF('Track Data'!O1899=3,INDEX(Acceleration!$S$4:$S$110,MATCH('Track Data'!S1899,Acceleration!$K$4:$K$110,0)),'Track Data'!AF1899)),'Track Data'!U1899)</f>
        <v>3.8336143672031953</v>
      </c>
      <c r="AH1899" s="16">
        <f>IF(AC1899=0,IF(O1899=2,INDEX(Acceleration!$R$4:$R$110,MATCH('Track Data'!S1899,Acceleration!$K$4:$K$110,0)),IF('Track Data'!O1899=1,INDEX(Acceleration!$Q$4:$Q$110,MATCH('Track Data'!S1899,Acceleration!$K$4:$K$110,0)),'Track Data'!AG1899)),'Track Data'!U1899)</f>
        <v>3.8336143672031953</v>
      </c>
    </row>
    <row r="1900" spans="2:34" x14ac:dyDescent="0.25">
      <c r="B1900" s="16">
        <v>246.501</v>
      </c>
      <c r="C1900" s="16">
        <v>9170</v>
      </c>
      <c r="D1900" s="16">
        <v>1897</v>
      </c>
      <c r="E1900" s="113">
        <v>197</v>
      </c>
      <c r="F1900" s="113">
        <v>190.9</v>
      </c>
      <c r="G1900" s="113">
        <v>187</v>
      </c>
      <c r="H1900" s="113">
        <f t="shared" si="208"/>
        <v>51.944444444444443</v>
      </c>
      <c r="I1900" s="113">
        <v>6.6</v>
      </c>
      <c r="J1900" s="113">
        <v>14.87</v>
      </c>
      <c r="K1900" s="113">
        <v>-38.9</v>
      </c>
      <c r="L1900" s="185"/>
      <c r="M1900" s="16">
        <v>1897</v>
      </c>
      <c r="N1900" s="16">
        <f t="shared" si="210"/>
        <v>1.8171906262129691E-2</v>
      </c>
      <c r="O1900" s="16">
        <v>5</v>
      </c>
      <c r="P1900" s="16">
        <f t="shared" si="206"/>
        <v>8.1742160278745661</v>
      </c>
      <c r="Q1900" s="16">
        <f t="shared" si="211"/>
        <v>55.029999911677017</v>
      </c>
      <c r="R1900" s="113">
        <f t="shared" si="207"/>
        <v>319.54399999999998</v>
      </c>
      <c r="S1900" s="16">
        <f>IF(S1899=15800,15800,ROUND((((Q1900*60)/'Gearing Calculator'!$C$14)*'Track Data'!P1900),-2))</f>
        <v>13600</v>
      </c>
      <c r="T1900" s="16">
        <f t="shared" si="209"/>
        <v>3.8336143672031953</v>
      </c>
      <c r="U1900" s="16">
        <f>IF(AC1900=100,Braking!$AG$2354,IF(AC1900=50,Braking!$AG$1179,IF(AC1900=75,Braking!$AG$1767,0)))</f>
        <v>0</v>
      </c>
      <c r="V1900" s="16">
        <f>0.5*'Gearing Calculator'!$C$15*'Gearing Calculator'!$C$20*'Gearing Calculator'!$W$20*('Track Data'!Q1900^2)</f>
        <v>320.51536622714758</v>
      </c>
      <c r="W1900" s="16">
        <f>('Gearing Calculator'!$U$9*'Track Data'!T1900)+'Track Data'!V1900</f>
        <v>1341.0235107766382</v>
      </c>
      <c r="X1900" s="16">
        <f>('Gearing Calculator'!$U$9*9.81)*('Gearing Calculator'!$U$16/'Gearing Calculator'!$C$7)-(('Track Data'!W1900)*('Gearing Calculator'!$U$17/'Gearing Calculator'!$C$7))</f>
        <v>670.21290312495364</v>
      </c>
      <c r="Y1900" s="16">
        <f>('Gearing Calculator'!$U$9*9.81)*(('Gearing Calculator'!$C$7-'Gearing Calculator'!$U$16)/'Gearing Calculator'!$C$7)+(('Track Data'!W1900)*('Gearing Calculator'!$U$17/'Gearing Calculator'!$C$7))</f>
        <v>1941.2090968750463</v>
      </c>
      <c r="Z1900" s="16">
        <f>((X1900*COS('Gearing Calculator'!$C$21))/'Gearing Calculator'!$C$22)/2</f>
        <v>20.72086326180683</v>
      </c>
      <c r="AA1900" s="16">
        <f>Y1900/'Gearing Calculator'!$C$24</f>
        <v>27.105789897348629</v>
      </c>
      <c r="AB1900" s="16">
        <f t="shared" si="205"/>
        <v>339.68343806316358</v>
      </c>
      <c r="AC1900" s="16">
        <v>0</v>
      </c>
      <c r="AD1900" s="16">
        <v>0</v>
      </c>
      <c r="AE1900" s="16">
        <v>1897</v>
      </c>
      <c r="AF1900" s="16">
        <f>IF(AC1900=0,IF(O1900=6,INDEX(Acceleration!$V$4:$V$110,MATCH('Track Data'!S1900,Acceleration!$K$4:$K$110,0)),IF('Track Data'!O1900=5,INDEX(Acceleration!$U$4:$U$110,MATCH('Track Data'!S1900,Acceleration!$K$4:$K$110,0)),1)),U1900)</f>
        <v>3.8336143672031953</v>
      </c>
      <c r="AG1900" s="16">
        <f>IF(AC1900=0,IF(O1900=4,INDEX(Acceleration!$T$4:$T$110,MATCH('Track Data'!S1900,Acceleration!$K$4:$K$110,0)),IF('Track Data'!O1900=3,INDEX(Acceleration!$S$4:$S$110,MATCH('Track Data'!S1900,Acceleration!$K$4:$K$110,0)),'Track Data'!AF1900)),'Track Data'!U1900)</f>
        <v>3.8336143672031953</v>
      </c>
      <c r="AH1900" s="16">
        <f>IF(AC1900=0,IF(O1900=2,INDEX(Acceleration!$R$4:$R$110,MATCH('Track Data'!S1900,Acceleration!$K$4:$K$110,0)),IF('Track Data'!O1900=1,INDEX(Acceleration!$Q$4:$Q$110,MATCH('Track Data'!S1900,Acceleration!$K$4:$K$110,0)),'Track Data'!AG1900)),'Track Data'!U1900)</f>
        <v>3.8336143672031953</v>
      </c>
    </row>
    <row r="1901" spans="2:34" x14ac:dyDescent="0.25">
      <c r="B1901" s="16">
        <v>246.52099999999999</v>
      </c>
      <c r="C1901" s="16">
        <v>9171</v>
      </c>
      <c r="D1901" s="16">
        <v>1898</v>
      </c>
      <c r="E1901" s="113">
        <v>198</v>
      </c>
      <c r="F1901" s="113">
        <v>190.7</v>
      </c>
      <c r="G1901" s="113">
        <v>187.3</v>
      </c>
      <c r="H1901" s="113">
        <f t="shared" si="208"/>
        <v>52.027777777777779</v>
      </c>
      <c r="I1901" s="113">
        <v>4.0999999999999996</v>
      </c>
      <c r="J1901" s="113">
        <v>11.96</v>
      </c>
      <c r="K1901" s="113">
        <v>-38.299999999999997</v>
      </c>
      <c r="L1901" s="185"/>
      <c r="M1901" s="16">
        <v>1898</v>
      </c>
      <c r="N1901" s="16">
        <f t="shared" si="210"/>
        <v>1.8148945507156053E-2</v>
      </c>
      <c r="O1901" s="16">
        <v>5</v>
      </c>
      <c r="P1901" s="16">
        <f t="shared" si="206"/>
        <v>8.1742160278745661</v>
      </c>
      <c r="Q1901" s="16">
        <f t="shared" si="211"/>
        <v>55.099619953440502</v>
      </c>
      <c r="R1901" s="113">
        <f t="shared" si="207"/>
        <v>319.54399999999998</v>
      </c>
      <c r="S1901" s="16">
        <f>IF(S1900=15800,15800,ROUND((((Q1901*60)/'Gearing Calculator'!$C$14)*'Track Data'!P1901),-2))</f>
        <v>13700</v>
      </c>
      <c r="T1901" s="16">
        <f t="shared" si="209"/>
        <v>3.7880882999290102</v>
      </c>
      <c r="U1901" s="16">
        <f>IF(AC1901=100,Braking!$AG$2354,IF(AC1901=50,Braking!$AG$1179,IF(AC1901=75,Braking!$AG$1767,0)))</f>
        <v>0</v>
      </c>
      <c r="V1901" s="16">
        <f>0.5*'Gearing Calculator'!$C$15*'Gearing Calculator'!$C$20*'Gearing Calculator'!$W$20*('Track Data'!Q1901^2)</f>
        <v>321.32686571639715</v>
      </c>
      <c r="W1901" s="16">
        <f>('Gearing Calculator'!$U$9*'Track Data'!T1901)+'Track Data'!V1901</f>
        <v>1329.7159711574996</v>
      </c>
      <c r="X1901" s="16">
        <f>('Gearing Calculator'!$U$9*9.81)*('Gearing Calculator'!$U$16/'Gearing Calculator'!$C$7)-(('Track Data'!W1901)*('Gearing Calculator'!$U$17/'Gearing Calculator'!$C$7))</f>
        <v>676.37628445147743</v>
      </c>
      <c r="Y1901" s="16">
        <f>('Gearing Calculator'!$U$9*9.81)*(('Gearing Calculator'!$C$7-'Gearing Calculator'!$U$16)/'Gearing Calculator'!$C$7)+(('Track Data'!W1901)*('Gearing Calculator'!$U$17/'Gearing Calculator'!$C$7))</f>
        <v>1935.0457155485226</v>
      </c>
      <c r="Z1901" s="16">
        <f>((X1901*COS('Gearing Calculator'!$C$21))/'Gearing Calculator'!$C$22)/2</f>
        <v>20.911415519308601</v>
      </c>
      <c r="AA1901" s="16">
        <f>Y1901/'Gearing Calculator'!$C$24</f>
        <v>27.019728421764711</v>
      </c>
      <c r="AB1901" s="16">
        <f t="shared" si="205"/>
        <v>340.26730721604218</v>
      </c>
      <c r="AC1901" s="16">
        <v>0</v>
      </c>
      <c r="AD1901" s="16">
        <v>0</v>
      </c>
      <c r="AE1901" s="16">
        <v>1898</v>
      </c>
      <c r="AF1901" s="16">
        <f>IF(AC1901=0,IF(O1901=6,INDEX(Acceleration!$V$4:$V$110,MATCH('Track Data'!S1901,Acceleration!$K$4:$K$110,0)),IF('Track Data'!O1901=5,INDEX(Acceleration!$U$4:$U$110,MATCH('Track Data'!S1901,Acceleration!$K$4:$K$110,0)),1)),U1901)</f>
        <v>3.7880882999290102</v>
      </c>
      <c r="AG1901" s="16">
        <f>IF(AC1901=0,IF(O1901=4,INDEX(Acceleration!$T$4:$T$110,MATCH('Track Data'!S1901,Acceleration!$K$4:$K$110,0)),IF('Track Data'!O1901=3,INDEX(Acceleration!$S$4:$S$110,MATCH('Track Data'!S1901,Acceleration!$K$4:$K$110,0)),'Track Data'!AF1901)),'Track Data'!U1901)</f>
        <v>3.7880882999290102</v>
      </c>
      <c r="AH1901" s="16">
        <f>IF(AC1901=0,IF(O1901=2,INDEX(Acceleration!$R$4:$R$110,MATCH('Track Data'!S1901,Acceleration!$K$4:$K$110,0)),IF('Track Data'!O1901=1,INDEX(Acceleration!$Q$4:$Q$110,MATCH('Track Data'!S1901,Acceleration!$K$4:$K$110,0)),'Track Data'!AG1901)),'Track Data'!U1901)</f>
        <v>3.7880882999290102</v>
      </c>
    </row>
    <row r="1902" spans="2:34" x14ac:dyDescent="0.25">
      <c r="B1902" s="16">
        <v>246.53899999999999</v>
      </c>
      <c r="C1902" s="16">
        <v>9172</v>
      </c>
      <c r="D1902" s="16">
        <v>1899</v>
      </c>
      <c r="E1902" s="113">
        <v>198</v>
      </c>
      <c r="F1902" s="113">
        <v>190.9</v>
      </c>
      <c r="G1902" s="113">
        <v>187.4</v>
      </c>
      <c r="H1902" s="113">
        <f t="shared" si="208"/>
        <v>52.055555555555557</v>
      </c>
      <c r="I1902" s="113">
        <v>3.5</v>
      </c>
      <c r="J1902" s="113">
        <v>9.98</v>
      </c>
      <c r="K1902" s="113">
        <v>-37.9</v>
      </c>
      <c r="L1902" s="185"/>
      <c r="M1902" s="16">
        <v>1899</v>
      </c>
      <c r="N1902" s="16">
        <f t="shared" si="210"/>
        <v>1.8126342699757797E-2</v>
      </c>
      <c r="O1902" s="16">
        <v>5</v>
      </c>
      <c r="P1902" s="16">
        <f t="shared" si="206"/>
        <v>8.1742160278745661</v>
      </c>
      <c r="Q1902" s="16">
        <f t="shared" si="211"/>
        <v>55.168326924182111</v>
      </c>
      <c r="R1902" s="113">
        <f t="shared" si="207"/>
        <v>319.54399999999998</v>
      </c>
      <c r="S1902" s="16">
        <f>IF(S1901=15800,15800,ROUND((((Q1902*60)/'Gearing Calculator'!$C$14)*'Track Data'!P1902),-2))</f>
        <v>13700</v>
      </c>
      <c r="T1902" s="16">
        <f t="shared" si="209"/>
        <v>3.7880882999290102</v>
      </c>
      <c r="U1902" s="16">
        <f>IF(AC1902=100,Braking!$AG$2354,IF(AC1902=50,Braking!$AG$1179,IF(AC1902=75,Braking!$AG$1767,0)))</f>
        <v>0</v>
      </c>
      <c r="V1902" s="16">
        <f>0.5*'Gearing Calculator'!$C$15*'Gearing Calculator'!$C$20*'Gearing Calculator'!$W$20*('Track Data'!Q1902^2)</f>
        <v>322.12872824772609</v>
      </c>
      <c r="W1902" s="16">
        <f>('Gearing Calculator'!$U$9*'Track Data'!T1902)+'Track Data'!V1902</f>
        <v>1330.5178336888287</v>
      </c>
      <c r="X1902" s="16">
        <f>('Gearing Calculator'!$U$9*9.81)*('Gearing Calculator'!$U$16/'Gearing Calculator'!$C$7)-(('Track Data'!W1902)*('Gearing Calculator'!$U$17/'Gearing Calculator'!$C$7))</f>
        <v>675.93921460971728</v>
      </c>
      <c r="Y1902" s="16">
        <f>('Gearing Calculator'!$U$9*9.81)*(('Gearing Calculator'!$C$7-'Gearing Calculator'!$U$16)/'Gearing Calculator'!$C$7)+(('Track Data'!W1902)*('Gearing Calculator'!$U$17/'Gearing Calculator'!$C$7))</f>
        <v>1935.4827853902827</v>
      </c>
      <c r="Z1902" s="16">
        <f>((X1902*COS('Gearing Calculator'!$C$21))/'Gearing Calculator'!$C$22)/2</f>
        <v>20.897902702135511</v>
      </c>
      <c r="AA1902" s="16">
        <f>Y1902/'Gearing Calculator'!$C$24</f>
        <v>27.02583138270812</v>
      </c>
      <c r="AB1902" s="16">
        <f t="shared" si="205"/>
        <v>341.06916974737112</v>
      </c>
      <c r="AC1902" s="16">
        <v>0</v>
      </c>
      <c r="AD1902" s="16">
        <v>0</v>
      </c>
      <c r="AE1902" s="16">
        <v>1899</v>
      </c>
      <c r="AF1902" s="16">
        <f>IF(AC1902=0,IF(O1902=6,INDEX(Acceleration!$V$4:$V$110,MATCH('Track Data'!S1902,Acceleration!$K$4:$K$110,0)),IF('Track Data'!O1902=5,INDEX(Acceleration!$U$4:$U$110,MATCH('Track Data'!S1902,Acceleration!$K$4:$K$110,0)),1)),U1902)</f>
        <v>3.7880882999290102</v>
      </c>
      <c r="AG1902" s="16">
        <f>IF(AC1902=0,IF(O1902=4,INDEX(Acceleration!$T$4:$T$110,MATCH('Track Data'!S1902,Acceleration!$K$4:$K$110,0)),IF('Track Data'!O1902=3,INDEX(Acceleration!$S$4:$S$110,MATCH('Track Data'!S1902,Acceleration!$K$4:$K$110,0)),'Track Data'!AF1902)),'Track Data'!U1902)</f>
        <v>3.7880882999290102</v>
      </c>
      <c r="AH1902" s="16">
        <f>IF(AC1902=0,IF(O1902=2,INDEX(Acceleration!$R$4:$R$110,MATCH('Track Data'!S1902,Acceleration!$K$4:$K$110,0)),IF('Track Data'!O1902=1,INDEX(Acceleration!$Q$4:$Q$110,MATCH('Track Data'!S1902,Acceleration!$K$4:$K$110,0)),'Track Data'!AG1902)),'Track Data'!U1902)</f>
        <v>3.7880882999290102</v>
      </c>
    </row>
    <row r="1903" spans="2:34" x14ac:dyDescent="0.25">
      <c r="B1903" s="16">
        <v>246.55799999999999</v>
      </c>
      <c r="C1903" s="16">
        <v>9173</v>
      </c>
      <c r="D1903" s="16">
        <v>1900</v>
      </c>
      <c r="E1903" s="113">
        <v>199</v>
      </c>
      <c r="F1903" s="113">
        <v>191.2</v>
      </c>
      <c r="G1903" s="113">
        <v>187.7</v>
      </c>
      <c r="H1903" s="113">
        <f t="shared" si="208"/>
        <v>52.138888888888886</v>
      </c>
      <c r="I1903" s="113">
        <v>1.5</v>
      </c>
      <c r="J1903" s="113">
        <v>7.71</v>
      </c>
      <c r="K1903" s="113">
        <v>-37.299999999999997</v>
      </c>
      <c r="L1903" s="185"/>
      <c r="M1903" s="16">
        <v>1900</v>
      </c>
      <c r="N1903" s="16">
        <f t="shared" si="210"/>
        <v>1.8103824131579654E-2</v>
      </c>
      <c r="O1903" s="16">
        <v>5</v>
      </c>
      <c r="P1903" s="16">
        <f t="shared" si="206"/>
        <v>8.1742160278745661</v>
      </c>
      <c r="Q1903" s="16">
        <f t="shared" si="211"/>
        <v>55.236948433211758</v>
      </c>
      <c r="R1903" s="113">
        <f t="shared" si="207"/>
        <v>319.54399999999998</v>
      </c>
      <c r="S1903" s="16">
        <f>IF(S1902=15800,15800,ROUND((((Q1903*60)/'Gearing Calculator'!$C$14)*'Track Data'!P1903),-2))</f>
        <v>13700</v>
      </c>
      <c r="T1903" s="16">
        <f t="shared" si="209"/>
        <v>3.7880882999290102</v>
      </c>
      <c r="U1903" s="16">
        <f>IF(AC1903=100,Braking!$AG$2354,IF(AC1903=50,Braking!$AG$1179,IF(AC1903=75,Braking!$AG$1767,0)))</f>
        <v>0</v>
      </c>
      <c r="V1903" s="16">
        <f>0.5*'Gearing Calculator'!$C$15*'Gearing Calculator'!$C$20*'Gearing Calculator'!$W$20*('Track Data'!Q1903^2)</f>
        <v>322.93059077905508</v>
      </c>
      <c r="W1903" s="16">
        <f>('Gearing Calculator'!$U$9*'Track Data'!T1903)+'Track Data'!V1903</f>
        <v>1331.3196962201575</v>
      </c>
      <c r="X1903" s="16">
        <f>('Gearing Calculator'!$U$9*9.81)*('Gearing Calculator'!$U$16/'Gearing Calculator'!$C$7)-(('Track Data'!W1903)*('Gearing Calculator'!$U$17/'Gearing Calculator'!$C$7))</f>
        <v>675.50214476795736</v>
      </c>
      <c r="Y1903" s="16">
        <f>('Gearing Calculator'!$U$9*9.81)*(('Gearing Calculator'!$C$7-'Gearing Calculator'!$U$16)/'Gearing Calculator'!$C$7)+(('Track Data'!W1903)*('Gearing Calculator'!$U$17/'Gearing Calculator'!$C$7))</f>
        <v>1935.9198552320427</v>
      </c>
      <c r="Z1903" s="16">
        <f>((X1903*COS('Gearing Calculator'!$C$21))/'Gearing Calculator'!$C$22)/2</f>
        <v>20.884389884962431</v>
      </c>
      <c r="AA1903" s="16">
        <f>Y1903/'Gearing Calculator'!$C$24</f>
        <v>27.031934343651525</v>
      </c>
      <c r="AB1903" s="16">
        <f t="shared" si="205"/>
        <v>341.87103227870011</v>
      </c>
      <c r="AC1903" s="16">
        <v>0</v>
      </c>
      <c r="AD1903" s="16">
        <v>0</v>
      </c>
      <c r="AE1903" s="16">
        <v>1900</v>
      </c>
      <c r="AF1903" s="16">
        <f>IF(AC1903=0,IF(O1903=6,INDEX(Acceleration!$V$4:$V$110,MATCH('Track Data'!S1903,Acceleration!$K$4:$K$110,0)),IF('Track Data'!O1903=5,INDEX(Acceleration!$U$4:$U$110,MATCH('Track Data'!S1903,Acceleration!$K$4:$K$110,0)),1)),U1903)</f>
        <v>3.7880882999290102</v>
      </c>
      <c r="AG1903" s="16">
        <f>IF(AC1903=0,IF(O1903=4,INDEX(Acceleration!$T$4:$T$110,MATCH('Track Data'!S1903,Acceleration!$K$4:$K$110,0)),IF('Track Data'!O1903=3,INDEX(Acceleration!$S$4:$S$110,MATCH('Track Data'!S1903,Acceleration!$K$4:$K$110,0)),'Track Data'!AF1903)),'Track Data'!U1903)</f>
        <v>3.7880882999290102</v>
      </c>
      <c r="AH1903" s="16">
        <f>IF(AC1903=0,IF(O1903=2,INDEX(Acceleration!$R$4:$R$110,MATCH('Track Data'!S1903,Acceleration!$K$4:$K$110,0)),IF('Track Data'!O1903=1,INDEX(Acceleration!$Q$4:$Q$110,MATCH('Track Data'!S1903,Acceleration!$K$4:$K$110,0)),'Track Data'!AG1903)),'Track Data'!U1903)</f>
        <v>3.7880882999290102</v>
      </c>
    </row>
    <row r="1904" spans="2:34" x14ac:dyDescent="0.25">
      <c r="B1904" s="16">
        <v>246.577</v>
      </c>
      <c r="C1904" s="16">
        <v>9174</v>
      </c>
      <c r="D1904" s="16">
        <v>1901</v>
      </c>
      <c r="E1904" s="113">
        <v>199</v>
      </c>
      <c r="F1904" s="113">
        <v>191.6</v>
      </c>
      <c r="G1904" s="113">
        <v>188</v>
      </c>
      <c r="H1904" s="113">
        <f t="shared" si="208"/>
        <v>52.222222222222221</v>
      </c>
      <c r="I1904" s="113">
        <v>0.3</v>
      </c>
      <c r="J1904" s="113">
        <v>6.67</v>
      </c>
      <c r="K1904" s="113">
        <v>-37.1</v>
      </c>
      <c r="L1904" s="185"/>
      <c r="M1904" s="16">
        <v>1901</v>
      </c>
      <c r="N1904" s="16">
        <f t="shared" si="210"/>
        <v>1.8081389280661369E-2</v>
      </c>
      <c r="O1904" s="16">
        <v>5</v>
      </c>
      <c r="P1904" s="16">
        <f t="shared" si="206"/>
        <v>8.1742160278745661</v>
      </c>
      <c r="Q1904" s="16">
        <f t="shared" si="211"/>
        <v>55.305484798644997</v>
      </c>
      <c r="R1904" s="113">
        <f t="shared" si="207"/>
        <v>319.54399999999998</v>
      </c>
      <c r="S1904" s="16">
        <f>IF(S1903=15800,15800,ROUND((((Q1904*60)/'Gearing Calculator'!$C$14)*'Track Data'!P1904),-2))</f>
        <v>13700</v>
      </c>
      <c r="T1904" s="16">
        <f t="shared" si="209"/>
        <v>3.7880882999290102</v>
      </c>
      <c r="U1904" s="16">
        <f>IF(AC1904=100,Braking!$AG$2354,IF(AC1904=50,Braking!$AG$1179,IF(AC1904=75,Braking!$AG$1767,0)))</f>
        <v>0</v>
      </c>
      <c r="V1904" s="16">
        <f>0.5*'Gearing Calculator'!$C$15*'Gearing Calculator'!$C$20*'Gearing Calculator'!$W$20*('Track Data'!Q1904^2)</f>
        <v>323.73245331038407</v>
      </c>
      <c r="W1904" s="16">
        <f>('Gearing Calculator'!$U$9*'Track Data'!T1904)+'Track Data'!V1904</f>
        <v>1332.1215587514866</v>
      </c>
      <c r="X1904" s="16">
        <f>('Gearing Calculator'!$U$9*9.81)*('Gearing Calculator'!$U$16/'Gearing Calculator'!$C$7)-(('Track Data'!W1904)*('Gearing Calculator'!$U$17/'Gearing Calculator'!$C$7))</f>
        <v>675.06507492619721</v>
      </c>
      <c r="Y1904" s="16">
        <f>('Gearing Calculator'!$U$9*9.81)*(('Gearing Calculator'!$C$7-'Gearing Calculator'!$U$16)/'Gearing Calculator'!$C$7)+(('Track Data'!W1904)*('Gearing Calculator'!$U$17/'Gearing Calculator'!$C$7))</f>
        <v>1936.3569250738028</v>
      </c>
      <c r="Z1904" s="16">
        <f>((X1904*COS('Gearing Calculator'!$C$21))/'Gearing Calculator'!$C$22)/2</f>
        <v>20.870877067789344</v>
      </c>
      <c r="AA1904" s="16">
        <f>Y1904/'Gearing Calculator'!$C$24</f>
        <v>27.038037304594933</v>
      </c>
      <c r="AB1904" s="16">
        <f t="shared" si="205"/>
        <v>342.67289481002911</v>
      </c>
      <c r="AC1904" s="16">
        <v>0</v>
      </c>
      <c r="AD1904" s="16">
        <v>0</v>
      </c>
      <c r="AE1904" s="16">
        <v>1901</v>
      </c>
      <c r="AF1904" s="16">
        <f>IF(AC1904=0,IF(O1904=6,INDEX(Acceleration!$V$4:$V$110,MATCH('Track Data'!S1904,Acceleration!$K$4:$K$110,0)),IF('Track Data'!O1904=5,INDEX(Acceleration!$U$4:$U$110,MATCH('Track Data'!S1904,Acceleration!$K$4:$K$110,0)),1)),U1904)</f>
        <v>3.7880882999290102</v>
      </c>
      <c r="AG1904" s="16">
        <f>IF(AC1904=0,IF(O1904=4,INDEX(Acceleration!$T$4:$T$110,MATCH('Track Data'!S1904,Acceleration!$K$4:$K$110,0)),IF('Track Data'!O1904=3,INDEX(Acceleration!$S$4:$S$110,MATCH('Track Data'!S1904,Acceleration!$K$4:$K$110,0)),'Track Data'!AF1904)),'Track Data'!U1904)</f>
        <v>3.7880882999290102</v>
      </c>
      <c r="AH1904" s="16">
        <f>IF(AC1904=0,IF(O1904=2,INDEX(Acceleration!$R$4:$R$110,MATCH('Track Data'!S1904,Acceleration!$K$4:$K$110,0)),IF('Track Data'!O1904=1,INDEX(Acceleration!$Q$4:$Q$110,MATCH('Track Data'!S1904,Acceleration!$K$4:$K$110,0)),'Track Data'!AG1904)),'Track Data'!U1904)</f>
        <v>3.7880882999290102</v>
      </c>
    </row>
    <row r="1905" spans="2:34" x14ac:dyDescent="0.25">
      <c r="B1905" s="16">
        <v>246.596</v>
      </c>
      <c r="C1905" s="16">
        <v>9175</v>
      </c>
      <c r="D1905" s="16">
        <v>1902</v>
      </c>
      <c r="E1905" s="113">
        <v>200</v>
      </c>
      <c r="F1905" s="113">
        <v>192</v>
      </c>
      <c r="G1905" s="113">
        <v>188.3</v>
      </c>
      <c r="H1905" s="113">
        <f t="shared" si="208"/>
        <v>52.305555555555557</v>
      </c>
      <c r="I1905" s="113">
        <v>-0.7</v>
      </c>
      <c r="J1905" s="113">
        <v>9.18</v>
      </c>
      <c r="K1905" s="113">
        <v>-37.1</v>
      </c>
      <c r="L1905" s="185"/>
      <c r="M1905" s="16">
        <v>1902</v>
      </c>
      <c r="N1905" s="16">
        <f t="shared" si="210"/>
        <v>1.8059037629559314E-2</v>
      </c>
      <c r="O1905" s="16">
        <v>5</v>
      </c>
      <c r="P1905" s="16">
        <f t="shared" si="206"/>
        <v>8.1742160278745661</v>
      </c>
      <c r="Q1905" s="16">
        <f t="shared" si="211"/>
        <v>55.373936336628724</v>
      </c>
      <c r="R1905" s="113">
        <f t="shared" si="207"/>
        <v>319.54399999999998</v>
      </c>
      <c r="S1905" s="16">
        <f>IF(S1904=15800,15800,ROUND((((Q1905*60)/'Gearing Calculator'!$C$14)*'Track Data'!P1905),-2))</f>
        <v>13700</v>
      </c>
      <c r="T1905" s="16">
        <f t="shared" si="209"/>
        <v>3.7880882999290102</v>
      </c>
      <c r="U1905" s="16">
        <f>IF(AC1905=100,Braking!$AG$2354,IF(AC1905=50,Braking!$AG$1179,IF(AC1905=75,Braking!$AG$1767,0)))</f>
        <v>0</v>
      </c>
      <c r="V1905" s="16">
        <f>0.5*'Gearing Calculator'!$C$15*'Gearing Calculator'!$C$20*'Gearing Calculator'!$W$20*('Track Data'!Q1905^2)</f>
        <v>324.53431584171307</v>
      </c>
      <c r="W1905" s="16">
        <f>('Gearing Calculator'!$U$9*'Track Data'!T1905)+'Track Data'!V1905</f>
        <v>1332.9234212828155</v>
      </c>
      <c r="X1905" s="16">
        <f>('Gearing Calculator'!$U$9*9.81)*('Gearing Calculator'!$U$16/'Gearing Calculator'!$C$7)-(('Track Data'!W1905)*('Gearing Calculator'!$U$17/'Gearing Calculator'!$C$7))</f>
        <v>674.62800508443729</v>
      </c>
      <c r="Y1905" s="16">
        <f>('Gearing Calculator'!$U$9*9.81)*(('Gearing Calculator'!$C$7-'Gearing Calculator'!$U$16)/'Gearing Calculator'!$C$7)+(('Track Data'!W1905)*('Gearing Calculator'!$U$17/'Gearing Calculator'!$C$7))</f>
        <v>1936.7939949155627</v>
      </c>
      <c r="Z1905" s="16">
        <f>((X1905*COS('Gearing Calculator'!$C$21))/'Gearing Calculator'!$C$22)/2</f>
        <v>20.857364250616264</v>
      </c>
      <c r="AA1905" s="16">
        <f>Y1905/'Gearing Calculator'!$C$24</f>
        <v>27.044140265538338</v>
      </c>
      <c r="AB1905" s="16">
        <f t="shared" si="205"/>
        <v>343.4747573413581</v>
      </c>
      <c r="AC1905" s="16">
        <v>0</v>
      </c>
      <c r="AD1905" s="16">
        <v>0</v>
      </c>
      <c r="AE1905" s="16">
        <v>1902</v>
      </c>
      <c r="AF1905" s="16">
        <f>IF(AC1905=0,IF(O1905=6,INDEX(Acceleration!$V$4:$V$110,MATCH('Track Data'!S1905,Acceleration!$K$4:$K$110,0)),IF('Track Data'!O1905=5,INDEX(Acceleration!$U$4:$U$110,MATCH('Track Data'!S1905,Acceleration!$K$4:$K$110,0)),1)),U1905)</f>
        <v>3.7880882999290102</v>
      </c>
      <c r="AG1905" s="16">
        <f>IF(AC1905=0,IF(O1905=4,INDEX(Acceleration!$T$4:$T$110,MATCH('Track Data'!S1905,Acceleration!$K$4:$K$110,0)),IF('Track Data'!O1905=3,INDEX(Acceleration!$S$4:$S$110,MATCH('Track Data'!S1905,Acceleration!$K$4:$K$110,0)),'Track Data'!AF1905)),'Track Data'!U1905)</f>
        <v>3.7880882999290102</v>
      </c>
      <c r="AH1905" s="16">
        <f>IF(AC1905=0,IF(O1905=2,INDEX(Acceleration!$R$4:$R$110,MATCH('Track Data'!S1905,Acceleration!$K$4:$K$110,0)),IF('Track Data'!O1905=1,INDEX(Acceleration!$Q$4:$Q$110,MATCH('Track Data'!S1905,Acceleration!$K$4:$K$110,0)),'Track Data'!AG1905)),'Track Data'!U1905)</f>
        <v>3.7880882999290102</v>
      </c>
    </row>
    <row r="1906" spans="2:34" x14ac:dyDescent="0.25">
      <c r="B1906" s="16">
        <v>246.614</v>
      </c>
      <c r="C1906" s="16">
        <v>9176</v>
      </c>
      <c r="D1906" s="16">
        <v>1903</v>
      </c>
      <c r="E1906" s="113">
        <v>199</v>
      </c>
      <c r="F1906" s="113">
        <v>192.6</v>
      </c>
      <c r="G1906" s="113">
        <v>188.5</v>
      </c>
      <c r="H1906" s="113">
        <f t="shared" si="208"/>
        <v>52.361111111111107</v>
      </c>
      <c r="I1906" s="113">
        <v>-0.5</v>
      </c>
      <c r="J1906" s="113">
        <v>10.01</v>
      </c>
      <c r="K1906" s="113">
        <v>-37.1</v>
      </c>
      <c r="L1906" s="185"/>
      <c r="M1906" s="16">
        <v>1903</v>
      </c>
      <c r="N1906" s="16">
        <f t="shared" si="210"/>
        <v>1.8036768665296354E-2</v>
      </c>
      <c r="O1906" s="16">
        <v>5</v>
      </c>
      <c r="P1906" s="16">
        <f t="shared" si="206"/>
        <v>8.1742160278745661</v>
      </c>
      <c r="Q1906" s="16">
        <f t="shared" si="211"/>
        <v>55.442303361358185</v>
      </c>
      <c r="R1906" s="113">
        <f t="shared" si="207"/>
        <v>319.54399999999998</v>
      </c>
      <c r="S1906" s="16">
        <f>IF(S1905=15800,15800,ROUND((((Q1906*60)/'Gearing Calculator'!$C$14)*'Track Data'!P1906),-2))</f>
        <v>13700</v>
      </c>
      <c r="T1906" s="16">
        <f t="shared" si="209"/>
        <v>3.7880882999290102</v>
      </c>
      <c r="U1906" s="16">
        <f>IF(AC1906=100,Braking!$AG$2354,IF(AC1906=50,Braking!$AG$1179,IF(AC1906=75,Braking!$AG$1767,0)))</f>
        <v>0</v>
      </c>
      <c r="V1906" s="16">
        <f>0.5*'Gearing Calculator'!$C$15*'Gearing Calculator'!$C$20*'Gearing Calculator'!$W$20*('Track Data'!Q1906^2)</f>
        <v>325.33617837304206</v>
      </c>
      <c r="W1906" s="16">
        <f>('Gearing Calculator'!$U$9*'Track Data'!T1906)+'Track Data'!V1906</f>
        <v>1333.7252838141446</v>
      </c>
      <c r="X1906" s="16">
        <f>('Gearing Calculator'!$U$9*9.81)*('Gearing Calculator'!$U$16/'Gearing Calculator'!$C$7)-(('Track Data'!W1906)*('Gearing Calculator'!$U$17/'Gearing Calculator'!$C$7))</f>
        <v>674.19093524267714</v>
      </c>
      <c r="Y1906" s="16">
        <f>('Gearing Calculator'!$U$9*9.81)*(('Gearing Calculator'!$C$7-'Gearing Calculator'!$U$16)/'Gearing Calculator'!$C$7)+(('Track Data'!W1906)*('Gearing Calculator'!$U$17/'Gearing Calculator'!$C$7))</f>
        <v>1937.2310647573229</v>
      </c>
      <c r="Z1906" s="16">
        <f>((X1906*COS('Gearing Calculator'!$C$21))/'Gearing Calculator'!$C$22)/2</f>
        <v>20.843851433443177</v>
      </c>
      <c r="AA1906" s="16">
        <f>Y1906/'Gearing Calculator'!$C$24</f>
        <v>27.050243226481747</v>
      </c>
      <c r="AB1906" s="16">
        <f t="shared" si="205"/>
        <v>344.27661987268709</v>
      </c>
      <c r="AC1906" s="16">
        <v>0</v>
      </c>
      <c r="AD1906" s="16">
        <v>0</v>
      </c>
      <c r="AE1906" s="16">
        <v>1903</v>
      </c>
      <c r="AF1906" s="16">
        <f>IF(AC1906=0,IF(O1906=6,INDEX(Acceleration!$V$4:$V$110,MATCH('Track Data'!S1906,Acceleration!$K$4:$K$110,0)),IF('Track Data'!O1906=5,INDEX(Acceleration!$U$4:$U$110,MATCH('Track Data'!S1906,Acceleration!$K$4:$K$110,0)),1)),U1906)</f>
        <v>3.7880882999290102</v>
      </c>
      <c r="AG1906" s="16">
        <f>IF(AC1906=0,IF(O1906=4,INDEX(Acceleration!$T$4:$T$110,MATCH('Track Data'!S1906,Acceleration!$K$4:$K$110,0)),IF('Track Data'!O1906=3,INDEX(Acceleration!$S$4:$S$110,MATCH('Track Data'!S1906,Acceleration!$K$4:$K$110,0)),'Track Data'!AF1906)),'Track Data'!U1906)</f>
        <v>3.7880882999290102</v>
      </c>
      <c r="AH1906" s="16">
        <f>IF(AC1906=0,IF(O1906=2,INDEX(Acceleration!$R$4:$R$110,MATCH('Track Data'!S1906,Acceleration!$K$4:$K$110,0)),IF('Track Data'!O1906=1,INDEX(Acceleration!$Q$4:$Q$110,MATCH('Track Data'!S1906,Acceleration!$K$4:$K$110,0)),'Track Data'!AG1906)),'Track Data'!U1906)</f>
        <v>3.7880882999290102</v>
      </c>
    </row>
    <row r="1907" spans="2:34" x14ac:dyDescent="0.25">
      <c r="B1907" s="16">
        <v>246.63300000000001</v>
      </c>
      <c r="C1907" s="16">
        <v>9177</v>
      </c>
      <c r="D1907" s="16">
        <v>1904</v>
      </c>
      <c r="E1907" s="113">
        <v>198</v>
      </c>
      <c r="F1907" s="113">
        <v>193.2</v>
      </c>
      <c r="G1907" s="113">
        <v>188.8</v>
      </c>
      <c r="H1907" s="113">
        <f t="shared" si="208"/>
        <v>52.444444444444443</v>
      </c>
      <c r="I1907" s="113">
        <v>0.7</v>
      </c>
      <c r="J1907" s="113">
        <v>10.57</v>
      </c>
      <c r="K1907" s="113">
        <v>-37.1</v>
      </c>
      <c r="L1907" s="185"/>
      <c r="M1907" s="16">
        <v>1904</v>
      </c>
      <c r="N1907" s="16">
        <f t="shared" si="210"/>
        <v>1.8014581879312399E-2</v>
      </c>
      <c r="O1907" s="16">
        <v>5</v>
      </c>
      <c r="P1907" s="16">
        <f t="shared" si="206"/>
        <v>8.1742160278745661</v>
      </c>
      <c r="Q1907" s="16">
        <f t="shared" si="211"/>
        <v>55.510586185093807</v>
      </c>
      <c r="R1907" s="113">
        <f t="shared" si="207"/>
        <v>319.54399999999998</v>
      </c>
      <c r="S1907" s="16">
        <f>IF(S1906=15800,15800,ROUND((((Q1907*60)/'Gearing Calculator'!$C$14)*'Track Data'!P1907),-2))</f>
        <v>13800</v>
      </c>
      <c r="T1907" s="16">
        <f t="shared" si="209"/>
        <v>3.7638916877888997</v>
      </c>
      <c r="U1907" s="16">
        <f>IF(AC1907=100,Braking!$AG$2354,IF(AC1907=50,Braking!$AG$1179,IF(AC1907=75,Braking!$AG$1767,0)))</f>
        <v>0</v>
      </c>
      <c r="V1907" s="16">
        <f>0.5*'Gearing Calculator'!$C$15*'Gearing Calculator'!$C$20*'Gearing Calculator'!$W$20*('Track Data'!Q1907^2)</f>
        <v>326.13804090437105</v>
      </c>
      <c r="W1907" s="16">
        <f>('Gearing Calculator'!$U$9*'Track Data'!T1907)+'Track Data'!V1907</f>
        <v>1328.086008193776</v>
      </c>
      <c r="X1907" s="16">
        <f>('Gearing Calculator'!$U$9*9.81)*('Gearing Calculator'!$U$16/'Gearing Calculator'!$C$7)-(('Track Data'!W1907)*('Gearing Calculator'!$U$17/'Gearing Calculator'!$C$7))</f>
        <v>677.26472558296234</v>
      </c>
      <c r="Y1907" s="16">
        <f>('Gearing Calculator'!$U$9*9.81)*(('Gearing Calculator'!$C$7-'Gearing Calculator'!$U$16)/'Gearing Calculator'!$C$7)+(('Track Data'!W1907)*('Gearing Calculator'!$U$17/'Gearing Calculator'!$C$7))</f>
        <v>1934.1572744170376</v>
      </c>
      <c r="Z1907" s="16">
        <f>((X1907*COS('Gearing Calculator'!$C$21))/'Gearing Calculator'!$C$22)/2</f>
        <v>20.938883309194214</v>
      </c>
      <c r="AA1907" s="16">
        <f>Y1907/'Gearing Calculator'!$C$24</f>
        <v>27.007322803696589</v>
      </c>
      <c r="AB1907" s="16">
        <f t="shared" si="205"/>
        <v>344.95749934331553</v>
      </c>
      <c r="AC1907" s="16">
        <v>0</v>
      </c>
      <c r="AD1907" s="16">
        <v>0</v>
      </c>
      <c r="AE1907" s="16">
        <v>1904</v>
      </c>
      <c r="AF1907" s="16">
        <f>IF(AC1907=0,IF(O1907=6,INDEX(Acceleration!$V$4:$V$110,MATCH('Track Data'!S1907,Acceleration!$K$4:$K$110,0)),IF('Track Data'!O1907=5,INDEX(Acceleration!$U$4:$U$110,MATCH('Track Data'!S1907,Acceleration!$K$4:$K$110,0)),1)),U1907)</f>
        <v>3.7638916877888997</v>
      </c>
      <c r="AG1907" s="16">
        <f>IF(AC1907=0,IF(O1907=4,INDEX(Acceleration!$T$4:$T$110,MATCH('Track Data'!S1907,Acceleration!$K$4:$K$110,0)),IF('Track Data'!O1907=3,INDEX(Acceleration!$S$4:$S$110,MATCH('Track Data'!S1907,Acceleration!$K$4:$K$110,0)),'Track Data'!AF1907)),'Track Data'!U1907)</f>
        <v>3.7638916877888997</v>
      </c>
      <c r="AH1907" s="16">
        <f>IF(AC1907=0,IF(O1907=2,INDEX(Acceleration!$R$4:$R$110,MATCH('Track Data'!S1907,Acceleration!$K$4:$K$110,0)),IF('Track Data'!O1907=1,INDEX(Acceleration!$Q$4:$Q$110,MATCH('Track Data'!S1907,Acceleration!$K$4:$K$110,0)),'Track Data'!AG1907)),'Track Data'!U1907)</f>
        <v>3.7638916877888997</v>
      </c>
    </row>
    <row r="1908" spans="2:34" x14ac:dyDescent="0.25">
      <c r="B1908" s="16">
        <v>246.65100000000001</v>
      </c>
      <c r="C1908" s="16">
        <v>9178</v>
      </c>
      <c r="D1908" s="16">
        <v>1905</v>
      </c>
      <c r="E1908" s="113">
        <v>198</v>
      </c>
      <c r="F1908" s="113">
        <v>193.5</v>
      </c>
      <c r="G1908" s="113">
        <v>189</v>
      </c>
      <c r="H1908" s="113">
        <f t="shared" si="208"/>
        <v>52.5</v>
      </c>
      <c r="I1908" s="113">
        <v>2.4</v>
      </c>
      <c r="J1908" s="113">
        <v>13.75</v>
      </c>
      <c r="K1908" s="113">
        <v>-34.700000000000003</v>
      </c>
      <c r="L1908" s="185"/>
      <c r="M1908" s="16">
        <v>1905</v>
      </c>
      <c r="N1908" s="16">
        <f t="shared" si="210"/>
        <v>1.799261770684786E-2</v>
      </c>
      <c r="O1908" s="16">
        <v>5</v>
      </c>
      <c r="P1908" s="16">
        <f t="shared" si="206"/>
        <v>8.1742160278745661</v>
      </c>
      <c r="Q1908" s="16">
        <f t="shared" si="211"/>
        <v>55.578349759490926</v>
      </c>
      <c r="R1908" s="113">
        <f t="shared" si="207"/>
        <v>319.54399999999998</v>
      </c>
      <c r="S1908" s="16">
        <f>IF(S1907=15800,15800,ROUND((((Q1908*60)/'Gearing Calculator'!$C$14)*'Track Data'!P1908),-2))</f>
        <v>13800</v>
      </c>
      <c r="T1908" s="16">
        <f t="shared" si="209"/>
        <v>3.7638916877888997</v>
      </c>
      <c r="U1908" s="16">
        <f>IF(AC1908=100,Braking!$AG$2354,IF(AC1908=50,Braking!$AG$1179,IF(AC1908=75,Braking!$AG$1767,0)))</f>
        <v>0</v>
      </c>
      <c r="V1908" s="16">
        <f>0.5*'Gearing Calculator'!$C$15*'Gearing Calculator'!$C$20*'Gearing Calculator'!$W$20*('Track Data'!Q1908^2)</f>
        <v>326.93478149684216</v>
      </c>
      <c r="W1908" s="16">
        <f>('Gearing Calculator'!$U$9*'Track Data'!T1908)+'Track Data'!V1908</f>
        <v>1328.8827487862472</v>
      </c>
      <c r="X1908" s="16">
        <f>('Gearing Calculator'!$U$9*9.81)*('Gearing Calculator'!$U$16/'Gearing Calculator'!$C$7)-(('Track Data'!W1908)*('Gearing Calculator'!$U$17/'Gearing Calculator'!$C$7))</f>
        <v>676.83044754767616</v>
      </c>
      <c r="Y1908" s="16">
        <f>('Gearing Calculator'!$U$9*9.81)*(('Gearing Calculator'!$C$7-'Gearing Calculator'!$U$16)/'Gearing Calculator'!$C$7)+(('Track Data'!W1908)*('Gearing Calculator'!$U$17/'Gearing Calculator'!$C$7))</f>
        <v>1934.5915524523239</v>
      </c>
      <c r="Z1908" s="16">
        <f>((X1908*COS('Gearing Calculator'!$C$21))/'Gearing Calculator'!$C$22)/2</f>
        <v>20.925456805847571</v>
      </c>
      <c r="AA1908" s="16">
        <f>Y1908/'Gearing Calculator'!$C$24</f>
        <v>27.013386781657776</v>
      </c>
      <c r="AB1908" s="16">
        <f t="shared" si="205"/>
        <v>345.75423993578664</v>
      </c>
      <c r="AC1908" s="16">
        <v>0</v>
      </c>
      <c r="AD1908" s="16">
        <v>0</v>
      </c>
      <c r="AE1908" s="16">
        <v>1905</v>
      </c>
      <c r="AF1908" s="16">
        <f>IF(AC1908=0,IF(O1908=6,INDEX(Acceleration!$V$4:$V$110,MATCH('Track Data'!S1908,Acceleration!$K$4:$K$110,0)),IF('Track Data'!O1908=5,INDEX(Acceleration!$U$4:$U$110,MATCH('Track Data'!S1908,Acceleration!$K$4:$K$110,0)),1)),U1908)</f>
        <v>3.7638916877888997</v>
      </c>
      <c r="AG1908" s="16">
        <f>IF(AC1908=0,IF(O1908=4,INDEX(Acceleration!$T$4:$T$110,MATCH('Track Data'!S1908,Acceleration!$K$4:$K$110,0)),IF('Track Data'!O1908=3,INDEX(Acceleration!$S$4:$S$110,MATCH('Track Data'!S1908,Acceleration!$K$4:$K$110,0)),'Track Data'!AF1908)),'Track Data'!U1908)</f>
        <v>3.7638916877888997</v>
      </c>
      <c r="AH1908" s="16">
        <f>IF(AC1908=0,IF(O1908=2,INDEX(Acceleration!$R$4:$R$110,MATCH('Track Data'!S1908,Acceleration!$K$4:$K$110,0)),IF('Track Data'!O1908=1,INDEX(Acceleration!$Q$4:$Q$110,MATCH('Track Data'!S1908,Acceleration!$K$4:$K$110,0)),'Track Data'!AG1908)),'Track Data'!U1908)</f>
        <v>3.7638916877888997</v>
      </c>
    </row>
    <row r="1909" spans="2:34" x14ac:dyDescent="0.25">
      <c r="B1909" s="16">
        <v>246.67</v>
      </c>
      <c r="C1909" s="16">
        <v>9179</v>
      </c>
      <c r="D1909" s="16">
        <v>1906</v>
      </c>
      <c r="E1909" s="113">
        <v>197</v>
      </c>
      <c r="F1909" s="113">
        <v>193.7</v>
      </c>
      <c r="G1909" s="113">
        <v>189.3</v>
      </c>
      <c r="H1909" s="113">
        <f t="shared" si="208"/>
        <v>52.583333333333336</v>
      </c>
      <c r="I1909" s="113">
        <v>4.3</v>
      </c>
      <c r="J1909" s="113">
        <v>16.309999999999999</v>
      </c>
      <c r="K1909" s="113">
        <v>-31.3</v>
      </c>
      <c r="L1909" s="185"/>
      <c r="M1909" s="16">
        <v>1906</v>
      </c>
      <c r="N1909" s="16">
        <f t="shared" si="210"/>
        <v>1.7970733678036095E-2</v>
      </c>
      <c r="O1909" s="16">
        <v>5</v>
      </c>
      <c r="P1909" s="16">
        <f t="shared" si="206"/>
        <v>8.1742160278745661</v>
      </c>
      <c r="Q1909" s="16">
        <f t="shared" si="211"/>
        <v>55.646030814101046</v>
      </c>
      <c r="R1909" s="113">
        <f t="shared" si="207"/>
        <v>319.54399999999998</v>
      </c>
      <c r="S1909" s="16">
        <f>IF(S1908=15800,15800,ROUND((((Q1909*60)/'Gearing Calculator'!$C$14)*'Track Data'!P1909),-2))</f>
        <v>13800</v>
      </c>
      <c r="T1909" s="16">
        <f t="shared" si="209"/>
        <v>3.7638916877888997</v>
      </c>
      <c r="U1909" s="16">
        <f>IF(AC1909=100,Braking!$AG$2354,IF(AC1909=50,Braking!$AG$1179,IF(AC1909=75,Braking!$AG$1767,0)))</f>
        <v>0</v>
      </c>
      <c r="V1909" s="16">
        <f>0.5*'Gearing Calculator'!$C$15*'Gearing Calculator'!$C$20*'Gearing Calculator'!$W$20*('Track Data'!Q1909^2)</f>
        <v>327.73152208931339</v>
      </c>
      <c r="W1909" s="16">
        <f>('Gearing Calculator'!$U$9*'Track Data'!T1909)+'Track Data'!V1909</f>
        <v>1329.6794893787185</v>
      </c>
      <c r="X1909" s="16">
        <f>('Gearing Calculator'!$U$9*9.81)*('Gearing Calculator'!$U$16/'Gearing Calculator'!$C$7)-(('Track Data'!W1909)*('Gearing Calculator'!$U$17/'Gearing Calculator'!$C$7))</f>
        <v>676.39616951238997</v>
      </c>
      <c r="Y1909" s="16">
        <f>('Gearing Calculator'!$U$9*9.81)*(('Gearing Calculator'!$C$7-'Gearing Calculator'!$U$16)/'Gearing Calculator'!$C$7)+(('Track Data'!W1909)*('Gearing Calculator'!$U$17/'Gearing Calculator'!$C$7))</f>
        <v>1935.0258304876102</v>
      </c>
      <c r="Z1909" s="16">
        <f>((X1909*COS('Gearing Calculator'!$C$21))/'Gearing Calculator'!$C$22)/2</f>
        <v>20.912030302500924</v>
      </c>
      <c r="AA1909" s="16">
        <f>Y1909/'Gearing Calculator'!$C$24</f>
        <v>27.019450759618962</v>
      </c>
      <c r="AB1909" s="16">
        <f t="shared" si="205"/>
        <v>346.55098052825787</v>
      </c>
      <c r="AC1909" s="16">
        <v>0</v>
      </c>
      <c r="AD1909" s="16">
        <v>0</v>
      </c>
      <c r="AE1909" s="16">
        <v>1906</v>
      </c>
      <c r="AF1909" s="16">
        <f>IF(AC1909=0,IF(O1909=6,INDEX(Acceleration!$V$4:$V$110,MATCH('Track Data'!S1909,Acceleration!$K$4:$K$110,0)),IF('Track Data'!O1909=5,INDEX(Acceleration!$U$4:$U$110,MATCH('Track Data'!S1909,Acceleration!$K$4:$K$110,0)),1)),U1909)</f>
        <v>3.7638916877888997</v>
      </c>
      <c r="AG1909" s="16">
        <f>IF(AC1909=0,IF(O1909=4,INDEX(Acceleration!$T$4:$T$110,MATCH('Track Data'!S1909,Acceleration!$K$4:$K$110,0)),IF('Track Data'!O1909=3,INDEX(Acceleration!$S$4:$S$110,MATCH('Track Data'!S1909,Acceleration!$K$4:$K$110,0)),'Track Data'!AF1909)),'Track Data'!U1909)</f>
        <v>3.7638916877888997</v>
      </c>
      <c r="AH1909" s="16">
        <f>IF(AC1909=0,IF(O1909=2,INDEX(Acceleration!$R$4:$R$110,MATCH('Track Data'!S1909,Acceleration!$K$4:$K$110,0)),IF('Track Data'!O1909=1,INDEX(Acceleration!$Q$4:$Q$110,MATCH('Track Data'!S1909,Acceleration!$K$4:$K$110,0)),'Track Data'!AG1909)),'Track Data'!U1909)</f>
        <v>3.7638916877888997</v>
      </c>
    </row>
    <row r="1910" spans="2:34" x14ac:dyDescent="0.25">
      <c r="B1910" s="16">
        <v>246.68899999999999</v>
      </c>
      <c r="C1910" s="16">
        <v>9180</v>
      </c>
      <c r="D1910" s="16">
        <v>1907</v>
      </c>
      <c r="E1910" s="113">
        <v>197</v>
      </c>
      <c r="F1910" s="113">
        <v>193.8</v>
      </c>
      <c r="G1910" s="113">
        <v>189.4</v>
      </c>
      <c r="H1910" s="113">
        <f t="shared" si="208"/>
        <v>52.611111111111114</v>
      </c>
      <c r="I1910" s="113">
        <v>5.4</v>
      </c>
      <c r="J1910" s="113">
        <v>16.64</v>
      </c>
      <c r="K1910" s="113">
        <v>-29.6</v>
      </c>
      <c r="L1910" s="185"/>
      <c r="M1910" s="16">
        <v>1907</v>
      </c>
      <c r="N1910" s="16">
        <f t="shared" si="210"/>
        <v>1.7948929306674685E-2</v>
      </c>
      <c r="O1910" s="16">
        <v>5</v>
      </c>
      <c r="P1910" s="16">
        <f t="shared" si="206"/>
        <v>8.1742160278745661</v>
      </c>
      <c r="Q1910" s="16">
        <f t="shared" si="211"/>
        <v>55.713629649659886</v>
      </c>
      <c r="R1910" s="113">
        <f t="shared" si="207"/>
        <v>319.54399999999998</v>
      </c>
      <c r="S1910" s="16">
        <f>IF(S1909=15800,15800,ROUND((((Q1910*60)/'Gearing Calculator'!$C$14)*'Track Data'!P1910),-2))</f>
        <v>13800</v>
      </c>
      <c r="T1910" s="16">
        <f t="shared" si="209"/>
        <v>3.7638916877888997</v>
      </c>
      <c r="U1910" s="16">
        <f>IF(AC1910=100,Braking!$AG$2354,IF(AC1910=50,Braking!$AG$1179,IF(AC1910=75,Braking!$AG$1767,0)))</f>
        <v>0</v>
      </c>
      <c r="V1910" s="16">
        <f>0.5*'Gearing Calculator'!$C$15*'Gearing Calculator'!$C$20*'Gearing Calculator'!$W$20*('Track Data'!Q1910^2)</f>
        <v>328.52826268178455</v>
      </c>
      <c r="W1910" s="16">
        <f>('Gearing Calculator'!$U$9*'Track Data'!T1910)+'Track Data'!V1910</f>
        <v>1330.4762299711897</v>
      </c>
      <c r="X1910" s="16">
        <f>('Gearing Calculator'!$U$9*9.81)*('Gearing Calculator'!$U$16/'Gearing Calculator'!$C$7)-(('Track Data'!W1910)*('Gearing Calculator'!$U$17/'Gearing Calculator'!$C$7))</f>
        <v>675.96189147710379</v>
      </c>
      <c r="Y1910" s="16">
        <f>('Gearing Calculator'!$U$9*9.81)*(('Gearing Calculator'!$C$7-'Gearing Calculator'!$U$16)/'Gearing Calculator'!$C$7)+(('Track Data'!W1910)*('Gearing Calculator'!$U$17/'Gearing Calculator'!$C$7))</f>
        <v>1935.4601085228962</v>
      </c>
      <c r="Z1910" s="16">
        <f>((X1910*COS('Gearing Calculator'!$C$21))/'Gearing Calculator'!$C$22)/2</f>
        <v>20.89860379915428</v>
      </c>
      <c r="AA1910" s="16">
        <f>Y1910/'Gearing Calculator'!$C$24</f>
        <v>27.025514737580146</v>
      </c>
      <c r="AB1910" s="16">
        <f t="shared" ref="AB1910:AB1973" si="212">(T1910*O1910)+V1910</f>
        <v>347.34772112072903</v>
      </c>
      <c r="AC1910" s="16">
        <v>0</v>
      </c>
      <c r="AD1910" s="16">
        <v>0</v>
      </c>
      <c r="AE1910" s="16">
        <v>1907</v>
      </c>
      <c r="AF1910" s="16">
        <f>IF(AC1910=0,IF(O1910=6,INDEX(Acceleration!$V$4:$V$110,MATCH('Track Data'!S1910,Acceleration!$K$4:$K$110,0)),IF('Track Data'!O1910=5,INDEX(Acceleration!$U$4:$U$110,MATCH('Track Data'!S1910,Acceleration!$K$4:$K$110,0)),1)),U1910)</f>
        <v>3.7638916877888997</v>
      </c>
      <c r="AG1910" s="16">
        <f>IF(AC1910=0,IF(O1910=4,INDEX(Acceleration!$T$4:$T$110,MATCH('Track Data'!S1910,Acceleration!$K$4:$K$110,0)),IF('Track Data'!O1910=3,INDEX(Acceleration!$S$4:$S$110,MATCH('Track Data'!S1910,Acceleration!$K$4:$K$110,0)),'Track Data'!AF1910)),'Track Data'!U1910)</f>
        <v>3.7638916877888997</v>
      </c>
      <c r="AH1910" s="16">
        <f>IF(AC1910=0,IF(O1910=2,INDEX(Acceleration!$R$4:$R$110,MATCH('Track Data'!S1910,Acceleration!$K$4:$K$110,0)),IF('Track Data'!O1910=1,INDEX(Acceleration!$Q$4:$Q$110,MATCH('Track Data'!S1910,Acceleration!$K$4:$K$110,0)),'Track Data'!AG1910)),'Track Data'!U1910)</f>
        <v>3.7638916877888997</v>
      </c>
    </row>
    <row r="1911" spans="2:34" x14ac:dyDescent="0.25">
      <c r="B1911" s="16">
        <v>246.70699999999999</v>
      </c>
      <c r="C1911" s="16">
        <v>9181</v>
      </c>
      <c r="D1911" s="16">
        <v>1908</v>
      </c>
      <c r="E1911" s="113">
        <v>197</v>
      </c>
      <c r="F1911" s="113">
        <v>194</v>
      </c>
      <c r="G1911" s="113">
        <v>189.6</v>
      </c>
      <c r="H1911" s="113">
        <f t="shared" si="208"/>
        <v>52.666666666666664</v>
      </c>
      <c r="I1911" s="113">
        <v>7.3</v>
      </c>
      <c r="J1911" s="113">
        <v>16.16</v>
      </c>
      <c r="K1911" s="113">
        <v>-26.2</v>
      </c>
      <c r="L1911" s="185"/>
      <c r="M1911" s="16">
        <v>1908</v>
      </c>
      <c r="N1911" s="16">
        <f t="shared" si="210"/>
        <v>1.7927204110680675E-2</v>
      </c>
      <c r="O1911" s="16">
        <v>5</v>
      </c>
      <c r="P1911" s="16">
        <f t="shared" si="206"/>
        <v>8.1742160278745661</v>
      </c>
      <c r="Q1911" s="16">
        <f t="shared" si="211"/>
        <v>55.781146565080924</v>
      </c>
      <c r="R1911" s="113">
        <f t="shared" si="207"/>
        <v>319.54399999999998</v>
      </c>
      <c r="S1911" s="16">
        <f>IF(S1910=15800,15800,ROUND((((Q1911*60)/'Gearing Calculator'!$C$14)*'Track Data'!P1911),-2))</f>
        <v>13800</v>
      </c>
      <c r="T1911" s="16">
        <f t="shared" si="209"/>
        <v>3.7638916877888997</v>
      </c>
      <c r="U1911" s="16">
        <f>IF(AC1911=100,Braking!$AG$2354,IF(AC1911=50,Braking!$AG$1179,IF(AC1911=75,Braking!$AG$1767,0)))</f>
        <v>0</v>
      </c>
      <c r="V1911" s="16">
        <f>0.5*'Gearing Calculator'!$C$15*'Gearing Calculator'!$C$20*'Gearing Calculator'!$W$20*('Track Data'!Q1911^2)</f>
        <v>329.32500327425572</v>
      </c>
      <c r="W1911" s="16">
        <f>('Gearing Calculator'!$U$9*'Track Data'!T1911)+'Track Data'!V1911</f>
        <v>1331.2729705636607</v>
      </c>
      <c r="X1911" s="16">
        <f>('Gearing Calculator'!$U$9*9.81)*('Gearing Calculator'!$U$16/'Gearing Calculator'!$C$7)-(('Track Data'!W1911)*('Gearing Calculator'!$U$17/'Gearing Calculator'!$C$7))</f>
        <v>675.52761344181761</v>
      </c>
      <c r="Y1911" s="16">
        <f>('Gearing Calculator'!$U$9*9.81)*(('Gearing Calculator'!$C$7-'Gearing Calculator'!$U$16)/'Gearing Calculator'!$C$7)+(('Track Data'!W1911)*('Gearing Calculator'!$U$17/'Gearing Calculator'!$C$7))</f>
        <v>1935.8943865581823</v>
      </c>
      <c r="Z1911" s="16">
        <f>((X1911*COS('Gearing Calculator'!$C$21))/'Gearing Calculator'!$C$22)/2</f>
        <v>20.88517729580764</v>
      </c>
      <c r="AA1911" s="16">
        <f>Y1911/'Gearing Calculator'!$C$24</f>
        <v>27.031578715541325</v>
      </c>
      <c r="AB1911" s="16">
        <f t="shared" si="212"/>
        <v>348.1444617132002</v>
      </c>
      <c r="AC1911" s="16">
        <v>0</v>
      </c>
      <c r="AD1911" s="16">
        <v>0</v>
      </c>
      <c r="AE1911" s="16">
        <v>1908</v>
      </c>
      <c r="AF1911" s="16">
        <f>IF(AC1911=0,IF(O1911=6,INDEX(Acceleration!$V$4:$V$110,MATCH('Track Data'!S1911,Acceleration!$K$4:$K$110,0)),IF('Track Data'!O1911=5,INDEX(Acceleration!$U$4:$U$110,MATCH('Track Data'!S1911,Acceleration!$K$4:$K$110,0)),1)),U1911)</f>
        <v>3.7638916877888997</v>
      </c>
      <c r="AG1911" s="16">
        <f>IF(AC1911=0,IF(O1911=4,INDEX(Acceleration!$T$4:$T$110,MATCH('Track Data'!S1911,Acceleration!$K$4:$K$110,0)),IF('Track Data'!O1911=3,INDEX(Acceleration!$S$4:$S$110,MATCH('Track Data'!S1911,Acceleration!$K$4:$K$110,0)),'Track Data'!AF1911)),'Track Data'!U1911)</f>
        <v>3.7638916877888997</v>
      </c>
      <c r="AH1911" s="16">
        <f>IF(AC1911=0,IF(O1911=2,INDEX(Acceleration!$R$4:$R$110,MATCH('Track Data'!S1911,Acceleration!$K$4:$K$110,0)),IF('Track Data'!O1911=1,INDEX(Acceleration!$Q$4:$Q$110,MATCH('Track Data'!S1911,Acceleration!$K$4:$K$110,0)),'Track Data'!AG1911)),'Track Data'!U1911)</f>
        <v>3.7638916877888997</v>
      </c>
    </row>
    <row r="1912" spans="2:34" x14ac:dyDescent="0.25">
      <c r="B1912" s="16">
        <v>246.726</v>
      </c>
      <c r="C1912" s="16">
        <v>9182</v>
      </c>
      <c r="D1912" s="16">
        <v>1909</v>
      </c>
      <c r="E1912" s="113">
        <v>197</v>
      </c>
      <c r="F1912" s="113">
        <v>194.2</v>
      </c>
      <c r="G1912" s="113">
        <v>189.8</v>
      </c>
      <c r="H1912" s="113">
        <f t="shared" si="208"/>
        <v>52.722222222222221</v>
      </c>
      <c r="I1912" s="113">
        <v>9.5</v>
      </c>
      <c r="J1912" s="113">
        <v>16.28</v>
      </c>
      <c r="K1912" s="113">
        <v>-23.2</v>
      </c>
      <c r="L1912" s="185"/>
      <c r="M1912" s="16">
        <v>1909</v>
      </c>
      <c r="N1912" s="16">
        <f t="shared" si="210"/>
        <v>1.7905557612045812E-2</v>
      </c>
      <c r="O1912" s="16">
        <v>5</v>
      </c>
      <c r="P1912" s="16">
        <f t="shared" si="206"/>
        <v>8.1742160278745661</v>
      </c>
      <c r="Q1912" s="16">
        <f t="shared" si="211"/>
        <v>55.848581857470805</v>
      </c>
      <c r="R1912" s="113">
        <f t="shared" si="207"/>
        <v>319.54399999999998</v>
      </c>
      <c r="S1912" s="16">
        <f>IF(S1911=15800,15800,ROUND((((Q1912*60)/'Gearing Calculator'!$C$14)*'Track Data'!P1912),-2))</f>
        <v>13800</v>
      </c>
      <c r="T1912" s="16">
        <f t="shared" si="209"/>
        <v>3.7638916877888997</v>
      </c>
      <c r="U1912" s="16">
        <f>IF(AC1912=100,Braking!$AG$2354,IF(AC1912=50,Braking!$AG$1179,IF(AC1912=75,Braking!$AG$1767,0)))</f>
        <v>0</v>
      </c>
      <c r="V1912" s="16">
        <f>0.5*'Gearing Calculator'!$C$15*'Gearing Calculator'!$C$20*'Gearing Calculator'!$W$20*('Track Data'!Q1912^2)</f>
        <v>330.12174386672689</v>
      </c>
      <c r="W1912" s="16">
        <f>('Gearing Calculator'!$U$9*'Track Data'!T1912)+'Track Data'!V1912</f>
        <v>1332.0697111561319</v>
      </c>
      <c r="X1912" s="16">
        <f>('Gearing Calculator'!$U$9*9.81)*('Gearing Calculator'!$U$16/'Gearing Calculator'!$C$7)-(('Track Data'!W1912)*('Gearing Calculator'!$U$17/'Gearing Calculator'!$C$7))</f>
        <v>675.09333540653142</v>
      </c>
      <c r="Y1912" s="16">
        <f>('Gearing Calculator'!$U$9*9.81)*(('Gearing Calculator'!$C$7-'Gearing Calculator'!$U$16)/'Gearing Calculator'!$C$7)+(('Track Data'!W1912)*('Gearing Calculator'!$U$17/'Gearing Calculator'!$C$7))</f>
        <v>1936.3286645934686</v>
      </c>
      <c r="Z1912" s="16">
        <f>((X1912*COS('Gearing Calculator'!$C$21))/'Gearing Calculator'!$C$22)/2</f>
        <v>20.871750792460997</v>
      </c>
      <c r="AA1912" s="16">
        <f>Y1912/'Gearing Calculator'!$C$24</f>
        <v>27.037642693502512</v>
      </c>
      <c r="AB1912" s="16">
        <f t="shared" si="212"/>
        <v>348.94120230567137</v>
      </c>
      <c r="AC1912" s="16">
        <v>0</v>
      </c>
      <c r="AD1912" s="16">
        <v>0</v>
      </c>
      <c r="AE1912" s="16">
        <v>1909</v>
      </c>
      <c r="AF1912" s="16">
        <f>IF(AC1912=0,IF(O1912=6,INDEX(Acceleration!$V$4:$V$110,MATCH('Track Data'!S1912,Acceleration!$K$4:$K$110,0)),IF('Track Data'!O1912=5,INDEX(Acceleration!$U$4:$U$110,MATCH('Track Data'!S1912,Acceleration!$K$4:$K$110,0)),1)),U1912)</f>
        <v>3.7638916877888997</v>
      </c>
      <c r="AG1912" s="16">
        <f>IF(AC1912=0,IF(O1912=4,INDEX(Acceleration!$T$4:$T$110,MATCH('Track Data'!S1912,Acceleration!$K$4:$K$110,0)),IF('Track Data'!O1912=3,INDEX(Acceleration!$S$4:$S$110,MATCH('Track Data'!S1912,Acceleration!$K$4:$K$110,0)),'Track Data'!AF1912)),'Track Data'!U1912)</f>
        <v>3.7638916877888997</v>
      </c>
      <c r="AH1912" s="16">
        <f>IF(AC1912=0,IF(O1912=2,INDEX(Acceleration!$R$4:$R$110,MATCH('Track Data'!S1912,Acceleration!$K$4:$K$110,0)),IF('Track Data'!O1912=1,INDEX(Acceleration!$Q$4:$Q$110,MATCH('Track Data'!S1912,Acceleration!$K$4:$K$110,0)),'Track Data'!AG1912)),'Track Data'!U1912)</f>
        <v>3.7638916877888997</v>
      </c>
    </row>
    <row r="1913" spans="2:34" x14ac:dyDescent="0.25">
      <c r="B1913" s="16">
        <v>246.744</v>
      </c>
      <c r="C1913" s="16">
        <v>9183</v>
      </c>
      <c r="D1913" s="16">
        <v>1910</v>
      </c>
      <c r="E1913" s="113">
        <v>197</v>
      </c>
      <c r="F1913" s="113">
        <v>194.4</v>
      </c>
      <c r="G1913" s="113">
        <v>190.1</v>
      </c>
      <c r="H1913" s="113">
        <f t="shared" si="208"/>
        <v>52.80555555555555</v>
      </c>
      <c r="I1913" s="113">
        <v>10.9</v>
      </c>
      <c r="J1913" s="113">
        <v>15.98</v>
      </c>
      <c r="K1913" s="113">
        <v>-22.1</v>
      </c>
      <c r="L1913" s="185"/>
      <c r="M1913" s="16">
        <v>1910</v>
      </c>
      <c r="N1913" s="16">
        <f t="shared" si="210"/>
        <v>1.7883989336792357E-2</v>
      </c>
      <c r="O1913" s="16">
        <v>5</v>
      </c>
      <c r="P1913" s="16">
        <f t="shared" si="206"/>
        <v>8.1742160278745661</v>
      </c>
      <c r="Q1913" s="16">
        <f t="shared" si="211"/>
        <v>55.915935822144611</v>
      </c>
      <c r="R1913" s="113">
        <f t="shared" si="207"/>
        <v>319.54399999999998</v>
      </c>
      <c r="S1913" s="16">
        <f>IF(S1912=15800,15800,ROUND((((Q1913*60)/'Gearing Calculator'!$C$14)*'Track Data'!P1913),-2))</f>
        <v>13900</v>
      </c>
      <c r="T1913" s="16">
        <f t="shared" si="209"/>
        <v>3.7397870966213724</v>
      </c>
      <c r="U1913" s="16">
        <f>IF(AC1913=100,Braking!$AG$2354,IF(AC1913=50,Braking!$AG$1179,IF(AC1913=75,Braking!$AG$1767,0)))</f>
        <v>0</v>
      </c>
      <c r="V1913" s="16">
        <f>0.5*'Gearing Calculator'!$C$15*'Gearing Calculator'!$C$20*'Gearing Calculator'!$W$20*('Track Data'!Q1913^2)</f>
        <v>330.918484459198</v>
      </c>
      <c r="W1913" s="16">
        <f>('Gearing Calculator'!$U$9*'Track Data'!T1913)+'Track Data'!V1913</f>
        <v>1326.4498095798072</v>
      </c>
      <c r="X1913" s="16">
        <f>('Gearing Calculator'!$U$9*9.81)*('Gearing Calculator'!$U$16/'Gearing Calculator'!$C$7)-(('Track Data'!W1913)*('Gearing Calculator'!$U$17/'Gearing Calculator'!$C$7))</f>
        <v>678.1565655696869</v>
      </c>
      <c r="Y1913" s="16">
        <f>('Gearing Calculator'!$U$9*9.81)*(('Gearing Calculator'!$C$7-'Gearing Calculator'!$U$16)/'Gearing Calculator'!$C$7)+(('Track Data'!W1913)*('Gearing Calculator'!$U$17/'Gearing Calculator'!$C$7))</f>
        <v>1933.2654344303132</v>
      </c>
      <c r="Z1913" s="16">
        <f>((X1913*COS('Gearing Calculator'!$C$21))/'Gearing Calculator'!$C$22)/2</f>
        <v>20.966456180934173</v>
      </c>
      <c r="AA1913" s="16">
        <f>Y1913/'Gearing Calculator'!$C$24</f>
        <v>26.994869726209409</v>
      </c>
      <c r="AB1913" s="16">
        <f t="shared" si="212"/>
        <v>349.61741994230488</v>
      </c>
      <c r="AC1913" s="16">
        <v>0</v>
      </c>
      <c r="AD1913" s="16">
        <v>0</v>
      </c>
      <c r="AE1913" s="16">
        <v>1910</v>
      </c>
      <c r="AF1913" s="16">
        <f>IF(AC1913=0,IF(O1913=6,INDEX(Acceleration!$V$4:$V$110,MATCH('Track Data'!S1913,Acceleration!$K$4:$K$110,0)),IF('Track Data'!O1913=5,INDEX(Acceleration!$U$4:$U$110,MATCH('Track Data'!S1913,Acceleration!$K$4:$K$110,0)),1)),U1913)</f>
        <v>3.7397870966213724</v>
      </c>
      <c r="AG1913" s="16">
        <f>IF(AC1913=0,IF(O1913=4,INDEX(Acceleration!$T$4:$T$110,MATCH('Track Data'!S1913,Acceleration!$K$4:$K$110,0)),IF('Track Data'!O1913=3,INDEX(Acceleration!$S$4:$S$110,MATCH('Track Data'!S1913,Acceleration!$K$4:$K$110,0)),'Track Data'!AF1913)),'Track Data'!U1913)</f>
        <v>3.7397870966213724</v>
      </c>
      <c r="AH1913" s="16">
        <f>IF(AC1913=0,IF(O1913=2,INDEX(Acceleration!$R$4:$R$110,MATCH('Track Data'!S1913,Acceleration!$K$4:$K$110,0)),IF('Track Data'!O1913=1,INDEX(Acceleration!$Q$4:$Q$110,MATCH('Track Data'!S1913,Acceleration!$K$4:$K$110,0)),'Track Data'!AG1913)),'Track Data'!U1913)</f>
        <v>3.7397870966213724</v>
      </c>
    </row>
    <row r="1914" spans="2:34" x14ac:dyDescent="0.25">
      <c r="B1914" s="16">
        <v>246.762</v>
      </c>
      <c r="C1914" s="16">
        <v>9184</v>
      </c>
      <c r="D1914" s="16">
        <v>1911</v>
      </c>
      <c r="E1914" s="113">
        <v>197</v>
      </c>
      <c r="F1914" s="113">
        <v>194.5</v>
      </c>
      <c r="G1914" s="113">
        <v>190.3</v>
      </c>
      <c r="H1914" s="113">
        <f t="shared" si="208"/>
        <v>52.861111111111114</v>
      </c>
      <c r="I1914" s="113">
        <v>11.4</v>
      </c>
      <c r="J1914" s="113">
        <v>18.850000000000001</v>
      </c>
      <c r="K1914" s="113">
        <v>-20.9</v>
      </c>
      <c r="L1914" s="185"/>
      <c r="M1914" s="16">
        <v>1911</v>
      </c>
      <c r="N1914" s="16">
        <f t="shared" si="210"/>
        <v>1.7862636197430785E-2</v>
      </c>
      <c r="O1914" s="16">
        <v>5</v>
      </c>
      <c r="P1914" s="16">
        <f t="shared" si="206"/>
        <v>8.1742160278745661</v>
      </c>
      <c r="Q1914" s="16">
        <f t="shared" si="211"/>
        <v>55.982778182754004</v>
      </c>
      <c r="R1914" s="113">
        <f t="shared" si="207"/>
        <v>319.54399999999998</v>
      </c>
      <c r="S1914" s="16">
        <f>IF(S1913=15800,15800,ROUND((((Q1914*60)/'Gearing Calculator'!$C$14)*'Track Data'!P1914),-2))</f>
        <v>13900</v>
      </c>
      <c r="T1914" s="16">
        <f t="shared" si="209"/>
        <v>3.7397870966213724</v>
      </c>
      <c r="U1914" s="16">
        <f>IF(AC1914=100,Braking!$AG$2354,IF(AC1914=50,Braking!$AG$1179,IF(AC1914=75,Braking!$AG$1767,0)))</f>
        <v>0</v>
      </c>
      <c r="V1914" s="16">
        <f>0.5*'Gearing Calculator'!$C$15*'Gearing Calculator'!$C$20*'Gearing Calculator'!$W$20*('Track Data'!Q1914^2)</f>
        <v>331.71012259181089</v>
      </c>
      <c r="W1914" s="16">
        <f>('Gearing Calculator'!$U$9*'Track Data'!T1914)+'Track Data'!V1914</f>
        <v>1327.2414477124203</v>
      </c>
      <c r="X1914" s="16">
        <f>('Gearing Calculator'!$U$9*9.81)*('Gearing Calculator'!$U$16/'Gearing Calculator'!$C$7)-(('Track Data'!W1914)*('Gearing Calculator'!$U$17/'Gearing Calculator'!$C$7))</f>
        <v>677.72506872348947</v>
      </c>
      <c r="Y1914" s="16">
        <f>('Gearing Calculator'!$U$9*9.81)*(('Gearing Calculator'!$C$7-'Gearing Calculator'!$U$16)/'Gearing Calculator'!$C$7)+(('Track Data'!W1914)*('Gearing Calculator'!$U$17/'Gearing Calculator'!$C$7))</f>
        <v>1933.6969312765104</v>
      </c>
      <c r="Z1914" s="16">
        <f>((X1914*COS('Gearing Calculator'!$C$21))/'Gearing Calculator'!$C$22)/2</f>
        <v>20.953115663158005</v>
      </c>
      <c r="AA1914" s="16">
        <f>Y1914/'Gearing Calculator'!$C$24</f>
        <v>27.000894869442675</v>
      </c>
      <c r="AB1914" s="16">
        <f t="shared" si="212"/>
        <v>350.40905807491777</v>
      </c>
      <c r="AC1914" s="16">
        <v>0</v>
      </c>
      <c r="AD1914" s="16">
        <v>0</v>
      </c>
      <c r="AE1914" s="16">
        <v>1911</v>
      </c>
      <c r="AF1914" s="16">
        <f>IF(AC1914=0,IF(O1914=6,INDEX(Acceleration!$V$4:$V$110,MATCH('Track Data'!S1914,Acceleration!$K$4:$K$110,0)),IF('Track Data'!O1914=5,INDEX(Acceleration!$U$4:$U$110,MATCH('Track Data'!S1914,Acceleration!$K$4:$K$110,0)),1)),U1914)</f>
        <v>3.7397870966213724</v>
      </c>
      <c r="AG1914" s="16">
        <f>IF(AC1914=0,IF(O1914=4,INDEX(Acceleration!$T$4:$T$110,MATCH('Track Data'!S1914,Acceleration!$K$4:$K$110,0)),IF('Track Data'!O1914=3,INDEX(Acceleration!$S$4:$S$110,MATCH('Track Data'!S1914,Acceleration!$K$4:$K$110,0)),'Track Data'!AF1914)),'Track Data'!U1914)</f>
        <v>3.7397870966213724</v>
      </c>
      <c r="AH1914" s="16">
        <f>IF(AC1914=0,IF(O1914=2,INDEX(Acceleration!$R$4:$R$110,MATCH('Track Data'!S1914,Acceleration!$K$4:$K$110,0)),IF('Track Data'!O1914=1,INDEX(Acceleration!$Q$4:$Q$110,MATCH('Track Data'!S1914,Acceleration!$K$4:$K$110,0)),'Track Data'!AG1914)),'Track Data'!U1914)</f>
        <v>3.7397870966213724</v>
      </c>
    </row>
    <row r="1915" spans="2:34" x14ac:dyDescent="0.25">
      <c r="B1915" s="16">
        <v>246.78100000000001</v>
      </c>
      <c r="C1915" s="16">
        <v>9185</v>
      </c>
      <c r="D1915" s="16">
        <v>1912</v>
      </c>
      <c r="E1915" s="113">
        <v>196</v>
      </c>
      <c r="F1915" s="113">
        <v>194.6</v>
      </c>
      <c r="G1915" s="113">
        <v>190.5</v>
      </c>
      <c r="H1915" s="113">
        <f t="shared" si="208"/>
        <v>52.916666666666664</v>
      </c>
      <c r="I1915" s="113">
        <v>11.8</v>
      </c>
      <c r="J1915" s="113">
        <v>21.77</v>
      </c>
      <c r="K1915" s="113">
        <v>-19.8</v>
      </c>
      <c r="L1915" s="185"/>
      <c r="M1915" s="16">
        <v>1912</v>
      </c>
      <c r="N1915" s="16">
        <f t="shared" si="210"/>
        <v>1.7841359361590762E-2</v>
      </c>
      <c r="O1915" s="16">
        <v>5</v>
      </c>
      <c r="P1915" s="16">
        <f t="shared" si="206"/>
        <v>8.1742160278745661</v>
      </c>
      <c r="Q1915" s="16">
        <f t="shared" si="211"/>
        <v>56.049540829989681</v>
      </c>
      <c r="R1915" s="113">
        <f t="shared" si="207"/>
        <v>319.54399999999998</v>
      </c>
      <c r="S1915" s="16">
        <f>IF(S1914=15800,15800,ROUND((((Q1915*60)/'Gearing Calculator'!$C$14)*'Track Data'!P1915),-2))</f>
        <v>13900</v>
      </c>
      <c r="T1915" s="16">
        <f t="shared" si="209"/>
        <v>3.7397870966213724</v>
      </c>
      <c r="U1915" s="16">
        <f>IF(AC1915=100,Braking!$AG$2354,IF(AC1915=50,Braking!$AG$1179,IF(AC1915=75,Braking!$AG$1767,0)))</f>
        <v>0</v>
      </c>
      <c r="V1915" s="16">
        <f>0.5*'Gearing Calculator'!$C$15*'Gearing Calculator'!$C$20*'Gearing Calculator'!$W$20*('Track Data'!Q1915^2)</f>
        <v>332.50176072442366</v>
      </c>
      <c r="W1915" s="16">
        <f>('Gearing Calculator'!$U$9*'Track Data'!T1915)+'Track Data'!V1915</f>
        <v>1328.0330858450329</v>
      </c>
      <c r="X1915" s="16">
        <f>('Gearing Calculator'!$U$9*9.81)*('Gearing Calculator'!$U$16/'Gearing Calculator'!$C$7)-(('Track Data'!W1915)*('Gearing Calculator'!$U$17/'Gearing Calculator'!$C$7))</f>
        <v>677.29357187729215</v>
      </c>
      <c r="Y1915" s="16">
        <f>('Gearing Calculator'!$U$9*9.81)*(('Gearing Calculator'!$C$7-'Gearing Calculator'!$U$16)/'Gearing Calculator'!$C$7)+(('Track Data'!W1915)*('Gearing Calculator'!$U$17/'Gearing Calculator'!$C$7))</f>
        <v>1934.1284281227079</v>
      </c>
      <c r="Z1915" s="16">
        <f>((X1915*COS('Gearing Calculator'!$C$21))/'Gearing Calculator'!$C$22)/2</f>
        <v>20.939775145381834</v>
      </c>
      <c r="AA1915" s="16">
        <f>Y1915/'Gearing Calculator'!$C$24</f>
        <v>27.006920012675945</v>
      </c>
      <c r="AB1915" s="16">
        <f t="shared" si="212"/>
        <v>351.20069620753054</v>
      </c>
      <c r="AC1915" s="16">
        <v>0</v>
      </c>
      <c r="AD1915" s="16">
        <v>0</v>
      </c>
      <c r="AE1915" s="16">
        <v>1912</v>
      </c>
      <c r="AF1915" s="16">
        <f>IF(AC1915=0,IF(O1915=6,INDEX(Acceleration!$V$4:$V$110,MATCH('Track Data'!S1915,Acceleration!$K$4:$K$110,0)),IF('Track Data'!O1915=5,INDEX(Acceleration!$U$4:$U$110,MATCH('Track Data'!S1915,Acceleration!$K$4:$K$110,0)),1)),U1915)</f>
        <v>3.7397870966213724</v>
      </c>
      <c r="AG1915" s="16">
        <f>IF(AC1915=0,IF(O1915=4,INDEX(Acceleration!$T$4:$T$110,MATCH('Track Data'!S1915,Acceleration!$K$4:$K$110,0)),IF('Track Data'!O1915=3,INDEX(Acceleration!$S$4:$S$110,MATCH('Track Data'!S1915,Acceleration!$K$4:$K$110,0)),'Track Data'!AF1915)),'Track Data'!U1915)</f>
        <v>3.7397870966213724</v>
      </c>
      <c r="AH1915" s="16">
        <f>IF(AC1915=0,IF(O1915=2,INDEX(Acceleration!$R$4:$R$110,MATCH('Track Data'!S1915,Acceleration!$K$4:$K$110,0)),IF('Track Data'!O1915=1,INDEX(Acceleration!$Q$4:$Q$110,MATCH('Track Data'!S1915,Acceleration!$K$4:$K$110,0)),'Track Data'!AG1915)),'Track Data'!U1915)</f>
        <v>3.7397870966213724</v>
      </c>
    </row>
    <row r="1916" spans="2:34" x14ac:dyDescent="0.25">
      <c r="B1916" s="16">
        <v>246.79900000000001</v>
      </c>
      <c r="C1916" s="16">
        <v>9186</v>
      </c>
      <c r="D1916" s="16">
        <v>1913</v>
      </c>
      <c r="E1916" s="113">
        <v>196</v>
      </c>
      <c r="F1916" s="113">
        <v>194.6</v>
      </c>
      <c r="G1916" s="113">
        <v>190.6</v>
      </c>
      <c r="H1916" s="113">
        <f t="shared" si="208"/>
        <v>52.944444444444443</v>
      </c>
      <c r="I1916" s="113">
        <v>12.1</v>
      </c>
      <c r="J1916" s="113">
        <v>23.64</v>
      </c>
      <c r="K1916" s="113">
        <v>-19.3</v>
      </c>
      <c r="L1916" s="185"/>
      <c r="M1916" s="16">
        <v>1913</v>
      </c>
      <c r="N1916" s="16">
        <f t="shared" si="210"/>
        <v>1.7820158375912602E-2</v>
      </c>
      <c r="O1916" s="16">
        <v>5</v>
      </c>
      <c r="P1916" s="16">
        <f t="shared" si="206"/>
        <v>8.1742160278745661</v>
      </c>
      <c r="Q1916" s="16">
        <f t="shared" si="211"/>
        <v>56.116224048361651</v>
      </c>
      <c r="R1916" s="113">
        <f t="shared" si="207"/>
        <v>319.54399999999998</v>
      </c>
      <c r="S1916" s="16">
        <f>IF(S1915=15800,15800,ROUND((((Q1916*60)/'Gearing Calculator'!$C$14)*'Track Data'!P1916),-2))</f>
        <v>13900</v>
      </c>
      <c r="T1916" s="16">
        <f t="shared" si="209"/>
        <v>3.7397870966213724</v>
      </c>
      <c r="U1916" s="16">
        <f>IF(AC1916=100,Braking!$AG$2354,IF(AC1916=50,Braking!$AG$1179,IF(AC1916=75,Braking!$AG$1767,0)))</f>
        <v>0</v>
      </c>
      <c r="V1916" s="16">
        <f>0.5*'Gearing Calculator'!$C$15*'Gearing Calculator'!$C$20*'Gearing Calculator'!$W$20*('Track Data'!Q1916^2)</f>
        <v>333.29339885703638</v>
      </c>
      <c r="W1916" s="16">
        <f>('Gearing Calculator'!$U$9*'Track Data'!T1916)+'Track Data'!V1916</f>
        <v>1328.8247239776456</v>
      </c>
      <c r="X1916" s="16">
        <f>('Gearing Calculator'!$U$9*9.81)*('Gearing Calculator'!$U$16/'Gearing Calculator'!$C$7)-(('Track Data'!W1916)*('Gearing Calculator'!$U$17/'Gearing Calculator'!$C$7))</f>
        <v>676.86207503109483</v>
      </c>
      <c r="Y1916" s="16">
        <f>('Gearing Calculator'!$U$9*9.81)*(('Gearing Calculator'!$C$7-'Gearing Calculator'!$U$16)/'Gearing Calculator'!$C$7)+(('Track Data'!W1916)*('Gearing Calculator'!$U$17/'Gearing Calculator'!$C$7))</f>
        <v>1934.5599249689053</v>
      </c>
      <c r="Z1916" s="16">
        <f>((X1916*COS('Gearing Calculator'!$C$21))/'Gearing Calculator'!$C$22)/2</f>
        <v>20.926434627605669</v>
      </c>
      <c r="AA1916" s="16">
        <f>Y1916/'Gearing Calculator'!$C$24</f>
        <v>27.012945155909211</v>
      </c>
      <c r="AB1916" s="16">
        <f t="shared" si="212"/>
        <v>351.99233434014326</v>
      </c>
      <c r="AC1916" s="16">
        <v>0</v>
      </c>
      <c r="AD1916" s="16">
        <v>0</v>
      </c>
      <c r="AE1916" s="16">
        <v>1913</v>
      </c>
      <c r="AF1916" s="16">
        <f>IF(AC1916=0,IF(O1916=6,INDEX(Acceleration!$V$4:$V$110,MATCH('Track Data'!S1916,Acceleration!$K$4:$K$110,0)),IF('Track Data'!O1916=5,INDEX(Acceleration!$U$4:$U$110,MATCH('Track Data'!S1916,Acceleration!$K$4:$K$110,0)),1)),U1916)</f>
        <v>3.7397870966213724</v>
      </c>
      <c r="AG1916" s="16">
        <f>IF(AC1916=0,IF(O1916=4,INDEX(Acceleration!$T$4:$T$110,MATCH('Track Data'!S1916,Acceleration!$K$4:$K$110,0)),IF('Track Data'!O1916=3,INDEX(Acceleration!$S$4:$S$110,MATCH('Track Data'!S1916,Acceleration!$K$4:$K$110,0)),'Track Data'!AF1916)),'Track Data'!U1916)</f>
        <v>3.7397870966213724</v>
      </c>
      <c r="AH1916" s="16">
        <f>IF(AC1916=0,IF(O1916=2,INDEX(Acceleration!$R$4:$R$110,MATCH('Track Data'!S1916,Acceleration!$K$4:$K$110,0)),IF('Track Data'!O1916=1,INDEX(Acceleration!$Q$4:$Q$110,MATCH('Track Data'!S1916,Acceleration!$K$4:$K$110,0)),'Track Data'!AG1916)),'Track Data'!U1916)</f>
        <v>3.7397870966213724</v>
      </c>
    </row>
    <row r="1917" spans="2:34" x14ac:dyDescent="0.25">
      <c r="B1917" s="16">
        <v>246.81800000000001</v>
      </c>
      <c r="C1917" s="16">
        <v>9187</v>
      </c>
      <c r="D1917" s="16">
        <v>1914</v>
      </c>
      <c r="E1917" s="113">
        <v>196</v>
      </c>
      <c r="F1917" s="113">
        <v>194.7</v>
      </c>
      <c r="G1917" s="113">
        <v>190.8</v>
      </c>
      <c r="H1917" s="113">
        <f t="shared" si="208"/>
        <v>53</v>
      </c>
      <c r="I1917" s="113">
        <v>13.3</v>
      </c>
      <c r="J1917" s="113">
        <v>24.95</v>
      </c>
      <c r="K1917" s="113">
        <v>-19.2</v>
      </c>
      <c r="L1917" s="185"/>
      <c r="M1917" s="16">
        <v>1914</v>
      </c>
      <c r="N1917" s="16">
        <f t="shared" si="210"/>
        <v>1.779903279079878E-2</v>
      </c>
      <c r="O1917" s="16">
        <v>5</v>
      </c>
      <c r="P1917" s="16">
        <f t="shared" si="206"/>
        <v>8.1742160278745661</v>
      </c>
      <c r="Q1917" s="16">
        <f t="shared" si="211"/>
        <v>56.182828120691511</v>
      </c>
      <c r="R1917" s="113">
        <f t="shared" si="207"/>
        <v>319.54399999999998</v>
      </c>
      <c r="S1917" s="16">
        <f>IF(S1916=15800,15800,ROUND((((Q1917*60)/'Gearing Calculator'!$C$14)*'Track Data'!P1917),-2))</f>
        <v>13900</v>
      </c>
      <c r="T1917" s="16">
        <f t="shared" si="209"/>
        <v>3.7397870966213724</v>
      </c>
      <c r="U1917" s="16">
        <f>IF(AC1917=100,Braking!$AG$2354,IF(AC1917=50,Braking!$AG$1179,IF(AC1917=75,Braking!$AG$1767,0)))</f>
        <v>0</v>
      </c>
      <c r="V1917" s="16">
        <f>0.5*'Gearing Calculator'!$C$15*'Gearing Calculator'!$C$20*'Gearing Calculator'!$W$20*('Track Data'!Q1917^2)</f>
        <v>334.08503698964915</v>
      </c>
      <c r="W1917" s="16">
        <f>('Gearing Calculator'!$U$9*'Track Data'!T1917)+'Track Data'!V1917</f>
        <v>1329.6163621102585</v>
      </c>
      <c r="X1917" s="16">
        <f>('Gearing Calculator'!$U$9*9.81)*('Gearing Calculator'!$U$16/'Gearing Calculator'!$C$7)-(('Track Data'!W1917)*('Gearing Calculator'!$U$17/'Gearing Calculator'!$C$7))</f>
        <v>676.43057818489751</v>
      </c>
      <c r="Y1917" s="16">
        <f>('Gearing Calculator'!$U$9*9.81)*(('Gearing Calculator'!$C$7-'Gearing Calculator'!$U$16)/'Gearing Calculator'!$C$7)+(('Track Data'!W1917)*('Gearing Calculator'!$U$17/'Gearing Calculator'!$C$7))</f>
        <v>1934.9914218151025</v>
      </c>
      <c r="Z1917" s="16">
        <f>((X1917*COS('Gearing Calculator'!$C$21))/'Gearing Calculator'!$C$22)/2</f>
        <v>20.913094109829501</v>
      </c>
      <c r="AA1917" s="16">
        <f>Y1917/'Gearing Calculator'!$C$24</f>
        <v>27.018970299142477</v>
      </c>
      <c r="AB1917" s="16">
        <f t="shared" si="212"/>
        <v>352.78397247275603</v>
      </c>
      <c r="AC1917" s="16">
        <v>0</v>
      </c>
      <c r="AD1917" s="16">
        <v>0</v>
      </c>
      <c r="AE1917" s="16">
        <v>1914</v>
      </c>
      <c r="AF1917" s="16">
        <f>IF(AC1917=0,IF(O1917=6,INDEX(Acceleration!$V$4:$V$110,MATCH('Track Data'!S1917,Acceleration!$K$4:$K$110,0)),IF('Track Data'!O1917=5,INDEX(Acceleration!$U$4:$U$110,MATCH('Track Data'!S1917,Acceleration!$K$4:$K$110,0)),1)),U1917)</f>
        <v>3.7397870966213724</v>
      </c>
      <c r="AG1917" s="16">
        <f>IF(AC1917=0,IF(O1917=4,INDEX(Acceleration!$T$4:$T$110,MATCH('Track Data'!S1917,Acceleration!$K$4:$K$110,0)),IF('Track Data'!O1917=3,INDEX(Acceleration!$S$4:$S$110,MATCH('Track Data'!S1917,Acceleration!$K$4:$K$110,0)),'Track Data'!AF1917)),'Track Data'!U1917)</f>
        <v>3.7397870966213724</v>
      </c>
      <c r="AH1917" s="16">
        <f>IF(AC1917=0,IF(O1917=2,INDEX(Acceleration!$R$4:$R$110,MATCH('Track Data'!S1917,Acceleration!$K$4:$K$110,0)),IF('Track Data'!O1917=1,INDEX(Acceleration!$Q$4:$Q$110,MATCH('Track Data'!S1917,Acceleration!$K$4:$K$110,0)),'Track Data'!AG1917)),'Track Data'!U1917)</f>
        <v>3.7397870966213724</v>
      </c>
    </row>
    <row r="1918" spans="2:34" x14ac:dyDescent="0.25">
      <c r="B1918" s="16">
        <v>246.83600000000001</v>
      </c>
      <c r="C1918" s="16">
        <v>9188</v>
      </c>
      <c r="D1918" s="16">
        <v>1915</v>
      </c>
      <c r="E1918" s="113">
        <v>196</v>
      </c>
      <c r="F1918" s="113">
        <v>194.7</v>
      </c>
      <c r="G1918" s="113">
        <v>190.9</v>
      </c>
      <c r="H1918" s="113">
        <f t="shared" si="208"/>
        <v>53.027777777777779</v>
      </c>
      <c r="I1918" s="113">
        <v>14.2</v>
      </c>
      <c r="J1918" s="113">
        <v>27.02</v>
      </c>
      <c r="K1918" s="113">
        <v>-19.600000000000001</v>
      </c>
      <c r="L1918" s="185"/>
      <c r="M1918" s="16">
        <v>1915</v>
      </c>
      <c r="N1918" s="16">
        <f t="shared" si="210"/>
        <v>1.7777982160373903E-2</v>
      </c>
      <c r="O1918" s="16">
        <v>5</v>
      </c>
      <c r="P1918" s="16">
        <f t="shared" si="206"/>
        <v>8.1742160278745661</v>
      </c>
      <c r="Q1918" s="16">
        <f t="shared" si="211"/>
        <v>56.249353328126425</v>
      </c>
      <c r="R1918" s="113">
        <f t="shared" si="207"/>
        <v>319.54399999999998</v>
      </c>
      <c r="S1918" s="16">
        <f>IF(S1917=15800,15800,ROUND((((Q1918*60)/'Gearing Calculator'!$C$14)*'Track Data'!P1918),-2))</f>
        <v>13900</v>
      </c>
      <c r="T1918" s="16">
        <f t="shared" si="209"/>
        <v>3.7397870966213724</v>
      </c>
      <c r="U1918" s="16">
        <f>IF(AC1918=100,Braking!$AG$2354,IF(AC1918=50,Braking!$AG$1179,IF(AC1918=75,Braking!$AG$1767,0)))</f>
        <v>0</v>
      </c>
      <c r="V1918" s="16">
        <f>0.5*'Gearing Calculator'!$C$15*'Gearing Calculator'!$C$20*'Gearing Calculator'!$W$20*('Track Data'!Q1918^2)</f>
        <v>334.87667512226193</v>
      </c>
      <c r="W1918" s="16">
        <f>('Gearing Calculator'!$U$9*'Track Data'!T1918)+'Track Data'!V1918</f>
        <v>1330.4080002428711</v>
      </c>
      <c r="X1918" s="16">
        <f>('Gearing Calculator'!$U$9*9.81)*('Gearing Calculator'!$U$16/'Gearing Calculator'!$C$7)-(('Track Data'!W1918)*('Gearing Calculator'!$U$17/'Gearing Calculator'!$C$7))</f>
        <v>675.99908133870019</v>
      </c>
      <c r="Y1918" s="16">
        <f>('Gearing Calculator'!$U$9*9.81)*(('Gearing Calculator'!$C$7-'Gearing Calculator'!$U$16)/'Gearing Calculator'!$C$7)+(('Track Data'!W1918)*('Gearing Calculator'!$U$17/'Gearing Calculator'!$C$7))</f>
        <v>1935.4229186612997</v>
      </c>
      <c r="Z1918" s="16">
        <f>((X1918*COS('Gearing Calculator'!$C$21))/'Gearing Calculator'!$C$22)/2</f>
        <v>20.899753592053329</v>
      </c>
      <c r="AA1918" s="16">
        <f>Y1918/'Gearing Calculator'!$C$24</f>
        <v>27.024995442375744</v>
      </c>
      <c r="AB1918" s="16">
        <f t="shared" si="212"/>
        <v>353.57561060536881</v>
      </c>
      <c r="AC1918" s="16">
        <v>0</v>
      </c>
      <c r="AD1918" s="16">
        <v>0</v>
      </c>
      <c r="AE1918" s="16">
        <v>1915</v>
      </c>
      <c r="AF1918" s="16">
        <f>IF(AC1918=0,IF(O1918=6,INDEX(Acceleration!$V$4:$V$110,MATCH('Track Data'!S1918,Acceleration!$K$4:$K$110,0)),IF('Track Data'!O1918=5,INDEX(Acceleration!$U$4:$U$110,MATCH('Track Data'!S1918,Acceleration!$K$4:$K$110,0)),1)),U1918)</f>
        <v>3.7397870966213724</v>
      </c>
      <c r="AG1918" s="16">
        <f>IF(AC1918=0,IF(O1918=4,INDEX(Acceleration!$T$4:$T$110,MATCH('Track Data'!S1918,Acceleration!$K$4:$K$110,0)),IF('Track Data'!O1918=3,INDEX(Acceleration!$S$4:$S$110,MATCH('Track Data'!S1918,Acceleration!$K$4:$K$110,0)),'Track Data'!AF1918)),'Track Data'!U1918)</f>
        <v>3.7397870966213724</v>
      </c>
      <c r="AH1918" s="16">
        <f>IF(AC1918=0,IF(O1918=2,INDEX(Acceleration!$R$4:$R$110,MATCH('Track Data'!S1918,Acceleration!$K$4:$K$110,0)),IF('Track Data'!O1918=1,INDEX(Acceleration!$Q$4:$Q$110,MATCH('Track Data'!S1918,Acceleration!$K$4:$K$110,0)),'Track Data'!AG1918)),'Track Data'!U1918)</f>
        <v>3.7397870966213724</v>
      </c>
    </row>
    <row r="1919" spans="2:34" x14ac:dyDescent="0.25">
      <c r="B1919" s="16">
        <v>246.85499999999999</v>
      </c>
      <c r="C1919" s="16">
        <v>9189</v>
      </c>
      <c r="D1919" s="16">
        <v>1916</v>
      </c>
      <c r="E1919" s="113">
        <v>196</v>
      </c>
      <c r="F1919" s="113">
        <v>194.7</v>
      </c>
      <c r="G1919" s="113">
        <v>191.1</v>
      </c>
      <c r="H1919" s="113">
        <f t="shared" si="208"/>
        <v>53.083333333333329</v>
      </c>
      <c r="I1919" s="113">
        <v>14.5</v>
      </c>
      <c r="J1919" s="113">
        <v>26.79</v>
      </c>
      <c r="K1919" s="113">
        <v>-20.100000000000001</v>
      </c>
      <c r="L1919" s="185"/>
      <c r="M1919" s="16">
        <v>1916</v>
      </c>
      <c r="N1919" s="16">
        <f t="shared" si="210"/>
        <v>1.7757006042445175E-2</v>
      </c>
      <c r="O1919" s="16">
        <v>5</v>
      </c>
      <c r="P1919" s="16">
        <f t="shared" si="206"/>
        <v>8.1742160278745661</v>
      </c>
      <c r="Q1919" s="16">
        <f t="shared" si="211"/>
        <v>56.315799950152972</v>
      </c>
      <c r="R1919" s="113">
        <f t="shared" si="207"/>
        <v>319.54399999999998</v>
      </c>
      <c r="S1919" s="16">
        <f>IF(S1918=15800,15800,ROUND((((Q1919*60)/'Gearing Calculator'!$C$14)*'Track Data'!P1919),-2))</f>
        <v>14000</v>
      </c>
      <c r="T1919" s="16">
        <f t="shared" si="209"/>
        <v>3.7363975474595237</v>
      </c>
      <c r="U1919" s="16">
        <f>IF(AC1919=100,Braking!$AG$2354,IF(AC1919=50,Braking!$AG$1179,IF(AC1919=75,Braking!$AG$1767,0)))</f>
        <v>0</v>
      </c>
      <c r="V1919" s="16">
        <f>0.5*'Gearing Calculator'!$C$15*'Gearing Calculator'!$C$20*'Gearing Calculator'!$W$20*('Track Data'!Q1919^2)</f>
        <v>335.6683132548747</v>
      </c>
      <c r="W1919" s="16">
        <f>('Gearing Calculator'!$U$9*'Track Data'!T1919)+'Track Data'!V1919</f>
        <v>1330.2973403885999</v>
      </c>
      <c r="X1919" s="16">
        <f>('Gearing Calculator'!$U$9*9.81)*('Gearing Calculator'!$U$16/'Gearing Calculator'!$C$7)-(('Track Data'!W1919)*('Gearing Calculator'!$U$17/'Gearing Calculator'!$C$7))</f>
        <v>676.05939851665255</v>
      </c>
      <c r="Y1919" s="16">
        <f>('Gearing Calculator'!$U$9*9.81)*(('Gearing Calculator'!$C$7-'Gearing Calculator'!$U$16)/'Gearing Calculator'!$C$7)+(('Track Data'!W1919)*('Gearing Calculator'!$U$17/'Gearing Calculator'!$C$7))</f>
        <v>1935.3626014833476</v>
      </c>
      <c r="Z1919" s="16">
        <f>((X1919*COS('Gearing Calculator'!$C$21))/'Gearing Calculator'!$C$22)/2</f>
        <v>20.901618408428636</v>
      </c>
      <c r="AA1919" s="16">
        <f>Y1919/'Gearing Calculator'!$C$24</f>
        <v>27.024153212264931</v>
      </c>
      <c r="AB1919" s="16">
        <f t="shared" si="212"/>
        <v>354.35030099217232</v>
      </c>
      <c r="AC1919" s="16">
        <v>0</v>
      </c>
      <c r="AD1919" s="16">
        <v>0</v>
      </c>
      <c r="AE1919" s="16">
        <v>1916</v>
      </c>
      <c r="AF1919" s="16">
        <f>IF(AC1919=0,IF(O1919=6,INDEX(Acceleration!$V$4:$V$110,MATCH('Track Data'!S1919,Acceleration!$K$4:$K$110,0)),IF('Track Data'!O1919=5,INDEX(Acceleration!$U$4:$U$110,MATCH('Track Data'!S1919,Acceleration!$K$4:$K$110,0)),1)),U1919)</f>
        <v>3.7363975474595237</v>
      </c>
      <c r="AG1919" s="16">
        <f>IF(AC1919=0,IF(O1919=4,INDEX(Acceleration!$T$4:$T$110,MATCH('Track Data'!S1919,Acceleration!$K$4:$K$110,0)),IF('Track Data'!O1919=3,INDEX(Acceleration!$S$4:$S$110,MATCH('Track Data'!S1919,Acceleration!$K$4:$K$110,0)),'Track Data'!AF1919)),'Track Data'!U1919)</f>
        <v>3.7363975474595237</v>
      </c>
      <c r="AH1919" s="16">
        <f>IF(AC1919=0,IF(O1919=2,INDEX(Acceleration!$R$4:$R$110,MATCH('Track Data'!S1919,Acceleration!$K$4:$K$110,0)),IF('Track Data'!O1919=1,INDEX(Acceleration!$Q$4:$Q$110,MATCH('Track Data'!S1919,Acceleration!$K$4:$K$110,0)),'Track Data'!AG1919)),'Track Data'!U1919)</f>
        <v>3.7363975474595237</v>
      </c>
    </row>
    <row r="1920" spans="2:34" x14ac:dyDescent="0.25">
      <c r="B1920" s="16">
        <v>246.87299999999999</v>
      </c>
      <c r="C1920" s="16">
        <v>9190</v>
      </c>
      <c r="D1920" s="16">
        <v>1917</v>
      </c>
      <c r="E1920" s="113">
        <v>197</v>
      </c>
      <c r="F1920" s="113">
        <v>194.7</v>
      </c>
      <c r="G1920" s="113">
        <v>191.3</v>
      </c>
      <c r="H1920" s="113">
        <f t="shared" si="208"/>
        <v>53.138888888888893</v>
      </c>
      <c r="I1920" s="113">
        <v>14.4</v>
      </c>
      <c r="J1920" s="113">
        <v>27.98</v>
      </c>
      <c r="K1920" s="113">
        <v>-20.5</v>
      </c>
      <c r="L1920" s="185"/>
      <c r="M1920" s="16">
        <v>1917</v>
      </c>
      <c r="N1920" s="16">
        <f t="shared" si="210"/>
        <v>1.7736122909586059E-2</v>
      </c>
      <c r="O1920" s="16">
        <v>5</v>
      </c>
      <c r="P1920" s="16">
        <f t="shared" si="206"/>
        <v>8.1742160278745661</v>
      </c>
      <c r="Q1920" s="16">
        <f t="shared" si="211"/>
        <v>56.382108147182365</v>
      </c>
      <c r="R1920" s="113">
        <f t="shared" si="207"/>
        <v>319.54399999999998</v>
      </c>
      <c r="S1920" s="16">
        <f>IF(S1919=15800,15800,ROUND((((Q1920*60)/'Gearing Calculator'!$C$14)*'Track Data'!P1920),-2))</f>
        <v>14000</v>
      </c>
      <c r="T1920" s="16">
        <f t="shared" si="209"/>
        <v>3.7363975474595237</v>
      </c>
      <c r="U1920" s="16">
        <f>IF(AC1920=100,Braking!$AG$2354,IF(AC1920=50,Braking!$AG$1179,IF(AC1920=75,Braking!$AG$1767,0)))</f>
        <v>0</v>
      </c>
      <c r="V1920" s="16">
        <f>0.5*'Gearing Calculator'!$C$15*'Gearing Calculator'!$C$20*'Gearing Calculator'!$W$20*('Track Data'!Q1920^2)</f>
        <v>336.45923388772087</v>
      </c>
      <c r="W1920" s="16">
        <f>('Gearing Calculator'!$U$9*'Track Data'!T1920)+'Track Data'!V1920</f>
        <v>1331.088261021446</v>
      </c>
      <c r="X1920" s="16">
        <f>('Gearing Calculator'!$U$9*9.81)*('Gearing Calculator'!$U$16/'Gearing Calculator'!$C$7)-(('Track Data'!W1920)*('Gearing Calculator'!$U$17/'Gearing Calculator'!$C$7))</f>
        <v>675.62829275682884</v>
      </c>
      <c r="Y1920" s="16">
        <f>('Gearing Calculator'!$U$9*9.81)*(('Gearing Calculator'!$C$7-'Gearing Calculator'!$U$16)/'Gearing Calculator'!$C$7)+(('Track Data'!W1920)*('Gearing Calculator'!$U$17/'Gearing Calculator'!$C$7))</f>
        <v>1935.7937072431712</v>
      </c>
      <c r="Z1920" s="16">
        <f>((X1920*COS('Gearing Calculator'!$C$21))/'Gearing Calculator'!$C$22)/2</f>
        <v>20.888289981806242</v>
      </c>
      <c r="AA1920" s="16">
        <f>Y1920/'Gearing Calculator'!$C$24</f>
        <v>27.030172894620698</v>
      </c>
      <c r="AB1920" s="16">
        <f t="shared" si="212"/>
        <v>355.14122162501849</v>
      </c>
      <c r="AC1920" s="16">
        <v>0</v>
      </c>
      <c r="AD1920" s="16">
        <v>0</v>
      </c>
      <c r="AE1920" s="16">
        <v>1917</v>
      </c>
      <c r="AF1920" s="16">
        <f>IF(AC1920=0,IF(O1920=6,INDEX(Acceleration!$V$4:$V$110,MATCH('Track Data'!S1920,Acceleration!$K$4:$K$110,0)),IF('Track Data'!O1920=5,INDEX(Acceleration!$U$4:$U$110,MATCH('Track Data'!S1920,Acceleration!$K$4:$K$110,0)),1)),U1920)</f>
        <v>3.7363975474595237</v>
      </c>
      <c r="AG1920" s="16">
        <f>IF(AC1920=0,IF(O1920=4,INDEX(Acceleration!$T$4:$T$110,MATCH('Track Data'!S1920,Acceleration!$K$4:$K$110,0)),IF('Track Data'!O1920=3,INDEX(Acceleration!$S$4:$S$110,MATCH('Track Data'!S1920,Acceleration!$K$4:$K$110,0)),'Track Data'!AF1920)),'Track Data'!U1920)</f>
        <v>3.7363975474595237</v>
      </c>
      <c r="AH1920" s="16">
        <f>IF(AC1920=0,IF(O1920=2,INDEX(Acceleration!$R$4:$R$110,MATCH('Track Data'!S1920,Acceleration!$K$4:$K$110,0)),IF('Track Data'!O1920=1,INDEX(Acceleration!$Q$4:$Q$110,MATCH('Track Data'!S1920,Acceleration!$K$4:$K$110,0)),'Track Data'!AG1920)),'Track Data'!U1920)</f>
        <v>3.7363975474595237</v>
      </c>
    </row>
    <row r="1921" spans="2:34" x14ac:dyDescent="0.25">
      <c r="B1921" s="16">
        <v>246.892</v>
      </c>
      <c r="C1921" s="16">
        <v>9191</v>
      </c>
      <c r="D1921" s="16">
        <v>1918</v>
      </c>
      <c r="E1921" s="113">
        <v>197</v>
      </c>
      <c r="F1921" s="113">
        <v>194.6</v>
      </c>
      <c r="G1921" s="113">
        <v>191.4</v>
      </c>
      <c r="H1921" s="113">
        <f t="shared" si="208"/>
        <v>53.166666666666664</v>
      </c>
      <c r="I1921" s="113">
        <v>13.9</v>
      </c>
      <c r="J1921" s="113">
        <v>26.36</v>
      </c>
      <c r="K1921" s="113">
        <v>-20.5</v>
      </c>
      <c r="L1921" s="185"/>
      <c r="M1921" s="16">
        <v>1918</v>
      </c>
      <c r="N1921" s="16">
        <f t="shared" si="210"/>
        <v>1.7715313282696432E-2</v>
      </c>
      <c r="O1921" s="16">
        <v>5</v>
      </c>
      <c r="P1921" s="16">
        <f t="shared" si="206"/>
        <v>8.1742160278745661</v>
      </c>
      <c r="Q1921" s="16">
        <f t="shared" si="211"/>
        <v>56.448338453983631</v>
      </c>
      <c r="R1921" s="113">
        <f t="shared" si="207"/>
        <v>319.54399999999998</v>
      </c>
      <c r="S1921" s="16">
        <f>IF(S1920=15800,15800,ROUND((((Q1921*60)/'Gearing Calculator'!$C$14)*'Track Data'!P1921),-2))</f>
        <v>14000</v>
      </c>
      <c r="T1921" s="16">
        <f t="shared" si="209"/>
        <v>3.7363975474595237</v>
      </c>
      <c r="U1921" s="16">
        <f>IF(AC1921=100,Braking!$AG$2354,IF(AC1921=50,Braking!$AG$1179,IF(AC1921=75,Braking!$AG$1767,0)))</f>
        <v>0</v>
      </c>
      <c r="V1921" s="16">
        <f>0.5*'Gearing Calculator'!$C$15*'Gearing Calculator'!$C$20*'Gearing Calculator'!$W$20*('Track Data'!Q1921^2)</f>
        <v>337.25015452056709</v>
      </c>
      <c r="W1921" s="16">
        <f>('Gearing Calculator'!$U$9*'Track Data'!T1921)+'Track Data'!V1921</f>
        <v>1331.8791816542921</v>
      </c>
      <c r="X1921" s="16">
        <f>('Gearing Calculator'!$U$9*9.81)*('Gearing Calculator'!$U$16/'Gearing Calculator'!$C$7)-(('Track Data'!W1921)*('Gearing Calculator'!$U$17/'Gearing Calculator'!$C$7))</f>
        <v>675.19718699700502</v>
      </c>
      <c r="Y1921" s="16">
        <f>('Gearing Calculator'!$U$9*9.81)*(('Gearing Calculator'!$C$7-'Gearing Calculator'!$U$16)/'Gearing Calculator'!$C$7)+(('Track Data'!W1921)*('Gearing Calculator'!$U$17/'Gearing Calculator'!$C$7))</f>
        <v>1936.224813002995</v>
      </c>
      <c r="Z1921" s="16">
        <f>((X1921*COS('Gearing Calculator'!$C$21))/'Gearing Calculator'!$C$22)/2</f>
        <v>20.874961555183841</v>
      </c>
      <c r="AA1921" s="16">
        <f>Y1921/'Gearing Calculator'!$C$24</f>
        <v>27.036192576976468</v>
      </c>
      <c r="AB1921" s="16">
        <f t="shared" si="212"/>
        <v>355.93214225786471</v>
      </c>
      <c r="AC1921" s="16">
        <v>0</v>
      </c>
      <c r="AD1921" s="16">
        <v>0</v>
      </c>
      <c r="AE1921" s="16">
        <v>1918</v>
      </c>
      <c r="AF1921" s="16">
        <f>IF(AC1921=0,IF(O1921=6,INDEX(Acceleration!$V$4:$V$110,MATCH('Track Data'!S1921,Acceleration!$K$4:$K$110,0)),IF('Track Data'!O1921=5,INDEX(Acceleration!$U$4:$U$110,MATCH('Track Data'!S1921,Acceleration!$K$4:$K$110,0)),1)),U1921)</f>
        <v>3.7363975474595237</v>
      </c>
      <c r="AG1921" s="16">
        <f>IF(AC1921=0,IF(O1921=4,INDEX(Acceleration!$T$4:$T$110,MATCH('Track Data'!S1921,Acceleration!$K$4:$K$110,0)),IF('Track Data'!O1921=3,INDEX(Acceleration!$S$4:$S$110,MATCH('Track Data'!S1921,Acceleration!$K$4:$K$110,0)),'Track Data'!AF1921)),'Track Data'!U1921)</f>
        <v>3.7363975474595237</v>
      </c>
      <c r="AH1921" s="16">
        <f>IF(AC1921=0,IF(O1921=2,INDEX(Acceleration!$R$4:$R$110,MATCH('Track Data'!S1921,Acceleration!$K$4:$K$110,0)),IF('Track Data'!O1921=1,INDEX(Acceleration!$Q$4:$Q$110,MATCH('Track Data'!S1921,Acceleration!$K$4:$K$110,0)),'Track Data'!AG1921)),'Track Data'!U1921)</f>
        <v>3.7363975474595237</v>
      </c>
    </row>
    <row r="1922" spans="2:34" x14ac:dyDescent="0.25">
      <c r="B1922" s="16">
        <v>246.91</v>
      </c>
      <c r="C1922" s="16">
        <v>9192</v>
      </c>
      <c r="D1922" s="16">
        <v>1919</v>
      </c>
      <c r="E1922" s="113">
        <v>196</v>
      </c>
      <c r="F1922" s="113">
        <v>194.4</v>
      </c>
      <c r="G1922" s="113">
        <v>191.6</v>
      </c>
      <c r="H1922" s="113">
        <f t="shared" si="208"/>
        <v>53.222222222222221</v>
      </c>
      <c r="I1922" s="113">
        <v>13.1</v>
      </c>
      <c r="J1922" s="113">
        <v>25.75</v>
      </c>
      <c r="K1922" s="113">
        <v>-20.399999999999999</v>
      </c>
      <c r="L1922" s="185"/>
      <c r="M1922" s="16">
        <v>1919</v>
      </c>
      <c r="N1922" s="16">
        <f t="shared" si="210"/>
        <v>1.769457673156629E-2</v>
      </c>
      <c r="O1922" s="16">
        <v>6</v>
      </c>
      <c r="P1922" s="16">
        <f t="shared" si="206"/>
        <v>7.3113821138211375</v>
      </c>
      <c r="Q1922" s="16">
        <f t="shared" si="211"/>
        <v>56.514491144399472</v>
      </c>
      <c r="R1922" s="113">
        <f t="shared" si="207"/>
        <v>311.95699999999999</v>
      </c>
      <c r="S1922" s="16">
        <f>IF(S1921=15800,15800,ROUND((((Q1922*60)/'Gearing Calculator'!$C$14)*'Track Data'!P1922),-2))</f>
        <v>12500</v>
      </c>
      <c r="T1922" s="16">
        <f t="shared" si="209"/>
        <v>3.6270085462483364</v>
      </c>
      <c r="U1922" s="16">
        <f>IF(AC1922=100,Braking!$AG$2354,IF(AC1922=50,Braking!$AG$1179,IF(AC1922=75,Braking!$AG$1767,0)))</f>
        <v>0</v>
      </c>
      <c r="V1922" s="16">
        <f>0.5*'Gearing Calculator'!$C$15*'Gearing Calculator'!$C$20*'Gearing Calculator'!$W$20*('Track Data'!Q1922^2)</f>
        <v>338.04107515341337</v>
      </c>
      <c r="W1922" s="16">
        <f>('Gearing Calculator'!$U$9*'Track Data'!T1922)+'Track Data'!V1922</f>
        <v>1303.5507501647205</v>
      </c>
      <c r="X1922" s="16">
        <f>('Gearing Calculator'!$U$9*9.81)*('Gearing Calculator'!$U$16/'Gearing Calculator'!$C$7)-(('Track Data'!W1922)*('Gearing Calculator'!$U$17/'Gearing Calculator'!$C$7))</f>
        <v>690.63811681316201</v>
      </c>
      <c r="Y1922" s="16">
        <f>('Gearing Calculator'!$U$9*9.81)*(('Gearing Calculator'!$C$7-'Gearing Calculator'!$U$16)/'Gearing Calculator'!$C$7)+(('Track Data'!W1922)*('Gearing Calculator'!$U$17/'Gearing Calculator'!$C$7))</f>
        <v>1920.783883186838</v>
      </c>
      <c r="Z1922" s="16">
        <f>((X1922*COS('Gearing Calculator'!$C$21))/'Gearing Calculator'!$C$22)/2</f>
        <v>21.352346269599128</v>
      </c>
      <c r="AA1922" s="16">
        <f>Y1922/'Gearing Calculator'!$C$24</f>
        <v>26.820585407151118</v>
      </c>
      <c r="AB1922" s="16">
        <f t="shared" si="212"/>
        <v>359.80312643090338</v>
      </c>
      <c r="AC1922" s="16">
        <v>0</v>
      </c>
      <c r="AD1922" s="16">
        <v>0</v>
      </c>
      <c r="AE1922" s="16">
        <v>1919</v>
      </c>
      <c r="AF1922" s="16">
        <f>IF(AC1922=0,IF(O1922=6,INDEX(Acceleration!$V$4:$V$110,MATCH('Track Data'!S1922,Acceleration!$K$4:$K$110,0)),IF('Track Data'!O1922=5,INDEX(Acceleration!$U$4:$U$110,MATCH('Track Data'!S1922,Acceleration!$K$4:$K$110,0)),1)),U1922)</f>
        <v>3.6270085462483364</v>
      </c>
      <c r="AG1922" s="16">
        <f>IF(AC1922=0,IF(O1922=4,INDEX(Acceleration!$T$4:$T$110,MATCH('Track Data'!S1922,Acceleration!$K$4:$K$110,0)),IF('Track Data'!O1922=3,INDEX(Acceleration!$S$4:$S$110,MATCH('Track Data'!S1922,Acceleration!$K$4:$K$110,0)),'Track Data'!AF1922)),'Track Data'!U1922)</f>
        <v>3.6270085462483364</v>
      </c>
      <c r="AH1922" s="16">
        <f>IF(AC1922=0,IF(O1922=2,INDEX(Acceleration!$R$4:$R$110,MATCH('Track Data'!S1922,Acceleration!$K$4:$K$110,0)),IF('Track Data'!O1922=1,INDEX(Acceleration!$Q$4:$Q$110,MATCH('Track Data'!S1922,Acceleration!$K$4:$K$110,0)),'Track Data'!AG1922)),'Track Data'!U1922)</f>
        <v>3.6270085462483364</v>
      </c>
    </row>
    <row r="1923" spans="2:34" x14ac:dyDescent="0.25">
      <c r="B1923" s="16">
        <v>246.929</v>
      </c>
      <c r="C1923" s="16">
        <v>9194</v>
      </c>
      <c r="D1923" s="16">
        <v>1920</v>
      </c>
      <c r="E1923" s="113">
        <v>196</v>
      </c>
      <c r="F1923" s="113">
        <v>194.3</v>
      </c>
      <c r="G1923" s="113">
        <v>191.6</v>
      </c>
      <c r="H1923" s="113">
        <f t="shared" si="208"/>
        <v>53.222222222222221</v>
      </c>
      <c r="I1923" s="113">
        <v>12.4</v>
      </c>
      <c r="J1923" s="113">
        <v>25.22</v>
      </c>
      <c r="K1923" s="113">
        <v>-20.3</v>
      </c>
      <c r="L1923" s="185"/>
      <c r="M1923" s="16">
        <v>1920</v>
      </c>
      <c r="N1923" s="16">
        <f t="shared" si="210"/>
        <v>1.7674516769847964E-2</v>
      </c>
      <c r="O1923" s="16">
        <v>6</v>
      </c>
      <c r="P1923" s="16">
        <f t="shared" si="206"/>
        <v>7.3113821138211375</v>
      </c>
      <c r="Q1923" s="16">
        <f t="shared" si="211"/>
        <v>56.578633125968167</v>
      </c>
      <c r="R1923" s="113">
        <f t="shared" si="207"/>
        <v>311.95699999999999</v>
      </c>
      <c r="S1923" s="16">
        <f>IF(S1922=15800,15800,ROUND((((Q1923*60)/'Gearing Calculator'!$C$14)*'Track Data'!P1923),-2))</f>
        <v>12500</v>
      </c>
      <c r="T1923" s="16">
        <f t="shared" si="209"/>
        <v>3.6270085462483364</v>
      </c>
      <c r="U1923" s="16">
        <f>IF(AC1923=100,Braking!$AG$2354,IF(AC1923=50,Braking!$AG$1179,IF(AC1923=75,Braking!$AG$1767,0)))</f>
        <v>0</v>
      </c>
      <c r="V1923" s="16">
        <f>0.5*'Gearing Calculator'!$C$15*'Gearing Calculator'!$C$20*'Gearing Calculator'!$W$20*('Track Data'!Q1923^2)</f>
        <v>338.80884032248315</v>
      </c>
      <c r="W1923" s="16">
        <f>('Gearing Calculator'!$U$9*'Track Data'!T1923)+'Track Data'!V1923</f>
        <v>1304.3185153337902</v>
      </c>
      <c r="X1923" s="16">
        <f>('Gearing Calculator'!$U$9*9.81)*('Gearing Calculator'!$U$16/'Gearing Calculator'!$C$7)-(('Track Data'!W1923)*('Gearing Calculator'!$U$17/'Gearing Calculator'!$C$7))</f>
        <v>690.2196323624695</v>
      </c>
      <c r="Y1923" s="16">
        <f>('Gearing Calculator'!$U$9*9.81)*(('Gearing Calculator'!$C$7-'Gearing Calculator'!$U$16)/'Gearing Calculator'!$C$7)+(('Track Data'!W1923)*('Gearing Calculator'!$U$17/'Gearing Calculator'!$C$7))</f>
        <v>1921.2023676375306</v>
      </c>
      <c r="Z1923" s="16">
        <f>((X1923*COS('Gearing Calculator'!$C$21))/'Gearing Calculator'!$C$22)/2</f>
        <v>21.339408053937269</v>
      </c>
      <c r="AA1923" s="16">
        <f>Y1923/'Gearing Calculator'!$C$24</f>
        <v>26.826428853698964</v>
      </c>
      <c r="AB1923" s="16">
        <f t="shared" si="212"/>
        <v>360.57089159997315</v>
      </c>
      <c r="AC1923" s="16">
        <v>0</v>
      </c>
      <c r="AD1923" s="16">
        <v>0</v>
      </c>
      <c r="AE1923" s="16">
        <v>1920</v>
      </c>
      <c r="AF1923" s="16">
        <f>IF(AC1923=0,IF(O1923=6,INDEX(Acceleration!$V$4:$V$110,MATCH('Track Data'!S1923,Acceleration!$K$4:$K$110,0)),IF('Track Data'!O1923=5,INDEX(Acceleration!$U$4:$U$110,MATCH('Track Data'!S1923,Acceleration!$K$4:$K$110,0)),1)),U1923)</f>
        <v>3.6270085462483364</v>
      </c>
      <c r="AG1923" s="16">
        <f>IF(AC1923=0,IF(O1923=4,INDEX(Acceleration!$T$4:$T$110,MATCH('Track Data'!S1923,Acceleration!$K$4:$K$110,0)),IF('Track Data'!O1923=3,INDEX(Acceleration!$S$4:$S$110,MATCH('Track Data'!S1923,Acceleration!$K$4:$K$110,0)),'Track Data'!AF1923)),'Track Data'!U1923)</f>
        <v>3.6270085462483364</v>
      </c>
      <c r="AH1923" s="16">
        <f>IF(AC1923=0,IF(O1923=2,INDEX(Acceleration!$R$4:$R$110,MATCH('Track Data'!S1923,Acceleration!$K$4:$K$110,0)),IF('Track Data'!O1923=1,INDEX(Acceleration!$Q$4:$Q$110,MATCH('Track Data'!S1923,Acceleration!$K$4:$K$110,0)),'Track Data'!AG1923)),'Track Data'!U1923)</f>
        <v>3.6270085462483364</v>
      </c>
    </row>
    <row r="1924" spans="2:34" x14ac:dyDescent="0.25">
      <c r="B1924" s="16">
        <v>246.947</v>
      </c>
      <c r="C1924" s="16">
        <v>9194</v>
      </c>
      <c r="D1924" s="16">
        <v>1921</v>
      </c>
      <c r="E1924" s="113">
        <v>197</v>
      </c>
      <c r="F1924" s="113">
        <v>194.4</v>
      </c>
      <c r="G1924" s="113">
        <v>191.8</v>
      </c>
      <c r="H1924" s="113">
        <f t="shared" si="208"/>
        <v>53.277777777777779</v>
      </c>
      <c r="I1924" s="113">
        <v>11.3</v>
      </c>
      <c r="J1924" s="113">
        <v>24.12</v>
      </c>
      <c r="K1924" s="113">
        <v>-20.2</v>
      </c>
      <c r="L1924" s="185"/>
      <c r="M1924" s="16">
        <v>1921</v>
      </c>
      <c r="N1924" s="16">
        <f t="shared" si="210"/>
        <v>1.7654524878448142E-2</v>
      </c>
      <c r="O1924" s="16">
        <v>6</v>
      </c>
      <c r="P1924" s="16">
        <f t="shared" ref="P1924:P1987" si="213">VLOOKUP(O1924,$AJ$5:$AK$10,2,FALSE)</f>
        <v>7.3113821138211375</v>
      </c>
      <c r="Q1924" s="16">
        <f t="shared" si="211"/>
        <v>56.642702473446647</v>
      </c>
      <c r="R1924" s="113">
        <f t="shared" ref="R1924:R1987" si="214">VLOOKUP(O1924,$AJ$5:$AL$10,3,FALSE)</f>
        <v>311.95699999999999</v>
      </c>
      <c r="S1924" s="16">
        <f>IF(S1923=15800,15800,ROUND((((Q1924*60)/'Gearing Calculator'!$C$14)*'Track Data'!P1924),-2))</f>
        <v>12600</v>
      </c>
      <c r="T1924" s="16">
        <f t="shared" si="209"/>
        <v>3.6195737831919588</v>
      </c>
      <c r="U1924" s="16">
        <f>IF(AC1924=100,Braking!$AG$2354,IF(AC1924=50,Braking!$AG$1179,IF(AC1924=75,Braking!$AG$1767,0)))</f>
        <v>0</v>
      </c>
      <c r="V1924" s="16">
        <f>0.5*'Gearing Calculator'!$C$15*'Gearing Calculator'!$C$20*'Gearing Calculator'!$W$20*('Track Data'!Q1924^2)</f>
        <v>339.57660549155298</v>
      </c>
      <c r="W1924" s="16">
        <f>('Gearing Calculator'!$U$9*'Track Data'!T1924)+'Track Data'!V1924</f>
        <v>1303.1071465772525</v>
      </c>
      <c r="X1924" s="16">
        <f>('Gearing Calculator'!$U$9*9.81)*('Gearing Calculator'!$U$16/'Gearing Calculator'!$C$7)-(('Track Data'!W1924)*('Gearing Calculator'!$U$17/'Gearing Calculator'!$C$7))</f>
        <v>690.87991106367713</v>
      </c>
      <c r="Y1924" s="16">
        <f>('Gearing Calculator'!$U$9*9.81)*(('Gearing Calculator'!$C$7-'Gearing Calculator'!$U$16)/'Gearing Calculator'!$C$7)+(('Track Data'!W1924)*('Gearing Calculator'!$U$17/'Gearing Calculator'!$C$7))</f>
        <v>1920.5420889363229</v>
      </c>
      <c r="Z1924" s="16">
        <f>((X1924*COS('Gearing Calculator'!$C$21))/'Gearing Calculator'!$C$22)/2</f>
        <v>21.359821783094997</v>
      </c>
      <c r="AA1924" s="16">
        <f>Y1924/'Gearing Calculator'!$C$24</f>
        <v>26.81720914842484</v>
      </c>
      <c r="AB1924" s="16">
        <f t="shared" si="212"/>
        <v>361.29404819070476</v>
      </c>
      <c r="AC1924" s="16">
        <v>0</v>
      </c>
      <c r="AD1924" s="16">
        <v>0</v>
      </c>
      <c r="AE1924" s="16">
        <v>1921</v>
      </c>
      <c r="AF1924" s="16">
        <f>IF(AC1924=0,IF(O1924=6,INDEX(Acceleration!$V$4:$V$110,MATCH('Track Data'!S1924,Acceleration!$K$4:$K$110,0)),IF('Track Data'!O1924=5,INDEX(Acceleration!$U$4:$U$110,MATCH('Track Data'!S1924,Acceleration!$K$4:$K$110,0)),1)),U1924)</f>
        <v>3.6195737831919588</v>
      </c>
      <c r="AG1924" s="16">
        <f>IF(AC1924=0,IF(O1924=4,INDEX(Acceleration!$T$4:$T$110,MATCH('Track Data'!S1924,Acceleration!$K$4:$K$110,0)),IF('Track Data'!O1924=3,INDEX(Acceleration!$S$4:$S$110,MATCH('Track Data'!S1924,Acceleration!$K$4:$K$110,0)),'Track Data'!AF1924)),'Track Data'!U1924)</f>
        <v>3.6195737831919588</v>
      </c>
      <c r="AH1924" s="16">
        <f>IF(AC1924=0,IF(O1924=2,INDEX(Acceleration!$R$4:$R$110,MATCH('Track Data'!S1924,Acceleration!$K$4:$K$110,0)),IF('Track Data'!O1924=1,INDEX(Acceleration!$Q$4:$Q$110,MATCH('Track Data'!S1924,Acceleration!$K$4:$K$110,0)),'Track Data'!AG1924)),'Track Data'!U1924)</f>
        <v>3.6195737831919588</v>
      </c>
    </row>
    <row r="1925" spans="2:34" x14ac:dyDescent="0.25">
      <c r="B1925" s="16">
        <v>246.96600000000001</v>
      </c>
      <c r="C1925" s="16">
        <v>9195</v>
      </c>
      <c r="D1925" s="16">
        <v>1922</v>
      </c>
      <c r="E1925" s="113">
        <v>197</v>
      </c>
      <c r="F1925" s="113">
        <v>194.4</v>
      </c>
      <c r="G1925" s="113">
        <v>191.9</v>
      </c>
      <c r="H1925" s="113">
        <f t="shared" ref="H1925:H1988" si="215">G1925/3.6</f>
        <v>53.305555555555557</v>
      </c>
      <c r="I1925" s="113">
        <v>9.9</v>
      </c>
      <c r="J1925" s="113">
        <v>19.73</v>
      </c>
      <c r="K1925" s="113">
        <v>-20.100000000000001</v>
      </c>
      <c r="L1925" s="185"/>
      <c r="M1925" s="16">
        <v>1922</v>
      </c>
      <c r="N1925" s="16">
        <f t="shared" si="210"/>
        <v>1.7634641445588902E-2</v>
      </c>
      <c r="O1925" s="16">
        <v>6</v>
      </c>
      <c r="P1925" s="16">
        <f t="shared" si="213"/>
        <v>7.3113821138211375</v>
      </c>
      <c r="Q1925" s="16">
        <f t="shared" si="211"/>
        <v>56.706568323799871</v>
      </c>
      <c r="R1925" s="113">
        <f t="shared" si="214"/>
        <v>311.95699999999999</v>
      </c>
      <c r="S1925" s="16">
        <f>IF(S1924=15800,15800,ROUND((((Q1925*60)/'Gearing Calculator'!$C$14)*'Track Data'!P1925),-2))</f>
        <v>12600</v>
      </c>
      <c r="T1925" s="16">
        <f t="shared" ref="T1925:T1988" si="216">AH1925</f>
        <v>3.6195737831919588</v>
      </c>
      <c r="U1925" s="16">
        <f>IF(AC1925=100,Braking!$AG$2354,IF(AC1925=50,Braking!$AG$1179,IF(AC1925=75,Braking!$AG$1767,0)))</f>
        <v>0</v>
      </c>
      <c r="V1925" s="16">
        <f>0.5*'Gearing Calculator'!$C$15*'Gearing Calculator'!$C$20*'Gearing Calculator'!$W$20*('Track Data'!Q1925^2)</f>
        <v>340.34279686997911</v>
      </c>
      <c r="W1925" s="16">
        <f>('Gearing Calculator'!$U$9*'Track Data'!T1925)+'Track Data'!V1925</f>
        <v>1303.8733379556784</v>
      </c>
      <c r="X1925" s="16">
        <f>('Gearing Calculator'!$U$9*9.81)*('Gearing Calculator'!$U$16/'Gearing Calculator'!$C$7)-(('Track Data'!W1925)*('Gearing Calculator'!$U$17/'Gearing Calculator'!$C$7))</f>
        <v>690.46228443636539</v>
      </c>
      <c r="Y1925" s="16">
        <f>('Gearing Calculator'!$U$9*9.81)*(('Gearing Calculator'!$C$7-'Gearing Calculator'!$U$16)/'Gearing Calculator'!$C$7)+(('Track Data'!W1925)*('Gearing Calculator'!$U$17/'Gearing Calculator'!$C$7))</f>
        <v>1920.9597155636347</v>
      </c>
      <c r="Z1925" s="16">
        <f>((X1925*COS('Gearing Calculator'!$C$21))/'Gearing Calculator'!$C$22)/2</f>
        <v>21.346910088619001</v>
      </c>
      <c r="AA1925" s="16">
        <f>Y1925/'Gearing Calculator'!$C$24</f>
        <v>26.823040616881112</v>
      </c>
      <c r="AB1925" s="16">
        <f t="shared" si="212"/>
        <v>362.06023956913089</v>
      </c>
      <c r="AC1925" s="16">
        <v>0</v>
      </c>
      <c r="AD1925" s="16">
        <v>0</v>
      </c>
      <c r="AE1925" s="16">
        <v>1922</v>
      </c>
      <c r="AF1925" s="16">
        <f>IF(AC1925=0,IF(O1925=6,INDEX(Acceleration!$V$4:$V$110,MATCH('Track Data'!S1925,Acceleration!$K$4:$K$110,0)),IF('Track Data'!O1925=5,INDEX(Acceleration!$U$4:$U$110,MATCH('Track Data'!S1925,Acceleration!$K$4:$K$110,0)),1)),U1925)</f>
        <v>3.6195737831919588</v>
      </c>
      <c r="AG1925" s="16">
        <f>IF(AC1925=0,IF(O1925=4,INDEX(Acceleration!$T$4:$T$110,MATCH('Track Data'!S1925,Acceleration!$K$4:$K$110,0)),IF('Track Data'!O1925=3,INDEX(Acceleration!$S$4:$S$110,MATCH('Track Data'!S1925,Acceleration!$K$4:$K$110,0)),'Track Data'!AF1925)),'Track Data'!U1925)</f>
        <v>3.6195737831919588</v>
      </c>
      <c r="AH1925" s="16">
        <f>IF(AC1925=0,IF(O1925=2,INDEX(Acceleration!$R$4:$R$110,MATCH('Track Data'!S1925,Acceleration!$K$4:$K$110,0)),IF('Track Data'!O1925=1,INDEX(Acceleration!$Q$4:$Q$110,MATCH('Track Data'!S1925,Acceleration!$K$4:$K$110,0)),'Track Data'!AG1925)),'Track Data'!U1925)</f>
        <v>3.6195737831919588</v>
      </c>
    </row>
    <row r="1926" spans="2:34" x14ac:dyDescent="0.25">
      <c r="B1926" s="16">
        <v>246.98400000000001</v>
      </c>
      <c r="C1926" s="16">
        <v>9196</v>
      </c>
      <c r="D1926" s="16">
        <v>1923</v>
      </c>
      <c r="E1926" s="113">
        <v>198</v>
      </c>
      <c r="F1926" s="113">
        <v>194.5</v>
      </c>
      <c r="G1926" s="113">
        <v>192.1</v>
      </c>
      <c r="H1926" s="113">
        <f t="shared" si="215"/>
        <v>53.361111111111107</v>
      </c>
      <c r="I1926" s="113">
        <v>7.4</v>
      </c>
      <c r="J1926" s="113">
        <v>18.079999999999998</v>
      </c>
      <c r="K1926" s="113">
        <v>-20.100000000000001</v>
      </c>
      <c r="L1926" s="185"/>
      <c r="M1926" s="16">
        <v>1923</v>
      </c>
      <c r="N1926" s="16">
        <f t="shared" ref="N1926:N1989" si="217">1/Q1926</f>
        <v>1.7614825042988547E-2</v>
      </c>
      <c r="O1926" s="16">
        <v>6</v>
      </c>
      <c r="P1926" s="16">
        <f t="shared" si="213"/>
        <v>7.3113821138211375</v>
      </c>
      <c r="Q1926" s="16">
        <f t="shared" ref="Q1926:Q1989" si="218">IF(AD1925=0,SQRT(Q1925^2+(2*T1925)),Q1925)</f>
        <v>56.770362326025072</v>
      </c>
      <c r="R1926" s="113">
        <f t="shared" si="214"/>
        <v>311.95699999999999</v>
      </c>
      <c r="S1926" s="16">
        <f>IF(S1925=15800,15800,ROUND((((Q1926*60)/'Gearing Calculator'!$C$14)*'Track Data'!P1926),-2))</f>
        <v>12600</v>
      </c>
      <c r="T1926" s="16">
        <f t="shared" si="216"/>
        <v>3.6195737831919588</v>
      </c>
      <c r="U1926" s="16">
        <f>IF(AC1926=100,Braking!$AG$2354,IF(AC1926=50,Braking!$AG$1179,IF(AC1926=75,Braking!$AG$1767,0)))</f>
        <v>0</v>
      </c>
      <c r="V1926" s="16">
        <f>0.5*'Gearing Calculator'!$C$15*'Gearing Calculator'!$C$20*'Gearing Calculator'!$W$20*('Track Data'!Q1926^2)</f>
        <v>341.10898824840518</v>
      </c>
      <c r="W1926" s="16">
        <f>('Gearing Calculator'!$U$9*'Track Data'!T1926)+'Track Data'!V1926</f>
        <v>1304.6395293341045</v>
      </c>
      <c r="X1926" s="16">
        <f>('Gearing Calculator'!$U$9*9.81)*('Gearing Calculator'!$U$16/'Gearing Calculator'!$C$7)-(('Track Data'!W1926)*('Gearing Calculator'!$U$17/'Gearing Calculator'!$C$7))</f>
        <v>690.04465780905366</v>
      </c>
      <c r="Y1926" s="16">
        <f>('Gearing Calculator'!$U$9*9.81)*(('Gearing Calculator'!$C$7-'Gearing Calculator'!$U$16)/'Gearing Calculator'!$C$7)+(('Track Data'!W1926)*('Gearing Calculator'!$U$17/'Gearing Calculator'!$C$7))</f>
        <v>1921.3773421909464</v>
      </c>
      <c r="Z1926" s="16">
        <f>((X1926*COS('Gearing Calculator'!$C$21))/'Gearing Calculator'!$C$22)/2</f>
        <v>21.333998394143013</v>
      </c>
      <c r="AA1926" s="16">
        <f>Y1926/'Gearing Calculator'!$C$24</f>
        <v>26.82887208533738</v>
      </c>
      <c r="AB1926" s="16">
        <f t="shared" si="212"/>
        <v>362.82643094755696</v>
      </c>
      <c r="AC1926" s="16">
        <v>0</v>
      </c>
      <c r="AD1926" s="16">
        <v>0</v>
      </c>
      <c r="AE1926" s="16">
        <v>1923</v>
      </c>
      <c r="AF1926" s="16">
        <f>IF(AC1926=0,IF(O1926=6,INDEX(Acceleration!$V$4:$V$110,MATCH('Track Data'!S1926,Acceleration!$K$4:$K$110,0)),IF('Track Data'!O1926=5,INDEX(Acceleration!$U$4:$U$110,MATCH('Track Data'!S1926,Acceleration!$K$4:$K$110,0)),1)),U1926)</f>
        <v>3.6195737831919588</v>
      </c>
      <c r="AG1926" s="16">
        <f>IF(AC1926=0,IF(O1926=4,INDEX(Acceleration!$T$4:$T$110,MATCH('Track Data'!S1926,Acceleration!$K$4:$K$110,0)),IF('Track Data'!O1926=3,INDEX(Acceleration!$S$4:$S$110,MATCH('Track Data'!S1926,Acceleration!$K$4:$K$110,0)),'Track Data'!AF1926)),'Track Data'!U1926)</f>
        <v>3.6195737831919588</v>
      </c>
      <c r="AH1926" s="16">
        <f>IF(AC1926=0,IF(O1926=2,INDEX(Acceleration!$R$4:$R$110,MATCH('Track Data'!S1926,Acceleration!$K$4:$K$110,0)),IF('Track Data'!O1926=1,INDEX(Acceleration!$Q$4:$Q$110,MATCH('Track Data'!S1926,Acceleration!$K$4:$K$110,0)),'Track Data'!AG1926)),'Track Data'!U1926)</f>
        <v>3.6195737831919588</v>
      </c>
    </row>
    <row r="1927" spans="2:34" x14ac:dyDescent="0.25">
      <c r="B1927" s="16">
        <v>247.00200000000001</v>
      </c>
      <c r="C1927" s="16">
        <v>9197</v>
      </c>
      <c r="D1927" s="16">
        <v>1924</v>
      </c>
      <c r="E1927" s="113">
        <v>198</v>
      </c>
      <c r="F1927" s="113">
        <v>194.7</v>
      </c>
      <c r="G1927" s="113">
        <v>192.3</v>
      </c>
      <c r="H1927" s="113">
        <f t="shared" si="215"/>
        <v>53.416666666666671</v>
      </c>
      <c r="I1927" s="113">
        <v>4.9000000000000004</v>
      </c>
      <c r="J1927" s="113">
        <v>17.559999999999999</v>
      </c>
      <c r="K1927" s="113">
        <v>-20.100000000000001</v>
      </c>
      <c r="L1927" s="185"/>
      <c r="M1927" s="16">
        <v>1924</v>
      </c>
      <c r="N1927" s="16">
        <f t="shared" si="217"/>
        <v>1.7595075294875168E-2</v>
      </c>
      <c r="O1927" s="16">
        <v>6</v>
      </c>
      <c r="P1927" s="16">
        <f t="shared" si="213"/>
        <v>7.3113821138211375</v>
      </c>
      <c r="Q1927" s="16">
        <f t="shared" si="218"/>
        <v>56.834084722062265</v>
      </c>
      <c r="R1927" s="113">
        <f t="shared" si="214"/>
        <v>311.95699999999999</v>
      </c>
      <c r="S1927" s="16">
        <f>IF(S1926=15800,15800,ROUND((((Q1927*60)/'Gearing Calculator'!$C$14)*'Track Data'!P1927),-2))</f>
        <v>12600</v>
      </c>
      <c r="T1927" s="16">
        <f t="shared" si="216"/>
        <v>3.6195737831919588</v>
      </c>
      <c r="U1927" s="16">
        <f>IF(AC1927=100,Braking!$AG$2354,IF(AC1927=50,Braking!$AG$1179,IF(AC1927=75,Braking!$AG$1767,0)))</f>
        <v>0</v>
      </c>
      <c r="V1927" s="16">
        <f>0.5*'Gearing Calculator'!$C$15*'Gearing Calculator'!$C$20*'Gearing Calculator'!$W$20*('Track Data'!Q1927^2)</f>
        <v>341.87517962683131</v>
      </c>
      <c r="W1927" s="16">
        <f>('Gearing Calculator'!$U$9*'Track Data'!T1927)+'Track Data'!V1927</f>
        <v>1305.4057207125306</v>
      </c>
      <c r="X1927" s="16">
        <f>('Gearing Calculator'!$U$9*9.81)*('Gearing Calculator'!$U$16/'Gearing Calculator'!$C$7)-(('Track Data'!W1927)*('Gearing Calculator'!$U$17/'Gearing Calculator'!$C$7))</f>
        <v>689.62703118174193</v>
      </c>
      <c r="Y1927" s="16">
        <f>('Gearing Calculator'!$U$9*9.81)*(('Gearing Calculator'!$C$7-'Gearing Calculator'!$U$16)/'Gearing Calculator'!$C$7)+(('Track Data'!W1927)*('Gearing Calculator'!$U$17/'Gearing Calculator'!$C$7))</f>
        <v>1921.794968818258</v>
      </c>
      <c r="Z1927" s="16">
        <f>((X1927*COS('Gearing Calculator'!$C$21))/'Gearing Calculator'!$C$22)/2</f>
        <v>21.321086699667024</v>
      </c>
      <c r="AA1927" s="16">
        <f>Y1927/'Gearing Calculator'!$C$24</f>
        <v>26.834703553793648</v>
      </c>
      <c r="AB1927" s="16">
        <f t="shared" si="212"/>
        <v>363.59262232598309</v>
      </c>
      <c r="AC1927" s="16">
        <v>0</v>
      </c>
      <c r="AD1927" s="16">
        <v>0</v>
      </c>
      <c r="AE1927" s="16">
        <v>1924</v>
      </c>
      <c r="AF1927" s="16">
        <f>IF(AC1927=0,IF(O1927=6,INDEX(Acceleration!$V$4:$V$110,MATCH('Track Data'!S1927,Acceleration!$K$4:$K$110,0)),IF('Track Data'!O1927=5,INDEX(Acceleration!$U$4:$U$110,MATCH('Track Data'!S1927,Acceleration!$K$4:$K$110,0)),1)),U1927)</f>
        <v>3.6195737831919588</v>
      </c>
      <c r="AG1927" s="16">
        <f>IF(AC1927=0,IF(O1927=4,INDEX(Acceleration!$T$4:$T$110,MATCH('Track Data'!S1927,Acceleration!$K$4:$K$110,0)),IF('Track Data'!O1927=3,INDEX(Acceleration!$S$4:$S$110,MATCH('Track Data'!S1927,Acceleration!$K$4:$K$110,0)),'Track Data'!AF1927)),'Track Data'!U1927)</f>
        <v>3.6195737831919588</v>
      </c>
      <c r="AH1927" s="16">
        <f>IF(AC1927=0,IF(O1927=2,INDEX(Acceleration!$R$4:$R$110,MATCH('Track Data'!S1927,Acceleration!$K$4:$K$110,0)),IF('Track Data'!O1927=1,INDEX(Acceleration!$Q$4:$Q$110,MATCH('Track Data'!S1927,Acceleration!$K$4:$K$110,0)),'Track Data'!AG1927)),'Track Data'!U1927)</f>
        <v>3.6195737831919588</v>
      </c>
    </row>
    <row r="1928" spans="2:34" x14ac:dyDescent="0.25">
      <c r="B1928" s="16">
        <v>247.02099999999999</v>
      </c>
      <c r="C1928" s="16">
        <v>9198</v>
      </c>
      <c r="D1928" s="16">
        <v>1925</v>
      </c>
      <c r="E1928" s="113">
        <v>198</v>
      </c>
      <c r="F1928" s="113">
        <v>194.7</v>
      </c>
      <c r="G1928" s="113">
        <v>192.4</v>
      </c>
      <c r="H1928" s="113">
        <f t="shared" si="215"/>
        <v>53.444444444444443</v>
      </c>
      <c r="I1928" s="113">
        <v>3.5</v>
      </c>
      <c r="J1928" s="113">
        <v>16.16</v>
      </c>
      <c r="K1928" s="113">
        <v>-20.100000000000001</v>
      </c>
      <c r="L1928" s="185"/>
      <c r="M1928" s="16">
        <v>1925</v>
      </c>
      <c r="N1928" s="16">
        <f t="shared" si="217"/>
        <v>1.7575391828419471E-2</v>
      </c>
      <c r="O1928" s="16">
        <v>6</v>
      </c>
      <c r="P1928" s="16">
        <f t="shared" si="213"/>
        <v>7.3113821138211375</v>
      </c>
      <c r="Q1928" s="16">
        <f t="shared" si="218"/>
        <v>56.897735752496651</v>
      </c>
      <c r="R1928" s="113">
        <f t="shared" si="214"/>
        <v>311.95699999999999</v>
      </c>
      <c r="S1928" s="16">
        <f>IF(S1927=15800,15800,ROUND((((Q1928*60)/'Gearing Calculator'!$C$14)*'Track Data'!P1928),-2))</f>
        <v>12600</v>
      </c>
      <c r="T1928" s="16">
        <f t="shared" si="216"/>
        <v>3.6195737831919588</v>
      </c>
      <c r="U1928" s="16">
        <f>IF(AC1928=100,Braking!$AG$2354,IF(AC1928=50,Braking!$AG$1179,IF(AC1928=75,Braking!$AG$1767,0)))</f>
        <v>0</v>
      </c>
      <c r="V1928" s="16">
        <f>0.5*'Gearing Calculator'!$C$15*'Gearing Calculator'!$C$20*'Gearing Calculator'!$W$20*('Track Data'!Q1928^2)</f>
        <v>342.64137100525744</v>
      </c>
      <c r="W1928" s="16">
        <f>('Gearing Calculator'!$U$9*'Track Data'!T1928)+'Track Data'!V1928</f>
        <v>1306.1719120909568</v>
      </c>
      <c r="X1928" s="16">
        <f>('Gearing Calculator'!$U$9*9.81)*('Gearing Calculator'!$U$16/'Gearing Calculator'!$C$7)-(('Track Data'!W1928)*('Gearing Calculator'!$U$17/'Gearing Calculator'!$C$7))</f>
        <v>689.20940455443008</v>
      </c>
      <c r="Y1928" s="16">
        <f>('Gearing Calculator'!$U$9*9.81)*(('Gearing Calculator'!$C$7-'Gearing Calculator'!$U$16)/'Gearing Calculator'!$C$7)+(('Track Data'!W1928)*('Gearing Calculator'!$U$17/'Gearing Calculator'!$C$7))</f>
        <v>1922.2125954455701</v>
      </c>
      <c r="Z1928" s="16">
        <f>((X1928*COS('Gearing Calculator'!$C$21))/'Gearing Calculator'!$C$22)/2</f>
        <v>21.308175005191028</v>
      </c>
      <c r="AA1928" s="16">
        <f>Y1928/'Gearing Calculator'!$C$24</f>
        <v>26.840535022249924</v>
      </c>
      <c r="AB1928" s="16">
        <f t="shared" si="212"/>
        <v>364.35881370440922</v>
      </c>
      <c r="AC1928" s="16">
        <v>0</v>
      </c>
      <c r="AD1928" s="16">
        <v>0</v>
      </c>
      <c r="AE1928" s="16">
        <v>1925</v>
      </c>
      <c r="AF1928" s="16">
        <f>IF(AC1928=0,IF(O1928=6,INDEX(Acceleration!$V$4:$V$110,MATCH('Track Data'!S1928,Acceleration!$K$4:$K$110,0)),IF('Track Data'!O1928=5,INDEX(Acceleration!$U$4:$U$110,MATCH('Track Data'!S1928,Acceleration!$K$4:$K$110,0)),1)),U1928)</f>
        <v>3.6195737831919588</v>
      </c>
      <c r="AG1928" s="16">
        <f>IF(AC1928=0,IF(O1928=4,INDEX(Acceleration!$T$4:$T$110,MATCH('Track Data'!S1928,Acceleration!$K$4:$K$110,0)),IF('Track Data'!O1928=3,INDEX(Acceleration!$S$4:$S$110,MATCH('Track Data'!S1928,Acceleration!$K$4:$K$110,0)),'Track Data'!AF1928)),'Track Data'!U1928)</f>
        <v>3.6195737831919588</v>
      </c>
      <c r="AH1928" s="16">
        <f>IF(AC1928=0,IF(O1928=2,INDEX(Acceleration!$R$4:$R$110,MATCH('Track Data'!S1928,Acceleration!$K$4:$K$110,0)),IF('Track Data'!O1928=1,INDEX(Acceleration!$Q$4:$Q$110,MATCH('Track Data'!S1928,Acceleration!$K$4:$K$110,0)),'Track Data'!AG1928)),'Track Data'!U1928)</f>
        <v>3.6195737831919588</v>
      </c>
    </row>
    <row r="1929" spans="2:34" x14ac:dyDescent="0.25">
      <c r="B1929" s="16">
        <v>247.03899999999999</v>
      </c>
      <c r="C1929" s="16">
        <v>9199</v>
      </c>
      <c r="D1929" s="16">
        <v>1926</v>
      </c>
      <c r="E1929" s="113">
        <v>198</v>
      </c>
      <c r="F1929" s="113">
        <v>194.7</v>
      </c>
      <c r="G1929" s="113">
        <v>192.5</v>
      </c>
      <c r="H1929" s="113">
        <f t="shared" si="215"/>
        <v>53.472222222222221</v>
      </c>
      <c r="I1929" s="113">
        <v>3.2</v>
      </c>
      <c r="J1929" s="113">
        <v>15.31</v>
      </c>
      <c r="K1929" s="113">
        <v>-20.100000000000001</v>
      </c>
      <c r="L1929" s="185"/>
      <c r="M1929" s="16">
        <v>1926</v>
      </c>
      <c r="N1929" s="16">
        <f t="shared" si="217"/>
        <v>1.7555774273705207E-2</v>
      </c>
      <c r="O1929" s="16">
        <v>6</v>
      </c>
      <c r="P1929" s="16">
        <f t="shared" si="213"/>
        <v>7.3113821138211375</v>
      </c>
      <c r="Q1929" s="16">
        <f t="shared" si="218"/>
        <v>56.961315656569241</v>
      </c>
      <c r="R1929" s="113">
        <f t="shared" si="214"/>
        <v>311.95699999999999</v>
      </c>
      <c r="S1929" s="16">
        <f>IF(S1928=15800,15800,ROUND((((Q1929*60)/'Gearing Calculator'!$C$14)*'Track Data'!P1929),-2))</f>
        <v>12600</v>
      </c>
      <c r="T1929" s="16">
        <f t="shared" si="216"/>
        <v>3.6195737831919588</v>
      </c>
      <c r="U1929" s="16">
        <f>IF(AC1929=100,Braking!$AG$2354,IF(AC1929=50,Braking!$AG$1179,IF(AC1929=75,Braking!$AG$1767,0)))</f>
        <v>0</v>
      </c>
      <c r="V1929" s="16">
        <f>0.5*'Gearing Calculator'!$C$15*'Gearing Calculator'!$C$20*'Gearing Calculator'!$W$20*('Track Data'!Q1929^2)</f>
        <v>343.40756238368357</v>
      </c>
      <c r="W1929" s="16">
        <f>('Gearing Calculator'!$U$9*'Track Data'!T1929)+'Track Data'!V1929</f>
        <v>1306.9381034693829</v>
      </c>
      <c r="X1929" s="16">
        <f>('Gearing Calculator'!$U$9*9.81)*('Gearing Calculator'!$U$16/'Gearing Calculator'!$C$7)-(('Track Data'!W1929)*('Gearing Calculator'!$U$17/'Gearing Calculator'!$C$7))</f>
        <v>688.79177792711835</v>
      </c>
      <c r="Y1929" s="16">
        <f>('Gearing Calculator'!$U$9*9.81)*(('Gearing Calculator'!$C$7-'Gearing Calculator'!$U$16)/'Gearing Calculator'!$C$7)+(('Track Data'!W1929)*('Gearing Calculator'!$U$17/'Gearing Calculator'!$C$7))</f>
        <v>1922.6302220728817</v>
      </c>
      <c r="Z1929" s="16">
        <f>((X1929*COS('Gearing Calculator'!$C$21))/'Gearing Calculator'!$C$22)/2</f>
        <v>21.295263310715036</v>
      </c>
      <c r="AA1929" s="16">
        <f>Y1929/'Gearing Calculator'!$C$24</f>
        <v>26.846366490706192</v>
      </c>
      <c r="AB1929" s="16">
        <f t="shared" si="212"/>
        <v>365.12500508283534</v>
      </c>
      <c r="AC1929" s="16">
        <v>0</v>
      </c>
      <c r="AD1929" s="16">
        <v>0</v>
      </c>
      <c r="AE1929" s="16">
        <v>1926</v>
      </c>
      <c r="AF1929" s="16">
        <f>IF(AC1929=0,IF(O1929=6,INDEX(Acceleration!$V$4:$V$110,MATCH('Track Data'!S1929,Acceleration!$K$4:$K$110,0)),IF('Track Data'!O1929=5,INDEX(Acceleration!$U$4:$U$110,MATCH('Track Data'!S1929,Acceleration!$K$4:$K$110,0)),1)),U1929)</f>
        <v>3.6195737831919588</v>
      </c>
      <c r="AG1929" s="16">
        <f>IF(AC1929=0,IF(O1929=4,INDEX(Acceleration!$T$4:$T$110,MATCH('Track Data'!S1929,Acceleration!$K$4:$K$110,0)),IF('Track Data'!O1929=3,INDEX(Acceleration!$S$4:$S$110,MATCH('Track Data'!S1929,Acceleration!$K$4:$K$110,0)),'Track Data'!AF1929)),'Track Data'!U1929)</f>
        <v>3.6195737831919588</v>
      </c>
      <c r="AH1929" s="16">
        <f>IF(AC1929=0,IF(O1929=2,INDEX(Acceleration!$R$4:$R$110,MATCH('Track Data'!S1929,Acceleration!$K$4:$K$110,0)),IF('Track Data'!O1929=1,INDEX(Acceleration!$Q$4:$Q$110,MATCH('Track Data'!S1929,Acceleration!$K$4:$K$110,0)),'Track Data'!AG1929)),'Track Data'!U1929)</f>
        <v>3.6195737831919588</v>
      </c>
    </row>
    <row r="1930" spans="2:34" x14ac:dyDescent="0.25">
      <c r="B1930" s="16">
        <v>247.05799999999999</v>
      </c>
      <c r="C1930" s="16">
        <v>9200</v>
      </c>
      <c r="D1930" s="16">
        <v>1927</v>
      </c>
      <c r="E1930" s="113">
        <v>198</v>
      </c>
      <c r="F1930" s="113">
        <v>194.8</v>
      </c>
      <c r="G1930" s="113">
        <v>192.7</v>
      </c>
      <c r="H1930" s="113">
        <f t="shared" si="215"/>
        <v>53.527777777777771</v>
      </c>
      <c r="I1930" s="113">
        <v>3</v>
      </c>
      <c r="J1930" s="113">
        <v>14.15</v>
      </c>
      <c r="K1930" s="113">
        <v>-20.399999999999999</v>
      </c>
      <c r="L1930" s="185"/>
      <c r="M1930" s="16">
        <v>1927</v>
      </c>
      <c r="N1930" s="16">
        <f t="shared" si="217"/>
        <v>1.7536222263699993E-2</v>
      </c>
      <c r="O1930" s="16">
        <v>6</v>
      </c>
      <c r="P1930" s="16">
        <f t="shared" si="213"/>
        <v>7.3113821138211375</v>
      </c>
      <c r="Q1930" s="16">
        <f t="shared" si="218"/>
        <v>57.024824672187322</v>
      </c>
      <c r="R1930" s="113">
        <f t="shared" si="214"/>
        <v>311.95699999999999</v>
      </c>
      <c r="S1930" s="16">
        <f>IF(S1929=15800,15800,ROUND((((Q1930*60)/'Gearing Calculator'!$C$14)*'Track Data'!P1930),-2))</f>
        <v>12600</v>
      </c>
      <c r="T1930" s="16">
        <f t="shared" si="216"/>
        <v>3.6195737831919588</v>
      </c>
      <c r="U1930" s="16">
        <f>IF(AC1930=100,Braking!$AG$2354,IF(AC1930=50,Braking!$AG$1179,IF(AC1930=75,Braking!$AG$1767,0)))</f>
        <v>0</v>
      </c>
      <c r="V1930" s="16">
        <f>0.5*'Gearing Calculator'!$C$15*'Gearing Calculator'!$C$20*'Gearing Calculator'!$W$20*('Track Data'!Q1930^2)</f>
        <v>344.17375376210958</v>
      </c>
      <c r="W1930" s="16">
        <f>('Gearing Calculator'!$U$9*'Track Data'!T1930)+'Track Data'!V1930</f>
        <v>1307.704294847809</v>
      </c>
      <c r="X1930" s="16">
        <f>('Gearing Calculator'!$U$9*9.81)*('Gearing Calculator'!$U$16/'Gearing Calculator'!$C$7)-(('Track Data'!W1930)*('Gearing Calculator'!$U$17/'Gearing Calculator'!$C$7))</f>
        <v>688.37415129980661</v>
      </c>
      <c r="Y1930" s="16">
        <f>('Gearing Calculator'!$U$9*9.81)*(('Gearing Calculator'!$C$7-'Gearing Calculator'!$U$16)/'Gearing Calculator'!$C$7)+(('Track Data'!W1930)*('Gearing Calculator'!$U$17/'Gearing Calculator'!$C$7))</f>
        <v>1923.0478487001933</v>
      </c>
      <c r="Z1930" s="16">
        <f>((X1930*COS('Gearing Calculator'!$C$21))/'Gearing Calculator'!$C$22)/2</f>
        <v>21.282351616239048</v>
      </c>
      <c r="AA1930" s="16">
        <f>Y1930/'Gearing Calculator'!$C$24</f>
        <v>26.85219795916246</v>
      </c>
      <c r="AB1930" s="16">
        <f t="shared" si="212"/>
        <v>365.89119646126136</v>
      </c>
      <c r="AC1930" s="16">
        <v>0</v>
      </c>
      <c r="AD1930" s="16">
        <v>0</v>
      </c>
      <c r="AE1930" s="16">
        <v>1927</v>
      </c>
      <c r="AF1930" s="16">
        <f>IF(AC1930=0,IF(O1930=6,INDEX(Acceleration!$V$4:$V$110,MATCH('Track Data'!S1930,Acceleration!$K$4:$K$110,0)),IF('Track Data'!O1930=5,INDEX(Acceleration!$U$4:$U$110,MATCH('Track Data'!S1930,Acceleration!$K$4:$K$110,0)),1)),U1930)</f>
        <v>3.6195737831919588</v>
      </c>
      <c r="AG1930" s="16">
        <f>IF(AC1930=0,IF(O1930=4,INDEX(Acceleration!$T$4:$T$110,MATCH('Track Data'!S1930,Acceleration!$K$4:$K$110,0)),IF('Track Data'!O1930=3,INDEX(Acceleration!$S$4:$S$110,MATCH('Track Data'!S1930,Acceleration!$K$4:$K$110,0)),'Track Data'!AF1930)),'Track Data'!U1930)</f>
        <v>3.6195737831919588</v>
      </c>
      <c r="AH1930" s="16">
        <f>IF(AC1930=0,IF(O1930=2,INDEX(Acceleration!$R$4:$R$110,MATCH('Track Data'!S1930,Acceleration!$K$4:$K$110,0)),IF('Track Data'!O1930=1,INDEX(Acceleration!$Q$4:$Q$110,MATCH('Track Data'!S1930,Acceleration!$K$4:$K$110,0)),'Track Data'!AG1930)),'Track Data'!U1930)</f>
        <v>3.6195737831919588</v>
      </c>
    </row>
    <row r="1931" spans="2:34" x14ac:dyDescent="0.25">
      <c r="B1931" s="16">
        <v>247.07599999999999</v>
      </c>
      <c r="C1931" s="16">
        <v>9201</v>
      </c>
      <c r="D1931" s="16">
        <v>1928</v>
      </c>
      <c r="E1931" s="113">
        <v>198</v>
      </c>
      <c r="F1931" s="113">
        <v>195.1</v>
      </c>
      <c r="G1931" s="113">
        <v>192.9</v>
      </c>
      <c r="H1931" s="113">
        <f t="shared" si="215"/>
        <v>53.583333333333336</v>
      </c>
      <c r="I1931" s="113">
        <v>2.9</v>
      </c>
      <c r="J1931" s="113">
        <v>12.82</v>
      </c>
      <c r="K1931" s="113">
        <v>-20.8</v>
      </c>
      <c r="L1931" s="185"/>
      <c r="M1931" s="16">
        <v>1928</v>
      </c>
      <c r="N1931" s="16">
        <f t="shared" si="217"/>
        <v>1.7516735434226442E-2</v>
      </c>
      <c r="O1931" s="16">
        <v>6</v>
      </c>
      <c r="P1931" s="16">
        <f t="shared" si="213"/>
        <v>7.3113821138211375</v>
      </c>
      <c r="Q1931" s="16">
        <f t="shared" si="218"/>
        <v>57.088263035934872</v>
      </c>
      <c r="R1931" s="113">
        <f t="shared" si="214"/>
        <v>311.95699999999999</v>
      </c>
      <c r="S1931" s="16">
        <f>IF(S1930=15800,15800,ROUND((((Q1931*60)/'Gearing Calculator'!$C$14)*'Track Data'!P1931),-2))</f>
        <v>12700</v>
      </c>
      <c r="T1931" s="16">
        <f t="shared" si="216"/>
        <v>3.61192838894334</v>
      </c>
      <c r="U1931" s="16">
        <f>IF(AC1931=100,Braking!$AG$2354,IF(AC1931=50,Braking!$AG$1179,IF(AC1931=75,Braking!$AG$1767,0)))</f>
        <v>0</v>
      </c>
      <c r="V1931" s="16">
        <f>0.5*'Gearing Calculator'!$C$15*'Gearing Calculator'!$C$20*'Gearing Calculator'!$W$20*('Track Data'!Q1931^2)</f>
        <v>344.93994514053566</v>
      </c>
      <c r="W1931" s="16">
        <f>('Gearing Calculator'!$U$9*'Track Data'!T1931)+'Track Data'!V1931</f>
        <v>1306.4352822772526</v>
      </c>
      <c r="X1931" s="16">
        <f>('Gearing Calculator'!$U$9*9.81)*('Gearing Calculator'!$U$16/'Gearing Calculator'!$C$7)-(('Track Data'!W1931)*('Gearing Calculator'!$U$17/'Gearing Calculator'!$C$7))</f>
        <v>689.0658498163657</v>
      </c>
      <c r="Y1931" s="16">
        <f>('Gearing Calculator'!$U$9*9.81)*(('Gearing Calculator'!$C$7-'Gearing Calculator'!$U$16)/'Gearing Calculator'!$C$7)+(('Track Data'!W1931)*('Gearing Calculator'!$U$17/'Gearing Calculator'!$C$7))</f>
        <v>1922.3561501836343</v>
      </c>
      <c r="Z1931" s="16">
        <f>((X1931*COS('Gearing Calculator'!$C$21))/'Gearing Calculator'!$C$22)/2</f>
        <v>21.303736746715032</v>
      </c>
      <c r="AA1931" s="16">
        <f>Y1931/'Gearing Calculator'!$C$24</f>
        <v>26.842539527882522</v>
      </c>
      <c r="AB1931" s="16">
        <f t="shared" si="212"/>
        <v>366.6115154741957</v>
      </c>
      <c r="AC1931" s="16">
        <v>0</v>
      </c>
      <c r="AD1931" s="16">
        <v>0</v>
      </c>
      <c r="AE1931" s="16">
        <v>1928</v>
      </c>
      <c r="AF1931" s="16">
        <f>IF(AC1931=0,IF(O1931=6,INDEX(Acceleration!$V$4:$V$110,MATCH('Track Data'!S1931,Acceleration!$K$4:$K$110,0)),IF('Track Data'!O1931=5,INDEX(Acceleration!$U$4:$U$110,MATCH('Track Data'!S1931,Acceleration!$K$4:$K$110,0)),1)),U1931)</f>
        <v>3.61192838894334</v>
      </c>
      <c r="AG1931" s="16">
        <f>IF(AC1931=0,IF(O1931=4,INDEX(Acceleration!$T$4:$T$110,MATCH('Track Data'!S1931,Acceleration!$K$4:$K$110,0)),IF('Track Data'!O1931=3,INDEX(Acceleration!$S$4:$S$110,MATCH('Track Data'!S1931,Acceleration!$K$4:$K$110,0)),'Track Data'!AF1931)),'Track Data'!U1931)</f>
        <v>3.61192838894334</v>
      </c>
      <c r="AH1931" s="16">
        <f>IF(AC1931=0,IF(O1931=2,INDEX(Acceleration!$R$4:$R$110,MATCH('Track Data'!S1931,Acceleration!$K$4:$K$110,0)),IF('Track Data'!O1931=1,INDEX(Acceleration!$Q$4:$Q$110,MATCH('Track Data'!S1931,Acceleration!$K$4:$K$110,0)),'Track Data'!AG1931)),'Track Data'!U1931)</f>
        <v>3.61192838894334</v>
      </c>
    </row>
    <row r="1932" spans="2:34" x14ac:dyDescent="0.25">
      <c r="B1932" s="16">
        <v>247.09399999999999</v>
      </c>
      <c r="C1932" s="16">
        <v>9202</v>
      </c>
      <c r="D1932" s="16">
        <v>1929</v>
      </c>
      <c r="E1932" s="113">
        <v>198</v>
      </c>
      <c r="F1932" s="113">
        <v>195.2</v>
      </c>
      <c r="G1932" s="113">
        <v>193</v>
      </c>
      <c r="H1932" s="113">
        <f t="shared" si="215"/>
        <v>53.611111111111107</v>
      </c>
      <c r="I1932" s="113">
        <v>2.6</v>
      </c>
      <c r="J1932" s="113">
        <v>12.02</v>
      </c>
      <c r="K1932" s="113">
        <v>-21.2</v>
      </c>
      <c r="L1932" s="185"/>
      <c r="M1932" s="16">
        <v>1929</v>
      </c>
      <c r="N1932" s="16">
        <f t="shared" si="217"/>
        <v>1.7497354379744128E-2</v>
      </c>
      <c r="O1932" s="16">
        <v>6</v>
      </c>
      <c r="P1932" s="16">
        <f t="shared" si="213"/>
        <v>7.3113821138211375</v>
      </c>
      <c r="Q1932" s="16">
        <f t="shared" si="218"/>
        <v>57.151497209066839</v>
      </c>
      <c r="R1932" s="113">
        <f t="shared" si="214"/>
        <v>311.95699999999999</v>
      </c>
      <c r="S1932" s="16">
        <f>IF(S1931=15800,15800,ROUND((((Q1932*60)/'Gearing Calculator'!$C$14)*'Track Data'!P1932),-2))</f>
        <v>12700</v>
      </c>
      <c r="T1932" s="16">
        <f t="shared" si="216"/>
        <v>3.61192838894334</v>
      </c>
      <c r="U1932" s="16">
        <f>IF(AC1932=100,Braking!$AG$2354,IF(AC1932=50,Braking!$AG$1179,IF(AC1932=75,Braking!$AG$1767,0)))</f>
        <v>0</v>
      </c>
      <c r="V1932" s="16">
        <f>0.5*'Gearing Calculator'!$C$15*'Gearing Calculator'!$C$20*'Gearing Calculator'!$W$20*('Track Data'!Q1932^2)</f>
        <v>345.70451814190722</v>
      </c>
      <c r="W1932" s="16">
        <f>('Gearing Calculator'!$U$9*'Track Data'!T1932)+'Track Data'!V1932</f>
        <v>1307.1998552786242</v>
      </c>
      <c r="X1932" s="16">
        <f>('Gearing Calculator'!$U$9*9.81)*('Gearing Calculator'!$U$16/'Gearing Calculator'!$C$7)-(('Track Data'!W1932)*('Gearing Calculator'!$U$17/'Gearing Calculator'!$C$7))</f>
        <v>688.6491053150736</v>
      </c>
      <c r="Y1932" s="16">
        <f>('Gearing Calculator'!$U$9*9.81)*(('Gearing Calculator'!$C$7-'Gearing Calculator'!$U$16)/'Gearing Calculator'!$C$7)+(('Track Data'!W1932)*('Gearing Calculator'!$U$17/'Gearing Calculator'!$C$7))</f>
        <v>1922.7728946849265</v>
      </c>
      <c r="Z1932" s="16">
        <f>((X1932*COS('Gearing Calculator'!$C$21))/'Gearing Calculator'!$C$22)/2</f>
        <v>21.290852324785639</v>
      </c>
      <c r="AA1932" s="16">
        <f>Y1932/'Gearing Calculator'!$C$24</f>
        <v>26.848358678900869</v>
      </c>
      <c r="AB1932" s="16">
        <f t="shared" si="212"/>
        <v>367.37608847556726</v>
      </c>
      <c r="AC1932" s="16">
        <v>0</v>
      </c>
      <c r="AD1932" s="16">
        <v>0</v>
      </c>
      <c r="AE1932" s="16">
        <v>1929</v>
      </c>
      <c r="AF1932" s="16">
        <f>IF(AC1932=0,IF(O1932=6,INDEX(Acceleration!$V$4:$V$110,MATCH('Track Data'!S1932,Acceleration!$K$4:$K$110,0)),IF('Track Data'!O1932=5,INDEX(Acceleration!$U$4:$U$110,MATCH('Track Data'!S1932,Acceleration!$K$4:$K$110,0)),1)),U1932)</f>
        <v>3.61192838894334</v>
      </c>
      <c r="AG1932" s="16">
        <f>IF(AC1932=0,IF(O1932=4,INDEX(Acceleration!$T$4:$T$110,MATCH('Track Data'!S1932,Acceleration!$K$4:$K$110,0)),IF('Track Data'!O1932=3,INDEX(Acceleration!$S$4:$S$110,MATCH('Track Data'!S1932,Acceleration!$K$4:$K$110,0)),'Track Data'!AF1932)),'Track Data'!U1932)</f>
        <v>3.61192838894334</v>
      </c>
      <c r="AH1932" s="16">
        <f>IF(AC1932=0,IF(O1932=2,INDEX(Acceleration!$R$4:$R$110,MATCH('Track Data'!S1932,Acceleration!$K$4:$K$110,0)),IF('Track Data'!O1932=1,INDEX(Acceleration!$Q$4:$Q$110,MATCH('Track Data'!S1932,Acceleration!$K$4:$K$110,0)),'Track Data'!AG1932)),'Track Data'!U1932)</f>
        <v>3.61192838894334</v>
      </c>
    </row>
    <row r="1933" spans="2:34" x14ac:dyDescent="0.25">
      <c r="B1933" s="16">
        <v>247.113</v>
      </c>
      <c r="C1933" s="16">
        <v>9203</v>
      </c>
      <c r="D1933" s="16">
        <v>1930</v>
      </c>
      <c r="E1933" s="113">
        <v>199</v>
      </c>
      <c r="F1933" s="113">
        <v>195.3</v>
      </c>
      <c r="G1933" s="113">
        <v>193.2</v>
      </c>
      <c r="H1933" s="113">
        <f t="shared" si="215"/>
        <v>53.666666666666664</v>
      </c>
      <c r="I1933" s="113">
        <v>2.4</v>
      </c>
      <c r="J1933" s="113">
        <v>11.91</v>
      </c>
      <c r="K1933" s="113">
        <v>-21.6</v>
      </c>
      <c r="L1933" s="185"/>
      <c r="M1933" s="16">
        <v>1930</v>
      </c>
      <c r="N1933" s="16">
        <f t="shared" si="217"/>
        <v>1.7478037514615873E-2</v>
      </c>
      <c r="O1933" s="16">
        <v>6</v>
      </c>
      <c r="P1933" s="16">
        <f t="shared" si="213"/>
        <v>7.3113821138211375</v>
      </c>
      <c r="Q1933" s="16">
        <f t="shared" si="218"/>
        <v>57.214661495248414</v>
      </c>
      <c r="R1933" s="113">
        <f t="shared" si="214"/>
        <v>311.95699999999999</v>
      </c>
      <c r="S1933" s="16">
        <f>IF(S1932=15800,15800,ROUND((((Q1933*60)/'Gearing Calculator'!$C$14)*'Track Data'!P1933),-2))</f>
        <v>12700</v>
      </c>
      <c r="T1933" s="16">
        <f t="shared" si="216"/>
        <v>3.61192838894334</v>
      </c>
      <c r="U1933" s="16">
        <f>IF(AC1933=100,Braking!$AG$2354,IF(AC1933=50,Braking!$AG$1179,IF(AC1933=75,Braking!$AG$1767,0)))</f>
        <v>0</v>
      </c>
      <c r="V1933" s="16">
        <f>0.5*'Gearing Calculator'!$C$15*'Gearing Calculator'!$C$20*'Gearing Calculator'!$W$20*('Track Data'!Q1933^2)</f>
        <v>346.46909114327872</v>
      </c>
      <c r="W1933" s="16">
        <f>('Gearing Calculator'!$U$9*'Track Data'!T1933)+'Track Data'!V1933</f>
        <v>1307.9644282799957</v>
      </c>
      <c r="X1933" s="16">
        <f>('Gearing Calculator'!$U$9*9.81)*('Gearing Calculator'!$U$16/'Gearing Calculator'!$C$7)-(('Track Data'!W1933)*('Gearing Calculator'!$U$17/'Gearing Calculator'!$C$7))</f>
        <v>688.23236081378161</v>
      </c>
      <c r="Y1933" s="16">
        <f>('Gearing Calculator'!$U$9*9.81)*(('Gearing Calculator'!$C$7-'Gearing Calculator'!$U$16)/'Gearing Calculator'!$C$7)+(('Track Data'!W1933)*('Gearing Calculator'!$U$17/'Gearing Calculator'!$C$7))</f>
        <v>1923.1896391862183</v>
      </c>
      <c r="Z1933" s="16">
        <f>((X1933*COS('Gearing Calculator'!$C$21))/'Gearing Calculator'!$C$22)/2</f>
        <v>21.277967902856254</v>
      </c>
      <c r="AA1933" s="16">
        <f>Y1933/'Gearing Calculator'!$C$24</f>
        <v>26.854177829919205</v>
      </c>
      <c r="AB1933" s="16">
        <f t="shared" si="212"/>
        <v>368.14066147693876</v>
      </c>
      <c r="AC1933" s="16">
        <v>0</v>
      </c>
      <c r="AD1933" s="16">
        <v>0</v>
      </c>
      <c r="AE1933" s="16">
        <v>1930</v>
      </c>
      <c r="AF1933" s="16">
        <f>IF(AC1933=0,IF(O1933=6,INDEX(Acceleration!$V$4:$V$110,MATCH('Track Data'!S1933,Acceleration!$K$4:$K$110,0)),IF('Track Data'!O1933=5,INDEX(Acceleration!$U$4:$U$110,MATCH('Track Data'!S1933,Acceleration!$K$4:$K$110,0)),1)),U1933)</f>
        <v>3.61192838894334</v>
      </c>
      <c r="AG1933" s="16">
        <f>IF(AC1933=0,IF(O1933=4,INDEX(Acceleration!$T$4:$T$110,MATCH('Track Data'!S1933,Acceleration!$K$4:$K$110,0)),IF('Track Data'!O1933=3,INDEX(Acceleration!$S$4:$S$110,MATCH('Track Data'!S1933,Acceleration!$K$4:$K$110,0)),'Track Data'!AF1933)),'Track Data'!U1933)</f>
        <v>3.61192838894334</v>
      </c>
      <c r="AH1933" s="16">
        <f>IF(AC1933=0,IF(O1933=2,INDEX(Acceleration!$R$4:$R$110,MATCH('Track Data'!S1933,Acceleration!$K$4:$K$110,0)),IF('Track Data'!O1933=1,INDEX(Acceleration!$Q$4:$Q$110,MATCH('Track Data'!S1933,Acceleration!$K$4:$K$110,0)),'Track Data'!AG1933)),'Track Data'!U1933)</f>
        <v>3.61192838894334</v>
      </c>
    </row>
    <row r="1934" spans="2:34" x14ac:dyDescent="0.25">
      <c r="B1934" s="16">
        <v>247.131</v>
      </c>
      <c r="C1934" s="16">
        <v>9204</v>
      </c>
      <c r="D1934" s="16">
        <v>1931</v>
      </c>
      <c r="E1934" s="113">
        <v>199</v>
      </c>
      <c r="F1934" s="113">
        <v>195.6</v>
      </c>
      <c r="G1934" s="113">
        <v>193.4</v>
      </c>
      <c r="H1934" s="113">
        <f t="shared" si="215"/>
        <v>53.722222222222221</v>
      </c>
      <c r="I1934" s="113">
        <v>2.4</v>
      </c>
      <c r="J1934" s="113">
        <v>10.85</v>
      </c>
      <c r="K1934" s="113">
        <v>-18.8</v>
      </c>
      <c r="L1934" s="185"/>
      <c r="M1934" s="16">
        <v>1931</v>
      </c>
      <c r="N1934" s="16">
        <f t="shared" si="217"/>
        <v>1.7458784485300832E-2</v>
      </c>
      <c r="O1934" s="16">
        <v>6</v>
      </c>
      <c r="P1934" s="16">
        <f t="shared" si="213"/>
        <v>7.3113821138211375</v>
      </c>
      <c r="Q1934" s="16">
        <f t="shared" si="218"/>
        <v>57.277756125687638</v>
      </c>
      <c r="R1934" s="113">
        <f t="shared" si="214"/>
        <v>311.95699999999999</v>
      </c>
      <c r="S1934" s="16">
        <f>IF(S1933=15800,15800,ROUND((((Q1934*60)/'Gearing Calculator'!$C$14)*'Track Data'!P1934),-2))</f>
        <v>12700</v>
      </c>
      <c r="T1934" s="16">
        <f t="shared" si="216"/>
        <v>3.61192838894334</v>
      </c>
      <c r="U1934" s="16">
        <f>IF(AC1934=100,Braking!$AG$2354,IF(AC1934=50,Braking!$AG$1179,IF(AC1934=75,Braking!$AG$1767,0)))</f>
        <v>0</v>
      </c>
      <c r="V1934" s="16">
        <f>0.5*'Gearing Calculator'!$C$15*'Gearing Calculator'!$C$20*'Gearing Calculator'!$W$20*('Track Data'!Q1934^2)</f>
        <v>347.23366414465022</v>
      </c>
      <c r="W1934" s="16">
        <f>('Gearing Calculator'!$U$9*'Track Data'!T1934)+'Track Data'!V1934</f>
        <v>1308.7290012813673</v>
      </c>
      <c r="X1934" s="16">
        <f>('Gearing Calculator'!$U$9*9.81)*('Gearing Calculator'!$U$16/'Gearing Calculator'!$C$7)-(('Track Data'!W1934)*('Gearing Calculator'!$U$17/'Gearing Calculator'!$C$7))</f>
        <v>687.81561631248962</v>
      </c>
      <c r="Y1934" s="16">
        <f>('Gearing Calculator'!$U$9*9.81)*(('Gearing Calculator'!$C$7-'Gearing Calculator'!$U$16)/'Gearing Calculator'!$C$7)+(('Track Data'!W1934)*('Gearing Calculator'!$U$17/'Gearing Calculator'!$C$7))</f>
        <v>1923.6063836875105</v>
      </c>
      <c r="Z1934" s="16">
        <f>((X1934*COS('Gearing Calculator'!$C$21))/'Gearing Calculator'!$C$22)/2</f>
        <v>21.265083480926865</v>
      </c>
      <c r="AA1934" s="16">
        <f>Y1934/'Gearing Calculator'!$C$24</f>
        <v>26.859996980937552</v>
      </c>
      <c r="AB1934" s="16">
        <f t="shared" si="212"/>
        <v>368.90523447831026</v>
      </c>
      <c r="AC1934" s="16">
        <v>0</v>
      </c>
      <c r="AD1934" s="16">
        <v>0</v>
      </c>
      <c r="AE1934" s="16">
        <v>1931</v>
      </c>
      <c r="AF1934" s="16">
        <f>IF(AC1934=0,IF(O1934=6,INDEX(Acceleration!$V$4:$V$110,MATCH('Track Data'!S1934,Acceleration!$K$4:$K$110,0)),IF('Track Data'!O1934=5,INDEX(Acceleration!$U$4:$U$110,MATCH('Track Data'!S1934,Acceleration!$K$4:$K$110,0)),1)),U1934)</f>
        <v>3.61192838894334</v>
      </c>
      <c r="AG1934" s="16">
        <f>IF(AC1934=0,IF(O1934=4,INDEX(Acceleration!$T$4:$T$110,MATCH('Track Data'!S1934,Acceleration!$K$4:$K$110,0)),IF('Track Data'!O1934=3,INDEX(Acceleration!$S$4:$S$110,MATCH('Track Data'!S1934,Acceleration!$K$4:$K$110,0)),'Track Data'!AF1934)),'Track Data'!U1934)</f>
        <v>3.61192838894334</v>
      </c>
      <c r="AH1934" s="16">
        <f>IF(AC1934=0,IF(O1934=2,INDEX(Acceleration!$R$4:$R$110,MATCH('Track Data'!S1934,Acceleration!$K$4:$K$110,0)),IF('Track Data'!O1934=1,INDEX(Acceleration!$Q$4:$Q$110,MATCH('Track Data'!S1934,Acceleration!$K$4:$K$110,0)),'Track Data'!AG1934)),'Track Data'!U1934)</f>
        <v>3.61192838894334</v>
      </c>
    </row>
    <row r="1935" spans="2:34" x14ac:dyDescent="0.25">
      <c r="B1935" s="16">
        <v>247.15</v>
      </c>
      <c r="C1935" s="16">
        <v>9205</v>
      </c>
      <c r="D1935" s="16">
        <v>1932</v>
      </c>
      <c r="E1935" s="113">
        <v>198</v>
      </c>
      <c r="F1935" s="113">
        <v>195.8</v>
      </c>
      <c r="G1935" s="113">
        <v>193.6</v>
      </c>
      <c r="H1935" s="113">
        <f t="shared" si="215"/>
        <v>53.777777777777771</v>
      </c>
      <c r="I1935" s="113">
        <v>2.9</v>
      </c>
      <c r="J1935" s="113">
        <v>10.94</v>
      </c>
      <c r="K1935" s="113">
        <v>-14.7</v>
      </c>
      <c r="L1935" s="185"/>
      <c r="M1935" s="16">
        <v>1932</v>
      </c>
      <c r="N1935" s="16">
        <f t="shared" si="217"/>
        <v>1.7439594940978288E-2</v>
      </c>
      <c r="O1935" s="16">
        <v>6</v>
      </c>
      <c r="P1935" s="16">
        <f t="shared" si="213"/>
        <v>7.3113821138211375</v>
      </c>
      <c r="Q1935" s="16">
        <f t="shared" si="218"/>
        <v>57.340781330320524</v>
      </c>
      <c r="R1935" s="113">
        <f t="shared" si="214"/>
        <v>311.95699999999999</v>
      </c>
      <c r="S1935" s="16">
        <f>IF(S1934=15800,15800,ROUND((((Q1935*60)/'Gearing Calculator'!$C$14)*'Track Data'!P1935),-2))</f>
        <v>12700</v>
      </c>
      <c r="T1935" s="16">
        <f t="shared" si="216"/>
        <v>3.61192838894334</v>
      </c>
      <c r="U1935" s="16">
        <f>IF(AC1935=100,Braking!$AG$2354,IF(AC1935=50,Braking!$AG$1179,IF(AC1935=75,Braking!$AG$1767,0)))</f>
        <v>0</v>
      </c>
      <c r="V1935" s="16">
        <f>0.5*'Gearing Calculator'!$C$15*'Gearing Calculator'!$C$20*'Gearing Calculator'!$W$20*('Track Data'!Q1935^2)</f>
        <v>347.99823714602178</v>
      </c>
      <c r="W1935" s="16">
        <f>('Gearing Calculator'!$U$9*'Track Data'!T1935)+'Track Data'!V1935</f>
        <v>1309.4935742827388</v>
      </c>
      <c r="X1935" s="16">
        <f>('Gearing Calculator'!$U$9*9.81)*('Gearing Calculator'!$U$16/'Gearing Calculator'!$C$7)-(('Track Data'!W1935)*('Gearing Calculator'!$U$17/'Gearing Calculator'!$C$7))</f>
        <v>687.39887181119764</v>
      </c>
      <c r="Y1935" s="16">
        <f>('Gearing Calculator'!$U$9*9.81)*(('Gearing Calculator'!$C$7-'Gearing Calculator'!$U$16)/'Gearing Calculator'!$C$7)+(('Track Data'!W1935)*('Gearing Calculator'!$U$17/'Gearing Calculator'!$C$7))</f>
        <v>1924.0231281888023</v>
      </c>
      <c r="Z1935" s="16">
        <f>((X1935*COS('Gearing Calculator'!$C$21))/'Gearing Calculator'!$C$22)/2</f>
        <v>21.25219905899748</v>
      </c>
      <c r="AA1935" s="16">
        <f>Y1935/'Gearing Calculator'!$C$24</f>
        <v>26.865816131955892</v>
      </c>
      <c r="AB1935" s="16">
        <f t="shared" si="212"/>
        <v>369.66980747968182</v>
      </c>
      <c r="AC1935" s="16">
        <v>0</v>
      </c>
      <c r="AD1935" s="16">
        <v>0</v>
      </c>
      <c r="AE1935" s="16">
        <v>1932</v>
      </c>
      <c r="AF1935" s="16">
        <f>IF(AC1935=0,IF(O1935=6,INDEX(Acceleration!$V$4:$V$110,MATCH('Track Data'!S1935,Acceleration!$K$4:$K$110,0)),IF('Track Data'!O1935=5,INDEX(Acceleration!$U$4:$U$110,MATCH('Track Data'!S1935,Acceleration!$K$4:$K$110,0)),1)),U1935)</f>
        <v>3.61192838894334</v>
      </c>
      <c r="AG1935" s="16">
        <f>IF(AC1935=0,IF(O1935=4,INDEX(Acceleration!$T$4:$T$110,MATCH('Track Data'!S1935,Acceleration!$K$4:$K$110,0)),IF('Track Data'!O1935=3,INDEX(Acceleration!$S$4:$S$110,MATCH('Track Data'!S1935,Acceleration!$K$4:$K$110,0)),'Track Data'!AF1935)),'Track Data'!U1935)</f>
        <v>3.61192838894334</v>
      </c>
      <c r="AH1935" s="16">
        <f>IF(AC1935=0,IF(O1935=2,INDEX(Acceleration!$R$4:$R$110,MATCH('Track Data'!S1935,Acceleration!$K$4:$K$110,0)),IF('Track Data'!O1935=1,INDEX(Acceleration!$Q$4:$Q$110,MATCH('Track Data'!S1935,Acceleration!$K$4:$K$110,0)),'Track Data'!AG1935)),'Track Data'!U1935)</f>
        <v>3.61192838894334</v>
      </c>
    </row>
    <row r="1936" spans="2:34" x14ac:dyDescent="0.25">
      <c r="B1936" s="16">
        <v>247.16800000000001</v>
      </c>
      <c r="C1936" s="16">
        <v>9207</v>
      </c>
      <c r="D1936" s="16">
        <v>1933</v>
      </c>
      <c r="E1936" s="113">
        <v>198</v>
      </c>
      <c r="F1936" s="113">
        <v>195.9</v>
      </c>
      <c r="G1936" s="113">
        <v>193.6</v>
      </c>
      <c r="H1936" s="113">
        <f t="shared" si="215"/>
        <v>53.777777777777771</v>
      </c>
      <c r="I1936" s="113">
        <v>3.3</v>
      </c>
      <c r="J1936" s="113">
        <v>10.41</v>
      </c>
      <c r="K1936" s="113">
        <v>-12.5</v>
      </c>
      <c r="L1936" s="185"/>
      <c r="M1936" s="16">
        <v>1933</v>
      </c>
      <c r="N1936" s="16">
        <f t="shared" si="217"/>
        <v>1.7420468533520795E-2</v>
      </c>
      <c r="O1936" s="16">
        <v>6</v>
      </c>
      <c r="P1936" s="16">
        <f t="shared" si="213"/>
        <v>7.3113821138211375</v>
      </c>
      <c r="Q1936" s="16">
        <f t="shared" si="218"/>
        <v>57.4037373378208</v>
      </c>
      <c r="R1936" s="113">
        <f t="shared" si="214"/>
        <v>311.95699999999999</v>
      </c>
      <c r="S1936" s="16">
        <f>IF(S1935=15800,15800,ROUND((((Q1936*60)/'Gearing Calculator'!$C$14)*'Track Data'!P1936),-2))</f>
        <v>12700</v>
      </c>
      <c r="T1936" s="16">
        <f t="shared" si="216"/>
        <v>3.61192838894334</v>
      </c>
      <c r="U1936" s="16">
        <f>IF(AC1936=100,Braking!$AG$2354,IF(AC1936=50,Braking!$AG$1179,IF(AC1936=75,Braking!$AG$1767,0)))</f>
        <v>0</v>
      </c>
      <c r="V1936" s="16">
        <f>0.5*'Gearing Calculator'!$C$15*'Gearing Calculator'!$C$20*'Gearing Calculator'!$W$20*('Track Data'!Q1936^2)</f>
        <v>348.76281014739334</v>
      </c>
      <c r="W1936" s="16">
        <f>('Gearing Calculator'!$U$9*'Track Data'!T1936)+'Track Data'!V1936</f>
        <v>1310.2581472841102</v>
      </c>
      <c r="X1936" s="16">
        <f>('Gearing Calculator'!$U$9*9.81)*('Gearing Calculator'!$U$16/'Gearing Calculator'!$C$7)-(('Track Data'!W1936)*('Gearing Calculator'!$U$17/'Gearing Calculator'!$C$7))</f>
        <v>686.98212730990565</v>
      </c>
      <c r="Y1936" s="16">
        <f>('Gearing Calculator'!$U$9*9.81)*(('Gearing Calculator'!$C$7-'Gearing Calculator'!$U$16)/'Gearing Calculator'!$C$7)+(('Track Data'!W1936)*('Gearing Calculator'!$U$17/'Gearing Calculator'!$C$7))</f>
        <v>1924.4398726900945</v>
      </c>
      <c r="Z1936" s="16">
        <f>((X1936*COS('Gearing Calculator'!$C$21))/'Gearing Calculator'!$C$22)/2</f>
        <v>21.239314637068091</v>
      </c>
      <c r="AA1936" s="16">
        <f>Y1936/'Gearing Calculator'!$C$24</f>
        <v>26.871635282974236</v>
      </c>
      <c r="AB1936" s="16">
        <f t="shared" si="212"/>
        <v>370.43438048105338</v>
      </c>
      <c r="AC1936" s="16">
        <v>0</v>
      </c>
      <c r="AD1936" s="16">
        <v>0</v>
      </c>
      <c r="AE1936" s="16">
        <v>1933</v>
      </c>
      <c r="AF1936" s="16">
        <f>IF(AC1936=0,IF(O1936=6,INDEX(Acceleration!$V$4:$V$110,MATCH('Track Data'!S1936,Acceleration!$K$4:$K$110,0)),IF('Track Data'!O1936=5,INDEX(Acceleration!$U$4:$U$110,MATCH('Track Data'!S1936,Acceleration!$K$4:$K$110,0)),1)),U1936)</f>
        <v>3.61192838894334</v>
      </c>
      <c r="AG1936" s="16">
        <f>IF(AC1936=0,IF(O1936=4,INDEX(Acceleration!$T$4:$T$110,MATCH('Track Data'!S1936,Acceleration!$K$4:$K$110,0)),IF('Track Data'!O1936=3,INDEX(Acceleration!$S$4:$S$110,MATCH('Track Data'!S1936,Acceleration!$K$4:$K$110,0)),'Track Data'!AF1936)),'Track Data'!U1936)</f>
        <v>3.61192838894334</v>
      </c>
      <c r="AH1936" s="16">
        <f>IF(AC1936=0,IF(O1936=2,INDEX(Acceleration!$R$4:$R$110,MATCH('Track Data'!S1936,Acceleration!$K$4:$K$110,0)),IF('Track Data'!O1936=1,INDEX(Acceleration!$Q$4:$Q$110,MATCH('Track Data'!S1936,Acceleration!$K$4:$K$110,0)),'Track Data'!AG1936)),'Track Data'!U1936)</f>
        <v>3.61192838894334</v>
      </c>
    </row>
    <row r="1937" spans="2:34" x14ac:dyDescent="0.25">
      <c r="B1937" s="16">
        <v>247.18600000000001</v>
      </c>
      <c r="C1937" s="16">
        <v>9207</v>
      </c>
      <c r="D1937" s="16">
        <v>1934</v>
      </c>
      <c r="E1937" s="113">
        <v>198</v>
      </c>
      <c r="F1937" s="113">
        <v>196.1</v>
      </c>
      <c r="G1937" s="113">
        <v>193.8</v>
      </c>
      <c r="H1937" s="113">
        <f t="shared" si="215"/>
        <v>53.833333333333336</v>
      </c>
      <c r="I1937" s="113">
        <v>3.6</v>
      </c>
      <c r="J1937" s="113">
        <v>11.12</v>
      </c>
      <c r="K1937" s="113">
        <v>-8.4</v>
      </c>
      <c r="L1937" s="185"/>
      <c r="M1937" s="16">
        <v>1934</v>
      </c>
      <c r="N1937" s="16">
        <f t="shared" si="217"/>
        <v>1.740140491746766E-2</v>
      </c>
      <c r="O1937" s="16">
        <v>6</v>
      </c>
      <c r="P1937" s="16">
        <f t="shared" si="213"/>
        <v>7.3113821138211375</v>
      </c>
      <c r="Q1937" s="16">
        <f t="shared" si="218"/>
        <v>57.466624375609612</v>
      </c>
      <c r="R1937" s="113">
        <f t="shared" si="214"/>
        <v>311.95699999999999</v>
      </c>
      <c r="S1937" s="16">
        <f>IF(S1936=15800,15800,ROUND((((Q1937*60)/'Gearing Calculator'!$C$14)*'Track Data'!P1937),-2))</f>
        <v>12700</v>
      </c>
      <c r="T1937" s="16">
        <f t="shared" si="216"/>
        <v>3.61192838894334</v>
      </c>
      <c r="U1937" s="16">
        <f>IF(AC1937=100,Braking!$AG$2354,IF(AC1937=50,Braking!$AG$1179,IF(AC1937=75,Braking!$AG$1767,0)))</f>
        <v>0</v>
      </c>
      <c r="V1937" s="16">
        <f>0.5*'Gearing Calculator'!$C$15*'Gearing Calculator'!$C$20*'Gearing Calculator'!$W$20*('Track Data'!Q1937^2)</f>
        <v>349.52738314876495</v>
      </c>
      <c r="W1937" s="16">
        <f>('Gearing Calculator'!$U$9*'Track Data'!T1937)+'Track Data'!V1937</f>
        <v>1311.0227202854819</v>
      </c>
      <c r="X1937" s="16">
        <f>('Gearing Calculator'!$U$9*9.81)*('Gearing Calculator'!$U$16/'Gearing Calculator'!$C$7)-(('Track Data'!W1937)*('Gearing Calculator'!$U$17/'Gearing Calculator'!$C$7))</f>
        <v>686.56538280861355</v>
      </c>
      <c r="Y1937" s="16">
        <f>('Gearing Calculator'!$U$9*9.81)*(('Gearing Calculator'!$C$7-'Gearing Calculator'!$U$16)/'Gearing Calculator'!$C$7)+(('Track Data'!W1937)*('Gearing Calculator'!$U$17/'Gearing Calculator'!$C$7))</f>
        <v>1924.8566171913865</v>
      </c>
      <c r="Z1937" s="16">
        <f>((X1937*COS('Gearing Calculator'!$C$21))/'Gearing Calculator'!$C$22)/2</f>
        <v>21.226430215138702</v>
      </c>
      <c r="AA1937" s="16">
        <f>Y1937/'Gearing Calculator'!$C$24</f>
        <v>26.877454433992579</v>
      </c>
      <c r="AB1937" s="16">
        <f t="shared" si="212"/>
        <v>371.198953482425</v>
      </c>
      <c r="AC1937" s="16">
        <v>0</v>
      </c>
      <c r="AD1937" s="16">
        <v>0</v>
      </c>
      <c r="AE1937" s="16">
        <v>1934</v>
      </c>
      <c r="AF1937" s="16">
        <f>IF(AC1937=0,IF(O1937=6,INDEX(Acceleration!$V$4:$V$110,MATCH('Track Data'!S1937,Acceleration!$K$4:$K$110,0)),IF('Track Data'!O1937=5,INDEX(Acceleration!$U$4:$U$110,MATCH('Track Data'!S1937,Acceleration!$K$4:$K$110,0)),1)),U1937)</f>
        <v>3.61192838894334</v>
      </c>
      <c r="AG1937" s="16">
        <f>IF(AC1937=0,IF(O1937=4,INDEX(Acceleration!$T$4:$T$110,MATCH('Track Data'!S1937,Acceleration!$K$4:$K$110,0)),IF('Track Data'!O1937=3,INDEX(Acceleration!$S$4:$S$110,MATCH('Track Data'!S1937,Acceleration!$K$4:$K$110,0)),'Track Data'!AF1937)),'Track Data'!U1937)</f>
        <v>3.61192838894334</v>
      </c>
      <c r="AH1937" s="16">
        <f>IF(AC1937=0,IF(O1937=2,INDEX(Acceleration!$R$4:$R$110,MATCH('Track Data'!S1937,Acceleration!$K$4:$K$110,0)),IF('Track Data'!O1937=1,INDEX(Acceleration!$Q$4:$Q$110,MATCH('Track Data'!S1937,Acceleration!$K$4:$K$110,0)),'Track Data'!AG1937)),'Track Data'!U1937)</f>
        <v>3.61192838894334</v>
      </c>
    </row>
    <row r="1938" spans="2:34" x14ac:dyDescent="0.25">
      <c r="B1938" s="16">
        <v>247.20500000000001</v>
      </c>
      <c r="C1938" s="16">
        <v>9208</v>
      </c>
      <c r="D1938" s="16">
        <v>1935</v>
      </c>
      <c r="E1938" s="113">
        <v>198</v>
      </c>
      <c r="F1938" s="113">
        <v>196.3</v>
      </c>
      <c r="G1938" s="113">
        <v>194</v>
      </c>
      <c r="H1938" s="113">
        <f t="shared" si="215"/>
        <v>53.888888888888886</v>
      </c>
      <c r="I1938" s="113">
        <v>4</v>
      </c>
      <c r="J1938" s="113">
        <v>13.33</v>
      </c>
      <c r="K1938" s="113">
        <v>-5.7</v>
      </c>
      <c r="L1938" s="185"/>
      <c r="M1938" s="16">
        <v>1935</v>
      </c>
      <c r="N1938" s="16">
        <f t="shared" si="217"/>
        <v>1.7382403749998727E-2</v>
      </c>
      <c r="O1938" s="16">
        <v>6</v>
      </c>
      <c r="P1938" s="16">
        <f t="shared" si="213"/>
        <v>7.3113821138211375</v>
      </c>
      <c r="Q1938" s="16">
        <f t="shared" si="218"/>
        <v>57.529442669865105</v>
      </c>
      <c r="R1938" s="113">
        <f t="shared" si="214"/>
        <v>311.95699999999999</v>
      </c>
      <c r="S1938" s="16">
        <f>IF(S1937=15800,15800,ROUND((((Q1938*60)/'Gearing Calculator'!$C$14)*'Track Data'!P1938),-2))</f>
        <v>12800</v>
      </c>
      <c r="T1938" s="16">
        <f t="shared" si="216"/>
        <v>3.5834047433191962</v>
      </c>
      <c r="U1938" s="16">
        <f>IF(AC1938=100,Braking!$AG$2354,IF(AC1938=50,Braking!$AG$1179,IF(AC1938=75,Braking!$AG$1767,0)))</f>
        <v>0</v>
      </c>
      <c r="V1938" s="16">
        <f>0.5*'Gearing Calculator'!$C$15*'Gearing Calculator'!$C$20*'Gearing Calculator'!$W$20*('Track Data'!Q1938^2)</f>
        <v>350.29195615013646</v>
      </c>
      <c r="W1938" s="16">
        <f>('Gearing Calculator'!$U$9*'Track Data'!T1938)+'Track Data'!V1938</f>
        <v>1304.1942988217065</v>
      </c>
      <c r="X1938" s="16">
        <f>('Gearing Calculator'!$U$9*9.81)*('Gearing Calculator'!$U$16/'Gearing Calculator'!$C$7)-(('Track Data'!W1938)*('Gearing Calculator'!$U$17/'Gearing Calculator'!$C$7))</f>
        <v>690.28733884476435</v>
      </c>
      <c r="Y1938" s="16">
        <f>('Gearing Calculator'!$U$9*9.81)*(('Gearing Calculator'!$C$7-'Gearing Calculator'!$U$16)/'Gearing Calculator'!$C$7)+(('Track Data'!W1938)*('Gearing Calculator'!$U$17/'Gearing Calculator'!$C$7))</f>
        <v>1921.1346611552358</v>
      </c>
      <c r="Z1938" s="16">
        <f>((X1938*COS('Gearing Calculator'!$C$21))/'Gearing Calculator'!$C$22)/2</f>
        <v>21.341501324232464</v>
      </c>
      <c r="AA1938" s="16">
        <f>Y1938/'Gearing Calculator'!$C$24</f>
        <v>26.825483444115459</v>
      </c>
      <c r="AB1938" s="16">
        <f t="shared" si="212"/>
        <v>371.79238461005161</v>
      </c>
      <c r="AC1938" s="16">
        <v>0</v>
      </c>
      <c r="AD1938" s="16">
        <v>0</v>
      </c>
      <c r="AE1938" s="16">
        <v>1935</v>
      </c>
      <c r="AF1938" s="16">
        <f>IF(AC1938=0,IF(O1938=6,INDEX(Acceleration!$V$4:$V$110,MATCH('Track Data'!S1938,Acceleration!$K$4:$K$110,0)),IF('Track Data'!O1938=5,INDEX(Acceleration!$U$4:$U$110,MATCH('Track Data'!S1938,Acceleration!$K$4:$K$110,0)),1)),U1938)</f>
        <v>3.5834047433191962</v>
      </c>
      <c r="AG1938" s="16">
        <f>IF(AC1938=0,IF(O1938=4,INDEX(Acceleration!$T$4:$T$110,MATCH('Track Data'!S1938,Acceleration!$K$4:$K$110,0)),IF('Track Data'!O1938=3,INDEX(Acceleration!$S$4:$S$110,MATCH('Track Data'!S1938,Acceleration!$K$4:$K$110,0)),'Track Data'!AF1938)),'Track Data'!U1938)</f>
        <v>3.5834047433191962</v>
      </c>
      <c r="AH1938" s="16">
        <f>IF(AC1938=0,IF(O1938=2,INDEX(Acceleration!$R$4:$R$110,MATCH('Track Data'!S1938,Acceleration!$K$4:$K$110,0)),IF('Track Data'!O1938=1,INDEX(Acceleration!$Q$4:$Q$110,MATCH('Track Data'!S1938,Acceleration!$K$4:$K$110,0)),'Track Data'!AG1938)),'Track Data'!U1938)</f>
        <v>3.5834047433191962</v>
      </c>
    </row>
    <row r="1939" spans="2:34" x14ac:dyDescent="0.25">
      <c r="B1939" s="16">
        <v>247.22300000000001</v>
      </c>
      <c r="C1939" s="16">
        <v>9209</v>
      </c>
      <c r="D1939" s="16">
        <v>1936</v>
      </c>
      <c r="E1939" s="113">
        <v>199</v>
      </c>
      <c r="F1939" s="113">
        <v>196</v>
      </c>
      <c r="G1939" s="113">
        <v>194.2</v>
      </c>
      <c r="H1939" s="113">
        <f t="shared" si="215"/>
        <v>53.944444444444443</v>
      </c>
      <c r="I1939" s="113">
        <v>4.4000000000000004</v>
      </c>
      <c r="J1939" s="113">
        <v>14.8</v>
      </c>
      <c r="K1939" s="113">
        <v>-9.1</v>
      </c>
      <c r="L1939" s="185"/>
      <c r="M1939" s="16">
        <v>1936</v>
      </c>
      <c r="N1939" s="16">
        <f t="shared" si="217"/>
        <v>1.7363614011533492E-2</v>
      </c>
      <c r="O1939" s="16">
        <v>6</v>
      </c>
      <c r="P1939" s="16">
        <f t="shared" si="213"/>
        <v>7.3113821138211375</v>
      </c>
      <c r="Q1939" s="16">
        <f t="shared" si="218"/>
        <v>57.591697174088679</v>
      </c>
      <c r="R1939" s="113">
        <f t="shared" si="214"/>
        <v>311.95699999999999</v>
      </c>
      <c r="S1939" s="16">
        <f>IF(S1938=15800,15800,ROUND((((Q1939*60)/'Gearing Calculator'!$C$14)*'Track Data'!P1939),-2))</f>
        <v>12800</v>
      </c>
      <c r="T1939" s="16">
        <f t="shared" si="216"/>
        <v>3.5834047433191962</v>
      </c>
      <c r="U1939" s="16">
        <f>IF(AC1939=100,Braking!$AG$2354,IF(AC1939=50,Braking!$AG$1179,IF(AC1939=75,Braking!$AG$1767,0)))</f>
        <v>0</v>
      </c>
      <c r="V1939" s="16">
        <f>0.5*'Gearing Calculator'!$C$15*'Gearing Calculator'!$C$20*'Gearing Calculator'!$W$20*('Track Data'!Q1939^2)</f>
        <v>351.05049126620224</v>
      </c>
      <c r="W1939" s="16">
        <f>('Gearing Calculator'!$U$9*'Track Data'!T1939)+'Track Data'!V1939</f>
        <v>1304.9528339377721</v>
      </c>
      <c r="X1939" s="16">
        <f>('Gearing Calculator'!$U$9*9.81)*('Gearing Calculator'!$U$16/'Gearing Calculator'!$C$7)-(('Track Data'!W1939)*('Gearing Calculator'!$U$17/'Gearing Calculator'!$C$7))</f>
        <v>689.87388540331381</v>
      </c>
      <c r="Y1939" s="16">
        <f>('Gearing Calculator'!$U$9*9.81)*(('Gearing Calculator'!$C$7-'Gearing Calculator'!$U$16)/'Gearing Calculator'!$C$7)+(('Track Data'!W1939)*('Gearing Calculator'!$U$17/'Gearing Calculator'!$C$7))</f>
        <v>1921.5481145966862</v>
      </c>
      <c r="Z1939" s="16">
        <f>((X1939*COS('Gearing Calculator'!$C$21))/'Gearing Calculator'!$C$22)/2</f>
        <v>21.328718651464641</v>
      </c>
      <c r="AA1939" s="16">
        <f>Y1939/'Gearing Calculator'!$C$24</f>
        <v>26.831256640900047</v>
      </c>
      <c r="AB1939" s="16">
        <f t="shared" si="212"/>
        <v>372.5509197261174</v>
      </c>
      <c r="AC1939" s="16">
        <v>0</v>
      </c>
      <c r="AD1939" s="16">
        <v>0</v>
      </c>
      <c r="AE1939" s="16">
        <v>1936</v>
      </c>
      <c r="AF1939" s="16">
        <f>IF(AC1939=0,IF(O1939=6,INDEX(Acceleration!$V$4:$V$110,MATCH('Track Data'!S1939,Acceleration!$K$4:$K$110,0)),IF('Track Data'!O1939=5,INDEX(Acceleration!$U$4:$U$110,MATCH('Track Data'!S1939,Acceleration!$K$4:$K$110,0)),1)),U1939)</f>
        <v>3.5834047433191962</v>
      </c>
      <c r="AG1939" s="16">
        <f>IF(AC1939=0,IF(O1939=4,INDEX(Acceleration!$T$4:$T$110,MATCH('Track Data'!S1939,Acceleration!$K$4:$K$110,0)),IF('Track Data'!O1939=3,INDEX(Acceleration!$S$4:$S$110,MATCH('Track Data'!S1939,Acceleration!$K$4:$K$110,0)),'Track Data'!AF1939)),'Track Data'!U1939)</f>
        <v>3.5834047433191962</v>
      </c>
      <c r="AH1939" s="16">
        <f>IF(AC1939=0,IF(O1939=2,INDEX(Acceleration!$R$4:$R$110,MATCH('Track Data'!S1939,Acceleration!$K$4:$K$110,0)),IF('Track Data'!O1939=1,INDEX(Acceleration!$Q$4:$Q$110,MATCH('Track Data'!S1939,Acceleration!$K$4:$K$110,0)),'Track Data'!AG1939)),'Track Data'!U1939)</f>
        <v>3.5834047433191962</v>
      </c>
    </row>
    <row r="1940" spans="2:34" x14ac:dyDescent="0.25">
      <c r="B1940" s="16">
        <v>247.24100000000001</v>
      </c>
      <c r="C1940" s="16">
        <v>9210</v>
      </c>
      <c r="D1940" s="16">
        <v>1937</v>
      </c>
      <c r="E1940" s="113">
        <v>199</v>
      </c>
      <c r="F1940" s="113">
        <v>195.8</v>
      </c>
      <c r="G1940" s="113">
        <v>194.4</v>
      </c>
      <c r="H1940" s="113">
        <f t="shared" si="215"/>
        <v>54</v>
      </c>
      <c r="I1940" s="113">
        <v>5.0999999999999996</v>
      </c>
      <c r="J1940" s="113">
        <v>12.79</v>
      </c>
      <c r="K1940" s="113">
        <v>-12.6</v>
      </c>
      <c r="L1940" s="185"/>
      <c r="M1940" s="16">
        <v>1937</v>
      </c>
      <c r="N1940" s="16">
        <f t="shared" si="217"/>
        <v>1.73448850746779E-2</v>
      </c>
      <c r="O1940" s="16">
        <v>6</v>
      </c>
      <c r="P1940" s="16">
        <f t="shared" si="213"/>
        <v>7.3113821138211375</v>
      </c>
      <c r="Q1940" s="16">
        <f t="shared" si="218"/>
        <v>57.653884456110781</v>
      </c>
      <c r="R1940" s="113">
        <f t="shared" si="214"/>
        <v>311.95699999999999</v>
      </c>
      <c r="S1940" s="16">
        <f>IF(S1939=15800,15800,ROUND((((Q1940*60)/'Gearing Calculator'!$C$14)*'Track Data'!P1940),-2))</f>
        <v>12800</v>
      </c>
      <c r="T1940" s="16">
        <f t="shared" si="216"/>
        <v>3.5834047433191962</v>
      </c>
      <c r="U1940" s="16">
        <f>IF(AC1940=100,Braking!$AG$2354,IF(AC1940=50,Braking!$AG$1179,IF(AC1940=75,Braking!$AG$1767,0)))</f>
        <v>0</v>
      </c>
      <c r="V1940" s="16">
        <f>0.5*'Gearing Calculator'!$C$15*'Gearing Calculator'!$C$20*'Gearing Calculator'!$W$20*('Track Data'!Q1940^2)</f>
        <v>351.80902638226809</v>
      </c>
      <c r="W1940" s="16">
        <f>('Gearing Calculator'!$U$9*'Track Data'!T1940)+'Track Data'!V1940</f>
        <v>1305.7113690538381</v>
      </c>
      <c r="X1940" s="16">
        <f>('Gearing Calculator'!$U$9*9.81)*('Gearing Calculator'!$U$16/'Gearing Calculator'!$C$7)-(('Track Data'!W1940)*('Gearing Calculator'!$U$17/'Gearing Calculator'!$C$7))</f>
        <v>689.46043196186304</v>
      </c>
      <c r="Y1940" s="16">
        <f>('Gearing Calculator'!$U$9*9.81)*(('Gearing Calculator'!$C$7-'Gearing Calculator'!$U$16)/'Gearing Calculator'!$C$7)+(('Track Data'!W1940)*('Gearing Calculator'!$U$17/'Gearing Calculator'!$C$7))</f>
        <v>1921.9615680381371</v>
      </c>
      <c r="Z1940" s="16">
        <f>((X1940*COS('Gearing Calculator'!$C$21))/'Gearing Calculator'!$C$22)/2</f>
        <v>21.315935978696807</v>
      </c>
      <c r="AA1940" s="16">
        <f>Y1940/'Gearing Calculator'!$C$24</f>
        <v>26.837029837684639</v>
      </c>
      <c r="AB1940" s="16">
        <f t="shared" si="212"/>
        <v>373.30945484218324</v>
      </c>
      <c r="AC1940" s="16">
        <v>0</v>
      </c>
      <c r="AD1940" s="16">
        <v>0</v>
      </c>
      <c r="AE1940" s="16">
        <v>1937</v>
      </c>
      <c r="AF1940" s="16">
        <f>IF(AC1940=0,IF(O1940=6,INDEX(Acceleration!$V$4:$V$110,MATCH('Track Data'!S1940,Acceleration!$K$4:$K$110,0)),IF('Track Data'!O1940=5,INDEX(Acceleration!$U$4:$U$110,MATCH('Track Data'!S1940,Acceleration!$K$4:$K$110,0)),1)),U1940)</f>
        <v>3.5834047433191962</v>
      </c>
      <c r="AG1940" s="16">
        <f>IF(AC1940=0,IF(O1940=4,INDEX(Acceleration!$T$4:$T$110,MATCH('Track Data'!S1940,Acceleration!$K$4:$K$110,0)),IF('Track Data'!O1940=3,INDEX(Acceleration!$S$4:$S$110,MATCH('Track Data'!S1940,Acceleration!$K$4:$K$110,0)),'Track Data'!AF1940)),'Track Data'!U1940)</f>
        <v>3.5834047433191962</v>
      </c>
      <c r="AH1940" s="16">
        <f>IF(AC1940=0,IF(O1940=2,INDEX(Acceleration!$R$4:$R$110,MATCH('Track Data'!S1940,Acceleration!$K$4:$K$110,0)),IF('Track Data'!O1940=1,INDEX(Acceleration!$Q$4:$Q$110,MATCH('Track Data'!S1940,Acceleration!$K$4:$K$110,0)),'Track Data'!AG1940)),'Track Data'!U1940)</f>
        <v>3.5834047433191962</v>
      </c>
    </row>
    <row r="1941" spans="2:34" x14ac:dyDescent="0.25">
      <c r="B1941" s="16">
        <v>247.26</v>
      </c>
      <c r="C1941" s="16">
        <v>9211</v>
      </c>
      <c r="D1941" s="16">
        <v>1938</v>
      </c>
      <c r="E1941" s="113">
        <v>200</v>
      </c>
      <c r="F1941" s="113">
        <v>196.2</v>
      </c>
      <c r="G1941" s="113">
        <v>194.6</v>
      </c>
      <c r="H1941" s="113">
        <f t="shared" si="215"/>
        <v>54.05555555555555</v>
      </c>
      <c r="I1941" s="113">
        <v>4.9000000000000004</v>
      </c>
      <c r="J1941" s="113">
        <v>11.26</v>
      </c>
      <c r="K1941" s="113">
        <v>-16.100000000000001</v>
      </c>
      <c r="L1941" s="185"/>
      <c r="M1941" s="16">
        <v>1938</v>
      </c>
      <c r="N1941" s="16">
        <f t="shared" si="217"/>
        <v>1.7326216612225109E-2</v>
      </c>
      <c r="O1941" s="16">
        <v>6</v>
      </c>
      <c r="P1941" s="16">
        <f t="shared" si="213"/>
        <v>7.3113821138211375</v>
      </c>
      <c r="Q1941" s="16">
        <f t="shared" si="218"/>
        <v>57.71600473322119</v>
      </c>
      <c r="R1941" s="113">
        <f t="shared" si="214"/>
        <v>311.95699999999999</v>
      </c>
      <c r="S1941" s="16">
        <f>IF(S1940=15800,15800,ROUND((((Q1941*60)/'Gearing Calculator'!$C$14)*'Track Data'!P1941),-2))</f>
        <v>12800</v>
      </c>
      <c r="T1941" s="16">
        <f t="shared" si="216"/>
        <v>3.5834047433191962</v>
      </c>
      <c r="U1941" s="16">
        <f>IF(AC1941=100,Braking!$AG$2354,IF(AC1941=50,Braking!$AG$1179,IF(AC1941=75,Braking!$AG$1767,0)))</f>
        <v>0</v>
      </c>
      <c r="V1941" s="16">
        <f>0.5*'Gearing Calculator'!$C$15*'Gearing Calculator'!$C$20*'Gearing Calculator'!$W$20*('Track Data'!Q1941^2)</f>
        <v>352.56756149833387</v>
      </c>
      <c r="W1941" s="16">
        <f>('Gearing Calculator'!$U$9*'Track Data'!T1941)+'Track Data'!V1941</f>
        <v>1306.4699041699039</v>
      </c>
      <c r="X1941" s="16">
        <f>('Gearing Calculator'!$U$9*9.81)*('Gearing Calculator'!$U$16/'Gearing Calculator'!$C$7)-(('Track Data'!W1941)*('Gearing Calculator'!$U$17/'Gearing Calculator'!$C$7))</f>
        <v>689.04697852041238</v>
      </c>
      <c r="Y1941" s="16">
        <f>('Gearing Calculator'!$U$9*9.81)*(('Gearing Calculator'!$C$7-'Gearing Calculator'!$U$16)/'Gearing Calculator'!$C$7)+(('Track Data'!W1941)*('Gearing Calculator'!$U$17/'Gearing Calculator'!$C$7))</f>
        <v>1922.3750214795878</v>
      </c>
      <c r="Z1941" s="16">
        <f>((X1941*COS('Gearing Calculator'!$C$21))/'Gearing Calculator'!$C$22)/2</f>
        <v>21.30315330592898</v>
      </c>
      <c r="AA1941" s="16">
        <f>Y1941/'Gearing Calculator'!$C$24</f>
        <v>26.842803034469231</v>
      </c>
      <c r="AB1941" s="16">
        <f t="shared" si="212"/>
        <v>374.06798995824903</v>
      </c>
      <c r="AC1941" s="16">
        <v>0</v>
      </c>
      <c r="AD1941" s="16">
        <v>0</v>
      </c>
      <c r="AE1941" s="16">
        <v>1938</v>
      </c>
      <c r="AF1941" s="16">
        <f>IF(AC1941=0,IF(O1941=6,INDEX(Acceleration!$V$4:$V$110,MATCH('Track Data'!S1941,Acceleration!$K$4:$K$110,0)),IF('Track Data'!O1941=5,INDEX(Acceleration!$U$4:$U$110,MATCH('Track Data'!S1941,Acceleration!$K$4:$K$110,0)),1)),U1941)</f>
        <v>3.5834047433191962</v>
      </c>
      <c r="AG1941" s="16">
        <f>IF(AC1941=0,IF(O1941=4,INDEX(Acceleration!$T$4:$T$110,MATCH('Track Data'!S1941,Acceleration!$K$4:$K$110,0)),IF('Track Data'!O1941=3,INDEX(Acceleration!$S$4:$S$110,MATCH('Track Data'!S1941,Acceleration!$K$4:$K$110,0)),'Track Data'!AF1941)),'Track Data'!U1941)</f>
        <v>3.5834047433191962</v>
      </c>
      <c r="AH1941" s="16">
        <f>IF(AC1941=0,IF(O1941=2,INDEX(Acceleration!$R$4:$R$110,MATCH('Track Data'!S1941,Acceleration!$K$4:$K$110,0)),IF('Track Data'!O1941=1,INDEX(Acceleration!$Q$4:$Q$110,MATCH('Track Data'!S1941,Acceleration!$K$4:$K$110,0)),'Track Data'!AG1941)),'Track Data'!U1941)</f>
        <v>3.5834047433191962</v>
      </c>
    </row>
    <row r="1942" spans="2:34" x14ac:dyDescent="0.25">
      <c r="B1942" s="16">
        <v>247.27799999999999</v>
      </c>
      <c r="C1942" s="16">
        <v>9212</v>
      </c>
      <c r="D1942" s="16">
        <v>1939</v>
      </c>
      <c r="E1942" s="113">
        <v>200</v>
      </c>
      <c r="F1942" s="113">
        <v>196.5</v>
      </c>
      <c r="G1942" s="113">
        <v>194.7</v>
      </c>
      <c r="H1942" s="113">
        <f t="shared" si="215"/>
        <v>54.083333333333329</v>
      </c>
      <c r="I1942" s="113">
        <v>4.4000000000000004</v>
      </c>
      <c r="J1942" s="113">
        <v>10.47</v>
      </c>
      <c r="K1942" s="113">
        <v>-17.8</v>
      </c>
      <c r="L1942" s="185"/>
      <c r="M1942" s="16">
        <v>1939</v>
      </c>
      <c r="N1942" s="16">
        <f t="shared" si="217"/>
        <v>1.730760829942822E-2</v>
      </c>
      <c r="O1942" s="16">
        <v>6</v>
      </c>
      <c r="P1942" s="16">
        <f t="shared" si="213"/>
        <v>7.3113821138211375</v>
      </c>
      <c r="Q1942" s="16">
        <f t="shared" si="218"/>
        <v>57.778058221541585</v>
      </c>
      <c r="R1942" s="113">
        <f t="shared" si="214"/>
        <v>311.95699999999999</v>
      </c>
      <c r="S1942" s="16">
        <f>IF(S1941=15800,15800,ROUND((((Q1942*60)/'Gearing Calculator'!$C$14)*'Track Data'!P1942),-2))</f>
        <v>12800</v>
      </c>
      <c r="T1942" s="16">
        <f t="shared" si="216"/>
        <v>3.5834047433191962</v>
      </c>
      <c r="U1942" s="16">
        <f>IF(AC1942=100,Braking!$AG$2354,IF(AC1942=50,Braking!$AG$1179,IF(AC1942=75,Braking!$AG$1767,0)))</f>
        <v>0</v>
      </c>
      <c r="V1942" s="16">
        <f>0.5*'Gearing Calculator'!$C$15*'Gearing Calculator'!$C$20*'Gearing Calculator'!$W$20*('Track Data'!Q1942^2)</f>
        <v>353.32609661439972</v>
      </c>
      <c r="W1942" s="16">
        <f>('Gearing Calculator'!$U$9*'Track Data'!T1942)+'Track Data'!V1942</f>
        <v>1307.2284392859697</v>
      </c>
      <c r="X1942" s="16">
        <f>('Gearing Calculator'!$U$9*9.81)*('Gearing Calculator'!$U$16/'Gearing Calculator'!$C$7)-(('Track Data'!W1942)*('Gearing Calculator'!$U$17/'Gearing Calculator'!$C$7))</f>
        <v>688.63352507896184</v>
      </c>
      <c r="Y1942" s="16">
        <f>('Gearing Calculator'!$U$9*9.81)*(('Gearing Calculator'!$C$7-'Gearing Calculator'!$U$16)/'Gearing Calculator'!$C$7)+(('Track Data'!W1942)*('Gearing Calculator'!$U$17/'Gearing Calculator'!$C$7))</f>
        <v>1922.7884749210382</v>
      </c>
      <c r="Z1942" s="16">
        <f>((X1942*COS('Gearing Calculator'!$C$21))/'Gearing Calculator'!$C$22)/2</f>
        <v>21.290370633161153</v>
      </c>
      <c r="AA1942" s="16">
        <f>Y1942/'Gearing Calculator'!$C$24</f>
        <v>26.848576231253819</v>
      </c>
      <c r="AB1942" s="16">
        <f t="shared" si="212"/>
        <v>374.82652507431487</v>
      </c>
      <c r="AC1942" s="16">
        <v>0</v>
      </c>
      <c r="AD1942" s="16">
        <v>0</v>
      </c>
      <c r="AE1942" s="16">
        <v>1939</v>
      </c>
      <c r="AF1942" s="16">
        <f>IF(AC1942=0,IF(O1942=6,INDEX(Acceleration!$V$4:$V$110,MATCH('Track Data'!S1942,Acceleration!$K$4:$K$110,0)),IF('Track Data'!O1942=5,INDEX(Acceleration!$U$4:$U$110,MATCH('Track Data'!S1942,Acceleration!$K$4:$K$110,0)),1)),U1942)</f>
        <v>3.5834047433191962</v>
      </c>
      <c r="AG1942" s="16">
        <f>IF(AC1942=0,IF(O1942=4,INDEX(Acceleration!$T$4:$T$110,MATCH('Track Data'!S1942,Acceleration!$K$4:$K$110,0)),IF('Track Data'!O1942=3,INDEX(Acceleration!$S$4:$S$110,MATCH('Track Data'!S1942,Acceleration!$K$4:$K$110,0)),'Track Data'!AF1942)),'Track Data'!U1942)</f>
        <v>3.5834047433191962</v>
      </c>
      <c r="AH1942" s="16">
        <f>IF(AC1942=0,IF(O1942=2,INDEX(Acceleration!$R$4:$R$110,MATCH('Track Data'!S1942,Acceleration!$K$4:$K$110,0)),IF('Track Data'!O1942=1,INDEX(Acceleration!$Q$4:$Q$110,MATCH('Track Data'!S1942,Acceleration!$K$4:$K$110,0)),'Track Data'!AG1942)),'Track Data'!U1942)</f>
        <v>3.5834047433191962</v>
      </c>
    </row>
    <row r="1943" spans="2:34" x14ac:dyDescent="0.25">
      <c r="B1943" s="16">
        <v>247.29599999999999</v>
      </c>
      <c r="C1943" s="16">
        <v>9213</v>
      </c>
      <c r="D1943" s="16">
        <v>1940</v>
      </c>
      <c r="E1943" s="113">
        <v>200</v>
      </c>
      <c r="F1943" s="113">
        <v>196.5</v>
      </c>
      <c r="G1943" s="113">
        <v>195</v>
      </c>
      <c r="H1943" s="113">
        <f t="shared" si="215"/>
        <v>54.166666666666664</v>
      </c>
      <c r="I1943" s="113">
        <v>2.6</v>
      </c>
      <c r="J1943" s="113">
        <v>12.86</v>
      </c>
      <c r="K1943" s="113">
        <v>-19.100000000000001</v>
      </c>
      <c r="L1943" s="185"/>
      <c r="M1943" s="16">
        <v>1940</v>
      </c>
      <c r="N1943" s="16">
        <f t="shared" si="217"/>
        <v>1.7289059813976534E-2</v>
      </c>
      <c r="O1943" s="16">
        <v>6</v>
      </c>
      <c r="P1943" s="16">
        <f t="shared" si="213"/>
        <v>7.3113821138211375</v>
      </c>
      <c r="Q1943" s="16">
        <f t="shared" si="218"/>
        <v>57.840045136034327</v>
      </c>
      <c r="R1943" s="113">
        <f t="shared" si="214"/>
        <v>311.95699999999999</v>
      </c>
      <c r="S1943" s="16">
        <f>IF(S1942=15800,15800,ROUND((((Q1943*60)/'Gearing Calculator'!$C$14)*'Track Data'!P1943),-2))</f>
        <v>12800</v>
      </c>
      <c r="T1943" s="16">
        <f t="shared" si="216"/>
        <v>3.5834047433191962</v>
      </c>
      <c r="U1943" s="16">
        <f>IF(AC1943=100,Braking!$AG$2354,IF(AC1943=50,Braking!$AG$1179,IF(AC1943=75,Braking!$AG$1767,0)))</f>
        <v>0</v>
      </c>
      <c r="V1943" s="16">
        <f>0.5*'Gearing Calculator'!$C$15*'Gearing Calculator'!$C$20*'Gearing Calculator'!$W$20*('Track Data'!Q1943^2)</f>
        <v>354.08463173046556</v>
      </c>
      <c r="W1943" s="16">
        <f>('Gearing Calculator'!$U$9*'Track Data'!T1943)+'Track Data'!V1943</f>
        <v>1307.9869744020355</v>
      </c>
      <c r="X1943" s="16">
        <f>('Gearing Calculator'!$U$9*9.81)*('Gearing Calculator'!$U$16/'Gearing Calculator'!$C$7)-(('Track Data'!W1943)*('Gearing Calculator'!$U$17/'Gearing Calculator'!$C$7))</f>
        <v>688.22007163751118</v>
      </c>
      <c r="Y1943" s="16">
        <f>('Gearing Calculator'!$U$9*9.81)*(('Gearing Calculator'!$C$7-'Gearing Calculator'!$U$16)/'Gearing Calculator'!$C$7)+(('Track Data'!W1943)*('Gearing Calculator'!$U$17/'Gearing Calculator'!$C$7))</f>
        <v>1923.2019283624888</v>
      </c>
      <c r="Z1943" s="16">
        <f>((X1943*COS('Gearing Calculator'!$C$21))/'Gearing Calculator'!$C$22)/2</f>
        <v>21.277587960393326</v>
      </c>
      <c r="AA1943" s="16">
        <f>Y1943/'Gearing Calculator'!$C$24</f>
        <v>26.854349428038407</v>
      </c>
      <c r="AB1943" s="16">
        <f t="shared" si="212"/>
        <v>375.58506019038072</v>
      </c>
      <c r="AC1943" s="16">
        <v>0</v>
      </c>
      <c r="AD1943" s="16">
        <v>0</v>
      </c>
      <c r="AE1943" s="16">
        <v>1940</v>
      </c>
      <c r="AF1943" s="16">
        <f>IF(AC1943=0,IF(O1943=6,INDEX(Acceleration!$V$4:$V$110,MATCH('Track Data'!S1943,Acceleration!$K$4:$K$110,0)),IF('Track Data'!O1943=5,INDEX(Acceleration!$U$4:$U$110,MATCH('Track Data'!S1943,Acceleration!$K$4:$K$110,0)),1)),U1943)</f>
        <v>3.5834047433191962</v>
      </c>
      <c r="AG1943" s="16">
        <f>IF(AC1943=0,IF(O1943=4,INDEX(Acceleration!$T$4:$T$110,MATCH('Track Data'!S1943,Acceleration!$K$4:$K$110,0)),IF('Track Data'!O1943=3,INDEX(Acceleration!$S$4:$S$110,MATCH('Track Data'!S1943,Acceleration!$K$4:$K$110,0)),'Track Data'!AF1943)),'Track Data'!U1943)</f>
        <v>3.5834047433191962</v>
      </c>
      <c r="AH1943" s="16">
        <f>IF(AC1943=0,IF(O1943=2,INDEX(Acceleration!$R$4:$R$110,MATCH('Track Data'!S1943,Acceleration!$K$4:$K$110,0)),IF('Track Data'!O1943=1,INDEX(Acceleration!$Q$4:$Q$110,MATCH('Track Data'!S1943,Acceleration!$K$4:$K$110,0)),'Track Data'!AG1943)),'Track Data'!U1943)</f>
        <v>3.5834047433191962</v>
      </c>
    </row>
    <row r="1944" spans="2:34" x14ac:dyDescent="0.25">
      <c r="B1944" s="16">
        <v>247.31399999999999</v>
      </c>
      <c r="C1944" s="16">
        <v>9214</v>
      </c>
      <c r="D1944" s="16">
        <v>1941</v>
      </c>
      <c r="E1944" s="113">
        <v>201</v>
      </c>
      <c r="F1944" s="113">
        <v>196.3</v>
      </c>
      <c r="G1944" s="113">
        <v>195.2</v>
      </c>
      <c r="H1944" s="113">
        <f t="shared" si="215"/>
        <v>54.222222222222214</v>
      </c>
      <c r="I1944" s="113">
        <v>1.9</v>
      </c>
      <c r="J1944" s="113">
        <v>11.86</v>
      </c>
      <c r="K1944" s="113">
        <v>-19.399999999999999</v>
      </c>
      <c r="L1944" s="185"/>
      <c r="M1944" s="16">
        <v>1941</v>
      </c>
      <c r="N1944" s="16">
        <f t="shared" si="217"/>
        <v>1.7270570835972127E-2</v>
      </c>
      <c r="O1944" s="16">
        <v>6</v>
      </c>
      <c r="P1944" s="16">
        <f t="shared" si="213"/>
        <v>7.3113821138211375</v>
      </c>
      <c r="Q1944" s="16">
        <f t="shared" si="218"/>
        <v>57.901965690511119</v>
      </c>
      <c r="R1944" s="113">
        <f t="shared" si="214"/>
        <v>311.95699999999999</v>
      </c>
      <c r="S1944" s="16">
        <f>IF(S1943=15800,15800,ROUND((((Q1944*60)/'Gearing Calculator'!$C$14)*'Track Data'!P1944),-2))</f>
        <v>12800</v>
      </c>
      <c r="T1944" s="16">
        <f t="shared" si="216"/>
        <v>3.5834047433191962</v>
      </c>
      <c r="U1944" s="16">
        <f>IF(AC1944=100,Braking!$AG$2354,IF(AC1944=50,Braking!$AG$1179,IF(AC1944=75,Braking!$AG$1767,0)))</f>
        <v>0</v>
      </c>
      <c r="V1944" s="16">
        <f>0.5*'Gearing Calculator'!$C$15*'Gearing Calculator'!$C$20*'Gearing Calculator'!$W$20*('Track Data'!Q1944^2)</f>
        <v>354.8431668465314</v>
      </c>
      <c r="W1944" s="16">
        <f>('Gearing Calculator'!$U$9*'Track Data'!T1944)+'Track Data'!V1944</f>
        <v>1308.7455095181012</v>
      </c>
      <c r="X1944" s="16">
        <f>('Gearing Calculator'!$U$9*9.81)*('Gearing Calculator'!$U$16/'Gearing Calculator'!$C$7)-(('Track Data'!W1944)*('Gearing Calculator'!$U$17/'Gearing Calculator'!$C$7))</f>
        <v>687.80661819606053</v>
      </c>
      <c r="Y1944" s="16">
        <f>('Gearing Calculator'!$U$9*9.81)*(('Gearing Calculator'!$C$7-'Gearing Calculator'!$U$16)/'Gearing Calculator'!$C$7)+(('Track Data'!W1944)*('Gearing Calculator'!$U$17/'Gearing Calculator'!$C$7))</f>
        <v>1923.6153818039395</v>
      </c>
      <c r="Z1944" s="16">
        <f>((X1944*COS('Gearing Calculator'!$C$21))/'Gearing Calculator'!$C$22)/2</f>
        <v>21.264805287625496</v>
      </c>
      <c r="AA1944" s="16">
        <f>Y1944/'Gearing Calculator'!$C$24</f>
        <v>26.860122624822999</v>
      </c>
      <c r="AB1944" s="16">
        <f t="shared" si="212"/>
        <v>376.34359530644656</v>
      </c>
      <c r="AC1944" s="16">
        <v>0</v>
      </c>
      <c r="AD1944" s="16">
        <v>0</v>
      </c>
      <c r="AE1944" s="16">
        <v>1941</v>
      </c>
      <c r="AF1944" s="16">
        <f>IF(AC1944=0,IF(O1944=6,INDEX(Acceleration!$V$4:$V$110,MATCH('Track Data'!S1944,Acceleration!$K$4:$K$110,0)),IF('Track Data'!O1944=5,INDEX(Acceleration!$U$4:$U$110,MATCH('Track Data'!S1944,Acceleration!$K$4:$K$110,0)),1)),U1944)</f>
        <v>3.5834047433191962</v>
      </c>
      <c r="AG1944" s="16">
        <f>IF(AC1944=0,IF(O1944=4,INDEX(Acceleration!$T$4:$T$110,MATCH('Track Data'!S1944,Acceleration!$K$4:$K$110,0)),IF('Track Data'!O1944=3,INDEX(Acceleration!$S$4:$S$110,MATCH('Track Data'!S1944,Acceleration!$K$4:$K$110,0)),'Track Data'!AF1944)),'Track Data'!U1944)</f>
        <v>3.5834047433191962</v>
      </c>
      <c r="AH1944" s="16">
        <f>IF(AC1944=0,IF(O1944=2,INDEX(Acceleration!$R$4:$R$110,MATCH('Track Data'!S1944,Acceleration!$K$4:$K$110,0)),IF('Track Data'!O1944=1,INDEX(Acceleration!$Q$4:$Q$110,MATCH('Track Data'!S1944,Acceleration!$K$4:$K$110,0)),'Track Data'!AG1944)),'Track Data'!U1944)</f>
        <v>3.5834047433191962</v>
      </c>
    </row>
    <row r="1945" spans="2:34" x14ac:dyDescent="0.25">
      <c r="B1945" s="16">
        <v>247.333</v>
      </c>
      <c r="C1945" s="16">
        <v>9215</v>
      </c>
      <c r="D1945" s="16">
        <v>1942</v>
      </c>
      <c r="E1945" s="113">
        <v>201</v>
      </c>
      <c r="F1945" s="113">
        <v>196.8</v>
      </c>
      <c r="G1945" s="113">
        <v>195.4</v>
      </c>
      <c r="H1945" s="113">
        <f t="shared" si="215"/>
        <v>54.277777777777779</v>
      </c>
      <c r="I1945" s="113">
        <v>1</v>
      </c>
      <c r="J1945" s="113">
        <v>10</v>
      </c>
      <c r="K1945" s="113">
        <v>-19.7</v>
      </c>
      <c r="L1945" s="185"/>
      <c r="M1945" s="16">
        <v>1942</v>
      </c>
      <c r="N1945" s="16">
        <f t="shared" si="217"/>
        <v>1.7252141047906653E-2</v>
      </c>
      <c r="O1945" s="16">
        <v>6</v>
      </c>
      <c r="P1945" s="16">
        <f t="shared" si="213"/>
        <v>7.3113821138211375</v>
      </c>
      <c r="Q1945" s="16">
        <f t="shared" si="218"/>
        <v>57.963820097641644</v>
      </c>
      <c r="R1945" s="113">
        <f t="shared" si="214"/>
        <v>311.95699999999999</v>
      </c>
      <c r="S1945" s="16">
        <f>IF(S1944=15800,15800,ROUND((((Q1945*60)/'Gearing Calculator'!$C$14)*'Track Data'!P1945),-2))</f>
        <v>12800</v>
      </c>
      <c r="T1945" s="16">
        <f t="shared" si="216"/>
        <v>3.5834047433191962</v>
      </c>
      <c r="U1945" s="16">
        <f>IF(AC1945=100,Braking!$AG$2354,IF(AC1945=50,Braking!$AG$1179,IF(AC1945=75,Braking!$AG$1767,0)))</f>
        <v>0</v>
      </c>
      <c r="V1945" s="16">
        <f>0.5*'Gearing Calculator'!$C$15*'Gearing Calculator'!$C$20*'Gearing Calculator'!$W$20*('Track Data'!Q1945^2)</f>
        <v>355.60170196259725</v>
      </c>
      <c r="W1945" s="16">
        <f>('Gearing Calculator'!$U$9*'Track Data'!T1945)+'Track Data'!V1945</f>
        <v>1309.5040446341673</v>
      </c>
      <c r="X1945" s="16">
        <f>('Gearing Calculator'!$U$9*9.81)*('Gearing Calculator'!$U$16/'Gearing Calculator'!$C$7)-(('Track Data'!W1945)*('Gearing Calculator'!$U$17/'Gearing Calculator'!$C$7))</f>
        <v>687.39316475460976</v>
      </c>
      <c r="Y1945" s="16">
        <f>('Gearing Calculator'!$U$9*9.81)*(('Gearing Calculator'!$C$7-'Gearing Calculator'!$U$16)/'Gearing Calculator'!$C$7)+(('Track Data'!W1945)*('Gearing Calculator'!$U$17/'Gearing Calculator'!$C$7))</f>
        <v>1924.0288352453904</v>
      </c>
      <c r="Z1945" s="16">
        <f>((X1945*COS('Gearing Calculator'!$C$21))/'Gearing Calculator'!$C$22)/2</f>
        <v>21.252022614857665</v>
      </c>
      <c r="AA1945" s="16">
        <f>Y1945/'Gearing Calculator'!$C$24</f>
        <v>26.865895821607594</v>
      </c>
      <c r="AB1945" s="16">
        <f t="shared" si="212"/>
        <v>377.1021304225124</v>
      </c>
      <c r="AC1945" s="16">
        <v>0</v>
      </c>
      <c r="AD1945" s="16">
        <v>0</v>
      </c>
      <c r="AE1945" s="16">
        <v>1942</v>
      </c>
      <c r="AF1945" s="16">
        <f>IF(AC1945=0,IF(O1945=6,INDEX(Acceleration!$V$4:$V$110,MATCH('Track Data'!S1945,Acceleration!$K$4:$K$110,0)),IF('Track Data'!O1945=5,INDEX(Acceleration!$U$4:$U$110,MATCH('Track Data'!S1945,Acceleration!$K$4:$K$110,0)),1)),U1945)</f>
        <v>3.5834047433191962</v>
      </c>
      <c r="AG1945" s="16">
        <f>IF(AC1945=0,IF(O1945=4,INDEX(Acceleration!$T$4:$T$110,MATCH('Track Data'!S1945,Acceleration!$K$4:$K$110,0)),IF('Track Data'!O1945=3,INDEX(Acceleration!$S$4:$S$110,MATCH('Track Data'!S1945,Acceleration!$K$4:$K$110,0)),'Track Data'!AF1945)),'Track Data'!U1945)</f>
        <v>3.5834047433191962</v>
      </c>
      <c r="AH1945" s="16">
        <f>IF(AC1945=0,IF(O1945=2,INDEX(Acceleration!$R$4:$R$110,MATCH('Track Data'!S1945,Acceleration!$K$4:$K$110,0)),IF('Track Data'!O1945=1,INDEX(Acceleration!$Q$4:$Q$110,MATCH('Track Data'!S1945,Acceleration!$K$4:$K$110,0)),'Track Data'!AG1945)),'Track Data'!U1945)</f>
        <v>3.5834047433191962</v>
      </c>
    </row>
    <row r="1946" spans="2:34" x14ac:dyDescent="0.25">
      <c r="B1946" s="16">
        <v>247.351</v>
      </c>
      <c r="C1946" s="16">
        <v>9216</v>
      </c>
      <c r="D1946" s="16">
        <v>1943</v>
      </c>
      <c r="E1946" s="113">
        <v>201</v>
      </c>
      <c r="F1946" s="113">
        <v>197.6</v>
      </c>
      <c r="G1946" s="113">
        <v>195.6</v>
      </c>
      <c r="H1946" s="113">
        <f t="shared" si="215"/>
        <v>54.333333333333329</v>
      </c>
      <c r="I1946" s="113">
        <v>0.9</v>
      </c>
      <c r="J1946" s="113">
        <v>7.49</v>
      </c>
      <c r="K1946" s="113">
        <v>-20</v>
      </c>
      <c r="L1946" s="185"/>
      <c r="M1946" s="16">
        <v>1943</v>
      </c>
      <c r="N1946" s="16">
        <f t="shared" si="217"/>
        <v>1.7233770134638459E-2</v>
      </c>
      <c r="O1946" s="16">
        <v>6</v>
      </c>
      <c r="P1946" s="16">
        <f t="shared" si="213"/>
        <v>7.3113821138211375</v>
      </c>
      <c r="Q1946" s="16">
        <f t="shared" si="218"/>
        <v>58.02560856896207</v>
      </c>
      <c r="R1946" s="113">
        <f t="shared" si="214"/>
        <v>311.95699999999999</v>
      </c>
      <c r="S1946" s="16">
        <f>IF(S1945=15800,15800,ROUND((((Q1946*60)/'Gearing Calculator'!$C$14)*'Track Data'!P1946),-2))</f>
        <v>12900</v>
      </c>
      <c r="T1946" s="16">
        <f t="shared" si="216"/>
        <v>3.5549955703598606</v>
      </c>
      <c r="U1946" s="16">
        <f>IF(AC1946=100,Braking!$AG$2354,IF(AC1946=50,Braking!$AG$1179,IF(AC1946=75,Braking!$AG$1767,0)))</f>
        <v>0</v>
      </c>
      <c r="V1946" s="16">
        <f>0.5*'Gearing Calculator'!$C$15*'Gearing Calculator'!$C$20*'Gearing Calculator'!$W$20*('Track Data'!Q1946^2)</f>
        <v>356.36023707866309</v>
      </c>
      <c r="W1946" s="16">
        <f>('Gearing Calculator'!$U$9*'Track Data'!T1946)+'Track Data'!V1946</f>
        <v>1302.7000579084579</v>
      </c>
      <c r="X1946" s="16">
        <f>('Gearing Calculator'!$U$9*9.81)*('Gearing Calculator'!$U$16/'Gearing Calculator'!$C$7)-(('Track Data'!W1946)*('Gearing Calculator'!$U$17/'Gearing Calculator'!$C$7))</f>
        <v>691.10180218977507</v>
      </c>
      <c r="Y1946" s="16">
        <f>('Gearing Calculator'!$U$9*9.81)*(('Gearing Calculator'!$C$7-'Gearing Calculator'!$U$16)/'Gearing Calculator'!$C$7)+(('Track Data'!W1946)*('Gearing Calculator'!$U$17/'Gearing Calculator'!$C$7))</f>
        <v>1920.320197810225</v>
      </c>
      <c r="Z1946" s="16">
        <f>((X1946*COS('Gearing Calculator'!$C$21))/'Gearing Calculator'!$C$22)/2</f>
        <v>21.366681954932101</v>
      </c>
      <c r="AA1946" s="16">
        <f>Y1946/'Gearing Calculator'!$C$24</f>
        <v>26.814110804071429</v>
      </c>
      <c r="AB1946" s="16">
        <f t="shared" si="212"/>
        <v>377.69021050082227</v>
      </c>
      <c r="AC1946" s="16">
        <v>0</v>
      </c>
      <c r="AD1946" s="16">
        <v>0</v>
      </c>
      <c r="AE1946" s="16">
        <v>1943</v>
      </c>
      <c r="AF1946" s="16">
        <f>IF(AC1946=0,IF(O1946=6,INDEX(Acceleration!$V$4:$V$110,MATCH('Track Data'!S1946,Acceleration!$K$4:$K$110,0)),IF('Track Data'!O1946=5,INDEX(Acceleration!$U$4:$U$110,MATCH('Track Data'!S1946,Acceleration!$K$4:$K$110,0)),1)),U1946)</f>
        <v>3.5549955703598606</v>
      </c>
      <c r="AG1946" s="16">
        <f>IF(AC1946=0,IF(O1946=4,INDEX(Acceleration!$T$4:$T$110,MATCH('Track Data'!S1946,Acceleration!$K$4:$K$110,0)),IF('Track Data'!O1946=3,INDEX(Acceleration!$S$4:$S$110,MATCH('Track Data'!S1946,Acceleration!$K$4:$K$110,0)),'Track Data'!AF1946)),'Track Data'!U1946)</f>
        <v>3.5549955703598606</v>
      </c>
      <c r="AH1946" s="16">
        <f>IF(AC1946=0,IF(O1946=2,INDEX(Acceleration!$R$4:$R$110,MATCH('Track Data'!S1946,Acceleration!$K$4:$K$110,0)),IF('Track Data'!O1946=1,INDEX(Acceleration!$Q$4:$Q$110,MATCH('Track Data'!S1946,Acceleration!$K$4:$K$110,0)),'Track Data'!AG1946)),'Track Data'!U1946)</f>
        <v>3.5549955703598606</v>
      </c>
    </row>
    <row r="1947" spans="2:34" x14ac:dyDescent="0.25">
      <c r="B1947" s="16">
        <v>247.369</v>
      </c>
      <c r="C1947" s="16">
        <v>9218</v>
      </c>
      <c r="D1947" s="16">
        <v>1944</v>
      </c>
      <c r="E1947" s="113">
        <v>201</v>
      </c>
      <c r="F1947" s="113">
        <v>197.9</v>
      </c>
      <c r="G1947" s="113">
        <v>195.7</v>
      </c>
      <c r="H1947" s="113">
        <f t="shared" si="215"/>
        <v>54.361111111111107</v>
      </c>
      <c r="I1947" s="113">
        <v>0.4</v>
      </c>
      <c r="J1947" s="113">
        <v>7.9</v>
      </c>
      <c r="K1947" s="113">
        <v>-20.100000000000001</v>
      </c>
      <c r="L1947" s="185"/>
      <c r="M1947" s="16">
        <v>1944</v>
      </c>
      <c r="N1947" s="16">
        <f t="shared" si="217"/>
        <v>1.7215602733898366E-2</v>
      </c>
      <c r="O1947" s="16">
        <v>6</v>
      </c>
      <c r="P1947" s="16">
        <f t="shared" si="213"/>
        <v>7.3113821138211375</v>
      </c>
      <c r="Q1947" s="16">
        <f t="shared" si="218"/>
        <v>58.086842235906786</v>
      </c>
      <c r="R1947" s="113">
        <f t="shared" si="214"/>
        <v>311.95699999999999</v>
      </c>
      <c r="S1947" s="16">
        <f>IF(S1946=15800,15800,ROUND((((Q1947*60)/'Gearing Calculator'!$C$14)*'Track Data'!P1947),-2))</f>
        <v>12900</v>
      </c>
      <c r="T1947" s="16">
        <f t="shared" si="216"/>
        <v>3.5549955703598606</v>
      </c>
      <c r="U1947" s="16">
        <f>IF(AC1947=100,Braking!$AG$2354,IF(AC1947=50,Braking!$AG$1179,IF(AC1947=75,Braking!$AG$1767,0)))</f>
        <v>0</v>
      </c>
      <c r="V1947" s="16">
        <f>0.5*'Gearing Calculator'!$C$15*'Gearing Calculator'!$C$20*'Gearing Calculator'!$W$20*('Track Data'!Q1947^2)</f>
        <v>357.11275854099694</v>
      </c>
      <c r="W1947" s="16">
        <f>('Gearing Calculator'!$U$9*'Track Data'!T1947)+'Track Data'!V1947</f>
        <v>1303.4525793707917</v>
      </c>
      <c r="X1947" s="16">
        <f>('Gearing Calculator'!$U$9*9.81)*('Gearing Calculator'!$U$16/'Gearing Calculator'!$C$7)-(('Track Data'!W1947)*('Gearing Calculator'!$U$17/'Gearing Calculator'!$C$7))</f>
        <v>690.69162660030327</v>
      </c>
      <c r="Y1947" s="16">
        <f>('Gearing Calculator'!$U$9*9.81)*(('Gearing Calculator'!$C$7-'Gearing Calculator'!$U$16)/'Gearing Calculator'!$C$7)+(('Track Data'!W1947)*('Gearing Calculator'!$U$17/'Gearing Calculator'!$C$7))</f>
        <v>1920.7303733996969</v>
      </c>
      <c r="Z1947" s="16">
        <f>((X1947*COS('Gearing Calculator'!$C$21))/'Gearing Calculator'!$C$22)/2</f>
        <v>21.354000622980497</v>
      </c>
      <c r="AA1947" s="16">
        <f>Y1947/'Gearing Calculator'!$C$24</f>
        <v>26.81983823104833</v>
      </c>
      <c r="AB1947" s="16">
        <f t="shared" si="212"/>
        <v>378.44273196315612</v>
      </c>
      <c r="AC1947" s="16">
        <v>0</v>
      </c>
      <c r="AD1947" s="16">
        <v>0</v>
      </c>
      <c r="AE1947" s="16">
        <v>1944</v>
      </c>
      <c r="AF1947" s="16">
        <f>IF(AC1947=0,IF(O1947=6,INDEX(Acceleration!$V$4:$V$110,MATCH('Track Data'!S1947,Acceleration!$K$4:$K$110,0)),IF('Track Data'!O1947=5,INDEX(Acceleration!$U$4:$U$110,MATCH('Track Data'!S1947,Acceleration!$K$4:$K$110,0)),1)),U1947)</f>
        <v>3.5549955703598606</v>
      </c>
      <c r="AG1947" s="16">
        <f>IF(AC1947=0,IF(O1947=4,INDEX(Acceleration!$T$4:$T$110,MATCH('Track Data'!S1947,Acceleration!$K$4:$K$110,0)),IF('Track Data'!O1947=3,INDEX(Acceleration!$S$4:$S$110,MATCH('Track Data'!S1947,Acceleration!$K$4:$K$110,0)),'Track Data'!AF1947)),'Track Data'!U1947)</f>
        <v>3.5549955703598606</v>
      </c>
      <c r="AH1947" s="16">
        <f>IF(AC1947=0,IF(O1947=2,INDEX(Acceleration!$R$4:$R$110,MATCH('Track Data'!S1947,Acceleration!$K$4:$K$110,0)),IF('Track Data'!O1947=1,INDEX(Acceleration!$Q$4:$Q$110,MATCH('Track Data'!S1947,Acceleration!$K$4:$K$110,0)),'Track Data'!AG1947)),'Track Data'!U1947)</f>
        <v>3.5549955703598606</v>
      </c>
    </row>
    <row r="1948" spans="2:34" x14ac:dyDescent="0.25">
      <c r="B1948" s="16">
        <v>247.387</v>
      </c>
      <c r="C1948" s="16">
        <v>9219</v>
      </c>
      <c r="D1948" s="16">
        <v>1945</v>
      </c>
      <c r="E1948" s="113">
        <v>203</v>
      </c>
      <c r="F1948" s="113">
        <v>197.9</v>
      </c>
      <c r="G1948" s="113">
        <v>195.9</v>
      </c>
      <c r="H1948" s="113">
        <f t="shared" si="215"/>
        <v>54.416666666666664</v>
      </c>
      <c r="I1948" s="113">
        <v>0</v>
      </c>
      <c r="J1948" s="113">
        <v>10.23</v>
      </c>
      <c r="K1948" s="113">
        <v>-20.100000000000001</v>
      </c>
      <c r="L1948" s="185"/>
      <c r="M1948" s="16">
        <v>1945</v>
      </c>
      <c r="N1948" s="16">
        <f t="shared" si="217"/>
        <v>1.7197492667119778E-2</v>
      </c>
      <c r="O1948" s="16">
        <v>6</v>
      </c>
      <c r="P1948" s="16">
        <f t="shared" si="213"/>
        <v>7.3113821138211375</v>
      </c>
      <c r="Q1948" s="16">
        <f t="shared" si="218"/>
        <v>58.148011419822815</v>
      </c>
      <c r="R1948" s="113">
        <f t="shared" si="214"/>
        <v>311.95699999999999</v>
      </c>
      <c r="S1948" s="16">
        <f>IF(S1947=15800,15800,ROUND((((Q1948*60)/'Gearing Calculator'!$C$14)*'Track Data'!P1948),-2))</f>
        <v>12900</v>
      </c>
      <c r="T1948" s="16">
        <f t="shared" si="216"/>
        <v>3.5549955703598606</v>
      </c>
      <c r="U1948" s="16">
        <f>IF(AC1948=100,Braking!$AG$2354,IF(AC1948=50,Braking!$AG$1179,IF(AC1948=75,Braking!$AG$1767,0)))</f>
        <v>0</v>
      </c>
      <c r="V1948" s="16">
        <f>0.5*'Gearing Calculator'!$C$15*'Gearing Calculator'!$C$20*'Gearing Calculator'!$W$20*('Track Data'!Q1948^2)</f>
        <v>357.86528000333072</v>
      </c>
      <c r="W1948" s="16">
        <f>('Gearing Calculator'!$U$9*'Track Data'!T1948)+'Track Data'!V1948</f>
        <v>1304.2051008331255</v>
      </c>
      <c r="X1948" s="16">
        <f>('Gearing Calculator'!$U$9*9.81)*('Gearing Calculator'!$U$16/'Gearing Calculator'!$C$7)-(('Track Data'!W1948)*('Gearing Calculator'!$U$17/'Gearing Calculator'!$C$7))</f>
        <v>690.28145101083135</v>
      </c>
      <c r="Y1948" s="16">
        <f>('Gearing Calculator'!$U$9*9.81)*(('Gearing Calculator'!$C$7-'Gearing Calculator'!$U$16)/'Gearing Calculator'!$C$7)+(('Track Data'!W1948)*('Gearing Calculator'!$U$17/'Gearing Calculator'!$C$7))</f>
        <v>1921.1405489891686</v>
      </c>
      <c r="Z1948" s="16">
        <f>((X1948*COS('Gearing Calculator'!$C$21))/'Gearing Calculator'!$C$22)/2</f>
        <v>21.341319291028885</v>
      </c>
      <c r="AA1948" s="16">
        <f>Y1948/'Gearing Calculator'!$C$24</f>
        <v>26.825565658025226</v>
      </c>
      <c r="AB1948" s="16">
        <f t="shared" si="212"/>
        <v>379.19525342548991</v>
      </c>
      <c r="AC1948" s="16">
        <v>0</v>
      </c>
      <c r="AD1948" s="16">
        <v>0</v>
      </c>
      <c r="AE1948" s="16">
        <v>1945</v>
      </c>
      <c r="AF1948" s="16">
        <f>IF(AC1948=0,IF(O1948=6,INDEX(Acceleration!$V$4:$V$110,MATCH('Track Data'!S1948,Acceleration!$K$4:$K$110,0)),IF('Track Data'!O1948=5,INDEX(Acceleration!$U$4:$U$110,MATCH('Track Data'!S1948,Acceleration!$K$4:$K$110,0)),1)),U1948)</f>
        <v>3.5549955703598606</v>
      </c>
      <c r="AG1948" s="16">
        <f>IF(AC1948=0,IF(O1948=4,INDEX(Acceleration!$T$4:$T$110,MATCH('Track Data'!S1948,Acceleration!$K$4:$K$110,0)),IF('Track Data'!O1948=3,INDEX(Acceleration!$S$4:$S$110,MATCH('Track Data'!S1948,Acceleration!$K$4:$K$110,0)),'Track Data'!AF1948)),'Track Data'!U1948)</f>
        <v>3.5549955703598606</v>
      </c>
      <c r="AH1948" s="16">
        <f>IF(AC1948=0,IF(O1948=2,INDEX(Acceleration!$R$4:$R$110,MATCH('Track Data'!S1948,Acceleration!$K$4:$K$110,0)),IF('Track Data'!O1948=1,INDEX(Acceleration!$Q$4:$Q$110,MATCH('Track Data'!S1948,Acceleration!$K$4:$K$110,0)),'Track Data'!AG1948)),'Track Data'!U1948)</f>
        <v>3.5549955703598606</v>
      </c>
    </row>
    <row r="1949" spans="2:34" x14ac:dyDescent="0.25">
      <c r="B1949" s="16">
        <v>247.40600000000001</v>
      </c>
      <c r="C1949" s="16">
        <v>9219</v>
      </c>
      <c r="D1949" s="16">
        <v>1946</v>
      </c>
      <c r="E1949" s="113">
        <v>204</v>
      </c>
      <c r="F1949" s="113">
        <v>198</v>
      </c>
      <c r="G1949" s="113">
        <v>196.1</v>
      </c>
      <c r="H1949" s="113">
        <f t="shared" si="215"/>
        <v>54.472222222222221</v>
      </c>
      <c r="I1949" s="113">
        <v>-0.2</v>
      </c>
      <c r="J1949" s="113">
        <v>11.91</v>
      </c>
      <c r="K1949" s="113">
        <v>-20.100000000000001</v>
      </c>
      <c r="L1949" s="185"/>
      <c r="M1949" s="16">
        <v>1946</v>
      </c>
      <c r="N1949" s="16">
        <f t="shared" si="217"/>
        <v>1.7179439633371523E-2</v>
      </c>
      <c r="O1949" s="16">
        <v>6</v>
      </c>
      <c r="P1949" s="16">
        <f t="shared" si="213"/>
        <v>7.3113821138211375</v>
      </c>
      <c r="Q1949" s="16">
        <f t="shared" si="218"/>
        <v>58.209116323996575</v>
      </c>
      <c r="R1949" s="113">
        <f t="shared" si="214"/>
        <v>311.95699999999999</v>
      </c>
      <c r="S1949" s="16">
        <f>IF(S1948=15800,15800,ROUND((((Q1949*60)/'Gearing Calculator'!$C$14)*'Track Data'!P1949),-2))</f>
        <v>12900</v>
      </c>
      <c r="T1949" s="16">
        <f t="shared" si="216"/>
        <v>3.5549955703598606</v>
      </c>
      <c r="U1949" s="16">
        <f>IF(AC1949=100,Braking!$AG$2354,IF(AC1949=50,Braking!$AG$1179,IF(AC1949=75,Braking!$AG$1767,0)))</f>
        <v>0</v>
      </c>
      <c r="V1949" s="16">
        <f>0.5*'Gearing Calculator'!$C$15*'Gearing Calculator'!$C$20*'Gearing Calculator'!$W$20*('Track Data'!Q1949^2)</f>
        <v>358.61780146566451</v>
      </c>
      <c r="W1949" s="16">
        <f>('Gearing Calculator'!$U$9*'Track Data'!T1949)+'Track Data'!V1949</f>
        <v>1304.9576222954593</v>
      </c>
      <c r="X1949" s="16">
        <f>('Gearing Calculator'!$U$9*9.81)*('Gearing Calculator'!$U$16/'Gearing Calculator'!$C$7)-(('Track Data'!W1949)*('Gearing Calculator'!$U$17/'Gearing Calculator'!$C$7))</f>
        <v>689.87127542135954</v>
      </c>
      <c r="Y1949" s="16">
        <f>('Gearing Calculator'!$U$9*9.81)*(('Gearing Calculator'!$C$7-'Gearing Calculator'!$U$16)/'Gearing Calculator'!$C$7)+(('Track Data'!W1949)*('Gearing Calculator'!$U$17/'Gearing Calculator'!$C$7))</f>
        <v>1921.5507245786405</v>
      </c>
      <c r="Z1949" s="16">
        <f>((X1949*COS('Gearing Calculator'!$C$21))/'Gearing Calculator'!$C$22)/2</f>
        <v>21.328637959077284</v>
      </c>
      <c r="AA1949" s="16">
        <f>Y1949/'Gearing Calculator'!$C$24</f>
        <v>26.831293085002127</v>
      </c>
      <c r="AB1949" s="16">
        <f t="shared" si="212"/>
        <v>379.9477748878237</v>
      </c>
      <c r="AC1949" s="16">
        <v>0</v>
      </c>
      <c r="AD1949" s="16">
        <v>0</v>
      </c>
      <c r="AE1949" s="16">
        <v>1946</v>
      </c>
      <c r="AF1949" s="16">
        <f>IF(AC1949=0,IF(O1949=6,INDEX(Acceleration!$V$4:$V$110,MATCH('Track Data'!S1949,Acceleration!$K$4:$K$110,0)),IF('Track Data'!O1949=5,INDEX(Acceleration!$U$4:$U$110,MATCH('Track Data'!S1949,Acceleration!$K$4:$K$110,0)),1)),U1949)</f>
        <v>3.5549955703598606</v>
      </c>
      <c r="AG1949" s="16">
        <f>IF(AC1949=0,IF(O1949=4,INDEX(Acceleration!$T$4:$T$110,MATCH('Track Data'!S1949,Acceleration!$K$4:$K$110,0)),IF('Track Data'!O1949=3,INDEX(Acceleration!$S$4:$S$110,MATCH('Track Data'!S1949,Acceleration!$K$4:$K$110,0)),'Track Data'!AF1949)),'Track Data'!U1949)</f>
        <v>3.5549955703598606</v>
      </c>
      <c r="AH1949" s="16">
        <f>IF(AC1949=0,IF(O1949=2,INDEX(Acceleration!$R$4:$R$110,MATCH('Track Data'!S1949,Acceleration!$K$4:$K$110,0)),IF('Track Data'!O1949=1,INDEX(Acceleration!$Q$4:$Q$110,MATCH('Track Data'!S1949,Acceleration!$K$4:$K$110,0)),'Track Data'!AG1949)),'Track Data'!U1949)</f>
        <v>3.5549955703598606</v>
      </c>
    </row>
    <row r="1950" spans="2:34" x14ac:dyDescent="0.25">
      <c r="B1950" s="16">
        <v>247.42400000000001</v>
      </c>
      <c r="C1950" s="16">
        <v>9220</v>
      </c>
      <c r="D1950" s="16">
        <v>1947</v>
      </c>
      <c r="E1950" s="113">
        <v>203</v>
      </c>
      <c r="F1950" s="113">
        <v>198.3</v>
      </c>
      <c r="G1950" s="113">
        <v>196.2</v>
      </c>
      <c r="H1950" s="113">
        <f t="shared" si="215"/>
        <v>54.499999999999993</v>
      </c>
      <c r="I1950" s="113">
        <v>0.5</v>
      </c>
      <c r="J1950" s="113">
        <v>10.199999999999999</v>
      </c>
      <c r="K1950" s="113">
        <v>-20.100000000000001</v>
      </c>
      <c r="L1950" s="185"/>
      <c r="M1950" s="16">
        <v>1947</v>
      </c>
      <c r="N1950" s="16">
        <f t="shared" si="217"/>
        <v>1.7161443333929109E-2</v>
      </c>
      <c r="O1950" s="16">
        <v>6</v>
      </c>
      <c r="P1950" s="16">
        <f t="shared" si="213"/>
        <v>7.3113821138211375</v>
      </c>
      <c r="Q1950" s="16">
        <f t="shared" si="218"/>
        <v>58.2701571506486</v>
      </c>
      <c r="R1950" s="113">
        <f t="shared" si="214"/>
        <v>311.95699999999999</v>
      </c>
      <c r="S1950" s="16">
        <f>IF(S1949=15800,15800,ROUND((((Q1950*60)/'Gearing Calculator'!$C$14)*'Track Data'!P1950),-2))</f>
        <v>12900</v>
      </c>
      <c r="T1950" s="16">
        <f t="shared" si="216"/>
        <v>3.5549955703598606</v>
      </c>
      <c r="U1950" s="16">
        <f>IF(AC1950=100,Braking!$AG$2354,IF(AC1950=50,Braking!$AG$1179,IF(AC1950=75,Braking!$AG$1767,0)))</f>
        <v>0</v>
      </c>
      <c r="V1950" s="16">
        <f>0.5*'Gearing Calculator'!$C$15*'Gearing Calculator'!$C$20*'Gearing Calculator'!$W$20*('Track Data'!Q1950^2)</f>
        <v>359.3703229279983</v>
      </c>
      <c r="W1950" s="16">
        <f>('Gearing Calculator'!$U$9*'Track Data'!T1950)+'Track Data'!V1950</f>
        <v>1305.710143757793</v>
      </c>
      <c r="X1950" s="16">
        <f>('Gearing Calculator'!$U$9*9.81)*('Gearing Calculator'!$U$16/'Gearing Calculator'!$C$7)-(('Track Data'!W1950)*('Gearing Calculator'!$U$17/'Gearing Calculator'!$C$7))</f>
        <v>689.46109983188762</v>
      </c>
      <c r="Y1950" s="16">
        <f>('Gearing Calculator'!$U$9*9.81)*(('Gearing Calculator'!$C$7-'Gearing Calculator'!$U$16)/'Gearing Calculator'!$C$7)+(('Track Data'!W1950)*('Gearing Calculator'!$U$17/'Gearing Calculator'!$C$7))</f>
        <v>1921.9609001681124</v>
      </c>
      <c r="Z1950" s="16">
        <f>((X1950*COS('Gearing Calculator'!$C$21))/'Gearing Calculator'!$C$22)/2</f>
        <v>21.315956627125676</v>
      </c>
      <c r="AA1950" s="16">
        <f>Y1950/'Gearing Calculator'!$C$24</f>
        <v>26.837020511979027</v>
      </c>
      <c r="AB1950" s="16">
        <f t="shared" si="212"/>
        <v>380.70029635015749</v>
      </c>
      <c r="AC1950" s="16">
        <v>0</v>
      </c>
      <c r="AD1950" s="16">
        <v>0</v>
      </c>
      <c r="AE1950" s="16">
        <v>1947</v>
      </c>
      <c r="AF1950" s="16">
        <f>IF(AC1950=0,IF(O1950=6,INDEX(Acceleration!$V$4:$V$110,MATCH('Track Data'!S1950,Acceleration!$K$4:$K$110,0)),IF('Track Data'!O1950=5,INDEX(Acceleration!$U$4:$U$110,MATCH('Track Data'!S1950,Acceleration!$K$4:$K$110,0)),1)),U1950)</f>
        <v>3.5549955703598606</v>
      </c>
      <c r="AG1950" s="16">
        <f>IF(AC1950=0,IF(O1950=4,INDEX(Acceleration!$T$4:$T$110,MATCH('Track Data'!S1950,Acceleration!$K$4:$K$110,0)),IF('Track Data'!O1950=3,INDEX(Acceleration!$S$4:$S$110,MATCH('Track Data'!S1950,Acceleration!$K$4:$K$110,0)),'Track Data'!AF1950)),'Track Data'!U1950)</f>
        <v>3.5549955703598606</v>
      </c>
      <c r="AH1950" s="16">
        <f>IF(AC1950=0,IF(O1950=2,INDEX(Acceleration!$R$4:$R$110,MATCH('Track Data'!S1950,Acceleration!$K$4:$K$110,0)),IF('Track Data'!O1950=1,INDEX(Acceleration!$Q$4:$Q$110,MATCH('Track Data'!S1950,Acceleration!$K$4:$K$110,0)),'Track Data'!AG1950)),'Track Data'!U1950)</f>
        <v>3.5549955703598606</v>
      </c>
    </row>
    <row r="1951" spans="2:34" x14ac:dyDescent="0.25">
      <c r="B1951" s="16">
        <v>247.44200000000001</v>
      </c>
      <c r="C1951" s="16">
        <v>9221</v>
      </c>
      <c r="D1951" s="16">
        <v>1948</v>
      </c>
      <c r="E1951" s="113">
        <v>202</v>
      </c>
      <c r="F1951" s="113">
        <v>198.8</v>
      </c>
      <c r="G1951" s="113">
        <v>196.4</v>
      </c>
      <c r="H1951" s="113">
        <f t="shared" si="215"/>
        <v>54.555555555555557</v>
      </c>
      <c r="I1951" s="113">
        <v>1.5</v>
      </c>
      <c r="J1951" s="113">
        <v>8.7100000000000009</v>
      </c>
      <c r="K1951" s="113">
        <v>-19.899999999999999</v>
      </c>
      <c r="L1951" s="185"/>
      <c r="M1951" s="16">
        <v>1948</v>
      </c>
      <c r="N1951" s="16">
        <f t="shared" si="217"/>
        <v>1.7143503472253969E-2</v>
      </c>
      <c r="O1951" s="16">
        <v>6</v>
      </c>
      <c r="P1951" s="16">
        <f t="shared" si="213"/>
        <v>7.3113821138211375</v>
      </c>
      <c r="Q1951" s="16">
        <f t="shared" si="218"/>
        <v>58.331134100941355</v>
      </c>
      <c r="R1951" s="113">
        <f t="shared" si="214"/>
        <v>311.95699999999999</v>
      </c>
      <c r="S1951" s="16">
        <f>IF(S1950=15800,15800,ROUND((((Q1951*60)/'Gearing Calculator'!$C$14)*'Track Data'!P1951),-2))</f>
        <v>12900</v>
      </c>
      <c r="T1951" s="16">
        <f t="shared" si="216"/>
        <v>3.5549955703598606</v>
      </c>
      <c r="U1951" s="16">
        <f>IF(AC1951=100,Braking!$AG$2354,IF(AC1951=50,Braking!$AG$1179,IF(AC1951=75,Braking!$AG$1767,0)))</f>
        <v>0</v>
      </c>
      <c r="V1951" s="16">
        <f>0.5*'Gearing Calculator'!$C$15*'Gearing Calculator'!$C$20*'Gearing Calculator'!$W$20*('Track Data'!Q1951^2)</f>
        <v>360.12284439033198</v>
      </c>
      <c r="W1951" s="16">
        <f>('Gearing Calculator'!$U$9*'Track Data'!T1951)+'Track Data'!V1951</f>
        <v>1306.4626652201268</v>
      </c>
      <c r="X1951" s="16">
        <f>('Gearing Calculator'!$U$9*9.81)*('Gearing Calculator'!$U$16/'Gearing Calculator'!$C$7)-(('Track Data'!W1951)*('Gearing Calculator'!$U$17/'Gearing Calculator'!$C$7))</f>
        <v>689.05092424241582</v>
      </c>
      <c r="Y1951" s="16">
        <f>('Gearing Calculator'!$U$9*9.81)*(('Gearing Calculator'!$C$7-'Gearing Calculator'!$U$16)/'Gearing Calculator'!$C$7)+(('Track Data'!W1951)*('Gearing Calculator'!$U$17/'Gearing Calculator'!$C$7))</f>
        <v>1922.3710757575841</v>
      </c>
      <c r="Z1951" s="16">
        <f>((X1951*COS('Gearing Calculator'!$C$21))/'Gearing Calculator'!$C$22)/2</f>
        <v>21.303275295174068</v>
      </c>
      <c r="AA1951" s="16">
        <f>Y1951/'Gearing Calculator'!$C$24</f>
        <v>26.842747938955924</v>
      </c>
      <c r="AB1951" s="16">
        <f t="shared" si="212"/>
        <v>381.45281781249116</v>
      </c>
      <c r="AC1951" s="16">
        <v>0</v>
      </c>
      <c r="AD1951" s="16">
        <v>0</v>
      </c>
      <c r="AE1951" s="16">
        <v>1948</v>
      </c>
      <c r="AF1951" s="16">
        <f>IF(AC1951=0,IF(O1951=6,INDEX(Acceleration!$V$4:$V$110,MATCH('Track Data'!S1951,Acceleration!$K$4:$K$110,0)),IF('Track Data'!O1951=5,INDEX(Acceleration!$U$4:$U$110,MATCH('Track Data'!S1951,Acceleration!$K$4:$K$110,0)),1)),U1951)</f>
        <v>3.5549955703598606</v>
      </c>
      <c r="AG1951" s="16">
        <f>IF(AC1951=0,IF(O1951=4,INDEX(Acceleration!$T$4:$T$110,MATCH('Track Data'!S1951,Acceleration!$K$4:$K$110,0)),IF('Track Data'!O1951=3,INDEX(Acceleration!$S$4:$S$110,MATCH('Track Data'!S1951,Acceleration!$K$4:$K$110,0)),'Track Data'!AF1951)),'Track Data'!U1951)</f>
        <v>3.5549955703598606</v>
      </c>
      <c r="AH1951" s="16">
        <f>IF(AC1951=0,IF(O1951=2,INDEX(Acceleration!$R$4:$R$110,MATCH('Track Data'!S1951,Acceleration!$K$4:$K$110,0)),IF('Track Data'!O1951=1,INDEX(Acceleration!$Q$4:$Q$110,MATCH('Track Data'!S1951,Acceleration!$K$4:$K$110,0)),'Track Data'!AG1951)),'Track Data'!U1951)</f>
        <v>3.5549955703598606</v>
      </c>
    </row>
    <row r="1952" spans="2:34" x14ac:dyDescent="0.25">
      <c r="B1952" s="16">
        <v>247.46</v>
      </c>
      <c r="C1952" s="16">
        <v>9222</v>
      </c>
      <c r="D1952" s="16">
        <v>1949</v>
      </c>
      <c r="E1952" s="113">
        <v>203</v>
      </c>
      <c r="F1952" s="113">
        <v>199.5</v>
      </c>
      <c r="G1952" s="113">
        <v>196.5</v>
      </c>
      <c r="H1952" s="113">
        <f t="shared" si="215"/>
        <v>54.583333333333329</v>
      </c>
      <c r="I1952" s="113">
        <v>2.2000000000000002</v>
      </c>
      <c r="J1952" s="113">
        <v>9.1300000000000008</v>
      </c>
      <c r="K1952" s="113">
        <v>-18.899999999999999</v>
      </c>
      <c r="L1952" s="185"/>
      <c r="M1952" s="16">
        <v>1949</v>
      </c>
      <c r="N1952" s="16">
        <f t="shared" si="217"/>
        <v>1.7125619753972927E-2</v>
      </c>
      <c r="O1952" s="16">
        <v>6</v>
      </c>
      <c r="P1952" s="16">
        <f t="shared" si="213"/>
        <v>7.3113821138211375</v>
      </c>
      <c r="Q1952" s="16">
        <f t="shared" si="218"/>
        <v>58.392047374986973</v>
      </c>
      <c r="R1952" s="113">
        <f t="shared" si="214"/>
        <v>311.95699999999999</v>
      </c>
      <c r="S1952" s="16">
        <f>IF(S1951=15800,15800,ROUND((((Q1952*60)/'Gearing Calculator'!$C$14)*'Track Data'!P1952),-2))</f>
        <v>12900</v>
      </c>
      <c r="T1952" s="16">
        <f t="shared" si="216"/>
        <v>3.5549955703598606</v>
      </c>
      <c r="U1952" s="16">
        <f>IF(AC1952=100,Braking!$AG$2354,IF(AC1952=50,Braking!$AG$1179,IF(AC1952=75,Braking!$AG$1767,0)))</f>
        <v>0</v>
      </c>
      <c r="V1952" s="16">
        <f>0.5*'Gearing Calculator'!$C$15*'Gearing Calculator'!$C$20*'Gearing Calculator'!$W$20*('Track Data'!Q1952^2)</f>
        <v>360.87536585266577</v>
      </c>
      <c r="W1952" s="16">
        <f>('Gearing Calculator'!$U$9*'Track Data'!T1952)+'Track Data'!V1952</f>
        <v>1307.2151866824606</v>
      </c>
      <c r="X1952" s="16">
        <f>('Gearing Calculator'!$U$9*9.81)*('Gearing Calculator'!$U$16/'Gearing Calculator'!$C$7)-(('Track Data'!W1952)*('Gearing Calculator'!$U$17/'Gearing Calculator'!$C$7))</f>
        <v>688.64074865294401</v>
      </c>
      <c r="Y1952" s="16">
        <f>('Gearing Calculator'!$U$9*9.81)*(('Gearing Calculator'!$C$7-'Gearing Calculator'!$U$16)/'Gearing Calculator'!$C$7)+(('Track Data'!W1952)*('Gearing Calculator'!$U$17/'Gearing Calculator'!$C$7))</f>
        <v>1922.781251347056</v>
      </c>
      <c r="Z1952" s="16">
        <f>((X1952*COS('Gearing Calculator'!$C$21))/'Gearing Calculator'!$C$22)/2</f>
        <v>21.290593963222467</v>
      </c>
      <c r="AA1952" s="16">
        <f>Y1952/'Gearing Calculator'!$C$24</f>
        <v>26.848475365932824</v>
      </c>
      <c r="AB1952" s="16">
        <f t="shared" si="212"/>
        <v>382.20533927482495</v>
      </c>
      <c r="AC1952" s="16">
        <v>0</v>
      </c>
      <c r="AD1952" s="16">
        <v>0</v>
      </c>
      <c r="AE1952" s="16">
        <v>1949</v>
      </c>
      <c r="AF1952" s="16">
        <f>IF(AC1952=0,IF(O1952=6,INDEX(Acceleration!$V$4:$V$110,MATCH('Track Data'!S1952,Acceleration!$K$4:$K$110,0)),IF('Track Data'!O1952=5,INDEX(Acceleration!$U$4:$U$110,MATCH('Track Data'!S1952,Acceleration!$K$4:$K$110,0)),1)),U1952)</f>
        <v>3.5549955703598606</v>
      </c>
      <c r="AG1952" s="16">
        <f>IF(AC1952=0,IF(O1952=4,INDEX(Acceleration!$T$4:$T$110,MATCH('Track Data'!S1952,Acceleration!$K$4:$K$110,0)),IF('Track Data'!O1952=3,INDEX(Acceleration!$S$4:$S$110,MATCH('Track Data'!S1952,Acceleration!$K$4:$K$110,0)),'Track Data'!AF1952)),'Track Data'!U1952)</f>
        <v>3.5549955703598606</v>
      </c>
      <c r="AH1952" s="16">
        <f>IF(AC1952=0,IF(O1952=2,INDEX(Acceleration!$R$4:$R$110,MATCH('Track Data'!S1952,Acceleration!$K$4:$K$110,0)),IF('Track Data'!O1952=1,INDEX(Acceleration!$Q$4:$Q$110,MATCH('Track Data'!S1952,Acceleration!$K$4:$K$110,0)),'Track Data'!AG1952)),'Track Data'!U1952)</f>
        <v>3.5549955703598606</v>
      </c>
    </row>
    <row r="1953" spans="2:34" x14ac:dyDescent="0.25">
      <c r="B1953" s="16">
        <v>247.47800000000001</v>
      </c>
      <c r="C1953" s="16">
        <v>9223</v>
      </c>
      <c r="D1953" s="16">
        <v>1950</v>
      </c>
      <c r="E1953" s="113">
        <v>203</v>
      </c>
      <c r="F1953" s="113">
        <v>199.9</v>
      </c>
      <c r="G1953" s="113">
        <v>196.6</v>
      </c>
      <c r="H1953" s="113">
        <f t="shared" si="215"/>
        <v>54.611111111111107</v>
      </c>
      <c r="I1953" s="113">
        <v>2.2000000000000002</v>
      </c>
      <c r="J1953" s="113">
        <v>10.42</v>
      </c>
      <c r="K1953" s="113">
        <v>-18.399999999999999</v>
      </c>
      <c r="L1953" s="185"/>
      <c r="M1953" s="16">
        <v>1950</v>
      </c>
      <c r="N1953" s="16">
        <f t="shared" si="217"/>
        <v>1.7107791886857928E-2</v>
      </c>
      <c r="O1953" s="16">
        <v>6</v>
      </c>
      <c r="P1953" s="16">
        <f t="shared" si="213"/>
        <v>7.3113821138211375</v>
      </c>
      <c r="Q1953" s="16">
        <f t="shared" si="218"/>
        <v>58.4528971718549</v>
      </c>
      <c r="R1953" s="113">
        <f t="shared" si="214"/>
        <v>311.95699999999999</v>
      </c>
      <c r="S1953" s="16">
        <f>IF(S1952=15800,15800,ROUND((((Q1953*60)/'Gearing Calculator'!$C$14)*'Track Data'!P1953),-2))</f>
        <v>13000</v>
      </c>
      <c r="T1953" s="16">
        <f t="shared" si="216"/>
        <v>3.5063437108727813</v>
      </c>
      <c r="U1953" s="16">
        <f>IF(AC1953=100,Braking!$AG$2354,IF(AC1953=50,Braking!$AG$1179,IF(AC1953=75,Braking!$AG$1767,0)))</f>
        <v>0</v>
      </c>
      <c r="V1953" s="16">
        <f>0.5*'Gearing Calculator'!$C$15*'Gearing Calculator'!$C$20*'Gearing Calculator'!$W$20*('Track Data'!Q1953^2)</f>
        <v>361.6278873149995</v>
      </c>
      <c r="W1953" s="16">
        <f>('Gearing Calculator'!$U$9*'Track Data'!T1953)+'Track Data'!V1953</f>
        <v>1295.0165831493339</v>
      </c>
      <c r="X1953" s="16">
        <f>('Gearing Calculator'!$U$9*9.81)*('Gearing Calculator'!$U$16/'Gearing Calculator'!$C$7)-(('Track Data'!W1953)*('Gearing Calculator'!$U$17/'Gearing Calculator'!$C$7))</f>
        <v>695.28982066667243</v>
      </c>
      <c r="Y1953" s="16">
        <f>('Gearing Calculator'!$U$9*9.81)*(('Gearing Calculator'!$C$7-'Gearing Calculator'!$U$16)/'Gearing Calculator'!$C$7)+(('Track Data'!W1953)*('Gearing Calculator'!$U$17/'Gearing Calculator'!$C$7))</f>
        <v>1916.1321793333277</v>
      </c>
      <c r="Z1953" s="16">
        <f>((X1953*COS('Gearing Calculator'!$C$21))/'Gearing Calculator'!$C$22)/2</f>
        <v>21.496162240663828</v>
      </c>
      <c r="AA1953" s="16">
        <f>Y1953/'Gearing Calculator'!$C$24</f>
        <v>26.755632019326534</v>
      </c>
      <c r="AB1953" s="16">
        <f t="shared" si="212"/>
        <v>382.6659495802362</v>
      </c>
      <c r="AC1953" s="16">
        <v>0</v>
      </c>
      <c r="AD1953" s="16">
        <v>0</v>
      </c>
      <c r="AE1953" s="16">
        <v>1950</v>
      </c>
      <c r="AF1953" s="16">
        <f>IF(AC1953=0,IF(O1953=6,INDEX(Acceleration!$V$4:$V$110,MATCH('Track Data'!S1953,Acceleration!$K$4:$K$110,0)),IF('Track Data'!O1953=5,INDEX(Acceleration!$U$4:$U$110,MATCH('Track Data'!S1953,Acceleration!$K$4:$K$110,0)),1)),U1953)</f>
        <v>3.5063437108727813</v>
      </c>
      <c r="AG1953" s="16">
        <f>IF(AC1953=0,IF(O1953=4,INDEX(Acceleration!$T$4:$T$110,MATCH('Track Data'!S1953,Acceleration!$K$4:$K$110,0)),IF('Track Data'!O1953=3,INDEX(Acceleration!$S$4:$S$110,MATCH('Track Data'!S1953,Acceleration!$K$4:$K$110,0)),'Track Data'!AF1953)),'Track Data'!U1953)</f>
        <v>3.5063437108727813</v>
      </c>
      <c r="AH1953" s="16">
        <f>IF(AC1953=0,IF(O1953=2,INDEX(Acceleration!$R$4:$R$110,MATCH('Track Data'!S1953,Acceleration!$K$4:$K$110,0)),IF('Track Data'!O1953=1,INDEX(Acceleration!$Q$4:$Q$110,MATCH('Track Data'!S1953,Acceleration!$K$4:$K$110,0)),'Track Data'!AG1953)),'Track Data'!U1953)</f>
        <v>3.5063437108727813</v>
      </c>
    </row>
    <row r="1954" spans="2:34" x14ac:dyDescent="0.25">
      <c r="B1954" s="16">
        <v>247.49600000000001</v>
      </c>
      <c r="C1954" s="16">
        <v>9224</v>
      </c>
      <c r="D1954" s="16">
        <v>1951</v>
      </c>
      <c r="E1954" s="113">
        <v>202</v>
      </c>
      <c r="F1954" s="113">
        <v>200.3</v>
      </c>
      <c r="G1954" s="113">
        <v>196.7</v>
      </c>
      <c r="H1954" s="113">
        <f t="shared" si="215"/>
        <v>54.638888888888886</v>
      </c>
      <c r="I1954" s="113">
        <v>2.8</v>
      </c>
      <c r="J1954" s="113">
        <v>12.14</v>
      </c>
      <c r="K1954" s="113">
        <v>-17.3</v>
      </c>
      <c r="L1954" s="185"/>
      <c r="M1954" s="16">
        <v>1951</v>
      </c>
      <c r="N1954" s="16">
        <f t="shared" si="217"/>
        <v>1.7090262429840703E-2</v>
      </c>
      <c r="O1954" s="16">
        <v>6</v>
      </c>
      <c r="P1954" s="16">
        <f t="shared" si="213"/>
        <v>7.3113821138211375</v>
      </c>
      <c r="Q1954" s="16">
        <f t="shared" si="218"/>
        <v>58.512852222440735</v>
      </c>
      <c r="R1954" s="113">
        <f t="shared" si="214"/>
        <v>311.95699999999999</v>
      </c>
      <c r="S1954" s="16">
        <f>IF(S1953=15800,15800,ROUND((((Q1954*60)/'Gearing Calculator'!$C$14)*'Track Data'!P1954),-2))</f>
        <v>13000</v>
      </c>
      <c r="T1954" s="16">
        <f t="shared" si="216"/>
        <v>3.5063437108727813</v>
      </c>
      <c r="U1954" s="16">
        <f>IF(AC1954=100,Braking!$AG$2354,IF(AC1954=50,Braking!$AG$1179,IF(AC1954=75,Braking!$AG$1767,0)))</f>
        <v>0</v>
      </c>
      <c r="V1954" s="16">
        <f>0.5*'Gearing Calculator'!$C$15*'Gearing Calculator'!$C$20*'Gearing Calculator'!$W$20*('Track Data'!Q1954^2)</f>
        <v>362.37011015171703</v>
      </c>
      <c r="W1954" s="16">
        <f>('Gearing Calculator'!$U$9*'Track Data'!T1954)+'Track Data'!V1954</f>
        <v>1295.7588059860514</v>
      </c>
      <c r="X1954" s="16">
        <f>('Gearing Calculator'!$U$9*9.81)*('Gearing Calculator'!$U$16/'Gearing Calculator'!$C$7)-(('Track Data'!W1954)*('Gearing Calculator'!$U$17/'Gearing Calculator'!$C$7))</f>
        <v>694.88525853149304</v>
      </c>
      <c r="Y1954" s="16">
        <f>('Gearing Calculator'!$U$9*9.81)*(('Gearing Calculator'!$C$7-'Gearing Calculator'!$U$16)/'Gearing Calculator'!$C$7)+(('Track Data'!W1954)*('Gearing Calculator'!$U$17/'Gearing Calculator'!$C$7))</f>
        <v>1916.536741468507</v>
      </c>
      <c r="Z1954" s="16">
        <f>((X1954*COS('Gearing Calculator'!$C$21))/'Gearing Calculator'!$C$22)/2</f>
        <v>21.483654458965102</v>
      </c>
      <c r="AA1954" s="16">
        <f>Y1954/'Gearing Calculator'!$C$24</f>
        <v>26.761281063653723</v>
      </c>
      <c r="AB1954" s="16">
        <f t="shared" si="212"/>
        <v>383.40817241695373</v>
      </c>
      <c r="AC1954" s="16">
        <v>0</v>
      </c>
      <c r="AD1954" s="16">
        <v>0</v>
      </c>
      <c r="AE1954" s="16">
        <v>1951</v>
      </c>
      <c r="AF1954" s="16">
        <f>IF(AC1954=0,IF(O1954=6,INDEX(Acceleration!$V$4:$V$110,MATCH('Track Data'!S1954,Acceleration!$K$4:$K$110,0)),IF('Track Data'!O1954=5,INDEX(Acceleration!$U$4:$U$110,MATCH('Track Data'!S1954,Acceleration!$K$4:$K$110,0)),1)),U1954)</f>
        <v>3.5063437108727813</v>
      </c>
      <c r="AG1954" s="16">
        <f>IF(AC1954=0,IF(O1954=4,INDEX(Acceleration!$T$4:$T$110,MATCH('Track Data'!S1954,Acceleration!$K$4:$K$110,0)),IF('Track Data'!O1954=3,INDEX(Acceleration!$S$4:$S$110,MATCH('Track Data'!S1954,Acceleration!$K$4:$K$110,0)),'Track Data'!AF1954)),'Track Data'!U1954)</f>
        <v>3.5063437108727813</v>
      </c>
      <c r="AH1954" s="16">
        <f>IF(AC1954=0,IF(O1954=2,INDEX(Acceleration!$R$4:$R$110,MATCH('Track Data'!S1954,Acceleration!$K$4:$K$110,0)),IF('Track Data'!O1954=1,INDEX(Acceleration!$Q$4:$Q$110,MATCH('Track Data'!S1954,Acceleration!$K$4:$K$110,0)),'Track Data'!AG1954)),'Track Data'!U1954)</f>
        <v>3.5063437108727813</v>
      </c>
    </row>
    <row r="1955" spans="2:34" x14ac:dyDescent="0.25">
      <c r="B1955" s="16">
        <v>247.51400000000001</v>
      </c>
      <c r="C1955" s="16">
        <v>9225</v>
      </c>
      <c r="D1955" s="16">
        <v>1952</v>
      </c>
      <c r="E1955" s="113">
        <v>201</v>
      </c>
      <c r="F1955" s="113">
        <v>200.4</v>
      </c>
      <c r="G1955" s="113">
        <v>196.8</v>
      </c>
      <c r="H1955" s="113">
        <f t="shared" si="215"/>
        <v>54.666666666666671</v>
      </c>
      <c r="I1955" s="113">
        <v>4.2</v>
      </c>
      <c r="J1955" s="113">
        <v>14.18</v>
      </c>
      <c r="K1955" s="113">
        <v>-16.3</v>
      </c>
      <c r="L1955" s="185"/>
      <c r="M1955" s="16">
        <v>1952</v>
      </c>
      <c r="N1955" s="16">
        <f t="shared" si="217"/>
        <v>1.7072786747178825E-2</v>
      </c>
      <c r="O1955" s="16">
        <v>6</v>
      </c>
      <c r="P1955" s="16">
        <f t="shared" si="213"/>
        <v>7.3113821138211375</v>
      </c>
      <c r="Q1955" s="16">
        <f t="shared" si="218"/>
        <v>58.572745903081348</v>
      </c>
      <c r="R1955" s="113">
        <f t="shared" si="214"/>
        <v>311.95699999999999</v>
      </c>
      <c r="S1955" s="16">
        <f>IF(S1954=15800,15800,ROUND((((Q1955*60)/'Gearing Calculator'!$C$14)*'Track Data'!P1955),-2))</f>
        <v>13000</v>
      </c>
      <c r="T1955" s="16">
        <f t="shared" si="216"/>
        <v>3.5063437108727813</v>
      </c>
      <c r="U1955" s="16">
        <f>IF(AC1955=100,Braking!$AG$2354,IF(AC1955=50,Braking!$AG$1179,IF(AC1955=75,Braking!$AG$1767,0)))</f>
        <v>0</v>
      </c>
      <c r="V1955" s="16">
        <f>0.5*'Gearing Calculator'!$C$15*'Gearing Calculator'!$C$20*'Gearing Calculator'!$W$20*('Track Data'!Q1955^2)</f>
        <v>363.1123329884345</v>
      </c>
      <c r="W1955" s="16">
        <f>('Gearing Calculator'!$U$9*'Track Data'!T1955)+'Track Data'!V1955</f>
        <v>1296.5010288227688</v>
      </c>
      <c r="X1955" s="16">
        <f>('Gearing Calculator'!$U$9*9.81)*('Gearing Calculator'!$U$16/'Gearing Calculator'!$C$7)-(('Track Data'!W1955)*('Gearing Calculator'!$U$17/'Gearing Calculator'!$C$7))</f>
        <v>694.48069639631365</v>
      </c>
      <c r="Y1955" s="16">
        <f>('Gearing Calculator'!$U$9*9.81)*(('Gearing Calculator'!$C$7-'Gearing Calculator'!$U$16)/'Gearing Calculator'!$C$7)+(('Track Data'!W1955)*('Gearing Calculator'!$U$17/'Gearing Calculator'!$C$7))</f>
        <v>1916.9413036036863</v>
      </c>
      <c r="Z1955" s="16">
        <f>((X1955*COS('Gearing Calculator'!$C$21))/'Gearing Calculator'!$C$22)/2</f>
        <v>21.471146677266375</v>
      </c>
      <c r="AA1955" s="16">
        <f>Y1955/'Gearing Calculator'!$C$24</f>
        <v>26.766930107980912</v>
      </c>
      <c r="AB1955" s="16">
        <f t="shared" si="212"/>
        <v>384.15039525367121</v>
      </c>
      <c r="AC1955" s="16">
        <v>0</v>
      </c>
      <c r="AD1955" s="16">
        <v>0</v>
      </c>
      <c r="AE1955" s="16">
        <v>1952</v>
      </c>
      <c r="AF1955" s="16">
        <f>IF(AC1955=0,IF(O1955=6,INDEX(Acceleration!$V$4:$V$110,MATCH('Track Data'!S1955,Acceleration!$K$4:$K$110,0)),IF('Track Data'!O1955=5,INDEX(Acceleration!$U$4:$U$110,MATCH('Track Data'!S1955,Acceleration!$K$4:$K$110,0)),1)),U1955)</f>
        <v>3.5063437108727813</v>
      </c>
      <c r="AG1955" s="16">
        <f>IF(AC1955=0,IF(O1955=4,INDEX(Acceleration!$T$4:$T$110,MATCH('Track Data'!S1955,Acceleration!$K$4:$K$110,0)),IF('Track Data'!O1955=3,INDEX(Acceleration!$S$4:$S$110,MATCH('Track Data'!S1955,Acceleration!$K$4:$K$110,0)),'Track Data'!AF1955)),'Track Data'!U1955)</f>
        <v>3.5063437108727813</v>
      </c>
      <c r="AH1955" s="16">
        <f>IF(AC1955=0,IF(O1955=2,INDEX(Acceleration!$R$4:$R$110,MATCH('Track Data'!S1955,Acceleration!$K$4:$K$110,0)),IF('Track Data'!O1955=1,INDEX(Acceleration!$Q$4:$Q$110,MATCH('Track Data'!S1955,Acceleration!$K$4:$K$110,0)),'Track Data'!AG1955)),'Track Data'!U1955)</f>
        <v>3.5063437108727813</v>
      </c>
    </row>
    <row r="1956" spans="2:34" x14ac:dyDescent="0.25">
      <c r="B1956" s="16">
        <v>247.53200000000001</v>
      </c>
      <c r="C1956" s="16">
        <v>9226</v>
      </c>
      <c r="D1956" s="16">
        <v>1953</v>
      </c>
      <c r="E1956" s="113">
        <v>200</v>
      </c>
      <c r="F1956" s="113">
        <v>200.4</v>
      </c>
      <c r="G1956" s="113">
        <v>196.9</v>
      </c>
      <c r="H1956" s="113">
        <f t="shared" si="215"/>
        <v>54.694444444444443</v>
      </c>
      <c r="I1956" s="113">
        <v>7.6</v>
      </c>
      <c r="J1956" s="113">
        <v>18.690000000000001</v>
      </c>
      <c r="K1956" s="113">
        <v>-15.1</v>
      </c>
      <c r="L1956" s="185"/>
      <c r="M1956" s="16">
        <v>1953</v>
      </c>
      <c r="N1956" s="16">
        <f t="shared" si="217"/>
        <v>1.7055364564497938E-2</v>
      </c>
      <c r="O1956" s="16">
        <v>6</v>
      </c>
      <c r="P1956" s="16">
        <f t="shared" si="213"/>
        <v>7.3113821138211375</v>
      </c>
      <c r="Q1956" s="16">
        <f t="shared" si="218"/>
        <v>58.632578401846509</v>
      </c>
      <c r="R1956" s="113">
        <f t="shared" si="214"/>
        <v>311.95699999999999</v>
      </c>
      <c r="S1956" s="16">
        <f>IF(S1955=15800,15800,ROUND((((Q1956*60)/'Gearing Calculator'!$C$14)*'Track Data'!P1956),-2))</f>
        <v>13000</v>
      </c>
      <c r="T1956" s="16">
        <f t="shared" si="216"/>
        <v>3.5063437108727813</v>
      </c>
      <c r="U1956" s="16">
        <f>IF(AC1956=100,Braking!$AG$2354,IF(AC1956=50,Braking!$AG$1179,IF(AC1956=75,Braking!$AG$1767,0)))</f>
        <v>0</v>
      </c>
      <c r="V1956" s="16">
        <f>0.5*'Gearing Calculator'!$C$15*'Gearing Calculator'!$C$20*'Gearing Calculator'!$W$20*('Track Data'!Q1956^2)</f>
        <v>363.85455582515198</v>
      </c>
      <c r="W1956" s="16">
        <f>('Gearing Calculator'!$U$9*'Track Data'!T1956)+'Track Data'!V1956</f>
        <v>1297.2432516594863</v>
      </c>
      <c r="X1956" s="16">
        <f>('Gearing Calculator'!$U$9*9.81)*('Gearing Calculator'!$U$16/'Gearing Calculator'!$C$7)-(('Track Data'!W1956)*('Gearing Calculator'!$U$17/'Gearing Calculator'!$C$7))</f>
        <v>694.07613426113437</v>
      </c>
      <c r="Y1956" s="16">
        <f>('Gearing Calculator'!$U$9*9.81)*(('Gearing Calculator'!$C$7-'Gearing Calculator'!$U$16)/'Gearing Calculator'!$C$7)+(('Track Data'!W1956)*('Gearing Calculator'!$U$17/'Gearing Calculator'!$C$7))</f>
        <v>1917.3458657388655</v>
      </c>
      <c r="Z1956" s="16">
        <f>((X1956*COS('Gearing Calculator'!$C$21))/'Gearing Calculator'!$C$22)/2</f>
        <v>21.458638895567653</v>
      </c>
      <c r="AA1956" s="16">
        <f>Y1956/'Gearing Calculator'!$C$24</f>
        <v>26.772579152308104</v>
      </c>
      <c r="AB1956" s="16">
        <f t="shared" si="212"/>
        <v>384.89261809038868</v>
      </c>
      <c r="AC1956" s="16">
        <v>0</v>
      </c>
      <c r="AD1956" s="16">
        <v>0</v>
      </c>
      <c r="AE1956" s="16">
        <v>1953</v>
      </c>
      <c r="AF1956" s="16">
        <f>IF(AC1956=0,IF(O1956=6,INDEX(Acceleration!$V$4:$V$110,MATCH('Track Data'!S1956,Acceleration!$K$4:$K$110,0)),IF('Track Data'!O1956=5,INDEX(Acceleration!$U$4:$U$110,MATCH('Track Data'!S1956,Acceleration!$K$4:$K$110,0)),1)),U1956)</f>
        <v>3.5063437108727813</v>
      </c>
      <c r="AG1956" s="16">
        <f>IF(AC1956=0,IF(O1956=4,INDEX(Acceleration!$T$4:$T$110,MATCH('Track Data'!S1956,Acceleration!$K$4:$K$110,0)),IF('Track Data'!O1956=3,INDEX(Acceleration!$S$4:$S$110,MATCH('Track Data'!S1956,Acceleration!$K$4:$K$110,0)),'Track Data'!AF1956)),'Track Data'!U1956)</f>
        <v>3.5063437108727813</v>
      </c>
      <c r="AH1956" s="16">
        <f>IF(AC1956=0,IF(O1956=2,INDEX(Acceleration!$R$4:$R$110,MATCH('Track Data'!S1956,Acceleration!$K$4:$K$110,0)),IF('Track Data'!O1956=1,INDEX(Acceleration!$Q$4:$Q$110,MATCH('Track Data'!S1956,Acceleration!$K$4:$K$110,0)),'Track Data'!AG1956)),'Track Data'!U1956)</f>
        <v>3.5063437108727813</v>
      </c>
    </row>
    <row r="1957" spans="2:34" x14ac:dyDescent="0.25">
      <c r="B1957" s="16">
        <v>247.55</v>
      </c>
      <c r="C1957" s="16">
        <v>9227</v>
      </c>
      <c r="D1957" s="16">
        <v>1954</v>
      </c>
      <c r="E1957" s="113">
        <v>198</v>
      </c>
      <c r="F1957" s="113">
        <v>200.2</v>
      </c>
      <c r="G1957" s="113">
        <v>197</v>
      </c>
      <c r="H1957" s="113">
        <f t="shared" si="215"/>
        <v>54.722222222222221</v>
      </c>
      <c r="I1957" s="113">
        <v>10.6</v>
      </c>
      <c r="J1957" s="113">
        <v>26.06</v>
      </c>
      <c r="K1957" s="113">
        <v>-13.7</v>
      </c>
      <c r="L1957" s="185"/>
      <c r="M1957" s="16">
        <v>1954</v>
      </c>
      <c r="N1957" s="16">
        <f t="shared" si="217"/>
        <v>1.703799560937962E-2</v>
      </c>
      <c r="O1957" s="16">
        <v>6</v>
      </c>
      <c r="P1957" s="16">
        <f t="shared" si="213"/>
        <v>7.3113821138211375</v>
      </c>
      <c r="Q1957" s="16">
        <f t="shared" si="218"/>
        <v>58.692349905847379</v>
      </c>
      <c r="R1957" s="113">
        <f t="shared" si="214"/>
        <v>311.95699999999999</v>
      </c>
      <c r="S1957" s="16">
        <f>IF(S1956=15800,15800,ROUND((((Q1957*60)/'Gearing Calculator'!$C$14)*'Track Data'!P1957),-2))</f>
        <v>13000</v>
      </c>
      <c r="T1957" s="16">
        <f t="shared" si="216"/>
        <v>3.5063437108727813</v>
      </c>
      <c r="U1957" s="16">
        <f>IF(AC1957=100,Braking!$AG$2354,IF(AC1957=50,Braking!$AG$1179,IF(AC1957=75,Braking!$AG$1767,0)))</f>
        <v>0</v>
      </c>
      <c r="V1957" s="16">
        <f>0.5*'Gearing Calculator'!$C$15*'Gearing Calculator'!$C$20*'Gearing Calculator'!$W$20*('Track Data'!Q1957^2)</f>
        <v>364.59677866186951</v>
      </c>
      <c r="W1957" s="16">
        <f>('Gearing Calculator'!$U$9*'Track Data'!T1957)+'Track Data'!V1957</f>
        <v>1297.985474496204</v>
      </c>
      <c r="X1957" s="16">
        <f>('Gearing Calculator'!$U$9*9.81)*('Gearing Calculator'!$U$16/'Gearing Calculator'!$C$7)-(('Track Data'!W1957)*('Gearing Calculator'!$U$17/'Gearing Calculator'!$C$7))</f>
        <v>693.67157212595487</v>
      </c>
      <c r="Y1957" s="16">
        <f>('Gearing Calculator'!$U$9*9.81)*(('Gearing Calculator'!$C$7-'Gearing Calculator'!$U$16)/'Gearing Calculator'!$C$7)+(('Track Data'!W1957)*('Gearing Calculator'!$U$17/'Gearing Calculator'!$C$7))</f>
        <v>1917.7504278740453</v>
      </c>
      <c r="Z1957" s="16">
        <f>((X1957*COS('Gearing Calculator'!$C$21))/'Gearing Calculator'!$C$22)/2</f>
        <v>21.446131113868923</v>
      </c>
      <c r="AA1957" s="16">
        <f>Y1957/'Gearing Calculator'!$C$24</f>
        <v>26.7782281966353</v>
      </c>
      <c r="AB1957" s="16">
        <f t="shared" si="212"/>
        <v>385.63484092710621</v>
      </c>
      <c r="AC1957" s="16">
        <v>0</v>
      </c>
      <c r="AD1957" s="16">
        <v>0</v>
      </c>
      <c r="AE1957" s="16">
        <v>1954</v>
      </c>
      <c r="AF1957" s="16">
        <f>IF(AC1957=0,IF(O1957=6,INDEX(Acceleration!$V$4:$V$110,MATCH('Track Data'!S1957,Acceleration!$K$4:$K$110,0)),IF('Track Data'!O1957=5,INDEX(Acceleration!$U$4:$U$110,MATCH('Track Data'!S1957,Acceleration!$K$4:$K$110,0)),1)),U1957)</f>
        <v>3.5063437108727813</v>
      </c>
      <c r="AG1957" s="16">
        <f>IF(AC1957=0,IF(O1957=4,INDEX(Acceleration!$T$4:$T$110,MATCH('Track Data'!S1957,Acceleration!$K$4:$K$110,0)),IF('Track Data'!O1957=3,INDEX(Acceleration!$S$4:$S$110,MATCH('Track Data'!S1957,Acceleration!$K$4:$K$110,0)),'Track Data'!AF1957)),'Track Data'!U1957)</f>
        <v>3.5063437108727813</v>
      </c>
      <c r="AH1957" s="16">
        <f>IF(AC1957=0,IF(O1957=2,INDEX(Acceleration!$R$4:$R$110,MATCH('Track Data'!S1957,Acceleration!$K$4:$K$110,0)),IF('Track Data'!O1957=1,INDEX(Acceleration!$Q$4:$Q$110,MATCH('Track Data'!S1957,Acceleration!$K$4:$K$110,0)),'Track Data'!AG1957)),'Track Data'!U1957)</f>
        <v>3.5063437108727813</v>
      </c>
    </row>
    <row r="1958" spans="2:34" x14ac:dyDescent="0.25">
      <c r="B1958" s="16">
        <v>247.56700000000001</v>
      </c>
      <c r="C1958" s="16">
        <v>9229</v>
      </c>
      <c r="D1958" s="16">
        <v>1955</v>
      </c>
      <c r="E1958" s="113">
        <v>198</v>
      </c>
      <c r="F1958" s="113">
        <v>200.2</v>
      </c>
      <c r="G1958" s="113">
        <v>197</v>
      </c>
      <c r="H1958" s="113">
        <f t="shared" si="215"/>
        <v>54.722222222222221</v>
      </c>
      <c r="I1958" s="113">
        <v>11.5</v>
      </c>
      <c r="J1958" s="113">
        <v>30.29</v>
      </c>
      <c r="K1958" s="113">
        <v>-13.1</v>
      </c>
      <c r="L1958" s="185"/>
      <c r="M1958" s="16">
        <v>1955</v>
      </c>
      <c r="N1958" s="16">
        <f t="shared" si="217"/>
        <v>1.70206796113435E-2</v>
      </c>
      <c r="O1958" s="16">
        <v>6</v>
      </c>
      <c r="P1958" s="16">
        <f t="shared" si="213"/>
        <v>7.3113821138211375</v>
      </c>
      <c r="Q1958" s="16">
        <f t="shared" si="218"/>
        <v>58.752060601243329</v>
      </c>
      <c r="R1958" s="113">
        <f t="shared" si="214"/>
        <v>311.95699999999999</v>
      </c>
      <c r="S1958" s="16">
        <f>IF(S1957=15800,15800,ROUND((((Q1958*60)/'Gearing Calculator'!$C$14)*'Track Data'!P1958),-2))</f>
        <v>13000</v>
      </c>
      <c r="T1958" s="16">
        <f t="shared" si="216"/>
        <v>3.5063437108727813</v>
      </c>
      <c r="U1958" s="16">
        <f>IF(AC1958=100,Braking!$AG$2354,IF(AC1958=50,Braking!$AG$1179,IF(AC1958=75,Braking!$AG$1767,0)))</f>
        <v>0</v>
      </c>
      <c r="V1958" s="16">
        <f>0.5*'Gearing Calculator'!$C$15*'Gearing Calculator'!$C$20*'Gearing Calculator'!$W$20*('Track Data'!Q1958^2)</f>
        <v>365.33900149858709</v>
      </c>
      <c r="W1958" s="16">
        <f>('Gearing Calculator'!$U$9*'Track Data'!T1958)+'Track Data'!V1958</f>
        <v>1298.7276973329215</v>
      </c>
      <c r="X1958" s="16">
        <f>('Gearing Calculator'!$U$9*9.81)*('Gearing Calculator'!$U$16/'Gearing Calculator'!$C$7)-(('Track Data'!W1958)*('Gearing Calculator'!$U$17/'Gearing Calculator'!$C$7))</f>
        <v>693.26700999077548</v>
      </c>
      <c r="Y1958" s="16">
        <f>('Gearing Calculator'!$U$9*9.81)*(('Gearing Calculator'!$C$7-'Gearing Calculator'!$U$16)/'Gearing Calculator'!$C$7)+(('Track Data'!W1958)*('Gearing Calculator'!$U$17/'Gearing Calculator'!$C$7))</f>
        <v>1918.1549900092245</v>
      </c>
      <c r="Z1958" s="16">
        <f>((X1958*COS('Gearing Calculator'!$C$21))/'Gearing Calculator'!$C$22)/2</f>
        <v>21.433623332170196</v>
      </c>
      <c r="AA1958" s="16">
        <f>Y1958/'Gearing Calculator'!$C$24</f>
        <v>26.783877240962489</v>
      </c>
      <c r="AB1958" s="16">
        <f t="shared" si="212"/>
        <v>386.3770637638238</v>
      </c>
      <c r="AC1958" s="16">
        <v>0</v>
      </c>
      <c r="AD1958" s="16">
        <v>0</v>
      </c>
      <c r="AE1958" s="16">
        <v>1955</v>
      </c>
      <c r="AF1958" s="16">
        <f>IF(AC1958=0,IF(O1958=6,INDEX(Acceleration!$V$4:$V$110,MATCH('Track Data'!S1958,Acceleration!$K$4:$K$110,0)),IF('Track Data'!O1958=5,INDEX(Acceleration!$U$4:$U$110,MATCH('Track Data'!S1958,Acceleration!$K$4:$K$110,0)),1)),U1958)</f>
        <v>3.5063437108727813</v>
      </c>
      <c r="AG1958" s="16">
        <f>IF(AC1958=0,IF(O1958=4,INDEX(Acceleration!$T$4:$T$110,MATCH('Track Data'!S1958,Acceleration!$K$4:$K$110,0)),IF('Track Data'!O1958=3,INDEX(Acceleration!$S$4:$S$110,MATCH('Track Data'!S1958,Acceleration!$K$4:$K$110,0)),'Track Data'!AF1958)),'Track Data'!U1958)</f>
        <v>3.5063437108727813</v>
      </c>
      <c r="AH1958" s="16">
        <f>IF(AC1958=0,IF(O1958=2,INDEX(Acceleration!$R$4:$R$110,MATCH('Track Data'!S1958,Acceleration!$K$4:$K$110,0)),IF('Track Data'!O1958=1,INDEX(Acceleration!$Q$4:$Q$110,MATCH('Track Data'!S1958,Acceleration!$K$4:$K$110,0)),'Track Data'!AG1958)),'Track Data'!U1958)</f>
        <v>3.5063437108727813</v>
      </c>
    </row>
    <row r="1959" spans="2:34" x14ac:dyDescent="0.25">
      <c r="B1959" s="16">
        <v>247.58600000000001</v>
      </c>
      <c r="C1959" s="16">
        <v>9229</v>
      </c>
      <c r="D1959" s="16">
        <v>1956</v>
      </c>
      <c r="E1959" s="113">
        <v>198</v>
      </c>
      <c r="F1959" s="113">
        <v>200.6</v>
      </c>
      <c r="G1959" s="113">
        <v>197</v>
      </c>
      <c r="H1959" s="113">
        <f t="shared" si="215"/>
        <v>54.722222222222221</v>
      </c>
      <c r="I1959" s="113">
        <v>12.1</v>
      </c>
      <c r="J1959" s="113">
        <v>34.630000000000003</v>
      </c>
      <c r="K1959" s="113">
        <v>-11.7</v>
      </c>
      <c r="L1959" s="185"/>
      <c r="M1959" s="16">
        <v>1956</v>
      </c>
      <c r="N1959" s="16">
        <f t="shared" si="217"/>
        <v>1.7003416301829555E-2</v>
      </c>
      <c r="O1959" s="16">
        <v>6</v>
      </c>
      <c r="P1959" s="16">
        <f t="shared" si="213"/>
        <v>7.3113821138211375</v>
      </c>
      <c r="Q1959" s="16">
        <f t="shared" si="218"/>
        <v>58.81171067324869</v>
      </c>
      <c r="R1959" s="113">
        <f t="shared" si="214"/>
        <v>311.95699999999999</v>
      </c>
      <c r="S1959" s="16">
        <f>IF(S1958=15800,15800,ROUND((((Q1959*60)/'Gearing Calculator'!$C$14)*'Track Data'!P1959),-2))</f>
        <v>13000</v>
      </c>
      <c r="T1959" s="16">
        <f t="shared" si="216"/>
        <v>3.5063437108727813</v>
      </c>
      <c r="U1959" s="16">
        <f>IF(AC1959=100,Braking!$AG$2354,IF(AC1959=50,Braking!$AG$1179,IF(AC1959=75,Braking!$AG$1767,0)))</f>
        <v>0</v>
      </c>
      <c r="V1959" s="16">
        <f>0.5*'Gearing Calculator'!$C$15*'Gearing Calculator'!$C$20*'Gearing Calculator'!$W$20*('Track Data'!Q1959^2)</f>
        <v>366.08122433530463</v>
      </c>
      <c r="W1959" s="16">
        <f>('Gearing Calculator'!$U$9*'Track Data'!T1959)+'Track Data'!V1959</f>
        <v>1299.469920169639</v>
      </c>
      <c r="X1959" s="16">
        <f>('Gearing Calculator'!$U$9*9.81)*('Gearing Calculator'!$U$16/'Gearing Calculator'!$C$7)-(('Track Data'!W1959)*('Gearing Calculator'!$U$17/'Gearing Calculator'!$C$7))</f>
        <v>692.86244785559609</v>
      </c>
      <c r="Y1959" s="16">
        <f>('Gearing Calculator'!$U$9*9.81)*(('Gearing Calculator'!$C$7-'Gearing Calculator'!$U$16)/'Gearing Calculator'!$C$7)+(('Track Data'!W1959)*('Gearing Calculator'!$U$17/'Gearing Calculator'!$C$7))</f>
        <v>1918.5595521444038</v>
      </c>
      <c r="Z1959" s="16">
        <f>((X1959*COS('Gearing Calculator'!$C$21))/'Gearing Calculator'!$C$22)/2</f>
        <v>21.42111555047147</v>
      </c>
      <c r="AA1959" s="16">
        <f>Y1959/'Gearing Calculator'!$C$24</f>
        <v>26.789526285289682</v>
      </c>
      <c r="AB1959" s="16">
        <f t="shared" si="212"/>
        <v>387.11928660054133</v>
      </c>
      <c r="AC1959" s="16">
        <v>0</v>
      </c>
      <c r="AD1959" s="16">
        <v>0</v>
      </c>
      <c r="AE1959" s="16">
        <v>1956</v>
      </c>
      <c r="AF1959" s="16">
        <f>IF(AC1959=0,IF(O1959=6,INDEX(Acceleration!$V$4:$V$110,MATCH('Track Data'!S1959,Acceleration!$K$4:$K$110,0)),IF('Track Data'!O1959=5,INDEX(Acceleration!$U$4:$U$110,MATCH('Track Data'!S1959,Acceleration!$K$4:$K$110,0)),1)),U1959)</f>
        <v>3.5063437108727813</v>
      </c>
      <c r="AG1959" s="16">
        <f>IF(AC1959=0,IF(O1959=4,INDEX(Acceleration!$T$4:$T$110,MATCH('Track Data'!S1959,Acceleration!$K$4:$K$110,0)),IF('Track Data'!O1959=3,INDEX(Acceleration!$S$4:$S$110,MATCH('Track Data'!S1959,Acceleration!$K$4:$K$110,0)),'Track Data'!AF1959)),'Track Data'!U1959)</f>
        <v>3.5063437108727813</v>
      </c>
      <c r="AH1959" s="16">
        <f>IF(AC1959=0,IF(O1959=2,INDEX(Acceleration!$R$4:$R$110,MATCH('Track Data'!S1959,Acceleration!$K$4:$K$110,0)),IF('Track Data'!O1959=1,INDEX(Acceleration!$Q$4:$Q$110,MATCH('Track Data'!S1959,Acceleration!$K$4:$K$110,0)),'Track Data'!AG1959)),'Track Data'!U1959)</f>
        <v>3.5063437108727813</v>
      </c>
    </row>
    <row r="1960" spans="2:34" x14ac:dyDescent="0.25">
      <c r="B1960" s="16">
        <v>247.60400000000001</v>
      </c>
      <c r="C1960" s="16">
        <v>9230</v>
      </c>
      <c r="D1960" s="16">
        <v>1957</v>
      </c>
      <c r="E1960" s="113">
        <v>198</v>
      </c>
      <c r="F1960" s="113">
        <v>200.8</v>
      </c>
      <c r="G1960" s="113">
        <v>197</v>
      </c>
      <c r="H1960" s="113">
        <f t="shared" si="215"/>
        <v>54.722222222222221</v>
      </c>
      <c r="I1960" s="113">
        <v>11.7</v>
      </c>
      <c r="J1960" s="113">
        <v>39.729999999999997</v>
      </c>
      <c r="K1960" s="113">
        <v>-10.9</v>
      </c>
      <c r="L1960" s="185"/>
      <c r="M1960" s="16">
        <v>1957</v>
      </c>
      <c r="N1960" s="16">
        <f t="shared" si="217"/>
        <v>1.6986205414180625E-2</v>
      </c>
      <c r="O1960" s="16">
        <v>6</v>
      </c>
      <c r="P1960" s="16">
        <f t="shared" si="213"/>
        <v>7.3113821138211375</v>
      </c>
      <c r="Q1960" s="16">
        <f t="shared" si="218"/>
        <v>58.871300306139489</v>
      </c>
      <c r="R1960" s="113">
        <f t="shared" si="214"/>
        <v>311.95699999999999</v>
      </c>
      <c r="S1960" s="16">
        <f>IF(S1959=15800,15800,ROUND((((Q1960*60)/'Gearing Calculator'!$C$14)*'Track Data'!P1960),-2))</f>
        <v>13000</v>
      </c>
      <c r="T1960" s="16">
        <f t="shared" si="216"/>
        <v>3.5063437108727813</v>
      </c>
      <c r="U1960" s="16">
        <f>IF(AC1960=100,Braking!$AG$2354,IF(AC1960=50,Braking!$AG$1179,IF(AC1960=75,Braking!$AG$1767,0)))</f>
        <v>0</v>
      </c>
      <c r="V1960" s="16">
        <f>0.5*'Gearing Calculator'!$C$15*'Gearing Calculator'!$C$20*'Gearing Calculator'!$W$20*('Track Data'!Q1960^2)</f>
        <v>366.82344717202216</v>
      </c>
      <c r="W1960" s="16">
        <f>('Gearing Calculator'!$U$9*'Track Data'!T1960)+'Track Data'!V1960</f>
        <v>1300.2121430063567</v>
      </c>
      <c r="X1960" s="16">
        <f>('Gearing Calculator'!$U$9*9.81)*('Gearing Calculator'!$U$16/'Gearing Calculator'!$C$7)-(('Track Data'!W1960)*('Gearing Calculator'!$U$17/'Gearing Calculator'!$C$7))</f>
        <v>692.45788572041658</v>
      </c>
      <c r="Y1960" s="16">
        <f>('Gearing Calculator'!$U$9*9.81)*(('Gearing Calculator'!$C$7-'Gearing Calculator'!$U$16)/'Gearing Calculator'!$C$7)+(('Track Data'!W1960)*('Gearing Calculator'!$U$17/'Gearing Calculator'!$C$7))</f>
        <v>1918.9641142795836</v>
      </c>
      <c r="Z1960" s="16">
        <f>((X1960*COS('Gearing Calculator'!$C$21))/'Gearing Calculator'!$C$22)/2</f>
        <v>21.40860776877274</v>
      </c>
      <c r="AA1960" s="16">
        <f>Y1960/'Gearing Calculator'!$C$24</f>
        <v>26.795175329616878</v>
      </c>
      <c r="AB1960" s="16">
        <f t="shared" si="212"/>
        <v>387.86150943725886</v>
      </c>
      <c r="AC1960" s="16">
        <v>0</v>
      </c>
      <c r="AD1960" s="16">
        <v>0</v>
      </c>
      <c r="AE1960" s="16">
        <v>1957</v>
      </c>
      <c r="AF1960" s="16">
        <f>IF(AC1960=0,IF(O1960=6,INDEX(Acceleration!$V$4:$V$110,MATCH('Track Data'!S1960,Acceleration!$K$4:$K$110,0)),IF('Track Data'!O1960=5,INDEX(Acceleration!$U$4:$U$110,MATCH('Track Data'!S1960,Acceleration!$K$4:$K$110,0)),1)),U1960)</f>
        <v>3.5063437108727813</v>
      </c>
      <c r="AG1960" s="16">
        <f>IF(AC1960=0,IF(O1960=4,INDEX(Acceleration!$T$4:$T$110,MATCH('Track Data'!S1960,Acceleration!$K$4:$K$110,0)),IF('Track Data'!O1960=3,INDEX(Acceleration!$S$4:$S$110,MATCH('Track Data'!S1960,Acceleration!$K$4:$K$110,0)),'Track Data'!AF1960)),'Track Data'!U1960)</f>
        <v>3.5063437108727813</v>
      </c>
      <c r="AH1960" s="16">
        <f>IF(AC1960=0,IF(O1960=2,INDEX(Acceleration!$R$4:$R$110,MATCH('Track Data'!S1960,Acceleration!$K$4:$K$110,0)),IF('Track Data'!O1960=1,INDEX(Acceleration!$Q$4:$Q$110,MATCH('Track Data'!S1960,Acceleration!$K$4:$K$110,0)),'Track Data'!AG1960)),'Track Data'!U1960)</f>
        <v>3.5063437108727813</v>
      </c>
    </row>
    <row r="1961" spans="2:34" x14ac:dyDescent="0.25">
      <c r="B1961" s="16">
        <v>247.62100000000001</v>
      </c>
      <c r="C1961" s="16">
        <v>9231</v>
      </c>
      <c r="D1961" s="16">
        <v>1958</v>
      </c>
      <c r="E1961" s="113">
        <v>199</v>
      </c>
      <c r="F1961" s="113">
        <v>200.5</v>
      </c>
      <c r="G1961" s="113">
        <v>197.1</v>
      </c>
      <c r="H1961" s="113">
        <f t="shared" si="215"/>
        <v>54.75</v>
      </c>
      <c r="I1961" s="113">
        <v>10.4</v>
      </c>
      <c r="J1961" s="113">
        <v>47.93</v>
      </c>
      <c r="K1961" s="113">
        <v>-12.4</v>
      </c>
      <c r="L1961" s="185"/>
      <c r="M1961" s="16">
        <v>1958</v>
      </c>
      <c r="N1961" s="16">
        <f t="shared" si="217"/>
        <v>1.6969046683625106E-2</v>
      </c>
      <c r="O1961" s="16">
        <v>6</v>
      </c>
      <c r="P1961" s="16">
        <f t="shared" si="213"/>
        <v>7.3113821138211375</v>
      </c>
      <c r="Q1961" s="16">
        <f t="shared" si="218"/>
        <v>58.930829683260058</v>
      </c>
      <c r="R1961" s="113">
        <f t="shared" si="214"/>
        <v>311.95699999999999</v>
      </c>
      <c r="S1961" s="16">
        <f>IF(S1960=15800,15800,ROUND((((Q1961*60)/'Gearing Calculator'!$C$14)*'Track Data'!P1961),-2))</f>
        <v>13100</v>
      </c>
      <c r="T1961" s="16">
        <f t="shared" si="216"/>
        <v>3.4581068343744454</v>
      </c>
      <c r="U1961" s="16">
        <f>IF(AC1961=100,Braking!$AG$2354,IF(AC1961=50,Braking!$AG$1179,IF(AC1961=75,Braking!$AG$1767,0)))</f>
        <v>0</v>
      </c>
      <c r="V1961" s="16">
        <f>0.5*'Gearing Calculator'!$C$15*'Gearing Calculator'!$C$20*'Gearing Calculator'!$W$20*('Track Data'!Q1961^2)</f>
        <v>367.56567000873969</v>
      </c>
      <c r="W1961" s="16">
        <f>('Gearing Calculator'!$U$9*'Track Data'!T1961)+'Track Data'!V1961</f>
        <v>1288.1137093192169</v>
      </c>
      <c r="X1961" s="16">
        <f>('Gearing Calculator'!$U$9*9.81)*('Gearing Calculator'!$U$16/'Gearing Calculator'!$C$7)-(('Track Data'!W1961)*('Gearing Calculator'!$U$17/'Gearing Calculator'!$C$7))</f>
        <v>699.05235832710946</v>
      </c>
      <c r="Y1961" s="16">
        <f>('Gearing Calculator'!$U$9*9.81)*(('Gearing Calculator'!$C$7-'Gearing Calculator'!$U$16)/'Gearing Calculator'!$C$7)+(('Track Data'!W1961)*('Gearing Calculator'!$U$17/'Gearing Calculator'!$C$7))</f>
        <v>1912.3696416728906</v>
      </c>
      <c r="Z1961" s="16">
        <f>((X1961*COS('Gearing Calculator'!$C$21))/'Gearing Calculator'!$C$22)/2</f>
        <v>21.612488005231778</v>
      </c>
      <c r="AA1961" s="16">
        <f>Y1961/'Gearing Calculator'!$C$24</f>
        <v>26.703094373861731</v>
      </c>
      <c r="AB1961" s="16">
        <f t="shared" si="212"/>
        <v>388.31431101498634</v>
      </c>
      <c r="AC1961" s="16">
        <v>0</v>
      </c>
      <c r="AD1961" s="16">
        <v>0</v>
      </c>
      <c r="AE1961" s="16">
        <v>1958</v>
      </c>
      <c r="AF1961" s="16">
        <f>IF(AC1961=0,IF(O1961=6,INDEX(Acceleration!$V$4:$V$110,MATCH('Track Data'!S1961,Acceleration!$K$4:$K$110,0)),IF('Track Data'!O1961=5,INDEX(Acceleration!$U$4:$U$110,MATCH('Track Data'!S1961,Acceleration!$K$4:$K$110,0)),1)),U1961)</f>
        <v>3.4581068343744454</v>
      </c>
      <c r="AG1961" s="16">
        <f>IF(AC1961=0,IF(O1961=4,INDEX(Acceleration!$T$4:$T$110,MATCH('Track Data'!S1961,Acceleration!$K$4:$K$110,0)),IF('Track Data'!O1961=3,INDEX(Acceleration!$S$4:$S$110,MATCH('Track Data'!S1961,Acceleration!$K$4:$K$110,0)),'Track Data'!AF1961)),'Track Data'!U1961)</f>
        <v>3.4581068343744454</v>
      </c>
      <c r="AH1961" s="16">
        <f>IF(AC1961=0,IF(O1961=2,INDEX(Acceleration!$R$4:$R$110,MATCH('Track Data'!S1961,Acceleration!$K$4:$K$110,0)),IF('Track Data'!O1961=1,INDEX(Acceleration!$Q$4:$Q$110,MATCH('Track Data'!S1961,Acceleration!$K$4:$K$110,0)),'Track Data'!AG1961)),'Track Data'!U1961)</f>
        <v>3.4581068343744454</v>
      </c>
    </row>
    <row r="1962" spans="2:34" x14ac:dyDescent="0.25">
      <c r="B1962" s="16">
        <v>247.63900000000001</v>
      </c>
      <c r="C1962" s="16">
        <v>9232</v>
      </c>
      <c r="D1962" s="16">
        <v>1959</v>
      </c>
      <c r="E1962" s="113">
        <v>199</v>
      </c>
      <c r="F1962" s="113">
        <v>200.4</v>
      </c>
      <c r="G1962" s="113">
        <v>197.1</v>
      </c>
      <c r="H1962" s="113">
        <f t="shared" si="215"/>
        <v>54.75</v>
      </c>
      <c r="I1962" s="113">
        <v>10.4</v>
      </c>
      <c r="J1962" s="113">
        <v>52.71</v>
      </c>
      <c r="K1962" s="113">
        <v>-13.1</v>
      </c>
      <c r="L1962" s="185"/>
      <c r="M1962" s="16">
        <v>1959</v>
      </c>
      <c r="N1962" s="16">
        <f t="shared" si="217"/>
        <v>1.6952174835655483E-2</v>
      </c>
      <c r="O1962" s="16">
        <v>6</v>
      </c>
      <c r="P1962" s="16">
        <f t="shared" si="213"/>
        <v>7.3113821138211375</v>
      </c>
      <c r="Q1962" s="16">
        <f t="shared" si="218"/>
        <v>58.989481272733308</v>
      </c>
      <c r="R1962" s="113">
        <f t="shared" si="214"/>
        <v>311.95699999999999</v>
      </c>
      <c r="S1962" s="16">
        <f>IF(S1961=15800,15800,ROUND((((Q1962*60)/'Gearing Calculator'!$C$14)*'Track Data'!P1962),-2))</f>
        <v>13100</v>
      </c>
      <c r="T1962" s="16">
        <f t="shared" si="216"/>
        <v>3.4581068343744454</v>
      </c>
      <c r="U1962" s="16">
        <f>IF(AC1962=100,Braking!$AG$2354,IF(AC1962=50,Braking!$AG$1179,IF(AC1962=75,Braking!$AG$1767,0)))</f>
        <v>0</v>
      </c>
      <c r="V1962" s="16">
        <f>0.5*'Gearing Calculator'!$C$15*'Gearing Calculator'!$C$20*'Gearing Calculator'!$W$20*('Track Data'!Q1962^2)</f>
        <v>368.29768206344005</v>
      </c>
      <c r="W1962" s="16">
        <f>('Gearing Calculator'!$U$9*'Track Data'!T1962)+'Track Data'!V1962</f>
        <v>1288.8457213739173</v>
      </c>
      <c r="X1962" s="16">
        <f>('Gearing Calculator'!$U$9*9.81)*('Gearing Calculator'!$U$16/'Gearing Calculator'!$C$7)-(('Track Data'!W1962)*('Gearing Calculator'!$U$17/'Gearing Calculator'!$C$7))</f>
        <v>698.6533617654618</v>
      </c>
      <c r="Y1962" s="16">
        <f>('Gearing Calculator'!$U$9*9.81)*(('Gearing Calculator'!$C$7-'Gearing Calculator'!$U$16)/'Gearing Calculator'!$C$7)+(('Track Data'!W1962)*('Gearing Calculator'!$U$17/'Gearing Calculator'!$C$7))</f>
        <v>1912.7686382345382</v>
      </c>
      <c r="Z1962" s="16">
        <f>((X1962*COS('Gearing Calculator'!$C$21))/'Gearing Calculator'!$C$22)/2</f>
        <v>21.600152293464241</v>
      </c>
      <c r="AA1962" s="16">
        <f>Y1962/'Gearing Calculator'!$C$24</f>
        <v>26.708665704115226</v>
      </c>
      <c r="AB1962" s="16">
        <f t="shared" si="212"/>
        <v>389.04632306968671</v>
      </c>
      <c r="AC1962" s="16">
        <v>0</v>
      </c>
      <c r="AD1962" s="16">
        <v>0</v>
      </c>
      <c r="AE1962" s="16">
        <v>1959</v>
      </c>
      <c r="AF1962" s="16">
        <f>IF(AC1962=0,IF(O1962=6,INDEX(Acceleration!$V$4:$V$110,MATCH('Track Data'!S1962,Acceleration!$K$4:$K$110,0)),IF('Track Data'!O1962=5,INDEX(Acceleration!$U$4:$U$110,MATCH('Track Data'!S1962,Acceleration!$K$4:$K$110,0)),1)),U1962)</f>
        <v>3.4581068343744454</v>
      </c>
      <c r="AG1962" s="16">
        <f>IF(AC1962=0,IF(O1962=4,INDEX(Acceleration!$T$4:$T$110,MATCH('Track Data'!S1962,Acceleration!$K$4:$K$110,0)),IF('Track Data'!O1962=3,INDEX(Acceleration!$S$4:$S$110,MATCH('Track Data'!S1962,Acceleration!$K$4:$K$110,0)),'Track Data'!AF1962)),'Track Data'!U1962)</f>
        <v>3.4581068343744454</v>
      </c>
      <c r="AH1962" s="16">
        <f>IF(AC1962=0,IF(O1962=2,INDEX(Acceleration!$R$4:$R$110,MATCH('Track Data'!S1962,Acceleration!$K$4:$K$110,0)),IF('Track Data'!O1962=1,INDEX(Acceleration!$Q$4:$Q$110,MATCH('Track Data'!S1962,Acceleration!$K$4:$K$110,0)),'Track Data'!AG1962)),'Track Data'!U1962)</f>
        <v>3.4581068343744454</v>
      </c>
    </row>
    <row r="1963" spans="2:34" x14ac:dyDescent="0.25">
      <c r="B1963" s="16">
        <v>247.65700000000001</v>
      </c>
      <c r="C1963" s="16">
        <v>9233</v>
      </c>
      <c r="D1963" s="16">
        <v>1960</v>
      </c>
      <c r="E1963" s="113">
        <v>198</v>
      </c>
      <c r="F1963" s="113">
        <v>200.2</v>
      </c>
      <c r="G1963" s="113">
        <v>197</v>
      </c>
      <c r="H1963" s="113">
        <f t="shared" si="215"/>
        <v>54.722222222222221</v>
      </c>
      <c r="I1963" s="113">
        <v>12.9</v>
      </c>
      <c r="J1963" s="113">
        <v>56.9</v>
      </c>
      <c r="K1963" s="113">
        <v>-14.6</v>
      </c>
      <c r="L1963" s="185"/>
      <c r="M1963" s="16">
        <v>1960</v>
      </c>
      <c r="N1963" s="16">
        <f t="shared" si="217"/>
        <v>1.693535321343604E-2</v>
      </c>
      <c r="O1963" s="16">
        <v>6</v>
      </c>
      <c r="P1963" s="16">
        <f t="shared" si="213"/>
        <v>7.3113821138211375</v>
      </c>
      <c r="Q1963" s="16">
        <f t="shared" si="218"/>
        <v>59.048074604468702</v>
      </c>
      <c r="R1963" s="113">
        <f t="shared" si="214"/>
        <v>311.95699999999999</v>
      </c>
      <c r="S1963" s="16">
        <f>IF(S1962=15800,15800,ROUND((((Q1963*60)/'Gearing Calculator'!$C$14)*'Track Data'!P1963),-2))</f>
        <v>13100</v>
      </c>
      <c r="T1963" s="16">
        <f t="shared" si="216"/>
        <v>3.4581068343744454</v>
      </c>
      <c r="U1963" s="16">
        <f>IF(AC1963=100,Braking!$AG$2354,IF(AC1963=50,Braking!$AG$1179,IF(AC1963=75,Braking!$AG$1767,0)))</f>
        <v>0</v>
      </c>
      <c r="V1963" s="16">
        <f>0.5*'Gearing Calculator'!$C$15*'Gearing Calculator'!$C$20*'Gearing Calculator'!$W$20*('Track Data'!Q1963^2)</f>
        <v>369.02969411814036</v>
      </c>
      <c r="W1963" s="16">
        <f>('Gearing Calculator'!$U$9*'Track Data'!T1963)+'Track Data'!V1963</f>
        <v>1289.5777334286176</v>
      </c>
      <c r="X1963" s="16">
        <f>('Gearing Calculator'!$U$9*9.81)*('Gearing Calculator'!$U$16/'Gearing Calculator'!$C$7)-(('Track Data'!W1963)*('Gearing Calculator'!$U$17/'Gearing Calculator'!$C$7))</f>
        <v>698.25436520381413</v>
      </c>
      <c r="Y1963" s="16">
        <f>('Gearing Calculator'!$U$9*9.81)*(('Gearing Calculator'!$C$7-'Gearing Calculator'!$U$16)/'Gearing Calculator'!$C$7)+(('Track Data'!W1963)*('Gearing Calculator'!$U$17/'Gearing Calculator'!$C$7))</f>
        <v>1913.1676347961859</v>
      </c>
      <c r="Z1963" s="16">
        <f>((X1963*COS('Gearing Calculator'!$C$21))/'Gearing Calculator'!$C$22)/2</f>
        <v>21.587816581696707</v>
      </c>
      <c r="AA1963" s="16">
        <f>Y1963/'Gearing Calculator'!$C$24</f>
        <v>26.714237034368725</v>
      </c>
      <c r="AB1963" s="16">
        <f t="shared" si="212"/>
        <v>389.77833512438701</v>
      </c>
      <c r="AC1963" s="16">
        <v>0</v>
      </c>
      <c r="AD1963" s="16">
        <v>0</v>
      </c>
      <c r="AE1963" s="16">
        <v>1960</v>
      </c>
      <c r="AF1963" s="16">
        <f>IF(AC1963=0,IF(O1963=6,INDEX(Acceleration!$V$4:$V$110,MATCH('Track Data'!S1963,Acceleration!$K$4:$K$110,0)),IF('Track Data'!O1963=5,INDEX(Acceleration!$U$4:$U$110,MATCH('Track Data'!S1963,Acceleration!$K$4:$K$110,0)),1)),U1963)</f>
        <v>3.4581068343744454</v>
      </c>
      <c r="AG1963" s="16">
        <f>IF(AC1963=0,IF(O1963=4,INDEX(Acceleration!$T$4:$T$110,MATCH('Track Data'!S1963,Acceleration!$K$4:$K$110,0)),IF('Track Data'!O1963=3,INDEX(Acceleration!$S$4:$S$110,MATCH('Track Data'!S1963,Acceleration!$K$4:$K$110,0)),'Track Data'!AF1963)),'Track Data'!U1963)</f>
        <v>3.4581068343744454</v>
      </c>
      <c r="AH1963" s="16">
        <f>IF(AC1963=0,IF(O1963=2,INDEX(Acceleration!$R$4:$R$110,MATCH('Track Data'!S1963,Acceleration!$K$4:$K$110,0)),IF('Track Data'!O1963=1,INDEX(Acceleration!$Q$4:$Q$110,MATCH('Track Data'!S1963,Acceleration!$K$4:$K$110,0)),'Track Data'!AG1963)),'Track Data'!U1963)</f>
        <v>3.4581068343744454</v>
      </c>
    </row>
    <row r="1964" spans="2:34" x14ac:dyDescent="0.25">
      <c r="B1964" s="16">
        <v>247.67500000000001</v>
      </c>
      <c r="C1964" s="16">
        <v>9234</v>
      </c>
      <c r="D1964" s="16">
        <v>1961</v>
      </c>
      <c r="E1964" s="113">
        <v>196</v>
      </c>
      <c r="F1964" s="113">
        <v>200.1</v>
      </c>
      <c r="G1964" s="113">
        <v>196.8</v>
      </c>
      <c r="H1964" s="113">
        <f t="shared" si="215"/>
        <v>54.666666666666671</v>
      </c>
      <c r="I1964" s="113">
        <v>14.8</v>
      </c>
      <c r="J1964" s="113">
        <v>56.81</v>
      </c>
      <c r="K1964" s="113">
        <v>-16.100000000000001</v>
      </c>
      <c r="L1964" s="185"/>
      <c r="M1964" s="16">
        <v>1961</v>
      </c>
      <c r="N1964" s="16">
        <f t="shared" si="217"/>
        <v>1.6918581568265506E-2</v>
      </c>
      <c r="O1964" s="16">
        <v>6</v>
      </c>
      <c r="P1964" s="16">
        <f t="shared" si="213"/>
        <v>7.3113821138211375</v>
      </c>
      <c r="Q1964" s="16">
        <f t="shared" si="218"/>
        <v>59.10660985172175</v>
      </c>
      <c r="R1964" s="113">
        <f t="shared" si="214"/>
        <v>311.95699999999999</v>
      </c>
      <c r="S1964" s="16">
        <f>IF(S1963=15800,15800,ROUND((((Q1964*60)/'Gearing Calculator'!$C$14)*'Track Data'!P1964),-2))</f>
        <v>13100</v>
      </c>
      <c r="T1964" s="16">
        <f t="shared" si="216"/>
        <v>3.4581068343744454</v>
      </c>
      <c r="U1964" s="16">
        <f>IF(AC1964=100,Braking!$AG$2354,IF(AC1964=50,Braking!$AG$1179,IF(AC1964=75,Braking!$AG$1767,0)))</f>
        <v>0</v>
      </c>
      <c r="V1964" s="16">
        <f>0.5*'Gearing Calculator'!$C$15*'Gearing Calculator'!$C$20*'Gearing Calculator'!$W$20*('Track Data'!Q1964^2)</f>
        <v>369.76170617284077</v>
      </c>
      <c r="W1964" s="16">
        <f>('Gearing Calculator'!$U$9*'Track Data'!T1964)+'Track Data'!V1964</f>
        <v>1290.309745483318</v>
      </c>
      <c r="X1964" s="16">
        <f>('Gearing Calculator'!$U$9*9.81)*('Gearing Calculator'!$U$16/'Gearing Calculator'!$C$7)-(('Track Data'!W1964)*('Gearing Calculator'!$U$17/'Gearing Calculator'!$C$7))</f>
        <v>697.85536864216658</v>
      </c>
      <c r="Y1964" s="16">
        <f>('Gearing Calculator'!$U$9*9.81)*(('Gearing Calculator'!$C$7-'Gearing Calculator'!$U$16)/'Gearing Calculator'!$C$7)+(('Track Data'!W1964)*('Gearing Calculator'!$U$17/'Gearing Calculator'!$C$7))</f>
        <v>1913.5666313578336</v>
      </c>
      <c r="Z1964" s="16">
        <f>((X1964*COS('Gearing Calculator'!$C$21))/'Gearing Calculator'!$C$22)/2</f>
        <v>21.575480869929176</v>
      </c>
      <c r="AA1964" s="16">
        <f>Y1964/'Gearing Calculator'!$C$24</f>
        <v>26.719808364622224</v>
      </c>
      <c r="AB1964" s="16">
        <f t="shared" si="212"/>
        <v>390.51034717908743</v>
      </c>
      <c r="AC1964" s="16">
        <v>0</v>
      </c>
      <c r="AD1964" s="16">
        <v>0</v>
      </c>
      <c r="AE1964" s="16">
        <v>1961</v>
      </c>
      <c r="AF1964" s="16">
        <f>IF(AC1964=0,IF(O1964=6,INDEX(Acceleration!$V$4:$V$110,MATCH('Track Data'!S1964,Acceleration!$K$4:$K$110,0)),IF('Track Data'!O1964=5,INDEX(Acceleration!$U$4:$U$110,MATCH('Track Data'!S1964,Acceleration!$K$4:$K$110,0)),1)),U1964)</f>
        <v>3.4581068343744454</v>
      </c>
      <c r="AG1964" s="16">
        <f>IF(AC1964=0,IF(O1964=4,INDEX(Acceleration!$T$4:$T$110,MATCH('Track Data'!S1964,Acceleration!$K$4:$K$110,0)),IF('Track Data'!O1964=3,INDEX(Acceleration!$S$4:$S$110,MATCH('Track Data'!S1964,Acceleration!$K$4:$K$110,0)),'Track Data'!AF1964)),'Track Data'!U1964)</f>
        <v>3.4581068343744454</v>
      </c>
      <c r="AH1964" s="16">
        <f>IF(AC1964=0,IF(O1964=2,INDEX(Acceleration!$R$4:$R$110,MATCH('Track Data'!S1964,Acceleration!$K$4:$K$110,0)),IF('Track Data'!O1964=1,INDEX(Acceleration!$Q$4:$Q$110,MATCH('Track Data'!S1964,Acceleration!$K$4:$K$110,0)),'Track Data'!AG1964)),'Track Data'!U1964)</f>
        <v>3.4581068343744454</v>
      </c>
    </row>
    <row r="1965" spans="2:34" x14ac:dyDescent="0.25">
      <c r="B1965" s="16">
        <v>247.69300000000001</v>
      </c>
      <c r="C1965" s="16">
        <v>9235</v>
      </c>
      <c r="D1965" s="16">
        <v>1962</v>
      </c>
      <c r="E1965" s="113">
        <v>194</v>
      </c>
      <c r="F1965" s="113">
        <v>199.6</v>
      </c>
      <c r="G1965" s="113">
        <v>196.7</v>
      </c>
      <c r="H1965" s="113">
        <f t="shared" si="215"/>
        <v>54.638888888888886</v>
      </c>
      <c r="I1965" s="113">
        <v>14.7</v>
      </c>
      <c r="J1965" s="113">
        <v>57.1</v>
      </c>
      <c r="K1965" s="113">
        <v>-17.399999999999999</v>
      </c>
      <c r="L1965" s="185"/>
      <c r="M1965" s="16">
        <v>1962</v>
      </c>
      <c r="N1965" s="16">
        <f t="shared" si="217"/>
        <v>1.6901859653163303E-2</v>
      </c>
      <c r="O1965" s="16">
        <v>6</v>
      </c>
      <c r="P1965" s="16">
        <f t="shared" si="213"/>
        <v>7.3113821138211375</v>
      </c>
      <c r="Q1965" s="16">
        <f t="shared" si="218"/>
        <v>59.165087186890879</v>
      </c>
      <c r="R1965" s="113">
        <f t="shared" si="214"/>
        <v>311.95699999999999</v>
      </c>
      <c r="S1965" s="16">
        <f>IF(S1964=15800,15800,ROUND((((Q1965*60)/'Gearing Calculator'!$C$14)*'Track Data'!P1965),-2))</f>
        <v>13100</v>
      </c>
      <c r="T1965" s="16">
        <f t="shared" si="216"/>
        <v>3.4581068343744454</v>
      </c>
      <c r="U1965" s="16">
        <f>IF(AC1965=100,Braking!$AG$2354,IF(AC1965=50,Braking!$AG$1179,IF(AC1965=75,Braking!$AG$1767,0)))</f>
        <v>0</v>
      </c>
      <c r="V1965" s="16">
        <f>0.5*'Gearing Calculator'!$C$15*'Gearing Calculator'!$C$20*'Gearing Calculator'!$W$20*('Track Data'!Q1965^2)</f>
        <v>370.49371822754114</v>
      </c>
      <c r="W1965" s="16">
        <f>('Gearing Calculator'!$U$9*'Track Data'!T1965)+'Track Data'!V1965</f>
        <v>1291.0417575380184</v>
      </c>
      <c r="X1965" s="16">
        <f>('Gearing Calculator'!$U$9*9.81)*('Gearing Calculator'!$U$16/'Gearing Calculator'!$C$7)-(('Track Data'!W1965)*('Gearing Calculator'!$U$17/'Gearing Calculator'!$C$7))</f>
        <v>697.45637208051892</v>
      </c>
      <c r="Y1965" s="16">
        <f>('Gearing Calculator'!$U$9*9.81)*(('Gearing Calculator'!$C$7-'Gearing Calculator'!$U$16)/'Gearing Calculator'!$C$7)+(('Track Data'!W1965)*('Gearing Calculator'!$U$17/'Gearing Calculator'!$C$7))</f>
        <v>1913.965627919481</v>
      </c>
      <c r="Z1965" s="16">
        <f>((X1965*COS('Gearing Calculator'!$C$21))/'Gearing Calculator'!$C$22)/2</f>
        <v>21.563145158161642</v>
      </c>
      <c r="AA1965" s="16">
        <f>Y1965/'Gearing Calculator'!$C$24</f>
        <v>26.72537969487572</v>
      </c>
      <c r="AB1965" s="16">
        <f t="shared" si="212"/>
        <v>391.24235923378779</v>
      </c>
      <c r="AC1965" s="16">
        <v>0</v>
      </c>
      <c r="AD1965" s="16">
        <v>0</v>
      </c>
      <c r="AE1965" s="16">
        <v>1962</v>
      </c>
      <c r="AF1965" s="16">
        <f>IF(AC1965=0,IF(O1965=6,INDEX(Acceleration!$V$4:$V$110,MATCH('Track Data'!S1965,Acceleration!$K$4:$K$110,0)),IF('Track Data'!O1965=5,INDEX(Acceleration!$U$4:$U$110,MATCH('Track Data'!S1965,Acceleration!$K$4:$K$110,0)),1)),U1965)</f>
        <v>3.4581068343744454</v>
      </c>
      <c r="AG1965" s="16">
        <f>IF(AC1965=0,IF(O1965=4,INDEX(Acceleration!$T$4:$T$110,MATCH('Track Data'!S1965,Acceleration!$K$4:$K$110,0)),IF('Track Data'!O1965=3,INDEX(Acceleration!$S$4:$S$110,MATCH('Track Data'!S1965,Acceleration!$K$4:$K$110,0)),'Track Data'!AF1965)),'Track Data'!U1965)</f>
        <v>3.4581068343744454</v>
      </c>
      <c r="AH1965" s="16">
        <f>IF(AC1965=0,IF(O1965=2,INDEX(Acceleration!$R$4:$R$110,MATCH('Track Data'!S1965,Acceleration!$K$4:$K$110,0)),IF('Track Data'!O1965=1,INDEX(Acceleration!$Q$4:$Q$110,MATCH('Track Data'!S1965,Acceleration!$K$4:$K$110,0)),'Track Data'!AG1965)),'Track Data'!U1965)</f>
        <v>3.4581068343744454</v>
      </c>
    </row>
    <row r="1966" spans="2:34" x14ac:dyDescent="0.25">
      <c r="B1966" s="16">
        <v>247.71100000000001</v>
      </c>
      <c r="C1966" s="16">
        <v>9236</v>
      </c>
      <c r="D1966" s="16">
        <v>1963</v>
      </c>
      <c r="E1966" s="113">
        <v>192</v>
      </c>
      <c r="F1966" s="113">
        <v>198.9</v>
      </c>
      <c r="G1966" s="113">
        <v>196.6</v>
      </c>
      <c r="H1966" s="113">
        <f t="shared" si="215"/>
        <v>54.611111111111107</v>
      </c>
      <c r="I1966" s="113">
        <v>12.6</v>
      </c>
      <c r="J1966" s="113">
        <v>62.63</v>
      </c>
      <c r="K1966" s="113">
        <v>-18.5</v>
      </c>
      <c r="L1966" s="185"/>
      <c r="M1966" s="16">
        <v>1963</v>
      </c>
      <c r="N1966" s="16">
        <f t="shared" si="217"/>
        <v>1.6885187222854234E-2</v>
      </c>
      <c r="O1966" s="16">
        <v>6</v>
      </c>
      <c r="P1966" s="16">
        <f t="shared" si="213"/>
        <v>7.3113821138211375</v>
      </c>
      <c r="Q1966" s="16">
        <f t="shared" si="218"/>
        <v>59.223506781523398</v>
      </c>
      <c r="R1966" s="113">
        <f t="shared" si="214"/>
        <v>311.95699999999999</v>
      </c>
      <c r="S1966" s="16">
        <f>IF(S1965=15800,15800,ROUND((((Q1966*60)/'Gearing Calculator'!$C$14)*'Track Data'!P1966),-2))</f>
        <v>13100</v>
      </c>
      <c r="T1966" s="16">
        <f t="shared" si="216"/>
        <v>3.4581068343744454</v>
      </c>
      <c r="U1966" s="16">
        <f>IF(AC1966=100,Braking!$AG$2354,IF(AC1966=50,Braking!$AG$1179,IF(AC1966=75,Braking!$AG$1767,0)))</f>
        <v>0</v>
      </c>
      <c r="V1966" s="16">
        <f>0.5*'Gearing Calculator'!$C$15*'Gearing Calculator'!$C$20*'Gearing Calculator'!$W$20*('Track Data'!Q1966^2)</f>
        <v>371.22573028224144</v>
      </c>
      <c r="W1966" s="16">
        <f>('Gearing Calculator'!$U$9*'Track Data'!T1966)+'Track Data'!V1966</f>
        <v>1291.7737695927187</v>
      </c>
      <c r="X1966" s="16">
        <f>('Gearing Calculator'!$U$9*9.81)*('Gearing Calculator'!$U$16/'Gearing Calculator'!$C$7)-(('Track Data'!W1966)*('Gearing Calculator'!$U$17/'Gearing Calculator'!$C$7))</f>
        <v>697.05737551887137</v>
      </c>
      <c r="Y1966" s="16">
        <f>('Gearing Calculator'!$U$9*9.81)*(('Gearing Calculator'!$C$7-'Gearing Calculator'!$U$16)/'Gearing Calculator'!$C$7)+(('Track Data'!W1966)*('Gearing Calculator'!$U$17/'Gearing Calculator'!$C$7))</f>
        <v>1914.3646244811287</v>
      </c>
      <c r="Z1966" s="16">
        <f>((X1966*COS('Gearing Calculator'!$C$21))/'Gearing Calculator'!$C$22)/2</f>
        <v>21.550809446394108</v>
      </c>
      <c r="AA1966" s="16">
        <f>Y1966/'Gearing Calculator'!$C$24</f>
        <v>26.730951025129219</v>
      </c>
      <c r="AB1966" s="16">
        <f t="shared" si="212"/>
        <v>391.9743712884881</v>
      </c>
      <c r="AC1966" s="16">
        <v>0</v>
      </c>
      <c r="AD1966" s="16">
        <v>0</v>
      </c>
      <c r="AE1966" s="16">
        <v>1963</v>
      </c>
      <c r="AF1966" s="16">
        <f>IF(AC1966=0,IF(O1966=6,INDEX(Acceleration!$V$4:$V$110,MATCH('Track Data'!S1966,Acceleration!$K$4:$K$110,0)),IF('Track Data'!O1966=5,INDEX(Acceleration!$U$4:$U$110,MATCH('Track Data'!S1966,Acceleration!$K$4:$K$110,0)),1)),U1966)</f>
        <v>3.4581068343744454</v>
      </c>
      <c r="AG1966" s="16">
        <f>IF(AC1966=0,IF(O1966=4,INDEX(Acceleration!$T$4:$T$110,MATCH('Track Data'!S1966,Acceleration!$K$4:$K$110,0)),IF('Track Data'!O1966=3,INDEX(Acceleration!$S$4:$S$110,MATCH('Track Data'!S1966,Acceleration!$K$4:$K$110,0)),'Track Data'!AF1966)),'Track Data'!U1966)</f>
        <v>3.4581068343744454</v>
      </c>
      <c r="AH1966" s="16">
        <f>IF(AC1966=0,IF(O1966=2,INDEX(Acceleration!$R$4:$R$110,MATCH('Track Data'!S1966,Acceleration!$K$4:$K$110,0)),IF('Track Data'!O1966=1,INDEX(Acceleration!$Q$4:$Q$110,MATCH('Track Data'!S1966,Acceleration!$K$4:$K$110,0)),'Track Data'!AG1966)),'Track Data'!U1966)</f>
        <v>3.4581068343744454</v>
      </c>
    </row>
    <row r="1967" spans="2:34" x14ac:dyDescent="0.25">
      <c r="B1967" s="16">
        <v>247.72900000000001</v>
      </c>
      <c r="C1967" s="16">
        <v>9237</v>
      </c>
      <c r="D1967" s="16">
        <v>1964</v>
      </c>
      <c r="E1967" s="113">
        <v>192</v>
      </c>
      <c r="F1967" s="113">
        <v>198.3</v>
      </c>
      <c r="G1967" s="113">
        <v>196.5</v>
      </c>
      <c r="H1967" s="113">
        <f t="shared" si="215"/>
        <v>54.583333333333329</v>
      </c>
      <c r="I1967" s="113">
        <v>11.7</v>
      </c>
      <c r="J1967" s="113">
        <v>62.3</v>
      </c>
      <c r="K1967" s="113">
        <v>-19.100000000000001</v>
      </c>
      <c r="L1967" s="185"/>
      <c r="M1967" s="16">
        <v>1964</v>
      </c>
      <c r="N1967" s="16">
        <f t="shared" si="217"/>
        <v>1.6868564033753402E-2</v>
      </c>
      <c r="O1967" s="16">
        <v>6</v>
      </c>
      <c r="P1967" s="16">
        <f t="shared" si="213"/>
        <v>7.3113821138211375</v>
      </c>
      <c r="Q1967" s="16">
        <f t="shared" si="218"/>
        <v>59.281868806321349</v>
      </c>
      <c r="R1967" s="113">
        <f t="shared" si="214"/>
        <v>311.95699999999999</v>
      </c>
      <c r="S1967" s="16">
        <f>IF(S1966=15800,15800,ROUND((((Q1967*60)/'Gearing Calculator'!$C$14)*'Track Data'!P1967),-2))</f>
        <v>13100</v>
      </c>
      <c r="T1967" s="16">
        <f t="shared" si="216"/>
        <v>3.4581068343744454</v>
      </c>
      <c r="U1967" s="16">
        <f>IF(AC1967=100,Braking!$AG$2354,IF(AC1967=50,Braking!$AG$1179,IF(AC1967=75,Braking!$AG$1767,0)))</f>
        <v>0</v>
      </c>
      <c r="V1967" s="16">
        <f>0.5*'Gearing Calculator'!$C$15*'Gearing Calculator'!$C$20*'Gearing Calculator'!$W$20*('Track Data'!Q1967^2)</f>
        <v>371.95774233694175</v>
      </c>
      <c r="W1967" s="16">
        <f>('Gearing Calculator'!$U$9*'Track Data'!T1967)+'Track Data'!V1967</f>
        <v>1292.5057816474191</v>
      </c>
      <c r="X1967" s="16">
        <f>('Gearing Calculator'!$U$9*9.81)*('Gearing Calculator'!$U$16/'Gearing Calculator'!$C$7)-(('Track Data'!W1967)*('Gearing Calculator'!$U$17/'Gearing Calculator'!$C$7))</f>
        <v>696.6583789572237</v>
      </c>
      <c r="Y1967" s="16">
        <f>('Gearing Calculator'!$U$9*9.81)*(('Gearing Calculator'!$C$7-'Gearing Calculator'!$U$16)/'Gearing Calculator'!$C$7)+(('Track Data'!W1967)*('Gearing Calculator'!$U$17/'Gearing Calculator'!$C$7))</f>
        <v>1914.7636210427763</v>
      </c>
      <c r="Z1967" s="16">
        <f>((X1967*COS('Gearing Calculator'!$C$21))/'Gearing Calculator'!$C$22)/2</f>
        <v>21.538473734626574</v>
      </c>
      <c r="AA1967" s="16">
        <f>Y1967/'Gearing Calculator'!$C$24</f>
        <v>26.736522355382718</v>
      </c>
      <c r="AB1967" s="16">
        <f t="shared" si="212"/>
        <v>392.70638334318841</v>
      </c>
      <c r="AC1967" s="16">
        <v>0</v>
      </c>
      <c r="AD1967" s="16">
        <v>0</v>
      </c>
      <c r="AE1967" s="16">
        <v>1964</v>
      </c>
      <c r="AF1967" s="16">
        <f>IF(AC1967=0,IF(O1967=6,INDEX(Acceleration!$V$4:$V$110,MATCH('Track Data'!S1967,Acceleration!$K$4:$K$110,0)),IF('Track Data'!O1967=5,INDEX(Acceleration!$U$4:$U$110,MATCH('Track Data'!S1967,Acceleration!$K$4:$K$110,0)),1)),U1967)</f>
        <v>3.4581068343744454</v>
      </c>
      <c r="AG1967" s="16">
        <f>IF(AC1967=0,IF(O1967=4,INDEX(Acceleration!$T$4:$T$110,MATCH('Track Data'!S1967,Acceleration!$K$4:$K$110,0)),IF('Track Data'!O1967=3,INDEX(Acceleration!$S$4:$S$110,MATCH('Track Data'!S1967,Acceleration!$K$4:$K$110,0)),'Track Data'!AF1967)),'Track Data'!U1967)</f>
        <v>3.4581068343744454</v>
      </c>
      <c r="AH1967" s="16">
        <f>IF(AC1967=0,IF(O1967=2,INDEX(Acceleration!$R$4:$R$110,MATCH('Track Data'!S1967,Acceleration!$K$4:$K$110,0)),IF('Track Data'!O1967=1,INDEX(Acceleration!$Q$4:$Q$110,MATCH('Track Data'!S1967,Acceleration!$K$4:$K$110,0)),'Track Data'!AG1967)),'Track Data'!U1967)</f>
        <v>3.4581068343744454</v>
      </c>
    </row>
    <row r="1968" spans="2:34" x14ac:dyDescent="0.25">
      <c r="B1968" s="16">
        <v>247.74700000000001</v>
      </c>
      <c r="C1968" s="16">
        <v>9238</v>
      </c>
      <c r="D1968" s="16">
        <v>1965</v>
      </c>
      <c r="E1968" s="113">
        <v>193</v>
      </c>
      <c r="F1968" s="113">
        <v>196.6</v>
      </c>
      <c r="G1968" s="113">
        <v>196.3</v>
      </c>
      <c r="H1968" s="113">
        <f t="shared" si="215"/>
        <v>54.527777777777779</v>
      </c>
      <c r="I1968" s="113">
        <v>11.1</v>
      </c>
      <c r="J1968" s="113">
        <v>60.5</v>
      </c>
      <c r="K1968" s="113">
        <v>-20.3</v>
      </c>
      <c r="L1968" s="185"/>
      <c r="M1968" s="16">
        <v>1965</v>
      </c>
      <c r="N1968" s="16">
        <f t="shared" si="217"/>
        <v>1.6851989843951237E-2</v>
      </c>
      <c r="O1968" s="16">
        <v>6</v>
      </c>
      <c r="P1968" s="16">
        <f t="shared" si="213"/>
        <v>7.3113821138211375</v>
      </c>
      <c r="Q1968" s="16">
        <f t="shared" si="218"/>
        <v>59.340173431147342</v>
      </c>
      <c r="R1968" s="113">
        <f t="shared" si="214"/>
        <v>311.95699999999999</v>
      </c>
      <c r="S1968" s="16">
        <f>IF(S1967=15800,15800,ROUND((((Q1968*60)/'Gearing Calculator'!$C$14)*'Track Data'!P1968),-2))</f>
        <v>13200</v>
      </c>
      <c r="T1968" s="16">
        <f t="shared" si="216"/>
        <v>3.4102730070470715</v>
      </c>
      <c r="U1968" s="16">
        <f>IF(AC1968=100,Braking!$AG$2354,IF(AC1968=50,Braking!$AG$1179,IF(AC1968=75,Braking!$AG$1767,0)))</f>
        <v>0</v>
      </c>
      <c r="V1968" s="16">
        <f>0.5*'Gearing Calculator'!$C$15*'Gearing Calculator'!$C$20*'Gearing Calculator'!$W$20*('Track Data'!Q1968^2)</f>
        <v>372.68975439164211</v>
      </c>
      <c r="W1968" s="16">
        <f>('Gearing Calculator'!$U$9*'Track Data'!T1968)+'Track Data'!V1968</f>
        <v>1280.5044288675724</v>
      </c>
      <c r="X1968" s="16">
        <f>('Gearing Calculator'!$U$9*9.81)*('Gearing Calculator'!$U$16/'Gearing Calculator'!$C$7)-(('Track Data'!W1968)*('Gearing Calculator'!$U$17/'Gearing Calculator'!$C$7))</f>
        <v>703.19993583942426</v>
      </c>
      <c r="Y1968" s="16">
        <f>('Gearing Calculator'!$U$9*9.81)*(('Gearing Calculator'!$C$7-'Gearing Calculator'!$U$16)/'Gearing Calculator'!$C$7)+(('Track Data'!W1968)*('Gearing Calculator'!$U$17/'Gearing Calculator'!$C$7))</f>
        <v>1908.2220641605759</v>
      </c>
      <c r="Z1968" s="16">
        <f>((X1968*COS('Gearing Calculator'!$C$21))/'Gearing Calculator'!$C$22)/2</f>
        <v>21.740717984242487</v>
      </c>
      <c r="AA1968" s="16">
        <f>Y1968/'Gearing Calculator'!$C$24</f>
        <v>26.645180280623268</v>
      </c>
      <c r="AB1968" s="16">
        <f t="shared" si="212"/>
        <v>393.15139243392457</v>
      </c>
      <c r="AC1968" s="16">
        <v>0</v>
      </c>
      <c r="AD1968" s="16">
        <v>0</v>
      </c>
      <c r="AE1968" s="16">
        <v>1965</v>
      </c>
      <c r="AF1968" s="16">
        <f>IF(AC1968=0,IF(O1968=6,INDEX(Acceleration!$V$4:$V$110,MATCH('Track Data'!S1968,Acceleration!$K$4:$K$110,0)),IF('Track Data'!O1968=5,INDEX(Acceleration!$U$4:$U$110,MATCH('Track Data'!S1968,Acceleration!$K$4:$K$110,0)),1)),U1968)</f>
        <v>3.4102730070470715</v>
      </c>
      <c r="AG1968" s="16">
        <f>IF(AC1968=0,IF(O1968=4,INDEX(Acceleration!$T$4:$T$110,MATCH('Track Data'!S1968,Acceleration!$K$4:$K$110,0)),IF('Track Data'!O1968=3,INDEX(Acceleration!$S$4:$S$110,MATCH('Track Data'!S1968,Acceleration!$K$4:$K$110,0)),'Track Data'!AF1968)),'Track Data'!U1968)</f>
        <v>3.4102730070470715</v>
      </c>
      <c r="AH1968" s="16">
        <f>IF(AC1968=0,IF(O1968=2,INDEX(Acceleration!$R$4:$R$110,MATCH('Track Data'!S1968,Acceleration!$K$4:$K$110,0)),IF('Track Data'!O1968=1,INDEX(Acceleration!$Q$4:$Q$110,MATCH('Track Data'!S1968,Acceleration!$K$4:$K$110,0)),'Track Data'!AG1968)),'Track Data'!U1968)</f>
        <v>3.4102730070470715</v>
      </c>
    </row>
    <row r="1969" spans="2:34" x14ac:dyDescent="0.25">
      <c r="B1969" s="16">
        <v>247.76499999999999</v>
      </c>
      <c r="C1969" s="16">
        <v>9239</v>
      </c>
      <c r="D1969" s="16">
        <v>1966</v>
      </c>
      <c r="E1969" s="113">
        <v>193</v>
      </c>
      <c r="F1969" s="113">
        <v>195</v>
      </c>
      <c r="G1969" s="113">
        <v>196.1</v>
      </c>
      <c r="H1969" s="113">
        <f t="shared" si="215"/>
        <v>54.472222222222221</v>
      </c>
      <c r="I1969" s="113">
        <v>10.7</v>
      </c>
      <c r="J1969" s="113">
        <v>58.59</v>
      </c>
      <c r="K1969" s="113">
        <v>-21.2</v>
      </c>
      <c r="L1969" s="185"/>
      <c r="M1969" s="16">
        <v>1966</v>
      </c>
      <c r="N1969" s="16">
        <f t="shared" si="217"/>
        <v>1.6835692667655902E-2</v>
      </c>
      <c r="O1969" s="16">
        <v>6</v>
      </c>
      <c r="P1969" s="16">
        <f t="shared" si="213"/>
        <v>7.3113821138211375</v>
      </c>
      <c r="Q1969" s="16">
        <f t="shared" si="218"/>
        <v>59.397615514873486</v>
      </c>
      <c r="R1969" s="113">
        <f t="shared" si="214"/>
        <v>311.95699999999999</v>
      </c>
      <c r="S1969" s="16">
        <f>IF(S1968=15800,15800,ROUND((((Q1969*60)/'Gearing Calculator'!$C$14)*'Track Data'!P1969),-2))</f>
        <v>13200</v>
      </c>
      <c r="T1969" s="16">
        <f t="shared" si="216"/>
        <v>3.4102730070470715</v>
      </c>
      <c r="U1969" s="16">
        <f>IF(AC1969=100,Braking!$AG$2354,IF(AC1969=50,Braking!$AG$1179,IF(AC1969=75,Braking!$AG$1767,0)))</f>
        <v>0</v>
      </c>
      <c r="V1969" s="16">
        <f>0.5*'Gearing Calculator'!$C$15*'Gearing Calculator'!$C$20*'Gearing Calculator'!$W$20*('Track Data'!Q1969^2)</f>
        <v>373.41164098177393</v>
      </c>
      <c r="W1969" s="16">
        <f>('Gearing Calculator'!$U$9*'Track Data'!T1969)+'Track Data'!V1969</f>
        <v>1281.2263154577042</v>
      </c>
      <c r="X1969" s="16">
        <f>('Gearing Calculator'!$U$9*9.81)*('Gearing Calculator'!$U$16/'Gearing Calculator'!$C$7)-(('Track Data'!W1969)*('Gearing Calculator'!$U$17/'Gearing Calculator'!$C$7))</f>
        <v>702.80645834747224</v>
      </c>
      <c r="Y1969" s="16">
        <f>('Gearing Calculator'!$U$9*9.81)*(('Gearing Calculator'!$C$7-'Gearing Calculator'!$U$16)/'Gearing Calculator'!$C$7)+(('Track Data'!W1969)*('Gearing Calculator'!$U$17/'Gearing Calculator'!$C$7))</f>
        <v>1908.6155416525278</v>
      </c>
      <c r="Z1969" s="16">
        <f>((X1969*COS('Gearing Calculator'!$C$21))/'Gearing Calculator'!$C$22)/2</f>
        <v>21.72855290465461</v>
      </c>
      <c r="AA1969" s="16">
        <f>Y1969/'Gearing Calculator'!$C$24</f>
        <v>26.650674546152601</v>
      </c>
      <c r="AB1969" s="16">
        <f t="shared" si="212"/>
        <v>393.87327902405639</v>
      </c>
      <c r="AC1969" s="16">
        <v>0</v>
      </c>
      <c r="AD1969" s="16">
        <v>0</v>
      </c>
      <c r="AE1969" s="16">
        <v>1966</v>
      </c>
      <c r="AF1969" s="16">
        <f>IF(AC1969=0,IF(O1969=6,INDEX(Acceleration!$V$4:$V$110,MATCH('Track Data'!S1969,Acceleration!$K$4:$K$110,0)),IF('Track Data'!O1969=5,INDEX(Acceleration!$U$4:$U$110,MATCH('Track Data'!S1969,Acceleration!$K$4:$K$110,0)),1)),U1969)</f>
        <v>3.4102730070470715</v>
      </c>
      <c r="AG1969" s="16">
        <f>IF(AC1969=0,IF(O1969=4,INDEX(Acceleration!$T$4:$T$110,MATCH('Track Data'!S1969,Acceleration!$K$4:$K$110,0)),IF('Track Data'!O1969=3,INDEX(Acceleration!$S$4:$S$110,MATCH('Track Data'!S1969,Acceleration!$K$4:$K$110,0)),'Track Data'!AF1969)),'Track Data'!U1969)</f>
        <v>3.4102730070470715</v>
      </c>
      <c r="AH1969" s="16">
        <f>IF(AC1969=0,IF(O1969=2,INDEX(Acceleration!$R$4:$R$110,MATCH('Track Data'!S1969,Acceleration!$K$4:$K$110,0)),IF('Track Data'!O1969=1,INDEX(Acceleration!$Q$4:$Q$110,MATCH('Track Data'!S1969,Acceleration!$K$4:$K$110,0)),'Track Data'!AG1969)),'Track Data'!U1969)</f>
        <v>3.4102730070470715</v>
      </c>
    </row>
    <row r="1970" spans="2:34" x14ac:dyDescent="0.25">
      <c r="B1970" s="16">
        <v>247.78399999999999</v>
      </c>
      <c r="C1970" s="16">
        <v>9240</v>
      </c>
      <c r="D1970" s="16">
        <v>1967</v>
      </c>
      <c r="E1970" s="113">
        <v>193</v>
      </c>
      <c r="F1970" s="113">
        <v>194.4</v>
      </c>
      <c r="G1970" s="113">
        <v>195.8</v>
      </c>
      <c r="H1970" s="113">
        <f t="shared" si="215"/>
        <v>54.388888888888893</v>
      </c>
      <c r="I1970" s="113">
        <v>8.3000000000000007</v>
      </c>
      <c r="J1970" s="113">
        <v>61.15</v>
      </c>
      <c r="K1970" s="113">
        <v>-21.2</v>
      </c>
      <c r="L1970" s="185"/>
      <c r="M1970" s="16">
        <v>1967</v>
      </c>
      <c r="N1970" s="16">
        <f t="shared" si="217"/>
        <v>1.6819442681980133E-2</v>
      </c>
      <c r="O1970" s="16">
        <v>6</v>
      </c>
      <c r="P1970" s="16">
        <f t="shared" si="213"/>
        <v>7.3113821138211375</v>
      </c>
      <c r="Q1970" s="16">
        <f t="shared" si="218"/>
        <v>59.455002101310484</v>
      </c>
      <c r="R1970" s="113">
        <f t="shared" si="214"/>
        <v>311.95699999999999</v>
      </c>
      <c r="S1970" s="16">
        <f>IF(S1969=15800,15800,ROUND((((Q1970*60)/'Gearing Calculator'!$C$14)*'Track Data'!P1970),-2))</f>
        <v>13200</v>
      </c>
      <c r="T1970" s="16">
        <f t="shared" si="216"/>
        <v>3.4102730070470715</v>
      </c>
      <c r="U1970" s="16">
        <f>IF(AC1970=100,Braking!$AG$2354,IF(AC1970=50,Braking!$AG$1179,IF(AC1970=75,Braking!$AG$1767,0)))</f>
        <v>0</v>
      </c>
      <c r="V1970" s="16">
        <f>0.5*'Gearing Calculator'!$C$15*'Gearing Calculator'!$C$20*'Gearing Calculator'!$W$20*('Track Data'!Q1970^2)</f>
        <v>374.13352757190569</v>
      </c>
      <c r="W1970" s="16">
        <f>('Gearing Calculator'!$U$9*'Track Data'!T1970)+'Track Data'!V1970</f>
        <v>1281.948202047836</v>
      </c>
      <c r="X1970" s="16">
        <f>('Gearing Calculator'!$U$9*9.81)*('Gearing Calculator'!$U$16/'Gearing Calculator'!$C$7)-(('Track Data'!W1970)*('Gearing Calculator'!$U$17/'Gearing Calculator'!$C$7))</f>
        <v>702.41298085552023</v>
      </c>
      <c r="Y1970" s="16">
        <f>('Gearing Calculator'!$U$9*9.81)*(('Gearing Calculator'!$C$7-'Gearing Calculator'!$U$16)/'Gearing Calculator'!$C$7)+(('Track Data'!W1970)*('Gearing Calculator'!$U$17/'Gearing Calculator'!$C$7))</f>
        <v>1909.0090191444797</v>
      </c>
      <c r="Z1970" s="16">
        <f>((X1970*COS('Gearing Calculator'!$C$21))/'Gearing Calculator'!$C$22)/2</f>
        <v>21.716387825066736</v>
      </c>
      <c r="AA1970" s="16">
        <f>Y1970/'Gearing Calculator'!$C$24</f>
        <v>26.65616881168193</v>
      </c>
      <c r="AB1970" s="16">
        <f t="shared" si="212"/>
        <v>394.59516561418809</v>
      </c>
      <c r="AC1970" s="16">
        <v>0</v>
      </c>
      <c r="AD1970" s="16">
        <v>0</v>
      </c>
      <c r="AE1970" s="16">
        <v>1967</v>
      </c>
      <c r="AF1970" s="16">
        <f>IF(AC1970=0,IF(O1970=6,INDEX(Acceleration!$V$4:$V$110,MATCH('Track Data'!S1970,Acceleration!$K$4:$K$110,0)),IF('Track Data'!O1970=5,INDEX(Acceleration!$U$4:$U$110,MATCH('Track Data'!S1970,Acceleration!$K$4:$K$110,0)),1)),U1970)</f>
        <v>3.4102730070470715</v>
      </c>
      <c r="AG1970" s="16">
        <f>IF(AC1970=0,IF(O1970=4,INDEX(Acceleration!$T$4:$T$110,MATCH('Track Data'!S1970,Acceleration!$K$4:$K$110,0)),IF('Track Data'!O1970=3,INDEX(Acceleration!$S$4:$S$110,MATCH('Track Data'!S1970,Acceleration!$K$4:$K$110,0)),'Track Data'!AF1970)),'Track Data'!U1970)</f>
        <v>3.4102730070470715</v>
      </c>
      <c r="AH1970" s="16">
        <f>IF(AC1970=0,IF(O1970=2,INDEX(Acceleration!$R$4:$R$110,MATCH('Track Data'!S1970,Acceleration!$K$4:$K$110,0)),IF('Track Data'!O1970=1,INDEX(Acceleration!$Q$4:$Q$110,MATCH('Track Data'!S1970,Acceleration!$K$4:$K$110,0)),'Track Data'!AG1970)),'Track Data'!U1970)</f>
        <v>3.4102730070470715</v>
      </c>
    </row>
    <row r="1971" spans="2:34" x14ac:dyDescent="0.25">
      <c r="B1971" s="16">
        <v>247.80199999999999</v>
      </c>
      <c r="C1971" s="16">
        <v>9241</v>
      </c>
      <c r="D1971" s="16">
        <v>1968</v>
      </c>
      <c r="E1971" s="113">
        <v>193</v>
      </c>
      <c r="F1971" s="113">
        <v>193.7</v>
      </c>
      <c r="G1971" s="113">
        <v>195.5</v>
      </c>
      <c r="H1971" s="113">
        <f t="shared" si="215"/>
        <v>54.305555555555557</v>
      </c>
      <c r="I1971" s="113">
        <v>4.8</v>
      </c>
      <c r="J1971" s="113">
        <v>63.14</v>
      </c>
      <c r="K1971" s="113">
        <v>-21.2</v>
      </c>
      <c r="L1971" s="185"/>
      <c r="M1971" s="16">
        <v>1968</v>
      </c>
      <c r="N1971" s="16">
        <f t="shared" si="217"/>
        <v>1.6803239659618267E-2</v>
      </c>
      <c r="O1971" s="16">
        <v>6</v>
      </c>
      <c r="P1971" s="16">
        <f t="shared" si="213"/>
        <v>7.3113821138211375</v>
      </c>
      <c r="Q1971" s="16">
        <f t="shared" si="218"/>
        <v>59.512333351003207</v>
      </c>
      <c r="R1971" s="113">
        <f t="shared" si="214"/>
        <v>311.95699999999999</v>
      </c>
      <c r="S1971" s="16">
        <f>IF(S1970=15800,15800,ROUND((((Q1971*60)/'Gearing Calculator'!$C$14)*'Track Data'!P1971),-2))</f>
        <v>13200</v>
      </c>
      <c r="T1971" s="16">
        <f t="shared" si="216"/>
        <v>3.4102730070470715</v>
      </c>
      <c r="U1971" s="16">
        <f>IF(AC1971=100,Braking!$AG$2354,IF(AC1971=50,Braking!$AG$1179,IF(AC1971=75,Braking!$AG$1767,0)))</f>
        <v>0</v>
      </c>
      <c r="V1971" s="16">
        <f>0.5*'Gearing Calculator'!$C$15*'Gearing Calculator'!$C$20*'Gearing Calculator'!$W$20*('Track Data'!Q1971^2)</f>
        <v>374.85541416203745</v>
      </c>
      <c r="W1971" s="16">
        <f>('Gearing Calculator'!$U$9*'Track Data'!T1971)+'Track Data'!V1971</f>
        <v>1282.6700886379679</v>
      </c>
      <c r="X1971" s="16">
        <f>('Gearing Calculator'!$U$9*9.81)*('Gearing Calculator'!$U$16/'Gearing Calculator'!$C$7)-(('Track Data'!W1971)*('Gearing Calculator'!$U$17/'Gearing Calculator'!$C$7))</f>
        <v>702.01950336356822</v>
      </c>
      <c r="Y1971" s="16">
        <f>('Gearing Calculator'!$U$9*9.81)*(('Gearing Calculator'!$C$7-'Gearing Calculator'!$U$16)/'Gearing Calculator'!$C$7)+(('Track Data'!W1971)*('Gearing Calculator'!$U$17/'Gearing Calculator'!$C$7))</f>
        <v>1909.4024966364318</v>
      </c>
      <c r="Z1971" s="16">
        <f>((X1971*COS('Gearing Calculator'!$C$21))/'Gearing Calculator'!$C$22)/2</f>
        <v>21.704222745478859</v>
      </c>
      <c r="AA1971" s="16">
        <f>Y1971/'Gearing Calculator'!$C$24</f>
        <v>26.661663077211266</v>
      </c>
      <c r="AB1971" s="16">
        <f t="shared" si="212"/>
        <v>395.31705220431991</v>
      </c>
      <c r="AC1971" s="16">
        <v>0</v>
      </c>
      <c r="AD1971" s="16">
        <v>0</v>
      </c>
      <c r="AE1971" s="16">
        <v>1968</v>
      </c>
      <c r="AF1971" s="16">
        <f>IF(AC1971=0,IF(O1971=6,INDEX(Acceleration!$V$4:$V$110,MATCH('Track Data'!S1971,Acceleration!$K$4:$K$110,0)),IF('Track Data'!O1971=5,INDEX(Acceleration!$U$4:$U$110,MATCH('Track Data'!S1971,Acceleration!$K$4:$K$110,0)),1)),U1971)</f>
        <v>3.4102730070470715</v>
      </c>
      <c r="AG1971" s="16">
        <f>IF(AC1971=0,IF(O1971=4,INDEX(Acceleration!$T$4:$T$110,MATCH('Track Data'!S1971,Acceleration!$K$4:$K$110,0)),IF('Track Data'!O1971=3,INDEX(Acceleration!$S$4:$S$110,MATCH('Track Data'!S1971,Acceleration!$K$4:$K$110,0)),'Track Data'!AF1971)),'Track Data'!U1971)</f>
        <v>3.4102730070470715</v>
      </c>
      <c r="AH1971" s="16">
        <f>IF(AC1971=0,IF(O1971=2,INDEX(Acceleration!$R$4:$R$110,MATCH('Track Data'!S1971,Acceleration!$K$4:$K$110,0)),IF('Track Data'!O1971=1,INDEX(Acceleration!$Q$4:$Q$110,MATCH('Track Data'!S1971,Acceleration!$K$4:$K$110,0)),'Track Data'!AG1971)),'Track Data'!U1971)</f>
        <v>3.4102730070470715</v>
      </c>
    </row>
    <row r="1972" spans="2:34" x14ac:dyDescent="0.25">
      <c r="B1972" s="16">
        <v>247.821</v>
      </c>
      <c r="C1972" s="16">
        <v>9242</v>
      </c>
      <c r="D1972" s="16">
        <v>1969</v>
      </c>
      <c r="E1972" s="113">
        <v>191</v>
      </c>
      <c r="F1972" s="113">
        <v>192.8</v>
      </c>
      <c r="G1972" s="113">
        <v>195.2</v>
      </c>
      <c r="H1972" s="113">
        <f t="shared" si="215"/>
        <v>54.222222222222214</v>
      </c>
      <c r="I1972" s="113">
        <v>2.4</v>
      </c>
      <c r="J1972" s="113">
        <v>66.87</v>
      </c>
      <c r="K1972" s="113">
        <v>-21.2</v>
      </c>
      <c r="L1972" s="185"/>
      <c r="M1972" s="16">
        <v>1969</v>
      </c>
      <c r="N1972" s="16">
        <f t="shared" si="217"/>
        <v>1.6787083374794527E-2</v>
      </c>
      <c r="O1972" s="16">
        <v>6</v>
      </c>
      <c r="P1972" s="16">
        <f t="shared" si="213"/>
        <v>7.3113821138211375</v>
      </c>
      <c r="Q1972" s="16">
        <f t="shared" si="218"/>
        <v>59.569609423723968</v>
      </c>
      <c r="R1972" s="113">
        <f t="shared" si="214"/>
        <v>311.95699999999999</v>
      </c>
      <c r="S1972" s="16">
        <f>IF(S1971=15800,15800,ROUND((((Q1972*60)/'Gearing Calculator'!$C$14)*'Track Data'!P1972),-2))</f>
        <v>13200</v>
      </c>
      <c r="T1972" s="16">
        <f t="shared" si="216"/>
        <v>3.4102730070470715</v>
      </c>
      <c r="U1972" s="16">
        <f>IF(AC1972=100,Braking!$AG$2354,IF(AC1972=50,Braking!$AG$1179,IF(AC1972=75,Braking!$AG$1767,0)))</f>
        <v>0</v>
      </c>
      <c r="V1972" s="16">
        <f>0.5*'Gearing Calculator'!$C$15*'Gearing Calculator'!$C$20*'Gearing Calculator'!$W$20*('Track Data'!Q1972^2)</f>
        <v>375.57730075216926</v>
      </c>
      <c r="W1972" s="16">
        <f>('Gearing Calculator'!$U$9*'Track Data'!T1972)+'Track Data'!V1972</f>
        <v>1283.3919752280997</v>
      </c>
      <c r="X1972" s="16">
        <f>('Gearing Calculator'!$U$9*9.81)*('Gearing Calculator'!$U$16/'Gearing Calculator'!$C$7)-(('Track Data'!W1972)*('Gearing Calculator'!$U$17/'Gearing Calculator'!$C$7))</f>
        <v>701.62602587161632</v>
      </c>
      <c r="Y1972" s="16">
        <f>('Gearing Calculator'!$U$9*9.81)*(('Gearing Calculator'!$C$7-'Gearing Calculator'!$U$16)/'Gearing Calculator'!$C$7)+(('Track Data'!W1972)*('Gearing Calculator'!$U$17/'Gearing Calculator'!$C$7))</f>
        <v>1909.7959741283837</v>
      </c>
      <c r="Z1972" s="16">
        <f>((X1972*COS('Gearing Calculator'!$C$21))/'Gearing Calculator'!$C$22)/2</f>
        <v>21.692057665890989</v>
      </c>
      <c r="AA1972" s="16">
        <f>Y1972/'Gearing Calculator'!$C$24</f>
        <v>26.667157342740595</v>
      </c>
      <c r="AB1972" s="16">
        <f t="shared" si="212"/>
        <v>396.03893879445172</v>
      </c>
      <c r="AC1972" s="16">
        <v>0</v>
      </c>
      <c r="AD1972" s="16">
        <v>0</v>
      </c>
      <c r="AE1972" s="16">
        <v>1969</v>
      </c>
      <c r="AF1972" s="16">
        <f>IF(AC1972=0,IF(O1972=6,INDEX(Acceleration!$V$4:$V$110,MATCH('Track Data'!S1972,Acceleration!$K$4:$K$110,0)),IF('Track Data'!O1972=5,INDEX(Acceleration!$U$4:$U$110,MATCH('Track Data'!S1972,Acceleration!$K$4:$K$110,0)),1)),U1972)</f>
        <v>3.4102730070470715</v>
      </c>
      <c r="AG1972" s="16">
        <f>IF(AC1972=0,IF(O1972=4,INDEX(Acceleration!$T$4:$T$110,MATCH('Track Data'!S1972,Acceleration!$K$4:$K$110,0)),IF('Track Data'!O1972=3,INDEX(Acceleration!$S$4:$S$110,MATCH('Track Data'!S1972,Acceleration!$K$4:$K$110,0)),'Track Data'!AF1972)),'Track Data'!U1972)</f>
        <v>3.4102730070470715</v>
      </c>
      <c r="AH1972" s="16">
        <f>IF(AC1972=0,IF(O1972=2,INDEX(Acceleration!$R$4:$R$110,MATCH('Track Data'!S1972,Acceleration!$K$4:$K$110,0)),IF('Track Data'!O1972=1,INDEX(Acceleration!$Q$4:$Q$110,MATCH('Track Data'!S1972,Acceleration!$K$4:$K$110,0)),'Track Data'!AG1972)),'Track Data'!U1972)</f>
        <v>3.4102730070470715</v>
      </c>
    </row>
    <row r="1973" spans="2:34" x14ac:dyDescent="0.25">
      <c r="B1973" s="16">
        <v>247.839</v>
      </c>
      <c r="C1973" s="16">
        <v>9243</v>
      </c>
      <c r="D1973" s="16">
        <v>1970</v>
      </c>
      <c r="E1973" s="113">
        <v>190</v>
      </c>
      <c r="F1973" s="113">
        <v>192.4</v>
      </c>
      <c r="G1973" s="113">
        <v>195</v>
      </c>
      <c r="H1973" s="113">
        <f t="shared" si="215"/>
        <v>54.166666666666664</v>
      </c>
      <c r="I1973" s="113">
        <v>2</v>
      </c>
      <c r="J1973" s="113">
        <v>67.77</v>
      </c>
      <c r="K1973" s="113">
        <v>-21.2</v>
      </c>
      <c r="L1973" s="185"/>
      <c r="M1973" s="16">
        <v>1970</v>
      </c>
      <c r="N1973" s="16">
        <f t="shared" si="217"/>
        <v>1.6770973603249795E-2</v>
      </c>
      <c r="O1973" s="16">
        <v>6</v>
      </c>
      <c r="P1973" s="16">
        <f t="shared" si="213"/>
        <v>7.3113821138211375</v>
      </c>
      <c r="Q1973" s="16">
        <f t="shared" si="218"/>
        <v>59.626830478477707</v>
      </c>
      <c r="R1973" s="113">
        <f t="shared" si="214"/>
        <v>311.95699999999999</v>
      </c>
      <c r="S1973" s="16">
        <f>IF(S1972=15800,15800,ROUND((((Q1973*60)/'Gearing Calculator'!$C$14)*'Track Data'!P1973),-2))</f>
        <v>13200</v>
      </c>
      <c r="T1973" s="16">
        <f t="shared" si="216"/>
        <v>3.4102730070470715</v>
      </c>
      <c r="U1973" s="16">
        <f>IF(AC1973=100,Braking!$AG$2354,IF(AC1973=50,Braking!$AG$1179,IF(AC1973=75,Braking!$AG$1767,0)))</f>
        <v>0</v>
      </c>
      <c r="V1973" s="16">
        <f>0.5*'Gearing Calculator'!$C$15*'Gearing Calculator'!$C$20*'Gearing Calculator'!$W$20*('Track Data'!Q1973^2)</f>
        <v>376.29918734230102</v>
      </c>
      <c r="W1973" s="16">
        <f>('Gearing Calculator'!$U$9*'Track Data'!T1973)+'Track Data'!V1973</f>
        <v>1284.1138618182313</v>
      </c>
      <c r="X1973" s="16">
        <f>('Gearing Calculator'!$U$9*9.81)*('Gearing Calculator'!$U$16/'Gearing Calculator'!$C$7)-(('Track Data'!W1973)*('Gearing Calculator'!$U$17/'Gearing Calculator'!$C$7))</f>
        <v>701.23254837966442</v>
      </c>
      <c r="Y1973" s="16">
        <f>('Gearing Calculator'!$U$9*9.81)*(('Gearing Calculator'!$C$7-'Gearing Calculator'!$U$16)/'Gearing Calculator'!$C$7)+(('Track Data'!W1973)*('Gearing Calculator'!$U$17/'Gearing Calculator'!$C$7))</f>
        <v>1910.1894516203356</v>
      </c>
      <c r="Z1973" s="16">
        <f>((X1973*COS('Gearing Calculator'!$C$21))/'Gearing Calculator'!$C$22)/2</f>
        <v>21.679892586303115</v>
      </c>
      <c r="AA1973" s="16">
        <f>Y1973/'Gearing Calculator'!$C$24</f>
        <v>26.672651608269927</v>
      </c>
      <c r="AB1973" s="16">
        <f t="shared" si="212"/>
        <v>396.76082538458343</v>
      </c>
      <c r="AC1973" s="16">
        <v>0</v>
      </c>
      <c r="AD1973" s="16">
        <v>0</v>
      </c>
      <c r="AE1973" s="16">
        <v>1970</v>
      </c>
      <c r="AF1973" s="16">
        <f>IF(AC1973=0,IF(O1973=6,INDEX(Acceleration!$V$4:$V$110,MATCH('Track Data'!S1973,Acceleration!$K$4:$K$110,0)),IF('Track Data'!O1973=5,INDEX(Acceleration!$U$4:$U$110,MATCH('Track Data'!S1973,Acceleration!$K$4:$K$110,0)),1)),U1973)</f>
        <v>3.4102730070470715</v>
      </c>
      <c r="AG1973" s="16">
        <f>IF(AC1973=0,IF(O1973=4,INDEX(Acceleration!$T$4:$T$110,MATCH('Track Data'!S1973,Acceleration!$K$4:$K$110,0)),IF('Track Data'!O1973=3,INDEX(Acceleration!$S$4:$S$110,MATCH('Track Data'!S1973,Acceleration!$K$4:$K$110,0)),'Track Data'!AF1973)),'Track Data'!U1973)</f>
        <v>3.4102730070470715</v>
      </c>
      <c r="AH1973" s="16">
        <f>IF(AC1973=0,IF(O1973=2,INDEX(Acceleration!$R$4:$R$110,MATCH('Track Data'!S1973,Acceleration!$K$4:$K$110,0)),IF('Track Data'!O1973=1,INDEX(Acceleration!$Q$4:$Q$110,MATCH('Track Data'!S1973,Acceleration!$K$4:$K$110,0)),'Track Data'!AG1973)),'Track Data'!U1973)</f>
        <v>3.4102730070470715</v>
      </c>
    </row>
    <row r="1974" spans="2:34" x14ac:dyDescent="0.25">
      <c r="B1974" s="16">
        <v>247.857</v>
      </c>
      <c r="C1974" s="16">
        <v>9244</v>
      </c>
      <c r="D1974" s="16">
        <v>1971</v>
      </c>
      <c r="E1974" s="113">
        <v>190</v>
      </c>
      <c r="F1974" s="113">
        <v>191.7</v>
      </c>
      <c r="G1974" s="113">
        <v>194.7</v>
      </c>
      <c r="H1974" s="113">
        <f t="shared" si="215"/>
        <v>54.083333333333329</v>
      </c>
      <c r="I1974" s="113">
        <v>0.9</v>
      </c>
      <c r="J1974" s="113">
        <v>73.39</v>
      </c>
      <c r="K1974" s="113">
        <v>-21.9</v>
      </c>
      <c r="L1974" s="185"/>
      <c r="M1974" s="16">
        <v>1971</v>
      </c>
      <c r="N1974" s="16">
        <f t="shared" si="217"/>
        <v>1.6754910122228552E-2</v>
      </c>
      <c r="O1974" s="16">
        <v>6</v>
      </c>
      <c r="P1974" s="16">
        <f t="shared" si="213"/>
        <v>7.3113821138211375</v>
      </c>
      <c r="Q1974" s="16">
        <f t="shared" si="218"/>
        <v>59.683996673507146</v>
      </c>
      <c r="R1974" s="113">
        <f t="shared" si="214"/>
        <v>311.95699999999999</v>
      </c>
      <c r="S1974" s="16">
        <f>IF(S1973=15800,15800,ROUND((((Q1974*60)/'Gearing Calculator'!$C$14)*'Track Data'!P1974),-2))</f>
        <v>13200</v>
      </c>
      <c r="T1974" s="16">
        <f t="shared" si="216"/>
        <v>3.4102730070470715</v>
      </c>
      <c r="U1974" s="16">
        <f>IF(AC1974=100,Braking!$AG$2354,IF(AC1974=50,Braking!$AG$1179,IF(AC1974=75,Braking!$AG$1767,0)))</f>
        <v>0</v>
      </c>
      <c r="V1974" s="16">
        <f>0.5*'Gearing Calculator'!$C$15*'Gearing Calculator'!$C$20*'Gearing Calculator'!$W$20*('Track Data'!Q1974^2)</f>
        <v>377.02107393243273</v>
      </c>
      <c r="W1974" s="16">
        <f>('Gearing Calculator'!$U$9*'Track Data'!T1974)+'Track Data'!V1974</f>
        <v>1284.8357484083631</v>
      </c>
      <c r="X1974" s="16">
        <f>('Gearing Calculator'!$U$9*9.81)*('Gearing Calculator'!$U$16/'Gearing Calculator'!$C$7)-(('Track Data'!W1974)*('Gearing Calculator'!$U$17/'Gearing Calculator'!$C$7))</f>
        <v>700.83907088771241</v>
      </c>
      <c r="Y1974" s="16">
        <f>('Gearing Calculator'!$U$9*9.81)*(('Gearing Calculator'!$C$7-'Gearing Calculator'!$U$16)/'Gearing Calculator'!$C$7)+(('Track Data'!W1974)*('Gearing Calculator'!$U$17/'Gearing Calculator'!$C$7))</f>
        <v>1910.5829291122877</v>
      </c>
      <c r="Z1974" s="16">
        <f>((X1974*COS('Gearing Calculator'!$C$21))/'Gearing Calculator'!$C$22)/2</f>
        <v>21.667727506715238</v>
      </c>
      <c r="AA1974" s="16">
        <f>Y1974/'Gearing Calculator'!$C$24</f>
        <v>26.678145873799259</v>
      </c>
      <c r="AB1974" s="16">
        <f t="shared" ref="AB1974:AB2037" si="219">(T1974*O1974)+V1974</f>
        <v>397.48271197471513</v>
      </c>
      <c r="AC1974" s="16">
        <v>0</v>
      </c>
      <c r="AD1974" s="16">
        <v>0</v>
      </c>
      <c r="AE1974" s="16">
        <v>1971</v>
      </c>
      <c r="AF1974" s="16">
        <f>IF(AC1974=0,IF(O1974=6,INDEX(Acceleration!$V$4:$V$110,MATCH('Track Data'!S1974,Acceleration!$K$4:$K$110,0)),IF('Track Data'!O1974=5,INDEX(Acceleration!$U$4:$U$110,MATCH('Track Data'!S1974,Acceleration!$K$4:$K$110,0)),1)),U1974)</f>
        <v>3.4102730070470715</v>
      </c>
      <c r="AG1974" s="16">
        <f>IF(AC1974=0,IF(O1974=4,INDEX(Acceleration!$T$4:$T$110,MATCH('Track Data'!S1974,Acceleration!$K$4:$K$110,0)),IF('Track Data'!O1974=3,INDEX(Acceleration!$S$4:$S$110,MATCH('Track Data'!S1974,Acceleration!$K$4:$K$110,0)),'Track Data'!AF1974)),'Track Data'!U1974)</f>
        <v>3.4102730070470715</v>
      </c>
      <c r="AH1974" s="16">
        <f>IF(AC1974=0,IF(O1974=2,INDEX(Acceleration!$R$4:$R$110,MATCH('Track Data'!S1974,Acceleration!$K$4:$K$110,0)),IF('Track Data'!O1974=1,INDEX(Acceleration!$Q$4:$Q$110,MATCH('Track Data'!S1974,Acceleration!$K$4:$K$110,0)),'Track Data'!AG1974)),'Track Data'!U1974)</f>
        <v>3.4102730070470715</v>
      </c>
    </row>
    <row r="1975" spans="2:34" x14ac:dyDescent="0.25">
      <c r="B1975" s="16">
        <v>247.876</v>
      </c>
      <c r="C1975" s="16">
        <v>9245</v>
      </c>
      <c r="D1975" s="16">
        <v>1972</v>
      </c>
      <c r="E1975" s="113">
        <v>189</v>
      </c>
      <c r="F1975" s="113">
        <v>191.1</v>
      </c>
      <c r="G1975" s="113">
        <v>194.4</v>
      </c>
      <c r="H1975" s="113">
        <f t="shared" si="215"/>
        <v>54</v>
      </c>
      <c r="I1975" s="113">
        <v>0.8</v>
      </c>
      <c r="J1975" s="113">
        <v>77.94</v>
      </c>
      <c r="K1975" s="113">
        <v>-22.8</v>
      </c>
      <c r="L1975" s="185"/>
      <c r="M1975" s="16">
        <v>1972</v>
      </c>
      <c r="N1975" s="16">
        <f t="shared" si="217"/>
        <v>1.673889271046592E-2</v>
      </c>
      <c r="O1975" s="16">
        <v>6</v>
      </c>
      <c r="P1975" s="16">
        <f t="shared" si="213"/>
        <v>7.3113821138211375</v>
      </c>
      <c r="Q1975" s="16">
        <f t="shared" si="218"/>
        <v>59.741108166297906</v>
      </c>
      <c r="R1975" s="113">
        <f t="shared" si="214"/>
        <v>311.95699999999999</v>
      </c>
      <c r="S1975" s="16">
        <f>IF(S1974=15800,15800,ROUND((((Q1975*60)/'Gearing Calculator'!$C$14)*'Track Data'!P1975),-2))</f>
        <v>13200</v>
      </c>
      <c r="T1975" s="16">
        <f t="shared" si="216"/>
        <v>3.4102730070470715</v>
      </c>
      <c r="U1975" s="16">
        <f>IF(AC1975=100,Braking!$AG$2354,IF(AC1975=50,Braking!$AG$1179,IF(AC1975=75,Braking!$AG$1767,0)))</f>
        <v>0</v>
      </c>
      <c r="V1975" s="16">
        <f>0.5*'Gearing Calculator'!$C$15*'Gearing Calculator'!$C$20*'Gearing Calculator'!$W$20*('Track Data'!Q1975^2)</f>
        <v>377.74296052256443</v>
      </c>
      <c r="W1975" s="16">
        <f>('Gearing Calculator'!$U$9*'Track Data'!T1975)+'Track Data'!V1975</f>
        <v>1285.5576349984949</v>
      </c>
      <c r="X1975" s="16">
        <f>('Gearing Calculator'!$U$9*9.81)*('Gearing Calculator'!$U$16/'Gearing Calculator'!$C$7)-(('Track Data'!W1975)*('Gearing Calculator'!$U$17/'Gearing Calculator'!$C$7))</f>
        <v>700.44559339576051</v>
      </c>
      <c r="Y1975" s="16">
        <f>('Gearing Calculator'!$U$9*9.81)*(('Gearing Calculator'!$C$7-'Gearing Calculator'!$U$16)/'Gearing Calculator'!$C$7)+(('Track Data'!W1975)*('Gearing Calculator'!$U$17/'Gearing Calculator'!$C$7))</f>
        <v>1910.9764066042394</v>
      </c>
      <c r="Z1975" s="16">
        <f>((X1975*COS('Gearing Calculator'!$C$21))/'Gearing Calculator'!$C$22)/2</f>
        <v>21.655562427127368</v>
      </c>
      <c r="AA1975" s="16">
        <f>Y1975/'Gearing Calculator'!$C$24</f>
        <v>26.683640139328588</v>
      </c>
      <c r="AB1975" s="16">
        <f t="shared" si="219"/>
        <v>398.20459856484683</v>
      </c>
      <c r="AC1975" s="16">
        <v>0</v>
      </c>
      <c r="AD1975" s="16">
        <v>0</v>
      </c>
      <c r="AE1975" s="16">
        <v>1972</v>
      </c>
      <c r="AF1975" s="16">
        <f>IF(AC1975=0,IF(O1975=6,INDEX(Acceleration!$V$4:$V$110,MATCH('Track Data'!S1975,Acceleration!$K$4:$K$110,0)),IF('Track Data'!O1975=5,INDEX(Acceleration!$U$4:$U$110,MATCH('Track Data'!S1975,Acceleration!$K$4:$K$110,0)),1)),U1975)</f>
        <v>3.4102730070470715</v>
      </c>
      <c r="AG1975" s="16">
        <f>IF(AC1975=0,IF(O1975=4,INDEX(Acceleration!$T$4:$T$110,MATCH('Track Data'!S1975,Acceleration!$K$4:$K$110,0)),IF('Track Data'!O1975=3,INDEX(Acceleration!$S$4:$S$110,MATCH('Track Data'!S1975,Acceleration!$K$4:$K$110,0)),'Track Data'!AF1975)),'Track Data'!U1975)</f>
        <v>3.4102730070470715</v>
      </c>
      <c r="AH1975" s="16">
        <f>IF(AC1975=0,IF(O1975=2,INDEX(Acceleration!$R$4:$R$110,MATCH('Track Data'!S1975,Acceleration!$K$4:$K$110,0)),IF('Track Data'!O1975=1,INDEX(Acceleration!$Q$4:$Q$110,MATCH('Track Data'!S1975,Acceleration!$K$4:$K$110,0)),'Track Data'!AG1975)),'Track Data'!U1975)</f>
        <v>3.4102730070470715</v>
      </c>
    </row>
    <row r="1976" spans="2:34" x14ac:dyDescent="0.25">
      <c r="B1976" s="16">
        <v>247.89500000000001</v>
      </c>
      <c r="C1976" s="16">
        <v>9246</v>
      </c>
      <c r="D1976" s="16">
        <v>1973</v>
      </c>
      <c r="E1976" s="113">
        <v>188</v>
      </c>
      <c r="F1976" s="113">
        <v>190.5</v>
      </c>
      <c r="G1976" s="113">
        <v>194.1</v>
      </c>
      <c r="H1976" s="113">
        <f t="shared" si="215"/>
        <v>53.916666666666664</v>
      </c>
      <c r="I1976" s="113">
        <v>0.6</v>
      </c>
      <c r="J1976" s="113">
        <v>81.239999999999995</v>
      </c>
      <c r="K1976" s="113">
        <v>-23.7</v>
      </c>
      <c r="L1976" s="185"/>
      <c r="M1976" s="16">
        <v>1973</v>
      </c>
      <c r="N1976" s="16">
        <f t="shared" si="217"/>
        <v>1.6722921148174884E-2</v>
      </c>
      <c r="O1976" s="16">
        <v>6</v>
      </c>
      <c r="P1976" s="16">
        <f t="shared" si="213"/>
        <v>7.3113821138211375</v>
      </c>
      <c r="Q1976" s="16">
        <f t="shared" si="218"/>
        <v>59.798165113583551</v>
      </c>
      <c r="R1976" s="113">
        <f t="shared" si="214"/>
        <v>311.95699999999999</v>
      </c>
      <c r="S1976" s="16">
        <f>IF(S1975=15800,15800,ROUND((((Q1976*60)/'Gearing Calculator'!$C$14)*'Track Data'!P1976),-2))</f>
        <v>13300</v>
      </c>
      <c r="T1976" s="16">
        <f t="shared" si="216"/>
        <v>3.3628306539846999</v>
      </c>
      <c r="U1976" s="16">
        <f>IF(AC1976=100,Braking!$AG$2354,IF(AC1976=50,Braking!$AG$1179,IF(AC1976=75,Braking!$AG$1767,0)))</f>
        <v>0</v>
      </c>
      <c r="V1976" s="16">
        <f>0.5*'Gearing Calculator'!$C$15*'Gearing Calculator'!$C$20*'Gearing Calculator'!$W$20*('Track Data'!Q1976^2)</f>
        <v>378.46484711269625</v>
      </c>
      <c r="W1976" s="16">
        <f>('Gearing Calculator'!$U$9*'Track Data'!T1976)+'Track Data'!V1976</f>
        <v>1273.6503672034232</v>
      </c>
      <c r="X1976" s="16">
        <f>('Gearing Calculator'!$U$9*9.81)*('Gearing Calculator'!$U$16/'Gearing Calculator'!$C$7)-(('Track Data'!W1976)*('Gearing Calculator'!$U$17/'Gearing Calculator'!$C$7))</f>
        <v>706.93586753584373</v>
      </c>
      <c r="Y1976" s="16">
        <f>('Gearing Calculator'!$U$9*9.81)*(('Gearing Calculator'!$C$7-'Gearing Calculator'!$U$16)/'Gearing Calculator'!$C$7)+(('Track Data'!W1976)*('Gearing Calculator'!$U$17/'Gearing Calculator'!$C$7))</f>
        <v>1904.4861324641563</v>
      </c>
      <c r="Z1976" s="16">
        <f>((X1976*COS('Gearing Calculator'!$C$21))/'Gearing Calculator'!$C$22)/2</f>
        <v>21.856221176550509</v>
      </c>
      <c r="AA1976" s="16">
        <f>Y1976/'Gearing Calculator'!$C$24</f>
        <v>26.593014143653782</v>
      </c>
      <c r="AB1976" s="16">
        <f t="shared" si="219"/>
        <v>398.64183103660446</v>
      </c>
      <c r="AC1976" s="16">
        <v>0</v>
      </c>
      <c r="AD1976" s="16">
        <v>0</v>
      </c>
      <c r="AE1976" s="16">
        <v>1973</v>
      </c>
      <c r="AF1976" s="16">
        <f>IF(AC1976=0,IF(O1976=6,INDEX(Acceleration!$V$4:$V$110,MATCH('Track Data'!S1976,Acceleration!$K$4:$K$110,0)),IF('Track Data'!O1976=5,INDEX(Acceleration!$U$4:$U$110,MATCH('Track Data'!S1976,Acceleration!$K$4:$K$110,0)),1)),U1976)</f>
        <v>3.3628306539846999</v>
      </c>
      <c r="AG1976" s="16">
        <f>IF(AC1976=0,IF(O1976=4,INDEX(Acceleration!$T$4:$T$110,MATCH('Track Data'!S1976,Acceleration!$K$4:$K$110,0)),IF('Track Data'!O1976=3,INDEX(Acceleration!$S$4:$S$110,MATCH('Track Data'!S1976,Acceleration!$K$4:$K$110,0)),'Track Data'!AF1976)),'Track Data'!U1976)</f>
        <v>3.3628306539846999</v>
      </c>
      <c r="AH1976" s="16">
        <f>IF(AC1976=0,IF(O1976=2,INDEX(Acceleration!$R$4:$R$110,MATCH('Track Data'!S1976,Acceleration!$K$4:$K$110,0)),IF('Track Data'!O1976=1,INDEX(Acceleration!$Q$4:$Q$110,MATCH('Track Data'!S1976,Acceleration!$K$4:$K$110,0)),'Track Data'!AG1976)),'Track Data'!U1976)</f>
        <v>3.3628306539846999</v>
      </c>
    </row>
    <row r="1977" spans="2:34" x14ac:dyDescent="0.25">
      <c r="B1977" s="16">
        <v>247.91399999999999</v>
      </c>
      <c r="C1977" s="16">
        <v>9247</v>
      </c>
      <c r="D1977" s="16">
        <v>1974</v>
      </c>
      <c r="E1977" s="113">
        <v>187</v>
      </c>
      <c r="F1977" s="113">
        <v>190</v>
      </c>
      <c r="G1977" s="113">
        <v>193.7</v>
      </c>
      <c r="H1977" s="113">
        <f t="shared" si="215"/>
        <v>53.80555555555555</v>
      </c>
      <c r="I1977" s="113">
        <v>0.2</v>
      </c>
      <c r="J1977" s="113">
        <v>84.92</v>
      </c>
      <c r="K1977" s="113">
        <v>-24.7</v>
      </c>
      <c r="L1977" s="185"/>
      <c r="M1977" s="16">
        <v>1974</v>
      </c>
      <c r="N1977" s="16">
        <f t="shared" si="217"/>
        <v>1.6707216460213923E-2</v>
      </c>
      <c r="O1977" s="16">
        <v>6</v>
      </c>
      <c r="P1977" s="16">
        <f t="shared" si="213"/>
        <v>7.3113821138211375</v>
      </c>
      <c r="Q1977" s="16">
        <f t="shared" si="218"/>
        <v>59.854375046936795</v>
      </c>
      <c r="R1977" s="113">
        <f t="shared" si="214"/>
        <v>311.95699999999999</v>
      </c>
      <c r="S1977" s="16">
        <f>IF(S1976=15800,15800,ROUND((((Q1977*60)/'Gearing Calculator'!$C$14)*'Track Data'!P1977),-2))</f>
        <v>13300</v>
      </c>
      <c r="T1977" s="16">
        <f t="shared" si="216"/>
        <v>3.3628306539846999</v>
      </c>
      <c r="U1977" s="16">
        <f>IF(AC1977=100,Braking!$AG$2354,IF(AC1977=50,Braking!$AG$1179,IF(AC1977=75,Braking!$AG$1767,0)))</f>
        <v>0</v>
      </c>
      <c r="V1977" s="16">
        <f>0.5*'Gearing Calculator'!$C$15*'Gearing Calculator'!$C$20*'Gearing Calculator'!$W$20*('Track Data'!Q1977^2)</f>
        <v>379.17669110553169</v>
      </c>
      <c r="W1977" s="16">
        <f>('Gearing Calculator'!$U$9*'Track Data'!T1977)+'Track Data'!V1977</f>
        <v>1274.3622111962588</v>
      </c>
      <c r="X1977" s="16">
        <f>('Gearing Calculator'!$U$9*9.81)*('Gearing Calculator'!$U$16/'Gearing Calculator'!$C$7)-(('Track Data'!W1977)*('Gearing Calculator'!$U$17/'Gearing Calculator'!$C$7))</f>
        <v>706.54786394526468</v>
      </c>
      <c r="Y1977" s="16">
        <f>('Gearing Calculator'!$U$9*9.81)*(('Gearing Calculator'!$C$7-'Gearing Calculator'!$U$16)/'Gearing Calculator'!$C$7)+(('Track Data'!W1977)*('Gearing Calculator'!$U$17/'Gearing Calculator'!$C$7))</f>
        <v>1904.8741360547353</v>
      </c>
      <c r="Z1977" s="16">
        <f>((X1977*COS('Gearing Calculator'!$C$21))/'Gearing Calculator'!$C$22)/2</f>
        <v>21.844225332680612</v>
      </c>
      <c r="AA1977" s="16">
        <f>Y1977/'Gearing Calculator'!$C$24</f>
        <v>26.598431975160231</v>
      </c>
      <c r="AB1977" s="16">
        <f t="shared" si="219"/>
        <v>399.3536750294399</v>
      </c>
      <c r="AC1977" s="16">
        <v>0</v>
      </c>
      <c r="AD1977" s="16">
        <v>0</v>
      </c>
      <c r="AE1977" s="16">
        <v>1974</v>
      </c>
      <c r="AF1977" s="16">
        <f>IF(AC1977=0,IF(O1977=6,INDEX(Acceleration!$V$4:$V$110,MATCH('Track Data'!S1977,Acceleration!$K$4:$K$110,0)),IF('Track Data'!O1977=5,INDEX(Acceleration!$U$4:$U$110,MATCH('Track Data'!S1977,Acceleration!$K$4:$K$110,0)),1)),U1977)</f>
        <v>3.3628306539846999</v>
      </c>
      <c r="AG1977" s="16">
        <f>IF(AC1977=0,IF(O1977=4,INDEX(Acceleration!$T$4:$T$110,MATCH('Track Data'!S1977,Acceleration!$K$4:$K$110,0)),IF('Track Data'!O1977=3,INDEX(Acceleration!$S$4:$S$110,MATCH('Track Data'!S1977,Acceleration!$K$4:$K$110,0)),'Track Data'!AF1977)),'Track Data'!U1977)</f>
        <v>3.3628306539846999</v>
      </c>
      <c r="AH1977" s="16">
        <f>IF(AC1977=0,IF(O1977=2,INDEX(Acceleration!$R$4:$R$110,MATCH('Track Data'!S1977,Acceleration!$K$4:$K$110,0)),IF('Track Data'!O1977=1,INDEX(Acceleration!$Q$4:$Q$110,MATCH('Track Data'!S1977,Acceleration!$K$4:$K$110,0)),'Track Data'!AG1977)),'Track Data'!U1977)</f>
        <v>3.3628306539846999</v>
      </c>
    </row>
    <row r="1978" spans="2:34" x14ac:dyDescent="0.25">
      <c r="B1978" s="16">
        <v>247.93299999999999</v>
      </c>
      <c r="C1978" s="16">
        <v>9248</v>
      </c>
      <c r="D1978" s="16">
        <v>1975</v>
      </c>
      <c r="E1978" s="113">
        <v>187</v>
      </c>
      <c r="F1978" s="113">
        <v>189.2</v>
      </c>
      <c r="G1978" s="113">
        <v>193.4</v>
      </c>
      <c r="H1978" s="113">
        <f t="shared" si="215"/>
        <v>53.722222222222221</v>
      </c>
      <c r="I1978" s="113">
        <v>-0.1</v>
      </c>
      <c r="J1978" s="113">
        <v>86.87</v>
      </c>
      <c r="K1978" s="113">
        <v>-25.2</v>
      </c>
      <c r="L1978" s="185"/>
      <c r="M1978" s="16">
        <v>1975</v>
      </c>
      <c r="N1978" s="16">
        <f t="shared" si="217"/>
        <v>1.6691555934672891E-2</v>
      </c>
      <c r="O1978" s="16">
        <v>6</v>
      </c>
      <c r="P1978" s="16">
        <f t="shared" si="213"/>
        <v>7.3113821138211375</v>
      </c>
      <c r="Q1978" s="16">
        <f t="shared" si="218"/>
        <v>59.910532242397409</v>
      </c>
      <c r="R1978" s="113">
        <f t="shared" si="214"/>
        <v>311.95699999999999</v>
      </c>
      <c r="S1978" s="16">
        <f>IF(S1977=15800,15800,ROUND((((Q1978*60)/'Gearing Calculator'!$C$14)*'Track Data'!P1978),-2))</f>
        <v>13300</v>
      </c>
      <c r="T1978" s="16">
        <f t="shared" si="216"/>
        <v>3.3628306539846999</v>
      </c>
      <c r="U1978" s="16">
        <f>IF(AC1978=100,Braking!$AG$2354,IF(AC1978=50,Braking!$AG$1179,IF(AC1978=75,Braking!$AG$1767,0)))</f>
        <v>0</v>
      </c>
      <c r="V1978" s="16">
        <f>0.5*'Gearing Calculator'!$C$15*'Gearing Calculator'!$C$20*'Gearing Calculator'!$W$20*('Track Data'!Q1978^2)</f>
        <v>379.88853509836713</v>
      </c>
      <c r="W1978" s="16">
        <f>('Gearing Calculator'!$U$9*'Track Data'!T1978)+'Track Data'!V1978</f>
        <v>1275.0740551890942</v>
      </c>
      <c r="X1978" s="16">
        <f>('Gearing Calculator'!$U$9*9.81)*('Gearing Calculator'!$U$16/'Gearing Calculator'!$C$7)-(('Track Data'!W1978)*('Gearing Calculator'!$U$17/'Gearing Calculator'!$C$7))</f>
        <v>706.15986035468563</v>
      </c>
      <c r="Y1978" s="16">
        <f>('Gearing Calculator'!$U$9*9.81)*(('Gearing Calculator'!$C$7-'Gearing Calculator'!$U$16)/'Gearing Calculator'!$C$7)+(('Track Data'!W1978)*('Gearing Calculator'!$U$17/'Gearing Calculator'!$C$7))</f>
        <v>1905.2621396453144</v>
      </c>
      <c r="Z1978" s="16">
        <f>((X1978*COS('Gearing Calculator'!$C$21))/'Gearing Calculator'!$C$22)/2</f>
        <v>21.832229488810711</v>
      </c>
      <c r="AA1978" s="16">
        <f>Y1978/'Gearing Calculator'!$C$24</f>
        <v>26.60384980666668</v>
      </c>
      <c r="AB1978" s="16">
        <f t="shared" si="219"/>
        <v>400.06551902227534</v>
      </c>
      <c r="AC1978" s="16">
        <v>0</v>
      </c>
      <c r="AD1978" s="16">
        <v>0</v>
      </c>
      <c r="AE1978" s="16">
        <v>1975</v>
      </c>
      <c r="AF1978" s="16">
        <f>IF(AC1978=0,IF(O1978=6,INDEX(Acceleration!$V$4:$V$110,MATCH('Track Data'!S1978,Acceleration!$K$4:$K$110,0)),IF('Track Data'!O1978=5,INDEX(Acceleration!$U$4:$U$110,MATCH('Track Data'!S1978,Acceleration!$K$4:$K$110,0)),1)),U1978)</f>
        <v>3.3628306539846999</v>
      </c>
      <c r="AG1978" s="16">
        <f>IF(AC1978=0,IF(O1978=4,INDEX(Acceleration!$T$4:$T$110,MATCH('Track Data'!S1978,Acceleration!$K$4:$K$110,0)),IF('Track Data'!O1978=3,INDEX(Acceleration!$S$4:$S$110,MATCH('Track Data'!S1978,Acceleration!$K$4:$K$110,0)),'Track Data'!AF1978)),'Track Data'!U1978)</f>
        <v>3.3628306539846999</v>
      </c>
      <c r="AH1978" s="16">
        <f>IF(AC1978=0,IF(O1978=2,INDEX(Acceleration!$R$4:$R$110,MATCH('Track Data'!S1978,Acceleration!$K$4:$K$110,0)),IF('Track Data'!O1978=1,INDEX(Acceleration!$Q$4:$Q$110,MATCH('Track Data'!S1978,Acceleration!$K$4:$K$110,0)),'Track Data'!AG1978)),'Track Data'!U1978)</f>
        <v>3.3628306539846999</v>
      </c>
    </row>
    <row r="1979" spans="2:34" x14ac:dyDescent="0.25">
      <c r="B1979" s="16">
        <v>247.952</v>
      </c>
      <c r="C1979" s="16">
        <v>9249</v>
      </c>
      <c r="D1979" s="16">
        <v>1976</v>
      </c>
      <c r="E1979" s="113">
        <v>186</v>
      </c>
      <c r="F1979" s="113">
        <v>188.3</v>
      </c>
      <c r="G1979" s="113">
        <v>193</v>
      </c>
      <c r="H1979" s="113">
        <f t="shared" si="215"/>
        <v>53.611111111111107</v>
      </c>
      <c r="I1979" s="113">
        <v>-0.9</v>
      </c>
      <c r="J1979" s="113">
        <v>87.12</v>
      </c>
      <c r="K1979" s="113">
        <v>-25.5</v>
      </c>
      <c r="L1979" s="185"/>
      <c r="M1979" s="16">
        <v>1976</v>
      </c>
      <c r="N1979" s="16">
        <f t="shared" si="217"/>
        <v>1.6675939364960583E-2</v>
      </c>
      <c r="O1979" s="16">
        <v>6</v>
      </c>
      <c r="P1979" s="16">
        <f t="shared" si="213"/>
        <v>7.3113821138211375</v>
      </c>
      <c r="Q1979" s="16">
        <f t="shared" si="218"/>
        <v>59.966636848128381</v>
      </c>
      <c r="R1979" s="113">
        <f t="shared" si="214"/>
        <v>311.95699999999999</v>
      </c>
      <c r="S1979" s="16">
        <f>IF(S1978=15800,15800,ROUND((((Q1979*60)/'Gearing Calculator'!$C$14)*'Track Data'!P1979),-2))</f>
        <v>13300</v>
      </c>
      <c r="T1979" s="16">
        <f t="shared" si="216"/>
        <v>3.3628306539846999</v>
      </c>
      <c r="U1979" s="16">
        <f>IF(AC1979=100,Braking!$AG$2354,IF(AC1979=50,Braking!$AG$1179,IF(AC1979=75,Braking!$AG$1767,0)))</f>
        <v>0</v>
      </c>
      <c r="V1979" s="16">
        <f>0.5*'Gearing Calculator'!$C$15*'Gearing Calculator'!$C$20*'Gearing Calculator'!$W$20*('Track Data'!Q1979^2)</f>
        <v>380.60037909120263</v>
      </c>
      <c r="W1979" s="16">
        <f>('Gearing Calculator'!$U$9*'Track Data'!T1979)+'Track Data'!V1979</f>
        <v>1275.7858991819298</v>
      </c>
      <c r="X1979" s="16">
        <f>('Gearing Calculator'!$U$9*9.81)*('Gearing Calculator'!$U$16/'Gearing Calculator'!$C$7)-(('Track Data'!W1979)*('Gearing Calculator'!$U$17/'Gearing Calculator'!$C$7))</f>
        <v>705.77185676410659</v>
      </c>
      <c r="Y1979" s="16">
        <f>('Gearing Calculator'!$U$9*9.81)*(('Gearing Calculator'!$C$7-'Gearing Calculator'!$U$16)/'Gearing Calculator'!$C$7)+(('Track Data'!W1979)*('Gearing Calculator'!$U$17/'Gearing Calculator'!$C$7))</f>
        <v>1905.6501432358934</v>
      </c>
      <c r="Z1979" s="16">
        <f>((X1979*COS('Gearing Calculator'!$C$21))/'Gearing Calculator'!$C$22)/2</f>
        <v>21.820233644940814</v>
      </c>
      <c r="AA1979" s="16">
        <f>Y1979/'Gearing Calculator'!$C$24</f>
        <v>26.609267638173126</v>
      </c>
      <c r="AB1979" s="16">
        <f t="shared" si="219"/>
        <v>400.77736301511084</v>
      </c>
      <c r="AC1979" s="16">
        <v>0</v>
      </c>
      <c r="AD1979" s="16">
        <v>0</v>
      </c>
      <c r="AE1979" s="16">
        <v>1976</v>
      </c>
      <c r="AF1979" s="16">
        <f>IF(AC1979=0,IF(O1979=6,INDEX(Acceleration!$V$4:$V$110,MATCH('Track Data'!S1979,Acceleration!$K$4:$K$110,0)),IF('Track Data'!O1979=5,INDEX(Acceleration!$U$4:$U$110,MATCH('Track Data'!S1979,Acceleration!$K$4:$K$110,0)),1)),U1979)</f>
        <v>3.3628306539846999</v>
      </c>
      <c r="AG1979" s="16">
        <f>IF(AC1979=0,IF(O1979=4,INDEX(Acceleration!$T$4:$T$110,MATCH('Track Data'!S1979,Acceleration!$K$4:$K$110,0)),IF('Track Data'!O1979=3,INDEX(Acceleration!$S$4:$S$110,MATCH('Track Data'!S1979,Acceleration!$K$4:$K$110,0)),'Track Data'!AF1979)),'Track Data'!U1979)</f>
        <v>3.3628306539846999</v>
      </c>
      <c r="AH1979" s="16">
        <f>IF(AC1979=0,IF(O1979=2,INDEX(Acceleration!$R$4:$R$110,MATCH('Track Data'!S1979,Acceleration!$K$4:$K$110,0)),IF('Track Data'!O1979=1,INDEX(Acceleration!$Q$4:$Q$110,MATCH('Track Data'!S1979,Acceleration!$K$4:$K$110,0)),'Track Data'!AG1979)),'Track Data'!U1979)</f>
        <v>3.3628306539846999</v>
      </c>
    </row>
    <row r="1980" spans="2:34" x14ac:dyDescent="0.25">
      <c r="B1980" s="16">
        <v>247.971</v>
      </c>
      <c r="C1980" s="16">
        <v>9250</v>
      </c>
      <c r="D1980" s="16">
        <v>1977</v>
      </c>
      <c r="E1980" s="113">
        <v>185</v>
      </c>
      <c r="F1980" s="113">
        <v>187</v>
      </c>
      <c r="G1980" s="113">
        <v>192.6</v>
      </c>
      <c r="H1980" s="113">
        <f t="shared" si="215"/>
        <v>53.5</v>
      </c>
      <c r="I1980" s="113">
        <v>-1</v>
      </c>
      <c r="J1980" s="113">
        <v>87.39</v>
      </c>
      <c r="K1980" s="113">
        <v>-25.7</v>
      </c>
      <c r="L1980" s="185"/>
      <c r="M1980" s="16">
        <v>1977</v>
      </c>
      <c r="N1980" s="16">
        <f t="shared" si="217"/>
        <v>1.6660366545836282E-2</v>
      </c>
      <c r="O1980" s="16">
        <v>6</v>
      </c>
      <c r="P1980" s="16">
        <f t="shared" si="213"/>
        <v>7.3113821138211375</v>
      </c>
      <c r="Q1980" s="16">
        <f t="shared" si="218"/>
        <v>60.022689011600256</v>
      </c>
      <c r="R1980" s="113">
        <f t="shared" si="214"/>
        <v>311.95699999999999</v>
      </c>
      <c r="S1980" s="16">
        <f>IF(S1979=15800,15800,ROUND((((Q1980*60)/'Gearing Calculator'!$C$14)*'Track Data'!P1980),-2))</f>
        <v>13300</v>
      </c>
      <c r="T1980" s="16">
        <f t="shared" si="216"/>
        <v>3.3628306539846999</v>
      </c>
      <c r="U1980" s="16">
        <f>IF(AC1980=100,Braking!$AG$2354,IF(AC1980=50,Braking!$AG$1179,IF(AC1980=75,Braking!$AG$1767,0)))</f>
        <v>0</v>
      </c>
      <c r="V1980" s="16">
        <f>0.5*'Gearing Calculator'!$C$15*'Gearing Calculator'!$C$20*'Gearing Calculator'!$W$20*('Track Data'!Q1980^2)</f>
        <v>381.31222308403812</v>
      </c>
      <c r="W1980" s="16">
        <f>('Gearing Calculator'!$U$9*'Track Data'!T1980)+'Track Data'!V1980</f>
        <v>1276.4977431747652</v>
      </c>
      <c r="X1980" s="16">
        <f>('Gearing Calculator'!$U$9*9.81)*('Gearing Calculator'!$U$16/'Gearing Calculator'!$C$7)-(('Track Data'!W1980)*('Gearing Calculator'!$U$17/'Gearing Calculator'!$C$7))</f>
        <v>705.38385317352765</v>
      </c>
      <c r="Y1980" s="16">
        <f>('Gearing Calculator'!$U$9*9.81)*(('Gearing Calculator'!$C$7-'Gearing Calculator'!$U$16)/'Gearing Calculator'!$C$7)+(('Track Data'!W1980)*('Gearing Calculator'!$U$17/'Gearing Calculator'!$C$7))</f>
        <v>1906.0381468264723</v>
      </c>
      <c r="Z1980" s="16">
        <f>((X1980*COS('Gearing Calculator'!$C$21))/'Gearing Calculator'!$C$22)/2</f>
        <v>21.808237801070916</v>
      </c>
      <c r="AA1980" s="16">
        <f>Y1980/'Gearing Calculator'!$C$24</f>
        <v>26.614685469679571</v>
      </c>
      <c r="AB1980" s="16">
        <f t="shared" si="219"/>
        <v>401.48920700794633</v>
      </c>
      <c r="AC1980" s="16">
        <v>0</v>
      </c>
      <c r="AD1980" s="16">
        <v>0</v>
      </c>
      <c r="AE1980" s="16">
        <v>1977</v>
      </c>
      <c r="AF1980" s="16">
        <f>IF(AC1980=0,IF(O1980=6,INDEX(Acceleration!$V$4:$V$110,MATCH('Track Data'!S1980,Acceleration!$K$4:$K$110,0)),IF('Track Data'!O1980=5,INDEX(Acceleration!$U$4:$U$110,MATCH('Track Data'!S1980,Acceleration!$K$4:$K$110,0)),1)),U1980)</f>
        <v>3.3628306539846999</v>
      </c>
      <c r="AG1980" s="16">
        <f>IF(AC1980=0,IF(O1980=4,INDEX(Acceleration!$T$4:$T$110,MATCH('Track Data'!S1980,Acceleration!$K$4:$K$110,0)),IF('Track Data'!O1980=3,INDEX(Acceleration!$S$4:$S$110,MATCH('Track Data'!S1980,Acceleration!$K$4:$K$110,0)),'Track Data'!AF1980)),'Track Data'!U1980)</f>
        <v>3.3628306539846999</v>
      </c>
      <c r="AH1980" s="16">
        <f>IF(AC1980=0,IF(O1980=2,INDEX(Acceleration!$R$4:$R$110,MATCH('Track Data'!S1980,Acceleration!$K$4:$K$110,0)),IF('Track Data'!O1980=1,INDEX(Acceleration!$Q$4:$Q$110,MATCH('Track Data'!S1980,Acceleration!$K$4:$K$110,0)),'Track Data'!AG1980)),'Track Data'!U1980)</f>
        <v>3.3628306539846999</v>
      </c>
    </row>
    <row r="1981" spans="2:34" x14ac:dyDescent="0.25">
      <c r="B1981" s="16">
        <v>247.99</v>
      </c>
      <c r="C1981" s="16">
        <v>9251</v>
      </c>
      <c r="D1981" s="16">
        <v>1978</v>
      </c>
      <c r="E1981" s="113">
        <v>184</v>
      </c>
      <c r="F1981" s="113">
        <v>185.5</v>
      </c>
      <c r="G1981" s="113">
        <v>192.2</v>
      </c>
      <c r="H1981" s="113">
        <f t="shared" si="215"/>
        <v>53.388888888888886</v>
      </c>
      <c r="I1981" s="113">
        <v>-1</v>
      </c>
      <c r="J1981" s="113">
        <v>87.6</v>
      </c>
      <c r="K1981" s="113">
        <v>-26</v>
      </c>
      <c r="L1981" s="185"/>
      <c r="M1981" s="16">
        <v>1978</v>
      </c>
      <c r="N1981" s="16">
        <f t="shared" si="217"/>
        <v>1.6644837273398411E-2</v>
      </c>
      <c r="O1981" s="16">
        <v>6</v>
      </c>
      <c r="P1981" s="16">
        <f t="shared" si="213"/>
        <v>7.3113821138211375</v>
      </c>
      <c r="Q1981" s="16">
        <f t="shared" si="218"/>
        <v>60.078688879595632</v>
      </c>
      <c r="R1981" s="113">
        <f t="shared" si="214"/>
        <v>311.95699999999999</v>
      </c>
      <c r="S1981" s="16">
        <f>IF(S1980=15800,15800,ROUND((((Q1981*60)/'Gearing Calculator'!$C$14)*'Track Data'!P1981),-2))</f>
        <v>13300</v>
      </c>
      <c r="T1981" s="16">
        <f t="shared" si="216"/>
        <v>3.3628306539846999</v>
      </c>
      <c r="U1981" s="16">
        <f>IF(AC1981=100,Braking!$AG$2354,IF(AC1981=50,Braking!$AG$1179,IF(AC1981=75,Braking!$AG$1767,0)))</f>
        <v>0</v>
      </c>
      <c r="V1981" s="16">
        <f>0.5*'Gearing Calculator'!$C$15*'Gearing Calculator'!$C$20*'Gearing Calculator'!$W$20*('Track Data'!Q1981^2)</f>
        <v>382.02406707687362</v>
      </c>
      <c r="W1981" s="16">
        <f>('Gearing Calculator'!$U$9*'Track Data'!T1981)+'Track Data'!V1981</f>
        <v>1277.2095871676006</v>
      </c>
      <c r="X1981" s="16">
        <f>('Gearing Calculator'!$U$9*9.81)*('Gearing Calculator'!$U$16/'Gearing Calculator'!$C$7)-(('Track Data'!W1981)*('Gearing Calculator'!$U$17/'Gearing Calculator'!$C$7))</f>
        <v>704.99584958294861</v>
      </c>
      <c r="Y1981" s="16">
        <f>('Gearing Calculator'!$U$9*9.81)*(('Gearing Calculator'!$C$7-'Gearing Calculator'!$U$16)/'Gearing Calculator'!$C$7)+(('Track Data'!W1981)*('Gearing Calculator'!$U$17/'Gearing Calculator'!$C$7))</f>
        <v>1906.4261504170513</v>
      </c>
      <c r="Z1981" s="16">
        <f>((X1981*COS('Gearing Calculator'!$C$21))/'Gearing Calculator'!$C$22)/2</f>
        <v>21.796241957201016</v>
      </c>
      <c r="AA1981" s="16">
        <f>Y1981/'Gearing Calculator'!$C$24</f>
        <v>26.62010330118602</v>
      </c>
      <c r="AB1981" s="16">
        <f t="shared" si="219"/>
        <v>402.20105100078183</v>
      </c>
      <c r="AC1981" s="16">
        <v>0</v>
      </c>
      <c r="AD1981" s="16">
        <v>0</v>
      </c>
      <c r="AE1981" s="16">
        <v>1978</v>
      </c>
      <c r="AF1981" s="16">
        <f>IF(AC1981=0,IF(O1981=6,INDEX(Acceleration!$V$4:$V$110,MATCH('Track Data'!S1981,Acceleration!$K$4:$K$110,0)),IF('Track Data'!O1981=5,INDEX(Acceleration!$U$4:$U$110,MATCH('Track Data'!S1981,Acceleration!$K$4:$K$110,0)),1)),U1981)</f>
        <v>3.3628306539846999</v>
      </c>
      <c r="AG1981" s="16">
        <f>IF(AC1981=0,IF(O1981=4,INDEX(Acceleration!$T$4:$T$110,MATCH('Track Data'!S1981,Acceleration!$K$4:$K$110,0)),IF('Track Data'!O1981=3,INDEX(Acceleration!$S$4:$S$110,MATCH('Track Data'!S1981,Acceleration!$K$4:$K$110,0)),'Track Data'!AF1981)),'Track Data'!U1981)</f>
        <v>3.3628306539846999</v>
      </c>
      <c r="AH1981" s="16">
        <f>IF(AC1981=0,IF(O1981=2,INDEX(Acceleration!$R$4:$R$110,MATCH('Track Data'!S1981,Acceleration!$K$4:$K$110,0)),IF('Track Data'!O1981=1,INDEX(Acceleration!$Q$4:$Q$110,MATCH('Track Data'!S1981,Acceleration!$K$4:$K$110,0)),'Track Data'!AG1981)),'Track Data'!U1981)</f>
        <v>3.3628306539846999</v>
      </c>
    </row>
    <row r="1982" spans="2:34" x14ac:dyDescent="0.25">
      <c r="B1982" s="16">
        <v>248.00899999999999</v>
      </c>
      <c r="C1982" s="16">
        <v>9252</v>
      </c>
      <c r="D1982" s="16">
        <v>1979</v>
      </c>
      <c r="E1982" s="113">
        <v>184</v>
      </c>
      <c r="F1982" s="113">
        <v>185</v>
      </c>
      <c r="G1982" s="113">
        <v>192</v>
      </c>
      <c r="H1982" s="113">
        <f t="shared" si="215"/>
        <v>53.333333333333329</v>
      </c>
      <c r="I1982" s="113">
        <v>-1</v>
      </c>
      <c r="J1982" s="113">
        <v>87.31</v>
      </c>
      <c r="K1982" s="113">
        <v>-26</v>
      </c>
      <c r="L1982" s="185"/>
      <c r="M1982" s="16">
        <v>1979</v>
      </c>
      <c r="N1982" s="16">
        <f t="shared" si="217"/>
        <v>1.6629351345073325E-2</v>
      </c>
      <c r="O1982" s="16">
        <v>6</v>
      </c>
      <c r="P1982" s="16">
        <f t="shared" si="213"/>
        <v>7.3113821138211375</v>
      </c>
      <c r="Q1982" s="16">
        <f t="shared" si="218"/>
        <v>60.13463659821366</v>
      </c>
      <c r="R1982" s="113">
        <f t="shared" si="214"/>
        <v>311.95699999999999</v>
      </c>
      <c r="S1982" s="16">
        <f>IF(S1981=15800,15800,ROUND((((Q1982*60)/'Gearing Calculator'!$C$14)*'Track Data'!P1982),-2))</f>
        <v>13300</v>
      </c>
      <c r="T1982" s="16">
        <f t="shared" si="216"/>
        <v>3.3628306539846999</v>
      </c>
      <c r="U1982" s="16">
        <f>IF(AC1982=100,Braking!$AG$2354,IF(AC1982=50,Braking!$AG$1179,IF(AC1982=75,Braking!$AG$1767,0)))</f>
        <v>0</v>
      </c>
      <c r="V1982" s="16">
        <f>0.5*'Gearing Calculator'!$C$15*'Gearing Calculator'!$C$20*'Gearing Calculator'!$W$20*('Track Data'!Q1982^2)</f>
        <v>382.73591106970918</v>
      </c>
      <c r="W1982" s="16">
        <f>('Gearing Calculator'!$U$9*'Track Data'!T1982)+'Track Data'!V1982</f>
        <v>1277.9214311604362</v>
      </c>
      <c r="X1982" s="16">
        <f>('Gearing Calculator'!$U$9*9.81)*('Gearing Calculator'!$U$16/'Gearing Calculator'!$C$7)-(('Track Data'!W1982)*('Gearing Calculator'!$U$17/'Gearing Calculator'!$C$7))</f>
        <v>704.60784599236956</v>
      </c>
      <c r="Y1982" s="16">
        <f>('Gearing Calculator'!$U$9*9.81)*(('Gearing Calculator'!$C$7-'Gearing Calculator'!$U$16)/'Gearing Calculator'!$C$7)+(('Track Data'!W1982)*('Gearing Calculator'!$U$17/'Gearing Calculator'!$C$7))</f>
        <v>1906.8141540076303</v>
      </c>
      <c r="Z1982" s="16">
        <f>((X1982*COS('Gearing Calculator'!$C$21))/'Gearing Calculator'!$C$22)/2</f>
        <v>21.784246113331118</v>
      </c>
      <c r="AA1982" s="16">
        <f>Y1982/'Gearing Calculator'!$C$24</f>
        <v>26.625521132692466</v>
      </c>
      <c r="AB1982" s="16">
        <f t="shared" si="219"/>
        <v>402.91289499361739</v>
      </c>
      <c r="AC1982" s="16">
        <v>0</v>
      </c>
      <c r="AD1982" s="16">
        <v>0</v>
      </c>
      <c r="AE1982" s="16">
        <v>1979</v>
      </c>
      <c r="AF1982" s="16">
        <f>IF(AC1982=0,IF(O1982=6,INDEX(Acceleration!$V$4:$V$110,MATCH('Track Data'!S1982,Acceleration!$K$4:$K$110,0)),IF('Track Data'!O1982=5,INDEX(Acceleration!$U$4:$U$110,MATCH('Track Data'!S1982,Acceleration!$K$4:$K$110,0)),1)),U1982)</f>
        <v>3.3628306539846999</v>
      </c>
      <c r="AG1982" s="16">
        <f>IF(AC1982=0,IF(O1982=4,INDEX(Acceleration!$T$4:$T$110,MATCH('Track Data'!S1982,Acceleration!$K$4:$K$110,0)),IF('Track Data'!O1982=3,INDEX(Acceleration!$S$4:$S$110,MATCH('Track Data'!S1982,Acceleration!$K$4:$K$110,0)),'Track Data'!AF1982)),'Track Data'!U1982)</f>
        <v>3.3628306539846999</v>
      </c>
      <c r="AH1982" s="16">
        <f>IF(AC1982=0,IF(O1982=2,INDEX(Acceleration!$R$4:$R$110,MATCH('Track Data'!S1982,Acceleration!$K$4:$K$110,0)),IF('Track Data'!O1982=1,INDEX(Acceleration!$Q$4:$Q$110,MATCH('Track Data'!S1982,Acceleration!$K$4:$K$110,0)),'Track Data'!AG1982)),'Track Data'!U1982)</f>
        <v>3.3628306539846999</v>
      </c>
    </row>
    <row r="1983" spans="2:34" x14ac:dyDescent="0.25">
      <c r="B1983" s="16">
        <v>248.029</v>
      </c>
      <c r="C1983" s="16">
        <v>9253</v>
      </c>
      <c r="D1983" s="16">
        <v>1980</v>
      </c>
      <c r="E1983" s="113">
        <v>183</v>
      </c>
      <c r="F1983" s="113">
        <v>184.5</v>
      </c>
      <c r="G1983" s="113">
        <v>191.6</v>
      </c>
      <c r="H1983" s="113">
        <f t="shared" si="215"/>
        <v>53.222222222222221</v>
      </c>
      <c r="I1983" s="113">
        <v>-1.2</v>
      </c>
      <c r="J1983" s="113">
        <v>87.89</v>
      </c>
      <c r="K1983" s="113">
        <v>-25.6</v>
      </c>
      <c r="L1983" s="185"/>
      <c r="M1983" s="16">
        <v>1980</v>
      </c>
      <c r="N1983" s="16">
        <f t="shared" si="217"/>
        <v>1.6613908559604224E-2</v>
      </c>
      <c r="O1983" s="16">
        <v>6</v>
      </c>
      <c r="P1983" s="16">
        <f t="shared" si="213"/>
        <v>7.3113821138211375</v>
      </c>
      <c r="Q1983" s="16">
        <f t="shared" si="218"/>
        <v>60.190532312874481</v>
      </c>
      <c r="R1983" s="113">
        <f t="shared" si="214"/>
        <v>311.95699999999999</v>
      </c>
      <c r="S1983" s="16">
        <f>IF(S1982=15800,15800,ROUND((((Q1983*60)/'Gearing Calculator'!$C$14)*'Track Data'!P1983),-2))</f>
        <v>13300</v>
      </c>
      <c r="T1983" s="16">
        <f t="shared" si="216"/>
        <v>3.3628306539846999</v>
      </c>
      <c r="U1983" s="16">
        <f>IF(AC1983=100,Braking!$AG$2354,IF(AC1983=50,Braking!$AG$1179,IF(AC1983=75,Braking!$AG$1767,0)))</f>
        <v>0</v>
      </c>
      <c r="V1983" s="16">
        <f>0.5*'Gearing Calculator'!$C$15*'Gearing Calculator'!$C$20*'Gearing Calculator'!$W$20*('Track Data'!Q1983^2)</f>
        <v>383.44775506254467</v>
      </c>
      <c r="W1983" s="16">
        <f>('Gearing Calculator'!$U$9*'Track Data'!T1983)+'Track Data'!V1983</f>
        <v>1278.6332751532718</v>
      </c>
      <c r="X1983" s="16">
        <f>('Gearing Calculator'!$U$9*9.81)*('Gearing Calculator'!$U$16/'Gearing Calculator'!$C$7)-(('Track Data'!W1983)*('Gearing Calculator'!$U$17/'Gearing Calculator'!$C$7))</f>
        <v>704.21984240179052</v>
      </c>
      <c r="Y1983" s="16">
        <f>('Gearing Calculator'!$U$9*9.81)*(('Gearing Calculator'!$C$7-'Gearing Calculator'!$U$16)/'Gearing Calculator'!$C$7)+(('Track Data'!W1983)*('Gearing Calculator'!$U$17/'Gearing Calculator'!$C$7))</f>
        <v>1907.2021575982094</v>
      </c>
      <c r="Z1983" s="16">
        <f>((X1983*COS('Gearing Calculator'!$C$21))/'Gearing Calculator'!$C$22)/2</f>
        <v>21.772250269461221</v>
      </c>
      <c r="AA1983" s="16">
        <f>Y1983/'Gearing Calculator'!$C$24</f>
        <v>26.630938964198915</v>
      </c>
      <c r="AB1983" s="16">
        <f t="shared" si="219"/>
        <v>403.62473898645288</v>
      </c>
      <c r="AC1983" s="16">
        <v>0</v>
      </c>
      <c r="AD1983" s="16">
        <v>0</v>
      </c>
      <c r="AE1983" s="16">
        <v>1980</v>
      </c>
      <c r="AF1983" s="16">
        <f>IF(AC1983=0,IF(O1983=6,INDEX(Acceleration!$V$4:$V$110,MATCH('Track Data'!S1983,Acceleration!$K$4:$K$110,0)),IF('Track Data'!O1983=5,INDEX(Acceleration!$U$4:$U$110,MATCH('Track Data'!S1983,Acceleration!$K$4:$K$110,0)),1)),U1983)</f>
        <v>3.3628306539846999</v>
      </c>
      <c r="AG1983" s="16">
        <f>IF(AC1983=0,IF(O1983=4,INDEX(Acceleration!$T$4:$T$110,MATCH('Track Data'!S1983,Acceleration!$K$4:$K$110,0)),IF('Track Data'!O1983=3,INDEX(Acceleration!$S$4:$S$110,MATCH('Track Data'!S1983,Acceleration!$K$4:$K$110,0)),'Track Data'!AF1983)),'Track Data'!U1983)</f>
        <v>3.3628306539846999</v>
      </c>
      <c r="AH1983" s="16">
        <f>IF(AC1983=0,IF(O1983=2,INDEX(Acceleration!$R$4:$R$110,MATCH('Track Data'!S1983,Acceleration!$K$4:$K$110,0)),IF('Track Data'!O1983=1,INDEX(Acceleration!$Q$4:$Q$110,MATCH('Track Data'!S1983,Acceleration!$K$4:$K$110,0)),'Track Data'!AG1983)),'Track Data'!U1983)</f>
        <v>3.3628306539846999</v>
      </c>
    </row>
    <row r="1984" spans="2:34" x14ac:dyDescent="0.25">
      <c r="B1984" s="16">
        <v>248.048</v>
      </c>
      <c r="C1984" s="16">
        <v>9254</v>
      </c>
      <c r="D1984" s="16">
        <v>1981</v>
      </c>
      <c r="E1984" s="113">
        <v>182</v>
      </c>
      <c r="F1984" s="113">
        <v>184</v>
      </c>
      <c r="G1984" s="113">
        <v>191.1</v>
      </c>
      <c r="H1984" s="113">
        <f t="shared" si="215"/>
        <v>53.083333333333329</v>
      </c>
      <c r="I1984" s="113">
        <v>-2</v>
      </c>
      <c r="J1984" s="113">
        <v>88.17</v>
      </c>
      <c r="K1984" s="113">
        <v>-25.2</v>
      </c>
      <c r="L1984" s="185"/>
      <c r="M1984" s="16">
        <v>1981</v>
      </c>
      <c r="N1984" s="16">
        <f t="shared" si="217"/>
        <v>1.6598508717040147E-2</v>
      </c>
      <c r="O1984" s="16">
        <v>6</v>
      </c>
      <c r="P1984" s="16">
        <f t="shared" si="213"/>
        <v>7.3113821138211375</v>
      </c>
      <c r="Q1984" s="16">
        <f t="shared" si="218"/>
        <v>60.246376168323657</v>
      </c>
      <c r="R1984" s="113">
        <f t="shared" si="214"/>
        <v>311.95699999999999</v>
      </c>
      <c r="S1984" s="16">
        <f>IF(S1983=15800,15800,ROUND((((Q1984*60)/'Gearing Calculator'!$C$14)*'Track Data'!P1984),-2))</f>
        <v>13400</v>
      </c>
      <c r="T1984" s="16">
        <f t="shared" si="216"/>
        <v>3.3157685458009416</v>
      </c>
      <c r="U1984" s="16">
        <f>IF(AC1984=100,Braking!$AG$2354,IF(AC1984=50,Braking!$AG$1179,IF(AC1984=75,Braking!$AG$1767,0)))</f>
        <v>0</v>
      </c>
      <c r="V1984" s="16">
        <f>0.5*'Gearing Calculator'!$C$15*'Gearing Calculator'!$C$20*'Gearing Calculator'!$W$20*('Track Data'!Q1984^2)</f>
        <v>384.15959905538011</v>
      </c>
      <c r="W1984" s="16">
        <f>('Gearing Calculator'!$U$9*'Track Data'!T1984)+'Track Data'!V1984</f>
        <v>1266.8171859475906</v>
      </c>
      <c r="X1984" s="16">
        <f>('Gearing Calculator'!$U$9*9.81)*('Gearing Calculator'!$U$16/'Gearing Calculator'!$C$7)-(('Track Data'!W1984)*('Gearing Calculator'!$U$17/'Gearing Calculator'!$C$7))</f>
        <v>710.66041798372976</v>
      </c>
      <c r="Y1984" s="16">
        <f>('Gearing Calculator'!$U$9*9.81)*(('Gearing Calculator'!$C$7-'Gearing Calculator'!$U$16)/'Gearing Calculator'!$C$7)+(('Track Data'!W1984)*('Gearing Calculator'!$U$17/'Gearing Calculator'!$C$7))</f>
        <v>1900.7615820162703</v>
      </c>
      <c r="Z1984" s="16">
        <f>((X1984*COS('Gearing Calculator'!$C$21))/'Gearing Calculator'!$C$22)/2</f>
        <v>21.971372496649696</v>
      </c>
      <c r="AA1984" s="16">
        <f>Y1984/'Gearing Calculator'!$C$24</f>
        <v>26.541006927087061</v>
      </c>
      <c r="AB1984" s="16">
        <f t="shared" si="219"/>
        <v>404.05421033018575</v>
      </c>
      <c r="AC1984" s="16">
        <v>0</v>
      </c>
      <c r="AD1984" s="16">
        <v>0</v>
      </c>
      <c r="AE1984" s="16">
        <v>1981</v>
      </c>
      <c r="AF1984" s="16">
        <f>IF(AC1984=0,IF(O1984=6,INDEX(Acceleration!$V$4:$V$110,MATCH('Track Data'!S1984,Acceleration!$K$4:$K$110,0)),IF('Track Data'!O1984=5,INDEX(Acceleration!$U$4:$U$110,MATCH('Track Data'!S1984,Acceleration!$K$4:$K$110,0)),1)),U1984)</f>
        <v>3.3157685458009416</v>
      </c>
      <c r="AG1984" s="16">
        <f>IF(AC1984=0,IF(O1984=4,INDEX(Acceleration!$T$4:$T$110,MATCH('Track Data'!S1984,Acceleration!$K$4:$K$110,0)),IF('Track Data'!O1984=3,INDEX(Acceleration!$S$4:$S$110,MATCH('Track Data'!S1984,Acceleration!$K$4:$K$110,0)),'Track Data'!AF1984)),'Track Data'!U1984)</f>
        <v>3.3157685458009416</v>
      </c>
      <c r="AH1984" s="16">
        <f>IF(AC1984=0,IF(O1984=2,INDEX(Acceleration!$R$4:$R$110,MATCH('Track Data'!S1984,Acceleration!$K$4:$K$110,0)),IF('Track Data'!O1984=1,INDEX(Acceleration!$Q$4:$Q$110,MATCH('Track Data'!S1984,Acceleration!$K$4:$K$110,0)),'Track Data'!AG1984)),'Track Data'!U1984)</f>
        <v>3.3157685458009416</v>
      </c>
    </row>
    <row r="1985" spans="2:34" x14ac:dyDescent="0.25">
      <c r="B1985" s="16">
        <v>248.06700000000001</v>
      </c>
      <c r="C1985" s="16">
        <v>9255</v>
      </c>
      <c r="D1985" s="16">
        <v>1982</v>
      </c>
      <c r="E1985" s="113">
        <v>180</v>
      </c>
      <c r="F1985" s="113">
        <v>183.1</v>
      </c>
      <c r="G1985" s="113">
        <v>190.7</v>
      </c>
      <c r="H1985" s="113">
        <f t="shared" si="215"/>
        <v>52.972222222222214</v>
      </c>
      <c r="I1985" s="113">
        <v>-3</v>
      </c>
      <c r="J1985" s="113">
        <v>89.6</v>
      </c>
      <c r="K1985" s="113">
        <v>-24.8</v>
      </c>
      <c r="L1985" s="185"/>
      <c r="M1985" s="16">
        <v>1982</v>
      </c>
      <c r="N1985" s="16">
        <f t="shared" si="217"/>
        <v>1.6583366244078589E-2</v>
      </c>
      <c r="O1985" s="16">
        <v>6</v>
      </c>
      <c r="P1985" s="16">
        <f t="shared" si="213"/>
        <v>7.3113821138211375</v>
      </c>
      <c r="Q1985" s="16">
        <f t="shared" si="218"/>
        <v>60.301387865510677</v>
      </c>
      <c r="R1985" s="113">
        <f t="shared" si="214"/>
        <v>311.95699999999999</v>
      </c>
      <c r="S1985" s="16">
        <f>IF(S1984=15800,15800,ROUND((((Q1985*60)/'Gearing Calculator'!$C$14)*'Track Data'!P1985),-2))</f>
        <v>13400</v>
      </c>
      <c r="T1985" s="16">
        <f t="shared" si="216"/>
        <v>3.3157685458009416</v>
      </c>
      <c r="U1985" s="16">
        <f>IF(AC1985=100,Braking!$AG$2354,IF(AC1985=50,Braking!$AG$1179,IF(AC1985=75,Braking!$AG$1767,0)))</f>
        <v>0</v>
      </c>
      <c r="V1985" s="16">
        <f>0.5*'Gearing Calculator'!$C$15*'Gearing Calculator'!$C$20*'Gearing Calculator'!$W$20*('Track Data'!Q1985^2)</f>
        <v>384.86148094115526</v>
      </c>
      <c r="W1985" s="16">
        <f>('Gearing Calculator'!$U$9*'Track Data'!T1985)+'Track Data'!V1985</f>
        <v>1267.5190678333659</v>
      </c>
      <c r="X1985" s="16">
        <f>('Gearing Calculator'!$U$9*9.81)*('Gearing Calculator'!$U$16/'Gearing Calculator'!$C$7)-(('Track Data'!W1985)*('Gearing Calculator'!$U$17/'Gearing Calculator'!$C$7))</f>
        <v>710.27784442184804</v>
      </c>
      <c r="Y1985" s="16">
        <f>('Gearing Calculator'!$U$9*9.81)*(('Gearing Calculator'!$C$7-'Gearing Calculator'!$U$16)/'Gearing Calculator'!$C$7)+(('Track Data'!W1985)*('Gearing Calculator'!$U$17/'Gearing Calculator'!$C$7))</f>
        <v>1901.1441555781521</v>
      </c>
      <c r="Z1985" s="16">
        <f>((X1985*COS('Gearing Calculator'!$C$21))/'Gearing Calculator'!$C$22)/2</f>
        <v>21.9595445320934</v>
      </c>
      <c r="AA1985" s="16">
        <f>Y1985/'Gearing Calculator'!$C$24</f>
        <v>26.546348937180326</v>
      </c>
      <c r="AB1985" s="16">
        <f t="shared" si="219"/>
        <v>404.7560922159609</v>
      </c>
      <c r="AC1985" s="16">
        <v>0</v>
      </c>
      <c r="AD1985" s="16">
        <v>0</v>
      </c>
      <c r="AE1985" s="16">
        <v>1982</v>
      </c>
      <c r="AF1985" s="16">
        <f>IF(AC1985=0,IF(O1985=6,INDEX(Acceleration!$V$4:$V$110,MATCH('Track Data'!S1985,Acceleration!$K$4:$K$110,0)),IF('Track Data'!O1985=5,INDEX(Acceleration!$U$4:$U$110,MATCH('Track Data'!S1985,Acceleration!$K$4:$K$110,0)),1)),U1985)</f>
        <v>3.3157685458009416</v>
      </c>
      <c r="AG1985" s="16">
        <f>IF(AC1985=0,IF(O1985=4,INDEX(Acceleration!$T$4:$T$110,MATCH('Track Data'!S1985,Acceleration!$K$4:$K$110,0)),IF('Track Data'!O1985=3,INDEX(Acceleration!$S$4:$S$110,MATCH('Track Data'!S1985,Acceleration!$K$4:$K$110,0)),'Track Data'!AF1985)),'Track Data'!U1985)</f>
        <v>3.3157685458009416</v>
      </c>
      <c r="AH1985" s="16">
        <f>IF(AC1985=0,IF(O1985=2,INDEX(Acceleration!$R$4:$R$110,MATCH('Track Data'!S1985,Acceleration!$K$4:$K$110,0)),IF('Track Data'!O1985=1,INDEX(Acceleration!$Q$4:$Q$110,MATCH('Track Data'!S1985,Acceleration!$K$4:$K$110,0)),'Track Data'!AG1985)),'Track Data'!U1985)</f>
        <v>3.3157685458009416</v>
      </c>
    </row>
    <row r="1986" spans="2:34" x14ac:dyDescent="0.25">
      <c r="B1986" s="16">
        <v>248.08699999999999</v>
      </c>
      <c r="C1986" s="16">
        <v>9256</v>
      </c>
      <c r="D1986" s="16">
        <v>1983</v>
      </c>
      <c r="E1986" s="113">
        <v>179</v>
      </c>
      <c r="F1986" s="113">
        <v>182.3</v>
      </c>
      <c r="G1986" s="113">
        <v>190.3</v>
      </c>
      <c r="H1986" s="113">
        <f t="shared" si="215"/>
        <v>52.861111111111114</v>
      </c>
      <c r="I1986" s="113">
        <v>-3.3</v>
      </c>
      <c r="J1986" s="113">
        <v>89.77</v>
      </c>
      <c r="K1986" s="113">
        <v>-23.8</v>
      </c>
      <c r="L1986" s="185"/>
      <c r="M1986" s="16">
        <v>1983</v>
      </c>
      <c r="N1986" s="16">
        <f t="shared" si="217"/>
        <v>1.6568265138132053E-2</v>
      </c>
      <c r="O1986" s="16">
        <v>6</v>
      </c>
      <c r="P1986" s="16">
        <f t="shared" si="213"/>
        <v>7.3113821138211375</v>
      </c>
      <c r="Q1986" s="16">
        <f t="shared" si="218"/>
        <v>60.356349422395986</v>
      </c>
      <c r="R1986" s="113">
        <f t="shared" si="214"/>
        <v>311.95699999999999</v>
      </c>
      <c r="S1986" s="16">
        <f>IF(S1985=15800,15800,ROUND((((Q1986*60)/'Gearing Calculator'!$C$14)*'Track Data'!P1986),-2))</f>
        <v>13400</v>
      </c>
      <c r="T1986" s="16">
        <f t="shared" si="216"/>
        <v>3.3157685458009416</v>
      </c>
      <c r="U1986" s="16">
        <f>IF(AC1986=100,Braking!$AG$2354,IF(AC1986=50,Braking!$AG$1179,IF(AC1986=75,Braking!$AG$1767,0)))</f>
        <v>0</v>
      </c>
      <c r="V1986" s="16">
        <f>0.5*'Gearing Calculator'!$C$15*'Gearing Calculator'!$C$20*'Gearing Calculator'!$W$20*('Track Data'!Q1986^2)</f>
        <v>385.56336282693042</v>
      </c>
      <c r="W1986" s="16">
        <f>('Gearing Calculator'!$U$9*'Track Data'!T1986)+'Track Data'!V1986</f>
        <v>1268.2209497191411</v>
      </c>
      <c r="X1986" s="16">
        <f>('Gearing Calculator'!$U$9*9.81)*('Gearing Calculator'!$U$16/'Gearing Calculator'!$C$7)-(('Track Data'!W1986)*('Gearing Calculator'!$U$17/'Gearing Calculator'!$C$7))</f>
        <v>709.89527085996622</v>
      </c>
      <c r="Y1986" s="16">
        <f>('Gearing Calculator'!$U$9*9.81)*(('Gearing Calculator'!$C$7-'Gearing Calculator'!$U$16)/'Gearing Calculator'!$C$7)+(('Track Data'!W1986)*('Gearing Calculator'!$U$17/'Gearing Calculator'!$C$7))</f>
        <v>1901.5267291400337</v>
      </c>
      <c r="Z1986" s="16">
        <f>((X1986*COS('Gearing Calculator'!$C$21))/'Gearing Calculator'!$C$22)/2</f>
        <v>21.947716567537103</v>
      </c>
      <c r="AA1986" s="16">
        <f>Y1986/'Gearing Calculator'!$C$24</f>
        <v>26.551690947273592</v>
      </c>
      <c r="AB1986" s="16">
        <f t="shared" si="219"/>
        <v>405.45797410173606</v>
      </c>
      <c r="AC1986" s="16">
        <v>0</v>
      </c>
      <c r="AD1986" s="16">
        <v>0</v>
      </c>
      <c r="AE1986" s="16">
        <v>1983</v>
      </c>
      <c r="AF1986" s="16">
        <f>IF(AC1986=0,IF(O1986=6,INDEX(Acceleration!$V$4:$V$110,MATCH('Track Data'!S1986,Acceleration!$K$4:$K$110,0)),IF('Track Data'!O1986=5,INDEX(Acceleration!$U$4:$U$110,MATCH('Track Data'!S1986,Acceleration!$K$4:$K$110,0)),1)),U1986)</f>
        <v>3.3157685458009416</v>
      </c>
      <c r="AG1986" s="16">
        <f>IF(AC1986=0,IF(O1986=4,INDEX(Acceleration!$T$4:$T$110,MATCH('Track Data'!S1986,Acceleration!$K$4:$K$110,0)),IF('Track Data'!O1986=3,INDEX(Acceleration!$S$4:$S$110,MATCH('Track Data'!S1986,Acceleration!$K$4:$K$110,0)),'Track Data'!AF1986)),'Track Data'!U1986)</f>
        <v>3.3157685458009416</v>
      </c>
      <c r="AH1986" s="16">
        <f>IF(AC1986=0,IF(O1986=2,INDEX(Acceleration!$R$4:$R$110,MATCH('Track Data'!S1986,Acceleration!$K$4:$K$110,0)),IF('Track Data'!O1986=1,INDEX(Acceleration!$Q$4:$Q$110,MATCH('Track Data'!S1986,Acceleration!$K$4:$K$110,0)),'Track Data'!AG1986)),'Track Data'!U1986)</f>
        <v>3.3157685458009416</v>
      </c>
    </row>
    <row r="1987" spans="2:34" x14ac:dyDescent="0.25">
      <c r="B1987" s="16">
        <v>248.107</v>
      </c>
      <c r="C1987" s="16">
        <v>9257</v>
      </c>
      <c r="D1987" s="16">
        <v>1984</v>
      </c>
      <c r="E1987" s="113">
        <v>178</v>
      </c>
      <c r="F1987" s="113">
        <v>181.8</v>
      </c>
      <c r="G1987" s="113">
        <v>189.8</v>
      </c>
      <c r="H1987" s="113">
        <f t="shared" si="215"/>
        <v>52.722222222222221</v>
      </c>
      <c r="I1987" s="113">
        <v>-3.6</v>
      </c>
      <c r="J1987" s="113">
        <v>90.42</v>
      </c>
      <c r="K1987" s="113">
        <v>-20.2</v>
      </c>
      <c r="L1987" s="185"/>
      <c r="M1987" s="16">
        <v>1984</v>
      </c>
      <c r="N1987" s="16">
        <f t="shared" si="217"/>
        <v>1.6553205211195215E-2</v>
      </c>
      <c r="O1987" s="16">
        <v>6</v>
      </c>
      <c r="P1987" s="16">
        <f t="shared" si="213"/>
        <v>7.3113821138211375</v>
      </c>
      <c r="Q1987" s="16">
        <f t="shared" si="218"/>
        <v>60.411260975831006</v>
      </c>
      <c r="R1987" s="113">
        <f t="shared" si="214"/>
        <v>311.95699999999999</v>
      </c>
      <c r="S1987" s="16">
        <f>IF(S1986=15800,15800,ROUND((((Q1987*60)/'Gearing Calculator'!$C$14)*'Track Data'!P1987),-2))</f>
        <v>13400</v>
      </c>
      <c r="T1987" s="16">
        <f t="shared" si="216"/>
        <v>3.3157685458009416</v>
      </c>
      <c r="U1987" s="16">
        <f>IF(AC1987=100,Braking!$AG$2354,IF(AC1987=50,Braking!$AG$1179,IF(AC1987=75,Braking!$AG$1767,0)))</f>
        <v>0</v>
      </c>
      <c r="V1987" s="16">
        <f>0.5*'Gearing Calculator'!$C$15*'Gearing Calculator'!$C$20*'Gearing Calculator'!$W$20*('Track Data'!Q1987^2)</f>
        <v>386.26524471270557</v>
      </c>
      <c r="W1987" s="16">
        <f>('Gearing Calculator'!$U$9*'Track Data'!T1987)+'Track Data'!V1987</f>
        <v>1268.9228316049162</v>
      </c>
      <c r="X1987" s="16">
        <f>('Gearing Calculator'!$U$9*9.81)*('Gearing Calculator'!$U$16/'Gearing Calculator'!$C$7)-(('Track Data'!W1987)*('Gearing Calculator'!$U$17/'Gearing Calculator'!$C$7))</f>
        <v>709.51269729808462</v>
      </c>
      <c r="Y1987" s="16">
        <f>('Gearing Calculator'!$U$9*9.81)*(('Gearing Calculator'!$C$7-'Gearing Calculator'!$U$16)/'Gearing Calculator'!$C$7)+(('Track Data'!W1987)*('Gearing Calculator'!$U$17/'Gearing Calculator'!$C$7))</f>
        <v>1901.9093027019153</v>
      </c>
      <c r="Z1987" s="16">
        <f>((X1987*COS('Gearing Calculator'!$C$21))/'Gearing Calculator'!$C$22)/2</f>
        <v>21.93588860298081</v>
      </c>
      <c r="AA1987" s="16">
        <f>Y1987/'Gearing Calculator'!$C$24</f>
        <v>26.557032957366857</v>
      </c>
      <c r="AB1987" s="16">
        <f t="shared" si="219"/>
        <v>406.15985598751121</v>
      </c>
      <c r="AC1987" s="16">
        <v>0</v>
      </c>
      <c r="AD1987" s="16">
        <v>0</v>
      </c>
      <c r="AE1987" s="16">
        <v>1984</v>
      </c>
      <c r="AF1987" s="16">
        <f>IF(AC1987=0,IF(O1987=6,INDEX(Acceleration!$V$4:$V$110,MATCH('Track Data'!S1987,Acceleration!$K$4:$K$110,0)),IF('Track Data'!O1987=5,INDEX(Acceleration!$U$4:$U$110,MATCH('Track Data'!S1987,Acceleration!$K$4:$K$110,0)),1)),U1987)</f>
        <v>3.3157685458009416</v>
      </c>
      <c r="AG1987" s="16">
        <f>IF(AC1987=0,IF(O1987=4,INDEX(Acceleration!$T$4:$T$110,MATCH('Track Data'!S1987,Acceleration!$K$4:$K$110,0)),IF('Track Data'!O1987=3,INDEX(Acceleration!$S$4:$S$110,MATCH('Track Data'!S1987,Acceleration!$K$4:$K$110,0)),'Track Data'!AF1987)),'Track Data'!U1987)</f>
        <v>3.3157685458009416</v>
      </c>
      <c r="AH1987" s="16">
        <f>IF(AC1987=0,IF(O1987=2,INDEX(Acceleration!$R$4:$R$110,MATCH('Track Data'!S1987,Acceleration!$K$4:$K$110,0)),IF('Track Data'!O1987=1,INDEX(Acceleration!$Q$4:$Q$110,MATCH('Track Data'!S1987,Acceleration!$K$4:$K$110,0)),'Track Data'!AG1987)),'Track Data'!U1987)</f>
        <v>3.3157685458009416</v>
      </c>
    </row>
    <row r="1988" spans="2:34" x14ac:dyDescent="0.25">
      <c r="B1988" s="16">
        <v>248.126</v>
      </c>
      <c r="C1988" s="16">
        <v>9258</v>
      </c>
      <c r="D1988" s="16">
        <v>1985</v>
      </c>
      <c r="E1988" s="113">
        <v>177</v>
      </c>
      <c r="F1988" s="113">
        <v>181.2</v>
      </c>
      <c r="G1988" s="113">
        <v>189.4</v>
      </c>
      <c r="H1988" s="113">
        <f t="shared" si="215"/>
        <v>52.611111111111114</v>
      </c>
      <c r="I1988" s="113">
        <v>-3.6</v>
      </c>
      <c r="J1988" s="113">
        <v>91.34</v>
      </c>
      <c r="K1988" s="113">
        <v>-16.600000000000001</v>
      </c>
      <c r="L1988" s="185"/>
      <c r="M1988" s="16">
        <v>1985</v>
      </c>
      <c r="N1988" s="16">
        <f t="shared" si="217"/>
        <v>1.6538186276456819E-2</v>
      </c>
      <c r="O1988" s="16">
        <v>6</v>
      </c>
      <c r="P1988" s="16">
        <f t="shared" ref="P1988:P2051" si="220">VLOOKUP(O1988,$AJ$5:$AK$10,2,FALSE)</f>
        <v>7.3113821138211375</v>
      </c>
      <c r="Q1988" s="16">
        <f t="shared" si="218"/>
        <v>60.466122662045763</v>
      </c>
      <c r="R1988" s="113">
        <f t="shared" ref="R1988:R2051" si="221">VLOOKUP(O1988,$AJ$5:$AL$10,3,FALSE)</f>
        <v>311.95699999999999</v>
      </c>
      <c r="S1988" s="16">
        <f>IF(S1987=15800,15800,ROUND((((Q1988*60)/'Gearing Calculator'!$C$14)*'Track Data'!P1988),-2))</f>
        <v>13400</v>
      </c>
      <c r="T1988" s="16">
        <f t="shared" si="216"/>
        <v>3.3157685458009416</v>
      </c>
      <c r="U1988" s="16">
        <f>IF(AC1988=100,Braking!$AG$2354,IF(AC1988=50,Braking!$AG$1179,IF(AC1988=75,Braking!$AG$1767,0)))</f>
        <v>0</v>
      </c>
      <c r="V1988" s="16">
        <f>0.5*'Gearing Calculator'!$C$15*'Gearing Calculator'!$C$20*'Gearing Calculator'!$W$20*('Track Data'!Q1988^2)</f>
        <v>386.96712659848072</v>
      </c>
      <c r="W1988" s="16">
        <f>('Gearing Calculator'!$U$9*'Track Data'!T1988)+'Track Data'!V1988</f>
        <v>1269.6247134906912</v>
      </c>
      <c r="X1988" s="16">
        <f>('Gearing Calculator'!$U$9*9.81)*('Gearing Calculator'!$U$16/'Gearing Calculator'!$C$7)-(('Track Data'!W1988)*('Gearing Calculator'!$U$17/'Gearing Calculator'!$C$7))</f>
        <v>709.13012373620302</v>
      </c>
      <c r="Y1988" s="16">
        <f>('Gearing Calculator'!$U$9*9.81)*(('Gearing Calculator'!$C$7-'Gearing Calculator'!$U$16)/'Gearing Calculator'!$C$7)+(('Track Data'!W1988)*('Gearing Calculator'!$U$17/'Gearing Calculator'!$C$7))</f>
        <v>1902.2918762637969</v>
      </c>
      <c r="Z1988" s="16">
        <f>((X1988*COS('Gearing Calculator'!$C$21))/'Gearing Calculator'!$C$22)/2</f>
        <v>21.924060638424521</v>
      </c>
      <c r="AA1988" s="16">
        <f>Y1988/'Gearing Calculator'!$C$24</f>
        <v>26.562374967460119</v>
      </c>
      <c r="AB1988" s="16">
        <f t="shared" si="219"/>
        <v>406.86173787328636</v>
      </c>
      <c r="AC1988" s="16">
        <v>0</v>
      </c>
      <c r="AD1988" s="16">
        <v>0</v>
      </c>
      <c r="AE1988" s="16">
        <v>1985</v>
      </c>
      <c r="AF1988" s="16">
        <f>IF(AC1988=0,IF(O1988=6,INDEX(Acceleration!$V$4:$V$110,MATCH('Track Data'!S1988,Acceleration!$K$4:$K$110,0)),IF('Track Data'!O1988=5,INDEX(Acceleration!$U$4:$U$110,MATCH('Track Data'!S1988,Acceleration!$K$4:$K$110,0)),1)),U1988)</f>
        <v>3.3157685458009416</v>
      </c>
      <c r="AG1988" s="16">
        <f>IF(AC1988=0,IF(O1988=4,INDEX(Acceleration!$T$4:$T$110,MATCH('Track Data'!S1988,Acceleration!$K$4:$K$110,0)),IF('Track Data'!O1988=3,INDEX(Acceleration!$S$4:$S$110,MATCH('Track Data'!S1988,Acceleration!$K$4:$K$110,0)),'Track Data'!AF1988)),'Track Data'!U1988)</f>
        <v>3.3157685458009416</v>
      </c>
      <c r="AH1988" s="16">
        <f>IF(AC1988=0,IF(O1988=2,INDEX(Acceleration!$R$4:$R$110,MATCH('Track Data'!S1988,Acceleration!$K$4:$K$110,0)),IF('Track Data'!O1988=1,INDEX(Acceleration!$Q$4:$Q$110,MATCH('Track Data'!S1988,Acceleration!$K$4:$K$110,0)),'Track Data'!AG1988)),'Track Data'!U1988)</f>
        <v>3.3157685458009416</v>
      </c>
    </row>
    <row r="1989" spans="2:34" x14ac:dyDescent="0.25">
      <c r="B1989" s="16">
        <v>248.14599999999999</v>
      </c>
      <c r="C1989" s="16">
        <v>9259</v>
      </c>
      <c r="D1989" s="16">
        <v>1986</v>
      </c>
      <c r="E1989" s="113">
        <v>176</v>
      </c>
      <c r="F1989" s="113">
        <v>180.2</v>
      </c>
      <c r="G1989" s="113">
        <v>188.9</v>
      </c>
      <c r="H1989" s="113">
        <f t="shared" ref="H1989:H2052" si="222">G1989/3.6</f>
        <v>52.472222222222221</v>
      </c>
      <c r="I1989" s="113">
        <v>-3.6</v>
      </c>
      <c r="J1989" s="113">
        <v>94.4</v>
      </c>
      <c r="K1989" s="113">
        <v>-12.9</v>
      </c>
      <c r="L1989" s="185"/>
      <c r="M1989" s="16">
        <v>1986</v>
      </c>
      <c r="N1989" s="16">
        <f t="shared" si="217"/>
        <v>1.652320814828993E-2</v>
      </c>
      <c r="O1989" s="16">
        <v>6</v>
      </c>
      <c r="P1989" s="16">
        <f t="shared" si="220"/>
        <v>7.3113821138211375</v>
      </c>
      <c r="Q1989" s="16">
        <f t="shared" si="218"/>
        <v>60.520934616652823</v>
      </c>
      <c r="R1989" s="113">
        <f t="shared" si="221"/>
        <v>311.95699999999999</v>
      </c>
      <c r="S1989" s="16">
        <f>IF(S1988=15800,15800,ROUND((((Q1989*60)/'Gearing Calculator'!$C$14)*'Track Data'!P1989),-2))</f>
        <v>13400</v>
      </c>
      <c r="T1989" s="16">
        <f t="shared" ref="T1989:T2052" si="223">AH1989</f>
        <v>3.3157685458009416</v>
      </c>
      <c r="U1989" s="16">
        <f>IF(AC1989=100,Braking!$AG$2354,IF(AC1989=50,Braking!$AG$1179,IF(AC1989=75,Braking!$AG$1767,0)))</f>
        <v>0</v>
      </c>
      <c r="V1989" s="16">
        <f>0.5*'Gearing Calculator'!$C$15*'Gearing Calculator'!$C$20*'Gearing Calculator'!$W$20*('Track Data'!Q1989^2)</f>
        <v>387.66900848425587</v>
      </c>
      <c r="W1989" s="16">
        <f>('Gearing Calculator'!$U$9*'Track Data'!T1989)+'Track Data'!V1989</f>
        <v>1270.3265953764665</v>
      </c>
      <c r="X1989" s="16">
        <f>('Gearing Calculator'!$U$9*9.81)*('Gearing Calculator'!$U$16/'Gearing Calculator'!$C$7)-(('Track Data'!W1989)*('Gearing Calculator'!$U$17/'Gearing Calculator'!$C$7))</f>
        <v>708.7475501743213</v>
      </c>
      <c r="Y1989" s="16">
        <f>('Gearing Calculator'!$U$9*9.81)*(('Gearing Calculator'!$C$7-'Gearing Calculator'!$U$16)/'Gearing Calculator'!$C$7)+(('Track Data'!W1989)*('Gearing Calculator'!$U$17/'Gearing Calculator'!$C$7))</f>
        <v>1902.6744498256787</v>
      </c>
      <c r="Z1989" s="16">
        <f>((X1989*COS('Gearing Calculator'!$C$21))/'Gearing Calculator'!$C$22)/2</f>
        <v>21.912232673868225</v>
      </c>
      <c r="AA1989" s="16">
        <f>Y1989/'Gearing Calculator'!$C$24</f>
        <v>26.567716977553388</v>
      </c>
      <c r="AB1989" s="16">
        <f t="shared" si="219"/>
        <v>407.56361975906151</v>
      </c>
      <c r="AC1989" s="16">
        <v>0</v>
      </c>
      <c r="AD1989" s="16">
        <v>0</v>
      </c>
      <c r="AE1989" s="16">
        <v>1986</v>
      </c>
      <c r="AF1989" s="16">
        <f>IF(AC1989=0,IF(O1989=6,INDEX(Acceleration!$V$4:$V$110,MATCH('Track Data'!S1989,Acceleration!$K$4:$K$110,0)),IF('Track Data'!O1989=5,INDEX(Acceleration!$U$4:$U$110,MATCH('Track Data'!S1989,Acceleration!$K$4:$K$110,0)),1)),U1989)</f>
        <v>3.3157685458009416</v>
      </c>
      <c r="AG1989" s="16">
        <f>IF(AC1989=0,IF(O1989=4,INDEX(Acceleration!$T$4:$T$110,MATCH('Track Data'!S1989,Acceleration!$K$4:$K$110,0)),IF('Track Data'!O1989=3,INDEX(Acceleration!$S$4:$S$110,MATCH('Track Data'!S1989,Acceleration!$K$4:$K$110,0)),'Track Data'!AF1989)),'Track Data'!U1989)</f>
        <v>3.3157685458009416</v>
      </c>
      <c r="AH1989" s="16">
        <f>IF(AC1989=0,IF(O1989=2,INDEX(Acceleration!$R$4:$R$110,MATCH('Track Data'!S1989,Acceleration!$K$4:$K$110,0)),IF('Track Data'!O1989=1,INDEX(Acceleration!$Q$4:$Q$110,MATCH('Track Data'!S1989,Acceleration!$K$4:$K$110,0)),'Track Data'!AG1989)),'Track Data'!U1989)</f>
        <v>3.3157685458009416</v>
      </c>
    </row>
    <row r="1990" spans="2:34" x14ac:dyDescent="0.25">
      <c r="B1990" s="16">
        <v>248.166</v>
      </c>
      <c r="C1990" s="16">
        <v>9260</v>
      </c>
      <c r="D1990" s="16">
        <v>1987</v>
      </c>
      <c r="E1990" s="113">
        <v>175</v>
      </c>
      <c r="F1990" s="113">
        <v>179.3</v>
      </c>
      <c r="G1990" s="113">
        <v>188.6</v>
      </c>
      <c r="H1990" s="113">
        <f t="shared" si="222"/>
        <v>52.388888888888886</v>
      </c>
      <c r="I1990" s="113">
        <v>-3.3</v>
      </c>
      <c r="J1990" s="113">
        <v>94.85</v>
      </c>
      <c r="K1990" s="113">
        <v>-10</v>
      </c>
      <c r="L1990" s="185"/>
      <c r="M1990" s="16">
        <v>1987</v>
      </c>
      <c r="N1990" s="16">
        <f t="shared" ref="N1990:N2053" si="224">1/Q1990</f>
        <v>1.6508270642242296E-2</v>
      </c>
      <c r="O1990" s="16">
        <v>6</v>
      </c>
      <c r="P1990" s="16">
        <f t="shared" si="220"/>
        <v>7.3113821138211375</v>
      </c>
      <c r="Q1990" s="16">
        <f t="shared" ref="Q1990:Q2053" si="225">IF(AD1989=0,SQRT(Q1989^2+(2*T1989)),Q1989)</f>
        <v>60.575696974651208</v>
      </c>
      <c r="R1990" s="113">
        <f t="shared" si="221"/>
        <v>311.95699999999999</v>
      </c>
      <c r="S1990" s="16">
        <f>IF(S1989=15800,15800,ROUND((((Q1990*60)/'Gearing Calculator'!$C$14)*'Track Data'!P1990),-2))</f>
        <v>13400</v>
      </c>
      <c r="T1990" s="16">
        <f t="shared" si="223"/>
        <v>-11.216477997530474</v>
      </c>
      <c r="U1990" s="16">
        <f>IF(AC1990=100,Braking!$AG$2354,IF(AC1990=50,Braking!$AG$1179,IF(AC1990=75,Braking!$AG$1767,0)))</f>
        <v>-11.216477997530474</v>
      </c>
      <c r="V1990" s="16">
        <f>0.5*'Gearing Calculator'!$C$15*'Gearing Calculator'!$C$20*'Gearing Calculator'!$W$20*('Track Data'!Q1990^2)</f>
        <v>388.37089037003096</v>
      </c>
      <c r="W1990" s="16">
        <f>('Gearing Calculator'!$U$9*'Track Data'!T1990)+'Track Data'!V1990</f>
        <v>-2597.4555525725809</v>
      </c>
      <c r="X1990" s="16">
        <f>('Gearing Calculator'!$U$9*9.81)*('Gearing Calculator'!$U$16/'Gearing Calculator'!$C$7)-(('Track Data'!W1990)*('Gearing Calculator'!$U$17/'Gearing Calculator'!$C$7))</f>
        <v>2816.9529660884059</v>
      </c>
      <c r="Y1990" s="16">
        <f>('Gearing Calculator'!$U$9*9.81)*(('Gearing Calculator'!$C$7-'Gearing Calculator'!$U$16)/'Gearing Calculator'!$C$7)+(('Track Data'!W1990)*('Gearing Calculator'!$U$17/'Gearing Calculator'!$C$7))</f>
        <v>-205.53096608840588</v>
      </c>
      <c r="Z1990" s="16">
        <f>((X1990*COS('Gearing Calculator'!$C$21))/'Gearing Calculator'!$C$22)/2</f>
        <v>87.091276448279103</v>
      </c>
      <c r="AA1990" s="16">
        <f>Y1990/'Gearing Calculator'!$C$24</f>
        <v>-2.8699016469476297</v>
      </c>
      <c r="AB1990" s="16">
        <f t="shared" si="219"/>
        <v>321.07202238484814</v>
      </c>
      <c r="AC1990" s="16">
        <v>50</v>
      </c>
      <c r="AD1990" s="16">
        <v>0</v>
      </c>
      <c r="AE1990" s="16">
        <v>1987</v>
      </c>
      <c r="AF1990" s="16">
        <f>IF(AC1990=0,IF(O1990=6,INDEX(Acceleration!$V$4:$V$110,MATCH('Track Data'!S1990,Acceleration!$K$4:$K$110,0)),IF('Track Data'!O1990=5,INDEX(Acceleration!$U$4:$U$110,MATCH('Track Data'!S1990,Acceleration!$K$4:$K$110,0)),1)),U1990)</f>
        <v>-11.216477997530474</v>
      </c>
      <c r="AG1990" s="16">
        <f>IF(AC1990=0,IF(O1990=4,INDEX(Acceleration!$T$4:$T$110,MATCH('Track Data'!S1990,Acceleration!$K$4:$K$110,0)),IF('Track Data'!O1990=3,INDEX(Acceleration!$S$4:$S$110,MATCH('Track Data'!S1990,Acceleration!$K$4:$K$110,0)),'Track Data'!AF1990)),'Track Data'!U1990)</f>
        <v>-11.216477997530474</v>
      </c>
      <c r="AH1990" s="16">
        <f>IF(AC1990=0,IF(O1990=2,INDEX(Acceleration!$R$4:$R$110,MATCH('Track Data'!S1990,Acceleration!$K$4:$K$110,0)),IF('Track Data'!O1990=1,INDEX(Acceleration!$Q$4:$Q$110,MATCH('Track Data'!S1990,Acceleration!$K$4:$K$110,0)),'Track Data'!AG1990)),'Track Data'!U1990)</f>
        <v>-11.216477997530474</v>
      </c>
    </row>
    <row r="1991" spans="2:34" x14ac:dyDescent="0.25">
      <c r="B1991" s="16">
        <v>248.18600000000001</v>
      </c>
      <c r="C1991" s="16">
        <v>9261</v>
      </c>
      <c r="D1991" s="16">
        <v>1988</v>
      </c>
      <c r="E1991" s="113">
        <v>174</v>
      </c>
      <c r="F1991" s="113">
        <v>178.8</v>
      </c>
      <c r="G1991" s="113">
        <v>188.2</v>
      </c>
      <c r="H1991" s="113">
        <f t="shared" si="222"/>
        <v>52.277777777777771</v>
      </c>
      <c r="I1991" s="113">
        <v>-3.2</v>
      </c>
      <c r="J1991" s="113">
        <v>94.82</v>
      </c>
      <c r="K1991" s="113">
        <v>-10</v>
      </c>
      <c r="L1991" s="185"/>
      <c r="M1991" s="16">
        <v>1988</v>
      </c>
      <c r="N1991" s="16">
        <f t="shared" si="224"/>
        <v>1.6558964827109637E-2</v>
      </c>
      <c r="O1991" s="16">
        <v>6</v>
      </c>
      <c r="P1991" s="16">
        <f t="shared" si="220"/>
        <v>7.3113821138211375</v>
      </c>
      <c r="Q1991" s="16">
        <f t="shared" si="225"/>
        <v>60.390248450968521</v>
      </c>
      <c r="R1991" s="113">
        <f t="shared" si="221"/>
        <v>311.95699999999999</v>
      </c>
      <c r="S1991" s="16">
        <f>IF(S1990=15800,15800,ROUND((((Q1991*60)/'Gearing Calculator'!$C$14)*'Track Data'!P1991),-2))</f>
        <v>13400</v>
      </c>
      <c r="T1991" s="16">
        <f t="shared" si="223"/>
        <v>-11.216477997530474</v>
      </c>
      <c r="U1991" s="16">
        <f>IF(AC1991=100,Braking!$AG$2354,IF(AC1991=50,Braking!$AG$1179,IF(AC1991=75,Braking!$AG$1767,0)))</f>
        <v>-11.216477997530474</v>
      </c>
      <c r="V1991" s="16">
        <f>0.5*'Gearing Calculator'!$C$15*'Gearing Calculator'!$C$20*'Gearing Calculator'!$W$20*('Track Data'!Q1991^2)</f>
        <v>385.99658630751361</v>
      </c>
      <c r="W1991" s="16">
        <f>('Gearing Calculator'!$U$9*'Track Data'!T1991)+'Track Data'!V1991</f>
        <v>-2599.8298566350982</v>
      </c>
      <c r="X1991" s="16">
        <f>('Gearing Calculator'!$U$9*9.81)*('Gearing Calculator'!$U$16/'Gearing Calculator'!$C$7)-(('Track Data'!W1991)*('Gearing Calculator'!$U$17/'Gearing Calculator'!$C$7))</f>
        <v>2818.2471239525657</v>
      </c>
      <c r="Y1991" s="16">
        <f>('Gearing Calculator'!$U$9*9.81)*(('Gearing Calculator'!$C$7-'Gearing Calculator'!$U$16)/'Gearing Calculator'!$C$7)+(('Track Data'!W1991)*('Gearing Calculator'!$U$17/'Gearing Calculator'!$C$7))</f>
        <v>-206.82512395256572</v>
      </c>
      <c r="Z1991" s="16">
        <f>((X1991*COS('Gearing Calculator'!$C$21))/'Gearing Calculator'!$C$22)/2</f>
        <v>87.13128771636633</v>
      </c>
      <c r="AA1991" s="16">
        <f>Y1991/'Gearing Calculator'!$C$24</f>
        <v>-2.8879724313965531</v>
      </c>
      <c r="AB1991" s="16">
        <f t="shared" si="219"/>
        <v>318.69771832233079</v>
      </c>
      <c r="AC1991" s="16">
        <v>50</v>
      </c>
      <c r="AD1991" s="16">
        <v>0</v>
      </c>
      <c r="AE1991" s="16">
        <v>1988</v>
      </c>
      <c r="AF1991" s="16">
        <f>IF(AC1991=0,IF(O1991=6,INDEX(Acceleration!$V$4:$V$110,MATCH('Track Data'!S1991,Acceleration!$K$4:$K$110,0)),IF('Track Data'!O1991=5,INDEX(Acceleration!$U$4:$U$110,MATCH('Track Data'!S1991,Acceleration!$K$4:$K$110,0)),1)),U1991)</f>
        <v>-11.216477997530474</v>
      </c>
      <c r="AG1991" s="16">
        <f>IF(AC1991=0,IF(O1991=4,INDEX(Acceleration!$T$4:$T$110,MATCH('Track Data'!S1991,Acceleration!$K$4:$K$110,0)),IF('Track Data'!O1991=3,INDEX(Acceleration!$S$4:$S$110,MATCH('Track Data'!S1991,Acceleration!$K$4:$K$110,0)),'Track Data'!AF1991)),'Track Data'!U1991)</f>
        <v>-11.216477997530474</v>
      </c>
      <c r="AH1991" s="16">
        <f>IF(AC1991=0,IF(O1991=2,INDEX(Acceleration!$R$4:$R$110,MATCH('Track Data'!S1991,Acceleration!$K$4:$K$110,0)),IF('Track Data'!O1991=1,INDEX(Acceleration!$Q$4:$Q$110,MATCH('Track Data'!S1991,Acceleration!$K$4:$K$110,0)),'Track Data'!AG1991)),'Track Data'!U1991)</f>
        <v>-11.216477997530474</v>
      </c>
    </row>
    <row r="1992" spans="2:34" x14ac:dyDescent="0.25">
      <c r="B1992" s="16">
        <v>248.20599999999999</v>
      </c>
      <c r="C1992" s="16">
        <v>9262</v>
      </c>
      <c r="D1992" s="16">
        <v>1989</v>
      </c>
      <c r="E1992" s="113">
        <v>173</v>
      </c>
      <c r="F1992" s="113">
        <v>178.1</v>
      </c>
      <c r="G1992" s="113">
        <v>187.8</v>
      </c>
      <c r="H1992" s="113">
        <f t="shared" si="222"/>
        <v>52.166666666666671</v>
      </c>
      <c r="I1992" s="113">
        <v>-3.1</v>
      </c>
      <c r="J1992" s="113">
        <v>95.07</v>
      </c>
      <c r="K1992" s="113">
        <v>-10</v>
      </c>
      <c r="L1992" s="185"/>
      <c r="M1992" s="16">
        <v>1989</v>
      </c>
      <c r="N1992" s="16">
        <f t="shared" si="224"/>
        <v>1.6610128919255965E-2</v>
      </c>
      <c r="O1992" s="16">
        <v>6</v>
      </c>
      <c r="P1992" s="16">
        <f t="shared" si="220"/>
        <v>7.3113821138211375</v>
      </c>
      <c r="Q1992" s="16">
        <f t="shared" si="225"/>
        <v>60.204228688478722</v>
      </c>
      <c r="R1992" s="113">
        <f t="shared" si="221"/>
        <v>311.95699999999999</v>
      </c>
      <c r="S1992" s="16">
        <f>IF(S1991=15800,15800,ROUND((((Q1992*60)/'Gearing Calculator'!$C$14)*'Track Data'!P1992),-2))</f>
        <v>13300</v>
      </c>
      <c r="T1992" s="16">
        <f t="shared" si="223"/>
        <v>-11.216477997530474</v>
      </c>
      <c r="U1992" s="16">
        <f>IF(AC1992=100,Braking!$AG$2354,IF(AC1992=50,Braking!$AG$1179,IF(AC1992=75,Braking!$AG$1767,0)))</f>
        <v>-11.216477997530474</v>
      </c>
      <c r="V1992" s="16">
        <f>0.5*'Gearing Calculator'!$C$15*'Gearing Calculator'!$C$20*'Gearing Calculator'!$W$20*('Track Data'!Q1992^2)</f>
        <v>383.62228224499631</v>
      </c>
      <c r="W1992" s="16">
        <f>('Gearing Calculator'!$U$9*'Track Data'!T1992)+'Track Data'!V1992</f>
        <v>-2602.2041606976154</v>
      </c>
      <c r="X1992" s="16">
        <f>('Gearing Calculator'!$U$9*9.81)*('Gearing Calculator'!$U$16/'Gearing Calculator'!$C$7)-(('Track Data'!W1992)*('Gearing Calculator'!$U$17/'Gearing Calculator'!$C$7))</f>
        <v>2819.5412818167256</v>
      </c>
      <c r="Y1992" s="16">
        <f>('Gearing Calculator'!$U$9*9.81)*(('Gearing Calculator'!$C$7-'Gearing Calculator'!$U$16)/'Gearing Calculator'!$C$7)+(('Track Data'!W1992)*('Gearing Calculator'!$U$17/'Gearing Calculator'!$C$7))</f>
        <v>-208.11928181672556</v>
      </c>
      <c r="Z1992" s="16">
        <f>((X1992*COS('Gearing Calculator'!$C$21))/'Gearing Calculator'!$C$22)/2</f>
        <v>87.171298984453543</v>
      </c>
      <c r="AA1992" s="16">
        <f>Y1992/'Gearing Calculator'!$C$24</f>
        <v>-2.9060432158454761</v>
      </c>
      <c r="AB1992" s="16">
        <f t="shared" si="219"/>
        <v>316.32341425981349</v>
      </c>
      <c r="AC1992" s="16">
        <v>50</v>
      </c>
      <c r="AD1992" s="16">
        <v>0</v>
      </c>
      <c r="AE1992" s="16">
        <v>1989</v>
      </c>
      <c r="AF1992" s="16">
        <f>IF(AC1992=0,IF(O1992=6,INDEX(Acceleration!$V$4:$V$110,MATCH('Track Data'!S1992,Acceleration!$K$4:$K$110,0)),IF('Track Data'!O1992=5,INDEX(Acceleration!$U$4:$U$110,MATCH('Track Data'!S1992,Acceleration!$K$4:$K$110,0)),1)),U1992)</f>
        <v>-11.216477997530474</v>
      </c>
      <c r="AG1992" s="16">
        <f>IF(AC1992=0,IF(O1992=4,INDEX(Acceleration!$T$4:$T$110,MATCH('Track Data'!S1992,Acceleration!$K$4:$K$110,0)),IF('Track Data'!O1992=3,INDEX(Acceleration!$S$4:$S$110,MATCH('Track Data'!S1992,Acceleration!$K$4:$K$110,0)),'Track Data'!AF1992)),'Track Data'!U1992)</f>
        <v>-11.216477997530474</v>
      </c>
      <c r="AH1992" s="16">
        <f>IF(AC1992=0,IF(O1992=2,INDEX(Acceleration!$R$4:$R$110,MATCH('Track Data'!S1992,Acceleration!$K$4:$K$110,0)),IF('Track Data'!O1992=1,INDEX(Acceleration!$Q$4:$Q$110,MATCH('Track Data'!S1992,Acceleration!$K$4:$K$110,0)),'Track Data'!AG1992)),'Track Data'!U1992)</f>
        <v>-11.216477997530474</v>
      </c>
    </row>
    <row r="1993" spans="2:34" x14ac:dyDescent="0.25">
      <c r="B1993" s="16">
        <v>248.226</v>
      </c>
      <c r="C1993" s="16">
        <v>9263</v>
      </c>
      <c r="D1993" s="16">
        <v>1990</v>
      </c>
      <c r="E1993" s="113">
        <v>172</v>
      </c>
      <c r="F1993" s="113">
        <v>176.4</v>
      </c>
      <c r="G1993" s="113">
        <v>187.4</v>
      </c>
      <c r="H1993" s="113">
        <f t="shared" si="222"/>
        <v>52.055555555555557</v>
      </c>
      <c r="I1993" s="113">
        <v>-3.4</v>
      </c>
      <c r="J1993" s="113">
        <v>95.28</v>
      </c>
      <c r="K1993" s="113">
        <v>-10</v>
      </c>
      <c r="L1993" s="185"/>
      <c r="M1993" s="16">
        <v>1990</v>
      </c>
      <c r="N1993" s="16">
        <f t="shared" si="224"/>
        <v>1.6661770223471654E-2</v>
      </c>
      <c r="O1993" s="16">
        <v>6</v>
      </c>
      <c r="P1993" s="16">
        <f t="shared" si="220"/>
        <v>7.3113821138211375</v>
      </c>
      <c r="Q1993" s="16">
        <f t="shared" si="225"/>
        <v>60.017632375657598</v>
      </c>
      <c r="R1993" s="113">
        <f t="shared" si="221"/>
        <v>311.95699999999999</v>
      </c>
      <c r="S1993" s="16">
        <f>IF(S1992=15800,15800,ROUND((((Q1993*60)/'Gearing Calculator'!$C$14)*'Track Data'!P1993),-2))</f>
        <v>13300</v>
      </c>
      <c r="T1993" s="16">
        <f t="shared" si="223"/>
        <v>-11.216477997530474</v>
      </c>
      <c r="U1993" s="16">
        <f>IF(AC1993=100,Braking!$AG$2354,IF(AC1993=50,Braking!$AG$1179,IF(AC1993=75,Braking!$AG$1767,0)))</f>
        <v>-11.216477997530474</v>
      </c>
      <c r="V1993" s="16">
        <f>0.5*'Gearing Calculator'!$C$15*'Gearing Calculator'!$C$20*'Gearing Calculator'!$W$20*('Track Data'!Q1993^2)</f>
        <v>381.24797818247902</v>
      </c>
      <c r="W1993" s="16">
        <f>('Gearing Calculator'!$U$9*'Track Data'!T1993)+'Track Data'!V1993</f>
        <v>-2604.5784647601326</v>
      </c>
      <c r="X1993" s="16">
        <f>('Gearing Calculator'!$U$9*9.81)*('Gearing Calculator'!$U$16/'Gearing Calculator'!$C$7)-(('Track Data'!W1993)*('Gearing Calculator'!$U$17/'Gearing Calculator'!$C$7))</f>
        <v>2820.8354396808854</v>
      </c>
      <c r="Y1993" s="16">
        <f>('Gearing Calculator'!$U$9*9.81)*(('Gearing Calculator'!$C$7-'Gearing Calculator'!$U$16)/'Gearing Calculator'!$C$7)+(('Track Data'!W1993)*('Gearing Calculator'!$U$17/'Gearing Calculator'!$C$7))</f>
        <v>-209.41343968088563</v>
      </c>
      <c r="Z1993" s="16">
        <f>((X1993*COS('Gearing Calculator'!$C$21))/'Gearing Calculator'!$C$22)/2</f>
        <v>87.21131025254077</v>
      </c>
      <c r="AA1993" s="16">
        <f>Y1993/'Gearing Calculator'!$C$24</f>
        <v>-2.924114000294403</v>
      </c>
      <c r="AB1993" s="16">
        <f t="shared" si="219"/>
        <v>313.94911019729619</v>
      </c>
      <c r="AC1993" s="16">
        <v>50</v>
      </c>
      <c r="AD1993" s="16">
        <v>0</v>
      </c>
      <c r="AE1993" s="16">
        <v>1990</v>
      </c>
      <c r="AF1993" s="16">
        <f>IF(AC1993=0,IF(O1993=6,INDEX(Acceleration!$V$4:$V$110,MATCH('Track Data'!S1993,Acceleration!$K$4:$K$110,0)),IF('Track Data'!O1993=5,INDEX(Acceleration!$U$4:$U$110,MATCH('Track Data'!S1993,Acceleration!$K$4:$K$110,0)),1)),U1993)</f>
        <v>-11.216477997530474</v>
      </c>
      <c r="AG1993" s="16">
        <f>IF(AC1993=0,IF(O1993=4,INDEX(Acceleration!$T$4:$T$110,MATCH('Track Data'!S1993,Acceleration!$K$4:$K$110,0)),IF('Track Data'!O1993=3,INDEX(Acceleration!$S$4:$S$110,MATCH('Track Data'!S1993,Acceleration!$K$4:$K$110,0)),'Track Data'!AF1993)),'Track Data'!U1993)</f>
        <v>-11.216477997530474</v>
      </c>
      <c r="AH1993" s="16">
        <f>IF(AC1993=0,IF(O1993=2,INDEX(Acceleration!$R$4:$R$110,MATCH('Track Data'!S1993,Acceleration!$K$4:$K$110,0)),IF('Track Data'!O1993=1,INDEX(Acceleration!$Q$4:$Q$110,MATCH('Track Data'!S1993,Acceleration!$K$4:$K$110,0)),'Track Data'!AG1993)),'Track Data'!U1993)</f>
        <v>-11.216477997530474</v>
      </c>
    </row>
    <row r="1994" spans="2:34" x14ac:dyDescent="0.25">
      <c r="B1994" s="16">
        <v>248.24600000000001</v>
      </c>
      <c r="C1994" s="16">
        <v>9264</v>
      </c>
      <c r="D1994" s="16">
        <v>1991</v>
      </c>
      <c r="E1994" s="113">
        <v>171</v>
      </c>
      <c r="F1994" s="113">
        <v>175.2</v>
      </c>
      <c r="G1994" s="113">
        <v>186.9</v>
      </c>
      <c r="H1994" s="113">
        <f t="shared" si="222"/>
        <v>51.916666666666664</v>
      </c>
      <c r="I1994" s="113">
        <v>-3.5</v>
      </c>
      <c r="J1994" s="113">
        <v>95.34</v>
      </c>
      <c r="K1994" s="113">
        <v>-10.4</v>
      </c>
      <c r="L1994" s="185"/>
      <c r="M1994" s="16">
        <v>1991</v>
      </c>
      <c r="N1994" s="16">
        <f t="shared" si="224"/>
        <v>1.6713896204517981E-2</v>
      </c>
      <c r="O1994" s="16">
        <v>6</v>
      </c>
      <c r="P1994" s="16">
        <f t="shared" si="220"/>
        <v>7.3113821138211375</v>
      </c>
      <c r="Q1994" s="16">
        <f t="shared" si="225"/>
        <v>59.830454118153924</v>
      </c>
      <c r="R1994" s="113">
        <f t="shared" si="221"/>
        <v>311.95699999999999</v>
      </c>
      <c r="S1994" s="16">
        <f>IF(S1993=15800,15800,ROUND((((Q1994*60)/'Gearing Calculator'!$C$14)*'Track Data'!P1994),-2))</f>
        <v>13300</v>
      </c>
      <c r="T1994" s="16">
        <f t="shared" si="223"/>
        <v>-11.216477997530474</v>
      </c>
      <c r="U1994" s="16">
        <f>IF(AC1994=100,Braking!$AG$2354,IF(AC1994=50,Braking!$AG$1179,IF(AC1994=75,Braking!$AG$1767,0)))</f>
        <v>-11.216477997530474</v>
      </c>
      <c r="V1994" s="16">
        <f>0.5*'Gearing Calculator'!$C$15*'Gearing Calculator'!$C$20*'Gearing Calculator'!$W$20*('Track Data'!Q1994^2)</f>
        <v>378.87367411996172</v>
      </c>
      <c r="W1994" s="16">
        <f>('Gearing Calculator'!$U$9*'Track Data'!T1994)+'Track Data'!V1994</f>
        <v>-2606.9527688226499</v>
      </c>
      <c r="X1994" s="16">
        <f>('Gearing Calculator'!$U$9*9.81)*('Gearing Calculator'!$U$16/'Gearing Calculator'!$C$7)-(('Track Data'!W1994)*('Gearing Calculator'!$U$17/'Gearing Calculator'!$C$7))</f>
        <v>2822.1295975450457</v>
      </c>
      <c r="Y1994" s="16">
        <f>('Gearing Calculator'!$U$9*9.81)*(('Gearing Calculator'!$C$7-'Gearing Calculator'!$U$16)/'Gearing Calculator'!$C$7)+(('Track Data'!W1994)*('Gearing Calculator'!$U$17/'Gearing Calculator'!$C$7))</f>
        <v>-210.70759754504547</v>
      </c>
      <c r="Z1994" s="16">
        <f>((X1994*COS('Gearing Calculator'!$C$21))/'Gearing Calculator'!$C$22)/2</f>
        <v>87.251321520628011</v>
      </c>
      <c r="AA1994" s="16">
        <f>Y1994/'Gearing Calculator'!$C$24</f>
        <v>-2.942184784743326</v>
      </c>
      <c r="AB1994" s="16">
        <f t="shared" si="219"/>
        <v>311.5748061347789</v>
      </c>
      <c r="AC1994" s="16">
        <v>50</v>
      </c>
      <c r="AD1994" s="16">
        <v>0</v>
      </c>
      <c r="AE1994" s="16">
        <v>1991</v>
      </c>
      <c r="AF1994" s="16">
        <f>IF(AC1994=0,IF(O1994=6,INDEX(Acceleration!$V$4:$V$110,MATCH('Track Data'!S1994,Acceleration!$K$4:$K$110,0)),IF('Track Data'!O1994=5,INDEX(Acceleration!$U$4:$U$110,MATCH('Track Data'!S1994,Acceleration!$K$4:$K$110,0)),1)),U1994)</f>
        <v>-11.216477997530474</v>
      </c>
      <c r="AG1994" s="16">
        <f>IF(AC1994=0,IF(O1994=4,INDEX(Acceleration!$T$4:$T$110,MATCH('Track Data'!S1994,Acceleration!$K$4:$K$110,0)),IF('Track Data'!O1994=3,INDEX(Acceleration!$S$4:$S$110,MATCH('Track Data'!S1994,Acceleration!$K$4:$K$110,0)),'Track Data'!AF1994)),'Track Data'!U1994)</f>
        <v>-11.216477997530474</v>
      </c>
      <c r="AH1994" s="16">
        <f>IF(AC1994=0,IF(O1994=2,INDEX(Acceleration!$R$4:$R$110,MATCH('Track Data'!S1994,Acceleration!$K$4:$K$110,0)),IF('Track Data'!O1994=1,INDEX(Acceleration!$Q$4:$Q$110,MATCH('Track Data'!S1994,Acceleration!$K$4:$K$110,0)),'Track Data'!AG1994)),'Track Data'!U1994)</f>
        <v>-11.216477997530474</v>
      </c>
    </row>
    <row r="1995" spans="2:34" x14ac:dyDescent="0.25">
      <c r="B1995" s="16">
        <v>248.267</v>
      </c>
      <c r="C1995" s="16">
        <v>9265</v>
      </c>
      <c r="D1995" s="16">
        <v>1992</v>
      </c>
      <c r="E1995" s="113">
        <v>170</v>
      </c>
      <c r="F1995" s="113">
        <v>175.5</v>
      </c>
      <c r="G1995" s="113">
        <v>186.5</v>
      </c>
      <c r="H1995" s="113">
        <f t="shared" si="222"/>
        <v>51.805555555555557</v>
      </c>
      <c r="I1995" s="113">
        <v>-3.6</v>
      </c>
      <c r="J1995" s="113">
        <v>94.42</v>
      </c>
      <c r="K1995" s="113">
        <v>-12.5</v>
      </c>
      <c r="L1995" s="185"/>
      <c r="M1995" s="16">
        <v>1992</v>
      </c>
      <c r="N1995" s="16">
        <f t="shared" si="224"/>
        <v>1.6766514491659702E-2</v>
      </c>
      <c r="O1995" s="16">
        <v>6</v>
      </c>
      <c r="P1995" s="16">
        <f t="shared" si="220"/>
        <v>7.3113821138211375</v>
      </c>
      <c r="Q1995" s="16">
        <f t="shared" si="225"/>
        <v>59.642688436969877</v>
      </c>
      <c r="R1995" s="113">
        <f t="shared" si="221"/>
        <v>311.95699999999999</v>
      </c>
      <c r="S1995" s="16">
        <f>IF(S1994=15800,15800,ROUND((((Q1995*60)/'Gearing Calculator'!$C$14)*'Track Data'!P1995),-2))</f>
        <v>13200</v>
      </c>
      <c r="T1995" s="16">
        <f t="shared" si="223"/>
        <v>-11.216477997530474</v>
      </c>
      <c r="U1995" s="16">
        <f>IF(AC1995=100,Braking!$AG$2354,IF(AC1995=50,Braking!$AG$1179,IF(AC1995=75,Braking!$AG$1767,0)))</f>
        <v>-11.216477997530474</v>
      </c>
      <c r="V1995" s="16">
        <f>0.5*'Gearing Calculator'!$C$15*'Gearing Calculator'!$C$20*'Gearing Calculator'!$W$20*('Track Data'!Q1995^2)</f>
        <v>376.49937005744442</v>
      </c>
      <c r="W1995" s="16">
        <f>('Gearing Calculator'!$U$9*'Track Data'!T1995)+'Track Data'!V1995</f>
        <v>-2609.3270728851671</v>
      </c>
      <c r="X1995" s="16">
        <f>('Gearing Calculator'!$U$9*9.81)*('Gearing Calculator'!$U$16/'Gearing Calculator'!$C$7)-(('Track Data'!W1995)*('Gearing Calculator'!$U$17/'Gearing Calculator'!$C$7))</f>
        <v>2823.4237554092056</v>
      </c>
      <c r="Y1995" s="16">
        <f>('Gearing Calculator'!$U$9*9.81)*(('Gearing Calculator'!$C$7-'Gearing Calculator'!$U$16)/'Gearing Calculator'!$C$7)+(('Track Data'!W1995)*('Gearing Calculator'!$U$17/'Gearing Calculator'!$C$7))</f>
        <v>-212.00175540920554</v>
      </c>
      <c r="Z1995" s="16">
        <f>((X1995*COS('Gearing Calculator'!$C$21))/'Gearing Calculator'!$C$22)/2</f>
        <v>87.291332788715238</v>
      </c>
      <c r="AA1995" s="16">
        <f>Y1995/'Gearing Calculator'!$C$24</f>
        <v>-2.9602555691922525</v>
      </c>
      <c r="AB1995" s="16">
        <f t="shared" si="219"/>
        <v>309.2005020722616</v>
      </c>
      <c r="AC1995" s="16">
        <v>50</v>
      </c>
      <c r="AD1995" s="16">
        <v>0</v>
      </c>
      <c r="AE1995" s="16">
        <v>1992</v>
      </c>
      <c r="AF1995" s="16">
        <f>IF(AC1995=0,IF(O1995=6,INDEX(Acceleration!$V$4:$V$110,MATCH('Track Data'!S1995,Acceleration!$K$4:$K$110,0)),IF('Track Data'!O1995=5,INDEX(Acceleration!$U$4:$U$110,MATCH('Track Data'!S1995,Acceleration!$K$4:$K$110,0)),1)),U1995)</f>
        <v>-11.216477997530474</v>
      </c>
      <c r="AG1995" s="16">
        <f>IF(AC1995=0,IF(O1995=4,INDEX(Acceleration!$T$4:$T$110,MATCH('Track Data'!S1995,Acceleration!$K$4:$K$110,0)),IF('Track Data'!O1995=3,INDEX(Acceleration!$S$4:$S$110,MATCH('Track Data'!S1995,Acceleration!$K$4:$K$110,0)),'Track Data'!AF1995)),'Track Data'!U1995)</f>
        <v>-11.216477997530474</v>
      </c>
      <c r="AH1995" s="16">
        <f>IF(AC1995=0,IF(O1995=2,INDEX(Acceleration!$R$4:$R$110,MATCH('Track Data'!S1995,Acceleration!$K$4:$K$110,0)),IF('Track Data'!O1995=1,INDEX(Acceleration!$Q$4:$Q$110,MATCH('Track Data'!S1995,Acceleration!$K$4:$K$110,0)),'Track Data'!AG1995)),'Track Data'!U1995)</f>
        <v>-11.216477997530474</v>
      </c>
    </row>
    <row r="1996" spans="2:34" x14ac:dyDescent="0.25">
      <c r="B1996" s="16">
        <v>248.28700000000001</v>
      </c>
      <c r="C1996" s="16">
        <v>9266</v>
      </c>
      <c r="D1996" s="16">
        <v>1993</v>
      </c>
      <c r="E1996" s="113">
        <v>170</v>
      </c>
      <c r="F1996" s="113">
        <v>175.5</v>
      </c>
      <c r="G1996" s="113">
        <v>186</v>
      </c>
      <c r="H1996" s="113">
        <f t="shared" si="222"/>
        <v>51.666666666666664</v>
      </c>
      <c r="I1996" s="113">
        <v>-3.6</v>
      </c>
      <c r="J1996" s="113">
        <v>93.94</v>
      </c>
      <c r="K1996" s="113">
        <v>-14.5</v>
      </c>
      <c r="L1996" s="185"/>
      <c r="M1996" s="16">
        <v>1993</v>
      </c>
      <c r="N1996" s="16">
        <f t="shared" si="224"/>
        <v>1.6819632883355591E-2</v>
      </c>
      <c r="O1996" s="16">
        <v>6</v>
      </c>
      <c r="P1996" s="16">
        <f t="shared" si="220"/>
        <v>7.3113821138211375</v>
      </c>
      <c r="Q1996" s="16">
        <f t="shared" si="225"/>
        <v>59.454329766589744</v>
      </c>
      <c r="R1996" s="113">
        <f t="shared" si="221"/>
        <v>311.95699999999999</v>
      </c>
      <c r="S1996" s="16">
        <f>IF(S1995=15800,15800,ROUND((((Q1996*60)/'Gearing Calculator'!$C$14)*'Track Data'!P1996),-2))</f>
        <v>13200</v>
      </c>
      <c r="T1996" s="16">
        <f t="shared" si="223"/>
        <v>-11.216477997530474</v>
      </c>
      <c r="U1996" s="16">
        <f>IF(AC1996=100,Braking!$AG$2354,IF(AC1996=50,Braking!$AG$1179,IF(AC1996=75,Braking!$AG$1767,0)))</f>
        <v>-11.216477997530474</v>
      </c>
      <c r="V1996" s="16">
        <f>0.5*'Gearing Calculator'!$C$15*'Gearing Calculator'!$C$20*'Gearing Calculator'!$W$20*('Track Data'!Q1996^2)</f>
        <v>374.12506599492718</v>
      </c>
      <c r="W1996" s="16">
        <f>('Gearing Calculator'!$U$9*'Track Data'!T1996)+'Track Data'!V1996</f>
        <v>-2611.7013769476844</v>
      </c>
      <c r="X1996" s="16">
        <f>('Gearing Calculator'!$U$9*9.81)*('Gearing Calculator'!$U$16/'Gearing Calculator'!$C$7)-(('Track Data'!W1996)*('Gearing Calculator'!$U$17/'Gearing Calculator'!$C$7))</f>
        <v>2824.7179132733654</v>
      </c>
      <c r="Y1996" s="16">
        <f>('Gearing Calculator'!$U$9*9.81)*(('Gearing Calculator'!$C$7-'Gearing Calculator'!$U$16)/'Gearing Calculator'!$C$7)+(('Track Data'!W1996)*('Gearing Calculator'!$U$17/'Gearing Calculator'!$C$7))</f>
        <v>-213.29591327336539</v>
      </c>
      <c r="Z1996" s="16">
        <f>((X1996*COS('Gearing Calculator'!$C$21))/'Gearing Calculator'!$C$22)/2</f>
        <v>87.33134405680245</v>
      </c>
      <c r="AA1996" s="16">
        <f>Y1996/'Gearing Calculator'!$C$24</f>
        <v>-2.9783263536411759</v>
      </c>
      <c r="AB1996" s="16">
        <f t="shared" si="219"/>
        <v>306.82619800974436</v>
      </c>
      <c r="AC1996" s="16">
        <v>50</v>
      </c>
      <c r="AD1996" s="16">
        <v>0</v>
      </c>
      <c r="AE1996" s="16">
        <v>1993</v>
      </c>
      <c r="AF1996" s="16">
        <f>IF(AC1996=0,IF(O1996=6,INDEX(Acceleration!$V$4:$V$110,MATCH('Track Data'!S1996,Acceleration!$K$4:$K$110,0)),IF('Track Data'!O1996=5,INDEX(Acceleration!$U$4:$U$110,MATCH('Track Data'!S1996,Acceleration!$K$4:$K$110,0)),1)),U1996)</f>
        <v>-11.216477997530474</v>
      </c>
      <c r="AG1996" s="16">
        <f>IF(AC1996=0,IF(O1996=4,INDEX(Acceleration!$T$4:$T$110,MATCH('Track Data'!S1996,Acceleration!$K$4:$K$110,0)),IF('Track Data'!O1996=3,INDEX(Acceleration!$S$4:$S$110,MATCH('Track Data'!S1996,Acceleration!$K$4:$K$110,0)),'Track Data'!AF1996)),'Track Data'!U1996)</f>
        <v>-11.216477997530474</v>
      </c>
      <c r="AH1996" s="16">
        <f>IF(AC1996=0,IF(O1996=2,INDEX(Acceleration!$R$4:$R$110,MATCH('Track Data'!S1996,Acceleration!$K$4:$K$110,0)),IF('Track Data'!O1996=1,INDEX(Acceleration!$Q$4:$Q$110,MATCH('Track Data'!S1996,Acceleration!$K$4:$K$110,0)),'Track Data'!AG1996)),'Track Data'!U1996)</f>
        <v>-11.216477997530474</v>
      </c>
    </row>
    <row r="1997" spans="2:34" x14ac:dyDescent="0.25">
      <c r="B1997" s="16">
        <v>248.30799999999999</v>
      </c>
      <c r="C1997" s="16">
        <v>9267</v>
      </c>
      <c r="D1997" s="16">
        <v>1994</v>
      </c>
      <c r="E1997" s="113">
        <v>171</v>
      </c>
      <c r="F1997" s="113">
        <v>173.6</v>
      </c>
      <c r="G1997" s="113">
        <v>185.5</v>
      </c>
      <c r="H1997" s="113">
        <f t="shared" si="222"/>
        <v>51.527777777777779</v>
      </c>
      <c r="I1997" s="113">
        <v>-3.6</v>
      </c>
      <c r="J1997" s="113">
        <v>93.84</v>
      </c>
      <c r="K1997" s="113">
        <v>-16.600000000000001</v>
      </c>
      <c r="L1997" s="185"/>
      <c r="M1997" s="16">
        <v>1994</v>
      </c>
      <c r="N1997" s="16">
        <f t="shared" si="224"/>
        <v>1.6873259352113479E-2</v>
      </c>
      <c r="O1997" s="16">
        <v>6</v>
      </c>
      <c r="P1997" s="16">
        <f t="shared" si="220"/>
        <v>7.3113821138211375</v>
      </c>
      <c r="Q1997" s="16">
        <f t="shared" si="225"/>
        <v>59.265372453055065</v>
      </c>
      <c r="R1997" s="113">
        <f t="shared" si="221"/>
        <v>311.95699999999999</v>
      </c>
      <c r="S1997" s="16">
        <f>IF(S1996=15800,15800,ROUND((((Q1997*60)/'Gearing Calculator'!$C$14)*'Track Data'!P1997),-2))</f>
        <v>13100</v>
      </c>
      <c r="T1997" s="16">
        <f t="shared" si="223"/>
        <v>-11.216477997530474</v>
      </c>
      <c r="U1997" s="16">
        <f>IF(AC1997=100,Braking!$AG$2354,IF(AC1997=50,Braking!$AG$1179,IF(AC1997=75,Braking!$AG$1767,0)))</f>
        <v>-11.216477997530474</v>
      </c>
      <c r="V1997" s="16">
        <f>0.5*'Gearing Calculator'!$C$15*'Gearing Calculator'!$C$20*'Gearing Calculator'!$W$20*('Track Data'!Q1997^2)</f>
        <v>371.75076193240994</v>
      </c>
      <c r="W1997" s="16">
        <f>('Gearing Calculator'!$U$9*'Track Data'!T1997)+'Track Data'!V1997</f>
        <v>-2614.0756810102016</v>
      </c>
      <c r="X1997" s="16">
        <f>('Gearing Calculator'!$U$9*9.81)*('Gearing Calculator'!$U$16/'Gearing Calculator'!$C$7)-(('Track Data'!W1997)*('Gearing Calculator'!$U$17/'Gearing Calculator'!$C$7))</f>
        <v>2826.0120711375253</v>
      </c>
      <c r="Y1997" s="16">
        <f>('Gearing Calculator'!$U$9*9.81)*(('Gearing Calculator'!$C$7-'Gearing Calculator'!$U$16)/'Gearing Calculator'!$C$7)+(('Track Data'!W1997)*('Gearing Calculator'!$U$17/'Gearing Calculator'!$C$7))</f>
        <v>-214.59007113752523</v>
      </c>
      <c r="Z1997" s="16">
        <f>((X1997*COS('Gearing Calculator'!$C$21))/'Gearing Calculator'!$C$22)/2</f>
        <v>87.371355324889677</v>
      </c>
      <c r="AA1997" s="16">
        <f>Y1997/'Gearing Calculator'!$C$24</f>
        <v>-2.9963971380900993</v>
      </c>
      <c r="AB1997" s="16">
        <f t="shared" si="219"/>
        <v>304.45189394722712</v>
      </c>
      <c r="AC1997" s="16">
        <v>50</v>
      </c>
      <c r="AD1997" s="16">
        <v>0</v>
      </c>
      <c r="AE1997" s="16">
        <v>1994</v>
      </c>
      <c r="AF1997" s="16">
        <f>IF(AC1997=0,IF(O1997=6,INDEX(Acceleration!$V$4:$V$110,MATCH('Track Data'!S1997,Acceleration!$K$4:$K$110,0)),IF('Track Data'!O1997=5,INDEX(Acceleration!$U$4:$U$110,MATCH('Track Data'!S1997,Acceleration!$K$4:$K$110,0)),1)),U1997)</f>
        <v>-11.216477997530474</v>
      </c>
      <c r="AG1997" s="16">
        <f>IF(AC1997=0,IF(O1997=4,INDEX(Acceleration!$T$4:$T$110,MATCH('Track Data'!S1997,Acceleration!$K$4:$K$110,0)),IF('Track Data'!O1997=3,INDEX(Acceleration!$S$4:$S$110,MATCH('Track Data'!S1997,Acceleration!$K$4:$K$110,0)),'Track Data'!AF1997)),'Track Data'!U1997)</f>
        <v>-11.216477997530474</v>
      </c>
      <c r="AH1997" s="16">
        <f>IF(AC1997=0,IF(O1997=2,INDEX(Acceleration!$R$4:$R$110,MATCH('Track Data'!S1997,Acceleration!$K$4:$K$110,0)),IF('Track Data'!O1997=1,INDEX(Acceleration!$Q$4:$Q$110,MATCH('Track Data'!S1997,Acceleration!$K$4:$K$110,0)),'Track Data'!AG1997)),'Track Data'!U1997)</f>
        <v>-11.216477997530474</v>
      </c>
    </row>
    <row r="1998" spans="2:34" x14ac:dyDescent="0.25">
      <c r="B1998" s="16">
        <v>248.328</v>
      </c>
      <c r="C1998" s="16">
        <v>9268</v>
      </c>
      <c r="D1998" s="16">
        <v>1995</v>
      </c>
      <c r="E1998" s="113">
        <v>172</v>
      </c>
      <c r="F1998" s="113">
        <v>172.1</v>
      </c>
      <c r="G1998" s="113">
        <v>185</v>
      </c>
      <c r="H1998" s="113">
        <f t="shared" si="222"/>
        <v>51.388888888888886</v>
      </c>
      <c r="I1998" s="113">
        <v>-3.4</v>
      </c>
      <c r="J1998" s="113">
        <v>93.99</v>
      </c>
      <c r="K1998" s="113">
        <v>-18.2</v>
      </c>
      <c r="L1998" s="185"/>
      <c r="M1998" s="16">
        <v>1995</v>
      </c>
      <c r="N1998" s="16">
        <f t="shared" si="224"/>
        <v>1.6927402049516673E-2</v>
      </c>
      <c r="O1998" s="16">
        <v>6</v>
      </c>
      <c r="P1998" s="16">
        <f t="shared" si="220"/>
        <v>7.3113821138211375</v>
      </c>
      <c r="Q1998" s="16">
        <f t="shared" si="225"/>
        <v>59.075810751984413</v>
      </c>
      <c r="R1998" s="113">
        <f t="shared" si="221"/>
        <v>311.95699999999999</v>
      </c>
      <c r="S1998" s="16">
        <f>IF(S1997=15800,15800,ROUND((((Q1998*60)/'Gearing Calculator'!$C$14)*'Track Data'!P1998),-2))</f>
        <v>13100</v>
      </c>
      <c r="T1998" s="16">
        <f t="shared" si="223"/>
        <v>-11.216477997530474</v>
      </c>
      <c r="U1998" s="16">
        <f>IF(AC1998=100,Braking!$AG$2354,IF(AC1998=50,Braking!$AG$1179,IF(AC1998=75,Braking!$AG$1767,0)))</f>
        <v>-11.216477997530474</v>
      </c>
      <c r="V1998" s="16">
        <f>0.5*'Gearing Calculator'!$C$15*'Gearing Calculator'!$C$20*'Gearing Calculator'!$W$20*('Track Data'!Q1998^2)</f>
        <v>369.37645786989265</v>
      </c>
      <c r="W1998" s="16">
        <f>('Gearing Calculator'!$U$9*'Track Data'!T1998)+'Track Data'!V1998</f>
        <v>-2616.4499850727188</v>
      </c>
      <c r="X1998" s="16">
        <f>('Gearing Calculator'!$U$9*9.81)*('Gearing Calculator'!$U$16/'Gearing Calculator'!$C$7)-(('Track Data'!W1998)*('Gearing Calculator'!$U$17/'Gearing Calculator'!$C$7))</f>
        <v>2827.3062290016851</v>
      </c>
      <c r="Y1998" s="16">
        <f>('Gearing Calculator'!$U$9*9.81)*(('Gearing Calculator'!$C$7-'Gearing Calculator'!$U$16)/'Gearing Calculator'!$C$7)+(('Track Data'!W1998)*('Gearing Calculator'!$U$17/'Gearing Calculator'!$C$7))</f>
        <v>-215.8842290016853</v>
      </c>
      <c r="Z1998" s="16">
        <f>((X1998*COS('Gearing Calculator'!$C$21))/'Gearing Calculator'!$C$22)/2</f>
        <v>87.41136659297689</v>
      </c>
      <c r="AA1998" s="16">
        <f>Y1998/'Gearing Calculator'!$C$24</f>
        <v>-3.0144679225390258</v>
      </c>
      <c r="AB1998" s="16">
        <f t="shared" si="219"/>
        <v>302.07758988470982</v>
      </c>
      <c r="AC1998" s="16">
        <v>50</v>
      </c>
      <c r="AD1998" s="16">
        <v>0</v>
      </c>
      <c r="AE1998" s="16">
        <v>1995</v>
      </c>
      <c r="AF1998" s="16">
        <f>IF(AC1998=0,IF(O1998=6,INDEX(Acceleration!$V$4:$V$110,MATCH('Track Data'!S1998,Acceleration!$K$4:$K$110,0)),IF('Track Data'!O1998=5,INDEX(Acceleration!$U$4:$U$110,MATCH('Track Data'!S1998,Acceleration!$K$4:$K$110,0)),1)),U1998)</f>
        <v>-11.216477997530474</v>
      </c>
      <c r="AG1998" s="16">
        <f>IF(AC1998=0,IF(O1998=4,INDEX(Acceleration!$T$4:$T$110,MATCH('Track Data'!S1998,Acceleration!$K$4:$K$110,0)),IF('Track Data'!O1998=3,INDEX(Acceleration!$S$4:$S$110,MATCH('Track Data'!S1998,Acceleration!$K$4:$K$110,0)),'Track Data'!AF1998)),'Track Data'!U1998)</f>
        <v>-11.216477997530474</v>
      </c>
      <c r="AH1998" s="16">
        <f>IF(AC1998=0,IF(O1998=2,INDEX(Acceleration!$R$4:$R$110,MATCH('Track Data'!S1998,Acceleration!$K$4:$K$110,0)),IF('Track Data'!O1998=1,INDEX(Acceleration!$Q$4:$Q$110,MATCH('Track Data'!S1998,Acceleration!$K$4:$K$110,0)),'Track Data'!AG1998)),'Track Data'!U1998)</f>
        <v>-11.216477997530474</v>
      </c>
    </row>
    <row r="1999" spans="2:34" x14ac:dyDescent="0.25">
      <c r="B1999" s="16">
        <v>248.34899999999999</v>
      </c>
      <c r="C1999" s="16">
        <v>9269</v>
      </c>
      <c r="D1999" s="16">
        <v>1996</v>
      </c>
      <c r="E1999" s="113">
        <v>173</v>
      </c>
      <c r="F1999" s="113">
        <v>172.3</v>
      </c>
      <c r="G1999" s="113">
        <v>184.5</v>
      </c>
      <c r="H1999" s="113">
        <f t="shared" si="222"/>
        <v>51.25</v>
      </c>
      <c r="I1999" s="113">
        <v>-2.2999999999999998</v>
      </c>
      <c r="J1999" s="113">
        <v>93.56</v>
      </c>
      <c r="K1999" s="113">
        <v>-17.8</v>
      </c>
      <c r="L1999" s="185"/>
      <c r="M1999" s="16">
        <v>1996</v>
      </c>
      <c r="N1999" s="16">
        <f t="shared" si="224"/>
        <v>1.6982069311428916E-2</v>
      </c>
      <c r="O1999" s="16">
        <v>6</v>
      </c>
      <c r="P1999" s="16">
        <f t="shared" si="220"/>
        <v>7.3113821138211375</v>
      </c>
      <c r="Q1999" s="16">
        <f t="shared" si="225"/>
        <v>58.885638826535761</v>
      </c>
      <c r="R1999" s="113">
        <f t="shared" si="221"/>
        <v>311.95699999999999</v>
      </c>
      <c r="S1999" s="16">
        <f>IF(S1998=15800,15800,ROUND((((Q1999*60)/'Gearing Calculator'!$C$14)*'Track Data'!P1999),-2))</f>
        <v>13100</v>
      </c>
      <c r="T1999" s="16">
        <f t="shared" si="223"/>
        <v>-11.216477997530474</v>
      </c>
      <c r="U1999" s="16">
        <f>IF(AC1999=100,Braking!$AG$2354,IF(AC1999=50,Braking!$AG$1179,IF(AC1999=75,Braking!$AG$1767,0)))</f>
        <v>-11.216477997530474</v>
      </c>
      <c r="V1999" s="16">
        <f>0.5*'Gearing Calculator'!$C$15*'Gearing Calculator'!$C$20*'Gearing Calculator'!$W$20*('Track Data'!Q1999^2)</f>
        <v>367.00215380737535</v>
      </c>
      <c r="W1999" s="16">
        <f>('Gearing Calculator'!$U$9*'Track Data'!T1999)+'Track Data'!V1999</f>
        <v>-2618.8242891352365</v>
      </c>
      <c r="X1999" s="16">
        <f>('Gearing Calculator'!$U$9*9.81)*('Gearing Calculator'!$U$16/'Gearing Calculator'!$C$7)-(('Track Data'!W1999)*('Gearing Calculator'!$U$17/'Gearing Calculator'!$C$7))</f>
        <v>2828.6003868658454</v>
      </c>
      <c r="Y1999" s="16">
        <f>('Gearing Calculator'!$U$9*9.81)*(('Gearing Calculator'!$C$7-'Gearing Calculator'!$U$16)/'Gearing Calculator'!$C$7)+(('Track Data'!W1999)*('Gearing Calculator'!$U$17/'Gearing Calculator'!$C$7))</f>
        <v>-217.17838686584537</v>
      </c>
      <c r="Z1999" s="16">
        <f>((X1999*COS('Gearing Calculator'!$C$21))/'Gearing Calculator'!$C$22)/2</f>
        <v>87.451377861064117</v>
      </c>
      <c r="AA1999" s="16">
        <f>Y1999/'Gearing Calculator'!$C$24</f>
        <v>-3.0325387069879524</v>
      </c>
      <c r="AB1999" s="16">
        <f t="shared" si="219"/>
        <v>299.70328582219253</v>
      </c>
      <c r="AC1999" s="16">
        <v>50</v>
      </c>
      <c r="AD1999" s="16">
        <v>0</v>
      </c>
      <c r="AE1999" s="16">
        <v>1996</v>
      </c>
      <c r="AF1999" s="16">
        <f>IF(AC1999=0,IF(O1999=6,INDEX(Acceleration!$V$4:$V$110,MATCH('Track Data'!S1999,Acceleration!$K$4:$K$110,0)),IF('Track Data'!O1999=5,INDEX(Acceleration!$U$4:$U$110,MATCH('Track Data'!S1999,Acceleration!$K$4:$K$110,0)),1)),U1999)</f>
        <v>-11.216477997530474</v>
      </c>
      <c r="AG1999" s="16">
        <f>IF(AC1999=0,IF(O1999=4,INDEX(Acceleration!$T$4:$T$110,MATCH('Track Data'!S1999,Acceleration!$K$4:$K$110,0)),IF('Track Data'!O1999=3,INDEX(Acceleration!$S$4:$S$110,MATCH('Track Data'!S1999,Acceleration!$K$4:$K$110,0)),'Track Data'!AF1999)),'Track Data'!U1999)</f>
        <v>-11.216477997530474</v>
      </c>
      <c r="AH1999" s="16">
        <f>IF(AC1999=0,IF(O1999=2,INDEX(Acceleration!$R$4:$R$110,MATCH('Track Data'!S1999,Acceleration!$K$4:$K$110,0)),IF('Track Data'!O1999=1,INDEX(Acceleration!$Q$4:$Q$110,MATCH('Track Data'!S1999,Acceleration!$K$4:$K$110,0)),'Track Data'!AG1999)),'Track Data'!U1999)</f>
        <v>-11.216477997530474</v>
      </c>
    </row>
    <row r="2000" spans="2:34" x14ac:dyDescent="0.25">
      <c r="B2000" s="16">
        <v>248.37</v>
      </c>
      <c r="C2000" s="16">
        <v>9270</v>
      </c>
      <c r="D2000" s="16">
        <v>1997</v>
      </c>
      <c r="E2000" s="113">
        <v>173</v>
      </c>
      <c r="F2000" s="113">
        <v>172.1</v>
      </c>
      <c r="G2000" s="113">
        <v>183.4</v>
      </c>
      <c r="H2000" s="113">
        <f t="shared" si="222"/>
        <v>50.944444444444443</v>
      </c>
      <c r="I2000" s="113">
        <v>-1.7</v>
      </c>
      <c r="J2000" s="113">
        <v>93.43</v>
      </c>
      <c r="K2000" s="113">
        <v>-17.100000000000001</v>
      </c>
      <c r="L2000" s="185"/>
      <c r="M2000" s="16">
        <v>1997</v>
      </c>
      <c r="N2000" s="16">
        <f t="shared" si="224"/>
        <v>1.703726966338549E-2</v>
      </c>
      <c r="O2000" s="16">
        <v>6</v>
      </c>
      <c r="P2000" s="16">
        <f t="shared" si="220"/>
        <v>7.3113821138211375</v>
      </c>
      <c r="Q2000" s="16">
        <f t="shared" si="225"/>
        <v>58.694850745309459</v>
      </c>
      <c r="R2000" s="113">
        <f t="shared" si="221"/>
        <v>311.95699999999999</v>
      </c>
      <c r="S2000" s="16">
        <f>IF(S1999=15800,15800,ROUND((((Q2000*60)/'Gearing Calculator'!$C$14)*'Track Data'!P2000),-2))</f>
        <v>13000</v>
      </c>
      <c r="T2000" s="16">
        <f t="shared" si="223"/>
        <v>-11.216477997530474</v>
      </c>
      <c r="U2000" s="16">
        <f>IF(AC2000=100,Braking!$AG$2354,IF(AC2000=50,Braking!$AG$1179,IF(AC2000=75,Braking!$AG$1767,0)))</f>
        <v>-11.216477997530474</v>
      </c>
      <c r="V2000" s="16">
        <f>0.5*'Gearing Calculator'!$C$15*'Gearing Calculator'!$C$20*'Gearing Calculator'!$W$20*('Track Data'!Q2000^2)</f>
        <v>364.62784974485811</v>
      </c>
      <c r="W2000" s="16">
        <f>('Gearing Calculator'!$U$9*'Track Data'!T2000)+'Track Data'!V2000</f>
        <v>-2621.1985931977538</v>
      </c>
      <c r="X2000" s="16">
        <f>('Gearing Calculator'!$U$9*9.81)*('Gearing Calculator'!$U$16/'Gearing Calculator'!$C$7)-(('Track Data'!W2000)*('Gearing Calculator'!$U$17/'Gearing Calculator'!$C$7))</f>
        <v>2829.8945447300057</v>
      </c>
      <c r="Y2000" s="16">
        <f>('Gearing Calculator'!$U$9*9.81)*(('Gearing Calculator'!$C$7-'Gearing Calculator'!$U$16)/'Gearing Calculator'!$C$7)+(('Track Data'!W2000)*('Gearing Calculator'!$U$17/'Gearing Calculator'!$C$7))</f>
        <v>-218.47254473000544</v>
      </c>
      <c r="Z2000" s="16">
        <f>((X2000*COS('Gearing Calculator'!$C$21))/'Gearing Calculator'!$C$22)/2</f>
        <v>87.491389129151372</v>
      </c>
      <c r="AA2000" s="16">
        <f>Y2000/'Gearing Calculator'!$C$24</f>
        <v>-3.0506094914368789</v>
      </c>
      <c r="AB2000" s="16">
        <f t="shared" si="219"/>
        <v>297.32898175967529</v>
      </c>
      <c r="AC2000" s="16">
        <v>50</v>
      </c>
      <c r="AD2000" s="16">
        <v>0</v>
      </c>
      <c r="AE2000" s="16">
        <v>1997</v>
      </c>
      <c r="AF2000" s="16">
        <f>IF(AC2000=0,IF(O2000=6,INDEX(Acceleration!$V$4:$V$110,MATCH('Track Data'!S2000,Acceleration!$K$4:$K$110,0)),IF('Track Data'!O2000=5,INDEX(Acceleration!$U$4:$U$110,MATCH('Track Data'!S2000,Acceleration!$K$4:$K$110,0)),1)),U2000)</f>
        <v>-11.216477997530474</v>
      </c>
      <c r="AG2000" s="16">
        <f>IF(AC2000=0,IF(O2000=4,INDEX(Acceleration!$T$4:$T$110,MATCH('Track Data'!S2000,Acceleration!$K$4:$K$110,0)),IF('Track Data'!O2000=3,INDEX(Acceleration!$S$4:$S$110,MATCH('Track Data'!S2000,Acceleration!$K$4:$K$110,0)),'Track Data'!AF2000)),'Track Data'!U2000)</f>
        <v>-11.216477997530474</v>
      </c>
      <c r="AH2000" s="16">
        <f>IF(AC2000=0,IF(O2000=2,INDEX(Acceleration!$R$4:$R$110,MATCH('Track Data'!S2000,Acceleration!$K$4:$K$110,0)),IF('Track Data'!O2000=1,INDEX(Acceleration!$Q$4:$Q$110,MATCH('Track Data'!S2000,Acceleration!$K$4:$K$110,0)),'Track Data'!AG2000)),'Track Data'!U2000)</f>
        <v>-11.216477997530474</v>
      </c>
    </row>
    <row r="2001" spans="2:34" x14ac:dyDescent="0.25">
      <c r="B2001" s="16">
        <v>248.39099999999999</v>
      </c>
      <c r="C2001" s="16">
        <v>9271</v>
      </c>
      <c r="D2001" s="16">
        <v>1998</v>
      </c>
      <c r="E2001" s="113">
        <v>172</v>
      </c>
      <c r="F2001" s="113">
        <v>171.6</v>
      </c>
      <c r="G2001" s="113">
        <v>182.7</v>
      </c>
      <c r="H2001" s="113">
        <f t="shared" si="222"/>
        <v>50.749999999999993</v>
      </c>
      <c r="I2001" s="113">
        <v>-1.9</v>
      </c>
      <c r="J2001" s="113">
        <v>93.35</v>
      </c>
      <c r="K2001" s="113">
        <v>-16.7</v>
      </c>
      <c r="L2001" s="185"/>
      <c r="M2001" s="16">
        <v>1998</v>
      </c>
      <c r="N2001" s="16">
        <f t="shared" si="224"/>
        <v>1.7093011826178301E-2</v>
      </c>
      <c r="O2001" s="16">
        <v>6</v>
      </c>
      <c r="P2001" s="16">
        <f t="shared" si="220"/>
        <v>7.3113821138211375</v>
      </c>
      <c r="Q2001" s="16">
        <f t="shared" si="225"/>
        <v>58.503440480189653</v>
      </c>
      <c r="R2001" s="113">
        <f t="shared" si="221"/>
        <v>311.95699999999999</v>
      </c>
      <c r="S2001" s="16">
        <f>IF(S2000=15800,15800,ROUND((((Q2001*60)/'Gearing Calculator'!$C$14)*'Track Data'!P2001),-2))</f>
        <v>13000</v>
      </c>
      <c r="T2001" s="16">
        <f t="shared" si="223"/>
        <v>-11.216477997530474</v>
      </c>
      <c r="U2001" s="16">
        <f>IF(AC2001=100,Braking!$AG$2354,IF(AC2001=50,Braking!$AG$1179,IF(AC2001=75,Braking!$AG$1767,0)))</f>
        <v>-11.216477997530474</v>
      </c>
      <c r="V2001" s="16">
        <f>0.5*'Gearing Calculator'!$C$15*'Gearing Calculator'!$C$20*'Gearing Calculator'!$W$20*('Track Data'!Q2001^2)</f>
        <v>362.25354568234081</v>
      </c>
      <c r="W2001" s="16">
        <f>('Gearing Calculator'!$U$9*'Track Data'!T2001)+'Track Data'!V2001</f>
        <v>-2623.572897260271</v>
      </c>
      <c r="X2001" s="16">
        <f>('Gearing Calculator'!$U$9*9.81)*('Gearing Calculator'!$U$16/'Gearing Calculator'!$C$7)-(('Track Data'!W2001)*('Gearing Calculator'!$U$17/'Gearing Calculator'!$C$7))</f>
        <v>2831.1887025941651</v>
      </c>
      <c r="Y2001" s="16">
        <f>('Gearing Calculator'!$U$9*9.81)*(('Gearing Calculator'!$C$7-'Gearing Calculator'!$U$16)/'Gearing Calculator'!$C$7)+(('Track Data'!W2001)*('Gearing Calculator'!$U$17/'Gearing Calculator'!$C$7))</f>
        <v>-219.76670259416528</v>
      </c>
      <c r="Z2001" s="16">
        <f>((X2001*COS('Gearing Calculator'!$C$21))/'Gearing Calculator'!$C$22)/2</f>
        <v>87.531400397238585</v>
      </c>
      <c r="AA2001" s="16">
        <f>Y2001/'Gearing Calculator'!$C$24</f>
        <v>-3.0686802758858023</v>
      </c>
      <c r="AB2001" s="16">
        <f t="shared" si="219"/>
        <v>294.95467769715799</v>
      </c>
      <c r="AC2001" s="16">
        <v>50</v>
      </c>
      <c r="AD2001" s="16">
        <v>0</v>
      </c>
      <c r="AE2001" s="16">
        <v>1998</v>
      </c>
      <c r="AF2001" s="16">
        <f>IF(AC2001=0,IF(O2001=6,INDEX(Acceleration!$V$4:$V$110,MATCH('Track Data'!S2001,Acceleration!$K$4:$K$110,0)),IF('Track Data'!O2001=5,INDEX(Acceleration!$U$4:$U$110,MATCH('Track Data'!S2001,Acceleration!$K$4:$K$110,0)),1)),U2001)</f>
        <v>-11.216477997530474</v>
      </c>
      <c r="AG2001" s="16">
        <f>IF(AC2001=0,IF(O2001=4,INDEX(Acceleration!$T$4:$T$110,MATCH('Track Data'!S2001,Acceleration!$K$4:$K$110,0)),IF('Track Data'!O2001=3,INDEX(Acceleration!$S$4:$S$110,MATCH('Track Data'!S2001,Acceleration!$K$4:$K$110,0)),'Track Data'!AF2001)),'Track Data'!U2001)</f>
        <v>-11.216477997530474</v>
      </c>
      <c r="AH2001" s="16">
        <f>IF(AC2001=0,IF(O2001=2,INDEX(Acceleration!$R$4:$R$110,MATCH('Track Data'!S2001,Acceleration!$K$4:$K$110,0)),IF('Track Data'!O2001=1,INDEX(Acceleration!$Q$4:$Q$110,MATCH('Track Data'!S2001,Acceleration!$K$4:$K$110,0)),'Track Data'!AG2001)),'Track Data'!U2001)</f>
        <v>-11.216477997530474</v>
      </c>
    </row>
    <row r="2002" spans="2:34" x14ac:dyDescent="0.25">
      <c r="B2002" s="16">
        <v>248.41200000000001</v>
      </c>
      <c r="C2002" s="16">
        <v>9272</v>
      </c>
      <c r="D2002" s="16">
        <v>1999</v>
      </c>
      <c r="E2002" s="113">
        <v>172</v>
      </c>
      <c r="F2002" s="113">
        <v>171.2</v>
      </c>
      <c r="G2002" s="113">
        <v>182</v>
      </c>
      <c r="H2002" s="113">
        <f t="shared" si="222"/>
        <v>50.555555555555557</v>
      </c>
      <c r="I2002" s="113">
        <v>-2.6</v>
      </c>
      <c r="J2002" s="113">
        <v>92.91</v>
      </c>
      <c r="K2002" s="113">
        <v>-11.7</v>
      </c>
      <c r="L2002" s="185"/>
      <c r="M2002" s="16">
        <v>1999</v>
      </c>
      <c r="N2002" s="16">
        <f t="shared" si="224"/>
        <v>1.7149304721643336E-2</v>
      </c>
      <c r="O2002" s="16">
        <v>6</v>
      </c>
      <c r="P2002" s="16">
        <f t="shared" si="220"/>
        <v>7.3113821138211375</v>
      </c>
      <c r="Q2002" s="16">
        <f t="shared" si="225"/>
        <v>58.311401904121908</v>
      </c>
      <c r="R2002" s="113">
        <f t="shared" si="221"/>
        <v>311.95699999999999</v>
      </c>
      <c r="S2002" s="16">
        <f>IF(S2001=15800,15800,ROUND((((Q2002*60)/'Gearing Calculator'!$C$14)*'Track Data'!P2002),-2))</f>
        <v>12900</v>
      </c>
      <c r="T2002" s="16">
        <f t="shared" si="223"/>
        <v>-12.968079387143963</v>
      </c>
      <c r="U2002" s="16">
        <f>IF(AC2002=100,Braking!$AG$2354,IF(AC2002=50,Braking!$AG$1179,IF(AC2002=75,Braking!$AG$1767,0)))</f>
        <v>-12.968079387143963</v>
      </c>
      <c r="V2002" s="16">
        <f>0.5*'Gearing Calculator'!$C$15*'Gearing Calculator'!$C$20*'Gearing Calculator'!$W$20*('Track Data'!Q2002^2)</f>
        <v>359.87924161982352</v>
      </c>
      <c r="W2002" s="16">
        <f>('Gearing Calculator'!$U$9*'Track Data'!T2002)+'Track Data'!V2002</f>
        <v>-3092.2234912378995</v>
      </c>
      <c r="X2002" s="16">
        <f>('Gearing Calculator'!$U$9*9.81)*('Gearing Calculator'!$U$16/'Gearing Calculator'!$C$7)-(('Track Data'!W2002)*('Gearing Calculator'!$U$17/'Gearing Calculator'!$C$7))</f>
        <v>3086.6352822105737</v>
      </c>
      <c r="Y2002" s="16">
        <f>('Gearing Calculator'!$U$9*9.81)*(('Gearing Calculator'!$C$7-'Gearing Calculator'!$U$16)/'Gearing Calculator'!$C$7)+(('Track Data'!W2002)*('Gearing Calculator'!$U$17/'Gearing Calculator'!$C$7))</f>
        <v>-475.21328221057365</v>
      </c>
      <c r="Z2002" s="16">
        <f>((X2002*COS('Gearing Calculator'!$C$21))/'Gearing Calculator'!$C$22)/2</f>
        <v>95.429000730279341</v>
      </c>
      <c r="AA2002" s="16">
        <f>Y2002/'Gearing Calculator'!$C$24</f>
        <v>-6.6355713069576607</v>
      </c>
      <c r="AB2002" s="16">
        <f t="shared" si="219"/>
        <v>282.07076529695973</v>
      </c>
      <c r="AC2002" s="16">
        <v>75</v>
      </c>
      <c r="AD2002" s="16">
        <v>0</v>
      </c>
      <c r="AE2002" s="16">
        <v>1999</v>
      </c>
      <c r="AF2002" s="16">
        <f>IF(AC2002=0,IF(O2002=6,INDEX(Acceleration!$V$4:$V$110,MATCH('Track Data'!S2002,Acceleration!$K$4:$K$110,0)),IF('Track Data'!O2002=5,INDEX(Acceleration!$U$4:$U$110,MATCH('Track Data'!S2002,Acceleration!$K$4:$K$110,0)),1)),U2002)</f>
        <v>-12.968079387143963</v>
      </c>
      <c r="AG2002" s="16">
        <f>IF(AC2002=0,IF(O2002=4,INDEX(Acceleration!$T$4:$T$110,MATCH('Track Data'!S2002,Acceleration!$K$4:$K$110,0)),IF('Track Data'!O2002=3,INDEX(Acceleration!$S$4:$S$110,MATCH('Track Data'!S2002,Acceleration!$K$4:$K$110,0)),'Track Data'!AF2002)),'Track Data'!U2002)</f>
        <v>-12.968079387143963</v>
      </c>
      <c r="AH2002" s="16">
        <f>IF(AC2002=0,IF(O2002=2,INDEX(Acceleration!$R$4:$R$110,MATCH('Track Data'!S2002,Acceleration!$K$4:$K$110,0)),IF('Track Data'!O2002=1,INDEX(Acceleration!$Q$4:$Q$110,MATCH('Track Data'!S2002,Acceleration!$K$4:$K$110,0)),'Track Data'!AG2002)),'Track Data'!U2002)</f>
        <v>-12.968079387143963</v>
      </c>
    </row>
    <row r="2003" spans="2:34" x14ac:dyDescent="0.25">
      <c r="B2003" s="16">
        <v>248.43299999999999</v>
      </c>
      <c r="C2003" s="16">
        <v>9273</v>
      </c>
      <c r="D2003" s="16">
        <v>2000</v>
      </c>
      <c r="E2003" s="113">
        <v>172</v>
      </c>
      <c r="F2003" s="113">
        <v>170.9</v>
      </c>
      <c r="G2003" s="113">
        <v>181.3</v>
      </c>
      <c r="H2003" s="113">
        <f t="shared" si="222"/>
        <v>50.361111111111114</v>
      </c>
      <c r="I2003" s="113">
        <v>-2.2999999999999998</v>
      </c>
      <c r="J2003" s="113">
        <v>90.14</v>
      </c>
      <c r="K2003" s="113">
        <v>-4.3</v>
      </c>
      <c r="L2003" s="185"/>
      <c r="M2003" s="16">
        <v>2000</v>
      </c>
      <c r="N2003" s="16">
        <f t="shared" si="224"/>
        <v>1.7215086933327583E-2</v>
      </c>
      <c r="O2003" s="16">
        <v>6</v>
      </c>
      <c r="P2003" s="16">
        <f t="shared" si="220"/>
        <v>7.3113821138211375</v>
      </c>
      <c r="Q2003" s="16">
        <f t="shared" si="225"/>
        <v>58.088582641081409</v>
      </c>
      <c r="R2003" s="113">
        <f t="shared" si="221"/>
        <v>311.95699999999999</v>
      </c>
      <c r="S2003" s="16">
        <f>IF(S2002=15800,15800,ROUND((((Q2003*60)/'Gearing Calculator'!$C$14)*'Track Data'!P2003),-2))</f>
        <v>12900</v>
      </c>
      <c r="T2003" s="16">
        <f t="shared" si="223"/>
        <v>-12.968079387143963</v>
      </c>
      <c r="U2003" s="16">
        <f>IF(AC2003=100,Braking!$AG$2354,IF(AC2003=50,Braking!$AG$1179,IF(AC2003=75,Braking!$AG$1767,0)))</f>
        <v>-12.968079387143963</v>
      </c>
      <c r="V2003" s="16">
        <f>0.5*'Gearing Calculator'!$C$15*'Gearing Calculator'!$C$20*'Gearing Calculator'!$W$20*('Track Data'!Q2003^2)</f>
        <v>357.13415857515292</v>
      </c>
      <c r="W2003" s="16">
        <f>('Gearing Calculator'!$U$9*'Track Data'!T2003)+'Track Data'!V2003</f>
        <v>-3094.96857428257</v>
      </c>
      <c r="X2003" s="16">
        <f>('Gearing Calculator'!$U$9*9.81)*('Gearing Calculator'!$U$16/'Gearing Calculator'!$C$7)-(('Track Data'!W2003)*('Gearing Calculator'!$U$17/'Gearing Calculator'!$C$7))</f>
        <v>3088.1315399418881</v>
      </c>
      <c r="Y2003" s="16">
        <f>('Gearing Calculator'!$U$9*9.81)*(('Gearing Calculator'!$C$7-'Gearing Calculator'!$U$16)/'Gearing Calculator'!$C$7)+(('Track Data'!W2003)*('Gearing Calculator'!$U$17/'Gearing Calculator'!$C$7))</f>
        <v>-476.7095399418879</v>
      </c>
      <c r="Z2003" s="16">
        <f>((X2003*COS('Gearing Calculator'!$C$21))/'Gearing Calculator'!$C$22)/2</f>
        <v>95.475260287071563</v>
      </c>
      <c r="AA2003" s="16">
        <f>Y2003/'Gearing Calculator'!$C$24</f>
        <v>-6.6564640834043489</v>
      </c>
      <c r="AB2003" s="16">
        <f t="shared" si="219"/>
        <v>279.32568225228914</v>
      </c>
      <c r="AC2003" s="16">
        <v>75</v>
      </c>
      <c r="AD2003" s="16">
        <v>0</v>
      </c>
      <c r="AE2003" s="16">
        <v>2000</v>
      </c>
      <c r="AF2003" s="16">
        <f>IF(AC2003=0,IF(O2003=6,INDEX(Acceleration!$V$4:$V$110,MATCH('Track Data'!S2003,Acceleration!$K$4:$K$110,0)),IF('Track Data'!O2003=5,INDEX(Acceleration!$U$4:$U$110,MATCH('Track Data'!S2003,Acceleration!$K$4:$K$110,0)),1)),U2003)</f>
        <v>-12.968079387143963</v>
      </c>
      <c r="AG2003" s="16">
        <f>IF(AC2003=0,IF(O2003=4,INDEX(Acceleration!$T$4:$T$110,MATCH('Track Data'!S2003,Acceleration!$K$4:$K$110,0)),IF('Track Data'!O2003=3,INDEX(Acceleration!$S$4:$S$110,MATCH('Track Data'!S2003,Acceleration!$K$4:$K$110,0)),'Track Data'!AF2003)),'Track Data'!U2003)</f>
        <v>-12.968079387143963</v>
      </c>
      <c r="AH2003" s="16">
        <f>IF(AC2003=0,IF(O2003=2,INDEX(Acceleration!$R$4:$R$110,MATCH('Track Data'!S2003,Acceleration!$K$4:$K$110,0)),IF('Track Data'!O2003=1,INDEX(Acceleration!$Q$4:$Q$110,MATCH('Track Data'!S2003,Acceleration!$K$4:$K$110,0)),'Track Data'!AG2003)),'Track Data'!U2003)</f>
        <v>-12.968079387143963</v>
      </c>
    </row>
    <row r="2004" spans="2:34" x14ac:dyDescent="0.25">
      <c r="B2004" s="16">
        <v>248.45400000000001</v>
      </c>
      <c r="C2004" s="16">
        <v>9274</v>
      </c>
      <c r="D2004" s="16">
        <v>2001</v>
      </c>
      <c r="E2004" s="113">
        <v>171</v>
      </c>
      <c r="F2004" s="113">
        <v>170.4</v>
      </c>
      <c r="G2004" s="113">
        <v>180.4</v>
      </c>
      <c r="H2004" s="113">
        <f t="shared" si="222"/>
        <v>50.111111111111114</v>
      </c>
      <c r="I2004" s="113">
        <v>-1.4</v>
      </c>
      <c r="J2004" s="113">
        <v>88.46</v>
      </c>
      <c r="K2004" s="113">
        <v>2.9</v>
      </c>
      <c r="L2004" s="185"/>
      <c r="M2004" s="16">
        <v>2001</v>
      </c>
      <c r="N2004" s="16">
        <f t="shared" si="224"/>
        <v>1.7281631991912991E-2</v>
      </c>
      <c r="O2004" s="16">
        <v>6</v>
      </c>
      <c r="P2004" s="16">
        <f t="shared" si="220"/>
        <v>7.3113821138211375</v>
      </c>
      <c r="Q2004" s="16">
        <f t="shared" si="225"/>
        <v>57.864905378609727</v>
      </c>
      <c r="R2004" s="113">
        <f t="shared" si="221"/>
        <v>311.95699999999999</v>
      </c>
      <c r="S2004" s="16">
        <f>IF(S2003=15800,15800,ROUND((((Q2004*60)/'Gearing Calculator'!$C$14)*'Track Data'!P2004),-2))</f>
        <v>12800</v>
      </c>
      <c r="T2004" s="16">
        <f t="shared" si="223"/>
        <v>-12.968079387143963</v>
      </c>
      <c r="U2004" s="16">
        <f>IF(AC2004=100,Braking!$AG$2354,IF(AC2004=50,Braking!$AG$1179,IF(AC2004=75,Braking!$AG$1767,0)))</f>
        <v>-12.968079387143963</v>
      </c>
      <c r="V2004" s="16">
        <f>0.5*'Gearing Calculator'!$C$15*'Gearing Calculator'!$C$20*'Gearing Calculator'!$W$20*('Track Data'!Q2004^2)</f>
        <v>354.38907553048233</v>
      </c>
      <c r="W2004" s="16">
        <f>('Gearing Calculator'!$U$9*'Track Data'!T2004)+'Track Data'!V2004</f>
        <v>-3097.7136573272405</v>
      </c>
      <c r="X2004" s="16">
        <f>('Gearing Calculator'!$U$9*9.81)*('Gearing Calculator'!$U$16/'Gearing Calculator'!$C$7)-(('Track Data'!W2004)*('Gearing Calculator'!$U$17/'Gearing Calculator'!$C$7))</f>
        <v>3089.6277976732026</v>
      </c>
      <c r="Y2004" s="16">
        <f>('Gearing Calculator'!$U$9*9.81)*(('Gearing Calculator'!$C$7-'Gearing Calculator'!$U$16)/'Gearing Calculator'!$C$7)+(('Track Data'!W2004)*('Gearing Calculator'!$U$17/'Gearing Calculator'!$C$7))</f>
        <v>-478.20579767320237</v>
      </c>
      <c r="Z2004" s="16">
        <f>((X2004*COS('Gearing Calculator'!$C$21))/'Gearing Calculator'!$C$22)/2</f>
        <v>95.521519843863786</v>
      </c>
      <c r="AA2004" s="16">
        <f>Y2004/'Gearing Calculator'!$C$24</f>
        <v>-6.6773568598510398</v>
      </c>
      <c r="AB2004" s="16">
        <f t="shared" si="219"/>
        <v>276.58059920761855</v>
      </c>
      <c r="AC2004" s="16">
        <v>75</v>
      </c>
      <c r="AD2004" s="16">
        <v>0</v>
      </c>
      <c r="AE2004" s="16">
        <v>2001</v>
      </c>
      <c r="AF2004" s="16">
        <f>IF(AC2004=0,IF(O2004=6,INDEX(Acceleration!$V$4:$V$110,MATCH('Track Data'!S2004,Acceleration!$K$4:$K$110,0)),IF('Track Data'!O2004=5,INDEX(Acceleration!$U$4:$U$110,MATCH('Track Data'!S2004,Acceleration!$K$4:$K$110,0)),1)),U2004)</f>
        <v>-12.968079387143963</v>
      </c>
      <c r="AG2004" s="16">
        <f>IF(AC2004=0,IF(O2004=4,INDEX(Acceleration!$T$4:$T$110,MATCH('Track Data'!S2004,Acceleration!$K$4:$K$110,0)),IF('Track Data'!O2004=3,INDEX(Acceleration!$S$4:$S$110,MATCH('Track Data'!S2004,Acceleration!$K$4:$K$110,0)),'Track Data'!AF2004)),'Track Data'!U2004)</f>
        <v>-12.968079387143963</v>
      </c>
      <c r="AH2004" s="16">
        <f>IF(AC2004=0,IF(O2004=2,INDEX(Acceleration!$R$4:$R$110,MATCH('Track Data'!S2004,Acceleration!$K$4:$K$110,0)),IF('Track Data'!O2004=1,INDEX(Acceleration!$Q$4:$Q$110,MATCH('Track Data'!S2004,Acceleration!$K$4:$K$110,0)),'Track Data'!AG2004)),'Track Data'!U2004)</f>
        <v>-12.968079387143963</v>
      </c>
    </row>
    <row r="2005" spans="2:34" x14ac:dyDescent="0.25">
      <c r="B2005" s="16">
        <v>248.47499999999999</v>
      </c>
      <c r="C2005" s="16">
        <v>9275</v>
      </c>
      <c r="D2005" s="16">
        <v>2002</v>
      </c>
      <c r="E2005" s="113">
        <v>170</v>
      </c>
      <c r="F2005" s="113">
        <v>169.6</v>
      </c>
      <c r="G2005" s="113">
        <v>179.5</v>
      </c>
      <c r="H2005" s="113">
        <f t="shared" si="222"/>
        <v>49.861111111111107</v>
      </c>
      <c r="I2005" s="113">
        <v>0.1</v>
      </c>
      <c r="J2005" s="113">
        <v>85.63</v>
      </c>
      <c r="K2005" s="113">
        <v>10.1</v>
      </c>
      <c r="L2005" s="185"/>
      <c r="M2005" s="16">
        <v>2002</v>
      </c>
      <c r="N2005" s="16">
        <f t="shared" si="224"/>
        <v>1.7348954756302364E-2</v>
      </c>
      <c r="O2005" s="16">
        <v>6</v>
      </c>
      <c r="P2005" s="16">
        <f t="shared" si="220"/>
        <v>7.3113821138211375</v>
      </c>
      <c r="Q2005" s="16">
        <f t="shared" si="225"/>
        <v>57.64036012813564</v>
      </c>
      <c r="R2005" s="113">
        <f t="shared" si="221"/>
        <v>311.95699999999999</v>
      </c>
      <c r="S2005" s="16">
        <f>IF(S2004=15800,15800,ROUND((((Q2005*60)/'Gearing Calculator'!$C$14)*'Track Data'!P2005),-2))</f>
        <v>12800</v>
      </c>
      <c r="T2005" s="16">
        <f t="shared" si="223"/>
        <v>-12.968079387143963</v>
      </c>
      <c r="U2005" s="16">
        <f>IF(AC2005=100,Braking!$AG$2354,IF(AC2005=50,Braking!$AG$1179,IF(AC2005=75,Braking!$AG$1767,0)))</f>
        <v>-12.968079387143963</v>
      </c>
      <c r="V2005" s="16">
        <f>0.5*'Gearing Calculator'!$C$15*'Gearing Calculator'!$C$20*'Gearing Calculator'!$W$20*('Track Data'!Q2005^2)</f>
        <v>351.64399248581168</v>
      </c>
      <c r="W2005" s="16">
        <f>('Gearing Calculator'!$U$9*'Track Data'!T2005)+'Track Data'!V2005</f>
        <v>-3100.4587403719111</v>
      </c>
      <c r="X2005" s="16">
        <f>('Gearing Calculator'!$U$9*9.81)*('Gearing Calculator'!$U$16/'Gearing Calculator'!$C$7)-(('Track Data'!W2005)*('Gearing Calculator'!$U$17/'Gearing Calculator'!$C$7))</f>
        <v>3091.1240554045166</v>
      </c>
      <c r="Y2005" s="16">
        <f>('Gearing Calculator'!$U$9*9.81)*(('Gearing Calculator'!$C$7-'Gearing Calculator'!$U$16)/'Gearing Calculator'!$C$7)+(('Track Data'!W2005)*('Gearing Calculator'!$U$17/'Gearing Calculator'!$C$7))</f>
        <v>-479.70205540451661</v>
      </c>
      <c r="Z2005" s="16">
        <f>((X2005*COS('Gearing Calculator'!$C$21))/'Gearing Calculator'!$C$22)/2</f>
        <v>95.567779400656008</v>
      </c>
      <c r="AA2005" s="16">
        <f>Y2005/'Gearing Calculator'!$C$24</f>
        <v>-6.698249636297728</v>
      </c>
      <c r="AB2005" s="16">
        <f t="shared" si="219"/>
        <v>273.8355161629479</v>
      </c>
      <c r="AC2005" s="16">
        <v>75</v>
      </c>
      <c r="AD2005" s="16">
        <v>0</v>
      </c>
      <c r="AE2005" s="16">
        <v>2002</v>
      </c>
      <c r="AF2005" s="16">
        <f>IF(AC2005=0,IF(O2005=6,INDEX(Acceleration!$V$4:$V$110,MATCH('Track Data'!S2005,Acceleration!$K$4:$K$110,0)),IF('Track Data'!O2005=5,INDEX(Acceleration!$U$4:$U$110,MATCH('Track Data'!S2005,Acceleration!$K$4:$K$110,0)),1)),U2005)</f>
        <v>-12.968079387143963</v>
      </c>
      <c r="AG2005" s="16">
        <f>IF(AC2005=0,IF(O2005=4,INDEX(Acceleration!$T$4:$T$110,MATCH('Track Data'!S2005,Acceleration!$K$4:$K$110,0)),IF('Track Data'!O2005=3,INDEX(Acceleration!$S$4:$S$110,MATCH('Track Data'!S2005,Acceleration!$K$4:$K$110,0)),'Track Data'!AF2005)),'Track Data'!U2005)</f>
        <v>-12.968079387143963</v>
      </c>
      <c r="AH2005" s="16">
        <f>IF(AC2005=0,IF(O2005=2,INDEX(Acceleration!$R$4:$R$110,MATCH('Track Data'!S2005,Acceleration!$K$4:$K$110,0)),IF('Track Data'!O2005=1,INDEX(Acceleration!$Q$4:$Q$110,MATCH('Track Data'!S2005,Acceleration!$K$4:$K$110,0)),'Track Data'!AG2005)),'Track Data'!U2005)</f>
        <v>-12.968079387143963</v>
      </c>
    </row>
    <row r="2006" spans="2:34" x14ac:dyDescent="0.25">
      <c r="B2006" s="16">
        <v>248.49600000000001</v>
      </c>
      <c r="C2006" s="16">
        <v>9276</v>
      </c>
      <c r="D2006" s="16">
        <v>2003</v>
      </c>
      <c r="E2006" s="113">
        <v>168</v>
      </c>
      <c r="F2006" s="113">
        <v>168.4</v>
      </c>
      <c r="G2006" s="113">
        <v>178.6</v>
      </c>
      <c r="H2006" s="113">
        <f t="shared" si="222"/>
        <v>49.611111111111107</v>
      </c>
      <c r="I2006" s="113">
        <v>0.5</v>
      </c>
      <c r="J2006" s="113">
        <v>85.73</v>
      </c>
      <c r="K2006" s="113">
        <v>10.7</v>
      </c>
      <c r="L2006" s="185"/>
      <c r="M2006" s="16">
        <v>2003</v>
      </c>
      <c r="N2006" s="16">
        <f t="shared" si="224"/>
        <v>1.7417070493776384E-2</v>
      </c>
      <c r="O2006" s="16">
        <v>6</v>
      </c>
      <c r="P2006" s="16">
        <f t="shared" si="220"/>
        <v>7.3113821138211375</v>
      </c>
      <c r="Q2006" s="16">
        <f t="shared" si="225"/>
        <v>57.414936705763957</v>
      </c>
      <c r="R2006" s="113">
        <f t="shared" si="221"/>
        <v>311.95699999999999</v>
      </c>
      <c r="S2006" s="16">
        <f>IF(S2005=15800,15800,ROUND((((Q2006*60)/'Gearing Calculator'!$C$14)*'Track Data'!P2006),-2))</f>
        <v>12700</v>
      </c>
      <c r="T2006" s="16">
        <f t="shared" si="223"/>
        <v>-12.968079387143963</v>
      </c>
      <c r="U2006" s="16">
        <f>IF(AC2006=100,Braking!$AG$2354,IF(AC2006=50,Braking!$AG$1179,IF(AC2006=75,Braking!$AG$1767,0)))</f>
        <v>-12.968079387143963</v>
      </c>
      <c r="V2006" s="16">
        <f>0.5*'Gearing Calculator'!$C$15*'Gearing Calculator'!$C$20*'Gearing Calculator'!$W$20*('Track Data'!Q2006^2)</f>
        <v>348.89890944114109</v>
      </c>
      <c r="W2006" s="16">
        <f>('Gearing Calculator'!$U$9*'Track Data'!T2006)+'Track Data'!V2006</f>
        <v>-3103.2038234165821</v>
      </c>
      <c r="X2006" s="16">
        <f>('Gearing Calculator'!$U$9*9.81)*('Gearing Calculator'!$U$16/'Gearing Calculator'!$C$7)-(('Track Data'!W2006)*('Gearing Calculator'!$U$17/'Gearing Calculator'!$C$7))</f>
        <v>3092.6203131358311</v>
      </c>
      <c r="Y2006" s="16">
        <f>('Gearing Calculator'!$U$9*9.81)*(('Gearing Calculator'!$C$7-'Gearing Calculator'!$U$16)/'Gearing Calculator'!$C$7)+(('Track Data'!W2006)*('Gearing Calculator'!$U$17/'Gearing Calculator'!$C$7))</f>
        <v>-481.19831313583109</v>
      </c>
      <c r="Z2006" s="16">
        <f>((X2006*COS('Gearing Calculator'!$C$21))/'Gearing Calculator'!$C$22)/2</f>
        <v>95.61403895744823</v>
      </c>
      <c r="AA2006" s="16">
        <f>Y2006/'Gearing Calculator'!$C$24</f>
        <v>-6.7191424127444188</v>
      </c>
      <c r="AB2006" s="16">
        <f t="shared" si="219"/>
        <v>271.0904331182773</v>
      </c>
      <c r="AC2006" s="16">
        <v>75</v>
      </c>
      <c r="AD2006" s="16">
        <v>0</v>
      </c>
      <c r="AE2006" s="16">
        <v>2003</v>
      </c>
      <c r="AF2006" s="16">
        <f>IF(AC2006=0,IF(O2006=6,INDEX(Acceleration!$V$4:$V$110,MATCH('Track Data'!S2006,Acceleration!$K$4:$K$110,0)),IF('Track Data'!O2006=5,INDEX(Acceleration!$U$4:$U$110,MATCH('Track Data'!S2006,Acceleration!$K$4:$K$110,0)),1)),U2006)</f>
        <v>-12.968079387143963</v>
      </c>
      <c r="AG2006" s="16">
        <f>IF(AC2006=0,IF(O2006=4,INDEX(Acceleration!$T$4:$T$110,MATCH('Track Data'!S2006,Acceleration!$K$4:$K$110,0)),IF('Track Data'!O2006=3,INDEX(Acceleration!$S$4:$S$110,MATCH('Track Data'!S2006,Acceleration!$K$4:$K$110,0)),'Track Data'!AF2006)),'Track Data'!U2006)</f>
        <v>-12.968079387143963</v>
      </c>
      <c r="AH2006" s="16">
        <f>IF(AC2006=0,IF(O2006=2,INDEX(Acceleration!$R$4:$R$110,MATCH('Track Data'!S2006,Acceleration!$K$4:$K$110,0)),IF('Track Data'!O2006=1,INDEX(Acceleration!$Q$4:$Q$110,MATCH('Track Data'!S2006,Acceleration!$K$4:$K$110,0)),'Track Data'!AG2006)),'Track Data'!U2006)</f>
        <v>-12.968079387143963</v>
      </c>
    </row>
    <row r="2007" spans="2:34" x14ac:dyDescent="0.25">
      <c r="B2007" s="16">
        <v>248.517</v>
      </c>
      <c r="C2007" s="16">
        <v>9277</v>
      </c>
      <c r="D2007" s="16">
        <v>2004</v>
      </c>
      <c r="E2007" s="113">
        <v>164</v>
      </c>
      <c r="F2007" s="113">
        <v>167.1</v>
      </c>
      <c r="G2007" s="113">
        <v>177.7</v>
      </c>
      <c r="H2007" s="113">
        <f t="shared" si="222"/>
        <v>49.361111111111107</v>
      </c>
      <c r="I2007" s="113">
        <v>0.5</v>
      </c>
      <c r="J2007" s="113">
        <v>86.24</v>
      </c>
      <c r="K2007" s="113">
        <v>8.3000000000000007</v>
      </c>
      <c r="L2007" s="185"/>
      <c r="M2007" s="16">
        <v>2004</v>
      </c>
      <c r="N2007" s="16">
        <f t="shared" si="224"/>
        <v>1.7485994894538389E-2</v>
      </c>
      <c r="O2007" s="16">
        <v>6</v>
      </c>
      <c r="P2007" s="16">
        <f t="shared" si="220"/>
        <v>7.3113821138211375</v>
      </c>
      <c r="Q2007" s="16">
        <f t="shared" si="225"/>
        <v>57.188624726885969</v>
      </c>
      <c r="R2007" s="113">
        <f t="shared" si="221"/>
        <v>311.95699999999999</v>
      </c>
      <c r="S2007" s="16">
        <f>IF(S2006=15800,15800,ROUND((((Q2007*60)/'Gearing Calculator'!$C$14)*'Track Data'!P2007),-2))</f>
        <v>12700</v>
      </c>
      <c r="T2007" s="16">
        <f t="shared" si="223"/>
        <v>-12.968079387143963</v>
      </c>
      <c r="U2007" s="16">
        <f>IF(AC2007=100,Braking!$AG$2354,IF(AC2007=50,Braking!$AG$1179,IF(AC2007=75,Braking!$AG$1767,0)))</f>
        <v>-12.968079387143963</v>
      </c>
      <c r="V2007" s="16">
        <f>0.5*'Gearing Calculator'!$C$15*'Gearing Calculator'!$C$20*'Gearing Calculator'!$W$20*('Track Data'!Q2007^2)</f>
        <v>346.15382639647044</v>
      </c>
      <c r="W2007" s="16">
        <f>('Gearing Calculator'!$U$9*'Track Data'!T2007)+'Track Data'!V2007</f>
        <v>-3105.9489064612526</v>
      </c>
      <c r="X2007" s="16">
        <f>('Gearing Calculator'!$U$9*9.81)*('Gearing Calculator'!$U$16/'Gearing Calculator'!$C$7)-(('Track Data'!W2007)*('Gearing Calculator'!$U$17/'Gearing Calculator'!$C$7))</f>
        <v>3094.1165708671456</v>
      </c>
      <c r="Y2007" s="16">
        <f>('Gearing Calculator'!$U$9*9.81)*(('Gearing Calculator'!$C$7-'Gearing Calculator'!$U$16)/'Gearing Calculator'!$C$7)+(('Track Data'!W2007)*('Gearing Calculator'!$U$17/'Gearing Calculator'!$C$7))</f>
        <v>-482.69457086714556</v>
      </c>
      <c r="Z2007" s="16">
        <f>((X2007*COS('Gearing Calculator'!$C$21))/'Gearing Calculator'!$C$22)/2</f>
        <v>95.660298514240438</v>
      </c>
      <c r="AA2007" s="16">
        <f>Y2007/'Gearing Calculator'!$C$24</f>
        <v>-6.7400351891911106</v>
      </c>
      <c r="AB2007" s="16">
        <f t="shared" si="219"/>
        <v>268.34535007360665</v>
      </c>
      <c r="AC2007" s="16">
        <v>75</v>
      </c>
      <c r="AD2007" s="16">
        <v>0</v>
      </c>
      <c r="AE2007" s="16">
        <v>2004</v>
      </c>
      <c r="AF2007" s="16">
        <f>IF(AC2007=0,IF(O2007=6,INDEX(Acceleration!$V$4:$V$110,MATCH('Track Data'!S2007,Acceleration!$K$4:$K$110,0)),IF('Track Data'!O2007=5,INDEX(Acceleration!$U$4:$U$110,MATCH('Track Data'!S2007,Acceleration!$K$4:$K$110,0)),1)),U2007)</f>
        <v>-12.968079387143963</v>
      </c>
      <c r="AG2007" s="16">
        <f>IF(AC2007=0,IF(O2007=4,INDEX(Acceleration!$T$4:$T$110,MATCH('Track Data'!S2007,Acceleration!$K$4:$K$110,0)),IF('Track Data'!O2007=3,INDEX(Acceleration!$S$4:$S$110,MATCH('Track Data'!S2007,Acceleration!$K$4:$K$110,0)),'Track Data'!AF2007)),'Track Data'!U2007)</f>
        <v>-12.968079387143963</v>
      </c>
      <c r="AH2007" s="16">
        <f>IF(AC2007=0,IF(O2007=2,INDEX(Acceleration!$R$4:$R$110,MATCH('Track Data'!S2007,Acceleration!$K$4:$K$110,0)),IF('Track Data'!O2007=1,INDEX(Acceleration!$Q$4:$Q$110,MATCH('Track Data'!S2007,Acceleration!$K$4:$K$110,0)),'Track Data'!AG2007)),'Track Data'!U2007)</f>
        <v>-12.968079387143963</v>
      </c>
    </row>
    <row r="2008" spans="2:34" x14ac:dyDescent="0.25">
      <c r="B2008" s="16">
        <v>248.53899999999999</v>
      </c>
      <c r="C2008" s="16">
        <v>9278</v>
      </c>
      <c r="D2008" s="16">
        <v>2005</v>
      </c>
      <c r="E2008" s="113">
        <v>162</v>
      </c>
      <c r="F2008" s="113">
        <v>166.3</v>
      </c>
      <c r="G2008" s="113">
        <v>176.8</v>
      </c>
      <c r="H2008" s="113">
        <f t="shared" si="222"/>
        <v>49.111111111111114</v>
      </c>
      <c r="I2008" s="113">
        <v>-0.1</v>
      </c>
      <c r="J2008" s="113">
        <v>87.02</v>
      </c>
      <c r="K2008" s="113">
        <v>5.7</v>
      </c>
      <c r="L2008" s="185"/>
      <c r="M2008" s="16">
        <v>2005</v>
      </c>
      <c r="N2008" s="16">
        <f t="shared" si="224"/>
        <v>1.7555744086897359E-2</v>
      </c>
      <c r="O2008" s="16">
        <v>6</v>
      </c>
      <c r="P2008" s="16">
        <f t="shared" si="220"/>
        <v>7.3113821138211375</v>
      </c>
      <c r="Q2008" s="16">
        <f t="shared" si="225"/>
        <v>56.961413600597247</v>
      </c>
      <c r="R2008" s="113">
        <f t="shared" si="221"/>
        <v>311.95699999999999</v>
      </c>
      <c r="S2008" s="16">
        <f>IF(S2007=15800,15800,ROUND((((Q2008*60)/'Gearing Calculator'!$C$14)*'Track Data'!P2008),-2))</f>
        <v>12600</v>
      </c>
      <c r="T2008" s="16">
        <f t="shared" si="223"/>
        <v>-12.968079387143963</v>
      </c>
      <c r="U2008" s="16">
        <f>IF(AC2008=100,Braking!$AG$2354,IF(AC2008=50,Braking!$AG$1179,IF(AC2008=75,Braking!$AG$1767,0)))</f>
        <v>-12.968079387143963</v>
      </c>
      <c r="V2008" s="16">
        <f>0.5*'Gearing Calculator'!$C$15*'Gearing Calculator'!$C$20*'Gearing Calculator'!$W$20*('Track Data'!Q2008^2)</f>
        <v>343.40874335179979</v>
      </c>
      <c r="W2008" s="16">
        <f>('Gearing Calculator'!$U$9*'Track Data'!T2008)+'Track Data'!V2008</f>
        <v>-3108.6939895059231</v>
      </c>
      <c r="X2008" s="16">
        <f>('Gearing Calculator'!$U$9*9.81)*('Gearing Calculator'!$U$16/'Gearing Calculator'!$C$7)-(('Track Data'!W2008)*('Gearing Calculator'!$U$17/'Gearing Calculator'!$C$7))</f>
        <v>3095.6128285984596</v>
      </c>
      <c r="Y2008" s="16">
        <f>('Gearing Calculator'!$U$9*9.81)*(('Gearing Calculator'!$C$7-'Gearing Calculator'!$U$16)/'Gearing Calculator'!$C$7)+(('Track Data'!W2008)*('Gearing Calculator'!$U$17/'Gearing Calculator'!$C$7))</f>
        <v>-484.1908285984598</v>
      </c>
      <c r="Z2008" s="16">
        <f>((X2008*COS('Gearing Calculator'!$C$21))/'Gearing Calculator'!$C$22)/2</f>
        <v>95.70655807103266</v>
      </c>
      <c r="AA2008" s="16">
        <f>Y2008/'Gearing Calculator'!$C$24</f>
        <v>-6.7609279656377979</v>
      </c>
      <c r="AB2008" s="16">
        <f t="shared" si="219"/>
        <v>265.600267028936</v>
      </c>
      <c r="AC2008" s="16">
        <v>75</v>
      </c>
      <c r="AD2008" s="16">
        <v>0</v>
      </c>
      <c r="AE2008" s="16">
        <v>2005</v>
      </c>
      <c r="AF2008" s="16">
        <f>IF(AC2008=0,IF(O2008=6,INDEX(Acceleration!$V$4:$V$110,MATCH('Track Data'!S2008,Acceleration!$K$4:$K$110,0)),IF('Track Data'!O2008=5,INDEX(Acceleration!$U$4:$U$110,MATCH('Track Data'!S2008,Acceleration!$K$4:$K$110,0)),1)),U2008)</f>
        <v>-12.968079387143963</v>
      </c>
      <c r="AG2008" s="16">
        <f>IF(AC2008=0,IF(O2008=4,INDEX(Acceleration!$T$4:$T$110,MATCH('Track Data'!S2008,Acceleration!$K$4:$K$110,0)),IF('Track Data'!O2008=3,INDEX(Acceleration!$S$4:$S$110,MATCH('Track Data'!S2008,Acceleration!$K$4:$K$110,0)),'Track Data'!AF2008)),'Track Data'!U2008)</f>
        <v>-12.968079387143963</v>
      </c>
      <c r="AH2008" s="16">
        <f>IF(AC2008=0,IF(O2008=2,INDEX(Acceleration!$R$4:$R$110,MATCH('Track Data'!S2008,Acceleration!$K$4:$K$110,0)),IF('Track Data'!O2008=1,INDEX(Acceleration!$Q$4:$Q$110,MATCH('Track Data'!S2008,Acceleration!$K$4:$K$110,0)),'Track Data'!AG2008)),'Track Data'!U2008)</f>
        <v>-12.968079387143963</v>
      </c>
    </row>
    <row r="2009" spans="2:34" x14ac:dyDescent="0.25">
      <c r="B2009" s="16">
        <v>248.56</v>
      </c>
      <c r="C2009" s="16">
        <v>9279</v>
      </c>
      <c r="D2009" s="16">
        <v>2006</v>
      </c>
      <c r="E2009" s="113">
        <v>160</v>
      </c>
      <c r="F2009" s="113">
        <v>165.5</v>
      </c>
      <c r="G2009" s="113">
        <v>175.1</v>
      </c>
      <c r="H2009" s="113">
        <f t="shared" si="222"/>
        <v>48.638888888888886</v>
      </c>
      <c r="I2009" s="113">
        <v>-1.1000000000000001</v>
      </c>
      <c r="J2009" s="113">
        <v>85.07</v>
      </c>
      <c r="K2009" s="113">
        <v>2.5</v>
      </c>
      <c r="L2009" s="185"/>
      <c r="M2009" s="16">
        <v>2006</v>
      </c>
      <c r="N2009" s="16">
        <f t="shared" si="224"/>
        <v>1.7626334653122425E-2</v>
      </c>
      <c r="O2009" s="16">
        <v>6</v>
      </c>
      <c r="P2009" s="16">
        <f t="shared" si="220"/>
        <v>7.3113821138211375</v>
      </c>
      <c r="Q2009" s="16">
        <f t="shared" si="225"/>
        <v>56.733292523914187</v>
      </c>
      <c r="R2009" s="113">
        <f t="shared" si="221"/>
        <v>311.95699999999999</v>
      </c>
      <c r="S2009" s="16">
        <f>IF(S2008=15800,15800,ROUND((((Q2009*60)/'Gearing Calculator'!$C$14)*'Track Data'!P2009),-2))</f>
        <v>12600</v>
      </c>
      <c r="T2009" s="16">
        <f t="shared" si="223"/>
        <v>-12.968079387143963</v>
      </c>
      <c r="U2009" s="16">
        <f>IF(AC2009=100,Braking!$AG$2354,IF(AC2009=50,Braking!$AG$1179,IF(AC2009=75,Braking!$AG$1767,0)))</f>
        <v>-12.968079387143963</v>
      </c>
      <c r="V2009" s="16">
        <f>0.5*'Gearing Calculator'!$C$15*'Gearing Calculator'!$C$20*'Gearing Calculator'!$W$20*('Track Data'!Q2009^2)</f>
        <v>340.66366030712919</v>
      </c>
      <c r="W2009" s="16">
        <f>('Gearing Calculator'!$U$9*'Track Data'!T2009)+'Track Data'!V2009</f>
        <v>-3111.4390725505937</v>
      </c>
      <c r="X2009" s="16">
        <f>('Gearing Calculator'!$U$9*9.81)*('Gearing Calculator'!$U$16/'Gearing Calculator'!$C$7)-(('Track Data'!W2009)*('Gearing Calculator'!$U$17/'Gearing Calculator'!$C$7))</f>
        <v>3097.1090863297741</v>
      </c>
      <c r="Y2009" s="16">
        <f>('Gearing Calculator'!$U$9*9.81)*(('Gearing Calculator'!$C$7-'Gearing Calculator'!$U$16)/'Gearing Calculator'!$C$7)+(('Track Data'!W2009)*('Gearing Calculator'!$U$17/'Gearing Calculator'!$C$7))</f>
        <v>-485.68708632977427</v>
      </c>
      <c r="Z2009" s="16">
        <f>((X2009*COS('Gearing Calculator'!$C$21))/'Gearing Calculator'!$C$22)/2</f>
        <v>95.752817627824868</v>
      </c>
      <c r="AA2009" s="16">
        <f>Y2009/'Gearing Calculator'!$C$24</f>
        <v>-6.7818207420844896</v>
      </c>
      <c r="AB2009" s="16">
        <f t="shared" si="219"/>
        <v>262.85518398426541</v>
      </c>
      <c r="AC2009" s="16">
        <v>75</v>
      </c>
      <c r="AD2009" s="16">
        <v>0</v>
      </c>
      <c r="AE2009" s="16">
        <v>2006</v>
      </c>
      <c r="AF2009" s="16">
        <f>IF(AC2009=0,IF(O2009=6,INDEX(Acceleration!$V$4:$V$110,MATCH('Track Data'!S2009,Acceleration!$K$4:$K$110,0)),IF('Track Data'!O2009=5,INDEX(Acceleration!$U$4:$U$110,MATCH('Track Data'!S2009,Acceleration!$K$4:$K$110,0)),1)),U2009)</f>
        <v>-12.968079387143963</v>
      </c>
      <c r="AG2009" s="16">
        <f>IF(AC2009=0,IF(O2009=4,INDEX(Acceleration!$T$4:$T$110,MATCH('Track Data'!S2009,Acceleration!$K$4:$K$110,0)),IF('Track Data'!O2009=3,INDEX(Acceleration!$S$4:$S$110,MATCH('Track Data'!S2009,Acceleration!$K$4:$K$110,0)),'Track Data'!AF2009)),'Track Data'!U2009)</f>
        <v>-12.968079387143963</v>
      </c>
      <c r="AH2009" s="16">
        <f>IF(AC2009=0,IF(O2009=2,INDEX(Acceleration!$R$4:$R$110,MATCH('Track Data'!S2009,Acceleration!$K$4:$K$110,0)),IF('Track Data'!O2009=1,INDEX(Acceleration!$Q$4:$Q$110,MATCH('Track Data'!S2009,Acceleration!$K$4:$K$110,0)),'Track Data'!AG2009)),'Track Data'!U2009)</f>
        <v>-12.968079387143963</v>
      </c>
    </row>
    <row r="2010" spans="2:34" x14ac:dyDescent="0.25">
      <c r="B2010" s="16">
        <v>248.58199999999999</v>
      </c>
      <c r="C2010" s="16">
        <v>9280</v>
      </c>
      <c r="D2010" s="16">
        <v>2007</v>
      </c>
      <c r="E2010" s="113">
        <v>159</v>
      </c>
      <c r="F2010" s="113">
        <v>165.7</v>
      </c>
      <c r="G2010" s="113">
        <v>174</v>
      </c>
      <c r="H2010" s="113">
        <f t="shared" si="222"/>
        <v>48.333333333333329</v>
      </c>
      <c r="I2010" s="113">
        <v>-1.7</v>
      </c>
      <c r="J2010" s="113">
        <v>84.81</v>
      </c>
      <c r="K2010" s="113">
        <v>2.5</v>
      </c>
      <c r="L2010" s="185"/>
      <c r="M2010" s="16">
        <v>2007</v>
      </c>
      <c r="N2010" s="16">
        <f t="shared" si="224"/>
        <v>1.7697783646004352E-2</v>
      </c>
      <c r="O2010" s="16">
        <v>6</v>
      </c>
      <c r="P2010" s="16">
        <f t="shared" si="220"/>
        <v>7.3113821138211375</v>
      </c>
      <c r="Q2010" s="16">
        <f t="shared" si="225"/>
        <v>56.504250475780402</v>
      </c>
      <c r="R2010" s="113">
        <f t="shared" si="221"/>
        <v>311.95699999999999</v>
      </c>
      <c r="S2010" s="16">
        <f>IF(S2009=15800,15800,ROUND((((Q2010*60)/'Gearing Calculator'!$C$14)*'Track Data'!P2010),-2))</f>
        <v>12500</v>
      </c>
      <c r="T2010" s="16">
        <f t="shared" si="223"/>
        <v>-12.968079387143963</v>
      </c>
      <c r="U2010" s="16">
        <f>IF(AC2010=100,Braking!$AG$2354,IF(AC2010=50,Braking!$AG$1179,IF(AC2010=75,Braking!$AG$1767,0)))</f>
        <v>-12.968079387143963</v>
      </c>
      <c r="V2010" s="16">
        <f>0.5*'Gearing Calculator'!$C$15*'Gearing Calculator'!$C$20*'Gearing Calculator'!$W$20*('Track Data'!Q2010^2)</f>
        <v>337.91857726245854</v>
      </c>
      <c r="W2010" s="16">
        <f>('Gearing Calculator'!$U$9*'Track Data'!T2010)+'Track Data'!V2010</f>
        <v>-3114.1841555952642</v>
      </c>
      <c r="X2010" s="16">
        <f>('Gearing Calculator'!$U$9*9.81)*('Gearing Calculator'!$U$16/'Gearing Calculator'!$C$7)-(('Track Data'!W2010)*('Gearing Calculator'!$U$17/'Gearing Calculator'!$C$7))</f>
        <v>3098.6053440610885</v>
      </c>
      <c r="Y2010" s="16">
        <f>('Gearing Calculator'!$U$9*9.81)*(('Gearing Calculator'!$C$7-'Gearing Calculator'!$U$16)/'Gearing Calculator'!$C$7)+(('Track Data'!W2010)*('Gearing Calculator'!$U$17/'Gearing Calculator'!$C$7))</f>
        <v>-487.18334406108852</v>
      </c>
      <c r="Z2010" s="16">
        <f>((X2010*COS('Gearing Calculator'!$C$21))/'Gearing Calculator'!$C$22)/2</f>
        <v>95.79907718461709</v>
      </c>
      <c r="AA2010" s="16">
        <f>Y2010/'Gearing Calculator'!$C$24</f>
        <v>-6.8027135185311769</v>
      </c>
      <c r="AB2010" s="16">
        <f t="shared" si="219"/>
        <v>260.11010093959476</v>
      </c>
      <c r="AC2010" s="16">
        <v>75</v>
      </c>
      <c r="AD2010" s="16">
        <v>0</v>
      </c>
      <c r="AE2010" s="16">
        <v>2007</v>
      </c>
      <c r="AF2010" s="16">
        <f>IF(AC2010=0,IF(O2010=6,INDEX(Acceleration!$V$4:$V$110,MATCH('Track Data'!S2010,Acceleration!$K$4:$K$110,0)),IF('Track Data'!O2010=5,INDEX(Acceleration!$U$4:$U$110,MATCH('Track Data'!S2010,Acceleration!$K$4:$K$110,0)),1)),U2010)</f>
        <v>-12.968079387143963</v>
      </c>
      <c r="AG2010" s="16">
        <f>IF(AC2010=0,IF(O2010=4,INDEX(Acceleration!$T$4:$T$110,MATCH('Track Data'!S2010,Acceleration!$K$4:$K$110,0)),IF('Track Data'!O2010=3,INDEX(Acceleration!$S$4:$S$110,MATCH('Track Data'!S2010,Acceleration!$K$4:$K$110,0)),'Track Data'!AF2010)),'Track Data'!U2010)</f>
        <v>-12.968079387143963</v>
      </c>
      <c r="AH2010" s="16">
        <f>IF(AC2010=0,IF(O2010=2,INDEX(Acceleration!$R$4:$R$110,MATCH('Track Data'!S2010,Acceleration!$K$4:$K$110,0)),IF('Track Data'!O2010=1,INDEX(Acceleration!$Q$4:$Q$110,MATCH('Track Data'!S2010,Acceleration!$K$4:$K$110,0)),'Track Data'!AG2010)),'Track Data'!U2010)</f>
        <v>-12.968079387143963</v>
      </c>
    </row>
    <row r="2011" spans="2:34" x14ac:dyDescent="0.25">
      <c r="B2011" s="16">
        <v>248.60400000000001</v>
      </c>
      <c r="C2011" s="16">
        <v>9281</v>
      </c>
      <c r="D2011" s="16">
        <v>2008</v>
      </c>
      <c r="E2011" s="113">
        <v>158</v>
      </c>
      <c r="F2011" s="113">
        <v>165.7</v>
      </c>
      <c r="G2011" s="113">
        <v>172.8</v>
      </c>
      <c r="H2011" s="113">
        <f t="shared" si="222"/>
        <v>48</v>
      </c>
      <c r="I2011" s="113">
        <v>-2.4</v>
      </c>
      <c r="J2011" s="113">
        <v>83.91</v>
      </c>
      <c r="K2011" s="113">
        <v>2.5</v>
      </c>
      <c r="L2011" s="185"/>
      <c r="M2011" s="16">
        <v>2008</v>
      </c>
      <c r="N2011" s="16">
        <f t="shared" si="224"/>
        <v>1.7770108606161523E-2</v>
      </c>
      <c r="O2011" s="16">
        <v>6</v>
      </c>
      <c r="P2011" s="16">
        <f t="shared" si="220"/>
        <v>7.3113821138211375</v>
      </c>
      <c r="Q2011" s="16">
        <f t="shared" si="225"/>
        <v>56.274276210853586</v>
      </c>
      <c r="R2011" s="113">
        <f t="shared" si="221"/>
        <v>311.95699999999999</v>
      </c>
      <c r="S2011" s="16">
        <f>IF(S2010=15800,15800,ROUND((((Q2011*60)/'Gearing Calculator'!$C$14)*'Track Data'!P2011),-2))</f>
        <v>12500</v>
      </c>
      <c r="T2011" s="16">
        <f t="shared" si="223"/>
        <v>-12.968079387143963</v>
      </c>
      <c r="U2011" s="16">
        <f>IF(AC2011=100,Braking!$AG$2354,IF(AC2011=50,Braking!$AG$1179,IF(AC2011=75,Braking!$AG$1767,0)))</f>
        <v>-12.968079387143963</v>
      </c>
      <c r="V2011" s="16">
        <f>0.5*'Gearing Calculator'!$C$15*'Gearing Calculator'!$C$20*'Gearing Calculator'!$W$20*('Track Data'!Q2011^2)</f>
        <v>335.17349421778795</v>
      </c>
      <c r="W2011" s="16">
        <f>('Gearing Calculator'!$U$9*'Track Data'!T2011)+'Track Data'!V2011</f>
        <v>-3116.9292386399347</v>
      </c>
      <c r="X2011" s="16">
        <f>('Gearing Calculator'!$U$9*9.81)*('Gearing Calculator'!$U$16/'Gearing Calculator'!$C$7)-(('Track Data'!W2011)*('Gearing Calculator'!$U$17/'Gearing Calculator'!$C$7))</f>
        <v>3100.101601792403</v>
      </c>
      <c r="Y2011" s="16">
        <f>('Gearing Calculator'!$U$9*9.81)*(('Gearing Calculator'!$C$7-'Gearing Calculator'!$U$16)/'Gearing Calculator'!$C$7)+(('Track Data'!W2011)*('Gearing Calculator'!$U$17/'Gearing Calculator'!$C$7))</f>
        <v>-488.67960179240299</v>
      </c>
      <c r="Z2011" s="16">
        <f>((X2011*COS('Gearing Calculator'!$C$21))/'Gearing Calculator'!$C$22)/2</f>
        <v>95.845336741409312</v>
      </c>
      <c r="AA2011" s="16">
        <f>Y2011/'Gearing Calculator'!$C$24</f>
        <v>-6.8236062949778686</v>
      </c>
      <c r="AB2011" s="16">
        <f t="shared" si="219"/>
        <v>257.36501789492416</v>
      </c>
      <c r="AC2011" s="16">
        <v>75</v>
      </c>
      <c r="AD2011" s="16">
        <v>0</v>
      </c>
      <c r="AE2011" s="16">
        <v>2008</v>
      </c>
      <c r="AF2011" s="16">
        <f>IF(AC2011=0,IF(O2011=6,INDEX(Acceleration!$V$4:$V$110,MATCH('Track Data'!S2011,Acceleration!$K$4:$K$110,0)),IF('Track Data'!O2011=5,INDEX(Acceleration!$U$4:$U$110,MATCH('Track Data'!S2011,Acceleration!$K$4:$K$110,0)),1)),U2011)</f>
        <v>-12.968079387143963</v>
      </c>
      <c r="AG2011" s="16">
        <f>IF(AC2011=0,IF(O2011=4,INDEX(Acceleration!$T$4:$T$110,MATCH('Track Data'!S2011,Acceleration!$K$4:$K$110,0)),IF('Track Data'!O2011=3,INDEX(Acceleration!$S$4:$S$110,MATCH('Track Data'!S2011,Acceleration!$K$4:$K$110,0)),'Track Data'!AF2011)),'Track Data'!U2011)</f>
        <v>-12.968079387143963</v>
      </c>
      <c r="AH2011" s="16">
        <f>IF(AC2011=0,IF(O2011=2,INDEX(Acceleration!$R$4:$R$110,MATCH('Track Data'!S2011,Acceleration!$K$4:$K$110,0)),IF('Track Data'!O2011=1,INDEX(Acceleration!$Q$4:$Q$110,MATCH('Track Data'!S2011,Acceleration!$K$4:$K$110,0)),'Track Data'!AG2011)),'Track Data'!U2011)</f>
        <v>-12.968079387143963</v>
      </c>
    </row>
    <row r="2012" spans="2:34" x14ac:dyDescent="0.25">
      <c r="B2012" s="16">
        <v>248.625</v>
      </c>
      <c r="C2012" s="16">
        <v>9282</v>
      </c>
      <c r="D2012" s="16">
        <v>2009</v>
      </c>
      <c r="E2012" s="113">
        <v>157</v>
      </c>
      <c r="F2012" s="113">
        <v>164.9</v>
      </c>
      <c r="G2012" s="113">
        <v>171.7</v>
      </c>
      <c r="H2012" s="113">
        <f t="shared" si="222"/>
        <v>47.694444444444443</v>
      </c>
      <c r="I2012" s="113">
        <v>-2.6</v>
      </c>
      <c r="J2012" s="113">
        <v>87.67</v>
      </c>
      <c r="K2012" s="113">
        <v>2.5</v>
      </c>
      <c r="L2012" s="185"/>
      <c r="M2012" s="16">
        <v>2009</v>
      </c>
      <c r="N2012" s="16">
        <f t="shared" si="224"/>
        <v>1.7843327580130294E-2</v>
      </c>
      <c r="O2012" s="16">
        <v>6</v>
      </c>
      <c r="P2012" s="16">
        <f t="shared" si="220"/>
        <v>7.3113821138211375</v>
      </c>
      <c r="Q2012" s="16">
        <f t="shared" si="225"/>
        <v>56.043358253062905</v>
      </c>
      <c r="R2012" s="113">
        <f t="shared" si="221"/>
        <v>311.95699999999999</v>
      </c>
      <c r="S2012" s="16">
        <f>IF(S2011=15800,15800,ROUND((((Q2012*60)/'Gearing Calculator'!$C$14)*'Track Data'!P2012),-2))</f>
        <v>12400</v>
      </c>
      <c r="T2012" s="16">
        <f t="shared" si="223"/>
        <v>-12.968079387143963</v>
      </c>
      <c r="U2012" s="16">
        <f>IF(AC2012=100,Braking!$AG$2354,IF(AC2012=50,Braking!$AG$1179,IF(AC2012=75,Braking!$AG$1767,0)))</f>
        <v>-12.968079387143963</v>
      </c>
      <c r="V2012" s="16">
        <f>0.5*'Gearing Calculator'!$C$15*'Gearing Calculator'!$C$20*'Gearing Calculator'!$W$20*('Track Data'!Q2012^2)</f>
        <v>332.4284111731173</v>
      </c>
      <c r="W2012" s="16">
        <f>('Gearing Calculator'!$U$9*'Track Data'!T2012)+'Track Data'!V2012</f>
        <v>-3119.6743216846057</v>
      </c>
      <c r="X2012" s="16">
        <f>('Gearing Calculator'!$U$9*9.81)*('Gearing Calculator'!$U$16/'Gearing Calculator'!$C$7)-(('Track Data'!W2012)*('Gearing Calculator'!$U$17/'Gearing Calculator'!$C$7))</f>
        <v>3101.5978595237175</v>
      </c>
      <c r="Y2012" s="16">
        <f>('Gearing Calculator'!$U$9*9.81)*(('Gearing Calculator'!$C$7-'Gearing Calculator'!$U$16)/'Gearing Calculator'!$C$7)+(('Track Data'!W2012)*('Gearing Calculator'!$U$17/'Gearing Calculator'!$C$7))</f>
        <v>-490.17585952371746</v>
      </c>
      <c r="Z2012" s="16">
        <f>((X2012*COS('Gearing Calculator'!$C$21))/'Gearing Calculator'!$C$22)/2</f>
        <v>95.891596298201534</v>
      </c>
      <c r="AA2012" s="16">
        <f>Y2012/'Gearing Calculator'!$C$24</f>
        <v>-6.8444990714245595</v>
      </c>
      <c r="AB2012" s="16">
        <f t="shared" si="219"/>
        <v>254.61993485025351</v>
      </c>
      <c r="AC2012" s="16">
        <v>75</v>
      </c>
      <c r="AD2012" s="16">
        <v>0</v>
      </c>
      <c r="AE2012" s="16">
        <v>2009</v>
      </c>
      <c r="AF2012" s="16">
        <f>IF(AC2012=0,IF(O2012=6,INDEX(Acceleration!$V$4:$V$110,MATCH('Track Data'!S2012,Acceleration!$K$4:$K$110,0)),IF('Track Data'!O2012=5,INDEX(Acceleration!$U$4:$U$110,MATCH('Track Data'!S2012,Acceleration!$K$4:$K$110,0)),1)),U2012)</f>
        <v>-12.968079387143963</v>
      </c>
      <c r="AG2012" s="16">
        <f>IF(AC2012=0,IF(O2012=4,INDEX(Acceleration!$T$4:$T$110,MATCH('Track Data'!S2012,Acceleration!$K$4:$K$110,0)),IF('Track Data'!O2012=3,INDEX(Acceleration!$S$4:$S$110,MATCH('Track Data'!S2012,Acceleration!$K$4:$K$110,0)),'Track Data'!AF2012)),'Track Data'!U2012)</f>
        <v>-12.968079387143963</v>
      </c>
      <c r="AH2012" s="16">
        <f>IF(AC2012=0,IF(O2012=2,INDEX(Acceleration!$R$4:$R$110,MATCH('Track Data'!S2012,Acceleration!$K$4:$K$110,0)),IF('Track Data'!O2012=1,INDEX(Acceleration!$Q$4:$Q$110,MATCH('Track Data'!S2012,Acceleration!$K$4:$K$110,0)),'Track Data'!AG2012)),'Track Data'!U2012)</f>
        <v>-12.968079387143963</v>
      </c>
    </row>
    <row r="2013" spans="2:34" x14ac:dyDescent="0.25">
      <c r="B2013" s="16">
        <v>248.64699999999999</v>
      </c>
      <c r="C2013" s="16">
        <v>9283</v>
      </c>
      <c r="D2013" s="16">
        <v>2010</v>
      </c>
      <c r="E2013" s="113">
        <v>156</v>
      </c>
      <c r="F2013" s="113">
        <v>164.2</v>
      </c>
      <c r="G2013" s="113">
        <v>170.6</v>
      </c>
      <c r="H2013" s="113">
        <f t="shared" si="222"/>
        <v>47.388888888888886</v>
      </c>
      <c r="I2013" s="113">
        <v>-2.6</v>
      </c>
      <c r="J2013" s="113">
        <v>87.67</v>
      </c>
      <c r="K2013" s="113">
        <v>0.1</v>
      </c>
      <c r="L2013" s="185"/>
      <c r="M2013" s="16">
        <v>2010</v>
      </c>
      <c r="N2013" s="16">
        <f t="shared" si="224"/>
        <v>1.7917459139282096E-2</v>
      </c>
      <c r="O2013" s="16">
        <v>6</v>
      </c>
      <c r="P2013" s="16">
        <f t="shared" si="220"/>
        <v>7.3113821138211375</v>
      </c>
      <c r="Q2013" s="16">
        <f t="shared" si="225"/>
        <v>55.811484888926458</v>
      </c>
      <c r="R2013" s="113">
        <f t="shared" si="221"/>
        <v>311.95699999999999</v>
      </c>
      <c r="S2013" s="16">
        <f>IF(S2012=15800,15800,ROUND((((Q2013*60)/'Gearing Calculator'!$C$14)*'Track Data'!P2013),-2))</f>
        <v>12400</v>
      </c>
      <c r="T2013" s="16">
        <f t="shared" si="223"/>
        <v>-12.968079387143963</v>
      </c>
      <c r="U2013" s="16">
        <f>IF(AC2013=100,Braking!$AG$2354,IF(AC2013=50,Braking!$AG$1179,IF(AC2013=75,Braking!$AG$1767,0)))</f>
        <v>-12.968079387143963</v>
      </c>
      <c r="V2013" s="16">
        <f>0.5*'Gearing Calculator'!$C$15*'Gearing Calculator'!$C$20*'Gearing Calculator'!$W$20*('Track Data'!Q2013^2)</f>
        <v>329.6833281284467</v>
      </c>
      <c r="W2013" s="16">
        <f>('Gearing Calculator'!$U$9*'Track Data'!T2013)+'Track Data'!V2013</f>
        <v>-3122.4194047292763</v>
      </c>
      <c r="X2013" s="16">
        <f>('Gearing Calculator'!$U$9*9.81)*('Gearing Calculator'!$U$16/'Gearing Calculator'!$C$7)-(('Track Data'!W2013)*('Gearing Calculator'!$U$17/'Gearing Calculator'!$C$7))</f>
        <v>3103.094117255032</v>
      </c>
      <c r="Y2013" s="16">
        <f>('Gearing Calculator'!$U$9*9.81)*(('Gearing Calculator'!$C$7-'Gearing Calculator'!$U$16)/'Gearing Calculator'!$C$7)+(('Track Data'!W2013)*('Gearing Calculator'!$U$17/'Gearing Calculator'!$C$7))</f>
        <v>-491.67211725503194</v>
      </c>
      <c r="Z2013" s="16">
        <f>((X2013*COS('Gearing Calculator'!$C$21))/'Gearing Calculator'!$C$22)/2</f>
        <v>95.937855854993757</v>
      </c>
      <c r="AA2013" s="16">
        <f>Y2013/'Gearing Calculator'!$C$24</f>
        <v>-6.8653918478712512</v>
      </c>
      <c r="AB2013" s="16">
        <f t="shared" si="219"/>
        <v>251.87485180558292</v>
      </c>
      <c r="AC2013" s="16">
        <v>75</v>
      </c>
      <c r="AD2013" s="16">
        <v>0</v>
      </c>
      <c r="AE2013" s="16">
        <v>2010</v>
      </c>
      <c r="AF2013" s="16">
        <f>IF(AC2013=0,IF(O2013=6,INDEX(Acceleration!$V$4:$V$110,MATCH('Track Data'!S2013,Acceleration!$K$4:$K$110,0)),IF('Track Data'!O2013=5,INDEX(Acceleration!$U$4:$U$110,MATCH('Track Data'!S2013,Acceleration!$K$4:$K$110,0)),1)),U2013)</f>
        <v>-12.968079387143963</v>
      </c>
      <c r="AG2013" s="16">
        <f>IF(AC2013=0,IF(O2013=4,INDEX(Acceleration!$T$4:$T$110,MATCH('Track Data'!S2013,Acceleration!$K$4:$K$110,0)),IF('Track Data'!O2013=3,INDEX(Acceleration!$S$4:$S$110,MATCH('Track Data'!S2013,Acceleration!$K$4:$K$110,0)),'Track Data'!AF2013)),'Track Data'!U2013)</f>
        <v>-12.968079387143963</v>
      </c>
      <c r="AH2013" s="16">
        <f>IF(AC2013=0,IF(O2013=2,INDEX(Acceleration!$R$4:$R$110,MATCH('Track Data'!S2013,Acceleration!$K$4:$K$110,0)),IF('Track Data'!O2013=1,INDEX(Acceleration!$Q$4:$Q$110,MATCH('Track Data'!S2013,Acceleration!$K$4:$K$110,0)),'Track Data'!AG2013)),'Track Data'!U2013)</f>
        <v>-12.968079387143963</v>
      </c>
    </row>
    <row r="2014" spans="2:34" x14ac:dyDescent="0.25">
      <c r="B2014" s="16">
        <v>248.66900000000001</v>
      </c>
      <c r="C2014" s="16">
        <v>9284</v>
      </c>
      <c r="D2014" s="16">
        <v>2011</v>
      </c>
      <c r="E2014" s="113">
        <v>156</v>
      </c>
      <c r="F2014" s="113">
        <v>164.2</v>
      </c>
      <c r="G2014" s="113">
        <v>169.3</v>
      </c>
      <c r="H2014" s="113">
        <f t="shared" si="222"/>
        <v>47.027777777777779</v>
      </c>
      <c r="I2014" s="113">
        <v>-1.3</v>
      </c>
      <c r="J2014" s="113">
        <v>87.51</v>
      </c>
      <c r="K2014" s="113">
        <v>-12.4</v>
      </c>
      <c r="L2014" s="185"/>
      <c r="M2014" s="16">
        <v>2011</v>
      </c>
      <c r="N2014" s="16">
        <f t="shared" si="224"/>
        <v>1.7992522399612344E-2</v>
      </c>
      <c r="O2014" s="16">
        <v>6</v>
      </c>
      <c r="P2014" s="16">
        <f t="shared" si="220"/>
        <v>7.3113821138211375</v>
      </c>
      <c r="Q2014" s="16">
        <f t="shared" si="225"/>
        <v>55.578644160617827</v>
      </c>
      <c r="R2014" s="113">
        <f t="shared" si="221"/>
        <v>311.95699999999999</v>
      </c>
      <c r="S2014" s="16">
        <f>IF(S2013=15800,15800,ROUND((((Q2014*60)/'Gearing Calculator'!$C$14)*'Track Data'!P2014),-2))</f>
        <v>12300</v>
      </c>
      <c r="T2014" s="16">
        <f t="shared" si="223"/>
        <v>-12.968079387143963</v>
      </c>
      <c r="U2014" s="16">
        <f>IF(AC2014=100,Braking!$AG$2354,IF(AC2014=50,Braking!$AG$1179,IF(AC2014=75,Braking!$AG$1767,0)))</f>
        <v>-12.968079387143963</v>
      </c>
      <c r="V2014" s="16">
        <f>0.5*'Gearing Calculator'!$C$15*'Gearing Calculator'!$C$20*'Gearing Calculator'!$W$20*('Track Data'!Q2014^2)</f>
        <v>326.938245083776</v>
      </c>
      <c r="W2014" s="16">
        <f>('Gearing Calculator'!$U$9*'Track Data'!T2014)+'Track Data'!V2014</f>
        <v>-3125.1644877739468</v>
      </c>
      <c r="X2014" s="16">
        <f>('Gearing Calculator'!$U$9*9.81)*('Gearing Calculator'!$U$16/'Gearing Calculator'!$C$7)-(('Track Data'!W2014)*('Gearing Calculator'!$U$17/'Gearing Calculator'!$C$7))</f>
        <v>3104.5903749863464</v>
      </c>
      <c r="Y2014" s="16">
        <f>('Gearing Calculator'!$U$9*9.81)*(('Gearing Calculator'!$C$7-'Gearing Calculator'!$U$16)/'Gearing Calculator'!$C$7)+(('Track Data'!W2014)*('Gearing Calculator'!$U$17/'Gearing Calculator'!$C$7))</f>
        <v>-493.16837498634618</v>
      </c>
      <c r="Z2014" s="16">
        <f>((X2014*COS('Gearing Calculator'!$C$21))/'Gearing Calculator'!$C$22)/2</f>
        <v>95.984115411785979</v>
      </c>
      <c r="AA2014" s="16">
        <f>Y2014/'Gearing Calculator'!$C$24</f>
        <v>-6.8862846243179385</v>
      </c>
      <c r="AB2014" s="16">
        <f t="shared" si="219"/>
        <v>249.12976876091221</v>
      </c>
      <c r="AC2014" s="16">
        <v>75</v>
      </c>
      <c r="AD2014" s="16">
        <v>0</v>
      </c>
      <c r="AE2014" s="16">
        <v>2011</v>
      </c>
      <c r="AF2014" s="16">
        <f>IF(AC2014=0,IF(O2014=6,INDEX(Acceleration!$V$4:$V$110,MATCH('Track Data'!S2014,Acceleration!$K$4:$K$110,0)),IF('Track Data'!O2014=5,INDEX(Acceleration!$U$4:$U$110,MATCH('Track Data'!S2014,Acceleration!$K$4:$K$110,0)),1)),U2014)</f>
        <v>-12.968079387143963</v>
      </c>
      <c r="AG2014" s="16">
        <f>IF(AC2014=0,IF(O2014=4,INDEX(Acceleration!$T$4:$T$110,MATCH('Track Data'!S2014,Acceleration!$K$4:$K$110,0)),IF('Track Data'!O2014=3,INDEX(Acceleration!$S$4:$S$110,MATCH('Track Data'!S2014,Acceleration!$K$4:$K$110,0)),'Track Data'!AF2014)),'Track Data'!U2014)</f>
        <v>-12.968079387143963</v>
      </c>
      <c r="AH2014" s="16">
        <f>IF(AC2014=0,IF(O2014=2,INDEX(Acceleration!$R$4:$R$110,MATCH('Track Data'!S2014,Acceleration!$K$4:$K$110,0)),IF('Track Data'!O2014=1,INDEX(Acceleration!$Q$4:$Q$110,MATCH('Track Data'!S2014,Acceleration!$K$4:$K$110,0)),'Track Data'!AG2014)),'Track Data'!U2014)</f>
        <v>-12.968079387143963</v>
      </c>
    </row>
    <row r="2015" spans="2:34" x14ac:dyDescent="0.25">
      <c r="B2015" s="16">
        <v>248.691</v>
      </c>
      <c r="C2015" s="16">
        <v>9285</v>
      </c>
      <c r="D2015" s="16">
        <v>2012</v>
      </c>
      <c r="E2015" s="113">
        <v>156</v>
      </c>
      <c r="F2015" s="113">
        <v>163.4</v>
      </c>
      <c r="G2015" s="113">
        <v>167.4</v>
      </c>
      <c r="H2015" s="113">
        <f t="shared" si="222"/>
        <v>46.5</v>
      </c>
      <c r="I2015" s="113">
        <v>-0.8</v>
      </c>
      <c r="J2015" s="113">
        <v>88.98</v>
      </c>
      <c r="K2015" s="113">
        <v>-31.1</v>
      </c>
      <c r="L2015" s="185"/>
      <c r="M2015" s="16">
        <v>2012</v>
      </c>
      <c r="N2015" s="16">
        <f t="shared" si="224"/>
        <v>1.8068537042448943E-2</v>
      </c>
      <c r="O2015" s="16">
        <v>6</v>
      </c>
      <c r="P2015" s="16">
        <f t="shared" si="220"/>
        <v>7.3113821138211375</v>
      </c>
      <c r="Q2015" s="16">
        <f t="shared" si="225"/>
        <v>55.34482385877012</v>
      </c>
      <c r="R2015" s="113">
        <f t="shared" si="221"/>
        <v>311.95699999999999</v>
      </c>
      <c r="S2015" s="16">
        <f>IF(S2014=15800,15800,ROUND((((Q2015*60)/'Gearing Calculator'!$C$14)*'Track Data'!P2015),-2))</f>
        <v>12300</v>
      </c>
      <c r="T2015" s="16">
        <f t="shared" si="223"/>
        <v>-12.968079387143963</v>
      </c>
      <c r="U2015" s="16">
        <f>IF(AC2015=100,Braking!$AG$2354,IF(AC2015=50,Braking!$AG$1179,IF(AC2015=75,Braking!$AG$1767,0)))</f>
        <v>-12.968079387143963</v>
      </c>
      <c r="V2015" s="16">
        <f>0.5*'Gearing Calculator'!$C$15*'Gearing Calculator'!$C$20*'Gearing Calculator'!$W$20*('Track Data'!Q2015^2)</f>
        <v>324.1931620391054</v>
      </c>
      <c r="W2015" s="16">
        <f>('Gearing Calculator'!$U$9*'Track Data'!T2015)+'Track Data'!V2015</f>
        <v>-3127.9095708186173</v>
      </c>
      <c r="X2015" s="16">
        <f>('Gearing Calculator'!$U$9*9.81)*('Gearing Calculator'!$U$16/'Gearing Calculator'!$C$7)-(('Track Data'!W2015)*('Gearing Calculator'!$U$17/'Gearing Calculator'!$C$7))</f>
        <v>3106.0866327176604</v>
      </c>
      <c r="Y2015" s="16">
        <f>('Gearing Calculator'!$U$9*9.81)*(('Gearing Calculator'!$C$7-'Gearing Calculator'!$U$16)/'Gearing Calculator'!$C$7)+(('Track Data'!W2015)*('Gearing Calculator'!$U$17/'Gearing Calculator'!$C$7))</f>
        <v>-494.66463271766042</v>
      </c>
      <c r="Z2015" s="16">
        <f>((X2015*COS('Gearing Calculator'!$C$21))/'Gearing Calculator'!$C$22)/2</f>
        <v>96.030374968578187</v>
      </c>
      <c r="AA2015" s="16">
        <f>Y2015/'Gearing Calculator'!$C$24</f>
        <v>-6.9071774007646267</v>
      </c>
      <c r="AB2015" s="16">
        <f t="shared" si="219"/>
        <v>246.38468571624162</v>
      </c>
      <c r="AC2015" s="16">
        <v>75</v>
      </c>
      <c r="AD2015" s="16">
        <v>0</v>
      </c>
      <c r="AE2015" s="16">
        <v>2012</v>
      </c>
      <c r="AF2015" s="16">
        <f>IF(AC2015=0,IF(O2015=6,INDEX(Acceleration!$V$4:$V$110,MATCH('Track Data'!S2015,Acceleration!$K$4:$K$110,0)),IF('Track Data'!O2015=5,INDEX(Acceleration!$U$4:$U$110,MATCH('Track Data'!S2015,Acceleration!$K$4:$K$110,0)),1)),U2015)</f>
        <v>-12.968079387143963</v>
      </c>
      <c r="AG2015" s="16">
        <f>IF(AC2015=0,IF(O2015=4,INDEX(Acceleration!$T$4:$T$110,MATCH('Track Data'!S2015,Acceleration!$K$4:$K$110,0)),IF('Track Data'!O2015=3,INDEX(Acceleration!$S$4:$S$110,MATCH('Track Data'!S2015,Acceleration!$K$4:$K$110,0)),'Track Data'!AF2015)),'Track Data'!U2015)</f>
        <v>-12.968079387143963</v>
      </c>
      <c r="AH2015" s="16">
        <f>IF(AC2015=0,IF(O2015=2,INDEX(Acceleration!$R$4:$R$110,MATCH('Track Data'!S2015,Acceleration!$K$4:$K$110,0)),IF('Track Data'!O2015=1,INDEX(Acceleration!$Q$4:$Q$110,MATCH('Track Data'!S2015,Acceleration!$K$4:$K$110,0)),'Track Data'!AG2015)),'Track Data'!U2015)</f>
        <v>-12.968079387143963</v>
      </c>
    </row>
    <row r="2016" spans="2:34" x14ac:dyDescent="0.25">
      <c r="B2016" s="16">
        <v>248.71299999999999</v>
      </c>
      <c r="C2016" s="16">
        <v>9286</v>
      </c>
      <c r="D2016" s="16">
        <v>2013</v>
      </c>
      <c r="E2016" s="113">
        <v>156</v>
      </c>
      <c r="F2016" s="113">
        <v>162.4</v>
      </c>
      <c r="G2016" s="113">
        <v>166.2</v>
      </c>
      <c r="H2016" s="113">
        <f t="shared" si="222"/>
        <v>46.166666666666664</v>
      </c>
      <c r="I2016" s="113">
        <v>-0.8</v>
      </c>
      <c r="J2016" s="113">
        <v>89.48</v>
      </c>
      <c r="K2016" s="113">
        <v>-43.7</v>
      </c>
      <c r="L2016" s="185"/>
      <c r="M2016" s="16">
        <v>2013</v>
      </c>
      <c r="N2016" s="16">
        <f t="shared" si="224"/>
        <v>1.8145523336131463E-2</v>
      </c>
      <c r="O2016" s="16">
        <v>6</v>
      </c>
      <c r="P2016" s="16">
        <f t="shared" si="220"/>
        <v>7.3113821138211375</v>
      </c>
      <c r="Q2016" s="16">
        <f t="shared" si="225"/>
        <v>55.110011515005169</v>
      </c>
      <c r="R2016" s="113">
        <f t="shared" si="221"/>
        <v>311.95699999999999</v>
      </c>
      <c r="S2016" s="16">
        <f>IF(S2015=15800,15800,ROUND((((Q2016*60)/'Gearing Calculator'!$C$14)*'Track Data'!P2016),-2))</f>
        <v>12200</v>
      </c>
      <c r="T2016" s="16">
        <f t="shared" si="223"/>
        <v>-12.968079387143963</v>
      </c>
      <c r="U2016" s="16">
        <f>IF(AC2016=100,Braking!$AG$2354,IF(AC2016=50,Braking!$AG$1179,IF(AC2016=75,Braking!$AG$1767,0)))</f>
        <v>-12.968079387143963</v>
      </c>
      <c r="V2016" s="16">
        <f>0.5*'Gearing Calculator'!$C$15*'Gearing Calculator'!$C$20*'Gearing Calculator'!$W$20*('Track Data'!Q2016^2)</f>
        <v>321.44807899443475</v>
      </c>
      <c r="W2016" s="16">
        <f>('Gearing Calculator'!$U$9*'Track Data'!T2016)+'Track Data'!V2016</f>
        <v>-3130.6546538632883</v>
      </c>
      <c r="X2016" s="16">
        <f>('Gearing Calculator'!$U$9*9.81)*('Gearing Calculator'!$U$16/'Gearing Calculator'!$C$7)-(('Track Data'!W2016)*('Gearing Calculator'!$U$17/'Gearing Calculator'!$C$7))</f>
        <v>3107.5828904489754</v>
      </c>
      <c r="Y2016" s="16">
        <f>('Gearing Calculator'!$U$9*9.81)*(('Gearing Calculator'!$C$7-'Gearing Calculator'!$U$16)/'Gearing Calculator'!$C$7)+(('Track Data'!W2016)*('Gearing Calculator'!$U$17/'Gearing Calculator'!$C$7))</f>
        <v>-496.16089044897512</v>
      </c>
      <c r="Z2016" s="16">
        <f>((X2016*COS('Gearing Calculator'!$C$21))/'Gearing Calculator'!$C$22)/2</f>
        <v>96.076634525370423</v>
      </c>
      <c r="AA2016" s="16">
        <f>Y2016/'Gearing Calculator'!$C$24</f>
        <v>-6.9280701772113211</v>
      </c>
      <c r="AB2016" s="16">
        <f t="shared" si="219"/>
        <v>243.63960267157097</v>
      </c>
      <c r="AC2016" s="16">
        <v>75</v>
      </c>
      <c r="AD2016" s="16">
        <v>0</v>
      </c>
      <c r="AE2016" s="16">
        <v>2013</v>
      </c>
      <c r="AF2016" s="16">
        <f>IF(AC2016=0,IF(O2016=6,INDEX(Acceleration!$V$4:$V$110,MATCH('Track Data'!S2016,Acceleration!$K$4:$K$110,0)),IF('Track Data'!O2016=5,INDEX(Acceleration!$U$4:$U$110,MATCH('Track Data'!S2016,Acceleration!$K$4:$K$110,0)),1)),U2016)</f>
        <v>-12.968079387143963</v>
      </c>
      <c r="AG2016" s="16">
        <f>IF(AC2016=0,IF(O2016=4,INDEX(Acceleration!$T$4:$T$110,MATCH('Track Data'!S2016,Acceleration!$K$4:$K$110,0)),IF('Track Data'!O2016=3,INDEX(Acceleration!$S$4:$S$110,MATCH('Track Data'!S2016,Acceleration!$K$4:$K$110,0)),'Track Data'!AF2016)),'Track Data'!U2016)</f>
        <v>-12.968079387143963</v>
      </c>
      <c r="AH2016" s="16">
        <f>IF(AC2016=0,IF(O2016=2,INDEX(Acceleration!$R$4:$R$110,MATCH('Track Data'!S2016,Acceleration!$K$4:$K$110,0)),IF('Track Data'!O2016=1,INDEX(Acceleration!$Q$4:$Q$110,MATCH('Track Data'!S2016,Acceleration!$K$4:$K$110,0)),'Track Data'!AG2016)),'Track Data'!U2016)</f>
        <v>-12.968079387143963</v>
      </c>
    </row>
    <row r="2017" spans="2:34" x14ac:dyDescent="0.25">
      <c r="B2017" s="16">
        <v>248.73400000000001</v>
      </c>
      <c r="C2017" s="16">
        <v>9287</v>
      </c>
      <c r="D2017" s="16">
        <v>2014</v>
      </c>
      <c r="E2017" s="113">
        <v>156</v>
      </c>
      <c r="F2017" s="113">
        <v>162.1</v>
      </c>
      <c r="G2017" s="113">
        <v>164.9</v>
      </c>
      <c r="H2017" s="113">
        <f t="shared" si="222"/>
        <v>45.805555555555557</v>
      </c>
      <c r="I2017" s="113">
        <v>-0.5</v>
      </c>
      <c r="J2017" s="113">
        <v>88.92</v>
      </c>
      <c r="K2017" s="113">
        <v>-45.4</v>
      </c>
      <c r="L2017" s="185"/>
      <c r="M2017" s="16">
        <v>2014</v>
      </c>
      <c r="N2017" s="16">
        <f t="shared" si="224"/>
        <v>1.8223502158715075E-2</v>
      </c>
      <c r="O2017" s="16">
        <v>6</v>
      </c>
      <c r="P2017" s="16">
        <f t="shared" si="220"/>
        <v>7.3113821138211375</v>
      </c>
      <c r="Q2017" s="16">
        <f t="shared" si="225"/>
        <v>54.87419439417507</v>
      </c>
      <c r="R2017" s="113">
        <f t="shared" si="221"/>
        <v>311.95699999999999</v>
      </c>
      <c r="S2017" s="16">
        <f>IF(S2016=15800,15800,ROUND((((Q2017*60)/'Gearing Calculator'!$C$14)*'Track Data'!P2017),-2))</f>
        <v>12200</v>
      </c>
      <c r="T2017" s="16">
        <f t="shared" si="223"/>
        <v>-12.968079387143963</v>
      </c>
      <c r="U2017" s="16">
        <f>IF(AC2017=100,Braking!$AG$2354,IF(AC2017=50,Braking!$AG$1179,IF(AC2017=75,Braking!$AG$1767,0)))</f>
        <v>-12.968079387143963</v>
      </c>
      <c r="V2017" s="16">
        <f>0.5*'Gearing Calculator'!$C$15*'Gearing Calculator'!$C$20*'Gearing Calculator'!$W$20*('Track Data'!Q2017^2)</f>
        <v>318.70299594976422</v>
      </c>
      <c r="W2017" s="16">
        <f>('Gearing Calculator'!$U$9*'Track Data'!T2017)+'Track Data'!V2017</f>
        <v>-3133.3997369079589</v>
      </c>
      <c r="X2017" s="16">
        <f>('Gearing Calculator'!$U$9*9.81)*('Gearing Calculator'!$U$16/'Gearing Calculator'!$C$7)-(('Track Data'!W2017)*('Gearing Calculator'!$U$17/'Gearing Calculator'!$C$7))</f>
        <v>3109.0791481802894</v>
      </c>
      <c r="Y2017" s="16">
        <f>('Gearing Calculator'!$U$9*9.81)*(('Gearing Calculator'!$C$7-'Gearing Calculator'!$U$16)/'Gearing Calculator'!$C$7)+(('Track Data'!W2017)*('Gearing Calculator'!$U$17/'Gearing Calculator'!$C$7))</f>
        <v>-497.65714818028937</v>
      </c>
      <c r="Z2017" s="16">
        <f>((X2017*COS('Gearing Calculator'!$C$21))/'Gearing Calculator'!$C$22)/2</f>
        <v>96.122894082162631</v>
      </c>
      <c r="AA2017" s="16">
        <f>Y2017/'Gearing Calculator'!$C$24</f>
        <v>-6.9489629536580093</v>
      </c>
      <c r="AB2017" s="16">
        <f t="shared" si="219"/>
        <v>240.89451962690043</v>
      </c>
      <c r="AC2017" s="16">
        <v>75</v>
      </c>
      <c r="AD2017" s="16">
        <v>0</v>
      </c>
      <c r="AE2017" s="16">
        <v>2014</v>
      </c>
      <c r="AF2017" s="16">
        <f>IF(AC2017=0,IF(O2017=6,INDEX(Acceleration!$V$4:$V$110,MATCH('Track Data'!S2017,Acceleration!$K$4:$K$110,0)),IF('Track Data'!O2017=5,INDEX(Acceleration!$U$4:$U$110,MATCH('Track Data'!S2017,Acceleration!$K$4:$K$110,0)),1)),U2017)</f>
        <v>-12.968079387143963</v>
      </c>
      <c r="AG2017" s="16">
        <f>IF(AC2017=0,IF(O2017=4,INDEX(Acceleration!$T$4:$T$110,MATCH('Track Data'!S2017,Acceleration!$K$4:$K$110,0)),IF('Track Data'!O2017=3,INDEX(Acceleration!$S$4:$S$110,MATCH('Track Data'!S2017,Acceleration!$K$4:$K$110,0)),'Track Data'!AF2017)),'Track Data'!U2017)</f>
        <v>-12.968079387143963</v>
      </c>
      <c r="AH2017" s="16">
        <f>IF(AC2017=0,IF(O2017=2,INDEX(Acceleration!$R$4:$R$110,MATCH('Track Data'!S2017,Acceleration!$K$4:$K$110,0)),IF('Track Data'!O2017=1,INDEX(Acceleration!$Q$4:$Q$110,MATCH('Track Data'!S2017,Acceleration!$K$4:$K$110,0)),'Track Data'!AG2017)),'Track Data'!U2017)</f>
        <v>-12.968079387143963</v>
      </c>
    </row>
    <row r="2018" spans="2:34" x14ac:dyDescent="0.25">
      <c r="B2018" s="16">
        <v>248.75700000000001</v>
      </c>
      <c r="C2018" s="16">
        <v>9288</v>
      </c>
      <c r="D2018" s="16">
        <v>2015</v>
      </c>
      <c r="E2018" s="113">
        <v>156</v>
      </c>
      <c r="F2018" s="113">
        <v>162.1</v>
      </c>
      <c r="G2018" s="113">
        <v>163.80000000000001</v>
      </c>
      <c r="H2018" s="113">
        <f t="shared" si="222"/>
        <v>45.5</v>
      </c>
      <c r="I2018" s="113">
        <v>-0.1</v>
      </c>
      <c r="J2018" s="113">
        <v>88.28</v>
      </c>
      <c r="K2018" s="113">
        <v>-42.2</v>
      </c>
      <c r="L2018" s="185"/>
      <c r="M2018" s="16">
        <v>2015</v>
      </c>
      <c r="N2018" s="16">
        <f t="shared" si="224"/>
        <v>1.8302495021757084E-2</v>
      </c>
      <c r="O2018" s="16">
        <v>6</v>
      </c>
      <c r="P2018" s="16">
        <f t="shared" si="220"/>
        <v>7.3113821138211375</v>
      </c>
      <c r="Q2018" s="16">
        <f t="shared" si="225"/>
        <v>54.637359486302294</v>
      </c>
      <c r="R2018" s="113">
        <f t="shared" si="221"/>
        <v>311.95699999999999</v>
      </c>
      <c r="S2018" s="16">
        <f>IF(S2017=15800,15800,ROUND((((Q2018*60)/'Gearing Calculator'!$C$14)*'Track Data'!P2018),-2))</f>
        <v>12100</v>
      </c>
      <c r="T2018" s="16">
        <f t="shared" si="223"/>
        <v>-12.968079387143963</v>
      </c>
      <c r="U2018" s="16">
        <f>IF(AC2018=100,Braking!$AG$2354,IF(AC2018=50,Braking!$AG$1179,IF(AC2018=75,Braking!$AG$1767,0)))</f>
        <v>-12.968079387143963</v>
      </c>
      <c r="V2018" s="16">
        <f>0.5*'Gearing Calculator'!$C$15*'Gearing Calculator'!$C$20*'Gearing Calculator'!$W$20*('Track Data'!Q2018^2)</f>
        <v>315.95791290509362</v>
      </c>
      <c r="W2018" s="16">
        <f>('Gearing Calculator'!$U$9*'Track Data'!T2018)+'Track Data'!V2018</f>
        <v>-3136.1448199526294</v>
      </c>
      <c r="X2018" s="16">
        <f>('Gearing Calculator'!$U$9*9.81)*('Gearing Calculator'!$U$16/'Gearing Calculator'!$C$7)-(('Track Data'!W2018)*('Gearing Calculator'!$U$17/'Gearing Calculator'!$C$7))</f>
        <v>3110.5754059116039</v>
      </c>
      <c r="Y2018" s="16">
        <f>('Gearing Calculator'!$U$9*9.81)*(('Gearing Calculator'!$C$7-'Gearing Calculator'!$U$16)/'Gearing Calculator'!$C$7)+(('Track Data'!W2018)*('Gearing Calculator'!$U$17/'Gearing Calculator'!$C$7))</f>
        <v>-499.15340591160384</v>
      </c>
      <c r="Z2018" s="16">
        <f>((X2018*COS('Gearing Calculator'!$C$21))/'Gearing Calculator'!$C$22)/2</f>
        <v>96.169153638954853</v>
      </c>
      <c r="AA2018" s="16">
        <f>Y2018/'Gearing Calculator'!$C$24</f>
        <v>-6.9698557301047002</v>
      </c>
      <c r="AB2018" s="16">
        <f t="shared" si="219"/>
        <v>238.14943658222984</v>
      </c>
      <c r="AC2018" s="16">
        <v>75</v>
      </c>
      <c r="AD2018" s="16">
        <v>0</v>
      </c>
      <c r="AE2018" s="16">
        <v>2015</v>
      </c>
      <c r="AF2018" s="16">
        <f>IF(AC2018=0,IF(O2018=6,INDEX(Acceleration!$V$4:$V$110,MATCH('Track Data'!S2018,Acceleration!$K$4:$K$110,0)),IF('Track Data'!O2018=5,INDEX(Acceleration!$U$4:$U$110,MATCH('Track Data'!S2018,Acceleration!$K$4:$K$110,0)),1)),U2018)</f>
        <v>-12.968079387143963</v>
      </c>
      <c r="AG2018" s="16">
        <f>IF(AC2018=0,IF(O2018=4,INDEX(Acceleration!$T$4:$T$110,MATCH('Track Data'!S2018,Acceleration!$K$4:$K$110,0)),IF('Track Data'!O2018=3,INDEX(Acceleration!$S$4:$S$110,MATCH('Track Data'!S2018,Acceleration!$K$4:$K$110,0)),'Track Data'!AF2018)),'Track Data'!U2018)</f>
        <v>-12.968079387143963</v>
      </c>
      <c r="AH2018" s="16">
        <f>IF(AC2018=0,IF(O2018=2,INDEX(Acceleration!$R$4:$R$110,MATCH('Track Data'!S2018,Acceleration!$K$4:$K$110,0)),IF('Track Data'!O2018=1,INDEX(Acceleration!$Q$4:$Q$110,MATCH('Track Data'!S2018,Acceleration!$K$4:$K$110,0)),'Track Data'!AG2018)),'Track Data'!U2018)</f>
        <v>-12.968079387143963</v>
      </c>
    </row>
    <row r="2019" spans="2:34" x14ac:dyDescent="0.25">
      <c r="B2019" s="16">
        <v>248.779</v>
      </c>
      <c r="C2019" s="16">
        <v>9289</v>
      </c>
      <c r="D2019" s="16">
        <v>2016</v>
      </c>
      <c r="E2019" s="113">
        <v>156</v>
      </c>
      <c r="F2019" s="113">
        <v>161.80000000000001</v>
      </c>
      <c r="G2019" s="113">
        <v>162.6</v>
      </c>
      <c r="H2019" s="113">
        <f t="shared" si="222"/>
        <v>45.166666666666664</v>
      </c>
      <c r="I2019" s="113">
        <v>-0.1</v>
      </c>
      <c r="J2019" s="113">
        <v>88.13</v>
      </c>
      <c r="K2019" s="113">
        <v>-39.1</v>
      </c>
      <c r="L2019" s="185"/>
      <c r="M2019" s="16">
        <v>2016</v>
      </c>
      <c r="N2019" s="16">
        <f t="shared" si="224"/>
        <v>1.8382524095247595E-2</v>
      </c>
      <c r="O2019" s="16">
        <v>6</v>
      </c>
      <c r="P2019" s="16">
        <f t="shared" si="220"/>
        <v>7.3113821138211375</v>
      </c>
      <c r="Q2019" s="16">
        <f t="shared" si="225"/>
        <v>54.399493498204002</v>
      </c>
      <c r="R2019" s="113">
        <f t="shared" si="221"/>
        <v>311.95699999999999</v>
      </c>
      <c r="S2019" s="16">
        <f>IF(S2018=15800,15800,ROUND((((Q2019*60)/'Gearing Calculator'!$C$14)*'Track Data'!P2019),-2))</f>
        <v>12100</v>
      </c>
      <c r="T2019" s="16">
        <f t="shared" si="223"/>
        <v>-12.968079387143963</v>
      </c>
      <c r="U2019" s="16">
        <f>IF(AC2019=100,Braking!$AG$2354,IF(AC2019=50,Braking!$AG$1179,IF(AC2019=75,Braking!$AG$1767,0)))</f>
        <v>-12.968079387143963</v>
      </c>
      <c r="V2019" s="16">
        <f>0.5*'Gearing Calculator'!$C$15*'Gearing Calculator'!$C$20*'Gearing Calculator'!$W$20*('Track Data'!Q2019^2)</f>
        <v>313.21282986042297</v>
      </c>
      <c r="W2019" s="16">
        <f>('Gearing Calculator'!$U$9*'Track Data'!T2019)+'Track Data'!V2019</f>
        <v>-3138.8899029972999</v>
      </c>
      <c r="X2019" s="16">
        <f>('Gearing Calculator'!$U$9*9.81)*('Gearing Calculator'!$U$16/'Gearing Calculator'!$C$7)-(('Track Data'!W2019)*('Gearing Calculator'!$U$17/'Gearing Calculator'!$C$7))</f>
        <v>3112.0716636429179</v>
      </c>
      <c r="Y2019" s="16">
        <f>('Gearing Calculator'!$U$9*9.81)*(('Gearing Calculator'!$C$7-'Gearing Calculator'!$U$16)/'Gearing Calculator'!$C$7)+(('Track Data'!W2019)*('Gearing Calculator'!$U$17/'Gearing Calculator'!$C$7))</f>
        <v>-500.64966364291809</v>
      </c>
      <c r="Z2019" s="16">
        <f>((X2019*COS('Gearing Calculator'!$C$21))/'Gearing Calculator'!$C$22)/2</f>
        <v>96.215413195747061</v>
      </c>
      <c r="AA2019" s="16">
        <f>Y2019/'Gearing Calculator'!$C$24</f>
        <v>-6.9907485065513884</v>
      </c>
      <c r="AB2019" s="16">
        <f t="shared" si="219"/>
        <v>235.40435353755919</v>
      </c>
      <c r="AC2019" s="16">
        <v>75</v>
      </c>
      <c r="AD2019" s="16">
        <v>0</v>
      </c>
      <c r="AE2019" s="16">
        <v>2016</v>
      </c>
      <c r="AF2019" s="16">
        <f>IF(AC2019=0,IF(O2019=6,INDEX(Acceleration!$V$4:$V$110,MATCH('Track Data'!S2019,Acceleration!$K$4:$K$110,0)),IF('Track Data'!O2019=5,INDEX(Acceleration!$U$4:$U$110,MATCH('Track Data'!S2019,Acceleration!$K$4:$K$110,0)),1)),U2019)</f>
        <v>-12.968079387143963</v>
      </c>
      <c r="AG2019" s="16">
        <f>IF(AC2019=0,IF(O2019=4,INDEX(Acceleration!$T$4:$T$110,MATCH('Track Data'!S2019,Acceleration!$K$4:$K$110,0)),IF('Track Data'!O2019=3,INDEX(Acceleration!$S$4:$S$110,MATCH('Track Data'!S2019,Acceleration!$K$4:$K$110,0)),'Track Data'!AF2019)),'Track Data'!U2019)</f>
        <v>-12.968079387143963</v>
      </c>
      <c r="AH2019" s="16">
        <f>IF(AC2019=0,IF(O2019=2,INDEX(Acceleration!$R$4:$R$110,MATCH('Track Data'!S2019,Acceleration!$K$4:$K$110,0)),IF('Track Data'!O2019=1,INDEX(Acceleration!$Q$4:$Q$110,MATCH('Track Data'!S2019,Acceleration!$K$4:$K$110,0)),'Track Data'!AG2019)),'Track Data'!U2019)</f>
        <v>-12.968079387143963</v>
      </c>
    </row>
    <row r="2020" spans="2:34" x14ac:dyDescent="0.25">
      <c r="B2020" s="16">
        <v>248.80099999999999</v>
      </c>
      <c r="C2020" s="16">
        <v>9290</v>
      </c>
      <c r="D2020" s="16">
        <v>2017</v>
      </c>
      <c r="E2020" s="113">
        <v>155</v>
      </c>
      <c r="F2020" s="113">
        <v>161</v>
      </c>
      <c r="G2020" s="113">
        <v>161</v>
      </c>
      <c r="H2020" s="113">
        <f t="shared" si="222"/>
        <v>44.722222222222221</v>
      </c>
      <c r="I2020" s="113">
        <v>-0.1</v>
      </c>
      <c r="J2020" s="113">
        <v>88.07</v>
      </c>
      <c r="K2020" s="113">
        <v>-34.700000000000003</v>
      </c>
      <c r="L2020" s="185"/>
      <c r="M2020" s="16">
        <v>2017</v>
      </c>
      <c r="N2020" s="16">
        <f t="shared" si="224"/>
        <v>1.8463612233749847E-2</v>
      </c>
      <c r="O2020" s="16">
        <v>6</v>
      </c>
      <c r="P2020" s="16">
        <f t="shared" si="220"/>
        <v>7.3113821138211375</v>
      </c>
      <c r="Q2020" s="16">
        <f t="shared" si="225"/>
        <v>54.160582844785303</v>
      </c>
      <c r="R2020" s="113">
        <f t="shared" si="221"/>
        <v>311.95699999999999</v>
      </c>
      <c r="S2020" s="16">
        <f>IF(S2019=15800,15800,ROUND((((Q2020*60)/'Gearing Calculator'!$C$14)*'Track Data'!P2020),-2))</f>
        <v>12000</v>
      </c>
      <c r="T2020" s="16">
        <f t="shared" si="223"/>
        <v>-12.968079387143963</v>
      </c>
      <c r="U2020" s="16">
        <f>IF(AC2020=100,Braking!$AG$2354,IF(AC2020=50,Braking!$AG$1179,IF(AC2020=75,Braking!$AG$1767,0)))</f>
        <v>-12.968079387143963</v>
      </c>
      <c r="V2020" s="16">
        <f>0.5*'Gearing Calculator'!$C$15*'Gearing Calculator'!$C$20*'Gearing Calculator'!$W$20*('Track Data'!Q2020^2)</f>
        <v>310.46774681575238</v>
      </c>
      <c r="W2020" s="16">
        <f>('Gearing Calculator'!$U$9*'Track Data'!T2020)+'Track Data'!V2020</f>
        <v>-3141.6349860419705</v>
      </c>
      <c r="X2020" s="16">
        <f>('Gearing Calculator'!$U$9*9.81)*('Gearing Calculator'!$U$16/'Gearing Calculator'!$C$7)-(('Track Data'!W2020)*('Gearing Calculator'!$U$17/'Gearing Calculator'!$C$7))</f>
        <v>3113.5679213742324</v>
      </c>
      <c r="Y2020" s="16">
        <f>('Gearing Calculator'!$U$9*9.81)*(('Gearing Calculator'!$C$7-'Gearing Calculator'!$U$16)/'Gearing Calculator'!$C$7)+(('Track Data'!W2020)*('Gearing Calculator'!$U$17/'Gearing Calculator'!$C$7))</f>
        <v>-502.14592137423256</v>
      </c>
      <c r="Z2020" s="16">
        <f>((X2020*COS('Gearing Calculator'!$C$21))/'Gearing Calculator'!$C$22)/2</f>
        <v>96.261672752539283</v>
      </c>
      <c r="AA2020" s="16">
        <f>Y2020/'Gearing Calculator'!$C$24</f>
        <v>-7.0116412829980792</v>
      </c>
      <c r="AB2020" s="16">
        <f t="shared" si="219"/>
        <v>232.6592704928886</v>
      </c>
      <c r="AC2020" s="16">
        <v>75</v>
      </c>
      <c r="AD2020" s="16">
        <v>0</v>
      </c>
      <c r="AE2020" s="16">
        <v>2017</v>
      </c>
      <c r="AF2020" s="16">
        <f>IF(AC2020=0,IF(O2020=6,INDEX(Acceleration!$V$4:$V$110,MATCH('Track Data'!S2020,Acceleration!$K$4:$K$110,0)),IF('Track Data'!O2020=5,INDEX(Acceleration!$U$4:$U$110,MATCH('Track Data'!S2020,Acceleration!$K$4:$K$110,0)),1)),U2020)</f>
        <v>-12.968079387143963</v>
      </c>
      <c r="AG2020" s="16">
        <f>IF(AC2020=0,IF(O2020=4,INDEX(Acceleration!$T$4:$T$110,MATCH('Track Data'!S2020,Acceleration!$K$4:$K$110,0)),IF('Track Data'!O2020=3,INDEX(Acceleration!$S$4:$S$110,MATCH('Track Data'!S2020,Acceleration!$K$4:$K$110,0)),'Track Data'!AF2020)),'Track Data'!U2020)</f>
        <v>-12.968079387143963</v>
      </c>
      <c r="AH2020" s="16">
        <f>IF(AC2020=0,IF(O2020=2,INDEX(Acceleration!$R$4:$R$110,MATCH('Track Data'!S2020,Acceleration!$K$4:$K$110,0)),IF('Track Data'!O2020=1,INDEX(Acceleration!$Q$4:$Q$110,MATCH('Track Data'!S2020,Acceleration!$K$4:$K$110,0)),'Track Data'!AG2020)),'Track Data'!U2020)</f>
        <v>-12.968079387143963</v>
      </c>
    </row>
    <row r="2021" spans="2:34" x14ac:dyDescent="0.25">
      <c r="B2021" s="16">
        <v>248.82300000000001</v>
      </c>
      <c r="C2021" s="16">
        <v>9291</v>
      </c>
      <c r="D2021" s="16">
        <v>2018</v>
      </c>
      <c r="E2021" s="113">
        <v>155</v>
      </c>
      <c r="F2021" s="113">
        <v>160.4</v>
      </c>
      <c r="G2021" s="113">
        <v>159.80000000000001</v>
      </c>
      <c r="H2021" s="113">
        <f t="shared" si="222"/>
        <v>44.388888888888893</v>
      </c>
      <c r="I2021" s="113">
        <v>0.5</v>
      </c>
      <c r="J2021" s="113">
        <v>88.05</v>
      </c>
      <c r="K2021" s="113">
        <v>-33.5</v>
      </c>
      <c r="L2021" s="185"/>
      <c r="M2021" s="16">
        <v>2018</v>
      </c>
      <c r="N2021" s="16">
        <f t="shared" si="224"/>
        <v>1.8545783003820308E-2</v>
      </c>
      <c r="O2021" s="16">
        <v>6</v>
      </c>
      <c r="P2021" s="16">
        <f t="shared" si="220"/>
        <v>7.3113821138211375</v>
      </c>
      <c r="Q2021" s="16">
        <f t="shared" si="225"/>
        <v>53.920613639985255</v>
      </c>
      <c r="R2021" s="113">
        <f t="shared" si="221"/>
        <v>311.95699999999999</v>
      </c>
      <c r="S2021" s="16">
        <f>IF(S2020=15800,15800,ROUND((((Q2021*60)/'Gearing Calculator'!$C$14)*'Track Data'!P2021),-2))</f>
        <v>12000</v>
      </c>
      <c r="T2021" s="16">
        <f t="shared" si="223"/>
        <v>-12.968079387143963</v>
      </c>
      <c r="U2021" s="16">
        <f>IF(AC2021=100,Braking!$AG$2354,IF(AC2021=50,Braking!$AG$1179,IF(AC2021=75,Braking!$AG$1767,0)))</f>
        <v>-12.968079387143963</v>
      </c>
      <c r="V2021" s="16">
        <f>0.5*'Gearing Calculator'!$C$15*'Gearing Calculator'!$C$20*'Gearing Calculator'!$W$20*('Track Data'!Q2021^2)</f>
        <v>307.72266377108173</v>
      </c>
      <c r="W2021" s="16">
        <f>('Gearing Calculator'!$U$9*'Track Data'!T2021)+'Track Data'!V2021</f>
        <v>-3144.380069086641</v>
      </c>
      <c r="X2021" s="16">
        <f>('Gearing Calculator'!$U$9*9.81)*('Gearing Calculator'!$U$16/'Gearing Calculator'!$C$7)-(('Track Data'!W2021)*('Gearing Calculator'!$U$17/'Gearing Calculator'!$C$7))</f>
        <v>3115.0641791055468</v>
      </c>
      <c r="Y2021" s="16">
        <f>('Gearing Calculator'!$U$9*9.81)*(('Gearing Calculator'!$C$7-'Gearing Calculator'!$U$16)/'Gearing Calculator'!$C$7)+(('Track Data'!W2021)*('Gearing Calculator'!$U$17/'Gearing Calculator'!$C$7))</f>
        <v>-503.6421791055468</v>
      </c>
      <c r="Z2021" s="16">
        <f>((X2021*COS('Gearing Calculator'!$C$21))/'Gearing Calculator'!$C$22)/2</f>
        <v>96.307932309331505</v>
      </c>
      <c r="AA2021" s="16">
        <f>Y2021/'Gearing Calculator'!$C$24</f>
        <v>-7.0325340594447674</v>
      </c>
      <c r="AB2021" s="16">
        <f t="shared" si="219"/>
        <v>229.91418744821794</v>
      </c>
      <c r="AC2021" s="16">
        <v>75</v>
      </c>
      <c r="AD2021" s="16">
        <v>0</v>
      </c>
      <c r="AE2021" s="16">
        <v>2018</v>
      </c>
      <c r="AF2021" s="16">
        <f>IF(AC2021=0,IF(O2021=6,INDEX(Acceleration!$V$4:$V$110,MATCH('Track Data'!S2021,Acceleration!$K$4:$K$110,0)),IF('Track Data'!O2021=5,INDEX(Acceleration!$U$4:$U$110,MATCH('Track Data'!S2021,Acceleration!$K$4:$K$110,0)),1)),U2021)</f>
        <v>-12.968079387143963</v>
      </c>
      <c r="AG2021" s="16">
        <f>IF(AC2021=0,IF(O2021=4,INDEX(Acceleration!$T$4:$T$110,MATCH('Track Data'!S2021,Acceleration!$K$4:$K$110,0)),IF('Track Data'!O2021=3,INDEX(Acceleration!$S$4:$S$110,MATCH('Track Data'!S2021,Acceleration!$K$4:$K$110,0)),'Track Data'!AF2021)),'Track Data'!U2021)</f>
        <v>-12.968079387143963</v>
      </c>
      <c r="AH2021" s="16">
        <f>IF(AC2021=0,IF(O2021=2,INDEX(Acceleration!$R$4:$R$110,MATCH('Track Data'!S2021,Acceleration!$K$4:$K$110,0)),IF('Track Data'!O2021=1,INDEX(Acceleration!$Q$4:$Q$110,MATCH('Track Data'!S2021,Acceleration!$K$4:$K$110,0)),'Track Data'!AG2021)),'Track Data'!U2021)</f>
        <v>-12.968079387143963</v>
      </c>
    </row>
    <row r="2022" spans="2:34" x14ac:dyDescent="0.25">
      <c r="B2022" s="16">
        <v>248.846</v>
      </c>
      <c r="C2022" s="16">
        <v>9292</v>
      </c>
      <c r="D2022" s="16">
        <v>2019</v>
      </c>
      <c r="E2022" s="113">
        <v>155</v>
      </c>
      <c r="F2022" s="113">
        <v>159.69999999999999</v>
      </c>
      <c r="G2022" s="113">
        <v>158.80000000000001</v>
      </c>
      <c r="H2022" s="113">
        <f t="shared" si="222"/>
        <v>44.111111111111114</v>
      </c>
      <c r="I2022" s="113">
        <v>2.1</v>
      </c>
      <c r="J2022" s="113">
        <v>86.8</v>
      </c>
      <c r="K2022" s="113">
        <v>-32.299999999999997</v>
      </c>
      <c r="L2022" s="185"/>
      <c r="M2022" s="16">
        <v>2019</v>
      </c>
      <c r="N2022" s="16">
        <f t="shared" si="224"/>
        <v>1.8629060712783155E-2</v>
      </c>
      <c r="O2022" s="16">
        <v>6</v>
      </c>
      <c r="P2022" s="16">
        <f t="shared" si="220"/>
        <v>7.3113821138211375</v>
      </c>
      <c r="Q2022" s="16">
        <f t="shared" si="225"/>
        <v>53.679571687358646</v>
      </c>
      <c r="R2022" s="113">
        <f t="shared" si="221"/>
        <v>311.95699999999999</v>
      </c>
      <c r="S2022" s="16">
        <f>IF(S2021=15800,15800,ROUND((((Q2022*60)/'Gearing Calculator'!$C$14)*'Track Data'!P2022),-2))</f>
        <v>11900</v>
      </c>
      <c r="T2022" s="16">
        <f t="shared" si="223"/>
        <v>-14.71670186282954</v>
      </c>
      <c r="U2022" s="16">
        <f>IF(AC2022=100,Braking!$AG$2354,IF(AC2022=50,Braking!$AG$1179,IF(AC2022=75,Braking!$AG$1767,0)))</f>
        <v>-14.71670186282954</v>
      </c>
      <c r="V2022" s="16">
        <f>0.5*'Gearing Calculator'!$C$15*'Gearing Calculator'!$C$20*'Gearing Calculator'!$W$20*('Track Data'!Q2022^2)</f>
        <v>304.97758072641108</v>
      </c>
      <c r="W2022" s="16">
        <f>('Gearing Calculator'!$U$9*'Track Data'!T2022)+'Track Data'!V2022</f>
        <v>-3612.6084551588124</v>
      </c>
      <c r="X2022" s="16">
        <f>('Gearing Calculator'!$U$9*9.81)*('Gearing Calculator'!$U$16/'Gearing Calculator'!$C$7)-(('Track Data'!W2022)*('Gearing Calculator'!$U$17/'Gearing Calculator'!$C$7))</f>
        <v>3370.280626579327</v>
      </c>
      <c r="Y2022" s="16">
        <f>('Gearing Calculator'!$U$9*9.81)*(('Gearing Calculator'!$C$7-'Gearing Calculator'!$U$16)/'Gearing Calculator'!$C$7)+(('Track Data'!W2022)*('Gearing Calculator'!$U$17/'Gearing Calculator'!$C$7))</f>
        <v>-758.85862657932694</v>
      </c>
      <c r="Z2022" s="16">
        <f>((X2022*COS('Gearing Calculator'!$C$21))/'Gearing Calculator'!$C$22)/2</f>
        <v>104.19841768436815</v>
      </c>
      <c r="AA2022" s="16">
        <f>Y2022/'Gearing Calculator'!$C$24</f>
        <v>-10.5962116739317</v>
      </c>
      <c r="AB2022" s="16">
        <f t="shared" si="219"/>
        <v>216.67736954943382</v>
      </c>
      <c r="AC2022" s="16">
        <v>100</v>
      </c>
      <c r="AD2022" s="16">
        <v>0</v>
      </c>
      <c r="AE2022" s="16">
        <v>2019</v>
      </c>
      <c r="AF2022" s="16">
        <f>IF(AC2022=0,IF(O2022=6,INDEX(Acceleration!$V$4:$V$110,MATCH('Track Data'!S2022,Acceleration!$K$4:$K$110,0)),IF('Track Data'!O2022=5,INDEX(Acceleration!$U$4:$U$110,MATCH('Track Data'!S2022,Acceleration!$K$4:$K$110,0)),1)),U2022)</f>
        <v>-14.71670186282954</v>
      </c>
      <c r="AG2022" s="16">
        <f>IF(AC2022=0,IF(O2022=4,INDEX(Acceleration!$T$4:$T$110,MATCH('Track Data'!S2022,Acceleration!$K$4:$K$110,0)),IF('Track Data'!O2022=3,INDEX(Acceleration!$S$4:$S$110,MATCH('Track Data'!S2022,Acceleration!$K$4:$K$110,0)),'Track Data'!AF2022)),'Track Data'!U2022)</f>
        <v>-14.71670186282954</v>
      </c>
      <c r="AH2022" s="16">
        <f>IF(AC2022=0,IF(O2022=2,INDEX(Acceleration!$R$4:$R$110,MATCH('Track Data'!S2022,Acceleration!$K$4:$K$110,0)),IF('Track Data'!O2022=1,INDEX(Acceleration!$Q$4:$Q$110,MATCH('Track Data'!S2022,Acceleration!$K$4:$K$110,0)),'Track Data'!AG2022)),'Track Data'!U2022)</f>
        <v>-14.71670186282954</v>
      </c>
    </row>
    <row r="2023" spans="2:34" x14ac:dyDescent="0.25">
      <c r="B2023" s="16">
        <v>248.86799999999999</v>
      </c>
      <c r="C2023" s="16">
        <v>9293</v>
      </c>
      <c r="D2023" s="16">
        <v>2020</v>
      </c>
      <c r="E2023" s="113">
        <v>155</v>
      </c>
      <c r="F2023" s="113">
        <v>158.9</v>
      </c>
      <c r="G2023" s="113">
        <v>158</v>
      </c>
      <c r="H2023" s="113">
        <f t="shared" si="222"/>
        <v>43.888888888888886</v>
      </c>
      <c r="I2023" s="113">
        <v>2.7</v>
      </c>
      <c r="J2023" s="113">
        <v>85.94</v>
      </c>
      <c r="K2023" s="113">
        <v>-31.1</v>
      </c>
      <c r="L2023" s="185"/>
      <c r="M2023" s="16">
        <v>2020</v>
      </c>
      <c r="N2023" s="16">
        <f t="shared" si="224"/>
        <v>1.872494030117677E-2</v>
      </c>
      <c r="O2023" s="16">
        <v>6</v>
      </c>
      <c r="P2023" s="16">
        <f t="shared" si="220"/>
        <v>7.3113821138211375</v>
      </c>
      <c r="Q2023" s="16">
        <f t="shared" si="225"/>
        <v>53.404709650110604</v>
      </c>
      <c r="R2023" s="113">
        <f t="shared" si="221"/>
        <v>311.95699999999999</v>
      </c>
      <c r="S2023" s="16">
        <f>IF(S2022=15800,15800,ROUND((((Q2023*60)/'Gearing Calculator'!$C$14)*'Track Data'!P2023),-2))</f>
        <v>11800</v>
      </c>
      <c r="T2023" s="16">
        <f t="shared" si="223"/>
        <v>-14.71670186282954</v>
      </c>
      <c r="U2023" s="16">
        <f>IF(AC2023=100,Braking!$AG$2354,IF(AC2023=50,Braking!$AG$1179,IF(AC2023=75,Braking!$AG$1767,0)))</f>
        <v>-14.71670186282954</v>
      </c>
      <c r="V2023" s="16">
        <f>0.5*'Gearing Calculator'!$C$15*'Gearing Calculator'!$C$20*'Gearing Calculator'!$W$20*('Track Data'!Q2023^2)</f>
        <v>301.86234927608734</v>
      </c>
      <c r="W2023" s="16">
        <f>('Gearing Calculator'!$U$9*'Track Data'!T2023)+'Track Data'!V2023</f>
        <v>-3615.7236866091362</v>
      </c>
      <c r="X2023" s="16">
        <f>('Gearing Calculator'!$U$9*9.81)*('Gearing Calculator'!$U$16/'Gearing Calculator'!$C$7)-(('Track Data'!W2023)*('Gearing Calculator'!$U$17/'Gearing Calculator'!$C$7))</f>
        <v>3371.9786404705387</v>
      </c>
      <c r="Y2023" s="16">
        <f>('Gearing Calculator'!$U$9*9.81)*(('Gearing Calculator'!$C$7-'Gearing Calculator'!$U$16)/'Gearing Calculator'!$C$7)+(('Track Data'!W2023)*('Gearing Calculator'!$U$17/'Gearing Calculator'!$C$7))</f>
        <v>-760.5566404705387</v>
      </c>
      <c r="Z2023" s="16">
        <f>((X2023*COS('Gearing Calculator'!$C$21))/'Gearing Calculator'!$C$22)/2</f>
        <v>104.25091490352403</v>
      </c>
      <c r="AA2023" s="16">
        <f>Y2023/'Gearing Calculator'!$C$24</f>
        <v>-10.619921643070036</v>
      </c>
      <c r="AB2023" s="16">
        <f t="shared" si="219"/>
        <v>213.56213809911009</v>
      </c>
      <c r="AC2023" s="16">
        <v>100</v>
      </c>
      <c r="AD2023" s="16">
        <v>0</v>
      </c>
      <c r="AE2023" s="16">
        <v>2020</v>
      </c>
      <c r="AF2023" s="16">
        <f>IF(AC2023=0,IF(O2023=6,INDEX(Acceleration!$V$4:$V$110,MATCH('Track Data'!S2023,Acceleration!$K$4:$K$110,0)),IF('Track Data'!O2023=5,INDEX(Acceleration!$U$4:$U$110,MATCH('Track Data'!S2023,Acceleration!$K$4:$K$110,0)),1)),U2023)</f>
        <v>-14.71670186282954</v>
      </c>
      <c r="AG2023" s="16">
        <f>IF(AC2023=0,IF(O2023=4,INDEX(Acceleration!$T$4:$T$110,MATCH('Track Data'!S2023,Acceleration!$K$4:$K$110,0)),IF('Track Data'!O2023=3,INDEX(Acceleration!$S$4:$S$110,MATCH('Track Data'!S2023,Acceleration!$K$4:$K$110,0)),'Track Data'!AF2023)),'Track Data'!U2023)</f>
        <v>-14.71670186282954</v>
      </c>
      <c r="AH2023" s="16">
        <f>IF(AC2023=0,IF(O2023=2,INDEX(Acceleration!$R$4:$R$110,MATCH('Track Data'!S2023,Acceleration!$K$4:$K$110,0)),IF('Track Data'!O2023=1,INDEX(Acceleration!$Q$4:$Q$110,MATCH('Track Data'!S2023,Acceleration!$K$4:$K$110,0)),'Track Data'!AG2023)),'Track Data'!U2023)</f>
        <v>-14.71670186282954</v>
      </c>
    </row>
    <row r="2024" spans="2:34" x14ac:dyDescent="0.25">
      <c r="B2024" s="16">
        <v>248.89099999999999</v>
      </c>
      <c r="C2024" s="16">
        <v>9294</v>
      </c>
      <c r="D2024" s="16">
        <v>2021</v>
      </c>
      <c r="E2024" s="113">
        <v>155</v>
      </c>
      <c r="F2024" s="113">
        <v>158.19999999999999</v>
      </c>
      <c r="G2024" s="113">
        <v>156.69999999999999</v>
      </c>
      <c r="H2024" s="113">
        <f t="shared" si="222"/>
        <v>43.527777777777771</v>
      </c>
      <c r="I2024" s="113">
        <v>2.7</v>
      </c>
      <c r="J2024" s="113">
        <v>85.14</v>
      </c>
      <c r="K2024" s="113">
        <v>-30.5</v>
      </c>
      <c r="L2024" s="185"/>
      <c r="M2024" s="16">
        <v>2021</v>
      </c>
      <c r="N2024" s="16">
        <f t="shared" si="224"/>
        <v>1.8822315705574529E-2</v>
      </c>
      <c r="O2024" s="16">
        <v>6</v>
      </c>
      <c r="P2024" s="16">
        <f t="shared" si="220"/>
        <v>7.3113821138211375</v>
      </c>
      <c r="Q2024" s="16">
        <f t="shared" si="225"/>
        <v>53.128425622137136</v>
      </c>
      <c r="R2024" s="113">
        <f t="shared" si="221"/>
        <v>311.95699999999999</v>
      </c>
      <c r="S2024" s="16">
        <f>IF(S2023=15800,15800,ROUND((((Q2024*60)/'Gearing Calculator'!$C$14)*'Track Data'!P2024),-2))</f>
        <v>11800</v>
      </c>
      <c r="T2024" s="16">
        <f t="shared" si="223"/>
        <v>-14.71670186282954</v>
      </c>
      <c r="U2024" s="16">
        <f>IF(AC2024=100,Braking!$AG$2354,IF(AC2024=50,Braking!$AG$1179,IF(AC2024=75,Braking!$AG$1767,0)))</f>
        <v>-14.71670186282954</v>
      </c>
      <c r="V2024" s="16">
        <f>0.5*'Gearing Calculator'!$C$15*'Gearing Calculator'!$C$20*'Gearing Calculator'!$W$20*('Track Data'!Q2024^2)</f>
        <v>298.74711782576355</v>
      </c>
      <c r="W2024" s="16">
        <f>('Gearing Calculator'!$U$9*'Track Data'!T2024)+'Track Data'!V2024</f>
        <v>-3618.8389180594595</v>
      </c>
      <c r="X2024" s="16">
        <f>('Gearing Calculator'!$U$9*9.81)*('Gearing Calculator'!$U$16/'Gearing Calculator'!$C$7)-(('Track Data'!W2024)*('Gearing Calculator'!$U$17/'Gearing Calculator'!$C$7))</f>
        <v>3373.6766543617505</v>
      </c>
      <c r="Y2024" s="16">
        <f>('Gearing Calculator'!$U$9*9.81)*(('Gearing Calculator'!$C$7-'Gearing Calculator'!$U$16)/'Gearing Calculator'!$C$7)+(('Track Data'!W2024)*('Gearing Calculator'!$U$17/'Gearing Calculator'!$C$7))</f>
        <v>-762.25465436175023</v>
      </c>
      <c r="Z2024" s="16">
        <f>((X2024*COS('Gearing Calculator'!$C$21))/'Gearing Calculator'!$C$22)/2</f>
        <v>104.3034121226799</v>
      </c>
      <c r="AA2024" s="16">
        <f>Y2024/'Gearing Calculator'!$C$24</f>
        <v>-10.643631612208369</v>
      </c>
      <c r="AB2024" s="16">
        <f t="shared" si="219"/>
        <v>210.4469066487863</v>
      </c>
      <c r="AC2024" s="16">
        <v>100</v>
      </c>
      <c r="AD2024" s="16">
        <v>0</v>
      </c>
      <c r="AE2024" s="16">
        <v>2021</v>
      </c>
      <c r="AF2024" s="16">
        <f>IF(AC2024=0,IF(O2024=6,INDEX(Acceleration!$V$4:$V$110,MATCH('Track Data'!S2024,Acceleration!$K$4:$K$110,0)),IF('Track Data'!O2024=5,INDEX(Acceleration!$U$4:$U$110,MATCH('Track Data'!S2024,Acceleration!$K$4:$K$110,0)),1)),U2024)</f>
        <v>-14.71670186282954</v>
      </c>
      <c r="AG2024" s="16">
        <f>IF(AC2024=0,IF(O2024=4,INDEX(Acceleration!$T$4:$T$110,MATCH('Track Data'!S2024,Acceleration!$K$4:$K$110,0)),IF('Track Data'!O2024=3,INDEX(Acceleration!$S$4:$S$110,MATCH('Track Data'!S2024,Acceleration!$K$4:$K$110,0)),'Track Data'!AF2024)),'Track Data'!U2024)</f>
        <v>-14.71670186282954</v>
      </c>
      <c r="AH2024" s="16">
        <f>IF(AC2024=0,IF(O2024=2,INDEX(Acceleration!$R$4:$R$110,MATCH('Track Data'!S2024,Acceleration!$K$4:$K$110,0)),IF('Track Data'!O2024=1,INDEX(Acceleration!$Q$4:$Q$110,MATCH('Track Data'!S2024,Acceleration!$K$4:$K$110,0)),'Track Data'!AG2024)),'Track Data'!U2024)</f>
        <v>-14.71670186282954</v>
      </c>
    </row>
    <row r="2025" spans="2:34" x14ac:dyDescent="0.25">
      <c r="B2025" s="16">
        <v>248.91300000000001</v>
      </c>
      <c r="C2025" s="16">
        <v>9295</v>
      </c>
      <c r="D2025" s="16">
        <v>2022</v>
      </c>
      <c r="E2025" s="113">
        <v>155</v>
      </c>
      <c r="F2025" s="113">
        <v>158.1</v>
      </c>
      <c r="G2025" s="113">
        <v>155.9</v>
      </c>
      <c r="H2025" s="113">
        <f t="shared" si="222"/>
        <v>43.305555555555557</v>
      </c>
      <c r="I2025" s="113">
        <v>2.5</v>
      </c>
      <c r="J2025" s="113">
        <v>83.26</v>
      </c>
      <c r="K2025" s="113">
        <v>-30.8</v>
      </c>
      <c r="L2025" s="185"/>
      <c r="M2025" s="16">
        <v>2022</v>
      </c>
      <c r="N2025" s="16">
        <f t="shared" si="224"/>
        <v>1.8921226228599836E-2</v>
      </c>
      <c r="O2025" s="16">
        <v>6</v>
      </c>
      <c r="P2025" s="16">
        <f t="shared" si="220"/>
        <v>7.3113821138211375</v>
      </c>
      <c r="Q2025" s="16">
        <f t="shared" si="225"/>
        <v>52.85069730250774</v>
      </c>
      <c r="R2025" s="113">
        <f t="shared" si="221"/>
        <v>311.95699999999999</v>
      </c>
      <c r="S2025" s="16">
        <f>IF(S2024=15800,15800,ROUND((((Q2025*60)/'Gearing Calculator'!$C$14)*'Track Data'!P2025),-2))</f>
        <v>11700</v>
      </c>
      <c r="T2025" s="16">
        <f t="shared" si="223"/>
        <v>-14.71670186282954</v>
      </c>
      <c r="U2025" s="16">
        <f>IF(AC2025=100,Braking!$AG$2354,IF(AC2025=50,Braking!$AG$1179,IF(AC2025=75,Braking!$AG$1767,0)))</f>
        <v>-14.71670186282954</v>
      </c>
      <c r="V2025" s="16">
        <f>0.5*'Gearing Calculator'!$C$15*'Gearing Calculator'!$C$20*'Gearing Calculator'!$W$20*('Track Data'!Q2025^2)</f>
        <v>295.63188637543982</v>
      </c>
      <c r="W2025" s="16">
        <f>('Gearing Calculator'!$U$9*'Track Data'!T2025)+'Track Data'!V2025</f>
        <v>-3621.9541495097833</v>
      </c>
      <c r="X2025" s="16">
        <f>('Gearing Calculator'!$U$9*9.81)*('Gearing Calculator'!$U$16/'Gearing Calculator'!$C$7)-(('Track Data'!W2025)*('Gearing Calculator'!$U$17/'Gearing Calculator'!$C$7))</f>
        <v>3375.3746682529618</v>
      </c>
      <c r="Y2025" s="16">
        <f>('Gearing Calculator'!$U$9*9.81)*(('Gearing Calculator'!$C$7-'Gearing Calculator'!$U$16)/'Gearing Calculator'!$C$7)+(('Track Data'!W2025)*('Gearing Calculator'!$U$17/'Gearing Calculator'!$C$7))</f>
        <v>-763.95266825296198</v>
      </c>
      <c r="Z2025" s="16">
        <f>((X2025*COS('Gearing Calculator'!$C$21))/'Gearing Calculator'!$C$22)/2</f>
        <v>104.35590934183577</v>
      </c>
      <c r="AA2025" s="16">
        <f>Y2025/'Gearing Calculator'!$C$24</f>
        <v>-10.667341581346706</v>
      </c>
      <c r="AB2025" s="16">
        <f t="shared" si="219"/>
        <v>207.33167519846256</v>
      </c>
      <c r="AC2025" s="16">
        <v>100</v>
      </c>
      <c r="AD2025" s="16">
        <v>0</v>
      </c>
      <c r="AE2025" s="16">
        <v>2022</v>
      </c>
      <c r="AF2025" s="16">
        <f>IF(AC2025=0,IF(O2025=6,INDEX(Acceleration!$V$4:$V$110,MATCH('Track Data'!S2025,Acceleration!$K$4:$K$110,0)),IF('Track Data'!O2025=5,INDEX(Acceleration!$U$4:$U$110,MATCH('Track Data'!S2025,Acceleration!$K$4:$K$110,0)),1)),U2025)</f>
        <v>-14.71670186282954</v>
      </c>
      <c r="AG2025" s="16">
        <f>IF(AC2025=0,IF(O2025=4,INDEX(Acceleration!$T$4:$T$110,MATCH('Track Data'!S2025,Acceleration!$K$4:$K$110,0)),IF('Track Data'!O2025=3,INDEX(Acceleration!$S$4:$S$110,MATCH('Track Data'!S2025,Acceleration!$K$4:$K$110,0)),'Track Data'!AF2025)),'Track Data'!U2025)</f>
        <v>-14.71670186282954</v>
      </c>
      <c r="AH2025" s="16">
        <f>IF(AC2025=0,IF(O2025=2,INDEX(Acceleration!$R$4:$R$110,MATCH('Track Data'!S2025,Acceleration!$K$4:$K$110,0)),IF('Track Data'!O2025=1,INDEX(Acceleration!$Q$4:$Q$110,MATCH('Track Data'!S2025,Acceleration!$K$4:$K$110,0)),'Track Data'!AG2025)),'Track Data'!U2025)</f>
        <v>-14.71670186282954</v>
      </c>
    </row>
    <row r="2026" spans="2:34" x14ac:dyDescent="0.25">
      <c r="B2026" s="16">
        <v>248.93600000000001</v>
      </c>
      <c r="C2026" s="16">
        <v>9296</v>
      </c>
      <c r="D2026" s="16">
        <v>2023</v>
      </c>
      <c r="E2026" s="113">
        <v>155</v>
      </c>
      <c r="F2026" s="113">
        <v>157.80000000000001</v>
      </c>
      <c r="G2026" s="113">
        <v>155</v>
      </c>
      <c r="H2026" s="113">
        <f t="shared" si="222"/>
        <v>43.055555555555557</v>
      </c>
      <c r="I2026" s="113">
        <v>2.6</v>
      </c>
      <c r="J2026" s="113">
        <v>82.78</v>
      </c>
      <c r="K2026" s="113">
        <v>-31.1</v>
      </c>
      <c r="L2026" s="185"/>
      <c r="M2026" s="16">
        <v>2023</v>
      </c>
      <c r="N2026" s="16">
        <f t="shared" si="224"/>
        <v>1.9021712633988334E-2</v>
      </c>
      <c r="O2026" s="16">
        <v>6</v>
      </c>
      <c r="P2026" s="16">
        <f t="shared" si="220"/>
        <v>7.3113821138211375</v>
      </c>
      <c r="Q2026" s="16">
        <f t="shared" si="225"/>
        <v>52.57150180121964</v>
      </c>
      <c r="R2026" s="113">
        <f t="shared" si="221"/>
        <v>311.95699999999999</v>
      </c>
      <c r="S2026" s="16">
        <f>IF(S2025=15800,15800,ROUND((((Q2026*60)/'Gearing Calculator'!$C$14)*'Track Data'!P2026),-2))</f>
        <v>11700</v>
      </c>
      <c r="T2026" s="16">
        <f t="shared" si="223"/>
        <v>-14.71670186282954</v>
      </c>
      <c r="U2026" s="16">
        <f>IF(AC2026=100,Braking!$AG$2354,IF(AC2026=50,Braking!$AG$1179,IF(AC2026=75,Braking!$AG$1767,0)))</f>
        <v>-14.71670186282954</v>
      </c>
      <c r="V2026" s="16">
        <f>0.5*'Gearing Calculator'!$C$15*'Gearing Calculator'!$C$20*'Gearing Calculator'!$W$20*('Track Data'!Q2026^2)</f>
        <v>292.51665492511609</v>
      </c>
      <c r="W2026" s="16">
        <f>('Gearing Calculator'!$U$9*'Track Data'!T2026)+'Track Data'!V2026</f>
        <v>-3625.0693809601071</v>
      </c>
      <c r="X2026" s="16">
        <f>('Gearing Calculator'!$U$9*9.81)*('Gearing Calculator'!$U$16/'Gearing Calculator'!$C$7)-(('Track Data'!W2026)*('Gearing Calculator'!$U$17/'Gearing Calculator'!$C$7))</f>
        <v>3377.072682144174</v>
      </c>
      <c r="Y2026" s="16">
        <f>('Gearing Calculator'!$U$9*9.81)*(('Gearing Calculator'!$C$7-'Gearing Calculator'!$U$16)/'Gearing Calculator'!$C$7)+(('Track Data'!W2026)*('Gearing Calculator'!$U$17/'Gearing Calculator'!$C$7))</f>
        <v>-765.65068214417397</v>
      </c>
      <c r="Z2026" s="16">
        <f>((X2026*COS('Gearing Calculator'!$C$21))/'Gearing Calculator'!$C$22)/2</f>
        <v>104.40840656099166</v>
      </c>
      <c r="AA2026" s="16">
        <f>Y2026/'Gearing Calculator'!$C$24</f>
        <v>-10.691051550485046</v>
      </c>
      <c r="AB2026" s="16">
        <f t="shared" si="219"/>
        <v>204.21644374813883</v>
      </c>
      <c r="AC2026" s="16">
        <v>100</v>
      </c>
      <c r="AD2026" s="16">
        <v>0</v>
      </c>
      <c r="AE2026" s="16">
        <v>2023</v>
      </c>
      <c r="AF2026" s="16">
        <f>IF(AC2026=0,IF(O2026=6,INDEX(Acceleration!$V$4:$V$110,MATCH('Track Data'!S2026,Acceleration!$K$4:$K$110,0)),IF('Track Data'!O2026=5,INDEX(Acceleration!$U$4:$U$110,MATCH('Track Data'!S2026,Acceleration!$K$4:$K$110,0)),1)),U2026)</f>
        <v>-14.71670186282954</v>
      </c>
      <c r="AG2026" s="16">
        <f>IF(AC2026=0,IF(O2026=4,INDEX(Acceleration!$T$4:$T$110,MATCH('Track Data'!S2026,Acceleration!$K$4:$K$110,0)),IF('Track Data'!O2026=3,INDEX(Acceleration!$S$4:$S$110,MATCH('Track Data'!S2026,Acceleration!$K$4:$K$110,0)),'Track Data'!AF2026)),'Track Data'!U2026)</f>
        <v>-14.71670186282954</v>
      </c>
      <c r="AH2026" s="16">
        <f>IF(AC2026=0,IF(O2026=2,INDEX(Acceleration!$R$4:$R$110,MATCH('Track Data'!S2026,Acceleration!$K$4:$K$110,0)),IF('Track Data'!O2026=1,INDEX(Acceleration!$Q$4:$Q$110,MATCH('Track Data'!S2026,Acceleration!$K$4:$K$110,0)),'Track Data'!AG2026)),'Track Data'!U2026)</f>
        <v>-14.71670186282954</v>
      </c>
    </row>
    <row r="2027" spans="2:34" x14ac:dyDescent="0.25">
      <c r="B2027" s="16">
        <v>248.959</v>
      </c>
      <c r="C2027" s="16">
        <v>9297</v>
      </c>
      <c r="D2027" s="16">
        <v>2024</v>
      </c>
      <c r="E2027" s="113">
        <v>154</v>
      </c>
      <c r="F2027" s="113">
        <v>157.30000000000001</v>
      </c>
      <c r="G2027" s="113">
        <v>154.30000000000001</v>
      </c>
      <c r="H2027" s="113">
        <f t="shared" si="222"/>
        <v>42.861111111111114</v>
      </c>
      <c r="I2027" s="113">
        <v>2.1</v>
      </c>
      <c r="J2027" s="113">
        <v>82.61</v>
      </c>
      <c r="K2027" s="113">
        <v>-31.5</v>
      </c>
      <c r="L2027" s="185"/>
      <c r="M2027" s="16">
        <v>2024</v>
      </c>
      <c r="N2027" s="16">
        <f t="shared" si="224"/>
        <v>1.9123817217175723E-2</v>
      </c>
      <c r="O2027" s="16">
        <v>6</v>
      </c>
      <c r="P2027" s="16">
        <f t="shared" si="220"/>
        <v>7.3113821138211375</v>
      </c>
      <c r="Q2027" s="16">
        <f t="shared" si="225"/>
        <v>52.29081561718062</v>
      </c>
      <c r="R2027" s="113">
        <f t="shared" si="221"/>
        <v>311.95699999999999</v>
      </c>
      <c r="S2027" s="16">
        <f>IF(S2026=15800,15800,ROUND((((Q2027*60)/'Gearing Calculator'!$C$14)*'Track Data'!P2027),-2))</f>
        <v>11600</v>
      </c>
      <c r="T2027" s="16">
        <f t="shared" si="223"/>
        <v>-14.71670186282954</v>
      </c>
      <c r="U2027" s="16">
        <f>IF(AC2027=100,Braking!$AG$2354,IF(AC2027=50,Braking!$AG$1179,IF(AC2027=75,Braking!$AG$1767,0)))</f>
        <v>-14.71670186282954</v>
      </c>
      <c r="V2027" s="16">
        <f>0.5*'Gearing Calculator'!$C$15*'Gearing Calculator'!$C$20*'Gearing Calculator'!$W$20*('Track Data'!Q2027^2)</f>
        <v>289.40142347479235</v>
      </c>
      <c r="W2027" s="16">
        <f>('Gearing Calculator'!$U$9*'Track Data'!T2027)+'Track Data'!V2027</f>
        <v>-3628.1846124104309</v>
      </c>
      <c r="X2027" s="16">
        <f>('Gearing Calculator'!$U$9*9.81)*('Gearing Calculator'!$U$16/'Gearing Calculator'!$C$7)-(('Track Data'!W2027)*('Gearing Calculator'!$U$17/'Gearing Calculator'!$C$7))</f>
        <v>3378.7706960353858</v>
      </c>
      <c r="Y2027" s="16">
        <f>('Gearing Calculator'!$U$9*9.81)*(('Gearing Calculator'!$C$7-'Gearing Calculator'!$U$16)/'Gearing Calculator'!$C$7)+(('Track Data'!W2027)*('Gearing Calculator'!$U$17/'Gearing Calculator'!$C$7))</f>
        <v>-767.34869603538573</v>
      </c>
      <c r="Z2027" s="16">
        <f>((X2027*COS('Gearing Calculator'!$C$21))/'Gearing Calculator'!$C$22)/2</f>
        <v>104.46090378014753</v>
      </c>
      <c r="AA2027" s="16">
        <f>Y2027/'Gearing Calculator'!$C$24</f>
        <v>-10.714761519623382</v>
      </c>
      <c r="AB2027" s="16">
        <f t="shared" si="219"/>
        <v>201.1012122978151</v>
      </c>
      <c r="AC2027" s="16">
        <v>100</v>
      </c>
      <c r="AD2027" s="16">
        <v>0</v>
      </c>
      <c r="AE2027" s="16">
        <v>2024</v>
      </c>
      <c r="AF2027" s="16">
        <f>IF(AC2027=0,IF(O2027=6,INDEX(Acceleration!$V$4:$V$110,MATCH('Track Data'!S2027,Acceleration!$K$4:$K$110,0)),IF('Track Data'!O2027=5,INDEX(Acceleration!$U$4:$U$110,MATCH('Track Data'!S2027,Acceleration!$K$4:$K$110,0)),1)),U2027)</f>
        <v>-14.71670186282954</v>
      </c>
      <c r="AG2027" s="16">
        <f>IF(AC2027=0,IF(O2027=4,INDEX(Acceleration!$T$4:$T$110,MATCH('Track Data'!S2027,Acceleration!$K$4:$K$110,0)),IF('Track Data'!O2027=3,INDEX(Acceleration!$S$4:$S$110,MATCH('Track Data'!S2027,Acceleration!$K$4:$K$110,0)),'Track Data'!AF2027)),'Track Data'!U2027)</f>
        <v>-14.71670186282954</v>
      </c>
      <c r="AH2027" s="16">
        <f>IF(AC2027=0,IF(O2027=2,INDEX(Acceleration!$R$4:$R$110,MATCH('Track Data'!S2027,Acceleration!$K$4:$K$110,0)),IF('Track Data'!O2027=1,INDEX(Acceleration!$Q$4:$Q$110,MATCH('Track Data'!S2027,Acceleration!$K$4:$K$110,0)),'Track Data'!AG2027)),'Track Data'!U2027)</f>
        <v>-14.71670186282954</v>
      </c>
    </row>
    <row r="2028" spans="2:34" x14ac:dyDescent="0.25">
      <c r="B2028" s="16">
        <v>248.98099999999999</v>
      </c>
      <c r="C2028" s="16">
        <v>9298</v>
      </c>
      <c r="D2028" s="16">
        <v>2025</v>
      </c>
      <c r="E2028" s="113">
        <v>154</v>
      </c>
      <c r="F2028" s="113">
        <v>156.69999999999999</v>
      </c>
      <c r="G2028" s="113">
        <v>153.19999999999999</v>
      </c>
      <c r="H2028" s="113">
        <f t="shared" si="222"/>
        <v>42.55555555555555</v>
      </c>
      <c r="I2028" s="113">
        <v>2.5</v>
      </c>
      <c r="J2028" s="113">
        <v>81.760000000000005</v>
      </c>
      <c r="K2028" s="113">
        <v>-31.6</v>
      </c>
      <c r="L2028" s="185"/>
      <c r="M2028" s="16">
        <v>2025</v>
      </c>
      <c r="N2028" s="16">
        <f t="shared" si="224"/>
        <v>1.9227583880098837E-2</v>
      </c>
      <c r="O2028" s="16">
        <v>6</v>
      </c>
      <c r="P2028" s="16">
        <f t="shared" si="220"/>
        <v>7.3113821138211375</v>
      </c>
      <c r="Q2028" s="16">
        <f t="shared" si="225"/>
        <v>52.008614615122383</v>
      </c>
      <c r="R2028" s="113">
        <f t="shared" si="221"/>
        <v>311.95699999999999</v>
      </c>
      <c r="S2028" s="16">
        <f>IF(S2027=15800,15800,ROUND((((Q2028*60)/'Gearing Calculator'!$C$14)*'Track Data'!P2028),-2))</f>
        <v>11500</v>
      </c>
      <c r="T2028" s="16">
        <f t="shared" si="223"/>
        <v>-14.71670186282954</v>
      </c>
      <c r="U2028" s="16">
        <f>IF(AC2028=100,Braking!$AG$2354,IF(AC2028=50,Braking!$AG$1179,IF(AC2028=75,Braking!$AG$1767,0)))</f>
        <v>-14.71670186282954</v>
      </c>
      <c r="V2028" s="16">
        <f>0.5*'Gearing Calculator'!$C$15*'Gearing Calculator'!$C$20*'Gearing Calculator'!$W$20*('Track Data'!Q2028^2)</f>
        <v>286.28619202446856</v>
      </c>
      <c r="W2028" s="16">
        <f>('Gearing Calculator'!$U$9*'Track Data'!T2028)+'Track Data'!V2028</f>
        <v>-3631.2998438607547</v>
      </c>
      <c r="X2028" s="16">
        <f>('Gearing Calculator'!$U$9*9.81)*('Gearing Calculator'!$U$16/'Gearing Calculator'!$C$7)-(('Track Data'!W2028)*('Gearing Calculator'!$U$17/'Gearing Calculator'!$C$7))</f>
        <v>3380.4687099265975</v>
      </c>
      <c r="Y2028" s="16">
        <f>('Gearing Calculator'!$U$9*9.81)*(('Gearing Calculator'!$C$7-'Gearing Calculator'!$U$16)/'Gearing Calculator'!$C$7)+(('Track Data'!W2028)*('Gearing Calculator'!$U$17/'Gearing Calculator'!$C$7))</f>
        <v>-769.04670992659749</v>
      </c>
      <c r="Z2028" s="16">
        <f>((X2028*COS('Gearing Calculator'!$C$21))/'Gearing Calculator'!$C$22)/2</f>
        <v>104.51340099930341</v>
      </c>
      <c r="AA2028" s="16">
        <f>Y2028/'Gearing Calculator'!$C$24</f>
        <v>-10.738471488761718</v>
      </c>
      <c r="AB2028" s="16">
        <f t="shared" si="219"/>
        <v>197.98598084749131</v>
      </c>
      <c r="AC2028" s="16">
        <v>100</v>
      </c>
      <c r="AD2028" s="16">
        <v>0</v>
      </c>
      <c r="AE2028" s="16">
        <v>2025</v>
      </c>
      <c r="AF2028" s="16">
        <f>IF(AC2028=0,IF(O2028=6,INDEX(Acceleration!$V$4:$V$110,MATCH('Track Data'!S2028,Acceleration!$K$4:$K$110,0)),IF('Track Data'!O2028=5,INDEX(Acceleration!$U$4:$U$110,MATCH('Track Data'!S2028,Acceleration!$K$4:$K$110,0)),1)),U2028)</f>
        <v>-14.71670186282954</v>
      </c>
      <c r="AG2028" s="16">
        <f>IF(AC2028=0,IF(O2028=4,INDEX(Acceleration!$T$4:$T$110,MATCH('Track Data'!S2028,Acceleration!$K$4:$K$110,0)),IF('Track Data'!O2028=3,INDEX(Acceleration!$S$4:$S$110,MATCH('Track Data'!S2028,Acceleration!$K$4:$K$110,0)),'Track Data'!AF2028)),'Track Data'!U2028)</f>
        <v>-14.71670186282954</v>
      </c>
      <c r="AH2028" s="16">
        <f>IF(AC2028=0,IF(O2028=2,INDEX(Acceleration!$R$4:$R$110,MATCH('Track Data'!S2028,Acceleration!$K$4:$K$110,0)),IF('Track Data'!O2028=1,INDEX(Acceleration!$Q$4:$Q$110,MATCH('Track Data'!S2028,Acceleration!$K$4:$K$110,0)),'Track Data'!AG2028)),'Track Data'!U2028)</f>
        <v>-14.71670186282954</v>
      </c>
    </row>
    <row r="2029" spans="2:34" x14ac:dyDescent="0.25">
      <c r="B2029" s="16">
        <v>249.00399999999999</v>
      </c>
      <c r="C2029" s="16">
        <v>9299</v>
      </c>
      <c r="D2029" s="16">
        <v>2026</v>
      </c>
      <c r="E2029" s="113">
        <v>154</v>
      </c>
      <c r="F2029" s="113">
        <v>156.30000000000001</v>
      </c>
      <c r="G2029" s="113">
        <v>152.5</v>
      </c>
      <c r="H2029" s="113">
        <f t="shared" si="222"/>
        <v>42.361111111111107</v>
      </c>
      <c r="I2029" s="113">
        <v>2.8</v>
      </c>
      <c r="J2029" s="113">
        <v>81.48</v>
      </c>
      <c r="K2029" s="113">
        <v>-31.6</v>
      </c>
      <c r="L2029" s="185"/>
      <c r="M2029" s="16">
        <v>2026</v>
      </c>
      <c r="N2029" s="16">
        <f t="shared" si="224"/>
        <v>1.9333058210510394E-2</v>
      </c>
      <c r="O2029" s="16">
        <v>6</v>
      </c>
      <c r="P2029" s="16">
        <f t="shared" si="220"/>
        <v>7.3113821138211375</v>
      </c>
      <c r="Q2029" s="16">
        <f t="shared" si="225"/>
        <v>51.72487400138025</v>
      </c>
      <c r="R2029" s="113">
        <f t="shared" si="221"/>
        <v>311.95699999999999</v>
      </c>
      <c r="S2029" s="16">
        <f>IF(S2028=15800,15800,ROUND((((Q2029*60)/'Gearing Calculator'!$C$14)*'Track Data'!P2029),-2))</f>
        <v>11500</v>
      </c>
      <c r="T2029" s="16">
        <f t="shared" si="223"/>
        <v>-14.71670186282954</v>
      </c>
      <c r="U2029" s="16">
        <f>IF(AC2029=100,Braking!$AG$2354,IF(AC2029=50,Braking!$AG$1179,IF(AC2029=75,Braking!$AG$1767,0)))</f>
        <v>-14.71670186282954</v>
      </c>
      <c r="V2029" s="16">
        <f>0.5*'Gearing Calculator'!$C$15*'Gearing Calculator'!$C$20*'Gearing Calculator'!$W$20*('Track Data'!Q2029^2)</f>
        <v>283.17096057414477</v>
      </c>
      <c r="W2029" s="16">
        <f>('Gearing Calculator'!$U$9*'Track Data'!T2029)+'Track Data'!V2029</f>
        <v>-3634.4150753110785</v>
      </c>
      <c r="X2029" s="16">
        <f>('Gearing Calculator'!$U$9*9.81)*('Gearing Calculator'!$U$16/'Gearing Calculator'!$C$7)-(('Track Data'!W2029)*('Gearing Calculator'!$U$17/'Gearing Calculator'!$C$7))</f>
        <v>3382.1667238178093</v>
      </c>
      <c r="Y2029" s="16">
        <f>('Gearing Calculator'!$U$9*9.81)*(('Gearing Calculator'!$C$7-'Gearing Calculator'!$U$16)/'Gearing Calculator'!$C$7)+(('Track Data'!W2029)*('Gearing Calculator'!$U$17/'Gearing Calculator'!$C$7))</f>
        <v>-770.74472381780924</v>
      </c>
      <c r="Z2029" s="16">
        <f>((X2029*COS('Gearing Calculator'!$C$21))/'Gearing Calculator'!$C$22)/2</f>
        <v>104.5658982184593</v>
      </c>
      <c r="AA2029" s="16">
        <f>Y2029/'Gearing Calculator'!$C$24</f>
        <v>-10.762181457900054</v>
      </c>
      <c r="AB2029" s="16">
        <f t="shared" si="219"/>
        <v>194.87074939716751</v>
      </c>
      <c r="AC2029" s="16">
        <v>100</v>
      </c>
      <c r="AD2029" s="16">
        <v>0</v>
      </c>
      <c r="AE2029" s="16">
        <v>2026</v>
      </c>
      <c r="AF2029" s="16">
        <f>IF(AC2029=0,IF(O2029=6,INDEX(Acceleration!$V$4:$V$110,MATCH('Track Data'!S2029,Acceleration!$K$4:$K$110,0)),IF('Track Data'!O2029=5,INDEX(Acceleration!$U$4:$U$110,MATCH('Track Data'!S2029,Acceleration!$K$4:$K$110,0)),1)),U2029)</f>
        <v>-14.71670186282954</v>
      </c>
      <c r="AG2029" s="16">
        <f>IF(AC2029=0,IF(O2029=4,INDEX(Acceleration!$T$4:$T$110,MATCH('Track Data'!S2029,Acceleration!$K$4:$K$110,0)),IF('Track Data'!O2029=3,INDEX(Acceleration!$S$4:$S$110,MATCH('Track Data'!S2029,Acceleration!$K$4:$K$110,0)),'Track Data'!AF2029)),'Track Data'!U2029)</f>
        <v>-14.71670186282954</v>
      </c>
      <c r="AH2029" s="16">
        <f>IF(AC2029=0,IF(O2029=2,INDEX(Acceleration!$R$4:$R$110,MATCH('Track Data'!S2029,Acceleration!$K$4:$K$110,0)),IF('Track Data'!O2029=1,INDEX(Acceleration!$Q$4:$Q$110,MATCH('Track Data'!S2029,Acceleration!$K$4:$K$110,0)),'Track Data'!AG2029)),'Track Data'!U2029)</f>
        <v>-14.71670186282954</v>
      </c>
    </row>
    <row r="2030" spans="2:34" x14ac:dyDescent="0.25">
      <c r="B2030" s="16">
        <v>249.02799999999999</v>
      </c>
      <c r="C2030" s="16">
        <v>9300</v>
      </c>
      <c r="D2030" s="16">
        <v>2027</v>
      </c>
      <c r="E2030" s="113">
        <v>153</v>
      </c>
      <c r="F2030" s="113">
        <v>156.19999999999999</v>
      </c>
      <c r="G2030" s="113">
        <v>151.80000000000001</v>
      </c>
      <c r="H2030" s="113">
        <f t="shared" si="222"/>
        <v>42.166666666666671</v>
      </c>
      <c r="I2030" s="113">
        <v>3.6</v>
      </c>
      <c r="J2030" s="113">
        <v>80.55</v>
      </c>
      <c r="K2030" s="113">
        <v>-31.6</v>
      </c>
      <c r="L2030" s="185"/>
      <c r="M2030" s="16">
        <v>2027</v>
      </c>
      <c r="N2030" s="16">
        <f t="shared" si="224"/>
        <v>1.9440287566132926E-2</v>
      </c>
      <c r="O2030" s="16">
        <v>6</v>
      </c>
      <c r="P2030" s="16">
        <f t="shared" si="220"/>
        <v>7.3113821138211375</v>
      </c>
      <c r="Q2030" s="16">
        <f t="shared" si="225"/>
        <v>51.439568298470427</v>
      </c>
      <c r="R2030" s="113">
        <f t="shared" si="221"/>
        <v>311.95699999999999</v>
      </c>
      <c r="S2030" s="16">
        <f>IF(S2029=15800,15800,ROUND((((Q2030*60)/'Gearing Calculator'!$C$14)*'Track Data'!P2030),-2))</f>
        <v>11400</v>
      </c>
      <c r="T2030" s="16">
        <f t="shared" si="223"/>
        <v>-14.71670186282954</v>
      </c>
      <c r="U2030" s="16">
        <f>IF(AC2030=100,Braking!$AG$2354,IF(AC2030=50,Braking!$AG$1179,IF(AC2030=75,Braking!$AG$1767,0)))</f>
        <v>-14.71670186282954</v>
      </c>
      <c r="V2030" s="16">
        <f>0.5*'Gearing Calculator'!$C$15*'Gearing Calculator'!$C$20*'Gearing Calculator'!$W$20*('Track Data'!Q2030^2)</f>
        <v>280.0557291238211</v>
      </c>
      <c r="W2030" s="16">
        <f>('Gearing Calculator'!$U$9*'Track Data'!T2030)+'Track Data'!V2030</f>
        <v>-3637.5303067614022</v>
      </c>
      <c r="X2030" s="16">
        <f>('Gearing Calculator'!$U$9*9.81)*('Gearing Calculator'!$U$16/'Gearing Calculator'!$C$7)-(('Track Data'!W2030)*('Gearing Calculator'!$U$17/'Gearing Calculator'!$C$7))</f>
        <v>3383.864737709021</v>
      </c>
      <c r="Y2030" s="16">
        <f>('Gearing Calculator'!$U$9*9.81)*(('Gearing Calculator'!$C$7-'Gearing Calculator'!$U$16)/'Gearing Calculator'!$C$7)+(('Track Data'!W2030)*('Gearing Calculator'!$U$17/'Gearing Calculator'!$C$7))</f>
        <v>-772.442737709021</v>
      </c>
      <c r="Z2030" s="16">
        <f>((X2030*COS('Gearing Calculator'!$C$21))/'Gearing Calculator'!$C$22)/2</f>
        <v>104.61839543761516</v>
      </c>
      <c r="AA2030" s="16">
        <f>Y2030/'Gearing Calculator'!$C$24</f>
        <v>-10.785891427038392</v>
      </c>
      <c r="AB2030" s="16">
        <f t="shared" si="219"/>
        <v>191.75551794684384</v>
      </c>
      <c r="AC2030" s="16">
        <v>100</v>
      </c>
      <c r="AD2030" s="16">
        <v>0</v>
      </c>
      <c r="AE2030" s="16">
        <v>2027</v>
      </c>
      <c r="AF2030" s="16">
        <f>IF(AC2030=0,IF(O2030=6,INDEX(Acceleration!$V$4:$V$110,MATCH('Track Data'!S2030,Acceleration!$K$4:$K$110,0)),IF('Track Data'!O2030=5,INDEX(Acceleration!$U$4:$U$110,MATCH('Track Data'!S2030,Acceleration!$K$4:$K$110,0)),1)),U2030)</f>
        <v>-14.71670186282954</v>
      </c>
      <c r="AG2030" s="16">
        <f>IF(AC2030=0,IF(O2030=4,INDEX(Acceleration!$T$4:$T$110,MATCH('Track Data'!S2030,Acceleration!$K$4:$K$110,0)),IF('Track Data'!O2030=3,INDEX(Acceleration!$S$4:$S$110,MATCH('Track Data'!S2030,Acceleration!$K$4:$K$110,0)),'Track Data'!AF2030)),'Track Data'!U2030)</f>
        <v>-14.71670186282954</v>
      </c>
      <c r="AH2030" s="16">
        <f>IF(AC2030=0,IF(O2030=2,INDEX(Acceleration!$R$4:$R$110,MATCH('Track Data'!S2030,Acceleration!$K$4:$K$110,0)),IF('Track Data'!O2030=1,INDEX(Acceleration!$Q$4:$Q$110,MATCH('Track Data'!S2030,Acceleration!$K$4:$K$110,0)),'Track Data'!AG2030)),'Track Data'!U2030)</f>
        <v>-14.71670186282954</v>
      </c>
    </row>
    <row r="2031" spans="2:34" x14ac:dyDescent="0.25">
      <c r="B2031" s="16">
        <v>249.05</v>
      </c>
      <c r="C2031" s="16">
        <v>9301</v>
      </c>
      <c r="D2031" s="16">
        <v>2028</v>
      </c>
      <c r="E2031" s="113">
        <v>153</v>
      </c>
      <c r="F2031" s="113">
        <v>155.80000000000001</v>
      </c>
      <c r="G2031" s="113">
        <v>150.9</v>
      </c>
      <c r="H2031" s="113">
        <f t="shared" si="222"/>
        <v>41.916666666666664</v>
      </c>
      <c r="I2031" s="113">
        <v>3.6</v>
      </c>
      <c r="J2031" s="113">
        <v>80.12</v>
      </c>
      <c r="K2031" s="113">
        <v>-31.5</v>
      </c>
      <c r="L2031" s="185"/>
      <c r="M2031" s="16">
        <v>2028</v>
      </c>
      <c r="N2031" s="16">
        <f t="shared" si="224"/>
        <v>1.9549321164004738E-2</v>
      </c>
      <c r="O2031" s="16">
        <v>6</v>
      </c>
      <c r="P2031" s="16">
        <f t="shared" si="220"/>
        <v>7.3113821138211375</v>
      </c>
      <c r="Q2031" s="16">
        <f t="shared" si="225"/>
        <v>51.152671318391036</v>
      </c>
      <c r="R2031" s="113">
        <f t="shared" si="221"/>
        <v>311.95699999999999</v>
      </c>
      <c r="S2031" s="16">
        <f>IF(S2030=15800,15800,ROUND((((Q2031*60)/'Gearing Calculator'!$C$14)*'Track Data'!P2031),-2))</f>
        <v>11300</v>
      </c>
      <c r="T2031" s="16">
        <f t="shared" si="223"/>
        <v>-14.71670186282954</v>
      </c>
      <c r="U2031" s="16">
        <f>IF(AC2031=100,Braking!$AG$2354,IF(AC2031=50,Braking!$AG$1179,IF(AC2031=75,Braking!$AG$1767,0)))</f>
        <v>-14.71670186282954</v>
      </c>
      <c r="V2031" s="16">
        <f>0.5*'Gearing Calculator'!$C$15*'Gearing Calculator'!$C$20*'Gearing Calculator'!$W$20*('Track Data'!Q2031^2)</f>
        <v>276.94049767349736</v>
      </c>
      <c r="W2031" s="16">
        <f>('Gearing Calculator'!$U$9*'Track Data'!T2031)+'Track Data'!V2031</f>
        <v>-3640.645538211726</v>
      </c>
      <c r="X2031" s="16">
        <f>('Gearing Calculator'!$U$9*9.81)*('Gearing Calculator'!$U$16/'Gearing Calculator'!$C$7)-(('Track Data'!W2031)*('Gearing Calculator'!$U$17/'Gearing Calculator'!$C$7))</f>
        <v>3385.5627516002332</v>
      </c>
      <c r="Y2031" s="16">
        <f>('Gearing Calculator'!$U$9*9.81)*(('Gearing Calculator'!$C$7-'Gearing Calculator'!$U$16)/'Gearing Calculator'!$C$7)+(('Track Data'!W2031)*('Gearing Calculator'!$U$17/'Gearing Calculator'!$C$7))</f>
        <v>-774.14075160023299</v>
      </c>
      <c r="Z2031" s="16">
        <f>((X2031*COS('Gearing Calculator'!$C$21))/'Gearing Calculator'!$C$22)/2</f>
        <v>104.67089265677106</v>
      </c>
      <c r="AA2031" s="16">
        <f>Y2031/'Gearing Calculator'!$C$24</f>
        <v>-10.809601396176731</v>
      </c>
      <c r="AB2031" s="16">
        <f t="shared" si="219"/>
        <v>188.6402864965201</v>
      </c>
      <c r="AC2031" s="16">
        <v>100</v>
      </c>
      <c r="AD2031" s="16">
        <v>0</v>
      </c>
      <c r="AE2031" s="16">
        <v>2028</v>
      </c>
      <c r="AF2031" s="16">
        <f>IF(AC2031=0,IF(O2031=6,INDEX(Acceleration!$V$4:$V$110,MATCH('Track Data'!S2031,Acceleration!$K$4:$K$110,0)),IF('Track Data'!O2031=5,INDEX(Acceleration!$U$4:$U$110,MATCH('Track Data'!S2031,Acceleration!$K$4:$K$110,0)),1)),U2031)</f>
        <v>-14.71670186282954</v>
      </c>
      <c r="AG2031" s="16">
        <f>IF(AC2031=0,IF(O2031=4,INDEX(Acceleration!$T$4:$T$110,MATCH('Track Data'!S2031,Acceleration!$K$4:$K$110,0)),IF('Track Data'!O2031=3,INDEX(Acceleration!$S$4:$S$110,MATCH('Track Data'!S2031,Acceleration!$K$4:$K$110,0)),'Track Data'!AF2031)),'Track Data'!U2031)</f>
        <v>-14.71670186282954</v>
      </c>
      <c r="AH2031" s="16">
        <f>IF(AC2031=0,IF(O2031=2,INDEX(Acceleration!$R$4:$R$110,MATCH('Track Data'!S2031,Acceleration!$K$4:$K$110,0)),IF('Track Data'!O2031=1,INDEX(Acceleration!$Q$4:$Q$110,MATCH('Track Data'!S2031,Acceleration!$K$4:$K$110,0)),'Track Data'!AG2031)),'Track Data'!U2031)</f>
        <v>-14.71670186282954</v>
      </c>
    </row>
    <row r="2032" spans="2:34" x14ac:dyDescent="0.25">
      <c r="B2032" s="16">
        <v>249.07300000000001</v>
      </c>
      <c r="C2032" s="16">
        <v>9302</v>
      </c>
      <c r="D2032" s="16">
        <v>2029</v>
      </c>
      <c r="E2032" s="113">
        <v>153</v>
      </c>
      <c r="F2032" s="113">
        <v>155.30000000000001</v>
      </c>
      <c r="G2032" s="113">
        <v>150.30000000000001</v>
      </c>
      <c r="H2032" s="113">
        <f t="shared" si="222"/>
        <v>41.75</v>
      </c>
      <c r="I2032" s="113">
        <v>3.6</v>
      </c>
      <c r="J2032" s="113">
        <v>78.91</v>
      </c>
      <c r="K2032" s="113">
        <v>-31.4</v>
      </c>
      <c r="L2032" s="185"/>
      <c r="M2032" s="16">
        <v>2029</v>
      </c>
      <c r="N2032" s="16">
        <f t="shared" si="224"/>
        <v>1.9660210175400723E-2</v>
      </c>
      <c r="O2032" s="16">
        <v>6</v>
      </c>
      <c r="P2032" s="16">
        <f t="shared" si="220"/>
        <v>7.3113821138211375</v>
      </c>
      <c r="Q2032" s="16">
        <f t="shared" si="225"/>
        <v>50.86415613456775</v>
      </c>
      <c r="R2032" s="113">
        <f t="shared" si="221"/>
        <v>311.95699999999999</v>
      </c>
      <c r="S2032" s="16">
        <f>IF(S2031=15800,15800,ROUND((((Q2032*60)/'Gearing Calculator'!$C$14)*'Track Data'!P2032),-2))</f>
        <v>11300</v>
      </c>
      <c r="T2032" s="16">
        <f t="shared" si="223"/>
        <v>-14.71670186282954</v>
      </c>
      <c r="U2032" s="16">
        <f>IF(AC2032=100,Braking!$AG$2354,IF(AC2032=50,Braking!$AG$1179,IF(AC2032=75,Braking!$AG$1767,0)))</f>
        <v>-14.71670186282954</v>
      </c>
      <c r="V2032" s="16">
        <f>0.5*'Gearing Calculator'!$C$15*'Gearing Calculator'!$C$20*'Gearing Calculator'!$W$20*('Track Data'!Q2032^2)</f>
        <v>273.82526622317363</v>
      </c>
      <c r="W2032" s="16">
        <f>('Gearing Calculator'!$U$9*'Track Data'!T2032)+'Track Data'!V2032</f>
        <v>-3643.7607696620498</v>
      </c>
      <c r="X2032" s="16">
        <f>('Gearing Calculator'!$U$9*9.81)*('Gearing Calculator'!$U$16/'Gearing Calculator'!$C$7)-(('Track Data'!W2032)*('Gearing Calculator'!$U$17/'Gearing Calculator'!$C$7))</f>
        <v>3387.2607654914445</v>
      </c>
      <c r="Y2032" s="16">
        <f>('Gearing Calculator'!$U$9*9.81)*(('Gearing Calculator'!$C$7-'Gearing Calculator'!$U$16)/'Gearing Calculator'!$C$7)+(('Track Data'!W2032)*('Gearing Calculator'!$U$17/'Gearing Calculator'!$C$7))</f>
        <v>-775.83876549144475</v>
      </c>
      <c r="Z2032" s="16">
        <f>((X2032*COS('Gearing Calculator'!$C$21))/'Gearing Calculator'!$C$22)/2</f>
        <v>104.72338987592693</v>
      </c>
      <c r="AA2032" s="16">
        <f>Y2032/'Gearing Calculator'!$C$24</f>
        <v>-10.833311365315067</v>
      </c>
      <c r="AB2032" s="16">
        <f t="shared" si="219"/>
        <v>185.52505504619637</v>
      </c>
      <c r="AC2032" s="16">
        <v>100</v>
      </c>
      <c r="AD2032" s="16">
        <v>0</v>
      </c>
      <c r="AE2032" s="16">
        <v>2029</v>
      </c>
      <c r="AF2032" s="16">
        <f>IF(AC2032=0,IF(O2032=6,INDEX(Acceleration!$V$4:$V$110,MATCH('Track Data'!S2032,Acceleration!$K$4:$K$110,0)),IF('Track Data'!O2032=5,INDEX(Acceleration!$U$4:$U$110,MATCH('Track Data'!S2032,Acceleration!$K$4:$K$110,0)),1)),U2032)</f>
        <v>-14.71670186282954</v>
      </c>
      <c r="AG2032" s="16">
        <f>IF(AC2032=0,IF(O2032=4,INDEX(Acceleration!$T$4:$T$110,MATCH('Track Data'!S2032,Acceleration!$K$4:$K$110,0)),IF('Track Data'!O2032=3,INDEX(Acceleration!$S$4:$S$110,MATCH('Track Data'!S2032,Acceleration!$K$4:$K$110,0)),'Track Data'!AF2032)),'Track Data'!U2032)</f>
        <v>-14.71670186282954</v>
      </c>
      <c r="AH2032" s="16">
        <f>IF(AC2032=0,IF(O2032=2,INDEX(Acceleration!$R$4:$R$110,MATCH('Track Data'!S2032,Acceleration!$K$4:$K$110,0)),IF('Track Data'!O2032=1,INDEX(Acceleration!$Q$4:$Q$110,MATCH('Track Data'!S2032,Acceleration!$K$4:$K$110,0)),'Track Data'!AG2032)),'Track Data'!U2032)</f>
        <v>-14.71670186282954</v>
      </c>
    </row>
    <row r="2033" spans="2:34" x14ac:dyDescent="0.25">
      <c r="B2033" s="16">
        <v>249.096</v>
      </c>
      <c r="C2033" s="16">
        <v>9303</v>
      </c>
      <c r="D2033" s="16">
        <v>2030</v>
      </c>
      <c r="E2033" s="113">
        <v>153</v>
      </c>
      <c r="F2033" s="113">
        <v>154.9</v>
      </c>
      <c r="G2033" s="113">
        <v>149.69999999999999</v>
      </c>
      <c r="H2033" s="113">
        <f t="shared" si="222"/>
        <v>41.583333333333329</v>
      </c>
      <c r="I2033" s="113">
        <v>3.6</v>
      </c>
      <c r="J2033" s="113">
        <v>77.72</v>
      </c>
      <c r="K2033" s="113">
        <v>-31.3</v>
      </c>
      <c r="L2033" s="185"/>
      <c r="M2033" s="16">
        <v>2030</v>
      </c>
      <c r="N2033" s="16">
        <f t="shared" si="224"/>
        <v>1.9773007826743887E-2</v>
      </c>
      <c r="O2033" s="16">
        <v>6</v>
      </c>
      <c r="P2033" s="16">
        <f t="shared" si="220"/>
        <v>7.3113821138211375</v>
      </c>
      <c r="Q2033" s="16">
        <f t="shared" si="225"/>
        <v>50.573995052358946</v>
      </c>
      <c r="R2033" s="113">
        <f t="shared" si="221"/>
        <v>311.95699999999999</v>
      </c>
      <c r="S2033" s="16">
        <f>IF(S2032=15800,15800,ROUND((((Q2033*60)/'Gearing Calculator'!$C$14)*'Track Data'!P2033),-2))</f>
        <v>11200</v>
      </c>
      <c r="T2033" s="16">
        <f t="shared" si="223"/>
        <v>-14.71670186282954</v>
      </c>
      <c r="U2033" s="16">
        <f>IF(AC2033=100,Braking!$AG$2354,IF(AC2033=50,Braking!$AG$1179,IF(AC2033=75,Braking!$AG$1767,0)))</f>
        <v>-14.71670186282954</v>
      </c>
      <c r="V2033" s="16">
        <f>0.5*'Gearing Calculator'!$C$15*'Gearing Calculator'!$C$20*'Gearing Calculator'!$W$20*('Track Data'!Q2033^2)</f>
        <v>270.71003477284989</v>
      </c>
      <c r="W2033" s="16">
        <f>('Gearing Calculator'!$U$9*'Track Data'!T2033)+'Track Data'!V2033</f>
        <v>-3646.8760011123732</v>
      </c>
      <c r="X2033" s="16">
        <f>('Gearing Calculator'!$U$9*9.81)*('Gearing Calculator'!$U$16/'Gearing Calculator'!$C$7)-(('Track Data'!W2033)*('Gearing Calculator'!$U$17/'Gearing Calculator'!$C$7))</f>
        <v>3388.9587793826563</v>
      </c>
      <c r="Y2033" s="16">
        <f>('Gearing Calculator'!$U$9*9.81)*(('Gearing Calculator'!$C$7-'Gearing Calculator'!$U$16)/'Gearing Calculator'!$C$7)+(('Track Data'!W2033)*('Gearing Calculator'!$U$17/'Gearing Calculator'!$C$7))</f>
        <v>-777.53677938265628</v>
      </c>
      <c r="Z2033" s="16">
        <f>((X2033*COS('Gearing Calculator'!$C$21))/'Gearing Calculator'!$C$22)/2</f>
        <v>104.77588709508279</v>
      </c>
      <c r="AA2033" s="16">
        <f>Y2033/'Gearing Calculator'!$C$24</f>
        <v>-10.8570213344534</v>
      </c>
      <c r="AB2033" s="16">
        <f t="shared" si="219"/>
        <v>182.40982359587264</v>
      </c>
      <c r="AC2033" s="16">
        <v>100</v>
      </c>
      <c r="AD2033" s="16">
        <v>0</v>
      </c>
      <c r="AE2033" s="16">
        <v>2030</v>
      </c>
      <c r="AF2033" s="16">
        <f>IF(AC2033=0,IF(O2033=6,INDEX(Acceleration!$V$4:$V$110,MATCH('Track Data'!S2033,Acceleration!$K$4:$K$110,0)),IF('Track Data'!O2033=5,INDEX(Acceleration!$U$4:$U$110,MATCH('Track Data'!S2033,Acceleration!$K$4:$K$110,0)),1)),U2033)</f>
        <v>-14.71670186282954</v>
      </c>
      <c r="AG2033" s="16">
        <f>IF(AC2033=0,IF(O2033=4,INDEX(Acceleration!$T$4:$T$110,MATCH('Track Data'!S2033,Acceleration!$K$4:$K$110,0)),IF('Track Data'!O2033=3,INDEX(Acceleration!$S$4:$S$110,MATCH('Track Data'!S2033,Acceleration!$K$4:$K$110,0)),'Track Data'!AF2033)),'Track Data'!U2033)</f>
        <v>-14.71670186282954</v>
      </c>
      <c r="AH2033" s="16">
        <f>IF(AC2033=0,IF(O2033=2,INDEX(Acceleration!$R$4:$R$110,MATCH('Track Data'!S2033,Acceleration!$K$4:$K$110,0)),IF('Track Data'!O2033=1,INDEX(Acceleration!$Q$4:$Q$110,MATCH('Track Data'!S2033,Acceleration!$K$4:$K$110,0)),'Track Data'!AG2033)),'Track Data'!U2033)</f>
        <v>-14.71670186282954</v>
      </c>
    </row>
    <row r="2034" spans="2:34" x14ac:dyDescent="0.25">
      <c r="B2034" s="16">
        <v>249.119</v>
      </c>
      <c r="C2034" s="16">
        <v>9304</v>
      </c>
      <c r="D2034" s="16">
        <v>2031</v>
      </c>
      <c r="E2034" s="113">
        <v>152</v>
      </c>
      <c r="F2034" s="113">
        <v>154.5</v>
      </c>
      <c r="G2034" s="113">
        <v>149.19999999999999</v>
      </c>
      <c r="H2034" s="113">
        <f t="shared" si="222"/>
        <v>41.444444444444443</v>
      </c>
      <c r="I2034" s="113">
        <v>3.8</v>
      </c>
      <c r="J2034" s="113">
        <v>74.86</v>
      </c>
      <c r="K2034" s="113">
        <v>-31.2</v>
      </c>
      <c r="L2034" s="185"/>
      <c r="M2034" s="16">
        <v>2031</v>
      </c>
      <c r="N2034" s="16">
        <f t="shared" si="224"/>
        <v>1.9887769506959588E-2</v>
      </c>
      <c r="O2034" s="16">
        <v>6</v>
      </c>
      <c r="P2034" s="16">
        <f t="shared" si="220"/>
        <v>7.3113821138211375</v>
      </c>
      <c r="Q2034" s="16">
        <f t="shared" si="225"/>
        <v>50.282159578028946</v>
      </c>
      <c r="R2034" s="113">
        <f t="shared" si="221"/>
        <v>311.95699999999999</v>
      </c>
      <c r="S2034" s="16">
        <f>IF(S2033=15800,15800,ROUND((((Q2034*60)/'Gearing Calculator'!$C$14)*'Track Data'!P2034),-2))</f>
        <v>11100</v>
      </c>
      <c r="T2034" s="16">
        <f t="shared" si="223"/>
        <v>-14.71670186282954</v>
      </c>
      <c r="U2034" s="16">
        <f>IF(AC2034=100,Braking!$AG$2354,IF(AC2034=50,Braking!$AG$1179,IF(AC2034=75,Braking!$AG$1767,0)))</f>
        <v>-14.71670186282954</v>
      </c>
      <c r="V2034" s="16">
        <f>0.5*'Gearing Calculator'!$C$15*'Gearing Calculator'!$C$20*'Gearing Calculator'!$W$20*('Track Data'!Q2034^2)</f>
        <v>267.5948033225261</v>
      </c>
      <c r="W2034" s="16">
        <f>('Gearing Calculator'!$U$9*'Track Data'!T2034)+'Track Data'!V2034</f>
        <v>-3649.9912325626974</v>
      </c>
      <c r="X2034" s="16">
        <f>('Gearing Calculator'!$U$9*9.81)*('Gearing Calculator'!$U$16/'Gearing Calculator'!$C$7)-(('Track Data'!W2034)*('Gearing Calculator'!$U$17/'Gearing Calculator'!$C$7))</f>
        <v>3390.6567932738681</v>
      </c>
      <c r="Y2034" s="16">
        <f>('Gearing Calculator'!$U$9*9.81)*(('Gearing Calculator'!$C$7-'Gearing Calculator'!$U$16)/'Gearing Calculator'!$C$7)+(('Track Data'!W2034)*('Gearing Calculator'!$U$17/'Gearing Calculator'!$C$7))</f>
        <v>-779.23479327386826</v>
      </c>
      <c r="Z2034" s="16">
        <f>((X2034*COS('Gearing Calculator'!$C$21))/'Gearing Calculator'!$C$22)/2</f>
        <v>104.82838431423868</v>
      </c>
      <c r="AA2034" s="16">
        <f>Y2034/'Gearing Calculator'!$C$24</f>
        <v>-10.880731303591741</v>
      </c>
      <c r="AB2034" s="16">
        <f t="shared" si="219"/>
        <v>179.29459214554885</v>
      </c>
      <c r="AC2034" s="16">
        <v>100</v>
      </c>
      <c r="AD2034" s="16">
        <v>0</v>
      </c>
      <c r="AE2034" s="16">
        <v>2031</v>
      </c>
      <c r="AF2034" s="16">
        <f>IF(AC2034=0,IF(O2034=6,INDEX(Acceleration!$V$4:$V$110,MATCH('Track Data'!S2034,Acceleration!$K$4:$K$110,0)),IF('Track Data'!O2034=5,INDEX(Acceleration!$U$4:$U$110,MATCH('Track Data'!S2034,Acceleration!$K$4:$K$110,0)),1)),U2034)</f>
        <v>-14.71670186282954</v>
      </c>
      <c r="AG2034" s="16">
        <f>IF(AC2034=0,IF(O2034=4,INDEX(Acceleration!$T$4:$T$110,MATCH('Track Data'!S2034,Acceleration!$K$4:$K$110,0)),IF('Track Data'!O2034=3,INDEX(Acceleration!$S$4:$S$110,MATCH('Track Data'!S2034,Acceleration!$K$4:$K$110,0)),'Track Data'!AF2034)),'Track Data'!U2034)</f>
        <v>-14.71670186282954</v>
      </c>
      <c r="AH2034" s="16">
        <f>IF(AC2034=0,IF(O2034=2,INDEX(Acceleration!$R$4:$R$110,MATCH('Track Data'!S2034,Acceleration!$K$4:$K$110,0)),IF('Track Data'!O2034=1,INDEX(Acceleration!$Q$4:$Q$110,MATCH('Track Data'!S2034,Acceleration!$K$4:$K$110,0)),'Track Data'!AG2034)),'Track Data'!U2034)</f>
        <v>-14.71670186282954</v>
      </c>
    </row>
    <row r="2035" spans="2:34" x14ac:dyDescent="0.25">
      <c r="B2035" s="16">
        <v>249.143</v>
      </c>
      <c r="C2035" s="16">
        <v>9305</v>
      </c>
      <c r="D2035" s="16">
        <v>2032</v>
      </c>
      <c r="E2035" s="113">
        <v>151</v>
      </c>
      <c r="F2035" s="113">
        <v>154.1</v>
      </c>
      <c r="G2035" s="113">
        <v>148.30000000000001</v>
      </c>
      <c r="H2035" s="113">
        <f t="shared" si="222"/>
        <v>41.19444444444445</v>
      </c>
      <c r="I2035" s="113">
        <v>3.8</v>
      </c>
      <c r="J2035" s="113">
        <v>72.8</v>
      </c>
      <c r="K2035" s="113">
        <v>-26.3</v>
      </c>
      <c r="L2035" s="185"/>
      <c r="M2035" s="16">
        <v>2032</v>
      </c>
      <c r="N2035" s="16">
        <f t="shared" si="224"/>
        <v>2.0004552881764347E-2</v>
      </c>
      <c r="O2035" s="16">
        <v>6</v>
      </c>
      <c r="P2035" s="16">
        <f t="shared" si="220"/>
        <v>7.3113821138211375</v>
      </c>
      <c r="Q2035" s="16">
        <f t="shared" si="225"/>
        <v>49.988620386090965</v>
      </c>
      <c r="R2035" s="113">
        <f t="shared" si="221"/>
        <v>311.95699999999999</v>
      </c>
      <c r="S2035" s="16">
        <f>IF(S2034=15800,15800,ROUND((((Q2035*60)/'Gearing Calculator'!$C$14)*'Track Data'!P2035),-2))</f>
        <v>11100</v>
      </c>
      <c r="T2035" s="16">
        <f t="shared" si="223"/>
        <v>-14.71670186282954</v>
      </c>
      <c r="U2035" s="16">
        <f>IF(AC2035=100,Braking!$AG$2354,IF(AC2035=50,Braking!$AG$1179,IF(AC2035=75,Braking!$AG$1767,0)))</f>
        <v>-14.71670186282954</v>
      </c>
      <c r="V2035" s="16">
        <f>0.5*'Gearing Calculator'!$C$15*'Gearing Calculator'!$C$20*'Gearing Calculator'!$W$20*('Track Data'!Q2035^2)</f>
        <v>264.47957187220243</v>
      </c>
      <c r="W2035" s="16">
        <f>('Gearing Calculator'!$U$9*'Track Data'!T2035)+'Track Data'!V2035</f>
        <v>-3653.1064640130207</v>
      </c>
      <c r="X2035" s="16">
        <f>('Gearing Calculator'!$U$9*9.81)*('Gearing Calculator'!$U$16/'Gearing Calculator'!$C$7)-(('Track Data'!W2035)*('Gearing Calculator'!$U$17/'Gearing Calculator'!$C$7))</f>
        <v>3392.3548071650798</v>
      </c>
      <c r="Y2035" s="16">
        <f>('Gearing Calculator'!$U$9*9.81)*(('Gearing Calculator'!$C$7-'Gearing Calculator'!$U$16)/'Gearing Calculator'!$C$7)+(('Track Data'!W2035)*('Gearing Calculator'!$U$17/'Gearing Calculator'!$C$7))</f>
        <v>-780.93280716507979</v>
      </c>
      <c r="Z2035" s="16">
        <f>((X2035*COS('Gearing Calculator'!$C$21))/'Gearing Calculator'!$C$22)/2</f>
        <v>104.88088153339456</v>
      </c>
      <c r="AA2035" s="16">
        <f>Y2035/'Gearing Calculator'!$C$24</f>
        <v>-10.904441272730073</v>
      </c>
      <c r="AB2035" s="16">
        <f t="shared" si="219"/>
        <v>176.17936069522517</v>
      </c>
      <c r="AC2035" s="16">
        <v>100</v>
      </c>
      <c r="AD2035" s="16">
        <v>0</v>
      </c>
      <c r="AE2035" s="16">
        <v>2032</v>
      </c>
      <c r="AF2035" s="16">
        <f>IF(AC2035=0,IF(O2035=6,INDEX(Acceleration!$V$4:$V$110,MATCH('Track Data'!S2035,Acceleration!$K$4:$K$110,0)),IF('Track Data'!O2035=5,INDEX(Acceleration!$U$4:$U$110,MATCH('Track Data'!S2035,Acceleration!$K$4:$K$110,0)),1)),U2035)</f>
        <v>-14.71670186282954</v>
      </c>
      <c r="AG2035" s="16">
        <f>IF(AC2035=0,IF(O2035=4,INDEX(Acceleration!$T$4:$T$110,MATCH('Track Data'!S2035,Acceleration!$K$4:$K$110,0)),IF('Track Data'!O2035=3,INDEX(Acceleration!$S$4:$S$110,MATCH('Track Data'!S2035,Acceleration!$K$4:$K$110,0)),'Track Data'!AF2035)),'Track Data'!U2035)</f>
        <v>-14.71670186282954</v>
      </c>
      <c r="AH2035" s="16">
        <f>IF(AC2035=0,IF(O2035=2,INDEX(Acceleration!$R$4:$R$110,MATCH('Track Data'!S2035,Acceleration!$K$4:$K$110,0)),IF('Track Data'!O2035=1,INDEX(Acceleration!$Q$4:$Q$110,MATCH('Track Data'!S2035,Acceleration!$K$4:$K$110,0)),'Track Data'!AG2035)),'Track Data'!U2035)</f>
        <v>-14.71670186282954</v>
      </c>
    </row>
    <row r="2036" spans="2:34" x14ac:dyDescent="0.25">
      <c r="B2036" s="16">
        <v>249.166</v>
      </c>
      <c r="C2036" s="16">
        <v>9306</v>
      </c>
      <c r="D2036" s="16">
        <v>2033</v>
      </c>
      <c r="E2036" s="113">
        <v>151</v>
      </c>
      <c r="F2036" s="113">
        <v>153.80000000000001</v>
      </c>
      <c r="G2036" s="113">
        <v>147.80000000000001</v>
      </c>
      <c r="H2036" s="113">
        <f t="shared" si="222"/>
        <v>41.055555555555557</v>
      </c>
      <c r="I2036" s="113">
        <v>3.6</v>
      </c>
      <c r="J2036" s="113">
        <v>70.48</v>
      </c>
      <c r="K2036" s="113">
        <v>-22.3</v>
      </c>
      <c r="L2036" s="185"/>
      <c r="M2036" s="16">
        <v>2033</v>
      </c>
      <c r="N2036" s="16">
        <f t="shared" si="224"/>
        <v>2.0123418015424891E-2</v>
      </c>
      <c r="O2036" s="16">
        <v>6</v>
      </c>
      <c r="P2036" s="16">
        <f t="shared" si="220"/>
        <v>7.3113821138211375</v>
      </c>
      <c r="Q2036" s="16">
        <f t="shared" si="225"/>
        <v>49.693347284913806</v>
      </c>
      <c r="R2036" s="113">
        <f t="shared" si="221"/>
        <v>311.95699999999999</v>
      </c>
      <c r="S2036" s="16">
        <f>IF(S2035=15800,15800,ROUND((((Q2036*60)/'Gearing Calculator'!$C$14)*'Track Data'!P2036),-2))</f>
        <v>11000</v>
      </c>
      <c r="T2036" s="16">
        <f t="shared" si="223"/>
        <v>-14.71670186282954</v>
      </c>
      <c r="U2036" s="16">
        <f>IF(AC2036=100,Braking!$AG$2354,IF(AC2036=50,Braking!$AG$1179,IF(AC2036=75,Braking!$AG$1767,0)))</f>
        <v>-14.71670186282954</v>
      </c>
      <c r="V2036" s="16">
        <f>0.5*'Gearing Calculator'!$C$15*'Gearing Calculator'!$C$20*'Gearing Calculator'!$W$20*('Track Data'!Q2036^2)</f>
        <v>261.36434042187864</v>
      </c>
      <c r="W2036" s="16">
        <f>('Gearing Calculator'!$U$9*'Track Data'!T2036)+'Track Data'!V2036</f>
        <v>-3656.2216954633445</v>
      </c>
      <c r="X2036" s="16">
        <f>('Gearing Calculator'!$U$9*9.81)*('Gearing Calculator'!$U$16/'Gearing Calculator'!$C$7)-(('Track Data'!W2036)*('Gearing Calculator'!$U$17/'Gearing Calculator'!$C$7))</f>
        <v>3394.0528210562916</v>
      </c>
      <c r="Y2036" s="16">
        <f>('Gearing Calculator'!$U$9*9.81)*(('Gearing Calculator'!$C$7-'Gearing Calculator'!$U$16)/'Gearing Calculator'!$C$7)+(('Track Data'!W2036)*('Gearing Calculator'!$U$17/'Gearing Calculator'!$C$7))</f>
        <v>-782.63082105629155</v>
      </c>
      <c r="Z2036" s="16">
        <f>((X2036*COS('Gearing Calculator'!$C$21))/'Gearing Calculator'!$C$22)/2</f>
        <v>104.93337875255042</v>
      </c>
      <c r="AA2036" s="16">
        <f>Y2036/'Gearing Calculator'!$C$24</f>
        <v>-10.928151241868409</v>
      </c>
      <c r="AB2036" s="16">
        <f t="shared" si="219"/>
        <v>173.06412924490138</v>
      </c>
      <c r="AC2036" s="16">
        <v>100</v>
      </c>
      <c r="AD2036" s="16">
        <v>0</v>
      </c>
      <c r="AE2036" s="16">
        <v>2033</v>
      </c>
      <c r="AF2036" s="16">
        <f>IF(AC2036=0,IF(O2036=6,INDEX(Acceleration!$V$4:$V$110,MATCH('Track Data'!S2036,Acceleration!$K$4:$K$110,0)),IF('Track Data'!O2036=5,INDEX(Acceleration!$U$4:$U$110,MATCH('Track Data'!S2036,Acceleration!$K$4:$K$110,0)),1)),U2036)</f>
        <v>-14.71670186282954</v>
      </c>
      <c r="AG2036" s="16">
        <f>IF(AC2036=0,IF(O2036=4,INDEX(Acceleration!$T$4:$T$110,MATCH('Track Data'!S2036,Acceleration!$K$4:$K$110,0)),IF('Track Data'!O2036=3,INDEX(Acceleration!$S$4:$S$110,MATCH('Track Data'!S2036,Acceleration!$K$4:$K$110,0)),'Track Data'!AF2036)),'Track Data'!U2036)</f>
        <v>-14.71670186282954</v>
      </c>
      <c r="AH2036" s="16">
        <f>IF(AC2036=0,IF(O2036=2,INDEX(Acceleration!$R$4:$R$110,MATCH('Track Data'!S2036,Acceleration!$K$4:$K$110,0)),IF('Track Data'!O2036=1,INDEX(Acceleration!$Q$4:$Q$110,MATCH('Track Data'!S2036,Acceleration!$K$4:$K$110,0)),'Track Data'!AG2036)),'Track Data'!U2036)</f>
        <v>-14.71670186282954</v>
      </c>
    </row>
    <row r="2037" spans="2:34" x14ac:dyDescent="0.25">
      <c r="B2037" s="16">
        <v>249.18899999999999</v>
      </c>
      <c r="C2037" s="16">
        <v>9307</v>
      </c>
      <c r="D2037" s="16">
        <v>2034</v>
      </c>
      <c r="E2037" s="113">
        <v>151</v>
      </c>
      <c r="F2037" s="113">
        <v>153.5</v>
      </c>
      <c r="G2037" s="113">
        <v>147.4</v>
      </c>
      <c r="H2037" s="113">
        <f t="shared" si="222"/>
        <v>40.944444444444443</v>
      </c>
      <c r="I2037" s="113">
        <v>3.5</v>
      </c>
      <c r="J2037" s="113">
        <v>69.88</v>
      </c>
      <c r="K2037" s="113">
        <v>-18.100000000000001</v>
      </c>
      <c r="L2037" s="185"/>
      <c r="M2037" s="16">
        <v>2034</v>
      </c>
      <c r="N2037" s="16">
        <f t="shared" si="224"/>
        <v>2.0244427500571406E-2</v>
      </c>
      <c r="O2037" s="16">
        <v>6</v>
      </c>
      <c r="P2037" s="16">
        <f t="shared" si="220"/>
        <v>7.3113821138211375</v>
      </c>
      <c r="Q2037" s="16">
        <f t="shared" si="225"/>
        <v>49.396309180478163</v>
      </c>
      <c r="R2037" s="113">
        <f t="shared" si="221"/>
        <v>311.95699999999999</v>
      </c>
      <c r="S2037" s="16">
        <f>IF(S2036=15800,15800,ROUND((((Q2037*60)/'Gearing Calculator'!$C$14)*'Track Data'!P2037),-2))</f>
        <v>10900</v>
      </c>
      <c r="T2037" s="16">
        <f t="shared" si="223"/>
        <v>-14.71670186282954</v>
      </c>
      <c r="U2037" s="16">
        <f>IF(AC2037=100,Braking!$AG$2354,IF(AC2037=50,Braking!$AG$1179,IF(AC2037=75,Braking!$AG$1767,0)))</f>
        <v>-14.71670186282954</v>
      </c>
      <c r="V2037" s="16">
        <f>0.5*'Gearing Calculator'!$C$15*'Gearing Calculator'!$C$20*'Gearing Calculator'!$W$20*('Track Data'!Q2037^2)</f>
        <v>258.2491089715549</v>
      </c>
      <c r="W2037" s="16">
        <f>('Gearing Calculator'!$U$9*'Track Data'!T2037)+'Track Data'!V2037</f>
        <v>-3659.3369269136683</v>
      </c>
      <c r="X2037" s="16">
        <f>('Gearing Calculator'!$U$9*9.81)*('Gearing Calculator'!$U$16/'Gearing Calculator'!$C$7)-(('Track Data'!W2037)*('Gearing Calculator'!$U$17/'Gearing Calculator'!$C$7))</f>
        <v>3395.7508349475038</v>
      </c>
      <c r="Y2037" s="16">
        <f>('Gearing Calculator'!$U$9*9.81)*(('Gearing Calculator'!$C$7-'Gearing Calculator'!$U$16)/'Gearing Calculator'!$C$7)+(('Track Data'!W2037)*('Gearing Calculator'!$U$17/'Gearing Calculator'!$C$7))</f>
        <v>-784.32883494750354</v>
      </c>
      <c r="Z2037" s="16">
        <f>((X2037*COS('Gearing Calculator'!$C$21))/'Gearing Calculator'!$C$22)/2</f>
        <v>104.98587597170632</v>
      </c>
      <c r="AA2037" s="16">
        <f>Y2037/'Gearing Calculator'!$C$24</f>
        <v>-10.951861211006749</v>
      </c>
      <c r="AB2037" s="16">
        <f t="shared" si="219"/>
        <v>169.94889779457765</v>
      </c>
      <c r="AC2037" s="16">
        <v>100</v>
      </c>
      <c r="AD2037" s="16">
        <v>0</v>
      </c>
      <c r="AE2037" s="16">
        <v>2034</v>
      </c>
      <c r="AF2037" s="16">
        <f>IF(AC2037=0,IF(O2037=6,INDEX(Acceleration!$V$4:$V$110,MATCH('Track Data'!S2037,Acceleration!$K$4:$K$110,0)),IF('Track Data'!O2037=5,INDEX(Acceleration!$U$4:$U$110,MATCH('Track Data'!S2037,Acceleration!$K$4:$K$110,0)),1)),U2037)</f>
        <v>-14.71670186282954</v>
      </c>
      <c r="AG2037" s="16">
        <f>IF(AC2037=0,IF(O2037=4,INDEX(Acceleration!$T$4:$T$110,MATCH('Track Data'!S2037,Acceleration!$K$4:$K$110,0)),IF('Track Data'!O2037=3,INDEX(Acceleration!$S$4:$S$110,MATCH('Track Data'!S2037,Acceleration!$K$4:$K$110,0)),'Track Data'!AF2037)),'Track Data'!U2037)</f>
        <v>-14.71670186282954</v>
      </c>
      <c r="AH2037" s="16">
        <f>IF(AC2037=0,IF(O2037=2,INDEX(Acceleration!$R$4:$R$110,MATCH('Track Data'!S2037,Acceleration!$K$4:$K$110,0)),IF('Track Data'!O2037=1,INDEX(Acceleration!$Q$4:$Q$110,MATCH('Track Data'!S2037,Acceleration!$K$4:$K$110,0)),'Track Data'!AG2037)),'Track Data'!U2037)</f>
        <v>-14.71670186282954</v>
      </c>
    </row>
    <row r="2038" spans="2:34" x14ac:dyDescent="0.25">
      <c r="B2038" s="16">
        <v>249.21299999999999</v>
      </c>
      <c r="C2038" s="16">
        <v>9308</v>
      </c>
      <c r="D2038" s="16">
        <v>2035</v>
      </c>
      <c r="E2038" s="113">
        <v>151</v>
      </c>
      <c r="F2038" s="113">
        <v>153.1</v>
      </c>
      <c r="G2038" s="113">
        <v>146.6</v>
      </c>
      <c r="H2038" s="113">
        <f t="shared" si="222"/>
        <v>40.722222222222221</v>
      </c>
      <c r="I2038" s="113">
        <v>3.5</v>
      </c>
      <c r="J2038" s="113">
        <v>67.89</v>
      </c>
      <c r="K2038" s="113">
        <v>-19.5</v>
      </c>
      <c r="L2038" s="185"/>
      <c r="M2038" s="16">
        <v>2035</v>
      </c>
      <c r="N2038" s="16">
        <f t="shared" si="224"/>
        <v>2.0367646596702382E-2</v>
      </c>
      <c r="O2038" s="16">
        <v>6</v>
      </c>
      <c r="P2038" s="16">
        <f t="shared" si="220"/>
        <v>7.3113821138211375</v>
      </c>
      <c r="Q2038" s="16">
        <f t="shared" si="225"/>
        <v>49.097474038159362</v>
      </c>
      <c r="R2038" s="113">
        <f t="shared" si="221"/>
        <v>311.95699999999999</v>
      </c>
      <c r="S2038" s="16">
        <f>IF(S2037=15800,15800,ROUND((((Q2038*60)/'Gearing Calculator'!$C$14)*'Track Data'!P2038),-2))</f>
        <v>10900</v>
      </c>
      <c r="T2038" s="16">
        <f t="shared" si="223"/>
        <v>-14.71670186282954</v>
      </c>
      <c r="U2038" s="16">
        <f>IF(AC2038=100,Braking!$AG$2354,IF(AC2038=50,Braking!$AG$1179,IF(AC2038=75,Braking!$AG$1767,0)))</f>
        <v>-14.71670186282954</v>
      </c>
      <c r="V2038" s="16">
        <f>0.5*'Gearing Calculator'!$C$15*'Gearing Calculator'!$C$20*'Gearing Calculator'!$W$20*('Track Data'!Q2038^2)</f>
        <v>255.13387752123117</v>
      </c>
      <c r="W2038" s="16">
        <f>('Gearing Calculator'!$U$9*'Track Data'!T2038)+'Track Data'!V2038</f>
        <v>-3662.4521583639921</v>
      </c>
      <c r="X2038" s="16">
        <f>('Gearing Calculator'!$U$9*9.81)*('Gearing Calculator'!$U$16/'Gearing Calculator'!$C$7)-(('Track Data'!W2038)*('Gearing Calculator'!$U$17/'Gearing Calculator'!$C$7))</f>
        <v>3397.4488488387151</v>
      </c>
      <c r="Y2038" s="16">
        <f>('Gearing Calculator'!$U$9*9.81)*(('Gearing Calculator'!$C$7-'Gearing Calculator'!$U$16)/'Gearing Calculator'!$C$7)+(('Track Data'!W2038)*('Gearing Calculator'!$U$17/'Gearing Calculator'!$C$7))</f>
        <v>-786.0268488387153</v>
      </c>
      <c r="Z2038" s="16">
        <f>((X2038*COS('Gearing Calculator'!$C$21))/'Gearing Calculator'!$C$22)/2</f>
        <v>105.03837319086219</v>
      </c>
      <c r="AA2038" s="16">
        <f>Y2038/'Gearing Calculator'!$C$24</f>
        <v>-10.975571180145087</v>
      </c>
      <c r="AB2038" s="16">
        <f t="shared" ref="AB2038:AB2101" si="226">(T2038*O2038)+V2038</f>
        <v>166.83366634425391</v>
      </c>
      <c r="AC2038" s="16">
        <v>100</v>
      </c>
      <c r="AD2038" s="16">
        <v>0</v>
      </c>
      <c r="AE2038" s="16">
        <v>2035</v>
      </c>
      <c r="AF2038" s="16">
        <f>IF(AC2038=0,IF(O2038=6,INDEX(Acceleration!$V$4:$V$110,MATCH('Track Data'!S2038,Acceleration!$K$4:$K$110,0)),IF('Track Data'!O2038=5,INDEX(Acceleration!$U$4:$U$110,MATCH('Track Data'!S2038,Acceleration!$K$4:$K$110,0)),1)),U2038)</f>
        <v>-14.71670186282954</v>
      </c>
      <c r="AG2038" s="16">
        <f>IF(AC2038=0,IF(O2038=4,INDEX(Acceleration!$T$4:$T$110,MATCH('Track Data'!S2038,Acceleration!$K$4:$K$110,0)),IF('Track Data'!O2038=3,INDEX(Acceleration!$S$4:$S$110,MATCH('Track Data'!S2038,Acceleration!$K$4:$K$110,0)),'Track Data'!AF2038)),'Track Data'!U2038)</f>
        <v>-14.71670186282954</v>
      </c>
      <c r="AH2038" s="16">
        <f>IF(AC2038=0,IF(O2038=2,INDEX(Acceleration!$R$4:$R$110,MATCH('Track Data'!S2038,Acceleration!$K$4:$K$110,0)),IF('Track Data'!O2038=1,INDEX(Acceleration!$Q$4:$Q$110,MATCH('Track Data'!S2038,Acceleration!$K$4:$K$110,0)),'Track Data'!AG2038)),'Track Data'!U2038)</f>
        <v>-14.71670186282954</v>
      </c>
    </row>
    <row r="2039" spans="2:34" x14ac:dyDescent="0.25">
      <c r="B2039" s="16">
        <v>249.23599999999999</v>
      </c>
      <c r="C2039" s="16">
        <v>9309</v>
      </c>
      <c r="D2039" s="16">
        <v>2036</v>
      </c>
      <c r="E2039" s="113">
        <v>150</v>
      </c>
      <c r="F2039" s="113">
        <v>152.80000000000001</v>
      </c>
      <c r="G2039" s="113">
        <v>146.1</v>
      </c>
      <c r="H2039" s="113">
        <f t="shared" si="222"/>
        <v>40.583333333333329</v>
      </c>
      <c r="I2039" s="113">
        <v>3.6</v>
      </c>
      <c r="J2039" s="113">
        <v>68.05</v>
      </c>
      <c r="K2039" s="113">
        <v>-26.2</v>
      </c>
      <c r="L2039" s="185"/>
      <c r="M2039" s="16">
        <v>2036</v>
      </c>
      <c r="N2039" s="16">
        <f t="shared" si="224"/>
        <v>2.0493143378077176E-2</v>
      </c>
      <c r="O2039" s="16">
        <v>6</v>
      </c>
      <c r="P2039" s="16">
        <f t="shared" si="220"/>
        <v>7.3113821138211375</v>
      </c>
      <c r="Q2039" s="16">
        <f t="shared" si="225"/>
        <v>48.79680884240355</v>
      </c>
      <c r="R2039" s="113">
        <f t="shared" si="221"/>
        <v>311.95699999999999</v>
      </c>
      <c r="S2039" s="16">
        <f>IF(S2038=15800,15800,ROUND((((Q2039*60)/'Gearing Calculator'!$C$14)*'Track Data'!P2039),-2))</f>
        <v>10800</v>
      </c>
      <c r="T2039" s="16">
        <f t="shared" si="223"/>
        <v>-14.71670186282954</v>
      </c>
      <c r="U2039" s="16">
        <f>IF(AC2039=100,Braking!$AG$2354,IF(AC2039=50,Braking!$AG$1179,IF(AC2039=75,Braking!$AG$1767,0)))</f>
        <v>-14.71670186282954</v>
      </c>
      <c r="V2039" s="16">
        <f>0.5*'Gearing Calculator'!$C$15*'Gearing Calculator'!$C$20*'Gearing Calculator'!$W$20*('Track Data'!Q2039^2)</f>
        <v>252.01864607090741</v>
      </c>
      <c r="W2039" s="16">
        <f>('Gearing Calculator'!$U$9*'Track Data'!T2039)+'Track Data'!V2039</f>
        <v>-3665.5673898143159</v>
      </c>
      <c r="X2039" s="16">
        <f>('Gearing Calculator'!$U$9*9.81)*('Gearing Calculator'!$U$16/'Gearing Calculator'!$C$7)-(('Track Data'!W2039)*('Gearing Calculator'!$U$17/'Gearing Calculator'!$C$7))</f>
        <v>3399.1468627299273</v>
      </c>
      <c r="Y2039" s="16">
        <f>('Gearing Calculator'!$U$9*9.81)*(('Gearing Calculator'!$C$7-'Gearing Calculator'!$U$16)/'Gearing Calculator'!$C$7)+(('Track Data'!W2039)*('Gearing Calculator'!$U$17/'Gearing Calculator'!$C$7))</f>
        <v>-787.72486272992705</v>
      </c>
      <c r="Z2039" s="16">
        <f>((X2039*COS('Gearing Calculator'!$C$21))/'Gearing Calculator'!$C$22)/2</f>
        <v>105.09087041001807</v>
      </c>
      <c r="AA2039" s="16">
        <f>Y2039/'Gearing Calculator'!$C$24</f>
        <v>-10.999281149283423</v>
      </c>
      <c r="AB2039" s="16">
        <f t="shared" si="226"/>
        <v>163.71843489393018</v>
      </c>
      <c r="AC2039" s="16">
        <v>100</v>
      </c>
      <c r="AD2039" s="16">
        <v>0</v>
      </c>
      <c r="AE2039" s="16">
        <v>2036</v>
      </c>
      <c r="AF2039" s="16">
        <f>IF(AC2039=0,IF(O2039=6,INDEX(Acceleration!$V$4:$V$110,MATCH('Track Data'!S2039,Acceleration!$K$4:$K$110,0)),IF('Track Data'!O2039=5,INDEX(Acceleration!$U$4:$U$110,MATCH('Track Data'!S2039,Acceleration!$K$4:$K$110,0)),1)),U2039)</f>
        <v>-14.71670186282954</v>
      </c>
      <c r="AG2039" s="16">
        <f>IF(AC2039=0,IF(O2039=4,INDEX(Acceleration!$T$4:$T$110,MATCH('Track Data'!S2039,Acceleration!$K$4:$K$110,0)),IF('Track Data'!O2039=3,INDEX(Acceleration!$S$4:$S$110,MATCH('Track Data'!S2039,Acceleration!$K$4:$K$110,0)),'Track Data'!AF2039)),'Track Data'!U2039)</f>
        <v>-14.71670186282954</v>
      </c>
      <c r="AH2039" s="16">
        <f>IF(AC2039=0,IF(O2039=2,INDEX(Acceleration!$R$4:$R$110,MATCH('Track Data'!S2039,Acceleration!$K$4:$K$110,0)),IF('Track Data'!O2039=1,INDEX(Acceleration!$Q$4:$Q$110,MATCH('Track Data'!S2039,Acceleration!$K$4:$K$110,0)),'Track Data'!AG2039)),'Track Data'!U2039)</f>
        <v>-14.71670186282954</v>
      </c>
    </row>
    <row r="2040" spans="2:34" x14ac:dyDescent="0.25">
      <c r="B2040" s="16">
        <v>249.25899999999999</v>
      </c>
      <c r="C2040" s="16">
        <v>9310</v>
      </c>
      <c r="D2040" s="16">
        <v>2037</v>
      </c>
      <c r="E2040" s="113">
        <v>150</v>
      </c>
      <c r="F2040" s="113">
        <v>152.4</v>
      </c>
      <c r="G2040" s="113">
        <v>145.6</v>
      </c>
      <c r="H2040" s="113">
        <f t="shared" si="222"/>
        <v>40.444444444444443</v>
      </c>
      <c r="I2040" s="113">
        <v>3.8</v>
      </c>
      <c r="J2040" s="113">
        <v>69.83</v>
      </c>
      <c r="K2040" s="113">
        <v>-32.9</v>
      </c>
      <c r="L2040" s="185"/>
      <c r="M2040" s="16">
        <v>2037</v>
      </c>
      <c r="N2040" s="16">
        <f t="shared" si="224"/>
        <v>2.0620988891757761E-2</v>
      </c>
      <c r="O2040" s="16">
        <v>6</v>
      </c>
      <c r="P2040" s="16">
        <f t="shared" si="220"/>
        <v>7.3113821138211375</v>
      </c>
      <c r="Q2040" s="16">
        <f t="shared" si="225"/>
        <v>48.494279554153749</v>
      </c>
      <c r="R2040" s="113">
        <f t="shared" si="221"/>
        <v>311.95699999999999</v>
      </c>
      <c r="S2040" s="16">
        <f>IF(S2039=15800,15800,ROUND((((Q2040*60)/'Gearing Calculator'!$C$14)*'Track Data'!P2040),-2))</f>
        <v>10700</v>
      </c>
      <c r="T2040" s="16">
        <f t="shared" si="223"/>
        <v>-14.71670186282954</v>
      </c>
      <c r="U2040" s="16">
        <f>IF(AC2040=100,Braking!$AG$2354,IF(AC2040=50,Braking!$AG$1179,IF(AC2040=75,Braking!$AG$1767,0)))</f>
        <v>-14.71670186282954</v>
      </c>
      <c r="V2040" s="16">
        <f>0.5*'Gearing Calculator'!$C$15*'Gearing Calculator'!$C$20*'Gearing Calculator'!$W$20*('Track Data'!Q2040^2)</f>
        <v>248.90341462058367</v>
      </c>
      <c r="W2040" s="16">
        <f>('Gearing Calculator'!$U$9*'Track Data'!T2040)+'Track Data'!V2040</f>
        <v>-3668.6826212646397</v>
      </c>
      <c r="X2040" s="16">
        <f>('Gearing Calculator'!$U$9*9.81)*('Gearing Calculator'!$U$16/'Gearing Calculator'!$C$7)-(('Track Data'!W2040)*('Gearing Calculator'!$U$17/'Gearing Calculator'!$C$7))</f>
        <v>3400.8448766211386</v>
      </c>
      <c r="Y2040" s="16">
        <f>('Gearing Calculator'!$U$9*9.81)*(('Gearing Calculator'!$C$7-'Gearing Calculator'!$U$16)/'Gearing Calculator'!$C$7)+(('Track Data'!W2040)*('Gearing Calculator'!$U$17/'Gearing Calculator'!$C$7))</f>
        <v>-789.42287662113881</v>
      </c>
      <c r="Z2040" s="16">
        <f>((X2040*COS('Gearing Calculator'!$C$21))/'Gearing Calculator'!$C$22)/2</f>
        <v>105.14336762917394</v>
      </c>
      <c r="AA2040" s="16">
        <f>Y2040/'Gearing Calculator'!$C$24</f>
        <v>-11.022991118421759</v>
      </c>
      <c r="AB2040" s="16">
        <f t="shared" si="226"/>
        <v>160.60320344360645</v>
      </c>
      <c r="AC2040" s="16">
        <v>100</v>
      </c>
      <c r="AD2040" s="16">
        <v>0</v>
      </c>
      <c r="AE2040" s="16">
        <v>2037</v>
      </c>
      <c r="AF2040" s="16">
        <f>IF(AC2040=0,IF(O2040=6,INDEX(Acceleration!$V$4:$V$110,MATCH('Track Data'!S2040,Acceleration!$K$4:$K$110,0)),IF('Track Data'!O2040=5,INDEX(Acceleration!$U$4:$U$110,MATCH('Track Data'!S2040,Acceleration!$K$4:$K$110,0)),1)),U2040)</f>
        <v>-14.71670186282954</v>
      </c>
      <c r="AG2040" s="16">
        <f>IF(AC2040=0,IF(O2040=4,INDEX(Acceleration!$T$4:$T$110,MATCH('Track Data'!S2040,Acceleration!$K$4:$K$110,0)),IF('Track Data'!O2040=3,INDEX(Acceleration!$S$4:$S$110,MATCH('Track Data'!S2040,Acceleration!$K$4:$K$110,0)),'Track Data'!AF2040)),'Track Data'!U2040)</f>
        <v>-14.71670186282954</v>
      </c>
      <c r="AH2040" s="16">
        <f>IF(AC2040=0,IF(O2040=2,INDEX(Acceleration!$R$4:$R$110,MATCH('Track Data'!S2040,Acceleration!$K$4:$K$110,0)),IF('Track Data'!O2040=1,INDEX(Acceleration!$Q$4:$Q$110,MATCH('Track Data'!S2040,Acceleration!$K$4:$K$110,0)),'Track Data'!AG2040)),'Track Data'!U2040)</f>
        <v>-14.71670186282954</v>
      </c>
    </row>
    <row r="2041" spans="2:34" x14ac:dyDescent="0.25">
      <c r="B2041" s="16">
        <v>249.28299999999999</v>
      </c>
      <c r="C2041" s="16">
        <v>9311</v>
      </c>
      <c r="D2041" s="16">
        <v>2038</v>
      </c>
      <c r="E2041" s="113">
        <v>150</v>
      </c>
      <c r="F2041" s="113">
        <v>151.6</v>
      </c>
      <c r="G2041" s="113">
        <v>144.9</v>
      </c>
      <c r="H2041" s="113">
        <f t="shared" si="222"/>
        <v>40.25</v>
      </c>
      <c r="I2041" s="113">
        <v>5.4</v>
      </c>
      <c r="J2041" s="113">
        <v>70.58</v>
      </c>
      <c r="K2041" s="113">
        <v>-41.7</v>
      </c>
      <c r="L2041" s="185"/>
      <c r="M2041" s="16">
        <v>2038</v>
      </c>
      <c r="N2041" s="16">
        <f t="shared" si="224"/>
        <v>2.0751257326633146E-2</v>
      </c>
      <c r="O2041" s="16">
        <v>6</v>
      </c>
      <c r="P2041" s="16">
        <f t="shared" si="220"/>
        <v>7.3113821138211375</v>
      </c>
      <c r="Q2041" s="16">
        <f t="shared" si="225"/>
        <v>48.189851065870243</v>
      </c>
      <c r="R2041" s="113">
        <f t="shared" si="221"/>
        <v>311.95699999999999</v>
      </c>
      <c r="S2041" s="16">
        <f>IF(S2040=15800,15800,ROUND((((Q2041*60)/'Gearing Calculator'!$C$14)*'Track Data'!P2041),-2))</f>
        <v>10700</v>
      </c>
      <c r="T2041" s="16">
        <f t="shared" si="223"/>
        <v>-14.71670186282954</v>
      </c>
      <c r="U2041" s="16">
        <f>IF(AC2041=100,Braking!$AG$2354,IF(AC2041=50,Braking!$AG$1179,IF(AC2041=75,Braking!$AG$1767,0)))</f>
        <v>-14.71670186282954</v>
      </c>
      <c r="V2041" s="16">
        <f>0.5*'Gearing Calculator'!$C$15*'Gearing Calculator'!$C$20*'Gearing Calculator'!$W$20*('Track Data'!Q2041^2)</f>
        <v>245.78818317025991</v>
      </c>
      <c r="W2041" s="16">
        <f>('Gearing Calculator'!$U$9*'Track Data'!T2041)+'Track Data'!V2041</f>
        <v>-3671.7978527149635</v>
      </c>
      <c r="X2041" s="16">
        <f>('Gearing Calculator'!$U$9*9.81)*('Gearing Calculator'!$U$16/'Gearing Calculator'!$C$7)-(('Track Data'!W2041)*('Gearing Calculator'!$U$17/'Gearing Calculator'!$C$7))</f>
        <v>3402.5428905123508</v>
      </c>
      <c r="Y2041" s="16">
        <f>('Gearing Calculator'!$U$9*9.81)*(('Gearing Calculator'!$C$7-'Gearing Calculator'!$U$16)/'Gearing Calculator'!$C$7)+(('Track Data'!W2041)*('Gearing Calculator'!$U$17/'Gearing Calculator'!$C$7))</f>
        <v>-791.12089051235057</v>
      </c>
      <c r="Z2041" s="16">
        <f>((X2041*COS('Gearing Calculator'!$C$21))/'Gearing Calculator'!$C$22)/2</f>
        <v>105.19586484832983</v>
      </c>
      <c r="AA2041" s="16">
        <f>Y2041/'Gearing Calculator'!$C$24</f>
        <v>-11.046701087560095</v>
      </c>
      <c r="AB2041" s="16">
        <f t="shared" si="226"/>
        <v>157.48797199328266</v>
      </c>
      <c r="AC2041" s="16">
        <v>100</v>
      </c>
      <c r="AD2041" s="16">
        <v>0</v>
      </c>
      <c r="AE2041" s="16">
        <v>2038</v>
      </c>
      <c r="AF2041" s="16">
        <f>IF(AC2041=0,IF(O2041=6,INDEX(Acceleration!$V$4:$V$110,MATCH('Track Data'!S2041,Acceleration!$K$4:$K$110,0)),IF('Track Data'!O2041=5,INDEX(Acceleration!$U$4:$U$110,MATCH('Track Data'!S2041,Acceleration!$K$4:$K$110,0)),1)),U2041)</f>
        <v>-14.71670186282954</v>
      </c>
      <c r="AG2041" s="16">
        <f>IF(AC2041=0,IF(O2041=4,INDEX(Acceleration!$T$4:$T$110,MATCH('Track Data'!S2041,Acceleration!$K$4:$K$110,0)),IF('Track Data'!O2041=3,INDEX(Acceleration!$S$4:$S$110,MATCH('Track Data'!S2041,Acceleration!$K$4:$K$110,0)),'Track Data'!AF2041)),'Track Data'!U2041)</f>
        <v>-14.71670186282954</v>
      </c>
      <c r="AH2041" s="16">
        <f>IF(AC2041=0,IF(O2041=2,INDEX(Acceleration!$R$4:$R$110,MATCH('Track Data'!S2041,Acceleration!$K$4:$K$110,0)),IF('Track Data'!O2041=1,INDEX(Acceleration!$Q$4:$Q$110,MATCH('Track Data'!S2041,Acceleration!$K$4:$K$110,0)),'Track Data'!AG2041)),'Track Data'!U2041)</f>
        <v>-14.71670186282954</v>
      </c>
    </row>
    <row r="2042" spans="2:34" x14ac:dyDescent="0.25">
      <c r="B2042" s="16">
        <v>249.30699999999999</v>
      </c>
      <c r="C2042" s="16">
        <v>9312</v>
      </c>
      <c r="D2042" s="16">
        <v>2039</v>
      </c>
      <c r="E2042" s="113">
        <v>150</v>
      </c>
      <c r="F2042" s="113">
        <v>150.9</v>
      </c>
      <c r="G2042" s="113">
        <v>144.30000000000001</v>
      </c>
      <c r="H2042" s="113">
        <f t="shared" si="222"/>
        <v>40.083333333333336</v>
      </c>
      <c r="I2042" s="113">
        <v>6</v>
      </c>
      <c r="J2042" s="113">
        <v>71.69</v>
      </c>
      <c r="K2042" s="113">
        <v>-41.1</v>
      </c>
      <c r="L2042" s="185"/>
      <c r="M2042" s="16">
        <v>2039</v>
      </c>
      <c r="N2042" s="16">
        <f t="shared" si="224"/>
        <v>2.0884026194339957E-2</v>
      </c>
      <c r="O2042" s="16">
        <v>6</v>
      </c>
      <c r="P2042" s="16">
        <f t="shared" si="220"/>
        <v>7.3113821138211375</v>
      </c>
      <c r="Q2042" s="16">
        <f t="shared" si="225"/>
        <v>47.883487153977164</v>
      </c>
      <c r="R2042" s="113">
        <f t="shared" si="221"/>
        <v>311.95699999999999</v>
      </c>
      <c r="S2042" s="16">
        <f>IF(S2041=15800,15800,ROUND((((Q2042*60)/'Gearing Calculator'!$C$14)*'Track Data'!P2042),-2))</f>
        <v>10600</v>
      </c>
      <c r="T2042" s="16">
        <f t="shared" si="223"/>
        <v>-14.71670186282954</v>
      </c>
      <c r="U2042" s="16">
        <f>IF(AC2042=100,Braking!$AG$2354,IF(AC2042=50,Braking!$AG$1179,IF(AC2042=75,Braking!$AG$1767,0)))</f>
        <v>-14.71670186282954</v>
      </c>
      <c r="V2042" s="16">
        <f>0.5*'Gearing Calculator'!$C$15*'Gearing Calculator'!$C$20*'Gearing Calculator'!$W$20*('Track Data'!Q2042^2)</f>
        <v>242.67295171993612</v>
      </c>
      <c r="W2042" s="16">
        <f>('Gearing Calculator'!$U$9*'Track Data'!T2042)+'Track Data'!V2042</f>
        <v>-3674.9130841652873</v>
      </c>
      <c r="X2042" s="16">
        <f>('Gearing Calculator'!$U$9*9.81)*('Gearing Calculator'!$U$16/'Gearing Calculator'!$C$7)-(('Track Data'!W2042)*('Gearing Calculator'!$U$17/'Gearing Calculator'!$C$7))</f>
        <v>3404.2409044035626</v>
      </c>
      <c r="Y2042" s="16">
        <f>('Gearing Calculator'!$U$9*9.81)*(('Gearing Calculator'!$C$7-'Gearing Calculator'!$U$16)/'Gearing Calculator'!$C$7)+(('Track Data'!W2042)*('Gearing Calculator'!$U$17/'Gearing Calculator'!$C$7))</f>
        <v>-792.81890440356256</v>
      </c>
      <c r="Z2042" s="16">
        <f>((X2042*COS('Gearing Calculator'!$C$21))/'Gearing Calculator'!$C$22)/2</f>
        <v>105.2483620674857</v>
      </c>
      <c r="AA2042" s="16">
        <f>Y2042/'Gearing Calculator'!$C$24</f>
        <v>-11.070411056698434</v>
      </c>
      <c r="AB2042" s="16">
        <f t="shared" si="226"/>
        <v>154.37274054295887</v>
      </c>
      <c r="AC2042" s="16">
        <v>100</v>
      </c>
      <c r="AD2042" s="16">
        <v>0</v>
      </c>
      <c r="AE2042" s="16">
        <v>2039</v>
      </c>
      <c r="AF2042" s="16">
        <f>IF(AC2042=0,IF(O2042=6,INDEX(Acceleration!$V$4:$V$110,MATCH('Track Data'!S2042,Acceleration!$K$4:$K$110,0)),IF('Track Data'!O2042=5,INDEX(Acceleration!$U$4:$U$110,MATCH('Track Data'!S2042,Acceleration!$K$4:$K$110,0)),1)),U2042)</f>
        <v>-14.71670186282954</v>
      </c>
      <c r="AG2042" s="16">
        <f>IF(AC2042=0,IF(O2042=4,INDEX(Acceleration!$T$4:$T$110,MATCH('Track Data'!S2042,Acceleration!$K$4:$K$110,0)),IF('Track Data'!O2042=3,INDEX(Acceleration!$S$4:$S$110,MATCH('Track Data'!S2042,Acceleration!$K$4:$K$110,0)),'Track Data'!AF2042)),'Track Data'!U2042)</f>
        <v>-14.71670186282954</v>
      </c>
      <c r="AH2042" s="16">
        <f>IF(AC2042=0,IF(O2042=2,INDEX(Acceleration!$R$4:$R$110,MATCH('Track Data'!S2042,Acceleration!$K$4:$K$110,0)),IF('Track Data'!O2042=1,INDEX(Acceleration!$Q$4:$Q$110,MATCH('Track Data'!S2042,Acceleration!$K$4:$K$110,0)),'Track Data'!AG2042)),'Track Data'!U2042)</f>
        <v>-14.71670186282954</v>
      </c>
    </row>
    <row r="2043" spans="2:34" x14ac:dyDescent="0.25">
      <c r="B2043" s="16">
        <v>249.33099999999999</v>
      </c>
      <c r="C2043" s="16">
        <v>9313</v>
      </c>
      <c r="D2043" s="16">
        <v>2040</v>
      </c>
      <c r="E2043" s="113">
        <v>150</v>
      </c>
      <c r="F2043" s="113">
        <v>150.19999999999999</v>
      </c>
      <c r="G2043" s="113">
        <v>143.6</v>
      </c>
      <c r="H2043" s="113">
        <f t="shared" si="222"/>
        <v>39.888888888888886</v>
      </c>
      <c r="I2043" s="113">
        <v>6.4</v>
      </c>
      <c r="J2043" s="113">
        <v>71.67</v>
      </c>
      <c r="K2043" s="113">
        <v>-40.1</v>
      </c>
      <c r="L2043" s="185"/>
      <c r="M2043" s="16">
        <v>2040</v>
      </c>
      <c r="N2043" s="16">
        <f t="shared" si="224"/>
        <v>2.1019376523081595E-2</v>
      </c>
      <c r="O2043" s="16">
        <v>6</v>
      </c>
      <c r="P2043" s="16">
        <f t="shared" si="220"/>
        <v>7.3113821138211375</v>
      </c>
      <c r="Q2043" s="16">
        <f t="shared" si="225"/>
        <v>47.575150428552895</v>
      </c>
      <c r="R2043" s="113">
        <f t="shared" si="221"/>
        <v>311.95699999999999</v>
      </c>
      <c r="S2043" s="16">
        <f>IF(S2042=15800,15800,ROUND((((Q2043*60)/'Gearing Calculator'!$C$14)*'Track Data'!P2043),-2))</f>
        <v>10500</v>
      </c>
      <c r="T2043" s="16">
        <f t="shared" si="223"/>
        <v>-14.71670186282954</v>
      </c>
      <c r="U2043" s="16">
        <f>IF(AC2043=100,Braking!$AG$2354,IF(AC2043=50,Braking!$AG$1179,IF(AC2043=75,Braking!$AG$1767,0)))</f>
        <v>-14.71670186282954</v>
      </c>
      <c r="V2043" s="16">
        <f>0.5*'Gearing Calculator'!$C$15*'Gearing Calculator'!$C$20*'Gearing Calculator'!$W$20*('Track Data'!Q2043^2)</f>
        <v>239.55772026961239</v>
      </c>
      <c r="W2043" s="16">
        <f>('Gearing Calculator'!$U$9*'Track Data'!T2043)+'Track Data'!V2043</f>
        <v>-3678.0283156156111</v>
      </c>
      <c r="X2043" s="16">
        <f>('Gearing Calculator'!$U$9*9.81)*('Gearing Calculator'!$U$16/'Gearing Calculator'!$C$7)-(('Track Data'!W2043)*('Gearing Calculator'!$U$17/'Gearing Calculator'!$C$7))</f>
        <v>3405.9389182947743</v>
      </c>
      <c r="Y2043" s="16">
        <f>('Gearing Calculator'!$U$9*9.81)*(('Gearing Calculator'!$C$7-'Gearing Calculator'!$U$16)/'Gearing Calculator'!$C$7)+(('Track Data'!W2043)*('Gearing Calculator'!$U$17/'Gearing Calculator'!$C$7))</f>
        <v>-794.51691829477431</v>
      </c>
      <c r="Z2043" s="16">
        <f>((X2043*COS('Gearing Calculator'!$C$21))/'Gearing Calculator'!$C$22)/2</f>
        <v>105.30085928664158</v>
      </c>
      <c r="AA2043" s="16">
        <f>Y2043/'Gearing Calculator'!$C$24</f>
        <v>-11.094121025836772</v>
      </c>
      <c r="AB2043" s="16">
        <f t="shared" si="226"/>
        <v>151.25750909263513</v>
      </c>
      <c r="AC2043" s="16">
        <v>100</v>
      </c>
      <c r="AD2043" s="16">
        <v>0</v>
      </c>
      <c r="AE2043" s="16">
        <v>2040</v>
      </c>
      <c r="AF2043" s="16">
        <f>IF(AC2043=0,IF(O2043=6,INDEX(Acceleration!$V$4:$V$110,MATCH('Track Data'!S2043,Acceleration!$K$4:$K$110,0)),IF('Track Data'!O2043=5,INDEX(Acceleration!$U$4:$U$110,MATCH('Track Data'!S2043,Acceleration!$K$4:$K$110,0)),1)),U2043)</f>
        <v>-14.71670186282954</v>
      </c>
      <c r="AG2043" s="16">
        <f>IF(AC2043=0,IF(O2043=4,INDEX(Acceleration!$T$4:$T$110,MATCH('Track Data'!S2043,Acceleration!$K$4:$K$110,0)),IF('Track Data'!O2043=3,INDEX(Acceleration!$S$4:$S$110,MATCH('Track Data'!S2043,Acceleration!$K$4:$K$110,0)),'Track Data'!AF2043)),'Track Data'!U2043)</f>
        <v>-14.71670186282954</v>
      </c>
      <c r="AH2043" s="16">
        <f>IF(AC2043=0,IF(O2043=2,INDEX(Acceleration!$R$4:$R$110,MATCH('Track Data'!S2043,Acceleration!$K$4:$K$110,0)),IF('Track Data'!O2043=1,INDEX(Acceleration!$Q$4:$Q$110,MATCH('Track Data'!S2043,Acceleration!$K$4:$K$110,0)),'Track Data'!AG2043)),'Track Data'!U2043)</f>
        <v>-14.71670186282954</v>
      </c>
    </row>
    <row r="2044" spans="2:34" x14ac:dyDescent="0.25">
      <c r="B2044" s="16">
        <v>249.35400000000001</v>
      </c>
      <c r="C2044" s="16">
        <v>9314</v>
      </c>
      <c r="D2044" s="16">
        <v>2041</v>
      </c>
      <c r="E2044" s="113">
        <v>149</v>
      </c>
      <c r="F2044" s="113">
        <v>150.1</v>
      </c>
      <c r="G2044" s="113">
        <v>143.1</v>
      </c>
      <c r="H2044" s="113">
        <f t="shared" si="222"/>
        <v>39.75</v>
      </c>
      <c r="I2044" s="113">
        <v>6.4</v>
      </c>
      <c r="J2044" s="113">
        <v>70.599999999999994</v>
      </c>
      <c r="K2044" s="113">
        <v>-39.5</v>
      </c>
      <c r="L2044" s="185"/>
      <c r="M2044" s="16">
        <v>2041</v>
      </c>
      <c r="N2044" s="16">
        <f t="shared" si="224"/>
        <v>2.1157393065446953E-2</v>
      </c>
      <c r="O2044" s="16">
        <v>6</v>
      </c>
      <c r="P2044" s="16">
        <f t="shared" si="220"/>
        <v>7.3113821138211375</v>
      </c>
      <c r="Q2044" s="16">
        <f t="shared" si="225"/>
        <v>47.264802280066483</v>
      </c>
      <c r="R2044" s="113">
        <f t="shared" si="221"/>
        <v>311.95699999999999</v>
      </c>
      <c r="S2044" s="16">
        <f>IF(S2043=15800,15800,ROUND((((Q2044*60)/'Gearing Calculator'!$C$14)*'Track Data'!P2044),-2))</f>
        <v>10500</v>
      </c>
      <c r="T2044" s="16">
        <f t="shared" si="223"/>
        <v>-14.71670186282954</v>
      </c>
      <c r="U2044" s="16">
        <f>IF(AC2044=100,Braking!$AG$2354,IF(AC2044=50,Braking!$AG$1179,IF(AC2044=75,Braking!$AG$1767,0)))</f>
        <v>-14.71670186282954</v>
      </c>
      <c r="V2044" s="16">
        <f>0.5*'Gearing Calculator'!$C$15*'Gearing Calculator'!$C$20*'Gearing Calculator'!$W$20*('Track Data'!Q2044^2)</f>
        <v>236.44248881928863</v>
      </c>
      <c r="W2044" s="16">
        <f>('Gearing Calculator'!$U$9*'Track Data'!T2044)+'Track Data'!V2044</f>
        <v>-3681.1435470659349</v>
      </c>
      <c r="X2044" s="16">
        <f>('Gearing Calculator'!$U$9*9.81)*('Gearing Calculator'!$U$16/'Gearing Calculator'!$C$7)-(('Track Data'!W2044)*('Gearing Calculator'!$U$17/'Gearing Calculator'!$C$7))</f>
        <v>3407.6369321859861</v>
      </c>
      <c r="Y2044" s="16">
        <f>('Gearing Calculator'!$U$9*9.81)*(('Gearing Calculator'!$C$7-'Gearing Calculator'!$U$16)/'Gearing Calculator'!$C$7)+(('Track Data'!W2044)*('Gearing Calculator'!$U$17/'Gearing Calculator'!$C$7))</f>
        <v>-796.21493218598607</v>
      </c>
      <c r="Z2044" s="16">
        <f>((X2044*COS('Gearing Calculator'!$C$21))/'Gearing Calculator'!$C$22)/2</f>
        <v>105.35335650579746</v>
      </c>
      <c r="AA2044" s="16">
        <f>Y2044/'Gearing Calculator'!$C$24</f>
        <v>-11.117830994975108</v>
      </c>
      <c r="AB2044" s="16">
        <f t="shared" si="226"/>
        <v>148.1422776423114</v>
      </c>
      <c r="AC2044" s="16">
        <v>100</v>
      </c>
      <c r="AD2044" s="16">
        <v>0</v>
      </c>
      <c r="AE2044" s="16">
        <v>2041</v>
      </c>
      <c r="AF2044" s="16">
        <f>IF(AC2044=0,IF(O2044=6,INDEX(Acceleration!$V$4:$V$110,MATCH('Track Data'!S2044,Acceleration!$K$4:$K$110,0)),IF('Track Data'!O2044=5,INDEX(Acceleration!$U$4:$U$110,MATCH('Track Data'!S2044,Acceleration!$K$4:$K$110,0)),1)),U2044)</f>
        <v>-14.71670186282954</v>
      </c>
      <c r="AG2044" s="16">
        <f>IF(AC2044=0,IF(O2044=4,INDEX(Acceleration!$T$4:$T$110,MATCH('Track Data'!S2044,Acceleration!$K$4:$K$110,0)),IF('Track Data'!O2044=3,INDEX(Acceleration!$S$4:$S$110,MATCH('Track Data'!S2044,Acceleration!$K$4:$K$110,0)),'Track Data'!AF2044)),'Track Data'!U2044)</f>
        <v>-14.71670186282954</v>
      </c>
      <c r="AH2044" s="16">
        <f>IF(AC2044=0,IF(O2044=2,INDEX(Acceleration!$R$4:$R$110,MATCH('Track Data'!S2044,Acceleration!$K$4:$K$110,0)),IF('Track Data'!O2044=1,INDEX(Acceleration!$Q$4:$Q$110,MATCH('Track Data'!S2044,Acceleration!$K$4:$K$110,0)),'Track Data'!AG2044)),'Track Data'!U2044)</f>
        <v>-14.71670186282954</v>
      </c>
    </row>
    <row r="2045" spans="2:34" x14ac:dyDescent="0.25">
      <c r="B2045" s="16">
        <v>249.37799999999999</v>
      </c>
      <c r="C2045" s="16">
        <v>9315</v>
      </c>
      <c r="D2045" s="16">
        <v>2042</v>
      </c>
      <c r="E2045" s="113">
        <v>149</v>
      </c>
      <c r="F2045" s="113">
        <v>150.1</v>
      </c>
      <c r="G2045" s="113">
        <v>142.69999999999999</v>
      </c>
      <c r="H2045" s="113">
        <f t="shared" si="222"/>
        <v>39.638888888888886</v>
      </c>
      <c r="I2045" s="113">
        <v>5.7</v>
      </c>
      <c r="J2045" s="113">
        <v>68.42</v>
      </c>
      <c r="K2045" s="113">
        <v>-39.299999999999997</v>
      </c>
      <c r="L2045" s="185"/>
      <c r="M2045" s="16">
        <v>2042</v>
      </c>
      <c r="N2045" s="16">
        <f t="shared" si="224"/>
        <v>2.129816452143974E-2</v>
      </c>
      <c r="O2045" s="16">
        <v>6</v>
      </c>
      <c r="P2045" s="16">
        <f t="shared" si="220"/>
        <v>7.3113821138211375</v>
      </c>
      <c r="Q2045" s="16">
        <f t="shared" si="225"/>
        <v>46.952402822945267</v>
      </c>
      <c r="R2045" s="113">
        <f t="shared" si="221"/>
        <v>311.95699999999999</v>
      </c>
      <c r="S2045" s="16">
        <f>IF(S2044=15800,15800,ROUND((((Q2045*60)/'Gearing Calculator'!$C$14)*'Track Data'!P2045),-2))</f>
        <v>10400</v>
      </c>
      <c r="T2045" s="16">
        <f t="shared" si="223"/>
        <v>-14.71670186282954</v>
      </c>
      <c r="U2045" s="16">
        <f>IF(AC2045=100,Braking!$AG$2354,IF(AC2045=50,Braking!$AG$1179,IF(AC2045=75,Braking!$AG$1767,0)))</f>
        <v>-14.71670186282954</v>
      </c>
      <c r="V2045" s="16">
        <f>0.5*'Gearing Calculator'!$C$15*'Gearing Calculator'!$C$20*'Gearing Calculator'!$W$20*('Track Data'!Q2045^2)</f>
        <v>233.32725736896484</v>
      </c>
      <c r="W2045" s="16">
        <f>('Gearing Calculator'!$U$9*'Track Data'!T2045)+'Track Data'!V2045</f>
        <v>-3684.2587785162586</v>
      </c>
      <c r="X2045" s="16">
        <f>('Gearing Calculator'!$U$9*9.81)*('Gearing Calculator'!$U$16/'Gearing Calculator'!$C$7)-(('Track Data'!W2045)*('Gearing Calculator'!$U$17/'Gearing Calculator'!$C$7))</f>
        <v>3409.3349460771979</v>
      </c>
      <c r="Y2045" s="16">
        <f>('Gearing Calculator'!$U$9*9.81)*(('Gearing Calculator'!$C$7-'Gearing Calculator'!$U$16)/'Gearing Calculator'!$C$7)+(('Track Data'!W2045)*('Gearing Calculator'!$U$17/'Gearing Calculator'!$C$7))</f>
        <v>-797.91294607719783</v>
      </c>
      <c r="Z2045" s="16">
        <f>((X2045*COS('Gearing Calculator'!$C$21))/'Gearing Calculator'!$C$22)/2</f>
        <v>105.40585372495333</v>
      </c>
      <c r="AA2045" s="16">
        <f>Y2045/'Gearing Calculator'!$C$24</f>
        <v>-11.141540964113444</v>
      </c>
      <c r="AB2045" s="16">
        <f t="shared" si="226"/>
        <v>145.02704619198761</v>
      </c>
      <c r="AC2045" s="16">
        <v>100</v>
      </c>
      <c r="AD2045" s="16">
        <v>0</v>
      </c>
      <c r="AE2045" s="16">
        <v>2042</v>
      </c>
      <c r="AF2045" s="16">
        <f>IF(AC2045=0,IF(O2045=6,INDEX(Acceleration!$V$4:$V$110,MATCH('Track Data'!S2045,Acceleration!$K$4:$K$110,0)),IF('Track Data'!O2045=5,INDEX(Acceleration!$U$4:$U$110,MATCH('Track Data'!S2045,Acceleration!$K$4:$K$110,0)),1)),U2045)</f>
        <v>-14.71670186282954</v>
      </c>
      <c r="AG2045" s="16">
        <f>IF(AC2045=0,IF(O2045=4,INDEX(Acceleration!$T$4:$T$110,MATCH('Track Data'!S2045,Acceleration!$K$4:$K$110,0)),IF('Track Data'!O2045=3,INDEX(Acceleration!$S$4:$S$110,MATCH('Track Data'!S2045,Acceleration!$K$4:$K$110,0)),'Track Data'!AF2045)),'Track Data'!U2045)</f>
        <v>-14.71670186282954</v>
      </c>
      <c r="AH2045" s="16">
        <f>IF(AC2045=0,IF(O2045=2,INDEX(Acceleration!$R$4:$R$110,MATCH('Track Data'!S2045,Acceleration!$K$4:$K$110,0)),IF('Track Data'!O2045=1,INDEX(Acceleration!$Q$4:$Q$110,MATCH('Track Data'!S2045,Acceleration!$K$4:$K$110,0)),'Track Data'!AG2045)),'Track Data'!U2045)</f>
        <v>-14.71670186282954</v>
      </c>
    </row>
    <row r="2046" spans="2:34" x14ac:dyDescent="0.25">
      <c r="B2046" s="16">
        <v>249.40199999999999</v>
      </c>
      <c r="C2046" s="16">
        <v>9316</v>
      </c>
      <c r="D2046" s="16">
        <v>2043</v>
      </c>
      <c r="E2046" s="113">
        <v>148</v>
      </c>
      <c r="F2046" s="113">
        <v>150.1</v>
      </c>
      <c r="G2046" s="113">
        <v>142.1</v>
      </c>
      <c r="H2046" s="113">
        <f t="shared" si="222"/>
        <v>39.472222222222221</v>
      </c>
      <c r="I2046" s="113">
        <v>3.9</v>
      </c>
      <c r="J2046" s="113">
        <v>66.81</v>
      </c>
      <c r="K2046" s="113">
        <v>-39.299999999999997</v>
      </c>
      <c r="L2046" s="185"/>
      <c r="M2046" s="16">
        <v>2043</v>
      </c>
      <c r="N2046" s="16">
        <f t="shared" si="224"/>
        <v>2.1441783778051757E-2</v>
      </c>
      <c r="O2046" s="16">
        <v>6</v>
      </c>
      <c r="P2046" s="16">
        <f t="shared" si="220"/>
        <v>7.3113821138211375</v>
      </c>
      <c r="Q2046" s="16">
        <f t="shared" si="225"/>
        <v>46.637910835740271</v>
      </c>
      <c r="R2046" s="113">
        <f t="shared" si="221"/>
        <v>311.95699999999999</v>
      </c>
      <c r="S2046" s="16">
        <f>IF(S2045=15800,15800,ROUND((((Q2046*60)/'Gearing Calculator'!$C$14)*'Track Data'!P2046),-2))</f>
        <v>10300</v>
      </c>
      <c r="T2046" s="16">
        <f t="shared" si="223"/>
        <v>-14.71670186282954</v>
      </c>
      <c r="U2046" s="16">
        <f>IF(AC2046=100,Braking!$AG$2354,IF(AC2046=50,Braking!$AG$1179,IF(AC2046=75,Braking!$AG$1767,0)))</f>
        <v>-14.71670186282954</v>
      </c>
      <c r="V2046" s="16">
        <f>0.5*'Gearing Calculator'!$C$15*'Gearing Calculator'!$C$20*'Gearing Calculator'!$W$20*('Track Data'!Q2046^2)</f>
        <v>230.21202591864113</v>
      </c>
      <c r="W2046" s="16">
        <f>('Gearing Calculator'!$U$9*'Track Data'!T2046)+'Track Data'!V2046</f>
        <v>-3687.374009966582</v>
      </c>
      <c r="X2046" s="16">
        <f>('Gearing Calculator'!$U$9*9.81)*('Gearing Calculator'!$U$16/'Gearing Calculator'!$C$7)-(('Track Data'!W2046)*('Gearing Calculator'!$U$17/'Gearing Calculator'!$C$7))</f>
        <v>3411.0329599684092</v>
      </c>
      <c r="Y2046" s="16">
        <f>('Gearing Calculator'!$U$9*9.81)*(('Gearing Calculator'!$C$7-'Gearing Calculator'!$U$16)/'Gearing Calculator'!$C$7)+(('Track Data'!W2046)*('Gearing Calculator'!$U$17/'Gearing Calculator'!$C$7))</f>
        <v>-799.61095996840936</v>
      </c>
      <c r="Z2046" s="16">
        <f>((X2046*COS('Gearing Calculator'!$C$21))/'Gearing Calculator'!$C$22)/2</f>
        <v>105.45835094410921</v>
      </c>
      <c r="AA2046" s="16">
        <f>Y2046/'Gearing Calculator'!$C$24</f>
        <v>-11.165250933251777</v>
      </c>
      <c r="AB2046" s="16">
        <f t="shared" si="226"/>
        <v>141.91181474166387</v>
      </c>
      <c r="AC2046" s="16">
        <v>100</v>
      </c>
      <c r="AD2046" s="16">
        <v>0</v>
      </c>
      <c r="AE2046" s="16">
        <v>2043</v>
      </c>
      <c r="AF2046" s="16">
        <f>IF(AC2046=0,IF(O2046=6,INDEX(Acceleration!$V$4:$V$110,MATCH('Track Data'!S2046,Acceleration!$K$4:$K$110,0)),IF('Track Data'!O2046=5,INDEX(Acceleration!$U$4:$U$110,MATCH('Track Data'!S2046,Acceleration!$K$4:$K$110,0)),1)),U2046)</f>
        <v>-14.71670186282954</v>
      </c>
      <c r="AG2046" s="16">
        <f>IF(AC2046=0,IF(O2046=4,INDEX(Acceleration!$T$4:$T$110,MATCH('Track Data'!S2046,Acceleration!$K$4:$K$110,0)),IF('Track Data'!O2046=3,INDEX(Acceleration!$S$4:$S$110,MATCH('Track Data'!S2046,Acceleration!$K$4:$K$110,0)),'Track Data'!AF2046)),'Track Data'!U2046)</f>
        <v>-14.71670186282954</v>
      </c>
      <c r="AH2046" s="16">
        <f>IF(AC2046=0,IF(O2046=2,INDEX(Acceleration!$R$4:$R$110,MATCH('Track Data'!S2046,Acceleration!$K$4:$K$110,0)),IF('Track Data'!O2046=1,INDEX(Acceleration!$Q$4:$Q$110,MATCH('Track Data'!S2046,Acceleration!$K$4:$K$110,0)),'Track Data'!AG2046)),'Track Data'!U2046)</f>
        <v>-14.71670186282954</v>
      </c>
    </row>
    <row r="2047" spans="2:34" x14ac:dyDescent="0.25">
      <c r="B2047" s="16">
        <v>249.42599999999999</v>
      </c>
      <c r="C2047" s="16">
        <v>9317</v>
      </c>
      <c r="D2047" s="16">
        <v>2044</v>
      </c>
      <c r="E2047" s="113">
        <v>147</v>
      </c>
      <c r="F2047" s="113">
        <v>149.9</v>
      </c>
      <c r="G2047" s="113">
        <v>141.69999999999999</v>
      </c>
      <c r="H2047" s="113">
        <f t="shared" si="222"/>
        <v>39.361111111111107</v>
      </c>
      <c r="I2047" s="113">
        <v>3.5</v>
      </c>
      <c r="J2047" s="113">
        <v>65.05</v>
      </c>
      <c r="K2047" s="113">
        <v>-39.299999999999997</v>
      </c>
      <c r="L2047" s="185"/>
      <c r="M2047" s="16">
        <v>2044</v>
      </c>
      <c r="N2047" s="16">
        <f t="shared" si="224"/>
        <v>2.1588348166850416E-2</v>
      </c>
      <c r="O2047" s="16">
        <v>6</v>
      </c>
      <c r="P2047" s="16">
        <f t="shared" si="220"/>
        <v>7.3113821138211375</v>
      </c>
      <c r="Q2047" s="16">
        <f t="shared" si="225"/>
        <v>46.32128369763516</v>
      </c>
      <c r="R2047" s="113">
        <f t="shared" si="221"/>
        <v>311.95699999999999</v>
      </c>
      <c r="S2047" s="16">
        <f>IF(S2046=15800,15800,ROUND((((Q2047*60)/'Gearing Calculator'!$C$14)*'Track Data'!P2047),-2))</f>
        <v>10300</v>
      </c>
      <c r="T2047" s="16">
        <f t="shared" si="223"/>
        <v>-14.71670186282954</v>
      </c>
      <c r="U2047" s="16">
        <f>IF(AC2047=100,Braking!$AG$2354,IF(AC2047=50,Braking!$AG$1179,IF(AC2047=75,Braking!$AG$1767,0)))</f>
        <v>-14.71670186282954</v>
      </c>
      <c r="V2047" s="16">
        <f>0.5*'Gearing Calculator'!$C$15*'Gearing Calculator'!$C$20*'Gearing Calculator'!$W$20*('Track Data'!Q2047^2)</f>
        <v>227.0967944683174</v>
      </c>
      <c r="W2047" s="16">
        <f>('Gearing Calculator'!$U$9*'Track Data'!T2047)+'Track Data'!V2047</f>
        <v>-3690.4892414169058</v>
      </c>
      <c r="X2047" s="16">
        <f>('Gearing Calculator'!$U$9*9.81)*('Gearing Calculator'!$U$16/'Gearing Calculator'!$C$7)-(('Track Data'!W2047)*('Gearing Calculator'!$U$17/'Gearing Calculator'!$C$7))</f>
        <v>3412.7309738596214</v>
      </c>
      <c r="Y2047" s="16">
        <f>('Gearing Calculator'!$U$9*9.81)*(('Gearing Calculator'!$C$7-'Gearing Calculator'!$U$16)/'Gearing Calculator'!$C$7)+(('Track Data'!W2047)*('Gearing Calculator'!$U$17/'Gearing Calculator'!$C$7))</f>
        <v>-801.30897385962135</v>
      </c>
      <c r="Z2047" s="16">
        <f>((X2047*COS('Gearing Calculator'!$C$21))/'Gearing Calculator'!$C$22)/2</f>
        <v>105.51084816326509</v>
      </c>
      <c r="AA2047" s="16">
        <f>Y2047/'Gearing Calculator'!$C$24</f>
        <v>-11.188960902390118</v>
      </c>
      <c r="AB2047" s="16">
        <f t="shared" si="226"/>
        <v>138.79658329134014</v>
      </c>
      <c r="AC2047" s="16">
        <v>100</v>
      </c>
      <c r="AD2047" s="16">
        <v>0</v>
      </c>
      <c r="AE2047" s="16">
        <v>2044</v>
      </c>
      <c r="AF2047" s="16">
        <f>IF(AC2047=0,IF(O2047=6,INDEX(Acceleration!$V$4:$V$110,MATCH('Track Data'!S2047,Acceleration!$K$4:$K$110,0)),IF('Track Data'!O2047=5,INDEX(Acceleration!$U$4:$U$110,MATCH('Track Data'!S2047,Acceleration!$K$4:$K$110,0)),1)),U2047)</f>
        <v>-14.71670186282954</v>
      </c>
      <c r="AG2047" s="16">
        <f>IF(AC2047=0,IF(O2047=4,INDEX(Acceleration!$T$4:$T$110,MATCH('Track Data'!S2047,Acceleration!$K$4:$K$110,0)),IF('Track Data'!O2047=3,INDEX(Acceleration!$S$4:$S$110,MATCH('Track Data'!S2047,Acceleration!$K$4:$K$110,0)),'Track Data'!AF2047)),'Track Data'!U2047)</f>
        <v>-14.71670186282954</v>
      </c>
      <c r="AH2047" s="16">
        <f>IF(AC2047=0,IF(O2047=2,INDEX(Acceleration!$R$4:$R$110,MATCH('Track Data'!S2047,Acceleration!$K$4:$K$110,0)),IF('Track Data'!O2047=1,INDEX(Acceleration!$Q$4:$Q$110,MATCH('Track Data'!S2047,Acceleration!$K$4:$K$110,0)),'Track Data'!AG2047)),'Track Data'!U2047)</f>
        <v>-14.71670186282954</v>
      </c>
    </row>
    <row r="2048" spans="2:34" x14ac:dyDescent="0.25">
      <c r="B2048" s="16">
        <v>249.45</v>
      </c>
      <c r="C2048" s="16">
        <v>9318</v>
      </c>
      <c r="D2048" s="16">
        <v>2045</v>
      </c>
      <c r="E2048" s="113">
        <v>147</v>
      </c>
      <c r="F2048" s="113">
        <v>149.30000000000001</v>
      </c>
      <c r="G2048" s="113">
        <v>141.1</v>
      </c>
      <c r="H2048" s="113">
        <f t="shared" si="222"/>
        <v>39.194444444444443</v>
      </c>
      <c r="I2048" s="113">
        <v>3.4</v>
      </c>
      <c r="J2048" s="113">
        <v>65.53</v>
      </c>
      <c r="K2048" s="113">
        <v>-38.700000000000003</v>
      </c>
      <c r="L2048" s="185"/>
      <c r="M2048" s="16">
        <v>2045</v>
      </c>
      <c r="N2048" s="16">
        <f t="shared" si="224"/>
        <v>2.1737959741203437E-2</v>
      </c>
      <c r="O2048" s="16">
        <v>6</v>
      </c>
      <c r="P2048" s="16">
        <f t="shared" si="220"/>
        <v>7.3113821138211375</v>
      </c>
      <c r="Q2048" s="16">
        <f t="shared" si="225"/>
        <v>46.002477321021985</v>
      </c>
      <c r="R2048" s="113">
        <f t="shared" si="221"/>
        <v>311.95699999999999</v>
      </c>
      <c r="S2048" s="16">
        <f>IF(S2047=15800,15800,ROUND((((Q2048*60)/'Gearing Calculator'!$C$14)*'Track Data'!P2048),-2))</f>
        <v>10200</v>
      </c>
      <c r="T2048" s="16">
        <f t="shared" si="223"/>
        <v>-14.71670186282954</v>
      </c>
      <c r="U2048" s="16">
        <f>IF(AC2048=100,Braking!$AG$2354,IF(AC2048=50,Braking!$AG$1179,IF(AC2048=75,Braking!$AG$1767,0)))</f>
        <v>-14.71670186282954</v>
      </c>
      <c r="V2048" s="16">
        <f>0.5*'Gearing Calculator'!$C$15*'Gearing Calculator'!$C$20*'Gearing Calculator'!$W$20*('Track Data'!Q2048^2)</f>
        <v>223.98156301799364</v>
      </c>
      <c r="W2048" s="16">
        <f>('Gearing Calculator'!$U$9*'Track Data'!T2048)+'Track Data'!V2048</f>
        <v>-3693.6044728672296</v>
      </c>
      <c r="X2048" s="16">
        <f>('Gearing Calculator'!$U$9*9.81)*('Gearing Calculator'!$U$16/'Gearing Calculator'!$C$7)-(('Track Data'!W2048)*('Gearing Calculator'!$U$17/'Gearing Calculator'!$C$7))</f>
        <v>3414.4289877508331</v>
      </c>
      <c r="Y2048" s="16">
        <f>('Gearing Calculator'!$U$9*9.81)*(('Gearing Calculator'!$C$7-'Gearing Calculator'!$U$16)/'Gearing Calculator'!$C$7)+(('Track Data'!W2048)*('Gearing Calculator'!$U$17/'Gearing Calculator'!$C$7))</f>
        <v>-803.0069877508331</v>
      </c>
      <c r="Z2048" s="16">
        <f>((X2048*COS('Gearing Calculator'!$C$21))/'Gearing Calculator'!$C$22)/2</f>
        <v>105.56334538242096</v>
      </c>
      <c r="AA2048" s="16">
        <f>Y2048/'Gearing Calculator'!$C$24</f>
        <v>-11.212670871528454</v>
      </c>
      <c r="AB2048" s="16">
        <f t="shared" si="226"/>
        <v>135.68135184101641</v>
      </c>
      <c r="AC2048" s="16">
        <v>100</v>
      </c>
      <c r="AD2048" s="16">
        <v>0</v>
      </c>
      <c r="AE2048" s="16">
        <v>2045</v>
      </c>
      <c r="AF2048" s="16">
        <f>IF(AC2048=0,IF(O2048=6,INDEX(Acceleration!$V$4:$V$110,MATCH('Track Data'!S2048,Acceleration!$K$4:$K$110,0)),IF('Track Data'!O2048=5,INDEX(Acceleration!$U$4:$U$110,MATCH('Track Data'!S2048,Acceleration!$K$4:$K$110,0)),1)),U2048)</f>
        <v>-14.71670186282954</v>
      </c>
      <c r="AG2048" s="16">
        <f>IF(AC2048=0,IF(O2048=4,INDEX(Acceleration!$T$4:$T$110,MATCH('Track Data'!S2048,Acceleration!$K$4:$K$110,0)),IF('Track Data'!O2048=3,INDEX(Acceleration!$S$4:$S$110,MATCH('Track Data'!S2048,Acceleration!$K$4:$K$110,0)),'Track Data'!AF2048)),'Track Data'!U2048)</f>
        <v>-14.71670186282954</v>
      </c>
      <c r="AH2048" s="16">
        <f>IF(AC2048=0,IF(O2048=2,INDEX(Acceleration!$R$4:$R$110,MATCH('Track Data'!S2048,Acceleration!$K$4:$K$110,0)),IF('Track Data'!O2048=1,INDEX(Acceleration!$Q$4:$Q$110,MATCH('Track Data'!S2048,Acceleration!$K$4:$K$110,0)),'Track Data'!AG2048)),'Track Data'!U2048)</f>
        <v>-14.71670186282954</v>
      </c>
    </row>
    <row r="2049" spans="2:34" x14ac:dyDescent="0.25">
      <c r="B2049" s="16">
        <v>249.47399999999999</v>
      </c>
      <c r="C2049" s="16">
        <v>9319</v>
      </c>
      <c r="D2049" s="16">
        <v>2046</v>
      </c>
      <c r="E2049" s="113">
        <v>147</v>
      </c>
      <c r="F2049" s="113">
        <v>148.80000000000001</v>
      </c>
      <c r="G2049" s="113">
        <v>140.69999999999999</v>
      </c>
      <c r="H2049" s="113">
        <f t="shared" si="222"/>
        <v>39.083333333333329</v>
      </c>
      <c r="I2049" s="113">
        <v>3.7</v>
      </c>
      <c r="J2049" s="113">
        <v>65.3</v>
      </c>
      <c r="K2049" s="113">
        <v>-38.1</v>
      </c>
      <c r="L2049" s="185"/>
      <c r="M2049" s="16">
        <v>2046</v>
      </c>
      <c r="N2049" s="16">
        <f t="shared" si="224"/>
        <v>2.1890725574934902E-2</v>
      </c>
      <c r="O2049" s="16">
        <v>6</v>
      </c>
      <c r="P2049" s="16">
        <f t="shared" si="220"/>
        <v>7.3113821138211375</v>
      </c>
      <c r="Q2049" s="16">
        <f t="shared" si="225"/>
        <v>45.681446079841685</v>
      </c>
      <c r="R2049" s="113">
        <f t="shared" si="221"/>
        <v>311.95699999999999</v>
      </c>
      <c r="S2049" s="16">
        <f>IF(S2048=15800,15800,ROUND((((Q2049*60)/'Gearing Calculator'!$C$14)*'Track Data'!P2049),-2))</f>
        <v>10100</v>
      </c>
      <c r="T2049" s="16">
        <f t="shared" si="223"/>
        <v>-14.71670186282954</v>
      </c>
      <c r="U2049" s="16">
        <f>IF(AC2049=100,Braking!$AG$2354,IF(AC2049=50,Braking!$AG$1179,IF(AC2049=75,Braking!$AG$1767,0)))</f>
        <v>-14.71670186282954</v>
      </c>
      <c r="V2049" s="16">
        <f>0.5*'Gearing Calculator'!$C$15*'Gearing Calculator'!$C$20*'Gearing Calculator'!$W$20*('Track Data'!Q2049^2)</f>
        <v>220.8663315676699</v>
      </c>
      <c r="W2049" s="16">
        <f>('Gearing Calculator'!$U$9*'Track Data'!T2049)+'Track Data'!V2049</f>
        <v>-3696.7197043175534</v>
      </c>
      <c r="X2049" s="16">
        <f>('Gearing Calculator'!$U$9*9.81)*('Gearing Calculator'!$U$16/'Gearing Calculator'!$C$7)-(('Track Data'!W2049)*('Gearing Calculator'!$U$17/'Gearing Calculator'!$C$7))</f>
        <v>3416.1270016420449</v>
      </c>
      <c r="Y2049" s="16">
        <f>('Gearing Calculator'!$U$9*9.81)*(('Gearing Calculator'!$C$7-'Gearing Calculator'!$U$16)/'Gearing Calculator'!$C$7)+(('Track Data'!W2049)*('Gearing Calculator'!$U$17/'Gearing Calculator'!$C$7))</f>
        <v>-804.70500164204486</v>
      </c>
      <c r="Z2049" s="16">
        <f>((X2049*COS('Gearing Calculator'!$C$21))/'Gearing Calculator'!$C$22)/2</f>
        <v>105.61584260157684</v>
      </c>
      <c r="AA2049" s="16">
        <f>Y2049/'Gearing Calculator'!$C$24</f>
        <v>-11.23638084066679</v>
      </c>
      <c r="AB2049" s="16">
        <f t="shared" si="226"/>
        <v>132.56612039069267</v>
      </c>
      <c r="AC2049" s="16">
        <v>100</v>
      </c>
      <c r="AD2049" s="16">
        <v>0</v>
      </c>
      <c r="AE2049" s="16">
        <v>2046</v>
      </c>
      <c r="AF2049" s="16">
        <f>IF(AC2049=0,IF(O2049=6,INDEX(Acceleration!$V$4:$V$110,MATCH('Track Data'!S2049,Acceleration!$K$4:$K$110,0)),IF('Track Data'!O2049=5,INDEX(Acceleration!$U$4:$U$110,MATCH('Track Data'!S2049,Acceleration!$K$4:$K$110,0)),1)),U2049)</f>
        <v>-14.71670186282954</v>
      </c>
      <c r="AG2049" s="16">
        <f>IF(AC2049=0,IF(O2049=4,INDEX(Acceleration!$T$4:$T$110,MATCH('Track Data'!S2049,Acceleration!$K$4:$K$110,0)),IF('Track Data'!O2049=3,INDEX(Acceleration!$S$4:$S$110,MATCH('Track Data'!S2049,Acceleration!$K$4:$K$110,0)),'Track Data'!AF2049)),'Track Data'!U2049)</f>
        <v>-14.71670186282954</v>
      </c>
      <c r="AH2049" s="16">
        <f>IF(AC2049=0,IF(O2049=2,INDEX(Acceleration!$R$4:$R$110,MATCH('Track Data'!S2049,Acceleration!$K$4:$K$110,0)),IF('Track Data'!O2049=1,INDEX(Acceleration!$Q$4:$Q$110,MATCH('Track Data'!S2049,Acceleration!$K$4:$K$110,0)),'Track Data'!AG2049)),'Track Data'!U2049)</f>
        <v>-14.71670186282954</v>
      </c>
    </row>
    <row r="2050" spans="2:34" x14ac:dyDescent="0.25">
      <c r="B2050" s="16">
        <v>249.49799999999999</v>
      </c>
      <c r="C2050" s="16">
        <v>9320</v>
      </c>
      <c r="D2050" s="16">
        <v>2047</v>
      </c>
      <c r="E2050" s="113">
        <v>147</v>
      </c>
      <c r="F2050" s="113">
        <v>148.1</v>
      </c>
      <c r="G2050" s="113">
        <v>140.30000000000001</v>
      </c>
      <c r="H2050" s="113">
        <f t="shared" si="222"/>
        <v>38.972222222222221</v>
      </c>
      <c r="I2050" s="113">
        <v>4.2</v>
      </c>
      <c r="J2050" s="113">
        <v>65.42</v>
      </c>
      <c r="K2050" s="113">
        <v>-37.299999999999997</v>
      </c>
      <c r="L2050" s="185"/>
      <c r="M2050" s="16">
        <v>2047</v>
      </c>
      <c r="N2050" s="16">
        <f t="shared" si="224"/>
        <v>2.2046758084398561E-2</v>
      </c>
      <c r="O2050" s="16">
        <v>6</v>
      </c>
      <c r="P2050" s="16">
        <f t="shared" si="220"/>
        <v>7.3113821138211375</v>
      </c>
      <c r="Q2050" s="16">
        <f t="shared" si="225"/>
        <v>45.358142733359621</v>
      </c>
      <c r="R2050" s="113">
        <f t="shared" si="221"/>
        <v>311.95699999999999</v>
      </c>
      <c r="S2050" s="16">
        <f>IF(S2049=15800,15800,ROUND((((Q2050*60)/'Gearing Calculator'!$C$14)*'Track Data'!P2050),-2))</f>
        <v>10100</v>
      </c>
      <c r="T2050" s="16">
        <f t="shared" si="223"/>
        <v>-14.71670186282954</v>
      </c>
      <c r="U2050" s="16">
        <f>IF(AC2050=100,Braking!$AG$2354,IF(AC2050=50,Braking!$AG$1179,IF(AC2050=75,Braking!$AG$1767,0)))</f>
        <v>-14.71670186282954</v>
      </c>
      <c r="V2050" s="16">
        <f>0.5*'Gearing Calculator'!$C$15*'Gearing Calculator'!$C$20*'Gearing Calculator'!$W$20*('Track Data'!Q2050^2)</f>
        <v>217.75110011734614</v>
      </c>
      <c r="W2050" s="16">
        <f>('Gearing Calculator'!$U$9*'Track Data'!T2050)+'Track Data'!V2050</f>
        <v>-3699.8349357678771</v>
      </c>
      <c r="X2050" s="16">
        <f>('Gearing Calculator'!$U$9*9.81)*('Gearing Calculator'!$U$16/'Gearing Calculator'!$C$7)-(('Track Data'!W2050)*('Gearing Calculator'!$U$17/'Gearing Calculator'!$C$7))</f>
        <v>3417.8250155332566</v>
      </c>
      <c r="Y2050" s="16">
        <f>('Gearing Calculator'!$U$9*9.81)*(('Gearing Calculator'!$C$7-'Gearing Calculator'!$U$16)/'Gearing Calculator'!$C$7)+(('Track Data'!W2050)*('Gearing Calculator'!$U$17/'Gearing Calculator'!$C$7))</f>
        <v>-806.40301553325662</v>
      </c>
      <c r="Z2050" s="16">
        <f>((X2050*COS('Gearing Calculator'!$C$21))/'Gearing Calculator'!$C$22)/2</f>
        <v>105.66833982073273</v>
      </c>
      <c r="AA2050" s="16">
        <f>Y2050/'Gearing Calculator'!$C$24</f>
        <v>-11.260090809805126</v>
      </c>
      <c r="AB2050" s="16">
        <f t="shared" si="226"/>
        <v>129.45088894036888</v>
      </c>
      <c r="AC2050" s="16">
        <v>100</v>
      </c>
      <c r="AD2050" s="16">
        <v>0</v>
      </c>
      <c r="AE2050" s="16">
        <v>2047</v>
      </c>
      <c r="AF2050" s="16">
        <f>IF(AC2050=0,IF(O2050=6,INDEX(Acceleration!$V$4:$V$110,MATCH('Track Data'!S2050,Acceleration!$K$4:$K$110,0)),IF('Track Data'!O2050=5,INDEX(Acceleration!$U$4:$U$110,MATCH('Track Data'!S2050,Acceleration!$K$4:$K$110,0)),1)),U2050)</f>
        <v>-14.71670186282954</v>
      </c>
      <c r="AG2050" s="16">
        <f>IF(AC2050=0,IF(O2050=4,INDEX(Acceleration!$T$4:$T$110,MATCH('Track Data'!S2050,Acceleration!$K$4:$K$110,0)),IF('Track Data'!O2050=3,INDEX(Acceleration!$S$4:$S$110,MATCH('Track Data'!S2050,Acceleration!$K$4:$K$110,0)),'Track Data'!AF2050)),'Track Data'!U2050)</f>
        <v>-14.71670186282954</v>
      </c>
      <c r="AH2050" s="16">
        <f>IF(AC2050=0,IF(O2050=2,INDEX(Acceleration!$R$4:$R$110,MATCH('Track Data'!S2050,Acceleration!$K$4:$K$110,0)),IF('Track Data'!O2050=1,INDEX(Acceleration!$Q$4:$Q$110,MATCH('Track Data'!S2050,Acceleration!$K$4:$K$110,0)),'Track Data'!AG2050)),'Track Data'!U2050)</f>
        <v>-14.71670186282954</v>
      </c>
    </row>
    <row r="2051" spans="2:34" x14ac:dyDescent="0.25">
      <c r="B2051" s="16">
        <v>249.523</v>
      </c>
      <c r="C2051" s="16">
        <v>9321</v>
      </c>
      <c r="D2051" s="16">
        <v>2048</v>
      </c>
      <c r="E2051" s="113">
        <v>147</v>
      </c>
      <c r="F2051" s="113">
        <v>147</v>
      </c>
      <c r="G2051" s="113">
        <v>139.80000000000001</v>
      </c>
      <c r="H2051" s="113">
        <f t="shared" si="222"/>
        <v>38.833333333333336</v>
      </c>
      <c r="I2051" s="113">
        <v>4.2</v>
      </c>
      <c r="J2051" s="113">
        <v>65.75</v>
      </c>
      <c r="K2051" s="113">
        <v>-36.299999999999997</v>
      </c>
      <c r="L2051" s="185"/>
      <c r="M2051" s="16">
        <v>2048</v>
      </c>
      <c r="N2051" s="16">
        <f t="shared" si="224"/>
        <v>2.2206175376169805E-2</v>
      </c>
      <c r="O2051" s="16">
        <v>6</v>
      </c>
      <c r="P2051" s="16">
        <f t="shared" si="220"/>
        <v>7.3113821138211375</v>
      </c>
      <c r="Q2051" s="16">
        <f t="shared" si="225"/>
        <v>45.032518345015582</v>
      </c>
      <c r="R2051" s="113">
        <f t="shared" si="221"/>
        <v>311.95699999999999</v>
      </c>
      <c r="S2051" s="16">
        <f>IF(S2050=15800,15800,ROUND((((Q2051*60)/'Gearing Calculator'!$C$14)*'Track Data'!P2051),-2))</f>
        <v>10000</v>
      </c>
      <c r="T2051" s="16">
        <f t="shared" si="223"/>
        <v>-14.71670186282954</v>
      </c>
      <c r="U2051" s="16">
        <f>IF(AC2051=100,Braking!$AG$2354,IF(AC2051=50,Braking!$AG$1179,IF(AC2051=75,Braking!$AG$1767,0)))</f>
        <v>-14.71670186282954</v>
      </c>
      <c r="V2051" s="16">
        <f>0.5*'Gearing Calculator'!$C$15*'Gearing Calculator'!$C$20*'Gearing Calculator'!$W$20*('Track Data'!Q2051^2)</f>
        <v>214.63586866702241</v>
      </c>
      <c r="W2051" s="16">
        <f>('Gearing Calculator'!$U$9*'Track Data'!T2051)+'Track Data'!V2051</f>
        <v>-3702.9501672182009</v>
      </c>
      <c r="X2051" s="16">
        <f>('Gearing Calculator'!$U$9*9.81)*('Gearing Calculator'!$U$16/'Gearing Calculator'!$C$7)-(('Track Data'!W2051)*('Gearing Calculator'!$U$17/'Gearing Calculator'!$C$7))</f>
        <v>3419.5230294244684</v>
      </c>
      <c r="Y2051" s="16">
        <f>('Gearing Calculator'!$U$9*9.81)*(('Gearing Calculator'!$C$7-'Gearing Calculator'!$U$16)/'Gearing Calculator'!$C$7)+(('Track Data'!W2051)*('Gearing Calculator'!$U$17/'Gearing Calculator'!$C$7))</f>
        <v>-808.10102942446838</v>
      </c>
      <c r="Z2051" s="16">
        <f>((X2051*COS('Gearing Calculator'!$C$21))/'Gearing Calculator'!$C$22)/2</f>
        <v>105.72083703988859</v>
      </c>
      <c r="AA2051" s="16">
        <f>Y2051/'Gearing Calculator'!$C$24</f>
        <v>-11.283800778943464</v>
      </c>
      <c r="AB2051" s="16">
        <f t="shared" si="226"/>
        <v>126.33565749004516</v>
      </c>
      <c r="AC2051" s="16">
        <v>100</v>
      </c>
      <c r="AD2051" s="16">
        <v>0</v>
      </c>
      <c r="AE2051" s="16">
        <v>2048</v>
      </c>
      <c r="AF2051" s="16">
        <f>IF(AC2051=0,IF(O2051=6,INDEX(Acceleration!$V$4:$V$110,MATCH('Track Data'!S2051,Acceleration!$K$4:$K$110,0)),IF('Track Data'!O2051=5,INDEX(Acceleration!$U$4:$U$110,MATCH('Track Data'!S2051,Acceleration!$K$4:$K$110,0)),1)),U2051)</f>
        <v>-14.71670186282954</v>
      </c>
      <c r="AG2051" s="16">
        <f>IF(AC2051=0,IF(O2051=4,INDEX(Acceleration!$T$4:$T$110,MATCH('Track Data'!S2051,Acceleration!$K$4:$K$110,0)),IF('Track Data'!O2051=3,INDEX(Acceleration!$S$4:$S$110,MATCH('Track Data'!S2051,Acceleration!$K$4:$K$110,0)),'Track Data'!AF2051)),'Track Data'!U2051)</f>
        <v>-14.71670186282954</v>
      </c>
      <c r="AH2051" s="16">
        <f>IF(AC2051=0,IF(O2051=2,INDEX(Acceleration!$R$4:$R$110,MATCH('Track Data'!S2051,Acceleration!$K$4:$K$110,0)),IF('Track Data'!O2051=1,INDEX(Acceleration!$Q$4:$Q$110,MATCH('Track Data'!S2051,Acceleration!$K$4:$K$110,0)),'Track Data'!AG2051)),'Track Data'!U2051)</f>
        <v>-14.71670186282954</v>
      </c>
    </row>
    <row r="2052" spans="2:34" x14ac:dyDescent="0.25">
      <c r="B2052" s="16">
        <v>249.547</v>
      </c>
      <c r="C2052" s="16">
        <v>9322</v>
      </c>
      <c r="D2052" s="16">
        <v>2049</v>
      </c>
      <c r="E2052" s="113">
        <v>147</v>
      </c>
      <c r="F2052" s="113">
        <v>146.69999999999999</v>
      </c>
      <c r="G2052" s="113">
        <v>139.4</v>
      </c>
      <c r="H2052" s="113">
        <f t="shared" si="222"/>
        <v>38.722222222222221</v>
      </c>
      <c r="I2052" s="113">
        <v>3.8</v>
      </c>
      <c r="J2052" s="113">
        <v>66.069999999999993</v>
      </c>
      <c r="K2052" s="113">
        <v>-36.1</v>
      </c>
      <c r="L2052" s="185"/>
      <c r="M2052" s="16">
        <v>2049</v>
      </c>
      <c r="N2052" s="16">
        <f t="shared" si="224"/>
        <v>2.2369101622799915E-2</v>
      </c>
      <c r="O2052" s="16">
        <v>6</v>
      </c>
      <c r="P2052" s="16">
        <f t="shared" ref="P2052:P2115" si="227">VLOOKUP(O2052,$AJ$5:$AK$10,2,FALSE)</f>
        <v>7.3113821138211375</v>
      </c>
      <c r="Q2052" s="16">
        <f t="shared" si="225"/>
        <v>44.704522195953579</v>
      </c>
      <c r="R2052" s="113">
        <f t="shared" ref="R2052:R2115" si="228">VLOOKUP(O2052,$AJ$5:$AL$10,3,FALSE)</f>
        <v>311.95699999999999</v>
      </c>
      <c r="S2052" s="16">
        <f>IF(S2051=15800,15800,ROUND((((Q2052*60)/'Gearing Calculator'!$C$14)*'Track Data'!P2052),-2))</f>
        <v>9900</v>
      </c>
      <c r="T2052" s="16">
        <f t="shared" si="223"/>
        <v>-14.71670186282954</v>
      </c>
      <c r="U2052" s="16">
        <f>IF(AC2052=100,Braking!$AG$2354,IF(AC2052=50,Braking!$AG$1179,IF(AC2052=75,Braking!$AG$1767,0)))</f>
        <v>-14.71670186282954</v>
      </c>
      <c r="V2052" s="16">
        <f>0.5*'Gearing Calculator'!$C$15*'Gearing Calculator'!$C$20*'Gearing Calculator'!$W$20*('Track Data'!Q2052^2)</f>
        <v>211.52063721669867</v>
      </c>
      <c r="W2052" s="16">
        <f>('Gearing Calculator'!$U$9*'Track Data'!T2052)+'Track Data'!V2052</f>
        <v>-3706.0653986685247</v>
      </c>
      <c r="X2052" s="16">
        <f>('Gearing Calculator'!$U$9*9.81)*('Gearing Calculator'!$U$16/'Gearing Calculator'!$C$7)-(('Track Data'!W2052)*('Gearing Calculator'!$U$17/'Gearing Calculator'!$C$7))</f>
        <v>3421.2210433156802</v>
      </c>
      <c r="Y2052" s="16">
        <f>('Gearing Calculator'!$U$9*9.81)*(('Gearing Calculator'!$C$7-'Gearing Calculator'!$U$16)/'Gearing Calculator'!$C$7)+(('Track Data'!W2052)*('Gearing Calculator'!$U$17/'Gearing Calculator'!$C$7))</f>
        <v>-809.79904331568014</v>
      </c>
      <c r="Z2052" s="16">
        <f>((X2052*COS('Gearing Calculator'!$C$21))/'Gearing Calculator'!$C$22)/2</f>
        <v>105.77333425904447</v>
      </c>
      <c r="AA2052" s="16">
        <f>Y2052/'Gearing Calculator'!$C$24</f>
        <v>-11.3075107480818</v>
      </c>
      <c r="AB2052" s="16">
        <f t="shared" si="226"/>
        <v>123.22042603972143</v>
      </c>
      <c r="AC2052" s="16">
        <v>100</v>
      </c>
      <c r="AD2052" s="16">
        <v>0</v>
      </c>
      <c r="AE2052" s="16">
        <v>2049</v>
      </c>
      <c r="AF2052" s="16">
        <f>IF(AC2052=0,IF(O2052=6,INDEX(Acceleration!$V$4:$V$110,MATCH('Track Data'!S2052,Acceleration!$K$4:$K$110,0)),IF('Track Data'!O2052=5,INDEX(Acceleration!$U$4:$U$110,MATCH('Track Data'!S2052,Acceleration!$K$4:$K$110,0)),1)),U2052)</f>
        <v>-14.71670186282954</v>
      </c>
      <c r="AG2052" s="16">
        <f>IF(AC2052=0,IF(O2052=4,INDEX(Acceleration!$T$4:$T$110,MATCH('Track Data'!S2052,Acceleration!$K$4:$K$110,0)),IF('Track Data'!O2052=3,INDEX(Acceleration!$S$4:$S$110,MATCH('Track Data'!S2052,Acceleration!$K$4:$K$110,0)),'Track Data'!AF2052)),'Track Data'!U2052)</f>
        <v>-14.71670186282954</v>
      </c>
      <c r="AH2052" s="16">
        <f>IF(AC2052=0,IF(O2052=2,INDEX(Acceleration!$R$4:$R$110,MATCH('Track Data'!S2052,Acceleration!$K$4:$K$110,0)),IF('Track Data'!O2052=1,INDEX(Acceleration!$Q$4:$Q$110,MATCH('Track Data'!S2052,Acceleration!$K$4:$K$110,0)),'Track Data'!AG2052)),'Track Data'!U2052)</f>
        <v>-14.71670186282954</v>
      </c>
    </row>
    <row r="2053" spans="2:34" x14ac:dyDescent="0.25">
      <c r="B2053" s="16">
        <v>249.571</v>
      </c>
      <c r="C2053" s="16">
        <v>9323</v>
      </c>
      <c r="D2053" s="16">
        <v>2050</v>
      </c>
      <c r="E2053" s="113">
        <v>147</v>
      </c>
      <c r="F2053" s="113">
        <v>146.6</v>
      </c>
      <c r="G2053" s="113">
        <v>138.9</v>
      </c>
      <c r="H2053" s="113">
        <f t="shared" ref="H2053:H2116" si="229">G2053/3.6</f>
        <v>38.583333333333336</v>
      </c>
      <c r="I2053" s="113">
        <v>3.1</v>
      </c>
      <c r="J2053" s="113">
        <v>65.040000000000006</v>
      </c>
      <c r="K2053" s="113">
        <v>-36</v>
      </c>
      <c r="L2053" s="185"/>
      <c r="M2053" s="16">
        <v>2050</v>
      </c>
      <c r="N2053" s="16">
        <f t="shared" si="224"/>
        <v>2.2535667469349232E-2</v>
      </c>
      <c r="O2053" s="16">
        <v>6</v>
      </c>
      <c r="P2053" s="16">
        <f t="shared" si="227"/>
        <v>7.3113821138211375</v>
      </c>
      <c r="Q2053" s="16">
        <f t="shared" si="225"/>
        <v>44.374101692798774</v>
      </c>
      <c r="R2053" s="113">
        <f t="shared" si="228"/>
        <v>311.95699999999999</v>
      </c>
      <c r="S2053" s="16">
        <f>IF(S2052=15800,15800,ROUND((((Q2053*60)/'Gearing Calculator'!$C$14)*'Track Data'!P2053),-2))</f>
        <v>9800</v>
      </c>
      <c r="T2053" s="16">
        <f t="shared" ref="T2053:T2116" si="230">AH2053</f>
        <v>-14.71670186282954</v>
      </c>
      <c r="U2053" s="16">
        <f>IF(AC2053=100,Braking!$AG$2354,IF(AC2053=50,Braking!$AG$1179,IF(AC2053=75,Braking!$AG$1767,0)))</f>
        <v>-14.71670186282954</v>
      </c>
      <c r="V2053" s="16">
        <f>0.5*'Gearing Calculator'!$C$15*'Gearing Calculator'!$C$20*'Gearing Calculator'!$W$20*('Track Data'!Q2053^2)</f>
        <v>208.40540576637491</v>
      </c>
      <c r="W2053" s="16">
        <f>('Gearing Calculator'!$U$9*'Track Data'!T2053)+'Track Data'!V2053</f>
        <v>-3709.1806301188485</v>
      </c>
      <c r="X2053" s="16">
        <f>('Gearing Calculator'!$U$9*9.81)*('Gearing Calculator'!$U$16/'Gearing Calculator'!$C$7)-(('Track Data'!W2053)*('Gearing Calculator'!$U$17/'Gearing Calculator'!$C$7))</f>
        <v>3422.9190572068919</v>
      </c>
      <c r="Y2053" s="16">
        <f>('Gearing Calculator'!$U$9*9.81)*(('Gearing Calculator'!$C$7-'Gearing Calculator'!$U$16)/'Gearing Calculator'!$C$7)+(('Track Data'!W2053)*('Gearing Calculator'!$U$17/'Gearing Calculator'!$C$7))</f>
        <v>-811.49705720689212</v>
      </c>
      <c r="Z2053" s="16">
        <f>((X2053*COS('Gearing Calculator'!$C$21))/'Gearing Calculator'!$C$22)/2</f>
        <v>105.82583147820037</v>
      </c>
      <c r="AA2053" s="16">
        <f>Y2053/'Gearing Calculator'!$C$24</f>
        <v>-11.331220717220139</v>
      </c>
      <c r="AB2053" s="16">
        <f t="shared" si="226"/>
        <v>120.10519458939767</v>
      </c>
      <c r="AC2053" s="16">
        <v>100</v>
      </c>
      <c r="AD2053" s="16">
        <v>0</v>
      </c>
      <c r="AE2053" s="16">
        <v>2050</v>
      </c>
      <c r="AF2053" s="16">
        <f>IF(AC2053=0,IF(O2053=6,INDEX(Acceleration!$V$4:$V$110,MATCH('Track Data'!S2053,Acceleration!$K$4:$K$110,0)),IF('Track Data'!O2053=5,INDEX(Acceleration!$U$4:$U$110,MATCH('Track Data'!S2053,Acceleration!$K$4:$K$110,0)),1)),U2053)</f>
        <v>-14.71670186282954</v>
      </c>
      <c r="AG2053" s="16">
        <f>IF(AC2053=0,IF(O2053=4,INDEX(Acceleration!$T$4:$T$110,MATCH('Track Data'!S2053,Acceleration!$K$4:$K$110,0)),IF('Track Data'!O2053=3,INDEX(Acceleration!$S$4:$S$110,MATCH('Track Data'!S2053,Acceleration!$K$4:$K$110,0)),'Track Data'!AF2053)),'Track Data'!U2053)</f>
        <v>-14.71670186282954</v>
      </c>
      <c r="AH2053" s="16">
        <f>IF(AC2053=0,IF(O2053=2,INDEX(Acceleration!$R$4:$R$110,MATCH('Track Data'!S2053,Acceleration!$K$4:$K$110,0)),IF('Track Data'!O2053=1,INDEX(Acceleration!$Q$4:$Q$110,MATCH('Track Data'!S2053,Acceleration!$K$4:$K$110,0)),'Track Data'!AG2053)),'Track Data'!U2053)</f>
        <v>-14.71670186282954</v>
      </c>
    </row>
    <row r="2054" spans="2:34" x14ac:dyDescent="0.25">
      <c r="B2054" s="16">
        <v>249.596</v>
      </c>
      <c r="C2054" s="16">
        <v>9324</v>
      </c>
      <c r="D2054" s="16">
        <v>2051</v>
      </c>
      <c r="E2054" s="113">
        <v>146</v>
      </c>
      <c r="F2054" s="113">
        <v>146.69999999999999</v>
      </c>
      <c r="G2054" s="113">
        <v>138.5</v>
      </c>
      <c r="H2054" s="113">
        <f t="shared" si="229"/>
        <v>38.472222222222221</v>
      </c>
      <c r="I2054" s="113">
        <v>2.2999999999999998</v>
      </c>
      <c r="J2054" s="113">
        <v>66.25</v>
      </c>
      <c r="K2054" s="113">
        <v>-35.799999999999997</v>
      </c>
      <c r="L2054" s="185"/>
      <c r="M2054" s="16">
        <v>2051</v>
      </c>
      <c r="N2054" s="16">
        <f t="shared" ref="N2054:N2117" si="231">1/Q2054</f>
        <v>2.2706010473723837E-2</v>
      </c>
      <c r="O2054" s="16">
        <v>6</v>
      </c>
      <c r="P2054" s="16">
        <f t="shared" si="227"/>
        <v>7.3113821138211375</v>
      </c>
      <c r="Q2054" s="16">
        <f t="shared" ref="Q2054:Q2117" si="232">IF(AD2053=0,SQRT(Q2053^2+(2*T2053)),Q2053)</f>
        <v>44.041202269206821</v>
      </c>
      <c r="R2054" s="113">
        <f t="shared" si="228"/>
        <v>311.95699999999999</v>
      </c>
      <c r="S2054" s="16">
        <f>IF(S2053=15800,15800,ROUND((((Q2054*60)/'Gearing Calculator'!$C$14)*'Track Data'!P2054),-2))</f>
        <v>9800</v>
      </c>
      <c r="T2054" s="16">
        <f t="shared" si="230"/>
        <v>-14.71670186282954</v>
      </c>
      <c r="U2054" s="16">
        <f>IF(AC2054=100,Braking!$AG$2354,IF(AC2054=50,Braking!$AG$1179,IF(AC2054=75,Braking!$AG$1767,0)))</f>
        <v>-14.71670186282954</v>
      </c>
      <c r="V2054" s="16">
        <f>0.5*'Gearing Calculator'!$C$15*'Gearing Calculator'!$C$20*'Gearing Calculator'!$W$20*('Track Data'!Q2054^2)</f>
        <v>205.29017431605115</v>
      </c>
      <c r="W2054" s="16">
        <f>('Gearing Calculator'!$U$9*'Track Data'!T2054)+'Track Data'!V2054</f>
        <v>-3712.2958615691723</v>
      </c>
      <c r="X2054" s="16">
        <f>('Gearing Calculator'!$U$9*9.81)*('Gearing Calculator'!$U$16/'Gearing Calculator'!$C$7)-(('Track Data'!W2054)*('Gearing Calculator'!$U$17/'Gearing Calculator'!$C$7))</f>
        <v>3424.6170710981041</v>
      </c>
      <c r="Y2054" s="16">
        <f>('Gearing Calculator'!$U$9*9.81)*(('Gearing Calculator'!$C$7-'Gearing Calculator'!$U$16)/'Gearing Calculator'!$C$7)+(('Track Data'!W2054)*('Gearing Calculator'!$U$17/'Gearing Calculator'!$C$7))</f>
        <v>-813.19507109810388</v>
      </c>
      <c r="Z2054" s="16">
        <f>((X2054*COS('Gearing Calculator'!$C$21))/'Gearing Calculator'!$C$22)/2</f>
        <v>105.87832869735624</v>
      </c>
      <c r="AA2054" s="16">
        <f>Y2054/'Gearing Calculator'!$C$24</f>
        <v>-11.354930686358475</v>
      </c>
      <c r="AB2054" s="16">
        <f t="shared" si="226"/>
        <v>116.98996313907391</v>
      </c>
      <c r="AC2054" s="16">
        <v>100</v>
      </c>
      <c r="AD2054" s="16">
        <v>0</v>
      </c>
      <c r="AE2054" s="16">
        <v>2051</v>
      </c>
      <c r="AF2054" s="16">
        <f>IF(AC2054=0,IF(O2054=6,INDEX(Acceleration!$V$4:$V$110,MATCH('Track Data'!S2054,Acceleration!$K$4:$K$110,0)),IF('Track Data'!O2054=5,INDEX(Acceleration!$U$4:$U$110,MATCH('Track Data'!S2054,Acceleration!$K$4:$K$110,0)),1)),U2054)</f>
        <v>-14.71670186282954</v>
      </c>
      <c r="AG2054" s="16">
        <f>IF(AC2054=0,IF(O2054=4,INDEX(Acceleration!$T$4:$T$110,MATCH('Track Data'!S2054,Acceleration!$K$4:$K$110,0)),IF('Track Data'!O2054=3,INDEX(Acceleration!$S$4:$S$110,MATCH('Track Data'!S2054,Acceleration!$K$4:$K$110,0)),'Track Data'!AF2054)),'Track Data'!U2054)</f>
        <v>-14.71670186282954</v>
      </c>
      <c r="AH2054" s="16">
        <f>IF(AC2054=0,IF(O2054=2,INDEX(Acceleration!$R$4:$R$110,MATCH('Track Data'!S2054,Acceleration!$K$4:$K$110,0)),IF('Track Data'!O2054=1,INDEX(Acceleration!$Q$4:$Q$110,MATCH('Track Data'!S2054,Acceleration!$K$4:$K$110,0)),'Track Data'!AG2054)),'Track Data'!U2054)</f>
        <v>-14.71670186282954</v>
      </c>
    </row>
    <row r="2055" spans="2:34" x14ac:dyDescent="0.25">
      <c r="B2055" s="16">
        <v>249.62</v>
      </c>
      <c r="C2055" s="16">
        <v>9325</v>
      </c>
      <c r="D2055" s="16">
        <v>2052</v>
      </c>
      <c r="E2055" s="113">
        <v>145</v>
      </c>
      <c r="F2055" s="113">
        <v>146.80000000000001</v>
      </c>
      <c r="G2055" s="113">
        <v>138</v>
      </c>
      <c r="H2055" s="113">
        <f t="shared" si="229"/>
        <v>38.333333333333336</v>
      </c>
      <c r="I2055" s="113">
        <v>2.1</v>
      </c>
      <c r="J2055" s="113">
        <v>67.42</v>
      </c>
      <c r="K2055" s="113">
        <v>-35.700000000000003</v>
      </c>
      <c r="L2055" s="185"/>
      <c r="M2055" s="16">
        <v>2052</v>
      </c>
      <c r="N2055" s="16">
        <f t="shared" si="231"/>
        <v>2.2880275584188658E-2</v>
      </c>
      <c r="O2055" s="16">
        <v>6</v>
      </c>
      <c r="P2055" s="16">
        <f t="shared" si="227"/>
        <v>7.3113821138211375</v>
      </c>
      <c r="Q2055" s="16">
        <f t="shared" si="232"/>
        <v>43.70576728066365</v>
      </c>
      <c r="R2055" s="113">
        <f t="shared" si="228"/>
        <v>311.95699999999999</v>
      </c>
      <c r="S2055" s="16">
        <f>IF(S2054=15800,15800,ROUND((((Q2055*60)/'Gearing Calculator'!$C$14)*'Track Data'!P2055),-2))</f>
        <v>9700</v>
      </c>
      <c r="T2055" s="16">
        <f t="shared" si="230"/>
        <v>-14.71670186282954</v>
      </c>
      <c r="U2055" s="16">
        <f>IF(AC2055=100,Braking!$AG$2354,IF(AC2055=50,Braking!$AG$1179,IF(AC2055=75,Braking!$AG$1767,0)))</f>
        <v>-14.71670186282954</v>
      </c>
      <c r="V2055" s="16">
        <f>0.5*'Gearing Calculator'!$C$15*'Gearing Calculator'!$C$20*'Gearing Calculator'!$W$20*('Track Data'!Q2055^2)</f>
        <v>202.17494286572744</v>
      </c>
      <c r="W2055" s="16">
        <f>('Gearing Calculator'!$U$9*'Track Data'!T2055)+'Track Data'!V2055</f>
        <v>-3715.4110930194956</v>
      </c>
      <c r="X2055" s="16">
        <f>('Gearing Calculator'!$U$9*9.81)*('Gearing Calculator'!$U$16/'Gearing Calculator'!$C$7)-(('Track Data'!W2055)*('Gearing Calculator'!$U$17/'Gearing Calculator'!$C$7))</f>
        <v>3426.3150849893154</v>
      </c>
      <c r="Y2055" s="16">
        <f>('Gearing Calculator'!$U$9*9.81)*(('Gearing Calculator'!$C$7-'Gearing Calculator'!$U$16)/'Gearing Calculator'!$C$7)+(('Track Data'!W2055)*('Gearing Calculator'!$U$17/'Gearing Calculator'!$C$7))</f>
        <v>-814.89308498931541</v>
      </c>
      <c r="Z2055" s="16">
        <f>((X2055*COS('Gearing Calculator'!$C$21))/'Gearing Calculator'!$C$22)/2</f>
        <v>105.93082591651212</v>
      </c>
      <c r="AA2055" s="16">
        <f>Y2055/'Gearing Calculator'!$C$24</f>
        <v>-11.378640655496808</v>
      </c>
      <c r="AB2055" s="16">
        <f t="shared" si="226"/>
        <v>113.8747316887502</v>
      </c>
      <c r="AC2055" s="16">
        <v>100</v>
      </c>
      <c r="AD2055" s="16">
        <v>0</v>
      </c>
      <c r="AE2055" s="16">
        <v>2052</v>
      </c>
      <c r="AF2055" s="16">
        <f>IF(AC2055=0,IF(O2055=6,INDEX(Acceleration!$V$4:$V$110,MATCH('Track Data'!S2055,Acceleration!$K$4:$K$110,0)),IF('Track Data'!O2055=5,INDEX(Acceleration!$U$4:$U$110,MATCH('Track Data'!S2055,Acceleration!$K$4:$K$110,0)),1)),U2055)</f>
        <v>-14.71670186282954</v>
      </c>
      <c r="AG2055" s="16">
        <f>IF(AC2055=0,IF(O2055=4,INDEX(Acceleration!$T$4:$T$110,MATCH('Track Data'!S2055,Acceleration!$K$4:$K$110,0)),IF('Track Data'!O2055=3,INDEX(Acceleration!$S$4:$S$110,MATCH('Track Data'!S2055,Acceleration!$K$4:$K$110,0)),'Track Data'!AF2055)),'Track Data'!U2055)</f>
        <v>-14.71670186282954</v>
      </c>
      <c r="AH2055" s="16">
        <f>IF(AC2055=0,IF(O2055=2,INDEX(Acceleration!$R$4:$R$110,MATCH('Track Data'!S2055,Acceleration!$K$4:$K$110,0)),IF('Track Data'!O2055=1,INDEX(Acceleration!$Q$4:$Q$110,MATCH('Track Data'!S2055,Acceleration!$K$4:$K$110,0)),'Track Data'!AG2055)),'Track Data'!U2055)</f>
        <v>-14.71670186282954</v>
      </c>
    </row>
    <row r="2056" spans="2:34" x14ac:dyDescent="0.25">
      <c r="B2056" s="16">
        <v>249.64400000000001</v>
      </c>
      <c r="C2056" s="16">
        <v>9326</v>
      </c>
      <c r="D2056" s="16">
        <v>2053</v>
      </c>
      <c r="E2056" s="113">
        <v>145</v>
      </c>
      <c r="F2056" s="113">
        <v>147</v>
      </c>
      <c r="G2056" s="113">
        <v>137.69999999999999</v>
      </c>
      <c r="H2056" s="113">
        <f t="shared" si="229"/>
        <v>38.249999999999993</v>
      </c>
      <c r="I2056" s="113">
        <v>2.5</v>
      </c>
      <c r="J2056" s="113">
        <v>72.510000000000005</v>
      </c>
      <c r="K2056" s="113">
        <v>-35.6</v>
      </c>
      <c r="L2056" s="185"/>
      <c r="M2056" s="16">
        <v>2053</v>
      </c>
      <c r="N2056" s="16">
        <f t="shared" si="231"/>
        <v>2.3058615657824234E-2</v>
      </c>
      <c r="O2056" s="16">
        <v>6</v>
      </c>
      <c r="P2056" s="16">
        <f t="shared" si="227"/>
        <v>7.3113821138211375</v>
      </c>
      <c r="Q2056" s="16">
        <f t="shared" si="232"/>
        <v>43.367737891961468</v>
      </c>
      <c r="R2056" s="113">
        <f t="shared" si="228"/>
        <v>311.95699999999999</v>
      </c>
      <c r="S2056" s="16">
        <f>IF(S2055=15800,15800,ROUND((((Q2056*60)/'Gearing Calculator'!$C$14)*'Track Data'!P2056),-2))</f>
        <v>9600</v>
      </c>
      <c r="T2056" s="16">
        <f t="shared" si="230"/>
        <v>-14.71670186282954</v>
      </c>
      <c r="U2056" s="16">
        <f>IF(AC2056=100,Braking!$AG$2354,IF(AC2056=50,Braking!$AG$1179,IF(AC2056=75,Braking!$AG$1767,0)))</f>
        <v>-14.71670186282954</v>
      </c>
      <c r="V2056" s="16">
        <f>0.5*'Gearing Calculator'!$C$15*'Gearing Calculator'!$C$20*'Gearing Calculator'!$W$20*('Track Data'!Q2056^2)</f>
        <v>199.05971141540371</v>
      </c>
      <c r="W2056" s="16">
        <f>('Gearing Calculator'!$U$9*'Track Data'!T2056)+'Track Data'!V2056</f>
        <v>-3718.5263244698194</v>
      </c>
      <c r="X2056" s="16">
        <f>('Gearing Calculator'!$U$9*9.81)*('Gearing Calculator'!$U$16/'Gearing Calculator'!$C$7)-(('Track Data'!W2056)*('Gearing Calculator'!$U$17/'Gearing Calculator'!$C$7))</f>
        <v>3428.0130988805272</v>
      </c>
      <c r="Y2056" s="16">
        <f>('Gearing Calculator'!$U$9*9.81)*(('Gearing Calculator'!$C$7-'Gearing Calculator'!$U$16)/'Gearing Calculator'!$C$7)+(('Track Data'!W2056)*('Gearing Calculator'!$U$17/'Gearing Calculator'!$C$7))</f>
        <v>-816.59109888052717</v>
      </c>
      <c r="Z2056" s="16">
        <f>((X2056*COS('Gearing Calculator'!$C$21))/'Gearing Calculator'!$C$22)/2</f>
        <v>105.983323135668</v>
      </c>
      <c r="AA2056" s="16">
        <f>Y2056/'Gearing Calculator'!$C$24</f>
        <v>-11.402350624635146</v>
      </c>
      <c r="AB2056" s="16">
        <f t="shared" si="226"/>
        <v>110.75950023842647</v>
      </c>
      <c r="AC2056" s="16">
        <v>100</v>
      </c>
      <c r="AD2056" s="16">
        <v>0</v>
      </c>
      <c r="AE2056" s="16">
        <v>2053</v>
      </c>
      <c r="AF2056" s="16">
        <f>IF(AC2056=0,IF(O2056=6,INDEX(Acceleration!$V$4:$V$110,MATCH('Track Data'!S2056,Acceleration!$K$4:$K$110,0)),IF('Track Data'!O2056=5,INDEX(Acceleration!$U$4:$U$110,MATCH('Track Data'!S2056,Acceleration!$K$4:$K$110,0)),1)),U2056)</f>
        <v>-14.71670186282954</v>
      </c>
      <c r="AG2056" s="16">
        <f>IF(AC2056=0,IF(O2056=4,INDEX(Acceleration!$T$4:$T$110,MATCH('Track Data'!S2056,Acceleration!$K$4:$K$110,0)),IF('Track Data'!O2056=3,INDEX(Acceleration!$S$4:$S$110,MATCH('Track Data'!S2056,Acceleration!$K$4:$K$110,0)),'Track Data'!AF2056)),'Track Data'!U2056)</f>
        <v>-14.71670186282954</v>
      </c>
      <c r="AH2056" s="16">
        <f>IF(AC2056=0,IF(O2056=2,INDEX(Acceleration!$R$4:$R$110,MATCH('Track Data'!S2056,Acceleration!$K$4:$K$110,0)),IF('Track Data'!O2056=1,INDEX(Acceleration!$Q$4:$Q$110,MATCH('Track Data'!S2056,Acceleration!$K$4:$K$110,0)),'Track Data'!AG2056)),'Track Data'!U2056)</f>
        <v>-14.71670186282954</v>
      </c>
    </row>
    <row r="2057" spans="2:34" x14ac:dyDescent="0.25">
      <c r="B2057" s="16">
        <v>249.66900000000001</v>
      </c>
      <c r="C2057" s="16">
        <v>9327</v>
      </c>
      <c r="D2057" s="16">
        <v>2054</v>
      </c>
      <c r="E2057" s="113">
        <v>146</v>
      </c>
      <c r="F2057" s="113">
        <v>146.9</v>
      </c>
      <c r="G2057" s="113">
        <v>137.30000000000001</v>
      </c>
      <c r="H2057" s="113">
        <f t="shared" si="229"/>
        <v>38.138888888888893</v>
      </c>
      <c r="I2057" s="113">
        <v>3.4</v>
      </c>
      <c r="J2057" s="113">
        <v>78.040000000000006</v>
      </c>
      <c r="K2057" s="113">
        <v>-35.5</v>
      </c>
      <c r="L2057" s="185"/>
      <c r="M2057" s="16">
        <v>2054</v>
      </c>
      <c r="N2057" s="16">
        <f t="shared" si="231"/>
        <v>2.3241192024141794E-2</v>
      </c>
      <c r="O2057" s="16">
        <v>6</v>
      </c>
      <c r="P2057" s="16">
        <f t="shared" si="227"/>
        <v>7.3113821138211375</v>
      </c>
      <c r="Q2057" s="16">
        <f t="shared" si="232"/>
        <v>43.027052956717959</v>
      </c>
      <c r="R2057" s="113">
        <f t="shared" si="228"/>
        <v>311.95699999999999</v>
      </c>
      <c r="S2057" s="16">
        <f>IF(S2056=15800,15800,ROUND((((Q2057*60)/'Gearing Calculator'!$C$14)*'Track Data'!P2057),-2))</f>
        <v>9500</v>
      </c>
      <c r="T2057" s="16">
        <f t="shared" si="230"/>
        <v>-14.71670186282954</v>
      </c>
      <c r="U2057" s="16">
        <f>IF(AC2057=100,Braking!$AG$2354,IF(AC2057=50,Braking!$AG$1179,IF(AC2057=75,Braking!$AG$1767,0)))</f>
        <v>-14.71670186282954</v>
      </c>
      <c r="V2057" s="16">
        <f>0.5*'Gearing Calculator'!$C$15*'Gearing Calculator'!$C$20*'Gearing Calculator'!$W$20*('Track Data'!Q2057^2)</f>
        <v>195.94447996508001</v>
      </c>
      <c r="W2057" s="16">
        <f>('Gearing Calculator'!$U$9*'Track Data'!T2057)+'Track Data'!V2057</f>
        <v>-3721.6415559201432</v>
      </c>
      <c r="X2057" s="16">
        <f>('Gearing Calculator'!$U$9*9.81)*('Gearing Calculator'!$U$16/'Gearing Calculator'!$C$7)-(('Track Data'!W2057)*('Gearing Calculator'!$U$17/'Gearing Calculator'!$C$7))</f>
        <v>3429.711112771739</v>
      </c>
      <c r="Y2057" s="16">
        <f>('Gearing Calculator'!$U$9*9.81)*(('Gearing Calculator'!$C$7-'Gearing Calculator'!$U$16)/'Gearing Calculator'!$C$7)+(('Track Data'!W2057)*('Gearing Calculator'!$U$17/'Gearing Calculator'!$C$7))</f>
        <v>-818.28911277173893</v>
      </c>
      <c r="Z2057" s="16">
        <f>((X2057*COS('Gearing Calculator'!$C$21))/'Gearing Calculator'!$C$22)/2</f>
        <v>106.03582035482387</v>
      </c>
      <c r="AA2057" s="16">
        <f>Y2057/'Gearing Calculator'!$C$24</f>
        <v>-11.426060593773482</v>
      </c>
      <c r="AB2057" s="16">
        <f t="shared" si="226"/>
        <v>107.64426878810276</v>
      </c>
      <c r="AC2057" s="16">
        <v>100</v>
      </c>
      <c r="AD2057" s="16">
        <v>0</v>
      </c>
      <c r="AE2057" s="16">
        <v>2054</v>
      </c>
      <c r="AF2057" s="16">
        <f>IF(AC2057=0,IF(O2057=6,INDEX(Acceleration!$V$4:$V$110,MATCH('Track Data'!S2057,Acceleration!$K$4:$K$110,0)),IF('Track Data'!O2057=5,INDEX(Acceleration!$U$4:$U$110,MATCH('Track Data'!S2057,Acceleration!$K$4:$K$110,0)),1)),U2057)</f>
        <v>-14.71670186282954</v>
      </c>
      <c r="AG2057" s="16">
        <f>IF(AC2057=0,IF(O2057=4,INDEX(Acceleration!$T$4:$T$110,MATCH('Track Data'!S2057,Acceleration!$K$4:$K$110,0)),IF('Track Data'!O2057=3,INDEX(Acceleration!$S$4:$S$110,MATCH('Track Data'!S2057,Acceleration!$K$4:$K$110,0)),'Track Data'!AF2057)),'Track Data'!U2057)</f>
        <v>-14.71670186282954</v>
      </c>
      <c r="AH2057" s="16">
        <f>IF(AC2057=0,IF(O2057=2,INDEX(Acceleration!$R$4:$R$110,MATCH('Track Data'!S2057,Acceleration!$K$4:$K$110,0)),IF('Track Data'!O2057=1,INDEX(Acceleration!$Q$4:$Q$110,MATCH('Track Data'!S2057,Acceleration!$K$4:$K$110,0)),'Track Data'!AG2057)),'Track Data'!U2057)</f>
        <v>-14.71670186282954</v>
      </c>
    </row>
    <row r="2058" spans="2:34" x14ac:dyDescent="0.25">
      <c r="B2058" s="16">
        <v>249.69399999999999</v>
      </c>
      <c r="C2058" s="16">
        <v>9328</v>
      </c>
      <c r="D2058" s="16">
        <v>2055</v>
      </c>
      <c r="E2058" s="113">
        <v>146</v>
      </c>
      <c r="F2058" s="113">
        <v>146.6</v>
      </c>
      <c r="G2058" s="113">
        <v>136.80000000000001</v>
      </c>
      <c r="H2058" s="113">
        <f t="shared" si="229"/>
        <v>38</v>
      </c>
      <c r="I2058" s="113">
        <v>6.5</v>
      </c>
      <c r="J2058" s="113">
        <v>85.09</v>
      </c>
      <c r="K2058" s="113">
        <v>-35.799999999999997</v>
      </c>
      <c r="L2058" s="185"/>
      <c r="M2058" s="16">
        <v>2055</v>
      </c>
      <c r="N2058" s="16">
        <f t="shared" si="231"/>
        <v>2.3428175098580081E-2</v>
      </c>
      <c r="O2058" s="16">
        <v>6</v>
      </c>
      <c r="P2058" s="16">
        <f t="shared" si="227"/>
        <v>7.3113821138211375</v>
      </c>
      <c r="Q2058" s="16">
        <f t="shared" si="232"/>
        <v>42.683648888240015</v>
      </c>
      <c r="R2058" s="113">
        <f t="shared" si="228"/>
        <v>311.95699999999999</v>
      </c>
      <c r="S2058" s="16">
        <f>IF(S2057=15800,15800,ROUND((((Q2058*60)/'Gearing Calculator'!$C$14)*'Track Data'!P2058),-2))</f>
        <v>9500</v>
      </c>
      <c r="T2058" s="16">
        <f t="shared" si="230"/>
        <v>-14.71670186282954</v>
      </c>
      <c r="U2058" s="16">
        <f>IF(AC2058=100,Braking!$AG$2354,IF(AC2058=50,Braking!$AG$1179,IF(AC2058=75,Braking!$AG$1767,0)))</f>
        <v>-14.71670186282954</v>
      </c>
      <c r="V2058" s="16">
        <f>0.5*'Gearing Calculator'!$C$15*'Gearing Calculator'!$C$20*'Gearing Calculator'!$W$20*('Track Data'!Q2058^2)</f>
        <v>192.82924851475627</v>
      </c>
      <c r="W2058" s="16">
        <f>('Gearing Calculator'!$U$9*'Track Data'!T2058)+'Track Data'!V2058</f>
        <v>-3724.756787370467</v>
      </c>
      <c r="X2058" s="16">
        <f>('Gearing Calculator'!$U$9*9.81)*('Gearing Calculator'!$U$16/'Gearing Calculator'!$C$7)-(('Track Data'!W2058)*('Gearing Calculator'!$U$17/'Gearing Calculator'!$C$7))</f>
        <v>3431.4091266629512</v>
      </c>
      <c r="Y2058" s="16">
        <f>('Gearing Calculator'!$U$9*9.81)*(('Gearing Calculator'!$C$7-'Gearing Calculator'!$U$16)/'Gearing Calculator'!$C$7)+(('Track Data'!W2058)*('Gearing Calculator'!$U$17/'Gearing Calculator'!$C$7))</f>
        <v>-819.98712666295091</v>
      </c>
      <c r="Z2058" s="16">
        <f>((X2058*COS('Gearing Calculator'!$C$21))/'Gearing Calculator'!$C$22)/2</f>
        <v>106.08831757397975</v>
      </c>
      <c r="AA2058" s="16">
        <f>Y2058/'Gearing Calculator'!$C$24</f>
        <v>-11.449770562911821</v>
      </c>
      <c r="AB2058" s="16">
        <f t="shared" si="226"/>
        <v>104.52903733777903</v>
      </c>
      <c r="AC2058" s="16">
        <v>100</v>
      </c>
      <c r="AD2058" s="16">
        <v>0</v>
      </c>
      <c r="AE2058" s="16">
        <v>2055</v>
      </c>
      <c r="AF2058" s="16">
        <f>IF(AC2058=0,IF(O2058=6,INDEX(Acceleration!$V$4:$V$110,MATCH('Track Data'!S2058,Acceleration!$K$4:$K$110,0)),IF('Track Data'!O2058=5,INDEX(Acceleration!$U$4:$U$110,MATCH('Track Data'!S2058,Acceleration!$K$4:$K$110,0)),1)),U2058)</f>
        <v>-14.71670186282954</v>
      </c>
      <c r="AG2058" s="16">
        <f>IF(AC2058=0,IF(O2058=4,INDEX(Acceleration!$T$4:$T$110,MATCH('Track Data'!S2058,Acceleration!$K$4:$K$110,0)),IF('Track Data'!O2058=3,INDEX(Acceleration!$S$4:$S$110,MATCH('Track Data'!S2058,Acceleration!$K$4:$K$110,0)),'Track Data'!AF2058)),'Track Data'!U2058)</f>
        <v>-14.71670186282954</v>
      </c>
      <c r="AH2058" s="16">
        <f>IF(AC2058=0,IF(O2058=2,INDEX(Acceleration!$R$4:$R$110,MATCH('Track Data'!S2058,Acceleration!$K$4:$K$110,0)),IF('Track Data'!O2058=1,INDEX(Acceleration!$Q$4:$Q$110,MATCH('Track Data'!S2058,Acceleration!$K$4:$K$110,0)),'Track Data'!AG2058)),'Track Data'!U2058)</f>
        <v>-14.71670186282954</v>
      </c>
    </row>
    <row r="2059" spans="2:34" x14ac:dyDescent="0.25">
      <c r="B2059" s="16">
        <v>249.71799999999999</v>
      </c>
      <c r="C2059" s="16">
        <v>9329</v>
      </c>
      <c r="D2059" s="16">
        <v>2056</v>
      </c>
      <c r="E2059" s="113">
        <v>146</v>
      </c>
      <c r="F2059" s="113">
        <v>146.19999999999999</v>
      </c>
      <c r="G2059" s="113">
        <v>136.4</v>
      </c>
      <c r="H2059" s="113">
        <f t="shared" si="229"/>
        <v>37.888888888888893</v>
      </c>
      <c r="I2059" s="113">
        <v>9.1</v>
      </c>
      <c r="J2059" s="113">
        <v>89.06</v>
      </c>
      <c r="K2059" s="113">
        <v>-36.299999999999997</v>
      </c>
      <c r="L2059" s="185"/>
      <c r="M2059" s="16">
        <v>2056</v>
      </c>
      <c r="N2059" s="16">
        <f t="shared" si="231"/>
        <v>2.3619745051186629E-2</v>
      </c>
      <c r="O2059" s="16">
        <v>6</v>
      </c>
      <c r="P2059" s="16">
        <f t="shared" si="227"/>
        <v>7.3113821138211375</v>
      </c>
      <c r="Q2059" s="16">
        <f t="shared" si="232"/>
        <v>42.337459520959612</v>
      </c>
      <c r="R2059" s="113">
        <f t="shared" si="228"/>
        <v>311.95699999999999</v>
      </c>
      <c r="S2059" s="16">
        <f>IF(S2058=15800,15800,ROUND((((Q2059*60)/'Gearing Calculator'!$C$14)*'Track Data'!P2059),-2))</f>
        <v>9400</v>
      </c>
      <c r="T2059" s="16">
        <f t="shared" si="230"/>
        <v>-14.71670186282954</v>
      </c>
      <c r="U2059" s="16">
        <f>IF(AC2059=100,Braking!$AG$2354,IF(AC2059=50,Braking!$AG$1179,IF(AC2059=75,Braking!$AG$1767,0)))</f>
        <v>-14.71670186282954</v>
      </c>
      <c r="V2059" s="16">
        <f>0.5*'Gearing Calculator'!$C$15*'Gearing Calculator'!$C$20*'Gearing Calculator'!$W$20*('Track Data'!Q2059^2)</f>
        <v>189.71401706443251</v>
      </c>
      <c r="W2059" s="16">
        <f>('Gearing Calculator'!$U$9*'Track Data'!T2059)+'Track Data'!V2059</f>
        <v>-3727.8720188207908</v>
      </c>
      <c r="X2059" s="16">
        <f>('Gearing Calculator'!$U$9*9.81)*('Gearing Calculator'!$U$16/'Gearing Calculator'!$C$7)-(('Track Data'!W2059)*('Gearing Calculator'!$U$17/'Gearing Calculator'!$C$7))</f>
        <v>3433.1071405541625</v>
      </c>
      <c r="Y2059" s="16">
        <f>('Gearing Calculator'!$U$9*9.81)*(('Gearing Calculator'!$C$7-'Gearing Calculator'!$U$16)/'Gearing Calculator'!$C$7)+(('Track Data'!W2059)*('Gearing Calculator'!$U$17/'Gearing Calculator'!$C$7))</f>
        <v>-821.68514055416267</v>
      </c>
      <c r="Z2059" s="16">
        <f>((X2059*COS('Gearing Calculator'!$C$21))/'Gearing Calculator'!$C$22)/2</f>
        <v>106.14081479313563</v>
      </c>
      <c r="AA2059" s="16">
        <f>Y2059/'Gearing Calculator'!$C$24</f>
        <v>-11.473480532050157</v>
      </c>
      <c r="AB2059" s="16">
        <f t="shared" si="226"/>
        <v>101.41380588745527</v>
      </c>
      <c r="AC2059" s="16">
        <v>100</v>
      </c>
      <c r="AD2059" s="16">
        <v>0</v>
      </c>
      <c r="AE2059" s="16">
        <v>2056</v>
      </c>
      <c r="AF2059" s="16">
        <f>IF(AC2059=0,IF(O2059=6,INDEX(Acceleration!$V$4:$V$110,MATCH('Track Data'!S2059,Acceleration!$K$4:$K$110,0)),IF('Track Data'!O2059=5,INDEX(Acceleration!$U$4:$U$110,MATCH('Track Data'!S2059,Acceleration!$K$4:$K$110,0)),1)),U2059)</f>
        <v>-14.71670186282954</v>
      </c>
      <c r="AG2059" s="16">
        <f>IF(AC2059=0,IF(O2059=4,INDEX(Acceleration!$T$4:$T$110,MATCH('Track Data'!S2059,Acceleration!$K$4:$K$110,0)),IF('Track Data'!O2059=3,INDEX(Acceleration!$S$4:$S$110,MATCH('Track Data'!S2059,Acceleration!$K$4:$K$110,0)),'Track Data'!AF2059)),'Track Data'!U2059)</f>
        <v>-14.71670186282954</v>
      </c>
      <c r="AH2059" s="16">
        <f>IF(AC2059=0,IF(O2059=2,INDEX(Acceleration!$R$4:$R$110,MATCH('Track Data'!S2059,Acceleration!$K$4:$K$110,0)),IF('Track Data'!O2059=1,INDEX(Acceleration!$Q$4:$Q$110,MATCH('Track Data'!S2059,Acceleration!$K$4:$K$110,0)),'Track Data'!AG2059)),'Track Data'!U2059)</f>
        <v>-14.71670186282954</v>
      </c>
    </row>
    <row r="2060" spans="2:34" x14ac:dyDescent="0.25">
      <c r="B2060" s="16">
        <v>249.74299999999999</v>
      </c>
      <c r="C2060" s="16">
        <v>9330</v>
      </c>
      <c r="D2060" s="16">
        <v>2057</v>
      </c>
      <c r="E2060" s="113">
        <v>146</v>
      </c>
      <c r="F2060" s="113">
        <v>145.1</v>
      </c>
      <c r="G2060" s="113">
        <v>135.9</v>
      </c>
      <c r="H2060" s="113">
        <f t="shared" si="229"/>
        <v>37.75</v>
      </c>
      <c r="I2060" s="113">
        <v>12.6</v>
      </c>
      <c r="J2060" s="113">
        <v>91.1</v>
      </c>
      <c r="K2060" s="113">
        <v>-37.200000000000003</v>
      </c>
      <c r="L2060" s="185"/>
      <c r="M2060" s="16">
        <v>2057</v>
      </c>
      <c r="N2060" s="16">
        <f t="shared" si="231"/>
        <v>2.3816092536447505E-2</v>
      </c>
      <c r="O2060" s="16">
        <v>6</v>
      </c>
      <c r="P2060" s="16">
        <f t="shared" si="227"/>
        <v>7.3113821138211375</v>
      </c>
      <c r="Q2060" s="16">
        <f t="shared" si="232"/>
        <v>41.988415961586774</v>
      </c>
      <c r="R2060" s="113">
        <f t="shared" si="228"/>
        <v>311.95699999999999</v>
      </c>
      <c r="S2060" s="16">
        <f>IF(S2059=15800,15800,ROUND((((Q2060*60)/'Gearing Calculator'!$C$14)*'Track Data'!P2060),-2))</f>
        <v>9300</v>
      </c>
      <c r="T2060" s="16">
        <f t="shared" si="230"/>
        <v>-14.71670186282954</v>
      </c>
      <c r="U2060" s="16">
        <f>IF(AC2060=100,Braking!$AG$2354,IF(AC2060=50,Braking!$AG$1179,IF(AC2060=75,Braking!$AG$1767,0)))</f>
        <v>-14.71670186282954</v>
      </c>
      <c r="V2060" s="16">
        <f>0.5*'Gearing Calculator'!$C$15*'Gearing Calculator'!$C$20*'Gearing Calculator'!$W$20*('Track Data'!Q2060^2)</f>
        <v>186.59878561410878</v>
      </c>
      <c r="W2060" s="16">
        <f>('Gearing Calculator'!$U$9*'Track Data'!T2060)+'Track Data'!V2060</f>
        <v>-3730.9872502711146</v>
      </c>
      <c r="X2060" s="16">
        <f>('Gearing Calculator'!$U$9*9.81)*('Gearing Calculator'!$U$16/'Gearing Calculator'!$C$7)-(('Track Data'!W2060)*('Gearing Calculator'!$U$17/'Gearing Calculator'!$C$7))</f>
        <v>3434.8051544453747</v>
      </c>
      <c r="Y2060" s="16">
        <f>('Gearing Calculator'!$U$9*9.81)*(('Gearing Calculator'!$C$7-'Gearing Calculator'!$U$16)/'Gearing Calculator'!$C$7)+(('Track Data'!W2060)*('Gearing Calculator'!$U$17/'Gearing Calculator'!$C$7))</f>
        <v>-823.38315444537443</v>
      </c>
      <c r="Z2060" s="16">
        <f>((X2060*COS('Gearing Calculator'!$C$21))/'Gearing Calculator'!$C$22)/2</f>
        <v>106.19331201229153</v>
      </c>
      <c r="AA2060" s="16">
        <f>Y2060/'Gearing Calculator'!$C$24</f>
        <v>-11.497190501188495</v>
      </c>
      <c r="AB2060" s="16">
        <f t="shared" si="226"/>
        <v>98.298574437131535</v>
      </c>
      <c r="AC2060" s="16">
        <v>100</v>
      </c>
      <c r="AD2060" s="16">
        <v>0</v>
      </c>
      <c r="AE2060" s="16">
        <v>2057</v>
      </c>
      <c r="AF2060" s="16">
        <f>IF(AC2060=0,IF(O2060=6,INDEX(Acceleration!$V$4:$V$110,MATCH('Track Data'!S2060,Acceleration!$K$4:$K$110,0)),IF('Track Data'!O2060=5,INDEX(Acceleration!$U$4:$U$110,MATCH('Track Data'!S2060,Acceleration!$K$4:$K$110,0)),1)),U2060)</f>
        <v>-14.71670186282954</v>
      </c>
      <c r="AG2060" s="16">
        <f>IF(AC2060=0,IF(O2060=4,INDEX(Acceleration!$T$4:$T$110,MATCH('Track Data'!S2060,Acceleration!$K$4:$K$110,0)),IF('Track Data'!O2060=3,INDEX(Acceleration!$S$4:$S$110,MATCH('Track Data'!S2060,Acceleration!$K$4:$K$110,0)),'Track Data'!AF2060)),'Track Data'!U2060)</f>
        <v>-14.71670186282954</v>
      </c>
      <c r="AH2060" s="16">
        <f>IF(AC2060=0,IF(O2060=2,INDEX(Acceleration!$R$4:$R$110,MATCH('Track Data'!S2060,Acceleration!$K$4:$K$110,0)),IF('Track Data'!O2060=1,INDEX(Acceleration!$Q$4:$Q$110,MATCH('Track Data'!S2060,Acceleration!$K$4:$K$110,0)),'Track Data'!AG2060)),'Track Data'!U2060)</f>
        <v>-14.71670186282954</v>
      </c>
    </row>
    <row r="2061" spans="2:34" ht="15.75" thickBot="1" x14ac:dyDescent="0.3">
      <c r="B2061" s="16">
        <v>249.767</v>
      </c>
      <c r="C2061" s="16">
        <v>9331</v>
      </c>
      <c r="D2061" s="16">
        <v>2058</v>
      </c>
      <c r="E2061" s="113">
        <v>146</v>
      </c>
      <c r="F2061" s="113">
        <v>144.30000000000001</v>
      </c>
      <c r="G2061" s="113">
        <v>135.5</v>
      </c>
      <c r="H2061" s="113">
        <f t="shared" si="229"/>
        <v>37.638888888888886</v>
      </c>
      <c r="I2061" s="113">
        <v>15.3</v>
      </c>
      <c r="J2061" s="113">
        <v>91.1</v>
      </c>
      <c r="K2061" s="113">
        <v>-37.6</v>
      </c>
      <c r="L2061" s="186"/>
      <c r="M2061" s="16">
        <v>2058</v>
      </c>
      <c r="N2061" s="16">
        <f t="shared" si="231"/>
        <v>2.4017419490985861E-2</v>
      </c>
      <c r="O2061" s="16">
        <v>6</v>
      </c>
      <c r="P2061" s="16">
        <f t="shared" si="227"/>
        <v>7.3113821138211375</v>
      </c>
      <c r="Q2061" s="16">
        <f t="shared" si="232"/>
        <v>41.636446429031089</v>
      </c>
      <c r="R2061" s="113">
        <f t="shared" si="228"/>
        <v>311.95699999999999</v>
      </c>
      <c r="S2061" s="16">
        <f>IF(S2060=15800,15800,ROUND((((Q2061*60)/'Gearing Calculator'!$C$14)*'Track Data'!P2061),-2))</f>
        <v>9200</v>
      </c>
      <c r="T2061" s="16">
        <f t="shared" si="230"/>
        <v>-14.71670186282954</v>
      </c>
      <c r="U2061" s="16">
        <f>IF(AC2061=100,Braking!$AG$2354,IF(AC2061=50,Braking!$AG$1179,IF(AC2061=75,Braking!$AG$1767,0)))</f>
        <v>-14.71670186282954</v>
      </c>
      <c r="V2061" s="16">
        <f>0.5*'Gearing Calculator'!$C$15*'Gearing Calculator'!$C$20*'Gearing Calculator'!$W$20*('Track Data'!Q2061^2)</f>
        <v>183.48355416378502</v>
      </c>
      <c r="W2061" s="16">
        <f>('Gearing Calculator'!$U$9*'Track Data'!T2061)+'Track Data'!V2061</f>
        <v>-3734.1024817214384</v>
      </c>
      <c r="X2061" s="16">
        <f>('Gearing Calculator'!$U$9*9.81)*('Gearing Calculator'!$U$16/'Gearing Calculator'!$C$7)-(('Track Data'!W2061)*('Gearing Calculator'!$U$17/'Gearing Calculator'!$C$7))</f>
        <v>3436.503168336586</v>
      </c>
      <c r="Y2061" s="16">
        <f>('Gearing Calculator'!$U$9*9.81)*(('Gearing Calculator'!$C$7-'Gearing Calculator'!$U$16)/'Gearing Calculator'!$C$7)+(('Track Data'!W2061)*('Gearing Calculator'!$U$17/'Gearing Calculator'!$C$7))</f>
        <v>-825.08116833658619</v>
      </c>
      <c r="Z2061" s="16">
        <f>((X2061*COS('Gearing Calculator'!$C$21))/'Gearing Calculator'!$C$22)/2</f>
        <v>106.24580923144738</v>
      </c>
      <c r="AA2061" s="16">
        <f>Y2061/'Gearing Calculator'!$C$24</f>
        <v>-11.520900470326831</v>
      </c>
      <c r="AB2061" s="16">
        <f t="shared" si="226"/>
        <v>95.183342986807773</v>
      </c>
      <c r="AC2061" s="16">
        <v>100</v>
      </c>
      <c r="AD2061" s="16">
        <v>0</v>
      </c>
      <c r="AE2061" s="16">
        <v>2058</v>
      </c>
      <c r="AF2061" s="16">
        <f>IF(AC2061=0,IF(O2061=6,INDEX(Acceleration!$V$4:$V$110,MATCH('Track Data'!S2061,Acceleration!$K$4:$K$110,0)),IF('Track Data'!O2061=5,INDEX(Acceleration!$U$4:$U$110,MATCH('Track Data'!S2061,Acceleration!$K$4:$K$110,0)),1)),U2061)</f>
        <v>-14.71670186282954</v>
      </c>
      <c r="AG2061" s="16">
        <f>IF(AC2061=0,IF(O2061=4,INDEX(Acceleration!$T$4:$T$110,MATCH('Track Data'!S2061,Acceleration!$K$4:$K$110,0)),IF('Track Data'!O2061=3,INDEX(Acceleration!$S$4:$S$110,MATCH('Track Data'!S2061,Acceleration!$K$4:$K$110,0)),'Track Data'!AF2061)),'Track Data'!U2061)</f>
        <v>-14.71670186282954</v>
      </c>
      <c r="AH2061" s="16">
        <f>IF(AC2061=0,IF(O2061=2,INDEX(Acceleration!$R$4:$R$110,MATCH('Track Data'!S2061,Acceleration!$K$4:$K$110,0)),IF('Track Data'!O2061=1,INDEX(Acceleration!$Q$4:$Q$110,MATCH('Track Data'!S2061,Acceleration!$K$4:$K$110,0)),'Track Data'!AG2061)),'Track Data'!U2061)</f>
        <v>-14.71670186282954</v>
      </c>
    </row>
    <row r="2062" spans="2:34" x14ac:dyDescent="0.25">
      <c r="B2062" s="16">
        <v>249.792</v>
      </c>
      <c r="C2062" s="16">
        <v>9332</v>
      </c>
      <c r="D2062" s="16">
        <v>2059</v>
      </c>
      <c r="E2062" s="113">
        <v>146</v>
      </c>
      <c r="F2062" s="113">
        <v>143.6</v>
      </c>
      <c r="G2062" s="113">
        <v>134.9</v>
      </c>
      <c r="H2062" s="113">
        <f t="shared" si="229"/>
        <v>37.472222222222221</v>
      </c>
      <c r="I2062" s="113">
        <v>16.7</v>
      </c>
      <c r="J2062" s="113">
        <v>89.02</v>
      </c>
      <c r="K2062" s="113">
        <v>-37.6</v>
      </c>
      <c r="L2062" s="182" t="s">
        <v>198</v>
      </c>
      <c r="M2062" s="16">
        <v>2059</v>
      </c>
      <c r="N2062" s="16">
        <f t="shared" si="231"/>
        <v>2.4223940006716432E-2</v>
      </c>
      <c r="O2062" s="16">
        <v>3</v>
      </c>
      <c r="P2062" s="16">
        <f t="shared" si="227"/>
        <v>10.596205962059623</v>
      </c>
      <c r="Q2062" s="134">
        <f t="shared" si="232"/>
        <v>41.281476082038502</v>
      </c>
      <c r="R2062" s="113">
        <f t="shared" si="228"/>
        <v>345.36</v>
      </c>
      <c r="S2062" s="16">
        <f>IF(S2061=15800,15800,ROUND((((Q2062*60)/'Gearing Calculator'!$C$14)*'Track Data'!P2062),-2))</f>
        <v>13300</v>
      </c>
      <c r="T2062" s="16">
        <f t="shared" si="230"/>
        <v>5.2583296715092471</v>
      </c>
      <c r="U2062" s="16">
        <f>IF(AC2062=100,Braking!$AG$2354,IF(AC2062=50,Braking!$AG$1179,IF(AC2062=75,Braking!$AG$1767,0)))</f>
        <v>0</v>
      </c>
      <c r="V2062" s="16">
        <f>0.5*'Gearing Calculator'!$C$15*'Gearing Calculator'!$C$20*'Gearing Calculator'!$W$20*('Track Data'!Q2062^2)</f>
        <v>180.36832271346125</v>
      </c>
      <c r="W2062" s="16">
        <f>('Gearing Calculator'!$U$9*'Track Data'!T2062)+'Track Data'!V2062</f>
        <v>1580.1356812692229</v>
      </c>
      <c r="X2062" s="16">
        <f>('Gearing Calculator'!$U$9*9.81)*('Gearing Calculator'!$U$16/'Gearing Calculator'!$C$7)-(('Track Data'!W2062)*('Gearing Calculator'!$U$17/'Gearing Calculator'!$C$7))</f>
        <v>539.88044034373297</v>
      </c>
      <c r="Y2062" s="16">
        <f>('Gearing Calculator'!$U$9*9.81)*(('Gearing Calculator'!$C$7-'Gearing Calculator'!$U$16)/'Gearing Calculator'!$C$7)+(('Track Data'!W2062)*('Gearing Calculator'!$U$17/'Gearing Calculator'!$C$7))</f>
        <v>2071.5415596562671</v>
      </c>
      <c r="Z2062" s="16">
        <f>((X2062*COS('Gearing Calculator'!$C$21))/'Gearing Calculator'!$C$22)/2</f>
        <v>16.691395719071824</v>
      </c>
      <c r="AA2062" s="16">
        <f>Y2062/'Gearing Calculator'!$C$24</f>
        <v>28.925668218874538</v>
      </c>
      <c r="AB2062" s="16">
        <f t="shared" si="226"/>
        <v>196.14331172798899</v>
      </c>
      <c r="AC2062" s="16">
        <v>0</v>
      </c>
      <c r="AD2062" s="16">
        <v>-51.415226335993196</v>
      </c>
      <c r="AE2062" s="16">
        <v>2059</v>
      </c>
      <c r="AF2062" s="16">
        <f>IF(AC2062=0,IF(O2062=6,INDEX(Acceleration!$V$4:$V$110,MATCH('Track Data'!S2062,Acceleration!$K$4:$K$110,0)),IF('Track Data'!O2062=5,INDEX(Acceleration!$U$4:$U$110,MATCH('Track Data'!S2062,Acceleration!$K$4:$K$110,0)),1)),U2062)</f>
        <v>1</v>
      </c>
      <c r="AG2062" s="16">
        <f>IF(AC2062=0,IF(O2062=4,INDEX(Acceleration!$T$4:$T$110,MATCH('Track Data'!S2062,Acceleration!$K$4:$K$110,0)),IF('Track Data'!O2062=3,INDEX(Acceleration!$S$4:$S$110,MATCH('Track Data'!S2062,Acceleration!$K$4:$K$110,0)),'Track Data'!AF2062)),'Track Data'!U2062)</f>
        <v>5.2583296715092471</v>
      </c>
      <c r="AH2062" s="16">
        <f>IF(AC2062=0,IF(O2062=2,INDEX(Acceleration!$R$4:$R$110,MATCH('Track Data'!S2062,Acceleration!$K$4:$K$110,0)),IF('Track Data'!O2062=1,INDEX(Acceleration!$Q$4:$Q$110,MATCH('Track Data'!S2062,Acceleration!$K$4:$K$110,0)),'Track Data'!AG2062)),'Track Data'!U2062)</f>
        <v>5.2583296715092471</v>
      </c>
    </row>
    <row r="2063" spans="2:34" x14ac:dyDescent="0.25">
      <c r="B2063" s="16">
        <v>249.81700000000001</v>
      </c>
      <c r="C2063" s="16">
        <v>9333</v>
      </c>
      <c r="D2063" s="16">
        <v>2060</v>
      </c>
      <c r="E2063" s="113">
        <v>146</v>
      </c>
      <c r="F2063" s="113">
        <v>143.5</v>
      </c>
      <c r="G2063" s="113">
        <v>134.6</v>
      </c>
      <c r="H2063" s="113">
        <f t="shared" si="229"/>
        <v>37.388888888888886</v>
      </c>
      <c r="I2063" s="113">
        <v>16.8</v>
      </c>
      <c r="J2063" s="113">
        <v>86.52</v>
      </c>
      <c r="K2063" s="113">
        <v>-37.6</v>
      </c>
      <c r="L2063" s="183"/>
      <c r="M2063" s="16">
        <v>2060</v>
      </c>
      <c r="N2063" s="16">
        <f t="shared" si="231"/>
        <v>2.4223940006716432E-2</v>
      </c>
      <c r="O2063" s="16">
        <v>3</v>
      </c>
      <c r="P2063" s="16">
        <f t="shared" si="227"/>
        <v>10.596205962059623</v>
      </c>
      <c r="Q2063" s="16">
        <f t="shared" si="232"/>
        <v>41.281476082038502</v>
      </c>
      <c r="R2063" s="113">
        <f t="shared" si="228"/>
        <v>345.36</v>
      </c>
      <c r="S2063" s="16">
        <f>IF(S2062=15800,15800,ROUND((((Q2063*60)/'Gearing Calculator'!$C$14)*'Track Data'!P2063),-2))</f>
        <v>13300</v>
      </c>
      <c r="T2063" s="16">
        <f t="shared" si="230"/>
        <v>5.2583296715092471</v>
      </c>
      <c r="U2063" s="16">
        <f>IF(AC2063=100,Braking!$AG$2354,IF(AC2063=50,Braking!$AG$1179,IF(AC2063=75,Braking!$AG$1767,0)))</f>
        <v>0</v>
      </c>
      <c r="V2063" s="16">
        <f>0.5*'Gearing Calculator'!$C$15*'Gearing Calculator'!$C$20*'Gearing Calculator'!$W$20*('Track Data'!Q2063^2)</f>
        <v>180.36832271346125</v>
      </c>
      <c r="W2063" s="16">
        <f>('Gearing Calculator'!$U$9*'Track Data'!T2063)+'Track Data'!V2063</f>
        <v>1580.1356812692229</v>
      </c>
      <c r="X2063" s="16">
        <f>('Gearing Calculator'!$U$9*9.81)*('Gearing Calculator'!$U$16/'Gearing Calculator'!$C$7)-(('Track Data'!W2063)*('Gearing Calculator'!$U$17/'Gearing Calculator'!$C$7))</f>
        <v>539.88044034373297</v>
      </c>
      <c r="Y2063" s="16">
        <f>('Gearing Calculator'!$U$9*9.81)*(('Gearing Calculator'!$C$7-'Gearing Calculator'!$U$16)/'Gearing Calculator'!$C$7)+(('Track Data'!W2063)*('Gearing Calculator'!$U$17/'Gearing Calculator'!$C$7))</f>
        <v>2071.5415596562671</v>
      </c>
      <c r="Z2063" s="16">
        <f>((X2063*COS('Gearing Calculator'!$C$21))/'Gearing Calculator'!$C$22)/2</f>
        <v>16.691395719071824</v>
      </c>
      <c r="AA2063" s="16">
        <f>Y2063/'Gearing Calculator'!$C$24</f>
        <v>28.925668218874538</v>
      </c>
      <c r="AB2063" s="16">
        <f t="shared" si="226"/>
        <v>196.14331172798899</v>
      </c>
      <c r="AC2063" s="16">
        <v>0</v>
      </c>
      <c r="AD2063" s="16">
        <v>-51.415226335993196</v>
      </c>
      <c r="AE2063" s="16">
        <v>2060</v>
      </c>
      <c r="AF2063" s="16">
        <f>IF(AC2063=0,IF(O2063=6,INDEX(Acceleration!$V$4:$V$110,MATCH('Track Data'!S2063,Acceleration!$K$4:$K$110,0)),IF('Track Data'!O2063=5,INDEX(Acceleration!$U$4:$U$110,MATCH('Track Data'!S2063,Acceleration!$K$4:$K$110,0)),1)),U2063)</f>
        <v>1</v>
      </c>
      <c r="AG2063" s="16">
        <f>IF(AC2063=0,IF(O2063=4,INDEX(Acceleration!$T$4:$T$110,MATCH('Track Data'!S2063,Acceleration!$K$4:$K$110,0)),IF('Track Data'!O2063=3,INDEX(Acceleration!$S$4:$S$110,MATCH('Track Data'!S2063,Acceleration!$K$4:$K$110,0)),'Track Data'!AF2063)),'Track Data'!U2063)</f>
        <v>5.2583296715092471</v>
      </c>
      <c r="AH2063" s="16">
        <f>IF(AC2063=0,IF(O2063=2,INDEX(Acceleration!$R$4:$R$110,MATCH('Track Data'!S2063,Acceleration!$K$4:$K$110,0)),IF('Track Data'!O2063=1,INDEX(Acceleration!$Q$4:$Q$110,MATCH('Track Data'!S2063,Acceleration!$K$4:$K$110,0)),'Track Data'!AG2063)),'Track Data'!U2063)</f>
        <v>5.2583296715092471</v>
      </c>
    </row>
    <row r="2064" spans="2:34" x14ac:dyDescent="0.25">
      <c r="B2064" s="16">
        <v>249.84200000000001</v>
      </c>
      <c r="C2064" s="16">
        <v>9334</v>
      </c>
      <c r="D2064" s="16">
        <v>2061</v>
      </c>
      <c r="E2064" s="113">
        <v>146</v>
      </c>
      <c r="F2064" s="113">
        <v>143.6</v>
      </c>
      <c r="G2064" s="113">
        <v>134</v>
      </c>
      <c r="H2064" s="113">
        <f t="shared" si="229"/>
        <v>37.222222222222221</v>
      </c>
      <c r="I2064" s="113">
        <v>14.5</v>
      </c>
      <c r="J2064" s="113">
        <v>84.05</v>
      </c>
      <c r="K2064" s="113">
        <v>-38.200000000000003</v>
      </c>
      <c r="L2064" s="183"/>
      <c r="M2064" s="16">
        <v>2061</v>
      </c>
      <c r="N2064" s="16">
        <f t="shared" si="231"/>
        <v>2.4223940006716432E-2</v>
      </c>
      <c r="O2064" s="16">
        <v>3</v>
      </c>
      <c r="P2064" s="16">
        <f t="shared" si="227"/>
        <v>10.596205962059623</v>
      </c>
      <c r="Q2064" s="16">
        <f t="shared" si="232"/>
        <v>41.281476082038502</v>
      </c>
      <c r="R2064" s="113">
        <f t="shared" si="228"/>
        <v>345.36</v>
      </c>
      <c r="S2064" s="16">
        <f>IF(S2063=15800,15800,ROUND((((Q2064*60)/'Gearing Calculator'!$C$14)*'Track Data'!P2064),-2))</f>
        <v>13300</v>
      </c>
      <c r="T2064" s="16">
        <f t="shared" si="230"/>
        <v>5.2583296715092471</v>
      </c>
      <c r="U2064" s="16">
        <f>IF(AC2064=100,Braking!$AG$2354,IF(AC2064=50,Braking!$AG$1179,IF(AC2064=75,Braking!$AG$1767,0)))</f>
        <v>0</v>
      </c>
      <c r="V2064" s="16">
        <f>0.5*'Gearing Calculator'!$C$15*'Gearing Calculator'!$C$20*'Gearing Calculator'!$W$20*('Track Data'!Q2064^2)</f>
        <v>180.36832271346125</v>
      </c>
      <c r="W2064" s="16">
        <f>('Gearing Calculator'!$U$9*'Track Data'!T2064)+'Track Data'!V2064</f>
        <v>1580.1356812692229</v>
      </c>
      <c r="X2064" s="16">
        <f>('Gearing Calculator'!$U$9*9.81)*('Gearing Calculator'!$U$16/'Gearing Calculator'!$C$7)-(('Track Data'!W2064)*('Gearing Calculator'!$U$17/'Gearing Calculator'!$C$7))</f>
        <v>539.88044034373297</v>
      </c>
      <c r="Y2064" s="16">
        <f>('Gearing Calculator'!$U$9*9.81)*(('Gearing Calculator'!$C$7-'Gearing Calculator'!$U$16)/'Gearing Calculator'!$C$7)+(('Track Data'!W2064)*('Gearing Calculator'!$U$17/'Gearing Calculator'!$C$7))</f>
        <v>2071.5415596562671</v>
      </c>
      <c r="Z2064" s="16">
        <f>((X2064*COS('Gearing Calculator'!$C$21))/'Gearing Calculator'!$C$22)/2</f>
        <v>16.691395719071824</v>
      </c>
      <c r="AA2064" s="16">
        <f>Y2064/'Gearing Calculator'!$C$24</f>
        <v>28.925668218874538</v>
      </c>
      <c r="AB2064" s="16">
        <f t="shared" si="226"/>
        <v>196.14331172798899</v>
      </c>
      <c r="AC2064" s="16">
        <v>0</v>
      </c>
      <c r="AD2064" s="16">
        <v>-51.415226335993196</v>
      </c>
      <c r="AE2064" s="16">
        <v>2061</v>
      </c>
      <c r="AF2064" s="16">
        <f>IF(AC2064=0,IF(O2064=6,INDEX(Acceleration!$V$4:$V$110,MATCH('Track Data'!S2064,Acceleration!$K$4:$K$110,0)),IF('Track Data'!O2064=5,INDEX(Acceleration!$U$4:$U$110,MATCH('Track Data'!S2064,Acceleration!$K$4:$K$110,0)),1)),U2064)</f>
        <v>1</v>
      </c>
      <c r="AG2064" s="16">
        <f>IF(AC2064=0,IF(O2064=4,INDEX(Acceleration!$T$4:$T$110,MATCH('Track Data'!S2064,Acceleration!$K$4:$K$110,0)),IF('Track Data'!O2064=3,INDEX(Acceleration!$S$4:$S$110,MATCH('Track Data'!S2064,Acceleration!$K$4:$K$110,0)),'Track Data'!AF2064)),'Track Data'!U2064)</f>
        <v>5.2583296715092471</v>
      </c>
      <c r="AH2064" s="16">
        <f>IF(AC2064=0,IF(O2064=2,INDEX(Acceleration!$R$4:$R$110,MATCH('Track Data'!S2064,Acceleration!$K$4:$K$110,0)),IF('Track Data'!O2064=1,INDEX(Acceleration!$Q$4:$Q$110,MATCH('Track Data'!S2064,Acceleration!$K$4:$K$110,0)),'Track Data'!AG2064)),'Track Data'!U2064)</f>
        <v>5.2583296715092471</v>
      </c>
    </row>
    <row r="2065" spans="2:34" x14ac:dyDescent="0.25">
      <c r="B2065" s="16">
        <v>249.86699999999999</v>
      </c>
      <c r="C2065" s="16">
        <v>9335</v>
      </c>
      <c r="D2065" s="16">
        <v>2062</v>
      </c>
      <c r="E2065" s="113">
        <v>145</v>
      </c>
      <c r="F2065" s="113">
        <v>143.4</v>
      </c>
      <c r="G2065" s="113">
        <v>133.69999999999999</v>
      </c>
      <c r="H2065" s="113">
        <f t="shared" si="229"/>
        <v>37.138888888888886</v>
      </c>
      <c r="I2065" s="113">
        <v>12.4</v>
      </c>
      <c r="J2065" s="113">
        <v>83.56</v>
      </c>
      <c r="K2065" s="113">
        <v>-41.4</v>
      </c>
      <c r="L2065" s="183"/>
      <c r="M2065" s="16">
        <v>2062</v>
      </c>
      <c r="N2065" s="16">
        <f t="shared" si="231"/>
        <v>2.4223940006716432E-2</v>
      </c>
      <c r="O2065" s="16">
        <v>3</v>
      </c>
      <c r="P2065" s="16">
        <f t="shared" si="227"/>
        <v>10.596205962059623</v>
      </c>
      <c r="Q2065" s="16">
        <f t="shared" si="232"/>
        <v>41.281476082038502</v>
      </c>
      <c r="R2065" s="113">
        <f t="shared" si="228"/>
        <v>345.36</v>
      </c>
      <c r="S2065" s="16">
        <f>IF(S2064=15800,15800,ROUND((((Q2065*60)/'Gearing Calculator'!$C$14)*'Track Data'!P2065),-2))</f>
        <v>13300</v>
      </c>
      <c r="T2065" s="16">
        <f t="shared" si="230"/>
        <v>5.2583296715092471</v>
      </c>
      <c r="U2065" s="16">
        <f>IF(AC2065=100,Braking!$AG$2354,IF(AC2065=50,Braking!$AG$1179,IF(AC2065=75,Braking!$AG$1767,0)))</f>
        <v>0</v>
      </c>
      <c r="V2065" s="16">
        <f>0.5*'Gearing Calculator'!$C$15*'Gearing Calculator'!$C$20*'Gearing Calculator'!$W$20*('Track Data'!Q2065^2)</f>
        <v>180.36832271346125</v>
      </c>
      <c r="W2065" s="16">
        <f>('Gearing Calculator'!$U$9*'Track Data'!T2065)+'Track Data'!V2065</f>
        <v>1580.1356812692229</v>
      </c>
      <c r="X2065" s="16">
        <f>('Gearing Calculator'!$U$9*9.81)*('Gearing Calculator'!$U$16/'Gearing Calculator'!$C$7)-(('Track Data'!W2065)*('Gearing Calculator'!$U$17/'Gearing Calculator'!$C$7))</f>
        <v>539.88044034373297</v>
      </c>
      <c r="Y2065" s="16">
        <f>('Gearing Calculator'!$U$9*9.81)*(('Gearing Calculator'!$C$7-'Gearing Calculator'!$U$16)/'Gearing Calculator'!$C$7)+(('Track Data'!W2065)*('Gearing Calculator'!$U$17/'Gearing Calculator'!$C$7))</f>
        <v>2071.5415596562671</v>
      </c>
      <c r="Z2065" s="16">
        <f>((X2065*COS('Gearing Calculator'!$C$21))/'Gearing Calculator'!$C$22)/2</f>
        <v>16.691395719071824</v>
      </c>
      <c r="AA2065" s="16">
        <f>Y2065/'Gearing Calculator'!$C$24</f>
        <v>28.925668218874538</v>
      </c>
      <c r="AB2065" s="16">
        <f t="shared" si="226"/>
        <v>196.14331172798899</v>
      </c>
      <c r="AC2065" s="16">
        <v>0</v>
      </c>
      <c r="AD2065" s="16">
        <v>-51.415226335993196</v>
      </c>
      <c r="AE2065" s="16">
        <v>2062</v>
      </c>
      <c r="AF2065" s="16">
        <f>IF(AC2065=0,IF(O2065=6,INDEX(Acceleration!$V$4:$V$110,MATCH('Track Data'!S2065,Acceleration!$K$4:$K$110,0)),IF('Track Data'!O2065=5,INDEX(Acceleration!$U$4:$U$110,MATCH('Track Data'!S2065,Acceleration!$K$4:$K$110,0)),1)),U2065)</f>
        <v>1</v>
      </c>
      <c r="AG2065" s="16">
        <f>IF(AC2065=0,IF(O2065=4,INDEX(Acceleration!$T$4:$T$110,MATCH('Track Data'!S2065,Acceleration!$K$4:$K$110,0)),IF('Track Data'!O2065=3,INDEX(Acceleration!$S$4:$S$110,MATCH('Track Data'!S2065,Acceleration!$K$4:$K$110,0)),'Track Data'!AF2065)),'Track Data'!U2065)</f>
        <v>5.2583296715092471</v>
      </c>
      <c r="AH2065" s="16">
        <f>IF(AC2065=0,IF(O2065=2,INDEX(Acceleration!$R$4:$R$110,MATCH('Track Data'!S2065,Acceleration!$K$4:$K$110,0)),IF('Track Data'!O2065=1,INDEX(Acceleration!$Q$4:$Q$110,MATCH('Track Data'!S2065,Acceleration!$K$4:$K$110,0)),'Track Data'!AG2065)),'Track Data'!U2065)</f>
        <v>5.2583296715092471</v>
      </c>
    </row>
    <row r="2066" spans="2:34" x14ac:dyDescent="0.25">
      <c r="B2066" s="16">
        <v>249.892</v>
      </c>
      <c r="C2066" s="16">
        <v>9336</v>
      </c>
      <c r="D2066" s="16">
        <v>2063</v>
      </c>
      <c r="E2066" s="113">
        <v>145</v>
      </c>
      <c r="F2066" s="113">
        <v>143</v>
      </c>
      <c r="G2066" s="113">
        <v>133.19999999999999</v>
      </c>
      <c r="H2066" s="113">
        <f t="shared" si="229"/>
        <v>36.999999999999993</v>
      </c>
      <c r="I2066" s="113">
        <v>10.8</v>
      </c>
      <c r="J2066" s="113">
        <v>78.75</v>
      </c>
      <c r="K2066" s="113">
        <v>-46.2</v>
      </c>
      <c r="L2066" s="183"/>
      <c r="M2066" s="16">
        <v>2063</v>
      </c>
      <c r="N2066" s="16">
        <f t="shared" si="231"/>
        <v>2.4223940006716432E-2</v>
      </c>
      <c r="O2066" s="16">
        <v>3</v>
      </c>
      <c r="P2066" s="16">
        <f t="shared" si="227"/>
        <v>10.596205962059623</v>
      </c>
      <c r="Q2066" s="16">
        <f t="shared" si="232"/>
        <v>41.281476082038502</v>
      </c>
      <c r="R2066" s="113">
        <f t="shared" si="228"/>
        <v>345.36</v>
      </c>
      <c r="S2066" s="16">
        <f>IF(S2065=15800,15800,ROUND((((Q2066*60)/'Gearing Calculator'!$C$14)*'Track Data'!P2066),-2))</f>
        <v>13300</v>
      </c>
      <c r="T2066" s="16">
        <f t="shared" si="230"/>
        <v>5.2583296715092471</v>
      </c>
      <c r="U2066" s="16">
        <f>IF(AC2066=100,Braking!$AG$2354,IF(AC2066=50,Braking!$AG$1179,IF(AC2066=75,Braking!$AG$1767,0)))</f>
        <v>0</v>
      </c>
      <c r="V2066" s="16">
        <f>0.5*'Gearing Calculator'!$C$15*'Gearing Calculator'!$C$20*'Gearing Calculator'!$W$20*('Track Data'!Q2066^2)</f>
        <v>180.36832271346125</v>
      </c>
      <c r="W2066" s="16">
        <f>('Gearing Calculator'!$U$9*'Track Data'!T2066)+'Track Data'!V2066</f>
        <v>1580.1356812692229</v>
      </c>
      <c r="X2066" s="16">
        <f>('Gearing Calculator'!$U$9*9.81)*('Gearing Calculator'!$U$16/'Gearing Calculator'!$C$7)-(('Track Data'!W2066)*('Gearing Calculator'!$U$17/'Gearing Calculator'!$C$7))</f>
        <v>539.88044034373297</v>
      </c>
      <c r="Y2066" s="16">
        <f>('Gearing Calculator'!$U$9*9.81)*(('Gearing Calculator'!$C$7-'Gearing Calculator'!$U$16)/'Gearing Calculator'!$C$7)+(('Track Data'!W2066)*('Gearing Calculator'!$U$17/'Gearing Calculator'!$C$7))</f>
        <v>2071.5415596562671</v>
      </c>
      <c r="Z2066" s="16">
        <f>((X2066*COS('Gearing Calculator'!$C$21))/'Gearing Calculator'!$C$22)/2</f>
        <v>16.691395719071824</v>
      </c>
      <c r="AA2066" s="16">
        <f>Y2066/'Gearing Calculator'!$C$24</f>
        <v>28.925668218874538</v>
      </c>
      <c r="AB2066" s="16">
        <f t="shared" si="226"/>
        <v>196.14331172798899</v>
      </c>
      <c r="AC2066" s="16">
        <v>0</v>
      </c>
      <c r="AD2066" s="16">
        <v>-51.415226335993196</v>
      </c>
      <c r="AE2066" s="16">
        <v>2063</v>
      </c>
      <c r="AF2066" s="16">
        <f>IF(AC2066=0,IF(O2066=6,INDEX(Acceleration!$V$4:$V$110,MATCH('Track Data'!S2066,Acceleration!$K$4:$K$110,0)),IF('Track Data'!O2066=5,INDEX(Acceleration!$U$4:$U$110,MATCH('Track Data'!S2066,Acceleration!$K$4:$K$110,0)),1)),U2066)</f>
        <v>1</v>
      </c>
      <c r="AG2066" s="16">
        <f>IF(AC2066=0,IF(O2066=4,INDEX(Acceleration!$T$4:$T$110,MATCH('Track Data'!S2066,Acceleration!$K$4:$K$110,0)),IF('Track Data'!O2066=3,INDEX(Acceleration!$S$4:$S$110,MATCH('Track Data'!S2066,Acceleration!$K$4:$K$110,0)),'Track Data'!AF2066)),'Track Data'!U2066)</f>
        <v>5.2583296715092471</v>
      </c>
      <c r="AH2066" s="16">
        <f>IF(AC2066=0,IF(O2066=2,INDEX(Acceleration!$R$4:$R$110,MATCH('Track Data'!S2066,Acceleration!$K$4:$K$110,0)),IF('Track Data'!O2066=1,INDEX(Acceleration!$Q$4:$Q$110,MATCH('Track Data'!S2066,Acceleration!$K$4:$K$110,0)),'Track Data'!AG2066)),'Track Data'!U2066)</f>
        <v>5.2583296715092471</v>
      </c>
    </row>
    <row r="2067" spans="2:34" x14ac:dyDescent="0.25">
      <c r="B2067" s="16">
        <v>249.917</v>
      </c>
      <c r="C2067" s="16">
        <v>9337</v>
      </c>
      <c r="D2067" s="16">
        <v>2064</v>
      </c>
      <c r="E2067" s="113">
        <v>144</v>
      </c>
      <c r="F2067" s="113">
        <v>142.69999999999999</v>
      </c>
      <c r="G2067" s="113">
        <v>132.9</v>
      </c>
      <c r="H2067" s="113">
        <f t="shared" si="229"/>
        <v>36.916666666666664</v>
      </c>
      <c r="I2067" s="113">
        <v>10.6</v>
      </c>
      <c r="J2067" s="113">
        <v>78.72</v>
      </c>
      <c r="K2067" s="113">
        <v>-49.4</v>
      </c>
      <c r="L2067" s="183"/>
      <c r="M2067" s="16">
        <v>2064</v>
      </c>
      <c r="N2067" s="16">
        <f t="shared" si="231"/>
        <v>2.4223940006716432E-2</v>
      </c>
      <c r="O2067" s="16">
        <v>3</v>
      </c>
      <c r="P2067" s="16">
        <f t="shared" si="227"/>
        <v>10.596205962059623</v>
      </c>
      <c r="Q2067" s="16">
        <f t="shared" si="232"/>
        <v>41.281476082038502</v>
      </c>
      <c r="R2067" s="113">
        <f t="shared" si="228"/>
        <v>345.36</v>
      </c>
      <c r="S2067" s="16">
        <f>IF(S2066=15800,15800,ROUND((((Q2067*60)/'Gearing Calculator'!$C$14)*'Track Data'!P2067),-2))</f>
        <v>13300</v>
      </c>
      <c r="T2067" s="16">
        <f t="shared" si="230"/>
        <v>5.2583296715092471</v>
      </c>
      <c r="U2067" s="16">
        <f>IF(AC2067=100,Braking!$AG$2354,IF(AC2067=50,Braking!$AG$1179,IF(AC2067=75,Braking!$AG$1767,0)))</f>
        <v>0</v>
      </c>
      <c r="V2067" s="16">
        <f>0.5*'Gearing Calculator'!$C$15*'Gearing Calculator'!$C$20*'Gearing Calculator'!$W$20*('Track Data'!Q2067^2)</f>
        <v>180.36832271346125</v>
      </c>
      <c r="W2067" s="16">
        <f>('Gearing Calculator'!$U$9*'Track Data'!T2067)+'Track Data'!V2067</f>
        <v>1580.1356812692229</v>
      </c>
      <c r="X2067" s="16">
        <f>('Gearing Calculator'!$U$9*9.81)*('Gearing Calculator'!$U$16/'Gearing Calculator'!$C$7)-(('Track Data'!W2067)*('Gearing Calculator'!$U$17/'Gearing Calculator'!$C$7))</f>
        <v>539.88044034373297</v>
      </c>
      <c r="Y2067" s="16">
        <f>('Gearing Calculator'!$U$9*9.81)*(('Gearing Calculator'!$C$7-'Gearing Calculator'!$U$16)/'Gearing Calculator'!$C$7)+(('Track Data'!W2067)*('Gearing Calculator'!$U$17/'Gearing Calculator'!$C$7))</f>
        <v>2071.5415596562671</v>
      </c>
      <c r="Z2067" s="16">
        <f>((X2067*COS('Gearing Calculator'!$C$21))/'Gearing Calculator'!$C$22)/2</f>
        <v>16.691395719071824</v>
      </c>
      <c r="AA2067" s="16">
        <f>Y2067/'Gearing Calculator'!$C$24</f>
        <v>28.925668218874538</v>
      </c>
      <c r="AB2067" s="16">
        <f t="shared" si="226"/>
        <v>196.14331172798899</v>
      </c>
      <c r="AC2067" s="16">
        <v>0</v>
      </c>
      <c r="AD2067" s="16">
        <v>-51.415226335993196</v>
      </c>
      <c r="AE2067" s="16">
        <v>2064</v>
      </c>
      <c r="AF2067" s="16">
        <f>IF(AC2067=0,IF(O2067=6,INDEX(Acceleration!$V$4:$V$110,MATCH('Track Data'!S2067,Acceleration!$K$4:$K$110,0)),IF('Track Data'!O2067=5,INDEX(Acceleration!$U$4:$U$110,MATCH('Track Data'!S2067,Acceleration!$K$4:$K$110,0)),1)),U2067)</f>
        <v>1</v>
      </c>
      <c r="AG2067" s="16">
        <f>IF(AC2067=0,IF(O2067=4,INDEX(Acceleration!$T$4:$T$110,MATCH('Track Data'!S2067,Acceleration!$K$4:$K$110,0)),IF('Track Data'!O2067=3,INDEX(Acceleration!$S$4:$S$110,MATCH('Track Data'!S2067,Acceleration!$K$4:$K$110,0)),'Track Data'!AF2067)),'Track Data'!U2067)</f>
        <v>5.2583296715092471</v>
      </c>
      <c r="AH2067" s="16">
        <f>IF(AC2067=0,IF(O2067=2,INDEX(Acceleration!$R$4:$R$110,MATCH('Track Data'!S2067,Acceleration!$K$4:$K$110,0)),IF('Track Data'!O2067=1,INDEX(Acceleration!$Q$4:$Q$110,MATCH('Track Data'!S2067,Acceleration!$K$4:$K$110,0)),'Track Data'!AG2067)),'Track Data'!U2067)</f>
        <v>5.2583296715092471</v>
      </c>
    </row>
    <row r="2068" spans="2:34" x14ac:dyDescent="0.25">
      <c r="B2068" s="16">
        <v>249.94200000000001</v>
      </c>
      <c r="C2068" s="16">
        <v>9338</v>
      </c>
      <c r="D2068" s="16">
        <v>2065</v>
      </c>
      <c r="E2068" s="113">
        <v>144</v>
      </c>
      <c r="F2068" s="113">
        <v>142.4</v>
      </c>
      <c r="G2068" s="113">
        <v>132.4</v>
      </c>
      <c r="H2068" s="113">
        <f t="shared" si="229"/>
        <v>36.777777777777779</v>
      </c>
      <c r="I2068" s="113">
        <v>8.4</v>
      </c>
      <c r="J2068" s="113">
        <v>75.36</v>
      </c>
      <c r="K2068" s="113">
        <v>-51.5</v>
      </c>
      <c r="L2068" s="183"/>
      <c r="M2068" s="16">
        <v>2065</v>
      </c>
      <c r="N2068" s="16">
        <f t="shared" si="231"/>
        <v>2.4223940006716432E-2</v>
      </c>
      <c r="O2068" s="16">
        <v>3</v>
      </c>
      <c r="P2068" s="16">
        <f t="shared" si="227"/>
        <v>10.596205962059623</v>
      </c>
      <c r="Q2068" s="16">
        <f t="shared" si="232"/>
        <v>41.281476082038502</v>
      </c>
      <c r="R2068" s="113">
        <f t="shared" si="228"/>
        <v>345.36</v>
      </c>
      <c r="S2068" s="16">
        <f>IF(S2067=15800,15800,ROUND((((Q2068*60)/'Gearing Calculator'!$C$14)*'Track Data'!P2068),-2))</f>
        <v>13300</v>
      </c>
      <c r="T2068" s="16">
        <f t="shared" si="230"/>
        <v>5.2583296715092471</v>
      </c>
      <c r="U2068" s="16">
        <f>IF(AC2068=100,Braking!$AG$2354,IF(AC2068=50,Braking!$AG$1179,IF(AC2068=75,Braking!$AG$1767,0)))</f>
        <v>0</v>
      </c>
      <c r="V2068" s="16">
        <f>0.5*'Gearing Calculator'!$C$15*'Gearing Calculator'!$C$20*'Gearing Calculator'!$W$20*('Track Data'!Q2068^2)</f>
        <v>180.36832271346125</v>
      </c>
      <c r="W2068" s="16">
        <f>('Gearing Calculator'!$U$9*'Track Data'!T2068)+'Track Data'!V2068</f>
        <v>1580.1356812692229</v>
      </c>
      <c r="X2068" s="16">
        <f>('Gearing Calculator'!$U$9*9.81)*('Gearing Calculator'!$U$16/'Gearing Calculator'!$C$7)-(('Track Data'!W2068)*('Gearing Calculator'!$U$17/'Gearing Calculator'!$C$7))</f>
        <v>539.88044034373297</v>
      </c>
      <c r="Y2068" s="16">
        <f>('Gearing Calculator'!$U$9*9.81)*(('Gearing Calculator'!$C$7-'Gearing Calculator'!$U$16)/'Gearing Calculator'!$C$7)+(('Track Data'!W2068)*('Gearing Calculator'!$U$17/'Gearing Calculator'!$C$7))</f>
        <v>2071.5415596562671</v>
      </c>
      <c r="Z2068" s="16">
        <f>((X2068*COS('Gearing Calculator'!$C$21))/'Gearing Calculator'!$C$22)/2</f>
        <v>16.691395719071824</v>
      </c>
      <c r="AA2068" s="16">
        <f>Y2068/'Gearing Calculator'!$C$24</f>
        <v>28.925668218874538</v>
      </c>
      <c r="AB2068" s="16">
        <f t="shared" si="226"/>
        <v>196.14331172798899</v>
      </c>
      <c r="AC2068" s="16">
        <v>0</v>
      </c>
      <c r="AD2068" s="16">
        <v>-51.415226335993196</v>
      </c>
      <c r="AE2068" s="16">
        <v>2065</v>
      </c>
      <c r="AF2068" s="16">
        <f>IF(AC2068=0,IF(O2068=6,INDEX(Acceleration!$V$4:$V$110,MATCH('Track Data'!S2068,Acceleration!$K$4:$K$110,0)),IF('Track Data'!O2068=5,INDEX(Acceleration!$U$4:$U$110,MATCH('Track Data'!S2068,Acceleration!$K$4:$K$110,0)),1)),U2068)</f>
        <v>1</v>
      </c>
      <c r="AG2068" s="16">
        <f>IF(AC2068=0,IF(O2068=4,INDEX(Acceleration!$T$4:$T$110,MATCH('Track Data'!S2068,Acceleration!$K$4:$K$110,0)),IF('Track Data'!O2068=3,INDEX(Acceleration!$S$4:$S$110,MATCH('Track Data'!S2068,Acceleration!$K$4:$K$110,0)),'Track Data'!AF2068)),'Track Data'!U2068)</f>
        <v>5.2583296715092471</v>
      </c>
      <c r="AH2068" s="16">
        <f>IF(AC2068=0,IF(O2068=2,INDEX(Acceleration!$R$4:$R$110,MATCH('Track Data'!S2068,Acceleration!$K$4:$K$110,0)),IF('Track Data'!O2068=1,INDEX(Acceleration!$Q$4:$Q$110,MATCH('Track Data'!S2068,Acceleration!$K$4:$K$110,0)),'Track Data'!AG2068)),'Track Data'!U2068)</f>
        <v>5.2583296715092471</v>
      </c>
    </row>
    <row r="2069" spans="2:34" x14ac:dyDescent="0.25">
      <c r="B2069" s="16">
        <v>249.96799999999999</v>
      </c>
      <c r="C2069" s="16">
        <v>9339</v>
      </c>
      <c r="D2069" s="16">
        <v>2066</v>
      </c>
      <c r="E2069" s="113">
        <v>144</v>
      </c>
      <c r="F2069" s="113">
        <v>142.1</v>
      </c>
      <c r="G2069" s="113">
        <v>132</v>
      </c>
      <c r="H2069" s="113">
        <f t="shared" si="229"/>
        <v>36.666666666666664</v>
      </c>
      <c r="I2069" s="113">
        <v>8.1</v>
      </c>
      <c r="J2069" s="113">
        <v>73.349999999999994</v>
      </c>
      <c r="K2069" s="113">
        <v>-52.5</v>
      </c>
      <c r="L2069" s="183"/>
      <c r="M2069" s="16">
        <v>2066</v>
      </c>
      <c r="N2069" s="16">
        <f t="shared" si="231"/>
        <v>2.4223940006716432E-2</v>
      </c>
      <c r="O2069" s="16">
        <v>3</v>
      </c>
      <c r="P2069" s="16">
        <f t="shared" si="227"/>
        <v>10.596205962059623</v>
      </c>
      <c r="Q2069" s="16">
        <f t="shared" si="232"/>
        <v>41.281476082038502</v>
      </c>
      <c r="R2069" s="113">
        <f t="shared" si="228"/>
        <v>345.36</v>
      </c>
      <c r="S2069" s="16">
        <f>IF(S2068=15800,15800,ROUND((((Q2069*60)/'Gearing Calculator'!$C$14)*'Track Data'!P2069),-2))</f>
        <v>13300</v>
      </c>
      <c r="T2069" s="16">
        <f t="shared" si="230"/>
        <v>5.2583296715092471</v>
      </c>
      <c r="U2069" s="16">
        <f>IF(AC2069=100,Braking!$AG$2354,IF(AC2069=50,Braking!$AG$1179,IF(AC2069=75,Braking!$AG$1767,0)))</f>
        <v>0</v>
      </c>
      <c r="V2069" s="16">
        <f>0.5*'Gearing Calculator'!$C$15*'Gearing Calculator'!$C$20*'Gearing Calculator'!$W$20*('Track Data'!Q2069^2)</f>
        <v>180.36832271346125</v>
      </c>
      <c r="W2069" s="16">
        <f>('Gearing Calculator'!$U$9*'Track Data'!T2069)+'Track Data'!V2069</f>
        <v>1580.1356812692229</v>
      </c>
      <c r="X2069" s="16">
        <f>('Gearing Calculator'!$U$9*9.81)*('Gearing Calculator'!$U$16/'Gearing Calculator'!$C$7)-(('Track Data'!W2069)*('Gearing Calculator'!$U$17/'Gearing Calculator'!$C$7))</f>
        <v>539.88044034373297</v>
      </c>
      <c r="Y2069" s="16">
        <f>('Gearing Calculator'!$U$9*9.81)*(('Gearing Calculator'!$C$7-'Gearing Calculator'!$U$16)/'Gearing Calculator'!$C$7)+(('Track Data'!W2069)*('Gearing Calculator'!$U$17/'Gearing Calculator'!$C$7))</f>
        <v>2071.5415596562671</v>
      </c>
      <c r="Z2069" s="16">
        <f>((X2069*COS('Gearing Calculator'!$C$21))/'Gearing Calculator'!$C$22)/2</f>
        <v>16.691395719071824</v>
      </c>
      <c r="AA2069" s="16">
        <f>Y2069/'Gearing Calculator'!$C$24</f>
        <v>28.925668218874538</v>
      </c>
      <c r="AB2069" s="16">
        <f t="shared" si="226"/>
        <v>196.14331172798899</v>
      </c>
      <c r="AC2069" s="16">
        <v>0</v>
      </c>
      <c r="AD2069" s="16">
        <v>-51.415226335993196</v>
      </c>
      <c r="AE2069" s="16">
        <v>2066</v>
      </c>
      <c r="AF2069" s="16">
        <f>IF(AC2069=0,IF(O2069=6,INDEX(Acceleration!$V$4:$V$110,MATCH('Track Data'!S2069,Acceleration!$K$4:$K$110,0)),IF('Track Data'!O2069=5,INDEX(Acceleration!$U$4:$U$110,MATCH('Track Data'!S2069,Acceleration!$K$4:$K$110,0)),1)),U2069)</f>
        <v>1</v>
      </c>
      <c r="AG2069" s="16">
        <f>IF(AC2069=0,IF(O2069=4,INDEX(Acceleration!$T$4:$T$110,MATCH('Track Data'!S2069,Acceleration!$K$4:$K$110,0)),IF('Track Data'!O2069=3,INDEX(Acceleration!$S$4:$S$110,MATCH('Track Data'!S2069,Acceleration!$K$4:$K$110,0)),'Track Data'!AF2069)),'Track Data'!U2069)</f>
        <v>5.2583296715092471</v>
      </c>
      <c r="AH2069" s="16">
        <f>IF(AC2069=0,IF(O2069=2,INDEX(Acceleration!$R$4:$R$110,MATCH('Track Data'!S2069,Acceleration!$K$4:$K$110,0)),IF('Track Data'!O2069=1,INDEX(Acceleration!$Q$4:$Q$110,MATCH('Track Data'!S2069,Acceleration!$K$4:$K$110,0)),'Track Data'!AG2069)),'Track Data'!U2069)</f>
        <v>5.2583296715092471</v>
      </c>
    </row>
    <row r="2070" spans="2:34" x14ac:dyDescent="0.25">
      <c r="B2070" s="16">
        <v>249.99299999999999</v>
      </c>
      <c r="C2070" s="16">
        <v>9340</v>
      </c>
      <c r="D2070" s="16">
        <v>2067</v>
      </c>
      <c r="E2070" s="113">
        <v>143</v>
      </c>
      <c r="F2070" s="113">
        <v>141.5</v>
      </c>
      <c r="G2070" s="113">
        <v>131.5</v>
      </c>
      <c r="H2070" s="113">
        <f t="shared" si="229"/>
        <v>36.527777777777779</v>
      </c>
      <c r="I2070" s="113">
        <v>6.8</v>
      </c>
      <c r="J2070" s="113">
        <v>73.06</v>
      </c>
      <c r="K2070" s="113">
        <v>-53.9</v>
      </c>
      <c r="L2070" s="183"/>
      <c r="M2070" s="16">
        <v>2067</v>
      </c>
      <c r="N2070" s="16">
        <f t="shared" si="231"/>
        <v>2.4223940006716432E-2</v>
      </c>
      <c r="O2070" s="16">
        <v>3</v>
      </c>
      <c r="P2070" s="16">
        <f t="shared" si="227"/>
        <v>10.596205962059623</v>
      </c>
      <c r="Q2070" s="16">
        <f t="shared" si="232"/>
        <v>41.281476082038502</v>
      </c>
      <c r="R2070" s="113">
        <f t="shared" si="228"/>
        <v>345.36</v>
      </c>
      <c r="S2070" s="16">
        <f>IF(S2069=15800,15800,ROUND((((Q2070*60)/'Gearing Calculator'!$C$14)*'Track Data'!P2070),-2))</f>
        <v>13300</v>
      </c>
      <c r="T2070" s="16">
        <f t="shared" si="230"/>
        <v>5.2583296715092471</v>
      </c>
      <c r="U2070" s="16">
        <f>IF(AC2070=100,Braking!$AG$2354,IF(AC2070=50,Braking!$AG$1179,IF(AC2070=75,Braking!$AG$1767,0)))</f>
        <v>0</v>
      </c>
      <c r="V2070" s="16">
        <f>0.5*'Gearing Calculator'!$C$15*'Gearing Calculator'!$C$20*'Gearing Calculator'!$W$20*('Track Data'!Q2070^2)</f>
        <v>180.36832271346125</v>
      </c>
      <c r="W2070" s="16">
        <f>('Gearing Calculator'!$U$9*'Track Data'!T2070)+'Track Data'!V2070</f>
        <v>1580.1356812692229</v>
      </c>
      <c r="X2070" s="16">
        <f>('Gearing Calculator'!$U$9*9.81)*('Gearing Calculator'!$U$16/'Gearing Calculator'!$C$7)-(('Track Data'!W2070)*('Gearing Calculator'!$U$17/'Gearing Calculator'!$C$7))</f>
        <v>539.88044034373297</v>
      </c>
      <c r="Y2070" s="16">
        <f>('Gearing Calculator'!$U$9*9.81)*(('Gearing Calculator'!$C$7-'Gearing Calculator'!$U$16)/'Gearing Calculator'!$C$7)+(('Track Data'!W2070)*('Gearing Calculator'!$U$17/'Gearing Calculator'!$C$7))</f>
        <v>2071.5415596562671</v>
      </c>
      <c r="Z2070" s="16">
        <f>((X2070*COS('Gearing Calculator'!$C$21))/'Gearing Calculator'!$C$22)/2</f>
        <v>16.691395719071824</v>
      </c>
      <c r="AA2070" s="16">
        <f>Y2070/'Gearing Calculator'!$C$24</f>
        <v>28.925668218874538</v>
      </c>
      <c r="AB2070" s="16">
        <f t="shared" si="226"/>
        <v>196.14331172798899</v>
      </c>
      <c r="AC2070" s="16">
        <v>0</v>
      </c>
      <c r="AD2070" s="16">
        <v>-51.415226335993196</v>
      </c>
      <c r="AE2070" s="16">
        <v>2067</v>
      </c>
      <c r="AF2070" s="16">
        <f>IF(AC2070=0,IF(O2070=6,INDEX(Acceleration!$V$4:$V$110,MATCH('Track Data'!S2070,Acceleration!$K$4:$K$110,0)),IF('Track Data'!O2070=5,INDEX(Acceleration!$U$4:$U$110,MATCH('Track Data'!S2070,Acceleration!$K$4:$K$110,0)),1)),U2070)</f>
        <v>1</v>
      </c>
      <c r="AG2070" s="16">
        <f>IF(AC2070=0,IF(O2070=4,INDEX(Acceleration!$T$4:$T$110,MATCH('Track Data'!S2070,Acceleration!$K$4:$K$110,0)),IF('Track Data'!O2070=3,INDEX(Acceleration!$S$4:$S$110,MATCH('Track Data'!S2070,Acceleration!$K$4:$K$110,0)),'Track Data'!AF2070)),'Track Data'!U2070)</f>
        <v>5.2583296715092471</v>
      </c>
      <c r="AH2070" s="16">
        <f>IF(AC2070=0,IF(O2070=2,INDEX(Acceleration!$R$4:$R$110,MATCH('Track Data'!S2070,Acceleration!$K$4:$K$110,0)),IF('Track Data'!O2070=1,INDEX(Acceleration!$Q$4:$Q$110,MATCH('Track Data'!S2070,Acceleration!$K$4:$K$110,0)),'Track Data'!AG2070)),'Track Data'!U2070)</f>
        <v>5.2583296715092471</v>
      </c>
    </row>
    <row r="2071" spans="2:34" x14ac:dyDescent="0.25">
      <c r="B2071" s="16">
        <v>250.018</v>
      </c>
      <c r="C2071" s="16">
        <v>9341</v>
      </c>
      <c r="D2071" s="16">
        <v>2068</v>
      </c>
      <c r="E2071" s="113">
        <v>143</v>
      </c>
      <c r="F2071" s="113">
        <v>141</v>
      </c>
      <c r="G2071" s="113">
        <v>131.19999999999999</v>
      </c>
      <c r="H2071" s="113">
        <f t="shared" si="229"/>
        <v>36.444444444444443</v>
      </c>
      <c r="I2071" s="113">
        <v>6.7</v>
      </c>
      <c r="J2071" s="113">
        <v>72.34</v>
      </c>
      <c r="K2071" s="113">
        <v>-53</v>
      </c>
      <c r="L2071" s="183"/>
      <c r="M2071" s="16">
        <v>2068</v>
      </c>
      <c r="N2071" s="16">
        <f t="shared" si="231"/>
        <v>2.4223940006716432E-2</v>
      </c>
      <c r="O2071" s="16">
        <v>3</v>
      </c>
      <c r="P2071" s="16">
        <f t="shared" si="227"/>
        <v>10.596205962059623</v>
      </c>
      <c r="Q2071" s="16">
        <f t="shared" si="232"/>
        <v>41.281476082038502</v>
      </c>
      <c r="R2071" s="113">
        <f t="shared" si="228"/>
        <v>345.36</v>
      </c>
      <c r="S2071" s="16">
        <f>IF(S2070=15800,15800,ROUND((((Q2071*60)/'Gearing Calculator'!$C$14)*'Track Data'!P2071),-2))</f>
        <v>13300</v>
      </c>
      <c r="T2071" s="16">
        <f t="shared" si="230"/>
        <v>5.2583296715092471</v>
      </c>
      <c r="U2071" s="16">
        <f>IF(AC2071=100,Braking!$AG$2354,IF(AC2071=50,Braking!$AG$1179,IF(AC2071=75,Braking!$AG$1767,0)))</f>
        <v>0</v>
      </c>
      <c r="V2071" s="16">
        <f>0.5*'Gearing Calculator'!$C$15*'Gearing Calculator'!$C$20*'Gearing Calculator'!$W$20*('Track Data'!Q2071^2)</f>
        <v>180.36832271346125</v>
      </c>
      <c r="W2071" s="16">
        <f>('Gearing Calculator'!$U$9*'Track Data'!T2071)+'Track Data'!V2071</f>
        <v>1580.1356812692229</v>
      </c>
      <c r="X2071" s="16">
        <f>('Gearing Calculator'!$U$9*9.81)*('Gearing Calculator'!$U$16/'Gearing Calculator'!$C$7)-(('Track Data'!W2071)*('Gearing Calculator'!$U$17/'Gearing Calculator'!$C$7))</f>
        <v>539.88044034373297</v>
      </c>
      <c r="Y2071" s="16">
        <f>('Gearing Calculator'!$U$9*9.81)*(('Gearing Calculator'!$C$7-'Gearing Calculator'!$U$16)/'Gearing Calculator'!$C$7)+(('Track Data'!W2071)*('Gearing Calculator'!$U$17/'Gearing Calculator'!$C$7))</f>
        <v>2071.5415596562671</v>
      </c>
      <c r="Z2071" s="16">
        <f>((X2071*COS('Gearing Calculator'!$C$21))/'Gearing Calculator'!$C$22)/2</f>
        <v>16.691395719071824</v>
      </c>
      <c r="AA2071" s="16">
        <f>Y2071/'Gearing Calculator'!$C$24</f>
        <v>28.925668218874538</v>
      </c>
      <c r="AB2071" s="16">
        <f t="shared" si="226"/>
        <v>196.14331172798899</v>
      </c>
      <c r="AC2071" s="16">
        <v>0</v>
      </c>
      <c r="AD2071" s="16">
        <v>-51.415226335993196</v>
      </c>
      <c r="AE2071" s="16">
        <v>2068</v>
      </c>
      <c r="AF2071" s="16">
        <f>IF(AC2071=0,IF(O2071=6,INDEX(Acceleration!$V$4:$V$110,MATCH('Track Data'!S2071,Acceleration!$K$4:$K$110,0)),IF('Track Data'!O2071=5,INDEX(Acceleration!$U$4:$U$110,MATCH('Track Data'!S2071,Acceleration!$K$4:$K$110,0)),1)),U2071)</f>
        <v>1</v>
      </c>
      <c r="AG2071" s="16">
        <f>IF(AC2071=0,IF(O2071=4,INDEX(Acceleration!$T$4:$T$110,MATCH('Track Data'!S2071,Acceleration!$K$4:$K$110,0)),IF('Track Data'!O2071=3,INDEX(Acceleration!$S$4:$S$110,MATCH('Track Data'!S2071,Acceleration!$K$4:$K$110,0)),'Track Data'!AF2071)),'Track Data'!U2071)</f>
        <v>5.2583296715092471</v>
      </c>
      <c r="AH2071" s="16">
        <f>IF(AC2071=0,IF(O2071=2,INDEX(Acceleration!$R$4:$R$110,MATCH('Track Data'!S2071,Acceleration!$K$4:$K$110,0)),IF('Track Data'!O2071=1,INDEX(Acceleration!$Q$4:$Q$110,MATCH('Track Data'!S2071,Acceleration!$K$4:$K$110,0)),'Track Data'!AG2071)),'Track Data'!U2071)</f>
        <v>5.2583296715092471</v>
      </c>
    </row>
    <row r="2072" spans="2:34" x14ac:dyDescent="0.25">
      <c r="B2072" s="16">
        <v>250.04300000000001</v>
      </c>
      <c r="C2072" s="16">
        <v>9342</v>
      </c>
      <c r="D2072" s="16">
        <v>2069</v>
      </c>
      <c r="E2072" s="113">
        <v>143</v>
      </c>
      <c r="F2072" s="113">
        <v>140.30000000000001</v>
      </c>
      <c r="G2072" s="113">
        <v>130.6</v>
      </c>
      <c r="H2072" s="113">
        <f t="shared" si="229"/>
        <v>36.277777777777779</v>
      </c>
      <c r="I2072" s="113">
        <v>8.3000000000000007</v>
      </c>
      <c r="J2072" s="113">
        <v>73.8</v>
      </c>
      <c r="K2072" s="113">
        <v>-50.3</v>
      </c>
      <c r="L2072" s="183"/>
      <c r="M2072" s="16">
        <v>2069</v>
      </c>
      <c r="N2072" s="16">
        <f t="shared" si="231"/>
        <v>2.4223940006716432E-2</v>
      </c>
      <c r="O2072" s="16">
        <v>3</v>
      </c>
      <c r="P2072" s="16">
        <f t="shared" si="227"/>
        <v>10.596205962059623</v>
      </c>
      <c r="Q2072" s="16">
        <f t="shared" si="232"/>
        <v>41.281476082038502</v>
      </c>
      <c r="R2072" s="113">
        <f t="shared" si="228"/>
        <v>345.36</v>
      </c>
      <c r="S2072" s="16">
        <f>IF(S2071=15800,15800,ROUND((((Q2072*60)/'Gearing Calculator'!$C$14)*'Track Data'!P2072),-2))</f>
        <v>13300</v>
      </c>
      <c r="T2072" s="16">
        <f t="shared" si="230"/>
        <v>5.2583296715092471</v>
      </c>
      <c r="U2072" s="16">
        <f>IF(AC2072=100,Braking!$AG$2354,IF(AC2072=50,Braking!$AG$1179,IF(AC2072=75,Braking!$AG$1767,0)))</f>
        <v>0</v>
      </c>
      <c r="V2072" s="16">
        <f>0.5*'Gearing Calculator'!$C$15*'Gearing Calculator'!$C$20*'Gearing Calculator'!$W$20*('Track Data'!Q2072^2)</f>
        <v>180.36832271346125</v>
      </c>
      <c r="W2072" s="16">
        <f>('Gearing Calculator'!$U$9*'Track Data'!T2072)+'Track Data'!V2072</f>
        <v>1580.1356812692229</v>
      </c>
      <c r="X2072" s="16">
        <f>('Gearing Calculator'!$U$9*9.81)*('Gearing Calculator'!$U$16/'Gearing Calculator'!$C$7)-(('Track Data'!W2072)*('Gearing Calculator'!$U$17/'Gearing Calculator'!$C$7))</f>
        <v>539.88044034373297</v>
      </c>
      <c r="Y2072" s="16">
        <f>('Gearing Calculator'!$U$9*9.81)*(('Gearing Calculator'!$C$7-'Gearing Calculator'!$U$16)/'Gearing Calculator'!$C$7)+(('Track Data'!W2072)*('Gearing Calculator'!$U$17/'Gearing Calculator'!$C$7))</f>
        <v>2071.5415596562671</v>
      </c>
      <c r="Z2072" s="16">
        <f>((X2072*COS('Gearing Calculator'!$C$21))/'Gearing Calculator'!$C$22)/2</f>
        <v>16.691395719071824</v>
      </c>
      <c r="AA2072" s="16">
        <f>Y2072/'Gearing Calculator'!$C$24</f>
        <v>28.925668218874538</v>
      </c>
      <c r="AB2072" s="16">
        <f t="shared" si="226"/>
        <v>196.14331172798899</v>
      </c>
      <c r="AC2072" s="16">
        <v>0</v>
      </c>
      <c r="AD2072" s="16">
        <v>-51.415226335993196</v>
      </c>
      <c r="AE2072" s="16">
        <v>2069</v>
      </c>
      <c r="AF2072" s="16">
        <f>IF(AC2072=0,IF(O2072=6,INDEX(Acceleration!$V$4:$V$110,MATCH('Track Data'!S2072,Acceleration!$K$4:$K$110,0)),IF('Track Data'!O2072=5,INDEX(Acceleration!$U$4:$U$110,MATCH('Track Data'!S2072,Acceleration!$K$4:$K$110,0)),1)),U2072)</f>
        <v>1</v>
      </c>
      <c r="AG2072" s="16">
        <f>IF(AC2072=0,IF(O2072=4,INDEX(Acceleration!$T$4:$T$110,MATCH('Track Data'!S2072,Acceleration!$K$4:$K$110,0)),IF('Track Data'!O2072=3,INDEX(Acceleration!$S$4:$S$110,MATCH('Track Data'!S2072,Acceleration!$K$4:$K$110,0)),'Track Data'!AF2072)),'Track Data'!U2072)</f>
        <v>5.2583296715092471</v>
      </c>
      <c r="AH2072" s="16">
        <f>IF(AC2072=0,IF(O2072=2,INDEX(Acceleration!$R$4:$R$110,MATCH('Track Data'!S2072,Acceleration!$K$4:$K$110,0)),IF('Track Data'!O2072=1,INDEX(Acceleration!$Q$4:$Q$110,MATCH('Track Data'!S2072,Acceleration!$K$4:$K$110,0)),'Track Data'!AG2072)),'Track Data'!U2072)</f>
        <v>5.2583296715092471</v>
      </c>
    </row>
    <row r="2073" spans="2:34" x14ac:dyDescent="0.25">
      <c r="B2073" s="16">
        <v>250.06899999999999</v>
      </c>
      <c r="C2073" s="16">
        <v>9343</v>
      </c>
      <c r="D2073" s="16">
        <v>2070</v>
      </c>
      <c r="E2073" s="113">
        <v>142</v>
      </c>
      <c r="F2073" s="113">
        <v>139.9</v>
      </c>
      <c r="G2073" s="113">
        <v>130.30000000000001</v>
      </c>
      <c r="H2073" s="113">
        <f t="shared" si="229"/>
        <v>36.19444444444445</v>
      </c>
      <c r="I2073" s="113">
        <v>8.6</v>
      </c>
      <c r="J2073" s="113">
        <v>75.099999999999994</v>
      </c>
      <c r="K2073" s="113">
        <v>-48.5</v>
      </c>
      <c r="L2073" s="183"/>
      <c r="M2073" s="16">
        <v>2070</v>
      </c>
      <c r="N2073" s="16">
        <f t="shared" si="231"/>
        <v>2.4223940006716432E-2</v>
      </c>
      <c r="O2073" s="16">
        <v>3</v>
      </c>
      <c r="P2073" s="16">
        <f t="shared" si="227"/>
        <v>10.596205962059623</v>
      </c>
      <c r="Q2073" s="16">
        <f t="shared" si="232"/>
        <v>41.281476082038502</v>
      </c>
      <c r="R2073" s="113">
        <f t="shared" si="228"/>
        <v>345.36</v>
      </c>
      <c r="S2073" s="16">
        <f>IF(S2072=15800,15800,ROUND((((Q2073*60)/'Gearing Calculator'!$C$14)*'Track Data'!P2073),-2))</f>
        <v>13300</v>
      </c>
      <c r="T2073" s="16">
        <f t="shared" si="230"/>
        <v>5.2583296715092471</v>
      </c>
      <c r="U2073" s="16">
        <f>IF(AC2073=100,Braking!$AG$2354,IF(AC2073=50,Braking!$AG$1179,IF(AC2073=75,Braking!$AG$1767,0)))</f>
        <v>0</v>
      </c>
      <c r="V2073" s="16">
        <f>0.5*'Gearing Calculator'!$C$15*'Gearing Calculator'!$C$20*'Gearing Calculator'!$W$20*('Track Data'!Q2073^2)</f>
        <v>180.36832271346125</v>
      </c>
      <c r="W2073" s="16">
        <f>('Gearing Calculator'!$U$9*'Track Data'!T2073)+'Track Data'!V2073</f>
        <v>1580.1356812692229</v>
      </c>
      <c r="X2073" s="16">
        <f>('Gearing Calculator'!$U$9*9.81)*('Gearing Calculator'!$U$16/'Gearing Calculator'!$C$7)-(('Track Data'!W2073)*('Gearing Calculator'!$U$17/'Gearing Calculator'!$C$7))</f>
        <v>539.88044034373297</v>
      </c>
      <c r="Y2073" s="16">
        <f>('Gearing Calculator'!$U$9*9.81)*(('Gearing Calculator'!$C$7-'Gearing Calculator'!$U$16)/'Gearing Calculator'!$C$7)+(('Track Data'!W2073)*('Gearing Calculator'!$U$17/'Gearing Calculator'!$C$7))</f>
        <v>2071.5415596562671</v>
      </c>
      <c r="Z2073" s="16">
        <f>((X2073*COS('Gearing Calculator'!$C$21))/'Gearing Calculator'!$C$22)/2</f>
        <v>16.691395719071824</v>
      </c>
      <c r="AA2073" s="16">
        <f>Y2073/'Gearing Calculator'!$C$24</f>
        <v>28.925668218874538</v>
      </c>
      <c r="AB2073" s="16">
        <f t="shared" si="226"/>
        <v>196.14331172798899</v>
      </c>
      <c r="AC2073" s="16">
        <v>0</v>
      </c>
      <c r="AD2073" s="16">
        <v>-51.415226335993196</v>
      </c>
      <c r="AE2073" s="16">
        <v>2070</v>
      </c>
      <c r="AF2073" s="16">
        <f>IF(AC2073=0,IF(O2073=6,INDEX(Acceleration!$V$4:$V$110,MATCH('Track Data'!S2073,Acceleration!$K$4:$K$110,0)),IF('Track Data'!O2073=5,INDEX(Acceleration!$U$4:$U$110,MATCH('Track Data'!S2073,Acceleration!$K$4:$K$110,0)),1)),U2073)</f>
        <v>1</v>
      </c>
      <c r="AG2073" s="16">
        <f>IF(AC2073=0,IF(O2073=4,INDEX(Acceleration!$T$4:$T$110,MATCH('Track Data'!S2073,Acceleration!$K$4:$K$110,0)),IF('Track Data'!O2073=3,INDEX(Acceleration!$S$4:$S$110,MATCH('Track Data'!S2073,Acceleration!$K$4:$K$110,0)),'Track Data'!AF2073)),'Track Data'!U2073)</f>
        <v>5.2583296715092471</v>
      </c>
      <c r="AH2073" s="16">
        <f>IF(AC2073=0,IF(O2073=2,INDEX(Acceleration!$R$4:$R$110,MATCH('Track Data'!S2073,Acceleration!$K$4:$K$110,0)),IF('Track Data'!O2073=1,INDEX(Acceleration!$Q$4:$Q$110,MATCH('Track Data'!S2073,Acceleration!$K$4:$K$110,0)),'Track Data'!AG2073)),'Track Data'!U2073)</f>
        <v>5.2583296715092471</v>
      </c>
    </row>
    <row r="2074" spans="2:34" x14ac:dyDescent="0.25">
      <c r="B2074" s="16">
        <v>250.09399999999999</v>
      </c>
      <c r="C2074" s="16">
        <v>9344</v>
      </c>
      <c r="D2074" s="16">
        <v>2071</v>
      </c>
      <c r="E2074" s="113">
        <v>142</v>
      </c>
      <c r="F2074" s="113">
        <v>139.30000000000001</v>
      </c>
      <c r="G2074" s="113">
        <v>129.80000000000001</v>
      </c>
      <c r="H2074" s="113">
        <f t="shared" si="229"/>
        <v>36.055555555555557</v>
      </c>
      <c r="I2074" s="113">
        <v>9.4</v>
      </c>
      <c r="J2074" s="113">
        <v>78.95</v>
      </c>
      <c r="K2074" s="113">
        <v>-42.4</v>
      </c>
      <c r="L2074" s="183"/>
      <c r="M2074" s="16">
        <v>2071</v>
      </c>
      <c r="N2074" s="16">
        <f t="shared" si="231"/>
        <v>2.4223940006716432E-2</v>
      </c>
      <c r="O2074" s="16">
        <v>3</v>
      </c>
      <c r="P2074" s="16">
        <f t="shared" si="227"/>
        <v>10.596205962059623</v>
      </c>
      <c r="Q2074" s="16">
        <f t="shared" si="232"/>
        <v>41.281476082038502</v>
      </c>
      <c r="R2074" s="113">
        <f t="shared" si="228"/>
        <v>345.36</v>
      </c>
      <c r="S2074" s="16">
        <f>IF(S2073=15800,15800,ROUND((((Q2074*60)/'Gearing Calculator'!$C$14)*'Track Data'!P2074),-2))</f>
        <v>13300</v>
      </c>
      <c r="T2074" s="16">
        <f t="shared" si="230"/>
        <v>5.2583296715092471</v>
      </c>
      <c r="U2074" s="16">
        <f>IF(AC2074=100,Braking!$AG$2354,IF(AC2074=50,Braking!$AG$1179,IF(AC2074=75,Braking!$AG$1767,0)))</f>
        <v>0</v>
      </c>
      <c r="V2074" s="16">
        <f>0.5*'Gearing Calculator'!$C$15*'Gearing Calculator'!$C$20*'Gearing Calculator'!$W$20*('Track Data'!Q2074^2)</f>
        <v>180.36832271346125</v>
      </c>
      <c r="W2074" s="16">
        <f>('Gearing Calculator'!$U$9*'Track Data'!T2074)+'Track Data'!V2074</f>
        <v>1580.1356812692229</v>
      </c>
      <c r="X2074" s="16">
        <f>('Gearing Calculator'!$U$9*9.81)*('Gearing Calculator'!$U$16/'Gearing Calculator'!$C$7)-(('Track Data'!W2074)*('Gearing Calculator'!$U$17/'Gearing Calculator'!$C$7))</f>
        <v>539.88044034373297</v>
      </c>
      <c r="Y2074" s="16">
        <f>('Gearing Calculator'!$U$9*9.81)*(('Gearing Calculator'!$C$7-'Gearing Calculator'!$U$16)/'Gearing Calculator'!$C$7)+(('Track Data'!W2074)*('Gearing Calculator'!$U$17/'Gearing Calculator'!$C$7))</f>
        <v>2071.5415596562671</v>
      </c>
      <c r="Z2074" s="16">
        <f>((X2074*COS('Gearing Calculator'!$C$21))/'Gearing Calculator'!$C$22)/2</f>
        <v>16.691395719071824</v>
      </c>
      <c r="AA2074" s="16">
        <f>Y2074/'Gearing Calculator'!$C$24</f>
        <v>28.925668218874538</v>
      </c>
      <c r="AB2074" s="16">
        <f t="shared" si="226"/>
        <v>196.14331172798899</v>
      </c>
      <c r="AC2074" s="16">
        <v>0</v>
      </c>
      <c r="AD2074" s="16">
        <v>-51.415226335993196</v>
      </c>
      <c r="AE2074" s="16">
        <v>2071</v>
      </c>
      <c r="AF2074" s="16">
        <f>IF(AC2074=0,IF(O2074=6,INDEX(Acceleration!$V$4:$V$110,MATCH('Track Data'!S2074,Acceleration!$K$4:$K$110,0)),IF('Track Data'!O2074=5,INDEX(Acceleration!$U$4:$U$110,MATCH('Track Data'!S2074,Acceleration!$K$4:$K$110,0)),1)),U2074)</f>
        <v>1</v>
      </c>
      <c r="AG2074" s="16">
        <f>IF(AC2074=0,IF(O2074=4,INDEX(Acceleration!$T$4:$T$110,MATCH('Track Data'!S2074,Acceleration!$K$4:$K$110,0)),IF('Track Data'!O2074=3,INDEX(Acceleration!$S$4:$S$110,MATCH('Track Data'!S2074,Acceleration!$K$4:$K$110,0)),'Track Data'!AF2074)),'Track Data'!U2074)</f>
        <v>5.2583296715092471</v>
      </c>
      <c r="AH2074" s="16">
        <f>IF(AC2074=0,IF(O2074=2,INDEX(Acceleration!$R$4:$R$110,MATCH('Track Data'!S2074,Acceleration!$K$4:$K$110,0)),IF('Track Data'!O2074=1,INDEX(Acceleration!$Q$4:$Q$110,MATCH('Track Data'!S2074,Acceleration!$K$4:$K$110,0)),'Track Data'!AG2074)),'Track Data'!U2074)</f>
        <v>5.2583296715092471</v>
      </c>
    </row>
    <row r="2075" spans="2:34" x14ac:dyDescent="0.25">
      <c r="B2075" s="16">
        <v>250.12100000000001</v>
      </c>
      <c r="C2075" s="16">
        <v>9345</v>
      </c>
      <c r="D2075" s="16">
        <v>2072</v>
      </c>
      <c r="E2075" s="113">
        <v>142</v>
      </c>
      <c r="F2075" s="113">
        <v>138.80000000000001</v>
      </c>
      <c r="G2075" s="113">
        <v>129.30000000000001</v>
      </c>
      <c r="H2075" s="113">
        <f t="shared" si="229"/>
        <v>35.916666666666671</v>
      </c>
      <c r="I2075" s="113">
        <v>10.199999999999999</v>
      </c>
      <c r="J2075" s="113">
        <v>77.69</v>
      </c>
      <c r="K2075" s="113">
        <v>-32</v>
      </c>
      <c r="L2075" s="183"/>
      <c r="M2075" s="16">
        <v>2072</v>
      </c>
      <c r="N2075" s="16">
        <f t="shared" si="231"/>
        <v>2.4223940006716432E-2</v>
      </c>
      <c r="O2075" s="16">
        <v>3</v>
      </c>
      <c r="P2075" s="16">
        <f t="shared" si="227"/>
        <v>10.596205962059623</v>
      </c>
      <c r="Q2075" s="16">
        <f t="shared" si="232"/>
        <v>41.281476082038502</v>
      </c>
      <c r="R2075" s="113">
        <f t="shared" si="228"/>
        <v>345.36</v>
      </c>
      <c r="S2075" s="16">
        <f>IF(S2074=15800,15800,ROUND((((Q2075*60)/'Gearing Calculator'!$C$14)*'Track Data'!P2075),-2))</f>
        <v>13300</v>
      </c>
      <c r="T2075" s="16">
        <f t="shared" si="230"/>
        <v>5.2583296715092471</v>
      </c>
      <c r="U2075" s="16">
        <f>IF(AC2075=100,Braking!$AG$2354,IF(AC2075=50,Braking!$AG$1179,IF(AC2075=75,Braking!$AG$1767,0)))</f>
        <v>0</v>
      </c>
      <c r="V2075" s="16">
        <f>0.5*'Gearing Calculator'!$C$15*'Gearing Calculator'!$C$20*'Gearing Calculator'!$W$20*('Track Data'!Q2075^2)</f>
        <v>180.36832271346125</v>
      </c>
      <c r="W2075" s="16">
        <f>('Gearing Calculator'!$U$9*'Track Data'!T2075)+'Track Data'!V2075</f>
        <v>1580.1356812692229</v>
      </c>
      <c r="X2075" s="16">
        <f>('Gearing Calculator'!$U$9*9.81)*('Gearing Calculator'!$U$16/'Gearing Calculator'!$C$7)-(('Track Data'!W2075)*('Gearing Calculator'!$U$17/'Gearing Calculator'!$C$7))</f>
        <v>539.88044034373297</v>
      </c>
      <c r="Y2075" s="16">
        <f>('Gearing Calculator'!$U$9*9.81)*(('Gearing Calculator'!$C$7-'Gearing Calculator'!$U$16)/'Gearing Calculator'!$C$7)+(('Track Data'!W2075)*('Gearing Calculator'!$U$17/'Gearing Calculator'!$C$7))</f>
        <v>2071.5415596562671</v>
      </c>
      <c r="Z2075" s="16">
        <f>((X2075*COS('Gearing Calculator'!$C$21))/'Gearing Calculator'!$C$22)/2</f>
        <v>16.691395719071824</v>
      </c>
      <c r="AA2075" s="16">
        <f>Y2075/'Gearing Calculator'!$C$24</f>
        <v>28.925668218874538</v>
      </c>
      <c r="AB2075" s="16">
        <f t="shared" si="226"/>
        <v>196.14331172798899</v>
      </c>
      <c r="AC2075" s="16">
        <v>0</v>
      </c>
      <c r="AD2075" s="16">
        <v>-51.415226335993196</v>
      </c>
      <c r="AE2075" s="16">
        <v>2072</v>
      </c>
      <c r="AF2075" s="16">
        <f>IF(AC2075=0,IF(O2075=6,INDEX(Acceleration!$V$4:$V$110,MATCH('Track Data'!S2075,Acceleration!$K$4:$K$110,0)),IF('Track Data'!O2075=5,INDEX(Acceleration!$U$4:$U$110,MATCH('Track Data'!S2075,Acceleration!$K$4:$K$110,0)),1)),U2075)</f>
        <v>1</v>
      </c>
      <c r="AG2075" s="16">
        <f>IF(AC2075=0,IF(O2075=4,INDEX(Acceleration!$T$4:$T$110,MATCH('Track Data'!S2075,Acceleration!$K$4:$K$110,0)),IF('Track Data'!O2075=3,INDEX(Acceleration!$S$4:$S$110,MATCH('Track Data'!S2075,Acceleration!$K$4:$K$110,0)),'Track Data'!AF2075)),'Track Data'!U2075)</f>
        <v>5.2583296715092471</v>
      </c>
      <c r="AH2075" s="16">
        <f>IF(AC2075=0,IF(O2075=2,INDEX(Acceleration!$R$4:$R$110,MATCH('Track Data'!S2075,Acceleration!$K$4:$K$110,0)),IF('Track Data'!O2075=1,INDEX(Acceleration!$Q$4:$Q$110,MATCH('Track Data'!S2075,Acceleration!$K$4:$K$110,0)),'Track Data'!AG2075)),'Track Data'!U2075)</f>
        <v>5.2583296715092471</v>
      </c>
    </row>
    <row r="2076" spans="2:34" x14ac:dyDescent="0.25">
      <c r="B2076" s="16">
        <v>250.14599999999999</v>
      </c>
      <c r="C2076" s="16">
        <v>9346</v>
      </c>
      <c r="D2076" s="16">
        <v>2073</v>
      </c>
      <c r="E2076" s="113">
        <v>141</v>
      </c>
      <c r="F2076" s="113">
        <v>138.4</v>
      </c>
      <c r="G2076" s="113">
        <v>129</v>
      </c>
      <c r="H2076" s="113">
        <f t="shared" si="229"/>
        <v>35.833333333333336</v>
      </c>
      <c r="I2076" s="113">
        <v>11.1</v>
      </c>
      <c r="J2076" s="113">
        <v>81.66</v>
      </c>
      <c r="K2076" s="113">
        <v>-25.1</v>
      </c>
      <c r="L2076" s="183"/>
      <c r="M2076" s="16">
        <v>2073</v>
      </c>
      <c r="N2076" s="16">
        <f t="shared" si="231"/>
        <v>2.4223940006716432E-2</v>
      </c>
      <c r="O2076" s="16">
        <v>3</v>
      </c>
      <c r="P2076" s="16">
        <f t="shared" si="227"/>
        <v>10.596205962059623</v>
      </c>
      <c r="Q2076" s="16">
        <f t="shared" si="232"/>
        <v>41.281476082038502</v>
      </c>
      <c r="R2076" s="113">
        <f t="shared" si="228"/>
        <v>345.36</v>
      </c>
      <c r="S2076" s="16">
        <f>IF(S2075=15800,15800,ROUND((((Q2076*60)/'Gearing Calculator'!$C$14)*'Track Data'!P2076),-2))</f>
        <v>13300</v>
      </c>
      <c r="T2076" s="16">
        <f t="shared" si="230"/>
        <v>5.2583296715092471</v>
      </c>
      <c r="U2076" s="16">
        <f>IF(AC2076=100,Braking!$AG$2354,IF(AC2076=50,Braking!$AG$1179,IF(AC2076=75,Braking!$AG$1767,0)))</f>
        <v>0</v>
      </c>
      <c r="V2076" s="16">
        <f>0.5*'Gearing Calculator'!$C$15*'Gearing Calculator'!$C$20*'Gearing Calculator'!$W$20*('Track Data'!Q2076^2)</f>
        <v>180.36832271346125</v>
      </c>
      <c r="W2076" s="16">
        <f>('Gearing Calculator'!$U$9*'Track Data'!T2076)+'Track Data'!V2076</f>
        <v>1580.1356812692229</v>
      </c>
      <c r="X2076" s="16">
        <f>('Gearing Calculator'!$U$9*9.81)*('Gearing Calculator'!$U$16/'Gearing Calculator'!$C$7)-(('Track Data'!W2076)*('Gearing Calculator'!$U$17/'Gearing Calculator'!$C$7))</f>
        <v>539.88044034373297</v>
      </c>
      <c r="Y2076" s="16">
        <f>('Gearing Calculator'!$U$9*9.81)*(('Gearing Calculator'!$C$7-'Gearing Calculator'!$U$16)/'Gearing Calculator'!$C$7)+(('Track Data'!W2076)*('Gearing Calculator'!$U$17/'Gearing Calculator'!$C$7))</f>
        <v>2071.5415596562671</v>
      </c>
      <c r="Z2076" s="16">
        <f>((X2076*COS('Gearing Calculator'!$C$21))/'Gearing Calculator'!$C$22)/2</f>
        <v>16.691395719071824</v>
      </c>
      <c r="AA2076" s="16">
        <f>Y2076/'Gearing Calculator'!$C$24</f>
        <v>28.925668218874538</v>
      </c>
      <c r="AB2076" s="16">
        <f t="shared" si="226"/>
        <v>196.14331172798899</v>
      </c>
      <c r="AC2076" s="16">
        <v>0</v>
      </c>
      <c r="AD2076" s="16">
        <v>-51.415226335993196</v>
      </c>
      <c r="AE2076" s="16">
        <v>2073</v>
      </c>
      <c r="AF2076" s="16">
        <f>IF(AC2076=0,IF(O2076=6,INDEX(Acceleration!$V$4:$V$110,MATCH('Track Data'!S2076,Acceleration!$K$4:$K$110,0)),IF('Track Data'!O2076=5,INDEX(Acceleration!$U$4:$U$110,MATCH('Track Data'!S2076,Acceleration!$K$4:$K$110,0)),1)),U2076)</f>
        <v>1</v>
      </c>
      <c r="AG2076" s="16">
        <f>IF(AC2076=0,IF(O2076=4,INDEX(Acceleration!$T$4:$T$110,MATCH('Track Data'!S2076,Acceleration!$K$4:$K$110,0)),IF('Track Data'!O2076=3,INDEX(Acceleration!$S$4:$S$110,MATCH('Track Data'!S2076,Acceleration!$K$4:$K$110,0)),'Track Data'!AF2076)),'Track Data'!U2076)</f>
        <v>5.2583296715092471</v>
      </c>
      <c r="AH2076" s="16">
        <f>IF(AC2076=0,IF(O2076=2,INDEX(Acceleration!$R$4:$R$110,MATCH('Track Data'!S2076,Acceleration!$K$4:$K$110,0)),IF('Track Data'!O2076=1,INDEX(Acceleration!$Q$4:$Q$110,MATCH('Track Data'!S2076,Acceleration!$K$4:$K$110,0)),'Track Data'!AG2076)),'Track Data'!U2076)</f>
        <v>5.2583296715092471</v>
      </c>
    </row>
    <row r="2077" spans="2:34" x14ac:dyDescent="0.25">
      <c r="B2077" s="16">
        <v>250.172</v>
      </c>
      <c r="C2077" s="16">
        <v>9347</v>
      </c>
      <c r="D2077" s="16">
        <v>2074</v>
      </c>
      <c r="E2077" s="113">
        <v>141</v>
      </c>
      <c r="F2077" s="113">
        <v>138.19999999999999</v>
      </c>
      <c r="G2077" s="113">
        <v>128.6</v>
      </c>
      <c r="H2077" s="113">
        <f t="shared" si="229"/>
        <v>35.722222222222221</v>
      </c>
      <c r="I2077" s="113">
        <v>10.6</v>
      </c>
      <c r="J2077" s="113">
        <v>79.209999999999994</v>
      </c>
      <c r="K2077" s="113">
        <v>-19.5</v>
      </c>
      <c r="L2077" s="183"/>
      <c r="M2077" s="16">
        <v>2074</v>
      </c>
      <c r="N2077" s="16">
        <f t="shared" si="231"/>
        <v>2.4223940006716432E-2</v>
      </c>
      <c r="O2077" s="16">
        <v>3</v>
      </c>
      <c r="P2077" s="16">
        <f t="shared" si="227"/>
        <v>10.596205962059623</v>
      </c>
      <c r="Q2077" s="16">
        <f t="shared" si="232"/>
        <v>41.281476082038502</v>
      </c>
      <c r="R2077" s="113">
        <f t="shared" si="228"/>
        <v>345.36</v>
      </c>
      <c r="S2077" s="16">
        <f>IF(S2076=15800,15800,ROUND((((Q2077*60)/'Gearing Calculator'!$C$14)*'Track Data'!P2077),-2))</f>
        <v>13300</v>
      </c>
      <c r="T2077" s="16">
        <f t="shared" si="230"/>
        <v>5.2583296715092471</v>
      </c>
      <c r="U2077" s="16">
        <f>IF(AC2077=100,Braking!$AG$2354,IF(AC2077=50,Braking!$AG$1179,IF(AC2077=75,Braking!$AG$1767,0)))</f>
        <v>0</v>
      </c>
      <c r="V2077" s="16">
        <f>0.5*'Gearing Calculator'!$C$15*'Gearing Calculator'!$C$20*'Gearing Calculator'!$W$20*('Track Data'!Q2077^2)</f>
        <v>180.36832271346125</v>
      </c>
      <c r="W2077" s="16">
        <f>('Gearing Calculator'!$U$9*'Track Data'!T2077)+'Track Data'!V2077</f>
        <v>1580.1356812692229</v>
      </c>
      <c r="X2077" s="16">
        <f>('Gearing Calculator'!$U$9*9.81)*('Gearing Calculator'!$U$16/'Gearing Calculator'!$C$7)-(('Track Data'!W2077)*('Gearing Calculator'!$U$17/'Gearing Calculator'!$C$7))</f>
        <v>539.88044034373297</v>
      </c>
      <c r="Y2077" s="16">
        <f>('Gearing Calculator'!$U$9*9.81)*(('Gearing Calculator'!$C$7-'Gearing Calculator'!$U$16)/'Gearing Calculator'!$C$7)+(('Track Data'!W2077)*('Gearing Calculator'!$U$17/'Gearing Calculator'!$C$7))</f>
        <v>2071.5415596562671</v>
      </c>
      <c r="Z2077" s="16">
        <f>((X2077*COS('Gearing Calculator'!$C$21))/'Gearing Calculator'!$C$22)/2</f>
        <v>16.691395719071824</v>
      </c>
      <c r="AA2077" s="16">
        <f>Y2077/'Gearing Calculator'!$C$24</f>
        <v>28.925668218874538</v>
      </c>
      <c r="AB2077" s="16">
        <f t="shared" si="226"/>
        <v>196.14331172798899</v>
      </c>
      <c r="AC2077" s="16">
        <v>0</v>
      </c>
      <c r="AD2077" s="16">
        <v>-51.415226335993196</v>
      </c>
      <c r="AE2077" s="16">
        <v>2074</v>
      </c>
      <c r="AF2077" s="16">
        <f>IF(AC2077=0,IF(O2077=6,INDEX(Acceleration!$V$4:$V$110,MATCH('Track Data'!S2077,Acceleration!$K$4:$K$110,0)),IF('Track Data'!O2077=5,INDEX(Acceleration!$U$4:$U$110,MATCH('Track Data'!S2077,Acceleration!$K$4:$K$110,0)),1)),U2077)</f>
        <v>1</v>
      </c>
      <c r="AG2077" s="16">
        <f>IF(AC2077=0,IF(O2077=4,INDEX(Acceleration!$T$4:$T$110,MATCH('Track Data'!S2077,Acceleration!$K$4:$K$110,0)),IF('Track Data'!O2077=3,INDEX(Acceleration!$S$4:$S$110,MATCH('Track Data'!S2077,Acceleration!$K$4:$K$110,0)),'Track Data'!AF2077)),'Track Data'!U2077)</f>
        <v>5.2583296715092471</v>
      </c>
      <c r="AH2077" s="16">
        <f>IF(AC2077=0,IF(O2077=2,INDEX(Acceleration!$R$4:$R$110,MATCH('Track Data'!S2077,Acceleration!$K$4:$K$110,0)),IF('Track Data'!O2077=1,INDEX(Acceleration!$Q$4:$Q$110,MATCH('Track Data'!S2077,Acceleration!$K$4:$K$110,0)),'Track Data'!AG2077)),'Track Data'!U2077)</f>
        <v>5.2583296715092471</v>
      </c>
    </row>
    <row r="2078" spans="2:34" x14ac:dyDescent="0.25">
      <c r="B2078" s="16">
        <v>250.19800000000001</v>
      </c>
      <c r="C2078" s="16">
        <v>9348</v>
      </c>
      <c r="D2078" s="16">
        <v>2075</v>
      </c>
      <c r="E2078" s="113">
        <v>140</v>
      </c>
      <c r="F2078" s="113">
        <v>138.19999999999999</v>
      </c>
      <c r="G2078" s="113">
        <v>128.30000000000001</v>
      </c>
      <c r="H2078" s="113">
        <f t="shared" si="229"/>
        <v>35.638888888888893</v>
      </c>
      <c r="I2078" s="113">
        <v>11.3</v>
      </c>
      <c r="J2078" s="113">
        <v>80.22</v>
      </c>
      <c r="K2078" s="113">
        <v>-19.5</v>
      </c>
      <c r="L2078" s="183"/>
      <c r="M2078" s="16">
        <v>2075</v>
      </c>
      <c r="N2078" s="16">
        <f t="shared" si="231"/>
        <v>2.4223940006716432E-2</v>
      </c>
      <c r="O2078" s="16">
        <v>3</v>
      </c>
      <c r="P2078" s="16">
        <f t="shared" si="227"/>
        <v>10.596205962059623</v>
      </c>
      <c r="Q2078" s="16">
        <f t="shared" si="232"/>
        <v>41.281476082038502</v>
      </c>
      <c r="R2078" s="113">
        <f t="shared" si="228"/>
        <v>345.36</v>
      </c>
      <c r="S2078" s="16">
        <f>IF(S2077=15800,15800,ROUND((((Q2078*60)/'Gearing Calculator'!$C$14)*'Track Data'!P2078),-2))</f>
        <v>13300</v>
      </c>
      <c r="T2078" s="16">
        <f t="shared" si="230"/>
        <v>5.2583296715092471</v>
      </c>
      <c r="U2078" s="16">
        <f>IF(AC2078=100,Braking!$AG$2354,IF(AC2078=50,Braking!$AG$1179,IF(AC2078=75,Braking!$AG$1767,0)))</f>
        <v>0</v>
      </c>
      <c r="V2078" s="16">
        <f>0.5*'Gearing Calculator'!$C$15*'Gearing Calculator'!$C$20*'Gearing Calculator'!$W$20*('Track Data'!Q2078^2)</f>
        <v>180.36832271346125</v>
      </c>
      <c r="W2078" s="16">
        <f>('Gearing Calculator'!$U$9*'Track Data'!T2078)+'Track Data'!V2078</f>
        <v>1580.1356812692229</v>
      </c>
      <c r="X2078" s="16">
        <f>('Gearing Calculator'!$U$9*9.81)*('Gearing Calculator'!$U$16/'Gearing Calculator'!$C$7)-(('Track Data'!W2078)*('Gearing Calculator'!$U$17/'Gearing Calculator'!$C$7))</f>
        <v>539.88044034373297</v>
      </c>
      <c r="Y2078" s="16">
        <f>('Gearing Calculator'!$U$9*9.81)*(('Gearing Calculator'!$C$7-'Gearing Calculator'!$U$16)/'Gearing Calculator'!$C$7)+(('Track Data'!W2078)*('Gearing Calculator'!$U$17/'Gearing Calculator'!$C$7))</f>
        <v>2071.5415596562671</v>
      </c>
      <c r="Z2078" s="16">
        <f>((X2078*COS('Gearing Calculator'!$C$21))/'Gearing Calculator'!$C$22)/2</f>
        <v>16.691395719071824</v>
      </c>
      <c r="AA2078" s="16">
        <f>Y2078/'Gearing Calculator'!$C$24</f>
        <v>28.925668218874538</v>
      </c>
      <c r="AB2078" s="16">
        <f t="shared" si="226"/>
        <v>196.14331172798899</v>
      </c>
      <c r="AC2078" s="16">
        <v>0</v>
      </c>
      <c r="AD2078" s="16">
        <v>-51.415226335993196</v>
      </c>
      <c r="AE2078" s="16">
        <v>2075</v>
      </c>
      <c r="AF2078" s="16">
        <f>IF(AC2078=0,IF(O2078=6,INDEX(Acceleration!$V$4:$V$110,MATCH('Track Data'!S2078,Acceleration!$K$4:$K$110,0)),IF('Track Data'!O2078=5,INDEX(Acceleration!$U$4:$U$110,MATCH('Track Data'!S2078,Acceleration!$K$4:$K$110,0)),1)),U2078)</f>
        <v>1</v>
      </c>
      <c r="AG2078" s="16">
        <f>IF(AC2078=0,IF(O2078=4,INDEX(Acceleration!$T$4:$T$110,MATCH('Track Data'!S2078,Acceleration!$K$4:$K$110,0)),IF('Track Data'!O2078=3,INDEX(Acceleration!$S$4:$S$110,MATCH('Track Data'!S2078,Acceleration!$K$4:$K$110,0)),'Track Data'!AF2078)),'Track Data'!U2078)</f>
        <v>5.2583296715092471</v>
      </c>
      <c r="AH2078" s="16">
        <f>IF(AC2078=0,IF(O2078=2,INDEX(Acceleration!$R$4:$R$110,MATCH('Track Data'!S2078,Acceleration!$K$4:$K$110,0)),IF('Track Data'!O2078=1,INDEX(Acceleration!$Q$4:$Q$110,MATCH('Track Data'!S2078,Acceleration!$K$4:$K$110,0)),'Track Data'!AG2078)),'Track Data'!U2078)</f>
        <v>5.2583296715092471</v>
      </c>
    </row>
    <row r="2079" spans="2:34" x14ac:dyDescent="0.25">
      <c r="B2079" s="16">
        <v>250.22399999999999</v>
      </c>
      <c r="C2079" s="16">
        <v>9349</v>
      </c>
      <c r="D2079" s="16">
        <v>2076</v>
      </c>
      <c r="E2079" s="113">
        <v>140</v>
      </c>
      <c r="F2079" s="113">
        <v>138</v>
      </c>
      <c r="G2079" s="113">
        <v>127.8</v>
      </c>
      <c r="H2079" s="113">
        <f t="shared" si="229"/>
        <v>35.5</v>
      </c>
      <c r="I2079" s="113">
        <v>10</v>
      </c>
      <c r="J2079" s="113">
        <v>86.64</v>
      </c>
      <c r="K2079" s="113">
        <v>-19.5</v>
      </c>
      <c r="L2079" s="183"/>
      <c r="M2079" s="16">
        <v>2076</v>
      </c>
      <c r="N2079" s="16">
        <f t="shared" si="231"/>
        <v>2.4223940006716432E-2</v>
      </c>
      <c r="O2079" s="16">
        <v>3</v>
      </c>
      <c r="P2079" s="16">
        <f t="shared" si="227"/>
        <v>10.596205962059623</v>
      </c>
      <c r="Q2079" s="16">
        <f t="shared" si="232"/>
        <v>41.281476082038502</v>
      </c>
      <c r="R2079" s="113">
        <f t="shared" si="228"/>
        <v>345.36</v>
      </c>
      <c r="S2079" s="16">
        <f>IF(S2078=15800,15800,ROUND((((Q2079*60)/'Gearing Calculator'!$C$14)*'Track Data'!P2079),-2))</f>
        <v>13300</v>
      </c>
      <c r="T2079" s="16">
        <f t="shared" si="230"/>
        <v>5.2583296715092471</v>
      </c>
      <c r="U2079" s="16">
        <f>IF(AC2079=100,Braking!$AG$2354,IF(AC2079=50,Braking!$AG$1179,IF(AC2079=75,Braking!$AG$1767,0)))</f>
        <v>0</v>
      </c>
      <c r="V2079" s="16">
        <f>0.5*'Gearing Calculator'!$C$15*'Gearing Calculator'!$C$20*'Gearing Calculator'!$W$20*('Track Data'!Q2079^2)</f>
        <v>180.36832271346125</v>
      </c>
      <c r="W2079" s="16">
        <f>('Gearing Calculator'!$U$9*'Track Data'!T2079)+'Track Data'!V2079</f>
        <v>1580.1356812692229</v>
      </c>
      <c r="X2079" s="16">
        <f>('Gearing Calculator'!$U$9*9.81)*('Gearing Calculator'!$U$16/'Gearing Calculator'!$C$7)-(('Track Data'!W2079)*('Gearing Calculator'!$U$17/'Gearing Calculator'!$C$7))</f>
        <v>539.88044034373297</v>
      </c>
      <c r="Y2079" s="16">
        <f>('Gearing Calculator'!$U$9*9.81)*(('Gearing Calculator'!$C$7-'Gearing Calculator'!$U$16)/'Gearing Calculator'!$C$7)+(('Track Data'!W2079)*('Gearing Calculator'!$U$17/'Gearing Calculator'!$C$7))</f>
        <v>2071.5415596562671</v>
      </c>
      <c r="Z2079" s="16">
        <f>((X2079*COS('Gearing Calculator'!$C$21))/'Gearing Calculator'!$C$22)/2</f>
        <v>16.691395719071824</v>
      </c>
      <c r="AA2079" s="16">
        <f>Y2079/'Gearing Calculator'!$C$24</f>
        <v>28.925668218874538</v>
      </c>
      <c r="AB2079" s="16">
        <f t="shared" si="226"/>
        <v>196.14331172798899</v>
      </c>
      <c r="AC2079" s="16">
        <v>0</v>
      </c>
      <c r="AD2079" s="16">
        <v>-51.415226335993196</v>
      </c>
      <c r="AE2079" s="16">
        <v>2076</v>
      </c>
      <c r="AF2079" s="16">
        <f>IF(AC2079=0,IF(O2079=6,INDEX(Acceleration!$V$4:$V$110,MATCH('Track Data'!S2079,Acceleration!$K$4:$K$110,0)),IF('Track Data'!O2079=5,INDEX(Acceleration!$U$4:$U$110,MATCH('Track Data'!S2079,Acceleration!$K$4:$K$110,0)),1)),U2079)</f>
        <v>1</v>
      </c>
      <c r="AG2079" s="16">
        <f>IF(AC2079=0,IF(O2079=4,INDEX(Acceleration!$T$4:$T$110,MATCH('Track Data'!S2079,Acceleration!$K$4:$K$110,0)),IF('Track Data'!O2079=3,INDEX(Acceleration!$S$4:$S$110,MATCH('Track Data'!S2079,Acceleration!$K$4:$K$110,0)),'Track Data'!AF2079)),'Track Data'!U2079)</f>
        <v>5.2583296715092471</v>
      </c>
      <c r="AH2079" s="16">
        <f>IF(AC2079=0,IF(O2079=2,INDEX(Acceleration!$R$4:$R$110,MATCH('Track Data'!S2079,Acceleration!$K$4:$K$110,0)),IF('Track Data'!O2079=1,INDEX(Acceleration!$Q$4:$Q$110,MATCH('Track Data'!S2079,Acceleration!$K$4:$K$110,0)),'Track Data'!AG2079)),'Track Data'!U2079)</f>
        <v>5.2583296715092471</v>
      </c>
    </row>
    <row r="2080" spans="2:34" x14ac:dyDescent="0.25">
      <c r="B2080" s="16">
        <v>250.25</v>
      </c>
      <c r="C2080" s="16">
        <v>9350</v>
      </c>
      <c r="D2080" s="16">
        <v>2077</v>
      </c>
      <c r="E2080" s="113">
        <v>140</v>
      </c>
      <c r="F2080" s="113">
        <v>137.69999999999999</v>
      </c>
      <c r="G2080" s="113">
        <v>127.4</v>
      </c>
      <c r="H2080" s="113">
        <f t="shared" si="229"/>
        <v>35.388888888888893</v>
      </c>
      <c r="I2080" s="113">
        <v>12</v>
      </c>
      <c r="J2080" s="113">
        <v>85.56</v>
      </c>
      <c r="K2080" s="113">
        <v>-25.9</v>
      </c>
      <c r="L2080" s="183"/>
      <c r="M2080" s="16">
        <v>2077</v>
      </c>
      <c r="N2080" s="16">
        <f t="shared" si="231"/>
        <v>2.4223940006716432E-2</v>
      </c>
      <c r="O2080" s="16">
        <v>3</v>
      </c>
      <c r="P2080" s="16">
        <f t="shared" si="227"/>
        <v>10.596205962059623</v>
      </c>
      <c r="Q2080" s="16">
        <f t="shared" si="232"/>
        <v>41.281476082038502</v>
      </c>
      <c r="R2080" s="113">
        <f t="shared" si="228"/>
        <v>345.36</v>
      </c>
      <c r="S2080" s="16">
        <f>IF(S2079=15800,15800,ROUND((((Q2080*60)/'Gearing Calculator'!$C$14)*'Track Data'!P2080),-2))</f>
        <v>13300</v>
      </c>
      <c r="T2080" s="16">
        <f t="shared" si="230"/>
        <v>5.2583296715092471</v>
      </c>
      <c r="U2080" s="16">
        <f>IF(AC2080=100,Braking!$AG$2354,IF(AC2080=50,Braking!$AG$1179,IF(AC2080=75,Braking!$AG$1767,0)))</f>
        <v>0</v>
      </c>
      <c r="V2080" s="16">
        <f>0.5*'Gearing Calculator'!$C$15*'Gearing Calculator'!$C$20*'Gearing Calculator'!$W$20*('Track Data'!Q2080^2)</f>
        <v>180.36832271346125</v>
      </c>
      <c r="W2080" s="16">
        <f>('Gearing Calculator'!$U$9*'Track Data'!T2080)+'Track Data'!V2080</f>
        <v>1580.1356812692229</v>
      </c>
      <c r="X2080" s="16">
        <f>('Gearing Calculator'!$U$9*9.81)*('Gearing Calculator'!$U$16/'Gearing Calculator'!$C$7)-(('Track Data'!W2080)*('Gearing Calculator'!$U$17/'Gearing Calculator'!$C$7))</f>
        <v>539.88044034373297</v>
      </c>
      <c r="Y2080" s="16">
        <f>('Gearing Calculator'!$U$9*9.81)*(('Gearing Calculator'!$C$7-'Gearing Calculator'!$U$16)/'Gearing Calculator'!$C$7)+(('Track Data'!W2080)*('Gearing Calculator'!$U$17/'Gearing Calculator'!$C$7))</f>
        <v>2071.5415596562671</v>
      </c>
      <c r="Z2080" s="16">
        <f>((X2080*COS('Gearing Calculator'!$C$21))/'Gearing Calculator'!$C$22)/2</f>
        <v>16.691395719071824</v>
      </c>
      <c r="AA2080" s="16">
        <f>Y2080/'Gearing Calculator'!$C$24</f>
        <v>28.925668218874538</v>
      </c>
      <c r="AB2080" s="16">
        <f t="shared" si="226"/>
        <v>196.14331172798899</v>
      </c>
      <c r="AC2080" s="16">
        <v>0</v>
      </c>
      <c r="AD2080" s="16">
        <v>-51.415226335993196</v>
      </c>
      <c r="AE2080" s="16">
        <v>2077</v>
      </c>
      <c r="AF2080" s="16">
        <f>IF(AC2080=0,IF(O2080=6,INDEX(Acceleration!$V$4:$V$110,MATCH('Track Data'!S2080,Acceleration!$K$4:$K$110,0)),IF('Track Data'!O2080=5,INDEX(Acceleration!$U$4:$U$110,MATCH('Track Data'!S2080,Acceleration!$K$4:$K$110,0)),1)),U2080)</f>
        <v>1</v>
      </c>
      <c r="AG2080" s="16">
        <f>IF(AC2080=0,IF(O2080=4,INDEX(Acceleration!$T$4:$T$110,MATCH('Track Data'!S2080,Acceleration!$K$4:$K$110,0)),IF('Track Data'!O2080=3,INDEX(Acceleration!$S$4:$S$110,MATCH('Track Data'!S2080,Acceleration!$K$4:$K$110,0)),'Track Data'!AF2080)),'Track Data'!U2080)</f>
        <v>5.2583296715092471</v>
      </c>
      <c r="AH2080" s="16">
        <f>IF(AC2080=0,IF(O2080=2,INDEX(Acceleration!$R$4:$R$110,MATCH('Track Data'!S2080,Acceleration!$K$4:$K$110,0)),IF('Track Data'!O2080=1,INDEX(Acceleration!$Q$4:$Q$110,MATCH('Track Data'!S2080,Acceleration!$K$4:$K$110,0)),'Track Data'!AG2080)),'Track Data'!U2080)</f>
        <v>5.2583296715092471</v>
      </c>
    </row>
    <row r="2081" spans="2:34" x14ac:dyDescent="0.25">
      <c r="B2081" s="16">
        <v>250.27600000000001</v>
      </c>
      <c r="C2081" s="16">
        <v>9351</v>
      </c>
      <c r="D2081" s="16">
        <v>2078</v>
      </c>
      <c r="E2081" s="113">
        <v>140</v>
      </c>
      <c r="F2081" s="113">
        <v>137.4</v>
      </c>
      <c r="G2081" s="113">
        <v>127</v>
      </c>
      <c r="H2081" s="113">
        <f t="shared" si="229"/>
        <v>35.277777777777779</v>
      </c>
      <c r="I2081" s="113">
        <v>13.6</v>
      </c>
      <c r="J2081" s="113">
        <v>90.11</v>
      </c>
      <c r="K2081" s="113">
        <v>-35.299999999999997</v>
      </c>
      <c r="L2081" s="183"/>
      <c r="M2081" s="16">
        <v>2078</v>
      </c>
      <c r="N2081" s="16">
        <f t="shared" si="231"/>
        <v>2.4223940006716432E-2</v>
      </c>
      <c r="O2081" s="16">
        <v>3</v>
      </c>
      <c r="P2081" s="16">
        <f t="shared" si="227"/>
        <v>10.596205962059623</v>
      </c>
      <c r="Q2081" s="16">
        <f t="shared" si="232"/>
        <v>41.281476082038502</v>
      </c>
      <c r="R2081" s="113">
        <f t="shared" si="228"/>
        <v>345.36</v>
      </c>
      <c r="S2081" s="16">
        <f>IF(S2080=15800,15800,ROUND((((Q2081*60)/'Gearing Calculator'!$C$14)*'Track Data'!P2081),-2))</f>
        <v>13300</v>
      </c>
      <c r="T2081" s="16">
        <f t="shared" si="230"/>
        <v>5.2583296715092471</v>
      </c>
      <c r="U2081" s="16">
        <f>IF(AC2081=100,Braking!$AG$2354,IF(AC2081=50,Braking!$AG$1179,IF(AC2081=75,Braking!$AG$1767,0)))</f>
        <v>0</v>
      </c>
      <c r="V2081" s="16">
        <f>0.5*'Gearing Calculator'!$C$15*'Gearing Calculator'!$C$20*'Gearing Calculator'!$W$20*('Track Data'!Q2081^2)</f>
        <v>180.36832271346125</v>
      </c>
      <c r="W2081" s="16">
        <f>('Gearing Calculator'!$U$9*'Track Data'!T2081)+'Track Data'!V2081</f>
        <v>1580.1356812692229</v>
      </c>
      <c r="X2081" s="16">
        <f>('Gearing Calculator'!$U$9*9.81)*('Gearing Calculator'!$U$16/'Gearing Calculator'!$C$7)-(('Track Data'!W2081)*('Gearing Calculator'!$U$17/'Gearing Calculator'!$C$7))</f>
        <v>539.88044034373297</v>
      </c>
      <c r="Y2081" s="16">
        <f>('Gearing Calculator'!$U$9*9.81)*(('Gearing Calculator'!$C$7-'Gearing Calculator'!$U$16)/'Gearing Calculator'!$C$7)+(('Track Data'!W2081)*('Gearing Calculator'!$U$17/'Gearing Calculator'!$C$7))</f>
        <v>2071.5415596562671</v>
      </c>
      <c r="Z2081" s="16">
        <f>((X2081*COS('Gearing Calculator'!$C$21))/'Gearing Calculator'!$C$22)/2</f>
        <v>16.691395719071824</v>
      </c>
      <c r="AA2081" s="16">
        <f>Y2081/'Gearing Calculator'!$C$24</f>
        <v>28.925668218874538</v>
      </c>
      <c r="AB2081" s="16">
        <f t="shared" si="226"/>
        <v>196.14331172798899</v>
      </c>
      <c r="AC2081" s="16">
        <v>0</v>
      </c>
      <c r="AD2081" s="16">
        <v>-51.415226335993196</v>
      </c>
      <c r="AE2081" s="16">
        <v>2078</v>
      </c>
      <c r="AF2081" s="16">
        <f>IF(AC2081=0,IF(O2081=6,INDEX(Acceleration!$V$4:$V$110,MATCH('Track Data'!S2081,Acceleration!$K$4:$K$110,0)),IF('Track Data'!O2081=5,INDEX(Acceleration!$U$4:$U$110,MATCH('Track Data'!S2081,Acceleration!$K$4:$K$110,0)),1)),U2081)</f>
        <v>1</v>
      </c>
      <c r="AG2081" s="16">
        <f>IF(AC2081=0,IF(O2081=4,INDEX(Acceleration!$T$4:$T$110,MATCH('Track Data'!S2081,Acceleration!$K$4:$K$110,0)),IF('Track Data'!O2081=3,INDEX(Acceleration!$S$4:$S$110,MATCH('Track Data'!S2081,Acceleration!$K$4:$K$110,0)),'Track Data'!AF2081)),'Track Data'!U2081)</f>
        <v>5.2583296715092471</v>
      </c>
      <c r="AH2081" s="16">
        <f>IF(AC2081=0,IF(O2081=2,INDEX(Acceleration!$R$4:$R$110,MATCH('Track Data'!S2081,Acceleration!$K$4:$K$110,0)),IF('Track Data'!O2081=1,INDEX(Acceleration!$Q$4:$Q$110,MATCH('Track Data'!S2081,Acceleration!$K$4:$K$110,0)),'Track Data'!AG2081)),'Track Data'!U2081)</f>
        <v>5.2583296715092471</v>
      </c>
    </row>
    <row r="2082" spans="2:34" x14ac:dyDescent="0.25">
      <c r="B2082" s="16">
        <v>250.303</v>
      </c>
      <c r="C2082" s="16">
        <v>9352</v>
      </c>
      <c r="D2082" s="16">
        <v>2079</v>
      </c>
      <c r="E2082" s="113">
        <v>139</v>
      </c>
      <c r="F2082" s="113">
        <v>137.19999999999999</v>
      </c>
      <c r="G2082" s="113">
        <v>126.5</v>
      </c>
      <c r="H2082" s="113">
        <f t="shared" si="229"/>
        <v>35.138888888888886</v>
      </c>
      <c r="I2082" s="113">
        <v>14.7</v>
      </c>
      <c r="J2082" s="113">
        <v>87.82</v>
      </c>
      <c r="K2082" s="113">
        <v>-49.3</v>
      </c>
      <c r="L2082" s="183"/>
      <c r="M2082" s="16">
        <v>2079</v>
      </c>
      <c r="N2082" s="16">
        <f t="shared" si="231"/>
        <v>2.4223940006716432E-2</v>
      </c>
      <c r="O2082" s="16">
        <v>3</v>
      </c>
      <c r="P2082" s="16">
        <f t="shared" si="227"/>
        <v>10.596205962059623</v>
      </c>
      <c r="Q2082" s="16">
        <f t="shared" si="232"/>
        <v>41.281476082038502</v>
      </c>
      <c r="R2082" s="113">
        <f t="shared" si="228"/>
        <v>345.36</v>
      </c>
      <c r="S2082" s="16">
        <f>IF(S2081=15800,15800,ROUND((((Q2082*60)/'Gearing Calculator'!$C$14)*'Track Data'!P2082),-2))</f>
        <v>13300</v>
      </c>
      <c r="T2082" s="16">
        <f t="shared" si="230"/>
        <v>5.2583296715092471</v>
      </c>
      <c r="U2082" s="16">
        <f>IF(AC2082=100,Braking!$AG$2354,IF(AC2082=50,Braking!$AG$1179,IF(AC2082=75,Braking!$AG$1767,0)))</f>
        <v>0</v>
      </c>
      <c r="V2082" s="16">
        <f>0.5*'Gearing Calculator'!$C$15*'Gearing Calculator'!$C$20*'Gearing Calculator'!$W$20*('Track Data'!Q2082^2)</f>
        <v>180.36832271346125</v>
      </c>
      <c r="W2082" s="16">
        <f>('Gearing Calculator'!$U$9*'Track Data'!T2082)+'Track Data'!V2082</f>
        <v>1580.1356812692229</v>
      </c>
      <c r="X2082" s="16">
        <f>('Gearing Calculator'!$U$9*9.81)*('Gearing Calculator'!$U$16/'Gearing Calculator'!$C$7)-(('Track Data'!W2082)*('Gearing Calculator'!$U$17/'Gearing Calculator'!$C$7))</f>
        <v>539.88044034373297</v>
      </c>
      <c r="Y2082" s="16">
        <f>('Gearing Calculator'!$U$9*9.81)*(('Gearing Calculator'!$C$7-'Gearing Calculator'!$U$16)/'Gearing Calculator'!$C$7)+(('Track Data'!W2082)*('Gearing Calculator'!$U$17/'Gearing Calculator'!$C$7))</f>
        <v>2071.5415596562671</v>
      </c>
      <c r="Z2082" s="16">
        <f>((X2082*COS('Gearing Calculator'!$C$21))/'Gearing Calculator'!$C$22)/2</f>
        <v>16.691395719071824</v>
      </c>
      <c r="AA2082" s="16">
        <f>Y2082/'Gearing Calculator'!$C$24</f>
        <v>28.925668218874538</v>
      </c>
      <c r="AB2082" s="16">
        <f t="shared" si="226"/>
        <v>196.14331172798899</v>
      </c>
      <c r="AC2082" s="16">
        <v>0</v>
      </c>
      <c r="AD2082" s="16">
        <v>-51.415226335993196</v>
      </c>
      <c r="AE2082" s="16">
        <v>2079</v>
      </c>
      <c r="AF2082" s="16">
        <f>IF(AC2082=0,IF(O2082=6,INDEX(Acceleration!$V$4:$V$110,MATCH('Track Data'!S2082,Acceleration!$K$4:$K$110,0)),IF('Track Data'!O2082=5,INDEX(Acceleration!$U$4:$U$110,MATCH('Track Data'!S2082,Acceleration!$K$4:$K$110,0)),1)),U2082)</f>
        <v>1</v>
      </c>
      <c r="AG2082" s="16">
        <f>IF(AC2082=0,IF(O2082=4,INDEX(Acceleration!$T$4:$T$110,MATCH('Track Data'!S2082,Acceleration!$K$4:$K$110,0)),IF('Track Data'!O2082=3,INDEX(Acceleration!$S$4:$S$110,MATCH('Track Data'!S2082,Acceleration!$K$4:$K$110,0)),'Track Data'!AF2082)),'Track Data'!U2082)</f>
        <v>5.2583296715092471</v>
      </c>
      <c r="AH2082" s="16">
        <f>IF(AC2082=0,IF(O2082=2,INDEX(Acceleration!$R$4:$R$110,MATCH('Track Data'!S2082,Acceleration!$K$4:$K$110,0)),IF('Track Data'!O2082=1,INDEX(Acceleration!$Q$4:$Q$110,MATCH('Track Data'!S2082,Acceleration!$K$4:$K$110,0)),'Track Data'!AG2082)),'Track Data'!U2082)</f>
        <v>5.2583296715092471</v>
      </c>
    </row>
    <row r="2083" spans="2:34" x14ac:dyDescent="0.25">
      <c r="B2083" s="16">
        <v>250.328</v>
      </c>
      <c r="C2083" s="16">
        <v>9353</v>
      </c>
      <c r="D2083" s="16">
        <v>2080</v>
      </c>
      <c r="E2083" s="113">
        <v>139</v>
      </c>
      <c r="F2083" s="113">
        <v>137.1</v>
      </c>
      <c r="G2083" s="113">
        <v>126.2</v>
      </c>
      <c r="H2083" s="113">
        <f t="shared" si="229"/>
        <v>35.055555555555557</v>
      </c>
      <c r="I2083" s="113">
        <v>15.4</v>
      </c>
      <c r="J2083" s="113">
        <v>86.41</v>
      </c>
      <c r="K2083" s="113">
        <v>-57.1</v>
      </c>
      <c r="L2083" s="183"/>
      <c r="M2083" s="16">
        <v>2080</v>
      </c>
      <c r="N2083" s="16">
        <f t="shared" si="231"/>
        <v>2.4223940006716432E-2</v>
      </c>
      <c r="O2083" s="16">
        <v>3</v>
      </c>
      <c r="P2083" s="16">
        <f t="shared" si="227"/>
        <v>10.596205962059623</v>
      </c>
      <c r="Q2083" s="16">
        <f t="shared" si="232"/>
        <v>41.281476082038502</v>
      </c>
      <c r="R2083" s="113">
        <f t="shared" si="228"/>
        <v>345.36</v>
      </c>
      <c r="S2083" s="16">
        <f>IF(S2082=15800,15800,ROUND((((Q2083*60)/'Gearing Calculator'!$C$14)*'Track Data'!P2083),-2))</f>
        <v>13300</v>
      </c>
      <c r="T2083" s="16">
        <f t="shared" si="230"/>
        <v>5.2583296715092471</v>
      </c>
      <c r="U2083" s="16">
        <f>IF(AC2083=100,Braking!$AG$2354,IF(AC2083=50,Braking!$AG$1179,IF(AC2083=75,Braking!$AG$1767,0)))</f>
        <v>0</v>
      </c>
      <c r="V2083" s="16">
        <f>0.5*'Gearing Calculator'!$C$15*'Gearing Calculator'!$C$20*'Gearing Calculator'!$W$20*('Track Data'!Q2083^2)</f>
        <v>180.36832271346125</v>
      </c>
      <c r="W2083" s="16">
        <f>('Gearing Calculator'!$U$9*'Track Data'!T2083)+'Track Data'!V2083</f>
        <v>1580.1356812692229</v>
      </c>
      <c r="X2083" s="16">
        <f>('Gearing Calculator'!$U$9*9.81)*('Gearing Calculator'!$U$16/'Gearing Calculator'!$C$7)-(('Track Data'!W2083)*('Gearing Calculator'!$U$17/'Gearing Calculator'!$C$7))</f>
        <v>539.88044034373297</v>
      </c>
      <c r="Y2083" s="16">
        <f>('Gearing Calculator'!$U$9*9.81)*(('Gearing Calculator'!$C$7-'Gearing Calculator'!$U$16)/'Gearing Calculator'!$C$7)+(('Track Data'!W2083)*('Gearing Calculator'!$U$17/'Gearing Calculator'!$C$7))</f>
        <v>2071.5415596562671</v>
      </c>
      <c r="Z2083" s="16">
        <f>((X2083*COS('Gearing Calculator'!$C$21))/'Gearing Calculator'!$C$22)/2</f>
        <v>16.691395719071824</v>
      </c>
      <c r="AA2083" s="16">
        <f>Y2083/'Gearing Calculator'!$C$24</f>
        <v>28.925668218874538</v>
      </c>
      <c r="AB2083" s="16">
        <f t="shared" si="226"/>
        <v>196.14331172798899</v>
      </c>
      <c r="AC2083" s="16">
        <v>0</v>
      </c>
      <c r="AD2083" s="16">
        <v>-51.415226335993196</v>
      </c>
      <c r="AE2083" s="16">
        <v>2080</v>
      </c>
      <c r="AF2083" s="16">
        <f>IF(AC2083=0,IF(O2083=6,INDEX(Acceleration!$V$4:$V$110,MATCH('Track Data'!S2083,Acceleration!$K$4:$K$110,0)),IF('Track Data'!O2083=5,INDEX(Acceleration!$U$4:$U$110,MATCH('Track Data'!S2083,Acceleration!$K$4:$K$110,0)),1)),U2083)</f>
        <v>1</v>
      </c>
      <c r="AG2083" s="16">
        <f>IF(AC2083=0,IF(O2083=4,INDEX(Acceleration!$T$4:$T$110,MATCH('Track Data'!S2083,Acceleration!$K$4:$K$110,0)),IF('Track Data'!O2083=3,INDEX(Acceleration!$S$4:$S$110,MATCH('Track Data'!S2083,Acceleration!$K$4:$K$110,0)),'Track Data'!AF2083)),'Track Data'!U2083)</f>
        <v>5.2583296715092471</v>
      </c>
      <c r="AH2083" s="16">
        <f>IF(AC2083=0,IF(O2083=2,INDEX(Acceleration!$R$4:$R$110,MATCH('Track Data'!S2083,Acceleration!$K$4:$K$110,0)),IF('Track Data'!O2083=1,INDEX(Acceleration!$Q$4:$Q$110,MATCH('Track Data'!S2083,Acceleration!$K$4:$K$110,0)),'Track Data'!AG2083)),'Track Data'!U2083)</f>
        <v>5.2583296715092471</v>
      </c>
    </row>
    <row r="2084" spans="2:34" x14ac:dyDescent="0.25">
      <c r="B2084" s="16">
        <v>250.35400000000001</v>
      </c>
      <c r="C2084" s="16">
        <v>9354</v>
      </c>
      <c r="D2084" s="16">
        <v>2081</v>
      </c>
      <c r="E2084" s="113">
        <v>139</v>
      </c>
      <c r="F2084" s="113">
        <v>136.69999999999999</v>
      </c>
      <c r="G2084" s="113">
        <v>125.8</v>
      </c>
      <c r="H2084" s="113">
        <f t="shared" si="229"/>
        <v>34.944444444444443</v>
      </c>
      <c r="I2084" s="113">
        <v>14.6</v>
      </c>
      <c r="J2084" s="113">
        <v>84.8</v>
      </c>
      <c r="K2084" s="113">
        <v>-58.6</v>
      </c>
      <c r="L2084" s="183"/>
      <c r="M2084" s="16">
        <v>2081</v>
      </c>
      <c r="N2084" s="16">
        <f t="shared" si="231"/>
        <v>2.4223940006716432E-2</v>
      </c>
      <c r="O2084" s="16">
        <v>3</v>
      </c>
      <c r="P2084" s="16">
        <f t="shared" si="227"/>
        <v>10.596205962059623</v>
      </c>
      <c r="Q2084" s="16">
        <f t="shared" si="232"/>
        <v>41.281476082038502</v>
      </c>
      <c r="R2084" s="113">
        <f t="shared" si="228"/>
        <v>345.36</v>
      </c>
      <c r="S2084" s="16">
        <f>IF(S2083=15800,15800,ROUND((((Q2084*60)/'Gearing Calculator'!$C$14)*'Track Data'!P2084),-2))</f>
        <v>13300</v>
      </c>
      <c r="T2084" s="16">
        <f t="shared" si="230"/>
        <v>5.2583296715092471</v>
      </c>
      <c r="U2084" s="16">
        <f>IF(AC2084=100,Braking!$AG$2354,IF(AC2084=50,Braking!$AG$1179,IF(AC2084=75,Braking!$AG$1767,0)))</f>
        <v>0</v>
      </c>
      <c r="V2084" s="16">
        <f>0.5*'Gearing Calculator'!$C$15*'Gearing Calculator'!$C$20*'Gearing Calculator'!$W$20*('Track Data'!Q2084^2)</f>
        <v>180.36832271346125</v>
      </c>
      <c r="W2084" s="16">
        <f>('Gearing Calculator'!$U$9*'Track Data'!T2084)+'Track Data'!V2084</f>
        <v>1580.1356812692229</v>
      </c>
      <c r="X2084" s="16">
        <f>('Gearing Calculator'!$U$9*9.81)*('Gearing Calculator'!$U$16/'Gearing Calculator'!$C$7)-(('Track Data'!W2084)*('Gearing Calculator'!$U$17/'Gearing Calculator'!$C$7))</f>
        <v>539.88044034373297</v>
      </c>
      <c r="Y2084" s="16">
        <f>('Gearing Calculator'!$U$9*9.81)*(('Gearing Calculator'!$C$7-'Gearing Calculator'!$U$16)/'Gearing Calculator'!$C$7)+(('Track Data'!W2084)*('Gearing Calculator'!$U$17/'Gearing Calculator'!$C$7))</f>
        <v>2071.5415596562671</v>
      </c>
      <c r="Z2084" s="16">
        <f>((X2084*COS('Gearing Calculator'!$C$21))/'Gearing Calculator'!$C$22)/2</f>
        <v>16.691395719071824</v>
      </c>
      <c r="AA2084" s="16">
        <f>Y2084/'Gearing Calculator'!$C$24</f>
        <v>28.925668218874538</v>
      </c>
      <c r="AB2084" s="16">
        <f t="shared" si="226"/>
        <v>196.14331172798899</v>
      </c>
      <c r="AC2084" s="16">
        <v>0</v>
      </c>
      <c r="AD2084" s="16">
        <v>-51.415226335993196</v>
      </c>
      <c r="AE2084" s="16">
        <v>2081</v>
      </c>
      <c r="AF2084" s="16">
        <f>IF(AC2084=0,IF(O2084=6,INDEX(Acceleration!$V$4:$V$110,MATCH('Track Data'!S2084,Acceleration!$K$4:$K$110,0)),IF('Track Data'!O2084=5,INDEX(Acceleration!$U$4:$U$110,MATCH('Track Data'!S2084,Acceleration!$K$4:$K$110,0)),1)),U2084)</f>
        <v>1</v>
      </c>
      <c r="AG2084" s="16">
        <f>IF(AC2084=0,IF(O2084=4,INDEX(Acceleration!$T$4:$T$110,MATCH('Track Data'!S2084,Acceleration!$K$4:$K$110,0)),IF('Track Data'!O2084=3,INDEX(Acceleration!$S$4:$S$110,MATCH('Track Data'!S2084,Acceleration!$K$4:$K$110,0)),'Track Data'!AF2084)),'Track Data'!U2084)</f>
        <v>5.2583296715092471</v>
      </c>
      <c r="AH2084" s="16">
        <f>IF(AC2084=0,IF(O2084=2,INDEX(Acceleration!$R$4:$R$110,MATCH('Track Data'!S2084,Acceleration!$K$4:$K$110,0)),IF('Track Data'!O2084=1,INDEX(Acceleration!$Q$4:$Q$110,MATCH('Track Data'!S2084,Acceleration!$K$4:$K$110,0)),'Track Data'!AG2084)),'Track Data'!U2084)</f>
        <v>5.2583296715092471</v>
      </c>
    </row>
    <row r="2085" spans="2:34" x14ac:dyDescent="0.25">
      <c r="B2085" s="16">
        <v>250.381</v>
      </c>
      <c r="C2085" s="16">
        <v>9355</v>
      </c>
      <c r="D2085" s="16">
        <v>2082</v>
      </c>
      <c r="E2085" s="113">
        <v>138</v>
      </c>
      <c r="F2085" s="113">
        <v>136.30000000000001</v>
      </c>
      <c r="G2085" s="113">
        <v>125.3</v>
      </c>
      <c r="H2085" s="113">
        <f t="shared" si="229"/>
        <v>34.805555555555557</v>
      </c>
      <c r="I2085" s="113">
        <v>13.9</v>
      </c>
      <c r="J2085" s="113">
        <v>79.58</v>
      </c>
      <c r="K2085" s="113">
        <v>-60.1</v>
      </c>
      <c r="L2085" s="183"/>
      <c r="M2085" s="16">
        <v>2082</v>
      </c>
      <c r="N2085" s="16">
        <f t="shared" si="231"/>
        <v>2.4223940006716432E-2</v>
      </c>
      <c r="O2085" s="16">
        <v>3</v>
      </c>
      <c r="P2085" s="16">
        <f t="shared" si="227"/>
        <v>10.596205962059623</v>
      </c>
      <c r="Q2085" s="16">
        <f t="shared" si="232"/>
        <v>41.281476082038502</v>
      </c>
      <c r="R2085" s="113">
        <f t="shared" si="228"/>
        <v>345.36</v>
      </c>
      <c r="S2085" s="16">
        <f>IF(S2084=15800,15800,ROUND((((Q2085*60)/'Gearing Calculator'!$C$14)*'Track Data'!P2085),-2))</f>
        <v>13300</v>
      </c>
      <c r="T2085" s="16">
        <f t="shared" si="230"/>
        <v>5.2583296715092471</v>
      </c>
      <c r="U2085" s="16">
        <f>IF(AC2085=100,Braking!$AG$2354,IF(AC2085=50,Braking!$AG$1179,IF(AC2085=75,Braking!$AG$1767,0)))</f>
        <v>0</v>
      </c>
      <c r="V2085" s="16">
        <f>0.5*'Gearing Calculator'!$C$15*'Gearing Calculator'!$C$20*'Gearing Calculator'!$W$20*('Track Data'!Q2085^2)</f>
        <v>180.36832271346125</v>
      </c>
      <c r="W2085" s="16">
        <f>('Gearing Calculator'!$U$9*'Track Data'!T2085)+'Track Data'!V2085</f>
        <v>1580.1356812692229</v>
      </c>
      <c r="X2085" s="16">
        <f>('Gearing Calculator'!$U$9*9.81)*('Gearing Calculator'!$U$16/'Gearing Calculator'!$C$7)-(('Track Data'!W2085)*('Gearing Calculator'!$U$17/'Gearing Calculator'!$C$7))</f>
        <v>539.88044034373297</v>
      </c>
      <c r="Y2085" s="16">
        <f>('Gearing Calculator'!$U$9*9.81)*(('Gearing Calculator'!$C$7-'Gearing Calculator'!$U$16)/'Gearing Calculator'!$C$7)+(('Track Data'!W2085)*('Gearing Calculator'!$U$17/'Gearing Calculator'!$C$7))</f>
        <v>2071.5415596562671</v>
      </c>
      <c r="Z2085" s="16">
        <f>((X2085*COS('Gearing Calculator'!$C$21))/'Gearing Calculator'!$C$22)/2</f>
        <v>16.691395719071824</v>
      </c>
      <c r="AA2085" s="16">
        <f>Y2085/'Gearing Calculator'!$C$24</f>
        <v>28.925668218874538</v>
      </c>
      <c r="AB2085" s="16">
        <f t="shared" si="226"/>
        <v>196.14331172798899</v>
      </c>
      <c r="AC2085" s="16">
        <v>0</v>
      </c>
      <c r="AD2085" s="16">
        <v>-51.415226335993196</v>
      </c>
      <c r="AE2085" s="16">
        <v>2082</v>
      </c>
      <c r="AF2085" s="16">
        <f>IF(AC2085=0,IF(O2085=6,INDEX(Acceleration!$V$4:$V$110,MATCH('Track Data'!S2085,Acceleration!$K$4:$K$110,0)),IF('Track Data'!O2085=5,INDEX(Acceleration!$U$4:$U$110,MATCH('Track Data'!S2085,Acceleration!$K$4:$K$110,0)),1)),U2085)</f>
        <v>1</v>
      </c>
      <c r="AG2085" s="16">
        <f>IF(AC2085=0,IF(O2085=4,INDEX(Acceleration!$T$4:$T$110,MATCH('Track Data'!S2085,Acceleration!$K$4:$K$110,0)),IF('Track Data'!O2085=3,INDEX(Acceleration!$S$4:$S$110,MATCH('Track Data'!S2085,Acceleration!$K$4:$K$110,0)),'Track Data'!AF2085)),'Track Data'!U2085)</f>
        <v>5.2583296715092471</v>
      </c>
      <c r="AH2085" s="16">
        <f>IF(AC2085=0,IF(O2085=2,INDEX(Acceleration!$R$4:$R$110,MATCH('Track Data'!S2085,Acceleration!$K$4:$K$110,0)),IF('Track Data'!O2085=1,INDEX(Acceleration!$Q$4:$Q$110,MATCH('Track Data'!S2085,Acceleration!$K$4:$K$110,0)),'Track Data'!AG2085)),'Track Data'!U2085)</f>
        <v>5.2583296715092471</v>
      </c>
    </row>
    <row r="2086" spans="2:34" x14ac:dyDescent="0.25">
      <c r="B2086" s="16">
        <v>250.40700000000001</v>
      </c>
      <c r="C2086" s="16">
        <v>9356</v>
      </c>
      <c r="D2086" s="16">
        <v>2083</v>
      </c>
      <c r="E2086" s="113">
        <v>138</v>
      </c>
      <c r="F2086" s="113">
        <v>136.1</v>
      </c>
      <c r="G2086" s="113">
        <v>125.1</v>
      </c>
      <c r="H2086" s="113">
        <f t="shared" si="229"/>
        <v>34.75</v>
      </c>
      <c r="I2086" s="113">
        <v>13</v>
      </c>
      <c r="J2086" s="113">
        <v>76.150000000000006</v>
      </c>
      <c r="K2086" s="113">
        <v>-60.7</v>
      </c>
      <c r="L2086" s="183"/>
      <c r="M2086" s="16">
        <v>2083</v>
      </c>
      <c r="N2086" s="16">
        <f t="shared" si="231"/>
        <v>2.4223940006716432E-2</v>
      </c>
      <c r="O2086" s="16">
        <v>3</v>
      </c>
      <c r="P2086" s="16">
        <f t="shared" si="227"/>
        <v>10.596205962059623</v>
      </c>
      <c r="Q2086" s="16">
        <f t="shared" si="232"/>
        <v>41.281476082038502</v>
      </c>
      <c r="R2086" s="113">
        <f t="shared" si="228"/>
        <v>345.36</v>
      </c>
      <c r="S2086" s="16">
        <f>IF(S2085=15800,15800,ROUND((((Q2086*60)/'Gearing Calculator'!$C$14)*'Track Data'!P2086),-2))</f>
        <v>13300</v>
      </c>
      <c r="T2086" s="16">
        <f t="shared" si="230"/>
        <v>5.2583296715092471</v>
      </c>
      <c r="U2086" s="16">
        <f>IF(AC2086=100,Braking!$AG$2354,IF(AC2086=50,Braking!$AG$1179,IF(AC2086=75,Braking!$AG$1767,0)))</f>
        <v>0</v>
      </c>
      <c r="V2086" s="16">
        <f>0.5*'Gearing Calculator'!$C$15*'Gearing Calculator'!$C$20*'Gearing Calculator'!$W$20*('Track Data'!Q2086^2)</f>
        <v>180.36832271346125</v>
      </c>
      <c r="W2086" s="16">
        <f>('Gearing Calculator'!$U$9*'Track Data'!T2086)+'Track Data'!V2086</f>
        <v>1580.1356812692229</v>
      </c>
      <c r="X2086" s="16">
        <f>('Gearing Calculator'!$U$9*9.81)*('Gearing Calculator'!$U$16/'Gearing Calculator'!$C$7)-(('Track Data'!W2086)*('Gearing Calculator'!$U$17/'Gearing Calculator'!$C$7))</f>
        <v>539.88044034373297</v>
      </c>
      <c r="Y2086" s="16">
        <f>('Gearing Calculator'!$U$9*9.81)*(('Gearing Calculator'!$C$7-'Gearing Calculator'!$U$16)/'Gearing Calculator'!$C$7)+(('Track Data'!W2086)*('Gearing Calculator'!$U$17/'Gearing Calculator'!$C$7))</f>
        <v>2071.5415596562671</v>
      </c>
      <c r="Z2086" s="16">
        <f>((X2086*COS('Gearing Calculator'!$C$21))/'Gearing Calculator'!$C$22)/2</f>
        <v>16.691395719071824</v>
      </c>
      <c r="AA2086" s="16">
        <f>Y2086/'Gearing Calculator'!$C$24</f>
        <v>28.925668218874538</v>
      </c>
      <c r="AB2086" s="16">
        <f t="shared" si="226"/>
        <v>196.14331172798899</v>
      </c>
      <c r="AC2086" s="16">
        <v>0</v>
      </c>
      <c r="AD2086" s="16">
        <v>-51.415226335993196</v>
      </c>
      <c r="AE2086" s="16">
        <v>2083</v>
      </c>
      <c r="AF2086" s="16">
        <f>IF(AC2086=0,IF(O2086=6,INDEX(Acceleration!$V$4:$V$110,MATCH('Track Data'!S2086,Acceleration!$K$4:$K$110,0)),IF('Track Data'!O2086=5,INDEX(Acceleration!$U$4:$U$110,MATCH('Track Data'!S2086,Acceleration!$K$4:$K$110,0)),1)),U2086)</f>
        <v>1</v>
      </c>
      <c r="AG2086" s="16">
        <f>IF(AC2086=0,IF(O2086=4,INDEX(Acceleration!$T$4:$T$110,MATCH('Track Data'!S2086,Acceleration!$K$4:$K$110,0)),IF('Track Data'!O2086=3,INDEX(Acceleration!$S$4:$S$110,MATCH('Track Data'!S2086,Acceleration!$K$4:$K$110,0)),'Track Data'!AF2086)),'Track Data'!U2086)</f>
        <v>5.2583296715092471</v>
      </c>
      <c r="AH2086" s="16">
        <f>IF(AC2086=0,IF(O2086=2,INDEX(Acceleration!$R$4:$R$110,MATCH('Track Data'!S2086,Acceleration!$K$4:$K$110,0)),IF('Track Data'!O2086=1,INDEX(Acceleration!$Q$4:$Q$110,MATCH('Track Data'!S2086,Acceleration!$K$4:$K$110,0)),'Track Data'!AG2086)),'Track Data'!U2086)</f>
        <v>5.2583296715092471</v>
      </c>
    </row>
    <row r="2087" spans="2:34" x14ac:dyDescent="0.25">
      <c r="B2087" s="16">
        <v>250.434</v>
      </c>
      <c r="C2087" s="16">
        <v>9357</v>
      </c>
      <c r="D2087" s="16">
        <v>2084</v>
      </c>
      <c r="E2087" s="113">
        <v>138</v>
      </c>
      <c r="F2087" s="113">
        <v>136.19999999999999</v>
      </c>
      <c r="G2087" s="113">
        <v>124.7</v>
      </c>
      <c r="H2087" s="113">
        <f t="shared" si="229"/>
        <v>34.638888888888886</v>
      </c>
      <c r="I2087" s="113">
        <v>11.5</v>
      </c>
      <c r="J2087" s="113">
        <v>72.5</v>
      </c>
      <c r="K2087" s="113">
        <v>-59.7</v>
      </c>
      <c r="L2087" s="183"/>
      <c r="M2087" s="16">
        <v>2084</v>
      </c>
      <c r="N2087" s="16">
        <f t="shared" si="231"/>
        <v>2.4223940006716432E-2</v>
      </c>
      <c r="O2087" s="16">
        <v>3</v>
      </c>
      <c r="P2087" s="16">
        <f t="shared" si="227"/>
        <v>10.596205962059623</v>
      </c>
      <c r="Q2087" s="16">
        <f t="shared" si="232"/>
        <v>41.281476082038502</v>
      </c>
      <c r="R2087" s="113">
        <f t="shared" si="228"/>
        <v>345.36</v>
      </c>
      <c r="S2087" s="16">
        <f>IF(S2086=15800,15800,ROUND((((Q2087*60)/'Gearing Calculator'!$C$14)*'Track Data'!P2087),-2))</f>
        <v>13300</v>
      </c>
      <c r="T2087" s="16">
        <f t="shared" si="230"/>
        <v>5.2583296715092471</v>
      </c>
      <c r="U2087" s="16">
        <f>IF(AC2087=100,Braking!$AG$2354,IF(AC2087=50,Braking!$AG$1179,IF(AC2087=75,Braking!$AG$1767,0)))</f>
        <v>0</v>
      </c>
      <c r="V2087" s="16">
        <f>0.5*'Gearing Calculator'!$C$15*'Gearing Calculator'!$C$20*'Gearing Calculator'!$W$20*('Track Data'!Q2087^2)</f>
        <v>180.36832271346125</v>
      </c>
      <c r="W2087" s="16">
        <f>('Gearing Calculator'!$U$9*'Track Data'!T2087)+'Track Data'!V2087</f>
        <v>1580.1356812692229</v>
      </c>
      <c r="X2087" s="16">
        <f>('Gearing Calculator'!$U$9*9.81)*('Gearing Calculator'!$U$16/'Gearing Calculator'!$C$7)-(('Track Data'!W2087)*('Gearing Calculator'!$U$17/'Gearing Calculator'!$C$7))</f>
        <v>539.88044034373297</v>
      </c>
      <c r="Y2087" s="16">
        <f>('Gearing Calculator'!$U$9*9.81)*(('Gearing Calculator'!$C$7-'Gearing Calculator'!$U$16)/'Gearing Calculator'!$C$7)+(('Track Data'!W2087)*('Gearing Calculator'!$U$17/'Gearing Calculator'!$C$7))</f>
        <v>2071.5415596562671</v>
      </c>
      <c r="Z2087" s="16">
        <f>((X2087*COS('Gearing Calculator'!$C$21))/'Gearing Calculator'!$C$22)/2</f>
        <v>16.691395719071824</v>
      </c>
      <c r="AA2087" s="16">
        <f>Y2087/'Gearing Calculator'!$C$24</f>
        <v>28.925668218874538</v>
      </c>
      <c r="AB2087" s="16">
        <f t="shared" si="226"/>
        <v>196.14331172798899</v>
      </c>
      <c r="AC2087" s="16">
        <v>0</v>
      </c>
      <c r="AD2087" s="16">
        <v>-51.415226335993196</v>
      </c>
      <c r="AE2087" s="16">
        <v>2084</v>
      </c>
      <c r="AF2087" s="16">
        <f>IF(AC2087=0,IF(O2087=6,INDEX(Acceleration!$V$4:$V$110,MATCH('Track Data'!S2087,Acceleration!$K$4:$K$110,0)),IF('Track Data'!O2087=5,INDEX(Acceleration!$U$4:$U$110,MATCH('Track Data'!S2087,Acceleration!$K$4:$K$110,0)),1)),U2087)</f>
        <v>1</v>
      </c>
      <c r="AG2087" s="16">
        <f>IF(AC2087=0,IF(O2087=4,INDEX(Acceleration!$T$4:$T$110,MATCH('Track Data'!S2087,Acceleration!$K$4:$K$110,0)),IF('Track Data'!O2087=3,INDEX(Acceleration!$S$4:$S$110,MATCH('Track Data'!S2087,Acceleration!$K$4:$K$110,0)),'Track Data'!AF2087)),'Track Data'!U2087)</f>
        <v>5.2583296715092471</v>
      </c>
      <c r="AH2087" s="16">
        <f>IF(AC2087=0,IF(O2087=2,INDEX(Acceleration!$R$4:$R$110,MATCH('Track Data'!S2087,Acceleration!$K$4:$K$110,0)),IF('Track Data'!O2087=1,INDEX(Acceleration!$Q$4:$Q$110,MATCH('Track Data'!S2087,Acceleration!$K$4:$K$110,0)),'Track Data'!AG2087)),'Track Data'!U2087)</f>
        <v>5.2583296715092471</v>
      </c>
    </row>
    <row r="2088" spans="2:34" x14ac:dyDescent="0.25">
      <c r="B2088" s="16">
        <v>250.46</v>
      </c>
      <c r="C2088" s="16">
        <v>9358</v>
      </c>
      <c r="D2088" s="16">
        <v>2085</v>
      </c>
      <c r="E2088" s="113">
        <v>137</v>
      </c>
      <c r="F2088" s="113">
        <v>135.9</v>
      </c>
      <c r="G2088" s="113">
        <v>124.3</v>
      </c>
      <c r="H2088" s="113">
        <f t="shared" si="229"/>
        <v>34.527777777777779</v>
      </c>
      <c r="I2088" s="113">
        <v>8.1999999999999993</v>
      </c>
      <c r="J2088" s="113">
        <v>68.03</v>
      </c>
      <c r="K2088" s="113">
        <v>-58.7</v>
      </c>
      <c r="L2088" s="183"/>
      <c r="M2088" s="16">
        <v>2085</v>
      </c>
      <c r="N2088" s="16">
        <f t="shared" si="231"/>
        <v>2.4223940006716432E-2</v>
      </c>
      <c r="O2088" s="16">
        <v>3</v>
      </c>
      <c r="P2088" s="16">
        <f t="shared" si="227"/>
        <v>10.596205962059623</v>
      </c>
      <c r="Q2088" s="16">
        <f t="shared" si="232"/>
        <v>41.281476082038502</v>
      </c>
      <c r="R2088" s="113">
        <f t="shared" si="228"/>
        <v>345.36</v>
      </c>
      <c r="S2088" s="16">
        <f>IF(S2087=15800,15800,ROUND((((Q2088*60)/'Gearing Calculator'!$C$14)*'Track Data'!P2088),-2))</f>
        <v>13300</v>
      </c>
      <c r="T2088" s="16">
        <f t="shared" si="230"/>
        <v>5.2583296715092471</v>
      </c>
      <c r="U2088" s="16">
        <f>IF(AC2088=100,Braking!$AG$2354,IF(AC2088=50,Braking!$AG$1179,IF(AC2088=75,Braking!$AG$1767,0)))</f>
        <v>0</v>
      </c>
      <c r="V2088" s="16">
        <f>0.5*'Gearing Calculator'!$C$15*'Gearing Calculator'!$C$20*'Gearing Calculator'!$W$20*('Track Data'!Q2088^2)</f>
        <v>180.36832271346125</v>
      </c>
      <c r="W2088" s="16">
        <f>('Gearing Calculator'!$U$9*'Track Data'!T2088)+'Track Data'!V2088</f>
        <v>1580.1356812692229</v>
      </c>
      <c r="X2088" s="16">
        <f>('Gearing Calculator'!$U$9*9.81)*('Gearing Calculator'!$U$16/'Gearing Calculator'!$C$7)-(('Track Data'!W2088)*('Gearing Calculator'!$U$17/'Gearing Calculator'!$C$7))</f>
        <v>539.88044034373297</v>
      </c>
      <c r="Y2088" s="16">
        <f>('Gearing Calculator'!$U$9*9.81)*(('Gearing Calculator'!$C$7-'Gearing Calculator'!$U$16)/'Gearing Calculator'!$C$7)+(('Track Data'!W2088)*('Gearing Calculator'!$U$17/'Gearing Calculator'!$C$7))</f>
        <v>2071.5415596562671</v>
      </c>
      <c r="Z2088" s="16">
        <f>((X2088*COS('Gearing Calculator'!$C$21))/'Gearing Calculator'!$C$22)/2</f>
        <v>16.691395719071824</v>
      </c>
      <c r="AA2088" s="16">
        <f>Y2088/'Gearing Calculator'!$C$24</f>
        <v>28.925668218874538</v>
      </c>
      <c r="AB2088" s="16">
        <f t="shared" si="226"/>
        <v>196.14331172798899</v>
      </c>
      <c r="AC2088" s="16">
        <v>0</v>
      </c>
      <c r="AD2088" s="16">
        <v>-51.415226335993196</v>
      </c>
      <c r="AE2088" s="16">
        <v>2085</v>
      </c>
      <c r="AF2088" s="16">
        <f>IF(AC2088=0,IF(O2088=6,INDEX(Acceleration!$V$4:$V$110,MATCH('Track Data'!S2088,Acceleration!$K$4:$K$110,0)),IF('Track Data'!O2088=5,INDEX(Acceleration!$U$4:$U$110,MATCH('Track Data'!S2088,Acceleration!$K$4:$K$110,0)),1)),U2088)</f>
        <v>1</v>
      </c>
      <c r="AG2088" s="16">
        <f>IF(AC2088=0,IF(O2088=4,INDEX(Acceleration!$T$4:$T$110,MATCH('Track Data'!S2088,Acceleration!$K$4:$K$110,0)),IF('Track Data'!O2088=3,INDEX(Acceleration!$S$4:$S$110,MATCH('Track Data'!S2088,Acceleration!$K$4:$K$110,0)),'Track Data'!AF2088)),'Track Data'!U2088)</f>
        <v>5.2583296715092471</v>
      </c>
      <c r="AH2088" s="16">
        <f>IF(AC2088=0,IF(O2088=2,INDEX(Acceleration!$R$4:$R$110,MATCH('Track Data'!S2088,Acceleration!$K$4:$K$110,0)),IF('Track Data'!O2088=1,INDEX(Acceleration!$Q$4:$Q$110,MATCH('Track Data'!S2088,Acceleration!$K$4:$K$110,0)),'Track Data'!AG2088)),'Track Data'!U2088)</f>
        <v>5.2583296715092471</v>
      </c>
    </row>
    <row r="2089" spans="2:34" x14ac:dyDescent="0.25">
      <c r="B2089" s="16">
        <v>250.48599999999999</v>
      </c>
      <c r="C2089" s="16">
        <v>9359</v>
      </c>
      <c r="D2089" s="16">
        <v>2086</v>
      </c>
      <c r="E2089" s="113">
        <v>136</v>
      </c>
      <c r="F2089" s="113">
        <v>135.80000000000001</v>
      </c>
      <c r="G2089" s="113">
        <v>124</v>
      </c>
      <c r="H2089" s="113">
        <f t="shared" si="229"/>
        <v>34.444444444444443</v>
      </c>
      <c r="I2089" s="113">
        <v>7.3</v>
      </c>
      <c r="J2089" s="113">
        <v>64.78</v>
      </c>
      <c r="K2089" s="113">
        <v>-57.7</v>
      </c>
      <c r="L2089" s="183"/>
      <c r="M2089" s="16">
        <v>2086</v>
      </c>
      <c r="N2089" s="16">
        <f t="shared" si="231"/>
        <v>2.4223940006716432E-2</v>
      </c>
      <c r="O2089" s="16">
        <v>3</v>
      </c>
      <c r="P2089" s="16">
        <f t="shared" si="227"/>
        <v>10.596205962059623</v>
      </c>
      <c r="Q2089" s="16">
        <f t="shared" si="232"/>
        <v>41.281476082038502</v>
      </c>
      <c r="R2089" s="113">
        <f t="shared" si="228"/>
        <v>345.36</v>
      </c>
      <c r="S2089" s="16">
        <f>IF(S2088=15800,15800,ROUND((((Q2089*60)/'Gearing Calculator'!$C$14)*'Track Data'!P2089),-2))</f>
        <v>13300</v>
      </c>
      <c r="T2089" s="16">
        <f t="shared" si="230"/>
        <v>5.2583296715092471</v>
      </c>
      <c r="U2089" s="16">
        <f>IF(AC2089=100,Braking!$AG$2354,IF(AC2089=50,Braking!$AG$1179,IF(AC2089=75,Braking!$AG$1767,0)))</f>
        <v>0</v>
      </c>
      <c r="V2089" s="16">
        <f>0.5*'Gearing Calculator'!$C$15*'Gearing Calculator'!$C$20*'Gearing Calculator'!$W$20*('Track Data'!Q2089^2)</f>
        <v>180.36832271346125</v>
      </c>
      <c r="W2089" s="16">
        <f>('Gearing Calculator'!$U$9*'Track Data'!T2089)+'Track Data'!V2089</f>
        <v>1580.1356812692229</v>
      </c>
      <c r="X2089" s="16">
        <f>('Gearing Calculator'!$U$9*9.81)*('Gearing Calculator'!$U$16/'Gearing Calculator'!$C$7)-(('Track Data'!W2089)*('Gearing Calculator'!$U$17/'Gearing Calculator'!$C$7))</f>
        <v>539.88044034373297</v>
      </c>
      <c r="Y2089" s="16">
        <f>('Gearing Calculator'!$U$9*9.81)*(('Gearing Calculator'!$C$7-'Gearing Calculator'!$U$16)/'Gearing Calculator'!$C$7)+(('Track Data'!W2089)*('Gearing Calculator'!$U$17/'Gearing Calculator'!$C$7))</f>
        <v>2071.5415596562671</v>
      </c>
      <c r="Z2089" s="16">
        <f>((X2089*COS('Gearing Calculator'!$C$21))/'Gearing Calculator'!$C$22)/2</f>
        <v>16.691395719071824</v>
      </c>
      <c r="AA2089" s="16">
        <f>Y2089/'Gearing Calculator'!$C$24</f>
        <v>28.925668218874538</v>
      </c>
      <c r="AB2089" s="16">
        <f t="shared" si="226"/>
        <v>196.14331172798899</v>
      </c>
      <c r="AC2089" s="16">
        <v>0</v>
      </c>
      <c r="AD2089" s="16">
        <v>-51.415226335993196</v>
      </c>
      <c r="AE2089" s="16">
        <v>2086</v>
      </c>
      <c r="AF2089" s="16">
        <f>IF(AC2089=0,IF(O2089=6,INDEX(Acceleration!$V$4:$V$110,MATCH('Track Data'!S2089,Acceleration!$K$4:$K$110,0)),IF('Track Data'!O2089=5,INDEX(Acceleration!$U$4:$U$110,MATCH('Track Data'!S2089,Acceleration!$K$4:$K$110,0)),1)),U2089)</f>
        <v>1</v>
      </c>
      <c r="AG2089" s="16">
        <f>IF(AC2089=0,IF(O2089=4,INDEX(Acceleration!$T$4:$T$110,MATCH('Track Data'!S2089,Acceleration!$K$4:$K$110,0)),IF('Track Data'!O2089=3,INDEX(Acceleration!$S$4:$S$110,MATCH('Track Data'!S2089,Acceleration!$K$4:$K$110,0)),'Track Data'!AF2089)),'Track Data'!U2089)</f>
        <v>5.2583296715092471</v>
      </c>
      <c r="AH2089" s="16">
        <f>IF(AC2089=0,IF(O2089=2,INDEX(Acceleration!$R$4:$R$110,MATCH('Track Data'!S2089,Acceleration!$K$4:$K$110,0)),IF('Track Data'!O2089=1,INDEX(Acceleration!$Q$4:$Q$110,MATCH('Track Data'!S2089,Acceleration!$K$4:$K$110,0)),'Track Data'!AG2089)),'Track Data'!U2089)</f>
        <v>5.2583296715092471</v>
      </c>
    </row>
    <row r="2090" spans="2:34" x14ac:dyDescent="0.25">
      <c r="B2090" s="16">
        <v>250.512</v>
      </c>
      <c r="C2090" s="16">
        <v>9360</v>
      </c>
      <c r="D2090" s="16">
        <v>2087</v>
      </c>
      <c r="E2090" s="113">
        <v>136</v>
      </c>
      <c r="F2090" s="113">
        <v>135.9</v>
      </c>
      <c r="G2090" s="113">
        <v>123.6</v>
      </c>
      <c r="H2090" s="113">
        <f t="shared" si="229"/>
        <v>34.333333333333329</v>
      </c>
      <c r="I2090" s="113">
        <v>7.1</v>
      </c>
      <c r="J2090" s="113">
        <v>73.67</v>
      </c>
      <c r="K2090" s="113">
        <v>-54.7</v>
      </c>
      <c r="L2090" s="183"/>
      <c r="M2090" s="16">
        <v>2087</v>
      </c>
      <c r="N2090" s="16">
        <f t="shared" si="231"/>
        <v>2.4223940006716432E-2</v>
      </c>
      <c r="O2090" s="16">
        <v>3</v>
      </c>
      <c r="P2090" s="16">
        <f t="shared" si="227"/>
        <v>10.596205962059623</v>
      </c>
      <c r="Q2090" s="16">
        <f t="shared" si="232"/>
        <v>41.281476082038502</v>
      </c>
      <c r="R2090" s="113">
        <f t="shared" si="228"/>
        <v>345.36</v>
      </c>
      <c r="S2090" s="16">
        <f>IF(S2089=15800,15800,ROUND((((Q2090*60)/'Gearing Calculator'!$C$14)*'Track Data'!P2090),-2))</f>
        <v>13300</v>
      </c>
      <c r="T2090" s="16">
        <f t="shared" si="230"/>
        <v>5.2583296715092471</v>
      </c>
      <c r="U2090" s="16">
        <f>IF(AC2090=100,Braking!$AG$2354,IF(AC2090=50,Braking!$AG$1179,IF(AC2090=75,Braking!$AG$1767,0)))</f>
        <v>0</v>
      </c>
      <c r="V2090" s="16">
        <f>0.5*'Gearing Calculator'!$C$15*'Gearing Calculator'!$C$20*'Gearing Calculator'!$W$20*('Track Data'!Q2090^2)</f>
        <v>180.36832271346125</v>
      </c>
      <c r="W2090" s="16">
        <f>('Gearing Calculator'!$U$9*'Track Data'!T2090)+'Track Data'!V2090</f>
        <v>1580.1356812692229</v>
      </c>
      <c r="X2090" s="16">
        <f>('Gearing Calculator'!$U$9*9.81)*('Gearing Calculator'!$U$16/'Gearing Calculator'!$C$7)-(('Track Data'!W2090)*('Gearing Calculator'!$U$17/'Gearing Calculator'!$C$7))</f>
        <v>539.88044034373297</v>
      </c>
      <c r="Y2090" s="16">
        <f>('Gearing Calculator'!$U$9*9.81)*(('Gearing Calculator'!$C$7-'Gearing Calculator'!$U$16)/'Gearing Calculator'!$C$7)+(('Track Data'!W2090)*('Gearing Calculator'!$U$17/'Gearing Calculator'!$C$7))</f>
        <v>2071.5415596562671</v>
      </c>
      <c r="Z2090" s="16">
        <f>((X2090*COS('Gearing Calculator'!$C$21))/'Gearing Calculator'!$C$22)/2</f>
        <v>16.691395719071824</v>
      </c>
      <c r="AA2090" s="16">
        <f>Y2090/'Gearing Calculator'!$C$24</f>
        <v>28.925668218874538</v>
      </c>
      <c r="AB2090" s="16">
        <f t="shared" si="226"/>
        <v>196.14331172798899</v>
      </c>
      <c r="AC2090" s="16">
        <v>0</v>
      </c>
      <c r="AD2090" s="16">
        <v>-51.415226335993196</v>
      </c>
      <c r="AE2090" s="16">
        <v>2087</v>
      </c>
      <c r="AF2090" s="16">
        <f>IF(AC2090=0,IF(O2090=6,INDEX(Acceleration!$V$4:$V$110,MATCH('Track Data'!S2090,Acceleration!$K$4:$K$110,0)),IF('Track Data'!O2090=5,INDEX(Acceleration!$U$4:$U$110,MATCH('Track Data'!S2090,Acceleration!$K$4:$K$110,0)),1)),U2090)</f>
        <v>1</v>
      </c>
      <c r="AG2090" s="16">
        <f>IF(AC2090=0,IF(O2090=4,INDEX(Acceleration!$T$4:$T$110,MATCH('Track Data'!S2090,Acceleration!$K$4:$K$110,0)),IF('Track Data'!O2090=3,INDEX(Acceleration!$S$4:$S$110,MATCH('Track Data'!S2090,Acceleration!$K$4:$K$110,0)),'Track Data'!AF2090)),'Track Data'!U2090)</f>
        <v>5.2583296715092471</v>
      </c>
      <c r="AH2090" s="16">
        <f>IF(AC2090=0,IF(O2090=2,INDEX(Acceleration!$R$4:$R$110,MATCH('Track Data'!S2090,Acceleration!$K$4:$K$110,0)),IF('Track Data'!O2090=1,INDEX(Acceleration!$Q$4:$Q$110,MATCH('Track Data'!S2090,Acceleration!$K$4:$K$110,0)),'Track Data'!AG2090)),'Track Data'!U2090)</f>
        <v>5.2583296715092471</v>
      </c>
    </row>
    <row r="2091" spans="2:34" x14ac:dyDescent="0.25">
      <c r="B2091" s="16">
        <v>250.53899999999999</v>
      </c>
      <c r="C2091" s="16">
        <v>9361</v>
      </c>
      <c r="D2091" s="16">
        <v>2088</v>
      </c>
      <c r="E2091" s="113">
        <v>136</v>
      </c>
      <c r="F2091" s="113">
        <v>135.6</v>
      </c>
      <c r="G2091" s="113">
        <v>123.3</v>
      </c>
      <c r="H2091" s="113">
        <f t="shared" si="229"/>
        <v>34.25</v>
      </c>
      <c r="I2091" s="113">
        <v>7.8</v>
      </c>
      <c r="J2091" s="113">
        <v>73.38</v>
      </c>
      <c r="K2091" s="113">
        <v>-52.7</v>
      </c>
      <c r="L2091" s="183"/>
      <c r="M2091" s="16">
        <v>2088</v>
      </c>
      <c r="N2091" s="16">
        <f t="shared" si="231"/>
        <v>2.4223940006716432E-2</v>
      </c>
      <c r="O2091" s="16">
        <v>3</v>
      </c>
      <c r="P2091" s="16">
        <f t="shared" si="227"/>
        <v>10.596205962059623</v>
      </c>
      <c r="Q2091" s="16">
        <f t="shared" si="232"/>
        <v>41.281476082038502</v>
      </c>
      <c r="R2091" s="113">
        <f t="shared" si="228"/>
        <v>345.36</v>
      </c>
      <c r="S2091" s="16">
        <f>IF(S2090=15800,15800,ROUND((((Q2091*60)/'Gearing Calculator'!$C$14)*'Track Data'!P2091),-2))</f>
        <v>13300</v>
      </c>
      <c r="T2091" s="16">
        <f t="shared" si="230"/>
        <v>5.2583296715092471</v>
      </c>
      <c r="U2091" s="16">
        <f>IF(AC2091=100,Braking!$AG$2354,IF(AC2091=50,Braking!$AG$1179,IF(AC2091=75,Braking!$AG$1767,0)))</f>
        <v>0</v>
      </c>
      <c r="V2091" s="16">
        <f>0.5*'Gearing Calculator'!$C$15*'Gearing Calculator'!$C$20*'Gearing Calculator'!$W$20*('Track Data'!Q2091^2)</f>
        <v>180.36832271346125</v>
      </c>
      <c r="W2091" s="16">
        <f>('Gearing Calculator'!$U$9*'Track Data'!T2091)+'Track Data'!V2091</f>
        <v>1580.1356812692229</v>
      </c>
      <c r="X2091" s="16">
        <f>('Gearing Calculator'!$U$9*9.81)*('Gearing Calculator'!$U$16/'Gearing Calculator'!$C$7)-(('Track Data'!W2091)*('Gearing Calculator'!$U$17/'Gearing Calculator'!$C$7))</f>
        <v>539.88044034373297</v>
      </c>
      <c r="Y2091" s="16">
        <f>('Gearing Calculator'!$U$9*9.81)*(('Gearing Calculator'!$C$7-'Gearing Calculator'!$U$16)/'Gearing Calculator'!$C$7)+(('Track Data'!W2091)*('Gearing Calculator'!$U$17/'Gearing Calculator'!$C$7))</f>
        <v>2071.5415596562671</v>
      </c>
      <c r="Z2091" s="16">
        <f>((X2091*COS('Gearing Calculator'!$C$21))/'Gearing Calculator'!$C$22)/2</f>
        <v>16.691395719071824</v>
      </c>
      <c r="AA2091" s="16">
        <f>Y2091/'Gearing Calculator'!$C$24</f>
        <v>28.925668218874538</v>
      </c>
      <c r="AB2091" s="16">
        <f t="shared" si="226"/>
        <v>196.14331172798899</v>
      </c>
      <c r="AC2091" s="16">
        <v>0</v>
      </c>
      <c r="AD2091" s="16">
        <v>-51.415226335993196</v>
      </c>
      <c r="AE2091" s="16">
        <v>2088</v>
      </c>
      <c r="AF2091" s="16">
        <f>IF(AC2091=0,IF(O2091=6,INDEX(Acceleration!$V$4:$V$110,MATCH('Track Data'!S2091,Acceleration!$K$4:$K$110,0)),IF('Track Data'!O2091=5,INDEX(Acceleration!$U$4:$U$110,MATCH('Track Data'!S2091,Acceleration!$K$4:$K$110,0)),1)),U2091)</f>
        <v>1</v>
      </c>
      <c r="AG2091" s="16">
        <f>IF(AC2091=0,IF(O2091=4,INDEX(Acceleration!$T$4:$T$110,MATCH('Track Data'!S2091,Acceleration!$K$4:$K$110,0)),IF('Track Data'!O2091=3,INDEX(Acceleration!$S$4:$S$110,MATCH('Track Data'!S2091,Acceleration!$K$4:$K$110,0)),'Track Data'!AF2091)),'Track Data'!U2091)</f>
        <v>5.2583296715092471</v>
      </c>
      <c r="AH2091" s="16">
        <f>IF(AC2091=0,IF(O2091=2,INDEX(Acceleration!$R$4:$R$110,MATCH('Track Data'!S2091,Acceleration!$K$4:$K$110,0)),IF('Track Data'!O2091=1,INDEX(Acceleration!$Q$4:$Q$110,MATCH('Track Data'!S2091,Acceleration!$K$4:$K$110,0)),'Track Data'!AG2091)),'Track Data'!U2091)</f>
        <v>5.2583296715092471</v>
      </c>
    </row>
    <row r="2092" spans="2:34" x14ac:dyDescent="0.25">
      <c r="B2092" s="16">
        <v>250.566</v>
      </c>
      <c r="C2092" s="16">
        <v>9362</v>
      </c>
      <c r="D2092" s="16">
        <v>2089</v>
      </c>
      <c r="E2092" s="113">
        <v>135</v>
      </c>
      <c r="F2092" s="113">
        <v>134.9</v>
      </c>
      <c r="G2092" s="113">
        <v>123</v>
      </c>
      <c r="H2092" s="113">
        <f t="shared" si="229"/>
        <v>34.166666666666664</v>
      </c>
      <c r="I2092" s="113">
        <v>15.4</v>
      </c>
      <c r="J2092" s="113">
        <v>78.400000000000006</v>
      </c>
      <c r="K2092" s="113">
        <v>-50.1</v>
      </c>
      <c r="L2092" s="183"/>
      <c r="M2092" s="16">
        <v>2089</v>
      </c>
      <c r="N2092" s="16">
        <f t="shared" si="231"/>
        <v>2.4223940006716432E-2</v>
      </c>
      <c r="O2092" s="16">
        <v>3</v>
      </c>
      <c r="P2092" s="16">
        <f t="shared" si="227"/>
        <v>10.596205962059623</v>
      </c>
      <c r="Q2092" s="16">
        <f t="shared" si="232"/>
        <v>41.281476082038502</v>
      </c>
      <c r="R2092" s="113">
        <f t="shared" si="228"/>
        <v>345.36</v>
      </c>
      <c r="S2092" s="16">
        <f>IF(S2091=15800,15800,ROUND((((Q2092*60)/'Gearing Calculator'!$C$14)*'Track Data'!P2092),-2))</f>
        <v>13300</v>
      </c>
      <c r="T2092" s="16">
        <f t="shared" si="230"/>
        <v>5.2583296715092471</v>
      </c>
      <c r="U2092" s="16">
        <f>IF(AC2092=100,Braking!$AG$2354,IF(AC2092=50,Braking!$AG$1179,IF(AC2092=75,Braking!$AG$1767,0)))</f>
        <v>0</v>
      </c>
      <c r="V2092" s="16">
        <f>0.5*'Gearing Calculator'!$C$15*'Gearing Calculator'!$C$20*'Gearing Calculator'!$W$20*('Track Data'!Q2092^2)</f>
        <v>180.36832271346125</v>
      </c>
      <c r="W2092" s="16">
        <f>('Gearing Calculator'!$U$9*'Track Data'!T2092)+'Track Data'!V2092</f>
        <v>1580.1356812692229</v>
      </c>
      <c r="X2092" s="16">
        <f>('Gearing Calculator'!$U$9*9.81)*('Gearing Calculator'!$U$16/'Gearing Calculator'!$C$7)-(('Track Data'!W2092)*('Gearing Calculator'!$U$17/'Gearing Calculator'!$C$7))</f>
        <v>539.88044034373297</v>
      </c>
      <c r="Y2092" s="16">
        <f>('Gearing Calculator'!$U$9*9.81)*(('Gearing Calculator'!$C$7-'Gearing Calculator'!$U$16)/'Gearing Calculator'!$C$7)+(('Track Data'!W2092)*('Gearing Calculator'!$U$17/'Gearing Calculator'!$C$7))</f>
        <v>2071.5415596562671</v>
      </c>
      <c r="Z2092" s="16">
        <f>((X2092*COS('Gearing Calculator'!$C$21))/'Gearing Calculator'!$C$22)/2</f>
        <v>16.691395719071824</v>
      </c>
      <c r="AA2092" s="16">
        <f>Y2092/'Gearing Calculator'!$C$24</f>
        <v>28.925668218874538</v>
      </c>
      <c r="AB2092" s="16">
        <f t="shared" si="226"/>
        <v>196.14331172798899</v>
      </c>
      <c r="AC2092" s="16">
        <v>0</v>
      </c>
      <c r="AD2092" s="16">
        <v>-51.415226335993196</v>
      </c>
      <c r="AE2092" s="16">
        <v>2089</v>
      </c>
      <c r="AF2092" s="16">
        <f>IF(AC2092=0,IF(O2092=6,INDEX(Acceleration!$V$4:$V$110,MATCH('Track Data'!S2092,Acceleration!$K$4:$K$110,0)),IF('Track Data'!O2092=5,INDEX(Acceleration!$U$4:$U$110,MATCH('Track Data'!S2092,Acceleration!$K$4:$K$110,0)),1)),U2092)</f>
        <v>1</v>
      </c>
      <c r="AG2092" s="16">
        <f>IF(AC2092=0,IF(O2092=4,INDEX(Acceleration!$T$4:$T$110,MATCH('Track Data'!S2092,Acceleration!$K$4:$K$110,0)),IF('Track Data'!O2092=3,INDEX(Acceleration!$S$4:$S$110,MATCH('Track Data'!S2092,Acceleration!$K$4:$K$110,0)),'Track Data'!AF2092)),'Track Data'!U2092)</f>
        <v>5.2583296715092471</v>
      </c>
      <c r="AH2092" s="16">
        <f>IF(AC2092=0,IF(O2092=2,INDEX(Acceleration!$R$4:$R$110,MATCH('Track Data'!S2092,Acceleration!$K$4:$K$110,0)),IF('Track Data'!O2092=1,INDEX(Acceleration!$Q$4:$Q$110,MATCH('Track Data'!S2092,Acceleration!$K$4:$K$110,0)),'Track Data'!AG2092)),'Track Data'!U2092)</f>
        <v>5.2583296715092471</v>
      </c>
    </row>
    <row r="2093" spans="2:34" x14ac:dyDescent="0.25">
      <c r="B2093" s="16">
        <v>250.59200000000001</v>
      </c>
      <c r="C2093" s="16">
        <v>9363</v>
      </c>
      <c r="D2093" s="16">
        <v>2090</v>
      </c>
      <c r="E2093" s="113">
        <v>135</v>
      </c>
      <c r="F2093" s="113">
        <v>134.4</v>
      </c>
      <c r="G2093" s="113">
        <v>122.6</v>
      </c>
      <c r="H2093" s="113">
        <f t="shared" si="229"/>
        <v>34.05555555555555</v>
      </c>
      <c r="I2093" s="113">
        <v>18.5</v>
      </c>
      <c r="J2093" s="113">
        <v>83.29</v>
      </c>
      <c r="K2093" s="113">
        <v>-50.1</v>
      </c>
      <c r="L2093" s="183"/>
      <c r="M2093" s="16">
        <v>2090</v>
      </c>
      <c r="N2093" s="16">
        <f t="shared" si="231"/>
        <v>2.4223940006716432E-2</v>
      </c>
      <c r="O2093" s="16">
        <v>3</v>
      </c>
      <c r="P2093" s="16">
        <f t="shared" si="227"/>
        <v>10.596205962059623</v>
      </c>
      <c r="Q2093" s="16">
        <f t="shared" si="232"/>
        <v>41.281476082038502</v>
      </c>
      <c r="R2093" s="113">
        <f t="shared" si="228"/>
        <v>345.36</v>
      </c>
      <c r="S2093" s="16">
        <f>IF(S2092=15800,15800,ROUND((((Q2093*60)/'Gearing Calculator'!$C$14)*'Track Data'!P2093),-2))</f>
        <v>13300</v>
      </c>
      <c r="T2093" s="16">
        <f t="shared" si="230"/>
        <v>5.2583296715092471</v>
      </c>
      <c r="U2093" s="16">
        <f>IF(AC2093=100,Braking!$AG$2354,IF(AC2093=50,Braking!$AG$1179,IF(AC2093=75,Braking!$AG$1767,0)))</f>
        <v>0</v>
      </c>
      <c r="V2093" s="16">
        <f>0.5*'Gearing Calculator'!$C$15*'Gearing Calculator'!$C$20*'Gearing Calculator'!$W$20*('Track Data'!Q2093^2)</f>
        <v>180.36832271346125</v>
      </c>
      <c r="W2093" s="16">
        <f>('Gearing Calculator'!$U$9*'Track Data'!T2093)+'Track Data'!V2093</f>
        <v>1580.1356812692229</v>
      </c>
      <c r="X2093" s="16">
        <f>('Gearing Calculator'!$U$9*9.81)*('Gearing Calculator'!$U$16/'Gearing Calculator'!$C$7)-(('Track Data'!W2093)*('Gearing Calculator'!$U$17/'Gearing Calculator'!$C$7))</f>
        <v>539.88044034373297</v>
      </c>
      <c r="Y2093" s="16">
        <f>('Gearing Calculator'!$U$9*9.81)*(('Gearing Calculator'!$C$7-'Gearing Calculator'!$U$16)/'Gearing Calculator'!$C$7)+(('Track Data'!W2093)*('Gearing Calculator'!$U$17/'Gearing Calculator'!$C$7))</f>
        <v>2071.5415596562671</v>
      </c>
      <c r="Z2093" s="16">
        <f>((X2093*COS('Gearing Calculator'!$C$21))/'Gearing Calculator'!$C$22)/2</f>
        <v>16.691395719071824</v>
      </c>
      <c r="AA2093" s="16">
        <f>Y2093/'Gearing Calculator'!$C$24</f>
        <v>28.925668218874538</v>
      </c>
      <c r="AB2093" s="16">
        <f t="shared" si="226"/>
        <v>196.14331172798899</v>
      </c>
      <c r="AC2093" s="16">
        <v>0</v>
      </c>
      <c r="AD2093" s="16">
        <v>-51.415226335993196</v>
      </c>
      <c r="AE2093" s="16">
        <v>2090</v>
      </c>
      <c r="AF2093" s="16">
        <f>IF(AC2093=0,IF(O2093=6,INDEX(Acceleration!$V$4:$V$110,MATCH('Track Data'!S2093,Acceleration!$K$4:$K$110,0)),IF('Track Data'!O2093=5,INDEX(Acceleration!$U$4:$U$110,MATCH('Track Data'!S2093,Acceleration!$K$4:$K$110,0)),1)),U2093)</f>
        <v>1</v>
      </c>
      <c r="AG2093" s="16">
        <f>IF(AC2093=0,IF(O2093=4,INDEX(Acceleration!$T$4:$T$110,MATCH('Track Data'!S2093,Acceleration!$K$4:$K$110,0)),IF('Track Data'!O2093=3,INDEX(Acceleration!$S$4:$S$110,MATCH('Track Data'!S2093,Acceleration!$K$4:$K$110,0)),'Track Data'!AF2093)),'Track Data'!U2093)</f>
        <v>5.2583296715092471</v>
      </c>
      <c r="AH2093" s="16">
        <f>IF(AC2093=0,IF(O2093=2,INDEX(Acceleration!$R$4:$R$110,MATCH('Track Data'!S2093,Acceleration!$K$4:$K$110,0)),IF('Track Data'!O2093=1,INDEX(Acceleration!$Q$4:$Q$110,MATCH('Track Data'!S2093,Acceleration!$K$4:$K$110,0)),'Track Data'!AG2093)),'Track Data'!U2093)</f>
        <v>5.2583296715092471</v>
      </c>
    </row>
    <row r="2094" spans="2:34" x14ac:dyDescent="0.25">
      <c r="B2094" s="16">
        <v>250.619</v>
      </c>
      <c r="C2094" s="16">
        <v>9364</v>
      </c>
      <c r="D2094" s="16">
        <v>2091</v>
      </c>
      <c r="E2094" s="113">
        <v>135</v>
      </c>
      <c r="F2094" s="113">
        <v>133.9</v>
      </c>
      <c r="G2094" s="113">
        <v>122.4</v>
      </c>
      <c r="H2094" s="113">
        <f t="shared" si="229"/>
        <v>34</v>
      </c>
      <c r="I2094" s="113">
        <v>21</v>
      </c>
      <c r="J2094" s="113">
        <v>82.72</v>
      </c>
      <c r="K2094" s="113">
        <v>-50.1</v>
      </c>
      <c r="L2094" s="183"/>
      <c r="M2094" s="16">
        <v>2091</v>
      </c>
      <c r="N2094" s="16">
        <f t="shared" si="231"/>
        <v>2.4223940006716432E-2</v>
      </c>
      <c r="O2094" s="16">
        <v>3</v>
      </c>
      <c r="P2094" s="16">
        <f t="shared" si="227"/>
        <v>10.596205962059623</v>
      </c>
      <c r="Q2094" s="16">
        <f t="shared" si="232"/>
        <v>41.281476082038502</v>
      </c>
      <c r="R2094" s="113">
        <f t="shared" si="228"/>
        <v>345.36</v>
      </c>
      <c r="S2094" s="16">
        <f>IF(S2093=15800,15800,ROUND((((Q2094*60)/'Gearing Calculator'!$C$14)*'Track Data'!P2094),-2))</f>
        <v>13300</v>
      </c>
      <c r="T2094" s="16">
        <f t="shared" si="230"/>
        <v>5.2583296715092471</v>
      </c>
      <c r="U2094" s="16">
        <f>IF(AC2094=100,Braking!$AG$2354,IF(AC2094=50,Braking!$AG$1179,IF(AC2094=75,Braking!$AG$1767,0)))</f>
        <v>0</v>
      </c>
      <c r="V2094" s="16">
        <f>0.5*'Gearing Calculator'!$C$15*'Gearing Calculator'!$C$20*'Gearing Calculator'!$W$20*('Track Data'!Q2094^2)</f>
        <v>180.36832271346125</v>
      </c>
      <c r="W2094" s="16">
        <f>('Gearing Calculator'!$U$9*'Track Data'!T2094)+'Track Data'!V2094</f>
        <v>1580.1356812692229</v>
      </c>
      <c r="X2094" s="16">
        <f>('Gearing Calculator'!$U$9*9.81)*('Gearing Calculator'!$U$16/'Gearing Calculator'!$C$7)-(('Track Data'!W2094)*('Gearing Calculator'!$U$17/'Gearing Calculator'!$C$7))</f>
        <v>539.88044034373297</v>
      </c>
      <c r="Y2094" s="16">
        <f>('Gearing Calculator'!$U$9*9.81)*(('Gearing Calculator'!$C$7-'Gearing Calculator'!$U$16)/'Gearing Calculator'!$C$7)+(('Track Data'!W2094)*('Gearing Calculator'!$U$17/'Gearing Calculator'!$C$7))</f>
        <v>2071.5415596562671</v>
      </c>
      <c r="Z2094" s="16">
        <f>((X2094*COS('Gearing Calculator'!$C$21))/'Gearing Calculator'!$C$22)/2</f>
        <v>16.691395719071824</v>
      </c>
      <c r="AA2094" s="16">
        <f>Y2094/'Gearing Calculator'!$C$24</f>
        <v>28.925668218874538</v>
      </c>
      <c r="AB2094" s="16">
        <f t="shared" si="226"/>
        <v>196.14331172798899</v>
      </c>
      <c r="AC2094" s="16">
        <v>0</v>
      </c>
      <c r="AD2094" s="16">
        <v>-51.415226335993196</v>
      </c>
      <c r="AE2094" s="16">
        <v>2091</v>
      </c>
      <c r="AF2094" s="16">
        <f>IF(AC2094=0,IF(O2094=6,INDEX(Acceleration!$V$4:$V$110,MATCH('Track Data'!S2094,Acceleration!$K$4:$K$110,0)),IF('Track Data'!O2094=5,INDEX(Acceleration!$U$4:$U$110,MATCH('Track Data'!S2094,Acceleration!$K$4:$K$110,0)),1)),U2094)</f>
        <v>1</v>
      </c>
      <c r="AG2094" s="16">
        <f>IF(AC2094=0,IF(O2094=4,INDEX(Acceleration!$T$4:$T$110,MATCH('Track Data'!S2094,Acceleration!$K$4:$K$110,0)),IF('Track Data'!O2094=3,INDEX(Acceleration!$S$4:$S$110,MATCH('Track Data'!S2094,Acceleration!$K$4:$K$110,0)),'Track Data'!AF2094)),'Track Data'!U2094)</f>
        <v>5.2583296715092471</v>
      </c>
      <c r="AH2094" s="16">
        <f>IF(AC2094=0,IF(O2094=2,INDEX(Acceleration!$R$4:$R$110,MATCH('Track Data'!S2094,Acceleration!$K$4:$K$110,0)),IF('Track Data'!O2094=1,INDEX(Acceleration!$Q$4:$Q$110,MATCH('Track Data'!S2094,Acceleration!$K$4:$K$110,0)),'Track Data'!AG2094)),'Track Data'!U2094)</f>
        <v>5.2583296715092471</v>
      </c>
    </row>
    <row r="2095" spans="2:34" x14ac:dyDescent="0.25">
      <c r="B2095" s="16">
        <v>250.64599999999999</v>
      </c>
      <c r="C2095" s="16">
        <v>9365</v>
      </c>
      <c r="D2095" s="16">
        <v>2092</v>
      </c>
      <c r="E2095" s="113">
        <v>135</v>
      </c>
      <c r="F2095" s="113">
        <v>133.30000000000001</v>
      </c>
      <c r="G2095" s="113">
        <v>122</v>
      </c>
      <c r="H2095" s="113">
        <f t="shared" si="229"/>
        <v>33.888888888888886</v>
      </c>
      <c r="I2095" s="113">
        <v>22.5</v>
      </c>
      <c r="J2095" s="113">
        <v>81.98</v>
      </c>
      <c r="K2095" s="113">
        <v>-50.3</v>
      </c>
      <c r="L2095" s="183"/>
      <c r="M2095" s="16">
        <v>2092</v>
      </c>
      <c r="N2095" s="16">
        <f t="shared" si="231"/>
        <v>2.4223940006716432E-2</v>
      </c>
      <c r="O2095" s="16">
        <v>3</v>
      </c>
      <c r="P2095" s="16">
        <f t="shared" si="227"/>
        <v>10.596205962059623</v>
      </c>
      <c r="Q2095" s="16">
        <f t="shared" si="232"/>
        <v>41.281476082038502</v>
      </c>
      <c r="R2095" s="113">
        <f t="shared" si="228"/>
        <v>345.36</v>
      </c>
      <c r="S2095" s="16">
        <f>IF(S2094=15800,15800,ROUND((((Q2095*60)/'Gearing Calculator'!$C$14)*'Track Data'!P2095),-2))</f>
        <v>13300</v>
      </c>
      <c r="T2095" s="16">
        <f t="shared" si="230"/>
        <v>5.2583296715092471</v>
      </c>
      <c r="U2095" s="16">
        <f>IF(AC2095=100,Braking!$AG$2354,IF(AC2095=50,Braking!$AG$1179,IF(AC2095=75,Braking!$AG$1767,0)))</f>
        <v>0</v>
      </c>
      <c r="V2095" s="16">
        <f>0.5*'Gearing Calculator'!$C$15*'Gearing Calculator'!$C$20*'Gearing Calculator'!$W$20*('Track Data'!Q2095^2)</f>
        <v>180.36832271346125</v>
      </c>
      <c r="W2095" s="16">
        <f>('Gearing Calculator'!$U$9*'Track Data'!T2095)+'Track Data'!V2095</f>
        <v>1580.1356812692229</v>
      </c>
      <c r="X2095" s="16">
        <f>('Gearing Calculator'!$U$9*9.81)*('Gearing Calculator'!$U$16/'Gearing Calculator'!$C$7)-(('Track Data'!W2095)*('Gearing Calculator'!$U$17/'Gearing Calculator'!$C$7))</f>
        <v>539.88044034373297</v>
      </c>
      <c r="Y2095" s="16">
        <f>('Gearing Calculator'!$U$9*9.81)*(('Gearing Calculator'!$C$7-'Gearing Calculator'!$U$16)/'Gearing Calculator'!$C$7)+(('Track Data'!W2095)*('Gearing Calculator'!$U$17/'Gearing Calculator'!$C$7))</f>
        <v>2071.5415596562671</v>
      </c>
      <c r="Z2095" s="16">
        <f>((X2095*COS('Gearing Calculator'!$C$21))/'Gearing Calculator'!$C$22)/2</f>
        <v>16.691395719071824</v>
      </c>
      <c r="AA2095" s="16">
        <f>Y2095/'Gearing Calculator'!$C$24</f>
        <v>28.925668218874538</v>
      </c>
      <c r="AB2095" s="16">
        <f t="shared" si="226"/>
        <v>196.14331172798899</v>
      </c>
      <c r="AC2095" s="16">
        <v>0</v>
      </c>
      <c r="AD2095" s="16">
        <v>-51.415226335993196</v>
      </c>
      <c r="AE2095" s="16">
        <v>2092</v>
      </c>
      <c r="AF2095" s="16">
        <f>IF(AC2095=0,IF(O2095=6,INDEX(Acceleration!$V$4:$V$110,MATCH('Track Data'!S2095,Acceleration!$K$4:$K$110,0)),IF('Track Data'!O2095=5,INDEX(Acceleration!$U$4:$U$110,MATCH('Track Data'!S2095,Acceleration!$K$4:$K$110,0)),1)),U2095)</f>
        <v>1</v>
      </c>
      <c r="AG2095" s="16">
        <f>IF(AC2095=0,IF(O2095=4,INDEX(Acceleration!$T$4:$T$110,MATCH('Track Data'!S2095,Acceleration!$K$4:$K$110,0)),IF('Track Data'!O2095=3,INDEX(Acceleration!$S$4:$S$110,MATCH('Track Data'!S2095,Acceleration!$K$4:$K$110,0)),'Track Data'!AF2095)),'Track Data'!U2095)</f>
        <v>5.2583296715092471</v>
      </c>
      <c r="AH2095" s="16">
        <f>IF(AC2095=0,IF(O2095=2,INDEX(Acceleration!$R$4:$R$110,MATCH('Track Data'!S2095,Acceleration!$K$4:$K$110,0)),IF('Track Data'!O2095=1,INDEX(Acceleration!$Q$4:$Q$110,MATCH('Track Data'!S2095,Acceleration!$K$4:$K$110,0)),'Track Data'!AG2095)),'Track Data'!U2095)</f>
        <v>5.2583296715092471</v>
      </c>
    </row>
    <row r="2096" spans="2:34" x14ac:dyDescent="0.25">
      <c r="B2096" s="16">
        <v>250.673</v>
      </c>
      <c r="C2096" s="16">
        <v>9366</v>
      </c>
      <c r="D2096" s="16">
        <v>2093</v>
      </c>
      <c r="E2096" s="113">
        <v>134</v>
      </c>
      <c r="F2096" s="113">
        <v>132.9</v>
      </c>
      <c r="G2096" s="113">
        <v>121.7</v>
      </c>
      <c r="H2096" s="113">
        <f t="shared" si="229"/>
        <v>33.805555555555557</v>
      </c>
      <c r="I2096" s="113">
        <v>21.7</v>
      </c>
      <c r="J2096" s="113">
        <v>79.010000000000005</v>
      </c>
      <c r="K2096" s="113">
        <v>-51.8</v>
      </c>
      <c r="L2096" s="183"/>
      <c r="M2096" s="16">
        <v>2093</v>
      </c>
      <c r="N2096" s="16">
        <f t="shared" si="231"/>
        <v>2.4223940006716432E-2</v>
      </c>
      <c r="O2096" s="16">
        <v>3</v>
      </c>
      <c r="P2096" s="16">
        <f t="shared" si="227"/>
        <v>10.596205962059623</v>
      </c>
      <c r="Q2096" s="16">
        <f t="shared" si="232"/>
        <v>41.281476082038502</v>
      </c>
      <c r="R2096" s="113">
        <f t="shared" si="228"/>
        <v>345.36</v>
      </c>
      <c r="S2096" s="16">
        <f>IF(S2095=15800,15800,ROUND((((Q2096*60)/'Gearing Calculator'!$C$14)*'Track Data'!P2096),-2))</f>
        <v>13300</v>
      </c>
      <c r="T2096" s="16">
        <f t="shared" si="230"/>
        <v>5.2583296715092471</v>
      </c>
      <c r="U2096" s="16">
        <f>IF(AC2096=100,Braking!$AG$2354,IF(AC2096=50,Braking!$AG$1179,IF(AC2096=75,Braking!$AG$1767,0)))</f>
        <v>0</v>
      </c>
      <c r="V2096" s="16">
        <f>0.5*'Gearing Calculator'!$C$15*'Gearing Calculator'!$C$20*'Gearing Calculator'!$W$20*('Track Data'!Q2096^2)</f>
        <v>180.36832271346125</v>
      </c>
      <c r="W2096" s="16">
        <f>('Gearing Calculator'!$U$9*'Track Data'!T2096)+'Track Data'!V2096</f>
        <v>1580.1356812692229</v>
      </c>
      <c r="X2096" s="16">
        <f>('Gearing Calculator'!$U$9*9.81)*('Gearing Calculator'!$U$16/'Gearing Calculator'!$C$7)-(('Track Data'!W2096)*('Gearing Calculator'!$U$17/'Gearing Calculator'!$C$7))</f>
        <v>539.88044034373297</v>
      </c>
      <c r="Y2096" s="16">
        <f>('Gearing Calculator'!$U$9*9.81)*(('Gearing Calculator'!$C$7-'Gearing Calculator'!$U$16)/'Gearing Calculator'!$C$7)+(('Track Data'!W2096)*('Gearing Calculator'!$U$17/'Gearing Calculator'!$C$7))</f>
        <v>2071.5415596562671</v>
      </c>
      <c r="Z2096" s="16">
        <f>((X2096*COS('Gearing Calculator'!$C$21))/'Gearing Calculator'!$C$22)/2</f>
        <v>16.691395719071824</v>
      </c>
      <c r="AA2096" s="16">
        <f>Y2096/'Gearing Calculator'!$C$24</f>
        <v>28.925668218874538</v>
      </c>
      <c r="AB2096" s="16">
        <f t="shared" si="226"/>
        <v>196.14331172798899</v>
      </c>
      <c r="AC2096" s="16">
        <v>0</v>
      </c>
      <c r="AD2096" s="16">
        <v>-51.415226335993196</v>
      </c>
      <c r="AE2096" s="16">
        <v>2093</v>
      </c>
      <c r="AF2096" s="16">
        <f>IF(AC2096=0,IF(O2096=6,INDEX(Acceleration!$V$4:$V$110,MATCH('Track Data'!S2096,Acceleration!$K$4:$K$110,0)),IF('Track Data'!O2096=5,INDEX(Acceleration!$U$4:$U$110,MATCH('Track Data'!S2096,Acceleration!$K$4:$K$110,0)),1)),U2096)</f>
        <v>1</v>
      </c>
      <c r="AG2096" s="16">
        <f>IF(AC2096=0,IF(O2096=4,INDEX(Acceleration!$T$4:$T$110,MATCH('Track Data'!S2096,Acceleration!$K$4:$K$110,0)),IF('Track Data'!O2096=3,INDEX(Acceleration!$S$4:$S$110,MATCH('Track Data'!S2096,Acceleration!$K$4:$K$110,0)),'Track Data'!AF2096)),'Track Data'!U2096)</f>
        <v>5.2583296715092471</v>
      </c>
      <c r="AH2096" s="16">
        <f>IF(AC2096=0,IF(O2096=2,INDEX(Acceleration!$R$4:$R$110,MATCH('Track Data'!S2096,Acceleration!$K$4:$K$110,0)),IF('Track Data'!O2096=1,INDEX(Acceleration!$Q$4:$Q$110,MATCH('Track Data'!S2096,Acceleration!$K$4:$K$110,0)),'Track Data'!AG2096)),'Track Data'!U2096)</f>
        <v>5.2583296715092471</v>
      </c>
    </row>
    <row r="2097" spans="2:34" x14ac:dyDescent="0.25">
      <c r="B2097" s="16">
        <v>250.69900000000001</v>
      </c>
      <c r="C2097" s="16">
        <v>9367</v>
      </c>
      <c r="D2097" s="16">
        <v>2094</v>
      </c>
      <c r="E2097" s="113">
        <v>134</v>
      </c>
      <c r="F2097" s="113">
        <v>132.69999999999999</v>
      </c>
      <c r="G2097" s="113">
        <v>121.5</v>
      </c>
      <c r="H2097" s="113">
        <f t="shared" si="229"/>
        <v>33.75</v>
      </c>
      <c r="I2097" s="113">
        <v>20.399999999999999</v>
      </c>
      <c r="J2097" s="113">
        <v>78.61</v>
      </c>
      <c r="K2097" s="113">
        <v>-52.9</v>
      </c>
      <c r="L2097" s="183"/>
      <c r="M2097" s="16">
        <v>2094</v>
      </c>
      <c r="N2097" s="16">
        <f t="shared" si="231"/>
        <v>2.4223940006716432E-2</v>
      </c>
      <c r="O2097" s="16">
        <v>3</v>
      </c>
      <c r="P2097" s="16">
        <f t="shared" si="227"/>
        <v>10.596205962059623</v>
      </c>
      <c r="Q2097" s="16">
        <f t="shared" si="232"/>
        <v>41.281476082038502</v>
      </c>
      <c r="R2097" s="113">
        <f t="shared" si="228"/>
        <v>345.36</v>
      </c>
      <c r="S2097" s="16">
        <f>IF(S2096=15800,15800,ROUND((((Q2097*60)/'Gearing Calculator'!$C$14)*'Track Data'!P2097),-2))</f>
        <v>13300</v>
      </c>
      <c r="T2097" s="16">
        <f t="shared" si="230"/>
        <v>5.2583296715092471</v>
      </c>
      <c r="U2097" s="16">
        <f>IF(AC2097=100,Braking!$AG$2354,IF(AC2097=50,Braking!$AG$1179,IF(AC2097=75,Braking!$AG$1767,0)))</f>
        <v>0</v>
      </c>
      <c r="V2097" s="16">
        <f>0.5*'Gearing Calculator'!$C$15*'Gearing Calculator'!$C$20*'Gearing Calculator'!$W$20*('Track Data'!Q2097^2)</f>
        <v>180.36832271346125</v>
      </c>
      <c r="W2097" s="16">
        <f>('Gearing Calculator'!$U$9*'Track Data'!T2097)+'Track Data'!V2097</f>
        <v>1580.1356812692229</v>
      </c>
      <c r="X2097" s="16">
        <f>('Gearing Calculator'!$U$9*9.81)*('Gearing Calculator'!$U$16/'Gearing Calculator'!$C$7)-(('Track Data'!W2097)*('Gearing Calculator'!$U$17/'Gearing Calculator'!$C$7))</f>
        <v>539.88044034373297</v>
      </c>
      <c r="Y2097" s="16">
        <f>('Gearing Calculator'!$U$9*9.81)*(('Gearing Calculator'!$C$7-'Gearing Calculator'!$U$16)/'Gearing Calculator'!$C$7)+(('Track Data'!W2097)*('Gearing Calculator'!$U$17/'Gearing Calculator'!$C$7))</f>
        <v>2071.5415596562671</v>
      </c>
      <c r="Z2097" s="16">
        <f>((X2097*COS('Gearing Calculator'!$C$21))/'Gearing Calculator'!$C$22)/2</f>
        <v>16.691395719071824</v>
      </c>
      <c r="AA2097" s="16">
        <f>Y2097/'Gearing Calculator'!$C$24</f>
        <v>28.925668218874538</v>
      </c>
      <c r="AB2097" s="16">
        <f t="shared" si="226"/>
        <v>196.14331172798899</v>
      </c>
      <c r="AC2097" s="16">
        <v>0</v>
      </c>
      <c r="AD2097" s="16">
        <v>-51.415226335993196</v>
      </c>
      <c r="AE2097" s="16">
        <v>2094</v>
      </c>
      <c r="AF2097" s="16">
        <f>IF(AC2097=0,IF(O2097=6,INDEX(Acceleration!$V$4:$V$110,MATCH('Track Data'!S2097,Acceleration!$K$4:$K$110,0)),IF('Track Data'!O2097=5,INDEX(Acceleration!$U$4:$U$110,MATCH('Track Data'!S2097,Acceleration!$K$4:$K$110,0)),1)),U2097)</f>
        <v>1</v>
      </c>
      <c r="AG2097" s="16">
        <f>IF(AC2097=0,IF(O2097=4,INDEX(Acceleration!$T$4:$T$110,MATCH('Track Data'!S2097,Acceleration!$K$4:$K$110,0)),IF('Track Data'!O2097=3,INDEX(Acceleration!$S$4:$S$110,MATCH('Track Data'!S2097,Acceleration!$K$4:$K$110,0)),'Track Data'!AF2097)),'Track Data'!U2097)</f>
        <v>5.2583296715092471</v>
      </c>
      <c r="AH2097" s="16">
        <f>IF(AC2097=0,IF(O2097=2,INDEX(Acceleration!$R$4:$R$110,MATCH('Track Data'!S2097,Acceleration!$K$4:$K$110,0)),IF('Track Data'!O2097=1,INDEX(Acceleration!$Q$4:$Q$110,MATCH('Track Data'!S2097,Acceleration!$K$4:$K$110,0)),'Track Data'!AG2097)),'Track Data'!U2097)</f>
        <v>5.2583296715092471</v>
      </c>
    </row>
    <row r="2098" spans="2:34" x14ac:dyDescent="0.25">
      <c r="B2098" s="16">
        <v>250.727</v>
      </c>
      <c r="C2098" s="16">
        <v>9368</v>
      </c>
      <c r="D2098" s="16">
        <v>2095</v>
      </c>
      <c r="E2098" s="113">
        <v>134</v>
      </c>
      <c r="F2098" s="113">
        <v>132.5</v>
      </c>
      <c r="G2098" s="113">
        <v>121.2</v>
      </c>
      <c r="H2098" s="113">
        <f t="shared" si="229"/>
        <v>33.666666666666664</v>
      </c>
      <c r="I2098" s="113">
        <v>17.600000000000001</v>
      </c>
      <c r="J2098" s="113">
        <v>75.150000000000006</v>
      </c>
      <c r="K2098" s="113">
        <v>-54.3</v>
      </c>
      <c r="L2098" s="183"/>
      <c r="M2098" s="16">
        <v>2095</v>
      </c>
      <c r="N2098" s="16">
        <f t="shared" si="231"/>
        <v>2.4223940006716432E-2</v>
      </c>
      <c r="O2098" s="16">
        <v>3</v>
      </c>
      <c r="P2098" s="16">
        <f t="shared" si="227"/>
        <v>10.596205962059623</v>
      </c>
      <c r="Q2098" s="16">
        <f t="shared" si="232"/>
        <v>41.281476082038502</v>
      </c>
      <c r="R2098" s="113">
        <f t="shared" si="228"/>
        <v>345.36</v>
      </c>
      <c r="S2098" s="16">
        <f>IF(S2097=15800,15800,ROUND((((Q2098*60)/'Gearing Calculator'!$C$14)*'Track Data'!P2098),-2))</f>
        <v>13300</v>
      </c>
      <c r="T2098" s="16">
        <f t="shared" si="230"/>
        <v>5.2583296715092471</v>
      </c>
      <c r="U2098" s="16">
        <f>IF(AC2098=100,Braking!$AG$2354,IF(AC2098=50,Braking!$AG$1179,IF(AC2098=75,Braking!$AG$1767,0)))</f>
        <v>0</v>
      </c>
      <c r="V2098" s="16">
        <f>0.5*'Gearing Calculator'!$C$15*'Gearing Calculator'!$C$20*'Gearing Calculator'!$W$20*('Track Data'!Q2098^2)</f>
        <v>180.36832271346125</v>
      </c>
      <c r="W2098" s="16">
        <f>('Gearing Calculator'!$U$9*'Track Data'!T2098)+'Track Data'!V2098</f>
        <v>1580.1356812692229</v>
      </c>
      <c r="X2098" s="16">
        <f>('Gearing Calculator'!$U$9*9.81)*('Gearing Calculator'!$U$16/'Gearing Calculator'!$C$7)-(('Track Data'!W2098)*('Gearing Calculator'!$U$17/'Gearing Calculator'!$C$7))</f>
        <v>539.88044034373297</v>
      </c>
      <c r="Y2098" s="16">
        <f>('Gearing Calculator'!$U$9*9.81)*(('Gearing Calculator'!$C$7-'Gearing Calculator'!$U$16)/'Gearing Calculator'!$C$7)+(('Track Data'!W2098)*('Gearing Calculator'!$U$17/'Gearing Calculator'!$C$7))</f>
        <v>2071.5415596562671</v>
      </c>
      <c r="Z2098" s="16">
        <f>((X2098*COS('Gearing Calculator'!$C$21))/'Gearing Calculator'!$C$22)/2</f>
        <v>16.691395719071824</v>
      </c>
      <c r="AA2098" s="16">
        <f>Y2098/'Gearing Calculator'!$C$24</f>
        <v>28.925668218874538</v>
      </c>
      <c r="AB2098" s="16">
        <f t="shared" si="226"/>
        <v>196.14331172798899</v>
      </c>
      <c r="AC2098" s="16">
        <v>0</v>
      </c>
      <c r="AD2098" s="16">
        <v>-51.415226335993196</v>
      </c>
      <c r="AE2098" s="16">
        <v>2095</v>
      </c>
      <c r="AF2098" s="16">
        <f>IF(AC2098=0,IF(O2098=6,INDEX(Acceleration!$V$4:$V$110,MATCH('Track Data'!S2098,Acceleration!$K$4:$K$110,0)),IF('Track Data'!O2098=5,INDEX(Acceleration!$U$4:$U$110,MATCH('Track Data'!S2098,Acceleration!$K$4:$K$110,0)),1)),U2098)</f>
        <v>1</v>
      </c>
      <c r="AG2098" s="16">
        <f>IF(AC2098=0,IF(O2098=4,INDEX(Acceleration!$T$4:$T$110,MATCH('Track Data'!S2098,Acceleration!$K$4:$K$110,0)),IF('Track Data'!O2098=3,INDEX(Acceleration!$S$4:$S$110,MATCH('Track Data'!S2098,Acceleration!$K$4:$K$110,0)),'Track Data'!AF2098)),'Track Data'!U2098)</f>
        <v>5.2583296715092471</v>
      </c>
      <c r="AH2098" s="16">
        <f>IF(AC2098=0,IF(O2098=2,INDEX(Acceleration!$R$4:$R$110,MATCH('Track Data'!S2098,Acceleration!$K$4:$K$110,0)),IF('Track Data'!O2098=1,INDEX(Acceleration!$Q$4:$Q$110,MATCH('Track Data'!S2098,Acceleration!$K$4:$K$110,0)),'Track Data'!AG2098)),'Track Data'!U2098)</f>
        <v>5.2583296715092471</v>
      </c>
    </row>
    <row r="2099" spans="2:34" x14ac:dyDescent="0.25">
      <c r="B2099" s="16">
        <v>250.75399999999999</v>
      </c>
      <c r="C2099" s="16">
        <v>9369</v>
      </c>
      <c r="D2099" s="16">
        <v>2096</v>
      </c>
      <c r="E2099" s="113">
        <v>134</v>
      </c>
      <c r="F2099" s="113">
        <v>132.6</v>
      </c>
      <c r="G2099" s="113">
        <v>120.9</v>
      </c>
      <c r="H2099" s="113">
        <f t="shared" si="229"/>
        <v>33.583333333333336</v>
      </c>
      <c r="I2099" s="113">
        <v>16.899999999999999</v>
      </c>
      <c r="J2099" s="113">
        <v>79.69</v>
      </c>
      <c r="K2099" s="113">
        <v>-55.3</v>
      </c>
      <c r="L2099" s="183"/>
      <c r="M2099" s="16">
        <v>2096</v>
      </c>
      <c r="N2099" s="16">
        <f t="shared" si="231"/>
        <v>2.4223940006716432E-2</v>
      </c>
      <c r="O2099" s="16">
        <v>3</v>
      </c>
      <c r="P2099" s="16">
        <f t="shared" si="227"/>
        <v>10.596205962059623</v>
      </c>
      <c r="Q2099" s="16">
        <f t="shared" si="232"/>
        <v>41.281476082038502</v>
      </c>
      <c r="R2099" s="113">
        <f t="shared" si="228"/>
        <v>345.36</v>
      </c>
      <c r="S2099" s="16">
        <f>IF(S2098=15800,15800,ROUND((((Q2099*60)/'Gearing Calculator'!$C$14)*'Track Data'!P2099),-2))</f>
        <v>13300</v>
      </c>
      <c r="T2099" s="16">
        <f t="shared" si="230"/>
        <v>5.2583296715092471</v>
      </c>
      <c r="U2099" s="16">
        <f>IF(AC2099=100,Braking!$AG$2354,IF(AC2099=50,Braking!$AG$1179,IF(AC2099=75,Braking!$AG$1767,0)))</f>
        <v>0</v>
      </c>
      <c r="V2099" s="16">
        <f>0.5*'Gearing Calculator'!$C$15*'Gearing Calculator'!$C$20*'Gearing Calculator'!$W$20*('Track Data'!Q2099^2)</f>
        <v>180.36832271346125</v>
      </c>
      <c r="W2099" s="16">
        <f>('Gearing Calculator'!$U$9*'Track Data'!T2099)+'Track Data'!V2099</f>
        <v>1580.1356812692229</v>
      </c>
      <c r="X2099" s="16">
        <f>('Gearing Calculator'!$U$9*9.81)*('Gearing Calculator'!$U$16/'Gearing Calculator'!$C$7)-(('Track Data'!W2099)*('Gearing Calculator'!$U$17/'Gearing Calculator'!$C$7))</f>
        <v>539.88044034373297</v>
      </c>
      <c r="Y2099" s="16">
        <f>('Gearing Calculator'!$U$9*9.81)*(('Gearing Calculator'!$C$7-'Gearing Calculator'!$U$16)/'Gearing Calculator'!$C$7)+(('Track Data'!W2099)*('Gearing Calculator'!$U$17/'Gearing Calculator'!$C$7))</f>
        <v>2071.5415596562671</v>
      </c>
      <c r="Z2099" s="16">
        <f>((X2099*COS('Gearing Calculator'!$C$21))/'Gearing Calculator'!$C$22)/2</f>
        <v>16.691395719071824</v>
      </c>
      <c r="AA2099" s="16">
        <f>Y2099/'Gearing Calculator'!$C$24</f>
        <v>28.925668218874538</v>
      </c>
      <c r="AB2099" s="16">
        <f t="shared" si="226"/>
        <v>196.14331172798899</v>
      </c>
      <c r="AC2099" s="16">
        <v>0</v>
      </c>
      <c r="AD2099" s="16">
        <v>-51.415226335993196</v>
      </c>
      <c r="AE2099" s="16">
        <v>2096</v>
      </c>
      <c r="AF2099" s="16">
        <f>IF(AC2099=0,IF(O2099=6,INDEX(Acceleration!$V$4:$V$110,MATCH('Track Data'!S2099,Acceleration!$K$4:$K$110,0)),IF('Track Data'!O2099=5,INDEX(Acceleration!$U$4:$U$110,MATCH('Track Data'!S2099,Acceleration!$K$4:$K$110,0)),1)),U2099)</f>
        <v>1</v>
      </c>
      <c r="AG2099" s="16">
        <f>IF(AC2099=0,IF(O2099=4,INDEX(Acceleration!$T$4:$T$110,MATCH('Track Data'!S2099,Acceleration!$K$4:$K$110,0)),IF('Track Data'!O2099=3,INDEX(Acceleration!$S$4:$S$110,MATCH('Track Data'!S2099,Acceleration!$K$4:$K$110,0)),'Track Data'!AF2099)),'Track Data'!U2099)</f>
        <v>5.2583296715092471</v>
      </c>
      <c r="AH2099" s="16">
        <f>IF(AC2099=0,IF(O2099=2,INDEX(Acceleration!$R$4:$R$110,MATCH('Track Data'!S2099,Acceleration!$K$4:$K$110,0)),IF('Track Data'!O2099=1,INDEX(Acceleration!$Q$4:$Q$110,MATCH('Track Data'!S2099,Acceleration!$K$4:$K$110,0)),'Track Data'!AG2099)),'Track Data'!U2099)</f>
        <v>5.2583296715092471</v>
      </c>
    </row>
    <row r="2100" spans="2:34" x14ac:dyDescent="0.25">
      <c r="B2100" s="16">
        <v>250.78100000000001</v>
      </c>
      <c r="C2100" s="16">
        <v>9370</v>
      </c>
      <c r="D2100" s="16">
        <v>2097</v>
      </c>
      <c r="E2100" s="113">
        <v>133</v>
      </c>
      <c r="F2100" s="113">
        <v>131.9</v>
      </c>
      <c r="G2100" s="113">
        <v>120.5</v>
      </c>
      <c r="H2100" s="113">
        <f t="shared" si="229"/>
        <v>33.472222222222221</v>
      </c>
      <c r="I2100" s="113">
        <v>16</v>
      </c>
      <c r="J2100" s="113">
        <v>78.39</v>
      </c>
      <c r="K2100" s="113">
        <v>-56.3</v>
      </c>
      <c r="L2100" s="183"/>
      <c r="M2100" s="16">
        <v>2097</v>
      </c>
      <c r="N2100" s="16">
        <f t="shared" si="231"/>
        <v>2.4223940006716432E-2</v>
      </c>
      <c r="O2100" s="16">
        <v>3</v>
      </c>
      <c r="P2100" s="16">
        <f t="shared" si="227"/>
        <v>10.596205962059623</v>
      </c>
      <c r="Q2100" s="16">
        <f t="shared" si="232"/>
        <v>41.281476082038502</v>
      </c>
      <c r="R2100" s="113">
        <f t="shared" si="228"/>
        <v>345.36</v>
      </c>
      <c r="S2100" s="16">
        <f>IF(S2099=15800,15800,ROUND((((Q2100*60)/'Gearing Calculator'!$C$14)*'Track Data'!P2100),-2))</f>
        <v>13300</v>
      </c>
      <c r="T2100" s="16">
        <f t="shared" si="230"/>
        <v>5.2583296715092471</v>
      </c>
      <c r="U2100" s="16">
        <f>IF(AC2100=100,Braking!$AG$2354,IF(AC2100=50,Braking!$AG$1179,IF(AC2100=75,Braking!$AG$1767,0)))</f>
        <v>0</v>
      </c>
      <c r="V2100" s="16">
        <f>0.5*'Gearing Calculator'!$C$15*'Gearing Calculator'!$C$20*'Gearing Calculator'!$W$20*('Track Data'!Q2100^2)</f>
        <v>180.36832271346125</v>
      </c>
      <c r="W2100" s="16">
        <f>('Gearing Calculator'!$U$9*'Track Data'!T2100)+'Track Data'!V2100</f>
        <v>1580.1356812692229</v>
      </c>
      <c r="X2100" s="16">
        <f>('Gearing Calculator'!$U$9*9.81)*('Gearing Calculator'!$U$16/'Gearing Calculator'!$C$7)-(('Track Data'!W2100)*('Gearing Calculator'!$U$17/'Gearing Calculator'!$C$7))</f>
        <v>539.88044034373297</v>
      </c>
      <c r="Y2100" s="16">
        <f>('Gearing Calculator'!$U$9*9.81)*(('Gearing Calculator'!$C$7-'Gearing Calculator'!$U$16)/'Gearing Calculator'!$C$7)+(('Track Data'!W2100)*('Gearing Calculator'!$U$17/'Gearing Calculator'!$C$7))</f>
        <v>2071.5415596562671</v>
      </c>
      <c r="Z2100" s="16">
        <f>((X2100*COS('Gearing Calculator'!$C$21))/'Gearing Calculator'!$C$22)/2</f>
        <v>16.691395719071824</v>
      </c>
      <c r="AA2100" s="16">
        <f>Y2100/'Gearing Calculator'!$C$24</f>
        <v>28.925668218874538</v>
      </c>
      <c r="AB2100" s="16">
        <f t="shared" si="226"/>
        <v>196.14331172798899</v>
      </c>
      <c r="AC2100" s="16">
        <v>0</v>
      </c>
      <c r="AD2100" s="16">
        <v>-51.415226335993196</v>
      </c>
      <c r="AE2100" s="16">
        <v>2097</v>
      </c>
      <c r="AF2100" s="16">
        <f>IF(AC2100=0,IF(O2100=6,INDEX(Acceleration!$V$4:$V$110,MATCH('Track Data'!S2100,Acceleration!$K$4:$K$110,0)),IF('Track Data'!O2100=5,INDEX(Acceleration!$U$4:$U$110,MATCH('Track Data'!S2100,Acceleration!$K$4:$K$110,0)),1)),U2100)</f>
        <v>1</v>
      </c>
      <c r="AG2100" s="16">
        <f>IF(AC2100=0,IF(O2100=4,INDEX(Acceleration!$T$4:$T$110,MATCH('Track Data'!S2100,Acceleration!$K$4:$K$110,0)),IF('Track Data'!O2100=3,INDEX(Acceleration!$S$4:$S$110,MATCH('Track Data'!S2100,Acceleration!$K$4:$K$110,0)),'Track Data'!AF2100)),'Track Data'!U2100)</f>
        <v>5.2583296715092471</v>
      </c>
      <c r="AH2100" s="16">
        <f>IF(AC2100=0,IF(O2100=2,INDEX(Acceleration!$R$4:$R$110,MATCH('Track Data'!S2100,Acceleration!$K$4:$K$110,0)),IF('Track Data'!O2100=1,INDEX(Acceleration!$Q$4:$Q$110,MATCH('Track Data'!S2100,Acceleration!$K$4:$K$110,0)),'Track Data'!AG2100)),'Track Data'!U2100)</f>
        <v>5.2583296715092471</v>
      </c>
    </row>
    <row r="2101" spans="2:34" x14ac:dyDescent="0.25">
      <c r="B2101" s="16">
        <v>250.80799999999999</v>
      </c>
      <c r="C2101" s="16">
        <v>9371</v>
      </c>
      <c r="D2101" s="16">
        <v>2098</v>
      </c>
      <c r="E2101" s="113">
        <v>133</v>
      </c>
      <c r="F2101" s="113">
        <v>131.4</v>
      </c>
      <c r="G2101" s="113">
        <v>120.3</v>
      </c>
      <c r="H2101" s="113">
        <f t="shared" si="229"/>
        <v>33.416666666666664</v>
      </c>
      <c r="I2101" s="113">
        <v>16.600000000000001</v>
      </c>
      <c r="J2101" s="113">
        <v>74.78</v>
      </c>
      <c r="K2101" s="113">
        <v>-56.9</v>
      </c>
      <c r="L2101" s="183"/>
      <c r="M2101" s="16">
        <v>2098</v>
      </c>
      <c r="N2101" s="16">
        <f t="shared" si="231"/>
        <v>2.4223940006716432E-2</v>
      </c>
      <c r="O2101" s="16">
        <v>3</v>
      </c>
      <c r="P2101" s="16">
        <f t="shared" si="227"/>
        <v>10.596205962059623</v>
      </c>
      <c r="Q2101" s="16">
        <f t="shared" si="232"/>
        <v>41.281476082038502</v>
      </c>
      <c r="R2101" s="113">
        <f t="shared" si="228"/>
        <v>345.36</v>
      </c>
      <c r="S2101" s="16">
        <f>IF(S2100=15800,15800,ROUND((((Q2101*60)/'Gearing Calculator'!$C$14)*'Track Data'!P2101),-2))</f>
        <v>13300</v>
      </c>
      <c r="T2101" s="16">
        <f t="shared" si="230"/>
        <v>5.2583296715092471</v>
      </c>
      <c r="U2101" s="16">
        <f>IF(AC2101=100,Braking!$AG$2354,IF(AC2101=50,Braking!$AG$1179,IF(AC2101=75,Braking!$AG$1767,0)))</f>
        <v>0</v>
      </c>
      <c r="V2101" s="16">
        <f>0.5*'Gearing Calculator'!$C$15*'Gearing Calculator'!$C$20*'Gearing Calculator'!$W$20*('Track Data'!Q2101^2)</f>
        <v>180.36832271346125</v>
      </c>
      <c r="W2101" s="16">
        <f>('Gearing Calculator'!$U$9*'Track Data'!T2101)+'Track Data'!V2101</f>
        <v>1580.1356812692229</v>
      </c>
      <c r="X2101" s="16">
        <f>('Gearing Calculator'!$U$9*9.81)*('Gearing Calculator'!$U$16/'Gearing Calculator'!$C$7)-(('Track Data'!W2101)*('Gearing Calculator'!$U$17/'Gearing Calculator'!$C$7))</f>
        <v>539.88044034373297</v>
      </c>
      <c r="Y2101" s="16">
        <f>('Gearing Calculator'!$U$9*9.81)*(('Gearing Calculator'!$C$7-'Gearing Calculator'!$U$16)/'Gearing Calculator'!$C$7)+(('Track Data'!W2101)*('Gearing Calculator'!$U$17/'Gearing Calculator'!$C$7))</f>
        <v>2071.5415596562671</v>
      </c>
      <c r="Z2101" s="16">
        <f>((X2101*COS('Gearing Calculator'!$C$21))/'Gearing Calculator'!$C$22)/2</f>
        <v>16.691395719071824</v>
      </c>
      <c r="AA2101" s="16">
        <f>Y2101/'Gearing Calculator'!$C$24</f>
        <v>28.925668218874538</v>
      </c>
      <c r="AB2101" s="16">
        <f t="shared" si="226"/>
        <v>196.14331172798899</v>
      </c>
      <c r="AC2101" s="16">
        <v>0</v>
      </c>
      <c r="AD2101" s="16">
        <v>-51.415226335993196</v>
      </c>
      <c r="AE2101" s="16">
        <v>2098</v>
      </c>
      <c r="AF2101" s="16">
        <f>IF(AC2101=0,IF(O2101=6,INDEX(Acceleration!$V$4:$V$110,MATCH('Track Data'!S2101,Acceleration!$K$4:$K$110,0)),IF('Track Data'!O2101=5,INDEX(Acceleration!$U$4:$U$110,MATCH('Track Data'!S2101,Acceleration!$K$4:$K$110,0)),1)),U2101)</f>
        <v>1</v>
      </c>
      <c r="AG2101" s="16">
        <f>IF(AC2101=0,IF(O2101=4,INDEX(Acceleration!$T$4:$T$110,MATCH('Track Data'!S2101,Acceleration!$K$4:$K$110,0)),IF('Track Data'!O2101=3,INDEX(Acceleration!$S$4:$S$110,MATCH('Track Data'!S2101,Acceleration!$K$4:$K$110,0)),'Track Data'!AF2101)),'Track Data'!U2101)</f>
        <v>5.2583296715092471</v>
      </c>
      <c r="AH2101" s="16">
        <f>IF(AC2101=0,IF(O2101=2,INDEX(Acceleration!$R$4:$R$110,MATCH('Track Data'!S2101,Acceleration!$K$4:$K$110,0)),IF('Track Data'!O2101=1,INDEX(Acceleration!$Q$4:$Q$110,MATCH('Track Data'!S2101,Acceleration!$K$4:$K$110,0)),'Track Data'!AG2101)),'Track Data'!U2101)</f>
        <v>5.2583296715092471</v>
      </c>
    </row>
    <row r="2102" spans="2:34" x14ac:dyDescent="0.25">
      <c r="B2102" s="16">
        <v>250.83500000000001</v>
      </c>
      <c r="C2102" s="16">
        <v>9372</v>
      </c>
      <c r="D2102" s="16">
        <v>2099</v>
      </c>
      <c r="E2102" s="113">
        <v>133</v>
      </c>
      <c r="F2102" s="113">
        <v>131.69999999999999</v>
      </c>
      <c r="G2102" s="113">
        <v>120</v>
      </c>
      <c r="H2102" s="113">
        <f t="shared" si="229"/>
        <v>33.333333333333336</v>
      </c>
      <c r="I2102" s="113">
        <v>17.100000000000001</v>
      </c>
      <c r="J2102" s="113">
        <v>78.83</v>
      </c>
      <c r="K2102" s="113">
        <v>-57.3</v>
      </c>
      <c r="L2102" s="183"/>
      <c r="M2102" s="16">
        <v>2099</v>
      </c>
      <c r="N2102" s="16">
        <f t="shared" si="231"/>
        <v>2.4223940006716432E-2</v>
      </c>
      <c r="O2102" s="16">
        <v>3</v>
      </c>
      <c r="P2102" s="16">
        <f t="shared" si="227"/>
        <v>10.596205962059623</v>
      </c>
      <c r="Q2102" s="16">
        <f t="shared" si="232"/>
        <v>41.281476082038502</v>
      </c>
      <c r="R2102" s="113">
        <f t="shared" si="228"/>
        <v>345.36</v>
      </c>
      <c r="S2102" s="16">
        <f>IF(S2101=15800,15800,ROUND((((Q2102*60)/'Gearing Calculator'!$C$14)*'Track Data'!P2102),-2))</f>
        <v>13300</v>
      </c>
      <c r="T2102" s="16">
        <f t="shared" si="230"/>
        <v>5.2583296715092471</v>
      </c>
      <c r="U2102" s="16">
        <f>IF(AC2102=100,Braking!$AG$2354,IF(AC2102=50,Braking!$AG$1179,IF(AC2102=75,Braking!$AG$1767,0)))</f>
        <v>0</v>
      </c>
      <c r="V2102" s="16">
        <f>0.5*'Gearing Calculator'!$C$15*'Gearing Calculator'!$C$20*'Gearing Calculator'!$W$20*('Track Data'!Q2102^2)</f>
        <v>180.36832271346125</v>
      </c>
      <c r="W2102" s="16">
        <f>('Gearing Calculator'!$U$9*'Track Data'!T2102)+'Track Data'!V2102</f>
        <v>1580.1356812692229</v>
      </c>
      <c r="X2102" s="16">
        <f>('Gearing Calculator'!$U$9*9.81)*('Gearing Calculator'!$U$16/'Gearing Calculator'!$C$7)-(('Track Data'!W2102)*('Gearing Calculator'!$U$17/'Gearing Calculator'!$C$7))</f>
        <v>539.88044034373297</v>
      </c>
      <c r="Y2102" s="16">
        <f>('Gearing Calculator'!$U$9*9.81)*(('Gearing Calculator'!$C$7-'Gearing Calculator'!$U$16)/'Gearing Calculator'!$C$7)+(('Track Data'!W2102)*('Gearing Calculator'!$U$17/'Gearing Calculator'!$C$7))</f>
        <v>2071.5415596562671</v>
      </c>
      <c r="Z2102" s="16">
        <f>((X2102*COS('Gearing Calculator'!$C$21))/'Gearing Calculator'!$C$22)/2</f>
        <v>16.691395719071824</v>
      </c>
      <c r="AA2102" s="16">
        <f>Y2102/'Gearing Calculator'!$C$24</f>
        <v>28.925668218874538</v>
      </c>
      <c r="AB2102" s="16">
        <f t="shared" ref="AB2102:AB2165" si="233">(T2102*O2102)+V2102</f>
        <v>196.14331172798899</v>
      </c>
      <c r="AC2102" s="16">
        <v>0</v>
      </c>
      <c r="AD2102" s="16">
        <v>-51.415226335993196</v>
      </c>
      <c r="AE2102" s="16">
        <v>2099</v>
      </c>
      <c r="AF2102" s="16">
        <f>IF(AC2102=0,IF(O2102=6,INDEX(Acceleration!$V$4:$V$110,MATCH('Track Data'!S2102,Acceleration!$K$4:$K$110,0)),IF('Track Data'!O2102=5,INDEX(Acceleration!$U$4:$U$110,MATCH('Track Data'!S2102,Acceleration!$K$4:$K$110,0)),1)),U2102)</f>
        <v>1</v>
      </c>
      <c r="AG2102" s="16">
        <f>IF(AC2102=0,IF(O2102=4,INDEX(Acceleration!$T$4:$T$110,MATCH('Track Data'!S2102,Acceleration!$K$4:$K$110,0)),IF('Track Data'!O2102=3,INDEX(Acceleration!$S$4:$S$110,MATCH('Track Data'!S2102,Acceleration!$K$4:$K$110,0)),'Track Data'!AF2102)),'Track Data'!U2102)</f>
        <v>5.2583296715092471</v>
      </c>
      <c r="AH2102" s="16">
        <f>IF(AC2102=0,IF(O2102=2,INDEX(Acceleration!$R$4:$R$110,MATCH('Track Data'!S2102,Acceleration!$K$4:$K$110,0)),IF('Track Data'!O2102=1,INDEX(Acceleration!$Q$4:$Q$110,MATCH('Track Data'!S2102,Acceleration!$K$4:$K$110,0)),'Track Data'!AG2102)),'Track Data'!U2102)</f>
        <v>5.2583296715092471</v>
      </c>
    </row>
    <row r="2103" spans="2:34" x14ac:dyDescent="0.25">
      <c r="B2103" s="16">
        <v>250.863</v>
      </c>
      <c r="C2103" s="16">
        <v>9373</v>
      </c>
      <c r="D2103" s="16">
        <v>2100</v>
      </c>
      <c r="E2103" s="113">
        <v>132</v>
      </c>
      <c r="F2103" s="113">
        <v>131.4</v>
      </c>
      <c r="G2103" s="113">
        <v>119.7</v>
      </c>
      <c r="H2103" s="113">
        <f t="shared" si="229"/>
        <v>33.25</v>
      </c>
      <c r="I2103" s="113">
        <v>15.2</v>
      </c>
      <c r="J2103" s="113">
        <v>72.12</v>
      </c>
      <c r="K2103" s="113">
        <v>-57.7</v>
      </c>
      <c r="L2103" s="183"/>
      <c r="M2103" s="16">
        <v>2100</v>
      </c>
      <c r="N2103" s="16">
        <f t="shared" si="231"/>
        <v>2.4223940006716432E-2</v>
      </c>
      <c r="O2103" s="16">
        <v>3</v>
      </c>
      <c r="P2103" s="16">
        <f t="shared" si="227"/>
        <v>10.596205962059623</v>
      </c>
      <c r="Q2103" s="16">
        <f t="shared" si="232"/>
        <v>41.281476082038502</v>
      </c>
      <c r="R2103" s="113">
        <f t="shared" si="228"/>
        <v>345.36</v>
      </c>
      <c r="S2103" s="16">
        <f>IF(S2102=15800,15800,ROUND((((Q2103*60)/'Gearing Calculator'!$C$14)*'Track Data'!P2103),-2))</f>
        <v>13300</v>
      </c>
      <c r="T2103" s="16">
        <f t="shared" si="230"/>
        <v>5.2583296715092471</v>
      </c>
      <c r="U2103" s="16">
        <f>IF(AC2103=100,Braking!$AG$2354,IF(AC2103=50,Braking!$AG$1179,IF(AC2103=75,Braking!$AG$1767,0)))</f>
        <v>0</v>
      </c>
      <c r="V2103" s="16">
        <f>0.5*'Gearing Calculator'!$C$15*'Gearing Calculator'!$C$20*'Gearing Calculator'!$W$20*('Track Data'!Q2103^2)</f>
        <v>180.36832271346125</v>
      </c>
      <c r="W2103" s="16">
        <f>('Gearing Calculator'!$U$9*'Track Data'!T2103)+'Track Data'!V2103</f>
        <v>1580.1356812692229</v>
      </c>
      <c r="X2103" s="16">
        <f>('Gearing Calculator'!$U$9*9.81)*('Gearing Calculator'!$U$16/'Gearing Calculator'!$C$7)-(('Track Data'!W2103)*('Gearing Calculator'!$U$17/'Gearing Calculator'!$C$7))</f>
        <v>539.88044034373297</v>
      </c>
      <c r="Y2103" s="16">
        <f>('Gearing Calculator'!$U$9*9.81)*(('Gearing Calculator'!$C$7-'Gearing Calculator'!$U$16)/'Gearing Calculator'!$C$7)+(('Track Data'!W2103)*('Gearing Calculator'!$U$17/'Gearing Calculator'!$C$7))</f>
        <v>2071.5415596562671</v>
      </c>
      <c r="Z2103" s="16">
        <f>((X2103*COS('Gearing Calculator'!$C$21))/'Gearing Calculator'!$C$22)/2</f>
        <v>16.691395719071824</v>
      </c>
      <c r="AA2103" s="16">
        <f>Y2103/'Gearing Calculator'!$C$24</f>
        <v>28.925668218874538</v>
      </c>
      <c r="AB2103" s="16">
        <f t="shared" si="233"/>
        <v>196.14331172798899</v>
      </c>
      <c r="AC2103" s="16">
        <v>0</v>
      </c>
      <c r="AD2103" s="16">
        <v>-51.415226335993196</v>
      </c>
      <c r="AE2103" s="16">
        <v>2100</v>
      </c>
      <c r="AF2103" s="16">
        <f>IF(AC2103=0,IF(O2103=6,INDEX(Acceleration!$V$4:$V$110,MATCH('Track Data'!S2103,Acceleration!$K$4:$K$110,0)),IF('Track Data'!O2103=5,INDEX(Acceleration!$U$4:$U$110,MATCH('Track Data'!S2103,Acceleration!$K$4:$K$110,0)),1)),U2103)</f>
        <v>1</v>
      </c>
      <c r="AG2103" s="16">
        <f>IF(AC2103=0,IF(O2103=4,INDEX(Acceleration!$T$4:$T$110,MATCH('Track Data'!S2103,Acceleration!$K$4:$K$110,0)),IF('Track Data'!O2103=3,INDEX(Acceleration!$S$4:$S$110,MATCH('Track Data'!S2103,Acceleration!$K$4:$K$110,0)),'Track Data'!AF2103)),'Track Data'!U2103)</f>
        <v>5.2583296715092471</v>
      </c>
      <c r="AH2103" s="16">
        <f>IF(AC2103=0,IF(O2103=2,INDEX(Acceleration!$R$4:$R$110,MATCH('Track Data'!S2103,Acceleration!$K$4:$K$110,0)),IF('Track Data'!O2103=1,INDEX(Acceleration!$Q$4:$Q$110,MATCH('Track Data'!S2103,Acceleration!$K$4:$K$110,0)),'Track Data'!AG2103)),'Track Data'!U2103)</f>
        <v>5.2583296715092471</v>
      </c>
    </row>
    <row r="2104" spans="2:34" x14ac:dyDescent="0.25">
      <c r="B2104" s="16">
        <v>250.89</v>
      </c>
      <c r="C2104" s="16">
        <v>9374</v>
      </c>
      <c r="D2104" s="16">
        <v>2101</v>
      </c>
      <c r="E2104" s="113">
        <v>132</v>
      </c>
      <c r="F2104" s="113">
        <v>131</v>
      </c>
      <c r="G2104" s="113">
        <v>119.5</v>
      </c>
      <c r="H2104" s="113">
        <f t="shared" si="229"/>
        <v>33.194444444444443</v>
      </c>
      <c r="I2104" s="113">
        <v>14.5</v>
      </c>
      <c r="J2104" s="113">
        <v>70.11</v>
      </c>
      <c r="K2104" s="113">
        <v>-57.6</v>
      </c>
      <c r="L2104" s="183"/>
      <c r="M2104" s="16">
        <v>2101</v>
      </c>
      <c r="N2104" s="16">
        <f t="shared" si="231"/>
        <v>2.4223940006716432E-2</v>
      </c>
      <c r="O2104" s="16">
        <v>3</v>
      </c>
      <c r="P2104" s="16">
        <f t="shared" si="227"/>
        <v>10.596205962059623</v>
      </c>
      <c r="Q2104" s="16">
        <f t="shared" si="232"/>
        <v>41.281476082038502</v>
      </c>
      <c r="R2104" s="113">
        <f t="shared" si="228"/>
        <v>345.36</v>
      </c>
      <c r="S2104" s="16">
        <f>IF(S2103=15800,15800,ROUND((((Q2104*60)/'Gearing Calculator'!$C$14)*'Track Data'!P2104),-2))</f>
        <v>13300</v>
      </c>
      <c r="T2104" s="16">
        <f t="shared" si="230"/>
        <v>5.2583296715092471</v>
      </c>
      <c r="U2104" s="16">
        <f>IF(AC2104=100,Braking!$AG$2354,IF(AC2104=50,Braking!$AG$1179,IF(AC2104=75,Braking!$AG$1767,0)))</f>
        <v>0</v>
      </c>
      <c r="V2104" s="16">
        <f>0.5*'Gearing Calculator'!$C$15*'Gearing Calculator'!$C$20*'Gearing Calculator'!$W$20*('Track Data'!Q2104^2)</f>
        <v>180.36832271346125</v>
      </c>
      <c r="W2104" s="16">
        <f>('Gearing Calculator'!$U$9*'Track Data'!T2104)+'Track Data'!V2104</f>
        <v>1580.1356812692229</v>
      </c>
      <c r="X2104" s="16">
        <f>('Gearing Calculator'!$U$9*9.81)*('Gearing Calculator'!$U$16/'Gearing Calculator'!$C$7)-(('Track Data'!W2104)*('Gearing Calculator'!$U$17/'Gearing Calculator'!$C$7))</f>
        <v>539.88044034373297</v>
      </c>
      <c r="Y2104" s="16">
        <f>('Gearing Calculator'!$U$9*9.81)*(('Gearing Calculator'!$C$7-'Gearing Calculator'!$U$16)/'Gearing Calculator'!$C$7)+(('Track Data'!W2104)*('Gearing Calculator'!$U$17/'Gearing Calculator'!$C$7))</f>
        <v>2071.5415596562671</v>
      </c>
      <c r="Z2104" s="16">
        <f>((X2104*COS('Gearing Calculator'!$C$21))/'Gearing Calculator'!$C$22)/2</f>
        <v>16.691395719071824</v>
      </c>
      <c r="AA2104" s="16">
        <f>Y2104/'Gearing Calculator'!$C$24</f>
        <v>28.925668218874538</v>
      </c>
      <c r="AB2104" s="16">
        <f t="shared" si="233"/>
        <v>196.14331172798899</v>
      </c>
      <c r="AC2104" s="16">
        <v>0</v>
      </c>
      <c r="AD2104" s="16">
        <v>-51.415226335993196</v>
      </c>
      <c r="AE2104" s="16">
        <v>2101</v>
      </c>
      <c r="AF2104" s="16">
        <f>IF(AC2104=0,IF(O2104=6,INDEX(Acceleration!$V$4:$V$110,MATCH('Track Data'!S2104,Acceleration!$K$4:$K$110,0)),IF('Track Data'!O2104=5,INDEX(Acceleration!$U$4:$U$110,MATCH('Track Data'!S2104,Acceleration!$K$4:$K$110,0)),1)),U2104)</f>
        <v>1</v>
      </c>
      <c r="AG2104" s="16">
        <f>IF(AC2104=0,IF(O2104=4,INDEX(Acceleration!$T$4:$T$110,MATCH('Track Data'!S2104,Acceleration!$K$4:$K$110,0)),IF('Track Data'!O2104=3,INDEX(Acceleration!$S$4:$S$110,MATCH('Track Data'!S2104,Acceleration!$K$4:$K$110,0)),'Track Data'!AF2104)),'Track Data'!U2104)</f>
        <v>5.2583296715092471</v>
      </c>
      <c r="AH2104" s="16">
        <f>IF(AC2104=0,IF(O2104=2,INDEX(Acceleration!$R$4:$R$110,MATCH('Track Data'!S2104,Acceleration!$K$4:$K$110,0)),IF('Track Data'!O2104=1,INDEX(Acceleration!$Q$4:$Q$110,MATCH('Track Data'!S2104,Acceleration!$K$4:$K$110,0)),'Track Data'!AG2104)),'Track Data'!U2104)</f>
        <v>5.2583296715092471</v>
      </c>
    </row>
    <row r="2105" spans="2:34" x14ac:dyDescent="0.25">
      <c r="B2105" s="16">
        <v>250.917</v>
      </c>
      <c r="C2105" s="16">
        <v>9375</v>
      </c>
      <c r="D2105" s="16">
        <v>2102</v>
      </c>
      <c r="E2105" s="113">
        <v>132</v>
      </c>
      <c r="F2105" s="113">
        <v>130.80000000000001</v>
      </c>
      <c r="G2105" s="113">
        <v>119.3</v>
      </c>
      <c r="H2105" s="113">
        <f t="shared" si="229"/>
        <v>33.138888888888886</v>
      </c>
      <c r="I2105" s="113">
        <v>14.3</v>
      </c>
      <c r="J2105" s="113">
        <v>69.05</v>
      </c>
      <c r="K2105" s="113">
        <v>-57.1</v>
      </c>
      <c r="L2105" s="183"/>
      <c r="M2105" s="16">
        <v>2102</v>
      </c>
      <c r="N2105" s="16">
        <f t="shared" si="231"/>
        <v>2.4223940006716432E-2</v>
      </c>
      <c r="O2105" s="16">
        <v>3</v>
      </c>
      <c r="P2105" s="16">
        <f t="shared" si="227"/>
        <v>10.596205962059623</v>
      </c>
      <c r="Q2105" s="16">
        <f t="shared" si="232"/>
        <v>41.281476082038502</v>
      </c>
      <c r="R2105" s="113">
        <f t="shared" si="228"/>
        <v>345.36</v>
      </c>
      <c r="S2105" s="16">
        <f>IF(S2104=15800,15800,ROUND((((Q2105*60)/'Gearing Calculator'!$C$14)*'Track Data'!P2105),-2))</f>
        <v>13300</v>
      </c>
      <c r="T2105" s="16">
        <f t="shared" si="230"/>
        <v>5.2583296715092471</v>
      </c>
      <c r="U2105" s="16">
        <f>IF(AC2105=100,Braking!$AG$2354,IF(AC2105=50,Braking!$AG$1179,IF(AC2105=75,Braking!$AG$1767,0)))</f>
        <v>0</v>
      </c>
      <c r="V2105" s="16">
        <f>0.5*'Gearing Calculator'!$C$15*'Gearing Calculator'!$C$20*'Gearing Calculator'!$W$20*('Track Data'!Q2105^2)</f>
        <v>180.36832271346125</v>
      </c>
      <c r="W2105" s="16">
        <f>('Gearing Calculator'!$U$9*'Track Data'!T2105)+'Track Data'!V2105</f>
        <v>1580.1356812692229</v>
      </c>
      <c r="X2105" s="16">
        <f>('Gearing Calculator'!$U$9*9.81)*('Gearing Calculator'!$U$16/'Gearing Calculator'!$C$7)-(('Track Data'!W2105)*('Gearing Calculator'!$U$17/'Gearing Calculator'!$C$7))</f>
        <v>539.88044034373297</v>
      </c>
      <c r="Y2105" s="16">
        <f>('Gearing Calculator'!$U$9*9.81)*(('Gearing Calculator'!$C$7-'Gearing Calculator'!$U$16)/'Gearing Calculator'!$C$7)+(('Track Data'!W2105)*('Gearing Calculator'!$U$17/'Gearing Calculator'!$C$7))</f>
        <v>2071.5415596562671</v>
      </c>
      <c r="Z2105" s="16">
        <f>((X2105*COS('Gearing Calculator'!$C$21))/'Gearing Calculator'!$C$22)/2</f>
        <v>16.691395719071824</v>
      </c>
      <c r="AA2105" s="16">
        <f>Y2105/'Gearing Calculator'!$C$24</f>
        <v>28.925668218874538</v>
      </c>
      <c r="AB2105" s="16">
        <f t="shared" si="233"/>
        <v>196.14331172798899</v>
      </c>
      <c r="AC2105" s="16">
        <v>0</v>
      </c>
      <c r="AD2105" s="16">
        <v>-51.415226335993196</v>
      </c>
      <c r="AE2105" s="16">
        <v>2102</v>
      </c>
      <c r="AF2105" s="16">
        <f>IF(AC2105=0,IF(O2105=6,INDEX(Acceleration!$V$4:$V$110,MATCH('Track Data'!S2105,Acceleration!$K$4:$K$110,0)),IF('Track Data'!O2105=5,INDEX(Acceleration!$U$4:$U$110,MATCH('Track Data'!S2105,Acceleration!$K$4:$K$110,0)),1)),U2105)</f>
        <v>1</v>
      </c>
      <c r="AG2105" s="16">
        <f>IF(AC2105=0,IF(O2105=4,INDEX(Acceleration!$T$4:$T$110,MATCH('Track Data'!S2105,Acceleration!$K$4:$K$110,0)),IF('Track Data'!O2105=3,INDEX(Acceleration!$S$4:$S$110,MATCH('Track Data'!S2105,Acceleration!$K$4:$K$110,0)),'Track Data'!AF2105)),'Track Data'!U2105)</f>
        <v>5.2583296715092471</v>
      </c>
      <c r="AH2105" s="16">
        <f>IF(AC2105=0,IF(O2105=2,INDEX(Acceleration!$R$4:$R$110,MATCH('Track Data'!S2105,Acceleration!$K$4:$K$110,0)),IF('Track Data'!O2105=1,INDEX(Acceleration!$Q$4:$Q$110,MATCH('Track Data'!S2105,Acceleration!$K$4:$K$110,0)),'Track Data'!AG2105)),'Track Data'!U2105)</f>
        <v>5.2583296715092471</v>
      </c>
    </row>
    <row r="2106" spans="2:34" x14ac:dyDescent="0.25">
      <c r="B2106" s="16">
        <v>250.94399999999999</v>
      </c>
      <c r="C2106" s="16">
        <v>9376</v>
      </c>
      <c r="D2106" s="16">
        <v>2103</v>
      </c>
      <c r="E2106" s="113">
        <v>132</v>
      </c>
      <c r="F2106" s="113">
        <v>130.4</v>
      </c>
      <c r="G2106" s="113">
        <v>119</v>
      </c>
      <c r="H2106" s="113">
        <f t="shared" si="229"/>
        <v>33.055555555555557</v>
      </c>
      <c r="I2106" s="113">
        <v>14</v>
      </c>
      <c r="J2106" s="113">
        <v>70.61</v>
      </c>
      <c r="K2106" s="113">
        <v>-56.3</v>
      </c>
      <c r="L2106" s="183"/>
      <c r="M2106" s="16">
        <v>2103</v>
      </c>
      <c r="N2106" s="16">
        <f t="shared" si="231"/>
        <v>2.4223940006716432E-2</v>
      </c>
      <c r="O2106" s="16">
        <v>3</v>
      </c>
      <c r="P2106" s="16">
        <f t="shared" si="227"/>
        <v>10.596205962059623</v>
      </c>
      <c r="Q2106" s="16">
        <f t="shared" si="232"/>
        <v>41.281476082038502</v>
      </c>
      <c r="R2106" s="113">
        <f t="shared" si="228"/>
        <v>345.36</v>
      </c>
      <c r="S2106" s="16">
        <f>IF(S2105=15800,15800,ROUND((((Q2106*60)/'Gearing Calculator'!$C$14)*'Track Data'!P2106),-2))</f>
        <v>13300</v>
      </c>
      <c r="T2106" s="16">
        <f t="shared" si="230"/>
        <v>5.2583296715092471</v>
      </c>
      <c r="U2106" s="16">
        <f>IF(AC2106=100,Braking!$AG$2354,IF(AC2106=50,Braking!$AG$1179,IF(AC2106=75,Braking!$AG$1767,0)))</f>
        <v>0</v>
      </c>
      <c r="V2106" s="16">
        <f>0.5*'Gearing Calculator'!$C$15*'Gearing Calculator'!$C$20*'Gearing Calculator'!$W$20*('Track Data'!Q2106^2)</f>
        <v>180.36832271346125</v>
      </c>
      <c r="W2106" s="16">
        <f>('Gearing Calculator'!$U$9*'Track Data'!T2106)+'Track Data'!V2106</f>
        <v>1580.1356812692229</v>
      </c>
      <c r="X2106" s="16">
        <f>('Gearing Calculator'!$U$9*9.81)*('Gearing Calculator'!$U$16/'Gearing Calculator'!$C$7)-(('Track Data'!W2106)*('Gearing Calculator'!$U$17/'Gearing Calculator'!$C$7))</f>
        <v>539.88044034373297</v>
      </c>
      <c r="Y2106" s="16">
        <f>('Gearing Calculator'!$U$9*9.81)*(('Gearing Calculator'!$C$7-'Gearing Calculator'!$U$16)/'Gearing Calculator'!$C$7)+(('Track Data'!W2106)*('Gearing Calculator'!$U$17/'Gearing Calculator'!$C$7))</f>
        <v>2071.5415596562671</v>
      </c>
      <c r="Z2106" s="16">
        <f>((X2106*COS('Gearing Calculator'!$C$21))/'Gearing Calculator'!$C$22)/2</f>
        <v>16.691395719071824</v>
      </c>
      <c r="AA2106" s="16">
        <f>Y2106/'Gearing Calculator'!$C$24</f>
        <v>28.925668218874538</v>
      </c>
      <c r="AB2106" s="16">
        <f t="shared" si="233"/>
        <v>196.14331172798899</v>
      </c>
      <c r="AC2106" s="16">
        <v>0</v>
      </c>
      <c r="AD2106" s="16">
        <v>-51.415226335993196</v>
      </c>
      <c r="AE2106" s="16">
        <v>2103</v>
      </c>
      <c r="AF2106" s="16">
        <f>IF(AC2106=0,IF(O2106=6,INDEX(Acceleration!$V$4:$V$110,MATCH('Track Data'!S2106,Acceleration!$K$4:$K$110,0)),IF('Track Data'!O2106=5,INDEX(Acceleration!$U$4:$U$110,MATCH('Track Data'!S2106,Acceleration!$K$4:$K$110,0)),1)),U2106)</f>
        <v>1</v>
      </c>
      <c r="AG2106" s="16">
        <f>IF(AC2106=0,IF(O2106=4,INDEX(Acceleration!$T$4:$T$110,MATCH('Track Data'!S2106,Acceleration!$K$4:$K$110,0)),IF('Track Data'!O2106=3,INDEX(Acceleration!$S$4:$S$110,MATCH('Track Data'!S2106,Acceleration!$K$4:$K$110,0)),'Track Data'!AF2106)),'Track Data'!U2106)</f>
        <v>5.2583296715092471</v>
      </c>
      <c r="AH2106" s="16">
        <f>IF(AC2106=0,IF(O2106=2,INDEX(Acceleration!$R$4:$R$110,MATCH('Track Data'!S2106,Acceleration!$K$4:$K$110,0)),IF('Track Data'!O2106=1,INDEX(Acceleration!$Q$4:$Q$110,MATCH('Track Data'!S2106,Acceleration!$K$4:$K$110,0)),'Track Data'!AG2106)),'Track Data'!U2106)</f>
        <v>5.2583296715092471</v>
      </c>
    </row>
    <row r="2107" spans="2:34" x14ac:dyDescent="0.25">
      <c r="B2107" s="16">
        <v>250.97200000000001</v>
      </c>
      <c r="C2107" s="16">
        <v>9377</v>
      </c>
      <c r="D2107" s="16">
        <v>2104</v>
      </c>
      <c r="E2107" s="113">
        <v>132</v>
      </c>
      <c r="F2107" s="113">
        <v>130.1</v>
      </c>
      <c r="G2107" s="113">
        <v>118.7</v>
      </c>
      <c r="H2107" s="113">
        <f t="shared" si="229"/>
        <v>32.972222222222221</v>
      </c>
      <c r="I2107" s="113">
        <v>14.1</v>
      </c>
      <c r="J2107" s="113">
        <v>69.099999999999994</v>
      </c>
      <c r="K2107" s="113">
        <v>-55.9</v>
      </c>
      <c r="L2107" s="183"/>
      <c r="M2107" s="16">
        <v>2104</v>
      </c>
      <c r="N2107" s="16">
        <f t="shared" si="231"/>
        <v>2.4223940006716432E-2</v>
      </c>
      <c r="O2107" s="16">
        <v>3</v>
      </c>
      <c r="P2107" s="16">
        <f t="shared" si="227"/>
        <v>10.596205962059623</v>
      </c>
      <c r="Q2107" s="16">
        <f t="shared" si="232"/>
        <v>41.281476082038502</v>
      </c>
      <c r="R2107" s="113">
        <f t="shared" si="228"/>
        <v>345.36</v>
      </c>
      <c r="S2107" s="16">
        <f>IF(S2106=15800,15800,ROUND((((Q2107*60)/'Gearing Calculator'!$C$14)*'Track Data'!P2107),-2))</f>
        <v>13300</v>
      </c>
      <c r="T2107" s="16">
        <f t="shared" si="230"/>
        <v>5.2583296715092471</v>
      </c>
      <c r="U2107" s="16">
        <f>IF(AC2107=100,Braking!$AG$2354,IF(AC2107=50,Braking!$AG$1179,IF(AC2107=75,Braking!$AG$1767,0)))</f>
        <v>0</v>
      </c>
      <c r="V2107" s="16">
        <f>0.5*'Gearing Calculator'!$C$15*'Gearing Calculator'!$C$20*'Gearing Calculator'!$W$20*('Track Data'!Q2107^2)</f>
        <v>180.36832271346125</v>
      </c>
      <c r="W2107" s="16">
        <f>('Gearing Calculator'!$U$9*'Track Data'!T2107)+'Track Data'!V2107</f>
        <v>1580.1356812692229</v>
      </c>
      <c r="X2107" s="16">
        <f>('Gearing Calculator'!$U$9*9.81)*('Gearing Calculator'!$U$16/'Gearing Calculator'!$C$7)-(('Track Data'!W2107)*('Gearing Calculator'!$U$17/'Gearing Calculator'!$C$7))</f>
        <v>539.88044034373297</v>
      </c>
      <c r="Y2107" s="16">
        <f>('Gearing Calculator'!$U$9*9.81)*(('Gearing Calculator'!$C$7-'Gearing Calculator'!$U$16)/'Gearing Calculator'!$C$7)+(('Track Data'!W2107)*('Gearing Calculator'!$U$17/'Gearing Calculator'!$C$7))</f>
        <v>2071.5415596562671</v>
      </c>
      <c r="Z2107" s="16">
        <f>((X2107*COS('Gearing Calculator'!$C$21))/'Gearing Calculator'!$C$22)/2</f>
        <v>16.691395719071824</v>
      </c>
      <c r="AA2107" s="16">
        <f>Y2107/'Gearing Calculator'!$C$24</f>
        <v>28.925668218874538</v>
      </c>
      <c r="AB2107" s="16">
        <f t="shared" si="233"/>
        <v>196.14331172798899</v>
      </c>
      <c r="AC2107" s="16">
        <v>0</v>
      </c>
      <c r="AD2107" s="16">
        <v>-51.415226335993196</v>
      </c>
      <c r="AE2107" s="16">
        <v>2104</v>
      </c>
      <c r="AF2107" s="16">
        <f>IF(AC2107=0,IF(O2107=6,INDEX(Acceleration!$V$4:$V$110,MATCH('Track Data'!S2107,Acceleration!$K$4:$K$110,0)),IF('Track Data'!O2107=5,INDEX(Acceleration!$U$4:$U$110,MATCH('Track Data'!S2107,Acceleration!$K$4:$K$110,0)),1)),U2107)</f>
        <v>1</v>
      </c>
      <c r="AG2107" s="16">
        <f>IF(AC2107=0,IF(O2107=4,INDEX(Acceleration!$T$4:$T$110,MATCH('Track Data'!S2107,Acceleration!$K$4:$K$110,0)),IF('Track Data'!O2107=3,INDEX(Acceleration!$S$4:$S$110,MATCH('Track Data'!S2107,Acceleration!$K$4:$K$110,0)),'Track Data'!AF2107)),'Track Data'!U2107)</f>
        <v>5.2583296715092471</v>
      </c>
      <c r="AH2107" s="16">
        <f>IF(AC2107=0,IF(O2107=2,INDEX(Acceleration!$R$4:$R$110,MATCH('Track Data'!S2107,Acceleration!$K$4:$K$110,0)),IF('Track Data'!O2107=1,INDEX(Acceleration!$Q$4:$Q$110,MATCH('Track Data'!S2107,Acceleration!$K$4:$K$110,0)),'Track Data'!AG2107)),'Track Data'!U2107)</f>
        <v>5.2583296715092471</v>
      </c>
    </row>
    <row r="2108" spans="2:34" x14ac:dyDescent="0.25">
      <c r="B2108" s="16">
        <v>250.999</v>
      </c>
      <c r="C2108" s="16">
        <v>9378</v>
      </c>
      <c r="D2108" s="16">
        <v>2105</v>
      </c>
      <c r="E2108" s="113">
        <v>132</v>
      </c>
      <c r="F2108" s="113">
        <v>129.80000000000001</v>
      </c>
      <c r="G2108" s="113">
        <v>118.5</v>
      </c>
      <c r="H2108" s="113">
        <f t="shared" si="229"/>
        <v>32.916666666666664</v>
      </c>
      <c r="I2108" s="113">
        <v>15.2</v>
      </c>
      <c r="J2108" s="113">
        <v>70.39</v>
      </c>
      <c r="K2108" s="113">
        <v>-55.9</v>
      </c>
      <c r="L2108" s="183"/>
      <c r="M2108" s="16">
        <v>2105</v>
      </c>
      <c r="N2108" s="16">
        <f t="shared" si="231"/>
        <v>2.4223940006716432E-2</v>
      </c>
      <c r="O2108" s="16">
        <v>3</v>
      </c>
      <c r="P2108" s="16">
        <f t="shared" si="227"/>
        <v>10.596205962059623</v>
      </c>
      <c r="Q2108" s="16">
        <f t="shared" si="232"/>
        <v>41.281476082038502</v>
      </c>
      <c r="R2108" s="113">
        <f t="shared" si="228"/>
        <v>345.36</v>
      </c>
      <c r="S2108" s="16">
        <f>IF(S2107=15800,15800,ROUND((((Q2108*60)/'Gearing Calculator'!$C$14)*'Track Data'!P2108),-2))</f>
        <v>13300</v>
      </c>
      <c r="T2108" s="16">
        <f t="shared" si="230"/>
        <v>5.2583296715092471</v>
      </c>
      <c r="U2108" s="16">
        <f>IF(AC2108=100,Braking!$AG$2354,IF(AC2108=50,Braking!$AG$1179,IF(AC2108=75,Braking!$AG$1767,0)))</f>
        <v>0</v>
      </c>
      <c r="V2108" s="16">
        <f>0.5*'Gearing Calculator'!$C$15*'Gearing Calculator'!$C$20*'Gearing Calculator'!$W$20*('Track Data'!Q2108^2)</f>
        <v>180.36832271346125</v>
      </c>
      <c r="W2108" s="16">
        <f>('Gearing Calculator'!$U$9*'Track Data'!T2108)+'Track Data'!V2108</f>
        <v>1580.1356812692229</v>
      </c>
      <c r="X2108" s="16">
        <f>('Gearing Calculator'!$U$9*9.81)*('Gearing Calculator'!$U$16/'Gearing Calculator'!$C$7)-(('Track Data'!W2108)*('Gearing Calculator'!$U$17/'Gearing Calculator'!$C$7))</f>
        <v>539.88044034373297</v>
      </c>
      <c r="Y2108" s="16">
        <f>('Gearing Calculator'!$U$9*9.81)*(('Gearing Calculator'!$C$7-'Gearing Calculator'!$U$16)/'Gearing Calculator'!$C$7)+(('Track Data'!W2108)*('Gearing Calculator'!$U$17/'Gearing Calculator'!$C$7))</f>
        <v>2071.5415596562671</v>
      </c>
      <c r="Z2108" s="16">
        <f>((X2108*COS('Gearing Calculator'!$C$21))/'Gearing Calculator'!$C$22)/2</f>
        <v>16.691395719071824</v>
      </c>
      <c r="AA2108" s="16">
        <f>Y2108/'Gearing Calculator'!$C$24</f>
        <v>28.925668218874538</v>
      </c>
      <c r="AB2108" s="16">
        <f t="shared" si="233"/>
        <v>196.14331172798899</v>
      </c>
      <c r="AC2108" s="16">
        <v>0</v>
      </c>
      <c r="AD2108" s="16">
        <v>-51.415226335993196</v>
      </c>
      <c r="AE2108" s="16">
        <v>2105</v>
      </c>
      <c r="AF2108" s="16">
        <f>IF(AC2108=0,IF(O2108=6,INDEX(Acceleration!$V$4:$V$110,MATCH('Track Data'!S2108,Acceleration!$K$4:$K$110,0)),IF('Track Data'!O2108=5,INDEX(Acceleration!$U$4:$U$110,MATCH('Track Data'!S2108,Acceleration!$K$4:$K$110,0)),1)),U2108)</f>
        <v>1</v>
      </c>
      <c r="AG2108" s="16">
        <f>IF(AC2108=0,IF(O2108=4,INDEX(Acceleration!$T$4:$T$110,MATCH('Track Data'!S2108,Acceleration!$K$4:$K$110,0)),IF('Track Data'!O2108=3,INDEX(Acceleration!$S$4:$S$110,MATCH('Track Data'!S2108,Acceleration!$K$4:$K$110,0)),'Track Data'!AF2108)),'Track Data'!U2108)</f>
        <v>5.2583296715092471</v>
      </c>
      <c r="AH2108" s="16">
        <f>IF(AC2108=0,IF(O2108=2,INDEX(Acceleration!$R$4:$R$110,MATCH('Track Data'!S2108,Acceleration!$K$4:$K$110,0)),IF('Track Data'!O2108=1,INDEX(Acceleration!$Q$4:$Q$110,MATCH('Track Data'!S2108,Acceleration!$K$4:$K$110,0)),'Track Data'!AG2108)),'Track Data'!U2108)</f>
        <v>5.2583296715092471</v>
      </c>
    </row>
    <row r="2109" spans="2:34" x14ac:dyDescent="0.25">
      <c r="B2109" s="16">
        <v>251.02799999999999</v>
      </c>
      <c r="C2109" s="16">
        <v>9379</v>
      </c>
      <c r="D2109" s="16">
        <v>2106</v>
      </c>
      <c r="E2109" s="113">
        <v>132</v>
      </c>
      <c r="F2109" s="113">
        <v>129.6</v>
      </c>
      <c r="G2109" s="113">
        <v>118.3</v>
      </c>
      <c r="H2109" s="113">
        <f t="shared" si="229"/>
        <v>32.861111111111107</v>
      </c>
      <c r="I2109" s="113">
        <v>15.4</v>
      </c>
      <c r="J2109" s="113">
        <v>68.099999999999994</v>
      </c>
      <c r="K2109" s="113">
        <v>-55.9</v>
      </c>
      <c r="L2109" s="183"/>
      <c r="M2109" s="16">
        <v>2106</v>
      </c>
      <c r="N2109" s="16">
        <f t="shared" si="231"/>
        <v>2.4223940006716432E-2</v>
      </c>
      <c r="O2109" s="16">
        <v>3</v>
      </c>
      <c r="P2109" s="16">
        <f t="shared" si="227"/>
        <v>10.596205962059623</v>
      </c>
      <c r="Q2109" s="16">
        <f t="shared" si="232"/>
        <v>41.281476082038502</v>
      </c>
      <c r="R2109" s="113">
        <f t="shared" si="228"/>
        <v>345.36</v>
      </c>
      <c r="S2109" s="16">
        <f>IF(S2108=15800,15800,ROUND((((Q2109*60)/'Gearing Calculator'!$C$14)*'Track Data'!P2109),-2))</f>
        <v>13300</v>
      </c>
      <c r="T2109" s="16">
        <f t="shared" si="230"/>
        <v>5.2583296715092471</v>
      </c>
      <c r="U2109" s="16">
        <f>IF(AC2109=100,Braking!$AG$2354,IF(AC2109=50,Braking!$AG$1179,IF(AC2109=75,Braking!$AG$1767,0)))</f>
        <v>0</v>
      </c>
      <c r="V2109" s="16">
        <f>0.5*'Gearing Calculator'!$C$15*'Gearing Calculator'!$C$20*'Gearing Calculator'!$W$20*('Track Data'!Q2109^2)</f>
        <v>180.36832271346125</v>
      </c>
      <c r="W2109" s="16">
        <f>('Gearing Calculator'!$U$9*'Track Data'!T2109)+'Track Data'!V2109</f>
        <v>1580.1356812692229</v>
      </c>
      <c r="X2109" s="16">
        <f>('Gearing Calculator'!$U$9*9.81)*('Gearing Calculator'!$U$16/'Gearing Calculator'!$C$7)-(('Track Data'!W2109)*('Gearing Calculator'!$U$17/'Gearing Calculator'!$C$7))</f>
        <v>539.88044034373297</v>
      </c>
      <c r="Y2109" s="16">
        <f>('Gearing Calculator'!$U$9*9.81)*(('Gearing Calculator'!$C$7-'Gearing Calculator'!$U$16)/'Gearing Calculator'!$C$7)+(('Track Data'!W2109)*('Gearing Calculator'!$U$17/'Gearing Calculator'!$C$7))</f>
        <v>2071.5415596562671</v>
      </c>
      <c r="Z2109" s="16">
        <f>((X2109*COS('Gearing Calculator'!$C$21))/'Gearing Calculator'!$C$22)/2</f>
        <v>16.691395719071824</v>
      </c>
      <c r="AA2109" s="16">
        <f>Y2109/'Gearing Calculator'!$C$24</f>
        <v>28.925668218874538</v>
      </c>
      <c r="AB2109" s="16">
        <f t="shared" si="233"/>
        <v>196.14331172798899</v>
      </c>
      <c r="AC2109" s="16">
        <v>0</v>
      </c>
      <c r="AD2109" s="16">
        <v>-51.415226335993196</v>
      </c>
      <c r="AE2109" s="16">
        <v>2106</v>
      </c>
      <c r="AF2109" s="16">
        <f>IF(AC2109=0,IF(O2109=6,INDEX(Acceleration!$V$4:$V$110,MATCH('Track Data'!S2109,Acceleration!$K$4:$K$110,0)),IF('Track Data'!O2109=5,INDEX(Acceleration!$U$4:$U$110,MATCH('Track Data'!S2109,Acceleration!$K$4:$K$110,0)),1)),U2109)</f>
        <v>1</v>
      </c>
      <c r="AG2109" s="16">
        <f>IF(AC2109=0,IF(O2109=4,INDEX(Acceleration!$T$4:$T$110,MATCH('Track Data'!S2109,Acceleration!$K$4:$K$110,0)),IF('Track Data'!O2109=3,INDEX(Acceleration!$S$4:$S$110,MATCH('Track Data'!S2109,Acceleration!$K$4:$K$110,0)),'Track Data'!AF2109)),'Track Data'!U2109)</f>
        <v>5.2583296715092471</v>
      </c>
      <c r="AH2109" s="16">
        <f>IF(AC2109=0,IF(O2109=2,INDEX(Acceleration!$R$4:$R$110,MATCH('Track Data'!S2109,Acceleration!$K$4:$K$110,0)),IF('Track Data'!O2109=1,INDEX(Acceleration!$Q$4:$Q$110,MATCH('Track Data'!S2109,Acceleration!$K$4:$K$110,0)),'Track Data'!AG2109)),'Track Data'!U2109)</f>
        <v>5.2583296715092471</v>
      </c>
    </row>
    <row r="2110" spans="2:34" x14ac:dyDescent="0.25">
      <c r="B2110" s="16">
        <v>251.05500000000001</v>
      </c>
      <c r="C2110" s="16">
        <v>9380</v>
      </c>
      <c r="D2110" s="16">
        <v>2107</v>
      </c>
      <c r="E2110" s="113">
        <v>132</v>
      </c>
      <c r="F2110" s="113">
        <v>129.5</v>
      </c>
      <c r="G2110" s="113">
        <v>118</v>
      </c>
      <c r="H2110" s="113">
        <f t="shared" si="229"/>
        <v>32.777777777777779</v>
      </c>
      <c r="I2110" s="113">
        <v>15.9</v>
      </c>
      <c r="J2110" s="113">
        <v>68.239999999999995</v>
      </c>
      <c r="K2110" s="113">
        <v>-55.2</v>
      </c>
      <c r="L2110" s="183"/>
      <c r="M2110" s="16">
        <v>2107</v>
      </c>
      <c r="N2110" s="16">
        <f t="shared" si="231"/>
        <v>2.4223940006716432E-2</v>
      </c>
      <c r="O2110" s="16">
        <v>3</v>
      </c>
      <c r="P2110" s="16">
        <f t="shared" si="227"/>
        <v>10.596205962059623</v>
      </c>
      <c r="Q2110" s="16">
        <f t="shared" si="232"/>
        <v>41.281476082038502</v>
      </c>
      <c r="R2110" s="113">
        <f t="shared" si="228"/>
        <v>345.36</v>
      </c>
      <c r="S2110" s="16">
        <f>IF(S2109=15800,15800,ROUND((((Q2110*60)/'Gearing Calculator'!$C$14)*'Track Data'!P2110),-2))</f>
        <v>13300</v>
      </c>
      <c r="T2110" s="16">
        <f t="shared" si="230"/>
        <v>5.2583296715092471</v>
      </c>
      <c r="U2110" s="16">
        <f>IF(AC2110=100,Braking!$AG$2354,IF(AC2110=50,Braking!$AG$1179,IF(AC2110=75,Braking!$AG$1767,0)))</f>
        <v>0</v>
      </c>
      <c r="V2110" s="16">
        <f>0.5*'Gearing Calculator'!$C$15*'Gearing Calculator'!$C$20*'Gearing Calculator'!$W$20*('Track Data'!Q2110^2)</f>
        <v>180.36832271346125</v>
      </c>
      <c r="W2110" s="16">
        <f>('Gearing Calculator'!$U$9*'Track Data'!T2110)+'Track Data'!V2110</f>
        <v>1580.1356812692229</v>
      </c>
      <c r="X2110" s="16">
        <f>('Gearing Calculator'!$U$9*9.81)*('Gearing Calculator'!$U$16/'Gearing Calculator'!$C$7)-(('Track Data'!W2110)*('Gearing Calculator'!$U$17/'Gearing Calculator'!$C$7))</f>
        <v>539.88044034373297</v>
      </c>
      <c r="Y2110" s="16">
        <f>('Gearing Calculator'!$U$9*9.81)*(('Gearing Calculator'!$C$7-'Gearing Calculator'!$U$16)/'Gearing Calculator'!$C$7)+(('Track Data'!W2110)*('Gearing Calculator'!$U$17/'Gearing Calculator'!$C$7))</f>
        <v>2071.5415596562671</v>
      </c>
      <c r="Z2110" s="16">
        <f>((X2110*COS('Gearing Calculator'!$C$21))/'Gearing Calculator'!$C$22)/2</f>
        <v>16.691395719071824</v>
      </c>
      <c r="AA2110" s="16">
        <f>Y2110/'Gearing Calculator'!$C$24</f>
        <v>28.925668218874538</v>
      </c>
      <c r="AB2110" s="16">
        <f t="shared" si="233"/>
        <v>196.14331172798899</v>
      </c>
      <c r="AC2110" s="16">
        <v>0</v>
      </c>
      <c r="AD2110" s="16">
        <v>-51.415226335993196</v>
      </c>
      <c r="AE2110" s="16">
        <v>2107</v>
      </c>
      <c r="AF2110" s="16">
        <f>IF(AC2110=0,IF(O2110=6,INDEX(Acceleration!$V$4:$V$110,MATCH('Track Data'!S2110,Acceleration!$K$4:$K$110,0)),IF('Track Data'!O2110=5,INDEX(Acceleration!$U$4:$U$110,MATCH('Track Data'!S2110,Acceleration!$K$4:$K$110,0)),1)),U2110)</f>
        <v>1</v>
      </c>
      <c r="AG2110" s="16">
        <f>IF(AC2110=0,IF(O2110=4,INDEX(Acceleration!$T$4:$T$110,MATCH('Track Data'!S2110,Acceleration!$K$4:$K$110,0)),IF('Track Data'!O2110=3,INDEX(Acceleration!$S$4:$S$110,MATCH('Track Data'!S2110,Acceleration!$K$4:$K$110,0)),'Track Data'!AF2110)),'Track Data'!U2110)</f>
        <v>5.2583296715092471</v>
      </c>
      <c r="AH2110" s="16">
        <f>IF(AC2110=0,IF(O2110=2,INDEX(Acceleration!$R$4:$R$110,MATCH('Track Data'!S2110,Acceleration!$K$4:$K$110,0)),IF('Track Data'!O2110=1,INDEX(Acceleration!$Q$4:$Q$110,MATCH('Track Data'!S2110,Acceleration!$K$4:$K$110,0)),'Track Data'!AG2110)),'Track Data'!U2110)</f>
        <v>5.2583296715092471</v>
      </c>
    </row>
    <row r="2111" spans="2:34" x14ac:dyDescent="0.25">
      <c r="B2111" s="16">
        <v>251.083</v>
      </c>
      <c r="C2111" s="16">
        <v>9381</v>
      </c>
      <c r="D2111" s="16">
        <v>2108</v>
      </c>
      <c r="E2111" s="113">
        <v>133</v>
      </c>
      <c r="F2111" s="113">
        <v>129.30000000000001</v>
      </c>
      <c r="G2111" s="113">
        <v>117.8</v>
      </c>
      <c r="H2111" s="113">
        <f t="shared" si="229"/>
        <v>32.722222222222221</v>
      </c>
      <c r="I2111" s="113">
        <v>15.7</v>
      </c>
      <c r="J2111" s="113">
        <v>66.38</v>
      </c>
      <c r="K2111" s="113">
        <v>-53.6</v>
      </c>
      <c r="L2111" s="183"/>
      <c r="M2111" s="16">
        <v>2108</v>
      </c>
      <c r="N2111" s="16">
        <f t="shared" si="231"/>
        <v>2.4223940006716432E-2</v>
      </c>
      <c r="O2111" s="16">
        <v>3</v>
      </c>
      <c r="P2111" s="16">
        <f t="shared" si="227"/>
        <v>10.596205962059623</v>
      </c>
      <c r="Q2111" s="16">
        <f t="shared" si="232"/>
        <v>41.281476082038502</v>
      </c>
      <c r="R2111" s="113">
        <f t="shared" si="228"/>
        <v>345.36</v>
      </c>
      <c r="S2111" s="16">
        <f>IF(S2110=15800,15800,ROUND((((Q2111*60)/'Gearing Calculator'!$C$14)*'Track Data'!P2111),-2))</f>
        <v>13300</v>
      </c>
      <c r="T2111" s="16">
        <f t="shared" si="230"/>
        <v>5.2583296715092471</v>
      </c>
      <c r="U2111" s="16">
        <f>IF(AC2111=100,Braking!$AG$2354,IF(AC2111=50,Braking!$AG$1179,IF(AC2111=75,Braking!$AG$1767,0)))</f>
        <v>0</v>
      </c>
      <c r="V2111" s="16">
        <f>0.5*'Gearing Calculator'!$C$15*'Gearing Calculator'!$C$20*'Gearing Calculator'!$W$20*('Track Data'!Q2111^2)</f>
        <v>180.36832271346125</v>
      </c>
      <c r="W2111" s="16">
        <f>('Gearing Calculator'!$U$9*'Track Data'!T2111)+'Track Data'!V2111</f>
        <v>1580.1356812692229</v>
      </c>
      <c r="X2111" s="16">
        <f>('Gearing Calculator'!$U$9*9.81)*('Gearing Calculator'!$U$16/'Gearing Calculator'!$C$7)-(('Track Data'!W2111)*('Gearing Calculator'!$U$17/'Gearing Calculator'!$C$7))</f>
        <v>539.88044034373297</v>
      </c>
      <c r="Y2111" s="16">
        <f>('Gearing Calculator'!$U$9*9.81)*(('Gearing Calculator'!$C$7-'Gearing Calculator'!$U$16)/'Gearing Calculator'!$C$7)+(('Track Data'!W2111)*('Gearing Calculator'!$U$17/'Gearing Calculator'!$C$7))</f>
        <v>2071.5415596562671</v>
      </c>
      <c r="Z2111" s="16">
        <f>((X2111*COS('Gearing Calculator'!$C$21))/'Gearing Calculator'!$C$22)/2</f>
        <v>16.691395719071824</v>
      </c>
      <c r="AA2111" s="16">
        <f>Y2111/'Gearing Calculator'!$C$24</f>
        <v>28.925668218874538</v>
      </c>
      <c r="AB2111" s="16">
        <f t="shared" si="233"/>
        <v>196.14331172798899</v>
      </c>
      <c r="AC2111" s="16">
        <v>0</v>
      </c>
      <c r="AD2111" s="16">
        <v>-51.415226335993196</v>
      </c>
      <c r="AE2111" s="16">
        <v>2108</v>
      </c>
      <c r="AF2111" s="16">
        <f>IF(AC2111=0,IF(O2111=6,INDEX(Acceleration!$V$4:$V$110,MATCH('Track Data'!S2111,Acceleration!$K$4:$K$110,0)),IF('Track Data'!O2111=5,INDEX(Acceleration!$U$4:$U$110,MATCH('Track Data'!S2111,Acceleration!$K$4:$K$110,0)),1)),U2111)</f>
        <v>1</v>
      </c>
      <c r="AG2111" s="16">
        <f>IF(AC2111=0,IF(O2111=4,INDEX(Acceleration!$T$4:$T$110,MATCH('Track Data'!S2111,Acceleration!$K$4:$K$110,0)),IF('Track Data'!O2111=3,INDEX(Acceleration!$S$4:$S$110,MATCH('Track Data'!S2111,Acceleration!$K$4:$K$110,0)),'Track Data'!AF2111)),'Track Data'!U2111)</f>
        <v>5.2583296715092471</v>
      </c>
      <c r="AH2111" s="16">
        <f>IF(AC2111=0,IF(O2111=2,INDEX(Acceleration!$R$4:$R$110,MATCH('Track Data'!S2111,Acceleration!$K$4:$K$110,0)),IF('Track Data'!O2111=1,INDEX(Acceleration!$Q$4:$Q$110,MATCH('Track Data'!S2111,Acceleration!$K$4:$K$110,0)),'Track Data'!AG2111)),'Track Data'!U2111)</f>
        <v>5.2583296715092471</v>
      </c>
    </row>
    <row r="2112" spans="2:34" x14ac:dyDescent="0.25">
      <c r="B2112" s="16">
        <v>251.11099999999999</v>
      </c>
      <c r="C2112" s="16">
        <v>9382</v>
      </c>
      <c r="D2112" s="16">
        <v>2109</v>
      </c>
      <c r="E2112" s="113">
        <v>132</v>
      </c>
      <c r="F2112" s="113">
        <v>129.19999999999999</v>
      </c>
      <c r="G2112" s="113">
        <v>117.6</v>
      </c>
      <c r="H2112" s="113">
        <f t="shared" si="229"/>
        <v>32.666666666666664</v>
      </c>
      <c r="I2112" s="113">
        <v>16.5</v>
      </c>
      <c r="J2112" s="113">
        <v>66.63</v>
      </c>
      <c r="K2112" s="113">
        <v>-52</v>
      </c>
      <c r="L2112" s="183"/>
      <c r="M2112" s="16">
        <v>2109</v>
      </c>
      <c r="N2112" s="16">
        <f t="shared" si="231"/>
        <v>2.4223940006716432E-2</v>
      </c>
      <c r="O2112" s="16">
        <v>3</v>
      </c>
      <c r="P2112" s="16">
        <f t="shared" si="227"/>
        <v>10.596205962059623</v>
      </c>
      <c r="Q2112" s="16">
        <f t="shared" si="232"/>
        <v>41.281476082038502</v>
      </c>
      <c r="R2112" s="113">
        <f t="shared" si="228"/>
        <v>345.36</v>
      </c>
      <c r="S2112" s="16">
        <f>IF(S2111=15800,15800,ROUND((((Q2112*60)/'Gearing Calculator'!$C$14)*'Track Data'!P2112),-2))</f>
        <v>13300</v>
      </c>
      <c r="T2112" s="16">
        <f t="shared" si="230"/>
        <v>5.2583296715092471</v>
      </c>
      <c r="U2112" s="16">
        <f>IF(AC2112=100,Braking!$AG$2354,IF(AC2112=50,Braking!$AG$1179,IF(AC2112=75,Braking!$AG$1767,0)))</f>
        <v>0</v>
      </c>
      <c r="V2112" s="16">
        <f>0.5*'Gearing Calculator'!$C$15*'Gearing Calculator'!$C$20*'Gearing Calculator'!$W$20*('Track Data'!Q2112^2)</f>
        <v>180.36832271346125</v>
      </c>
      <c r="W2112" s="16">
        <f>('Gearing Calculator'!$U$9*'Track Data'!T2112)+'Track Data'!V2112</f>
        <v>1580.1356812692229</v>
      </c>
      <c r="X2112" s="16">
        <f>('Gearing Calculator'!$U$9*9.81)*('Gearing Calculator'!$U$16/'Gearing Calculator'!$C$7)-(('Track Data'!W2112)*('Gearing Calculator'!$U$17/'Gearing Calculator'!$C$7))</f>
        <v>539.88044034373297</v>
      </c>
      <c r="Y2112" s="16">
        <f>('Gearing Calculator'!$U$9*9.81)*(('Gearing Calculator'!$C$7-'Gearing Calculator'!$U$16)/'Gearing Calculator'!$C$7)+(('Track Data'!W2112)*('Gearing Calculator'!$U$17/'Gearing Calculator'!$C$7))</f>
        <v>2071.5415596562671</v>
      </c>
      <c r="Z2112" s="16">
        <f>((X2112*COS('Gearing Calculator'!$C$21))/'Gearing Calculator'!$C$22)/2</f>
        <v>16.691395719071824</v>
      </c>
      <c r="AA2112" s="16">
        <f>Y2112/'Gearing Calculator'!$C$24</f>
        <v>28.925668218874538</v>
      </c>
      <c r="AB2112" s="16">
        <f t="shared" si="233"/>
        <v>196.14331172798899</v>
      </c>
      <c r="AC2112" s="16">
        <v>0</v>
      </c>
      <c r="AD2112" s="16">
        <v>-51.415226335993196</v>
      </c>
      <c r="AE2112" s="16">
        <v>2109</v>
      </c>
      <c r="AF2112" s="16">
        <f>IF(AC2112=0,IF(O2112=6,INDEX(Acceleration!$V$4:$V$110,MATCH('Track Data'!S2112,Acceleration!$K$4:$K$110,0)),IF('Track Data'!O2112=5,INDEX(Acceleration!$U$4:$U$110,MATCH('Track Data'!S2112,Acceleration!$K$4:$K$110,0)),1)),U2112)</f>
        <v>1</v>
      </c>
      <c r="AG2112" s="16">
        <f>IF(AC2112=0,IF(O2112=4,INDEX(Acceleration!$T$4:$T$110,MATCH('Track Data'!S2112,Acceleration!$K$4:$K$110,0)),IF('Track Data'!O2112=3,INDEX(Acceleration!$S$4:$S$110,MATCH('Track Data'!S2112,Acceleration!$K$4:$K$110,0)),'Track Data'!AF2112)),'Track Data'!U2112)</f>
        <v>5.2583296715092471</v>
      </c>
      <c r="AH2112" s="16">
        <f>IF(AC2112=0,IF(O2112=2,INDEX(Acceleration!$R$4:$R$110,MATCH('Track Data'!S2112,Acceleration!$K$4:$K$110,0)),IF('Track Data'!O2112=1,INDEX(Acceleration!$Q$4:$Q$110,MATCH('Track Data'!S2112,Acceleration!$K$4:$K$110,0)),'Track Data'!AG2112)),'Track Data'!U2112)</f>
        <v>5.2583296715092471</v>
      </c>
    </row>
    <row r="2113" spans="2:34" x14ac:dyDescent="0.25">
      <c r="B2113" s="16">
        <v>251.13800000000001</v>
      </c>
      <c r="C2113" s="16">
        <v>9383</v>
      </c>
      <c r="D2113" s="16">
        <v>2110</v>
      </c>
      <c r="E2113" s="113">
        <v>133</v>
      </c>
      <c r="F2113" s="113">
        <v>129.30000000000001</v>
      </c>
      <c r="G2113" s="113">
        <v>117.5</v>
      </c>
      <c r="H2113" s="113">
        <f t="shared" si="229"/>
        <v>32.638888888888886</v>
      </c>
      <c r="I2113" s="113">
        <v>16.399999999999999</v>
      </c>
      <c r="J2113" s="113">
        <v>68.47</v>
      </c>
      <c r="K2113" s="113">
        <v>-47.2</v>
      </c>
      <c r="L2113" s="183"/>
      <c r="M2113" s="16">
        <v>2110</v>
      </c>
      <c r="N2113" s="16">
        <f t="shared" si="231"/>
        <v>2.4223940006716432E-2</v>
      </c>
      <c r="O2113" s="16">
        <v>3</v>
      </c>
      <c r="P2113" s="16">
        <f t="shared" si="227"/>
        <v>10.596205962059623</v>
      </c>
      <c r="Q2113" s="16">
        <f t="shared" si="232"/>
        <v>41.281476082038502</v>
      </c>
      <c r="R2113" s="113">
        <f t="shared" si="228"/>
        <v>345.36</v>
      </c>
      <c r="S2113" s="16">
        <f>IF(S2112=15800,15800,ROUND((((Q2113*60)/'Gearing Calculator'!$C$14)*'Track Data'!P2113),-2))</f>
        <v>13300</v>
      </c>
      <c r="T2113" s="16">
        <f t="shared" si="230"/>
        <v>5.2583296715092471</v>
      </c>
      <c r="U2113" s="16">
        <f>IF(AC2113=100,Braking!$AG$2354,IF(AC2113=50,Braking!$AG$1179,IF(AC2113=75,Braking!$AG$1767,0)))</f>
        <v>0</v>
      </c>
      <c r="V2113" s="16">
        <f>0.5*'Gearing Calculator'!$C$15*'Gearing Calculator'!$C$20*'Gearing Calculator'!$W$20*('Track Data'!Q2113^2)</f>
        <v>180.36832271346125</v>
      </c>
      <c r="W2113" s="16">
        <f>('Gearing Calculator'!$U$9*'Track Data'!T2113)+'Track Data'!V2113</f>
        <v>1580.1356812692229</v>
      </c>
      <c r="X2113" s="16">
        <f>('Gearing Calculator'!$U$9*9.81)*('Gearing Calculator'!$U$16/'Gearing Calculator'!$C$7)-(('Track Data'!W2113)*('Gearing Calculator'!$U$17/'Gearing Calculator'!$C$7))</f>
        <v>539.88044034373297</v>
      </c>
      <c r="Y2113" s="16">
        <f>('Gearing Calculator'!$U$9*9.81)*(('Gearing Calculator'!$C$7-'Gearing Calculator'!$U$16)/'Gearing Calculator'!$C$7)+(('Track Data'!W2113)*('Gearing Calculator'!$U$17/'Gearing Calculator'!$C$7))</f>
        <v>2071.5415596562671</v>
      </c>
      <c r="Z2113" s="16">
        <f>((X2113*COS('Gearing Calculator'!$C$21))/'Gearing Calculator'!$C$22)/2</f>
        <v>16.691395719071824</v>
      </c>
      <c r="AA2113" s="16">
        <f>Y2113/'Gearing Calculator'!$C$24</f>
        <v>28.925668218874538</v>
      </c>
      <c r="AB2113" s="16">
        <f t="shared" si="233"/>
        <v>196.14331172798899</v>
      </c>
      <c r="AC2113" s="16">
        <v>0</v>
      </c>
      <c r="AD2113" s="16">
        <v>-51.415226335993196</v>
      </c>
      <c r="AE2113" s="16">
        <v>2110</v>
      </c>
      <c r="AF2113" s="16">
        <f>IF(AC2113=0,IF(O2113=6,INDEX(Acceleration!$V$4:$V$110,MATCH('Track Data'!S2113,Acceleration!$K$4:$K$110,0)),IF('Track Data'!O2113=5,INDEX(Acceleration!$U$4:$U$110,MATCH('Track Data'!S2113,Acceleration!$K$4:$K$110,0)),1)),U2113)</f>
        <v>1</v>
      </c>
      <c r="AG2113" s="16">
        <f>IF(AC2113=0,IF(O2113=4,INDEX(Acceleration!$T$4:$T$110,MATCH('Track Data'!S2113,Acceleration!$K$4:$K$110,0)),IF('Track Data'!O2113=3,INDEX(Acceleration!$S$4:$S$110,MATCH('Track Data'!S2113,Acceleration!$K$4:$K$110,0)),'Track Data'!AF2113)),'Track Data'!U2113)</f>
        <v>5.2583296715092471</v>
      </c>
      <c r="AH2113" s="16">
        <f>IF(AC2113=0,IF(O2113=2,INDEX(Acceleration!$R$4:$R$110,MATCH('Track Data'!S2113,Acceleration!$K$4:$K$110,0)),IF('Track Data'!O2113=1,INDEX(Acceleration!$Q$4:$Q$110,MATCH('Track Data'!S2113,Acceleration!$K$4:$K$110,0)),'Track Data'!AG2113)),'Track Data'!U2113)</f>
        <v>5.2583296715092471</v>
      </c>
    </row>
    <row r="2114" spans="2:34" x14ac:dyDescent="0.25">
      <c r="B2114" s="16">
        <v>251.166</v>
      </c>
      <c r="C2114" s="16">
        <v>9384</v>
      </c>
      <c r="D2114" s="16">
        <v>2111</v>
      </c>
      <c r="E2114" s="113">
        <v>135</v>
      </c>
      <c r="F2114" s="113">
        <v>129.5</v>
      </c>
      <c r="G2114" s="113">
        <v>117.4</v>
      </c>
      <c r="H2114" s="113">
        <f t="shared" si="229"/>
        <v>32.611111111111114</v>
      </c>
      <c r="I2114" s="113">
        <v>17</v>
      </c>
      <c r="J2114" s="113">
        <v>63.14</v>
      </c>
      <c r="K2114" s="113">
        <v>-37.4</v>
      </c>
      <c r="L2114" s="183"/>
      <c r="M2114" s="16">
        <v>2111</v>
      </c>
      <c r="N2114" s="16">
        <f t="shared" si="231"/>
        <v>2.4223940006716432E-2</v>
      </c>
      <c r="O2114" s="16">
        <v>3</v>
      </c>
      <c r="P2114" s="16">
        <f t="shared" si="227"/>
        <v>10.596205962059623</v>
      </c>
      <c r="Q2114" s="16">
        <f t="shared" si="232"/>
        <v>41.281476082038502</v>
      </c>
      <c r="R2114" s="113">
        <f t="shared" si="228"/>
        <v>345.36</v>
      </c>
      <c r="S2114" s="16">
        <f>IF(S2113=15800,15800,ROUND((((Q2114*60)/'Gearing Calculator'!$C$14)*'Track Data'!P2114),-2))</f>
        <v>13300</v>
      </c>
      <c r="T2114" s="16">
        <f t="shared" si="230"/>
        <v>5.2583296715092471</v>
      </c>
      <c r="U2114" s="16">
        <f>IF(AC2114=100,Braking!$AG$2354,IF(AC2114=50,Braking!$AG$1179,IF(AC2114=75,Braking!$AG$1767,0)))</f>
        <v>0</v>
      </c>
      <c r="V2114" s="16">
        <f>0.5*'Gearing Calculator'!$C$15*'Gearing Calculator'!$C$20*'Gearing Calculator'!$W$20*('Track Data'!Q2114^2)</f>
        <v>180.36832271346125</v>
      </c>
      <c r="W2114" s="16">
        <f>('Gearing Calculator'!$U$9*'Track Data'!T2114)+'Track Data'!V2114</f>
        <v>1580.1356812692229</v>
      </c>
      <c r="X2114" s="16">
        <f>('Gearing Calculator'!$U$9*9.81)*('Gearing Calculator'!$U$16/'Gearing Calculator'!$C$7)-(('Track Data'!W2114)*('Gearing Calculator'!$U$17/'Gearing Calculator'!$C$7))</f>
        <v>539.88044034373297</v>
      </c>
      <c r="Y2114" s="16">
        <f>('Gearing Calculator'!$U$9*9.81)*(('Gearing Calculator'!$C$7-'Gearing Calculator'!$U$16)/'Gearing Calculator'!$C$7)+(('Track Data'!W2114)*('Gearing Calculator'!$U$17/'Gearing Calculator'!$C$7))</f>
        <v>2071.5415596562671</v>
      </c>
      <c r="Z2114" s="16">
        <f>((X2114*COS('Gearing Calculator'!$C$21))/'Gearing Calculator'!$C$22)/2</f>
        <v>16.691395719071824</v>
      </c>
      <c r="AA2114" s="16">
        <f>Y2114/'Gearing Calculator'!$C$24</f>
        <v>28.925668218874538</v>
      </c>
      <c r="AB2114" s="16">
        <f t="shared" si="233"/>
        <v>196.14331172798899</v>
      </c>
      <c r="AC2114" s="16">
        <v>0</v>
      </c>
      <c r="AD2114" s="16">
        <v>-51.415226335993196</v>
      </c>
      <c r="AE2114" s="16">
        <v>2111</v>
      </c>
      <c r="AF2114" s="16">
        <f>IF(AC2114=0,IF(O2114=6,INDEX(Acceleration!$V$4:$V$110,MATCH('Track Data'!S2114,Acceleration!$K$4:$K$110,0)),IF('Track Data'!O2114=5,INDEX(Acceleration!$U$4:$U$110,MATCH('Track Data'!S2114,Acceleration!$K$4:$K$110,0)),1)),U2114)</f>
        <v>1</v>
      </c>
      <c r="AG2114" s="16">
        <f>IF(AC2114=0,IF(O2114=4,INDEX(Acceleration!$T$4:$T$110,MATCH('Track Data'!S2114,Acceleration!$K$4:$K$110,0)),IF('Track Data'!O2114=3,INDEX(Acceleration!$S$4:$S$110,MATCH('Track Data'!S2114,Acceleration!$K$4:$K$110,0)),'Track Data'!AF2114)),'Track Data'!U2114)</f>
        <v>5.2583296715092471</v>
      </c>
      <c r="AH2114" s="16">
        <f>IF(AC2114=0,IF(O2114=2,INDEX(Acceleration!$R$4:$R$110,MATCH('Track Data'!S2114,Acceleration!$K$4:$K$110,0)),IF('Track Data'!O2114=1,INDEX(Acceleration!$Q$4:$Q$110,MATCH('Track Data'!S2114,Acceleration!$K$4:$K$110,0)),'Track Data'!AG2114)),'Track Data'!U2114)</f>
        <v>5.2583296715092471</v>
      </c>
    </row>
    <row r="2115" spans="2:34" x14ac:dyDescent="0.25">
      <c r="B2115" s="16">
        <v>251.19399999999999</v>
      </c>
      <c r="C2115" s="16">
        <v>9385</v>
      </c>
      <c r="D2115" s="16">
        <v>2112</v>
      </c>
      <c r="E2115" s="113">
        <v>134</v>
      </c>
      <c r="F2115" s="113">
        <v>129.6</v>
      </c>
      <c r="G2115" s="113">
        <v>117.3</v>
      </c>
      <c r="H2115" s="113">
        <f t="shared" si="229"/>
        <v>32.583333333333329</v>
      </c>
      <c r="I2115" s="113">
        <v>18</v>
      </c>
      <c r="J2115" s="113">
        <v>67.36</v>
      </c>
      <c r="K2115" s="113">
        <v>-27.6</v>
      </c>
      <c r="L2115" s="183"/>
      <c r="M2115" s="16">
        <v>2112</v>
      </c>
      <c r="N2115" s="16">
        <f t="shared" si="231"/>
        <v>2.4223940006716432E-2</v>
      </c>
      <c r="O2115" s="16">
        <v>3</v>
      </c>
      <c r="P2115" s="16">
        <f t="shared" si="227"/>
        <v>10.596205962059623</v>
      </c>
      <c r="Q2115" s="16">
        <f t="shared" si="232"/>
        <v>41.281476082038502</v>
      </c>
      <c r="R2115" s="113">
        <f t="shared" si="228"/>
        <v>345.36</v>
      </c>
      <c r="S2115" s="16">
        <f>IF(S2114=15800,15800,ROUND((((Q2115*60)/'Gearing Calculator'!$C$14)*'Track Data'!P2115),-2))</f>
        <v>13300</v>
      </c>
      <c r="T2115" s="16">
        <f t="shared" si="230"/>
        <v>5.2583296715092471</v>
      </c>
      <c r="U2115" s="16">
        <f>IF(AC2115=100,Braking!$AG$2354,IF(AC2115=50,Braking!$AG$1179,IF(AC2115=75,Braking!$AG$1767,0)))</f>
        <v>0</v>
      </c>
      <c r="V2115" s="16">
        <f>0.5*'Gearing Calculator'!$C$15*'Gearing Calculator'!$C$20*'Gearing Calculator'!$W$20*('Track Data'!Q2115^2)</f>
        <v>180.36832271346125</v>
      </c>
      <c r="W2115" s="16">
        <f>('Gearing Calculator'!$U$9*'Track Data'!T2115)+'Track Data'!V2115</f>
        <v>1580.1356812692229</v>
      </c>
      <c r="X2115" s="16">
        <f>('Gearing Calculator'!$U$9*9.81)*('Gearing Calculator'!$U$16/'Gearing Calculator'!$C$7)-(('Track Data'!W2115)*('Gearing Calculator'!$U$17/'Gearing Calculator'!$C$7))</f>
        <v>539.88044034373297</v>
      </c>
      <c r="Y2115" s="16">
        <f>('Gearing Calculator'!$U$9*9.81)*(('Gearing Calculator'!$C$7-'Gearing Calculator'!$U$16)/'Gearing Calculator'!$C$7)+(('Track Data'!W2115)*('Gearing Calculator'!$U$17/'Gearing Calculator'!$C$7))</f>
        <v>2071.5415596562671</v>
      </c>
      <c r="Z2115" s="16">
        <f>((X2115*COS('Gearing Calculator'!$C$21))/'Gearing Calculator'!$C$22)/2</f>
        <v>16.691395719071824</v>
      </c>
      <c r="AA2115" s="16">
        <f>Y2115/'Gearing Calculator'!$C$24</f>
        <v>28.925668218874538</v>
      </c>
      <c r="AB2115" s="16">
        <f t="shared" si="233"/>
        <v>196.14331172798899</v>
      </c>
      <c r="AC2115" s="16">
        <v>0</v>
      </c>
      <c r="AD2115" s="16">
        <v>-51.415226335993196</v>
      </c>
      <c r="AE2115" s="16">
        <v>2112</v>
      </c>
      <c r="AF2115" s="16">
        <f>IF(AC2115=0,IF(O2115=6,INDEX(Acceleration!$V$4:$V$110,MATCH('Track Data'!S2115,Acceleration!$K$4:$K$110,0)),IF('Track Data'!O2115=5,INDEX(Acceleration!$U$4:$U$110,MATCH('Track Data'!S2115,Acceleration!$K$4:$K$110,0)),1)),U2115)</f>
        <v>1</v>
      </c>
      <c r="AG2115" s="16">
        <f>IF(AC2115=0,IF(O2115=4,INDEX(Acceleration!$T$4:$T$110,MATCH('Track Data'!S2115,Acceleration!$K$4:$K$110,0)),IF('Track Data'!O2115=3,INDEX(Acceleration!$S$4:$S$110,MATCH('Track Data'!S2115,Acceleration!$K$4:$K$110,0)),'Track Data'!AF2115)),'Track Data'!U2115)</f>
        <v>5.2583296715092471</v>
      </c>
      <c r="AH2115" s="16">
        <f>IF(AC2115=0,IF(O2115=2,INDEX(Acceleration!$R$4:$R$110,MATCH('Track Data'!S2115,Acceleration!$K$4:$K$110,0)),IF('Track Data'!O2115=1,INDEX(Acceleration!$Q$4:$Q$110,MATCH('Track Data'!S2115,Acceleration!$K$4:$K$110,0)),'Track Data'!AG2115)),'Track Data'!U2115)</f>
        <v>5.2583296715092471</v>
      </c>
    </row>
    <row r="2116" spans="2:34" x14ac:dyDescent="0.25">
      <c r="B2116" s="16">
        <v>251.221</v>
      </c>
      <c r="C2116" s="16">
        <v>9386</v>
      </c>
      <c r="D2116" s="16">
        <v>2113</v>
      </c>
      <c r="E2116" s="113">
        <v>135</v>
      </c>
      <c r="F2116" s="113">
        <v>129.6</v>
      </c>
      <c r="G2116" s="113">
        <v>117.2</v>
      </c>
      <c r="H2116" s="113">
        <f t="shared" si="229"/>
        <v>32.555555555555557</v>
      </c>
      <c r="I2116" s="113">
        <v>18</v>
      </c>
      <c r="J2116" s="113">
        <v>63.92</v>
      </c>
      <c r="K2116" s="113">
        <v>-35.799999999999997</v>
      </c>
      <c r="L2116" s="183"/>
      <c r="M2116" s="16">
        <v>2113</v>
      </c>
      <c r="N2116" s="16">
        <f t="shared" si="231"/>
        <v>2.4223940006716432E-2</v>
      </c>
      <c r="O2116" s="16">
        <v>3</v>
      </c>
      <c r="P2116" s="16">
        <f t="shared" ref="P2116:P2179" si="234">VLOOKUP(O2116,$AJ$5:$AK$10,2,FALSE)</f>
        <v>10.596205962059623</v>
      </c>
      <c r="Q2116" s="16">
        <f t="shared" si="232"/>
        <v>41.281476082038502</v>
      </c>
      <c r="R2116" s="113">
        <f t="shared" ref="R2116:R2179" si="235">VLOOKUP(O2116,$AJ$5:$AL$10,3,FALSE)</f>
        <v>345.36</v>
      </c>
      <c r="S2116" s="16">
        <f>IF(S2115=15800,15800,ROUND((((Q2116*60)/'Gearing Calculator'!$C$14)*'Track Data'!P2116),-2))</f>
        <v>13300</v>
      </c>
      <c r="T2116" s="16">
        <f t="shared" si="230"/>
        <v>5.2583296715092471</v>
      </c>
      <c r="U2116" s="16">
        <f>IF(AC2116=100,Braking!$AG$2354,IF(AC2116=50,Braking!$AG$1179,IF(AC2116=75,Braking!$AG$1767,0)))</f>
        <v>0</v>
      </c>
      <c r="V2116" s="16">
        <f>0.5*'Gearing Calculator'!$C$15*'Gearing Calculator'!$C$20*'Gearing Calculator'!$W$20*('Track Data'!Q2116^2)</f>
        <v>180.36832271346125</v>
      </c>
      <c r="W2116" s="16">
        <f>('Gearing Calculator'!$U$9*'Track Data'!T2116)+'Track Data'!V2116</f>
        <v>1580.1356812692229</v>
      </c>
      <c r="X2116" s="16">
        <f>('Gearing Calculator'!$U$9*9.81)*('Gearing Calculator'!$U$16/'Gearing Calculator'!$C$7)-(('Track Data'!W2116)*('Gearing Calculator'!$U$17/'Gearing Calculator'!$C$7))</f>
        <v>539.88044034373297</v>
      </c>
      <c r="Y2116" s="16">
        <f>('Gearing Calculator'!$U$9*9.81)*(('Gearing Calculator'!$C$7-'Gearing Calculator'!$U$16)/'Gearing Calculator'!$C$7)+(('Track Data'!W2116)*('Gearing Calculator'!$U$17/'Gearing Calculator'!$C$7))</f>
        <v>2071.5415596562671</v>
      </c>
      <c r="Z2116" s="16">
        <f>((X2116*COS('Gearing Calculator'!$C$21))/'Gearing Calculator'!$C$22)/2</f>
        <v>16.691395719071824</v>
      </c>
      <c r="AA2116" s="16">
        <f>Y2116/'Gearing Calculator'!$C$24</f>
        <v>28.925668218874538</v>
      </c>
      <c r="AB2116" s="16">
        <f t="shared" si="233"/>
        <v>196.14331172798899</v>
      </c>
      <c r="AC2116" s="16">
        <v>0</v>
      </c>
      <c r="AD2116" s="16">
        <v>-51.415226335993196</v>
      </c>
      <c r="AE2116" s="16">
        <v>2113</v>
      </c>
      <c r="AF2116" s="16">
        <f>IF(AC2116=0,IF(O2116=6,INDEX(Acceleration!$V$4:$V$110,MATCH('Track Data'!S2116,Acceleration!$K$4:$K$110,0)),IF('Track Data'!O2116=5,INDEX(Acceleration!$U$4:$U$110,MATCH('Track Data'!S2116,Acceleration!$K$4:$K$110,0)),1)),U2116)</f>
        <v>1</v>
      </c>
      <c r="AG2116" s="16">
        <f>IF(AC2116=0,IF(O2116=4,INDEX(Acceleration!$T$4:$T$110,MATCH('Track Data'!S2116,Acceleration!$K$4:$K$110,0)),IF('Track Data'!O2116=3,INDEX(Acceleration!$S$4:$S$110,MATCH('Track Data'!S2116,Acceleration!$K$4:$K$110,0)),'Track Data'!AF2116)),'Track Data'!U2116)</f>
        <v>5.2583296715092471</v>
      </c>
      <c r="AH2116" s="16">
        <f>IF(AC2116=0,IF(O2116=2,INDEX(Acceleration!$R$4:$R$110,MATCH('Track Data'!S2116,Acceleration!$K$4:$K$110,0)),IF('Track Data'!O2116=1,INDEX(Acceleration!$Q$4:$Q$110,MATCH('Track Data'!S2116,Acceleration!$K$4:$K$110,0)),'Track Data'!AG2116)),'Track Data'!U2116)</f>
        <v>5.2583296715092471</v>
      </c>
    </row>
    <row r="2117" spans="2:34" x14ac:dyDescent="0.25">
      <c r="B2117" s="16">
        <v>251.249</v>
      </c>
      <c r="C2117" s="16">
        <v>9387</v>
      </c>
      <c r="D2117" s="16">
        <v>2114</v>
      </c>
      <c r="E2117" s="113">
        <v>135</v>
      </c>
      <c r="F2117" s="113">
        <v>129.5</v>
      </c>
      <c r="G2117" s="113">
        <v>117.1</v>
      </c>
      <c r="H2117" s="113">
        <f t="shared" ref="H2117:H2180" si="236">G2117/3.6</f>
        <v>32.527777777777779</v>
      </c>
      <c r="I2117" s="113">
        <v>18</v>
      </c>
      <c r="J2117" s="113">
        <v>63.61</v>
      </c>
      <c r="K2117" s="113">
        <v>-44.3</v>
      </c>
      <c r="L2117" s="183"/>
      <c r="M2117" s="16">
        <v>2114</v>
      </c>
      <c r="N2117" s="16">
        <f t="shared" si="231"/>
        <v>2.4223940006716432E-2</v>
      </c>
      <c r="O2117" s="16">
        <v>3</v>
      </c>
      <c r="P2117" s="16">
        <f t="shared" si="234"/>
        <v>10.596205962059623</v>
      </c>
      <c r="Q2117" s="16">
        <f t="shared" si="232"/>
        <v>41.281476082038502</v>
      </c>
      <c r="R2117" s="113">
        <f t="shared" si="235"/>
        <v>345.36</v>
      </c>
      <c r="S2117" s="16">
        <f>IF(S2116=15800,15800,ROUND((((Q2117*60)/'Gearing Calculator'!$C$14)*'Track Data'!P2117),-2))</f>
        <v>13300</v>
      </c>
      <c r="T2117" s="16">
        <f t="shared" ref="T2117:T2180" si="237">AH2117</f>
        <v>5.2583296715092471</v>
      </c>
      <c r="U2117" s="16">
        <f>IF(AC2117=100,Braking!$AG$2354,IF(AC2117=50,Braking!$AG$1179,IF(AC2117=75,Braking!$AG$1767,0)))</f>
        <v>0</v>
      </c>
      <c r="V2117" s="16">
        <f>0.5*'Gearing Calculator'!$C$15*'Gearing Calculator'!$C$20*'Gearing Calculator'!$W$20*('Track Data'!Q2117^2)</f>
        <v>180.36832271346125</v>
      </c>
      <c r="W2117" s="16">
        <f>('Gearing Calculator'!$U$9*'Track Data'!T2117)+'Track Data'!V2117</f>
        <v>1580.1356812692229</v>
      </c>
      <c r="X2117" s="16">
        <f>('Gearing Calculator'!$U$9*9.81)*('Gearing Calculator'!$U$16/'Gearing Calculator'!$C$7)-(('Track Data'!W2117)*('Gearing Calculator'!$U$17/'Gearing Calculator'!$C$7))</f>
        <v>539.88044034373297</v>
      </c>
      <c r="Y2117" s="16">
        <f>('Gearing Calculator'!$U$9*9.81)*(('Gearing Calculator'!$C$7-'Gearing Calculator'!$U$16)/'Gearing Calculator'!$C$7)+(('Track Data'!W2117)*('Gearing Calculator'!$U$17/'Gearing Calculator'!$C$7))</f>
        <v>2071.5415596562671</v>
      </c>
      <c r="Z2117" s="16">
        <f>((X2117*COS('Gearing Calculator'!$C$21))/'Gearing Calculator'!$C$22)/2</f>
        <v>16.691395719071824</v>
      </c>
      <c r="AA2117" s="16">
        <f>Y2117/'Gearing Calculator'!$C$24</f>
        <v>28.925668218874538</v>
      </c>
      <c r="AB2117" s="16">
        <f t="shared" si="233"/>
        <v>196.14331172798899</v>
      </c>
      <c r="AC2117" s="16">
        <v>0</v>
      </c>
      <c r="AD2117" s="16">
        <v>-51.415226335993196</v>
      </c>
      <c r="AE2117" s="16">
        <v>2114</v>
      </c>
      <c r="AF2117" s="16">
        <f>IF(AC2117=0,IF(O2117=6,INDEX(Acceleration!$V$4:$V$110,MATCH('Track Data'!S2117,Acceleration!$K$4:$K$110,0)),IF('Track Data'!O2117=5,INDEX(Acceleration!$U$4:$U$110,MATCH('Track Data'!S2117,Acceleration!$K$4:$K$110,0)),1)),U2117)</f>
        <v>1</v>
      </c>
      <c r="AG2117" s="16">
        <f>IF(AC2117=0,IF(O2117=4,INDEX(Acceleration!$T$4:$T$110,MATCH('Track Data'!S2117,Acceleration!$K$4:$K$110,0)),IF('Track Data'!O2117=3,INDEX(Acceleration!$S$4:$S$110,MATCH('Track Data'!S2117,Acceleration!$K$4:$K$110,0)),'Track Data'!AF2117)),'Track Data'!U2117)</f>
        <v>5.2583296715092471</v>
      </c>
      <c r="AH2117" s="16">
        <f>IF(AC2117=0,IF(O2117=2,INDEX(Acceleration!$R$4:$R$110,MATCH('Track Data'!S2117,Acceleration!$K$4:$K$110,0)),IF('Track Data'!O2117=1,INDEX(Acceleration!$Q$4:$Q$110,MATCH('Track Data'!S2117,Acceleration!$K$4:$K$110,0)),'Track Data'!AG2117)),'Track Data'!U2117)</f>
        <v>5.2583296715092471</v>
      </c>
    </row>
    <row r="2118" spans="2:34" x14ac:dyDescent="0.25">
      <c r="B2118" s="16">
        <v>251.27699999999999</v>
      </c>
      <c r="C2118" s="16">
        <v>9388</v>
      </c>
      <c r="D2118" s="16">
        <v>2115</v>
      </c>
      <c r="E2118" s="113">
        <v>134</v>
      </c>
      <c r="F2118" s="113">
        <v>129.5</v>
      </c>
      <c r="G2118" s="113">
        <v>117.1</v>
      </c>
      <c r="H2118" s="113">
        <f t="shared" si="236"/>
        <v>32.527777777777779</v>
      </c>
      <c r="I2118" s="113">
        <v>17.899999999999999</v>
      </c>
      <c r="J2118" s="113">
        <v>61.96</v>
      </c>
      <c r="K2118" s="113">
        <v>-57.2</v>
      </c>
      <c r="L2118" s="183"/>
      <c r="M2118" s="16">
        <v>2115</v>
      </c>
      <c r="N2118" s="16">
        <f t="shared" ref="N2118:N2181" si="238">1/Q2118</f>
        <v>2.4223940006716432E-2</v>
      </c>
      <c r="O2118" s="16">
        <v>3</v>
      </c>
      <c r="P2118" s="16">
        <f t="shared" si="234"/>
        <v>10.596205962059623</v>
      </c>
      <c r="Q2118" s="16">
        <f t="shared" ref="Q2118:Q2181" si="239">IF(AD2117=0,SQRT(Q2117^2+(2*T2117)),Q2117)</f>
        <v>41.281476082038502</v>
      </c>
      <c r="R2118" s="113">
        <f t="shared" si="235"/>
        <v>345.36</v>
      </c>
      <c r="S2118" s="16">
        <f>IF(S2117=15800,15800,ROUND((((Q2118*60)/'Gearing Calculator'!$C$14)*'Track Data'!P2118),-2))</f>
        <v>13300</v>
      </c>
      <c r="T2118" s="16">
        <f t="shared" si="237"/>
        <v>5.2583296715092471</v>
      </c>
      <c r="U2118" s="16">
        <f>IF(AC2118=100,Braking!$AG$2354,IF(AC2118=50,Braking!$AG$1179,IF(AC2118=75,Braking!$AG$1767,0)))</f>
        <v>0</v>
      </c>
      <c r="V2118" s="16">
        <f>0.5*'Gearing Calculator'!$C$15*'Gearing Calculator'!$C$20*'Gearing Calculator'!$W$20*('Track Data'!Q2118^2)</f>
        <v>180.36832271346125</v>
      </c>
      <c r="W2118" s="16">
        <f>('Gearing Calculator'!$U$9*'Track Data'!T2118)+'Track Data'!V2118</f>
        <v>1580.1356812692229</v>
      </c>
      <c r="X2118" s="16">
        <f>('Gearing Calculator'!$U$9*9.81)*('Gearing Calculator'!$U$16/'Gearing Calculator'!$C$7)-(('Track Data'!W2118)*('Gearing Calculator'!$U$17/'Gearing Calculator'!$C$7))</f>
        <v>539.88044034373297</v>
      </c>
      <c r="Y2118" s="16">
        <f>('Gearing Calculator'!$U$9*9.81)*(('Gearing Calculator'!$C$7-'Gearing Calculator'!$U$16)/'Gearing Calculator'!$C$7)+(('Track Data'!W2118)*('Gearing Calculator'!$U$17/'Gearing Calculator'!$C$7))</f>
        <v>2071.5415596562671</v>
      </c>
      <c r="Z2118" s="16">
        <f>((X2118*COS('Gearing Calculator'!$C$21))/'Gearing Calculator'!$C$22)/2</f>
        <v>16.691395719071824</v>
      </c>
      <c r="AA2118" s="16">
        <f>Y2118/'Gearing Calculator'!$C$24</f>
        <v>28.925668218874538</v>
      </c>
      <c r="AB2118" s="16">
        <f t="shared" si="233"/>
        <v>196.14331172798899</v>
      </c>
      <c r="AC2118" s="16">
        <v>0</v>
      </c>
      <c r="AD2118" s="16">
        <v>-51.415226335993196</v>
      </c>
      <c r="AE2118" s="16">
        <v>2115</v>
      </c>
      <c r="AF2118" s="16">
        <f>IF(AC2118=0,IF(O2118=6,INDEX(Acceleration!$V$4:$V$110,MATCH('Track Data'!S2118,Acceleration!$K$4:$K$110,0)),IF('Track Data'!O2118=5,INDEX(Acceleration!$U$4:$U$110,MATCH('Track Data'!S2118,Acceleration!$K$4:$K$110,0)),1)),U2118)</f>
        <v>1</v>
      </c>
      <c r="AG2118" s="16">
        <f>IF(AC2118=0,IF(O2118=4,INDEX(Acceleration!$T$4:$T$110,MATCH('Track Data'!S2118,Acceleration!$K$4:$K$110,0)),IF('Track Data'!O2118=3,INDEX(Acceleration!$S$4:$S$110,MATCH('Track Data'!S2118,Acceleration!$K$4:$K$110,0)),'Track Data'!AF2118)),'Track Data'!U2118)</f>
        <v>5.2583296715092471</v>
      </c>
      <c r="AH2118" s="16">
        <f>IF(AC2118=0,IF(O2118=2,INDEX(Acceleration!$R$4:$R$110,MATCH('Track Data'!S2118,Acceleration!$K$4:$K$110,0)),IF('Track Data'!O2118=1,INDEX(Acceleration!$Q$4:$Q$110,MATCH('Track Data'!S2118,Acceleration!$K$4:$K$110,0)),'Track Data'!AG2118)),'Track Data'!U2118)</f>
        <v>5.2583296715092471</v>
      </c>
    </row>
    <row r="2119" spans="2:34" x14ac:dyDescent="0.25">
      <c r="B2119" s="16">
        <v>251.304</v>
      </c>
      <c r="C2119" s="16">
        <v>9389</v>
      </c>
      <c r="D2119" s="16">
        <v>2116</v>
      </c>
      <c r="E2119" s="113">
        <v>135</v>
      </c>
      <c r="F2119" s="113">
        <v>129.4</v>
      </c>
      <c r="G2119" s="113">
        <v>117</v>
      </c>
      <c r="H2119" s="113">
        <f t="shared" si="236"/>
        <v>32.5</v>
      </c>
      <c r="I2119" s="113">
        <v>17.2</v>
      </c>
      <c r="J2119" s="113">
        <v>60.79</v>
      </c>
      <c r="K2119" s="113">
        <v>-60</v>
      </c>
      <c r="L2119" s="183"/>
      <c r="M2119" s="16">
        <v>2116</v>
      </c>
      <c r="N2119" s="16">
        <f t="shared" si="238"/>
        <v>2.4223940006716432E-2</v>
      </c>
      <c r="O2119" s="16">
        <v>3</v>
      </c>
      <c r="P2119" s="16">
        <f t="shared" si="234"/>
        <v>10.596205962059623</v>
      </c>
      <c r="Q2119" s="16">
        <f t="shared" si="239"/>
        <v>41.281476082038502</v>
      </c>
      <c r="R2119" s="113">
        <f t="shared" si="235"/>
        <v>345.36</v>
      </c>
      <c r="S2119" s="16">
        <f>IF(S2118=15800,15800,ROUND((((Q2119*60)/'Gearing Calculator'!$C$14)*'Track Data'!P2119),-2))</f>
        <v>13300</v>
      </c>
      <c r="T2119" s="16">
        <f t="shared" si="237"/>
        <v>5.2583296715092471</v>
      </c>
      <c r="U2119" s="16">
        <f>IF(AC2119=100,Braking!$AG$2354,IF(AC2119=50,Braking!$AG$1179,IF(AC2119=75,Braking!$AG$1767,0)))</f>
        <v>0</v>
      </c>
      <c r="V2119" s="16">
        <f>0.5*'Gearing Calculator'!$C$15*'Gearing Calculator'!$C$20*'Gearing Calculator'!$W$20*('Track Data'!Q2119^2)</f>
        <v>180.36832271346125</v>
      </c>
      <c r="W2119" s="16">
        <f>('Gearing Calculator'!$U$9*'Track Data'!T2119)+'Track Data'!V2119</f>
        <v>1580.1356812692229</v>
      </c>
      <c r="X2119" s="16">
        <f>('Gearing Calculator'!$U$9*9.81)*('Gearing Calculator'!$U$16/'Gearing Calculator'!$C$7)-(('Track Data'!W2119)*('Gearing Calculator'!$U$17/'Gearing Calculator'!$C$7))</f>
        <v>539.88044034373297</v>
      </c>
      <c r="Y2119" s="16">
        <f>('Gearing Calculator'!$U$9*9.81)*(('Gearing Calculator'!$C$7-'Gearing Calculator'!$U$16)/'Gearing Calculator'!$C$7)+(('Track Data'!W2119)*('Gearing Calculator'!$U$17/'Gearing Calculator'!$C$7))</f>
        <v>2071.5415596562671</v>
      </c>
      <c r="Z2119" s="16">
        <f>((X2119*COS('Gearing Calculator'!$C$21))/'Gearing Calculator'!$C$22)/2</f>
        <v>16.691395719071824</v>
      </c>
      <c r="AA2119" s="16">
        <f>Y2119/'Gearing Calculator'!$C$24</f>
        <v>28.925668218874538</v>
      </c>
      <c r="AB2119" s="16">
        <f t="shared" si="233"/>
        <v>196.14331172798899</v>
      </c>
      <c r="AC2119" s="16">
        <v>0</v>
      </c>
      <c r="AD2119" s="16">
        <v>-51.415226335993196</v>
      </c>
      <c r="AE2119" s="16">
        <v>2116</v>
      </c>
      <c r="AF2119" s="16">
        <f>IF(AC2119=0,IF(O2119=6,INDEX(Acceleration!$V$4:$V$110,MATCH('Track Data'!S2119,Acceleration!$K$4:$K$110,0)),IF('Track Data'!O2119=5,INDEX(Acceleration!$U$4:$U$110,MATCH('Track Data'!S2119,Acceleration!$K$4:$K$110,0)),1)),U2119)</f>
        <v>1</v>
      </c>
      <c r="AG2119" s="16">
        <f>IF(AC2119=0,IF(O2119=4,INDEX(Acceleration!$T$4:$T$110,MATCH('Track Data'!S2119,Acceleration!$K$4:$K$110,0)),IF('Track Data'!O2119=3,INDEX(Acceleration!$S$4:$S$110,MATCH('Track Data'!S2119,Acceleration!$K$4:$K$110,0)),'Track Data'!AF2119)),'Track Data'!U2119)</f>
        <v>5.2583296715092471</v>
      </c>
      <c r="AH2119" s="16">
        <f>IF(AC2119=0,IF(O2119=2,INDEX(Acceleration!$R$4:$R$110,MATCH('Track Data'!S2119,Acceleration!$K$4:$K$110,0)),IF('Track Data'!O2119=1,INDEX(Acceleration!$Q$4:$Q$110,MATCH('Track Data'!S2119,Acceleration!$K$4:$K$110,0)),'Track Data'!AG2119)),'Track Data'!U2119)</f>
        <v>5.2583296715092471</v>
      </c>
    </row>
    <row r="2120" spans="2:34" x14ac:dyDescent="0.25">
      <c r="B2120" s="16">
        <v>251.333</v>
      </c>
      <c r="C2120" s="16">
        <v>9390</v>
      </c>
      <c r="D2120" s="16">
        <v>2117</v>
      </c>
      <c r="E2120" s="113">
        <v>135</v>
      </c>
      <c r="F2120" s="113">
        <v>129.1</v>
      </c>
      <c r="G2120" s="113">
        <v>116.9</v>
      </c>
      <c r="H2120" s="113">
        <f t="shared" si="236"/>
        <v>32.472222222222221</v>
      </c>
      <c r="I2120" s="113">
        <v>16.7</v>
      </c>
      <c r="J2120" s="113">
        <v>60.76</v>
      </c>
      <c r="K2120" s="113">
        <v>-60</v>
      </c>
      <c r="L2120" s="183"/>
      <c r="M2120" s="16">
        <v>2117</v>
      </c>
      <c r="N2120" s="16">
        <f t="shared" si="238"/>
        <v>2.4223940006716432E-2</v>
      </c>
      <c r="O2120" s="16">
        <v>3</v>
      </c>
      <c r="P2120" s="16">
        <f t="shared" si="234"/>
        <v>10.596205962059623</v>
      </c>
      <c r="Q2120" s="16">
        <f t="shared" si="239"/>
        <v>41.281476082038502</v>
      </c>
      <c r="R2120" s="113">
        <f t="shared" si="235"/>
        <v>345.36</v>
      </c>
      <c r="S2120" s="16">
        <f>IF(S2119=15800,15800,ROUND((((Q2120*60)/'Gearing Calculator'!$C$14)*'Track Data'!P2120),-2))</f>
        <v>13300</v>
      </c>
      <c r="T2120" s="16">
        <f t="shared" si="237"/>
        <v>5.2583296715092471</v>
      </c>
      <c r="U2120" s="16">
        <f>IF(AC2120=100,Braking!$AG$2354,IF(AC2120=50,Braking!$AG$1179,IF(AC2120=75,Braking!$AG$1767,0)))</f>
        <v>0</v>
      </c>
      <c r="V2120" s="16">
        <f>0.5*'Gearing Calculator'!$C$15*'Gearing Calculator'!$C$20*'Gearing Calculator'!$W$20*('Track Data'!Q2120^2)</f>
        <v>180.36832271346125</v>
      </c>
      <c r="W2120" s="16">
        <f>('Gearing Calculator'!$U$9*'Track Data'!T2120)+'Track Data'!V2120</f>
        <v>1580.1356812692229</v>
      </c>
      <c r="X2120" s="16">
        <f>('Gearing Calculator'!$U$9*9.81)*('Gearing Calculator'!$U$16/'Gearing Calculator'!$C$7)-(('Track Data'!W2120)*('Gearing Calculator'!$U$17/'Gearing Calculator'!$C$7))</f>
        <v>539.88044034373297</v>
      </c>
      <c r="Y2120" s="16">
        <f>('Gearing Calculator'!$U$9*9.81)*(('Gearing Calculator'!$C$7-'Gearing Calculator'!$U$16)/'Gearing Calculator'!$C$7)+(('Track Data'!W2120)*('Gearing Calculator'!$U$17/'Gearing Calculator'!$C$7))</f>
        <v>2071.5415596562671</v>
      </c>
      <c r="Z2120" s="16">
        <f>((X2120*COS('Gearing Calculator'!$C$21))/'Gearing Calculator'!$C$22)/2</f>
        <v>16.691395719071824</v>
      </c>
      <c r="AA2120" s="16">
        <f>Y2120/'Gearing Calculator'!$C$24</f>
        <v>28.925668218874538</v>
      </c>
      <c r="AB2120" s="16">
        <f t="shared" si="233"/>
        <v>196.14331172798899</v>
      </c>
      <c r="AC2120" s="16">
        <v>0</v>
      </c>
      <c r="AD2120" s="16">
        <v>-51.415226335993196</v>
      </c>
      <c r="AE2120" s="16">
        <v>2117</v>
      </c>
      <c r="AF2120" s="16">
        <f>IF(AC2120=0,IF(O2120=6,INDEX(Acceleration!$V$4:$V$110,MATCH('Track Data'!S2120,Acceleration!$K$4:$K$110,0)),IF('Track Data'!O2120=5,INDEX(Acceleration!$U$4:$U$110,MATCH('Track Data'!S2120,Acceleration!$K$4:$K$110,0)),1)),U2120)</f>
        <v>1</v>
      </c>
      <c r="AG2120" s="16">
        <f>IF(AC2120=0,IF(O2120=4,INDEX(Acceleration!$T$4:$T$110,MATCH('Track Data'!S2120,Acceleration!$K$4:$K$110,0)),IF('Track Data'!O2120=3,INDEX(Acceleration!$S$4:$S$110,MATCH('Track Data'!S2120,Acceleration!$K$4:$K$110,0)),'Track Data'!AF2120)),'Track Data'!U2120)</f>
        <v>5.2583296715092471</v>
      </c>
      <c r="AH2120" s="16">
        <f>IF(AC2120=0,IF(O2120=2,INDEX(Acceleration!$R$4:$R$110,MATCH('Track Data'!S2120,Acceleration!$K$4:$K$110,0)),IF('Track Data'!O2120=1,INDEX(Acceleration!$Q$4:$Q$110,MATCH('Track Data'!S2120,Acceleration!$K$4:$K$110,0)),'Track Data'!AG2120)),'Track Data'!U2120)</f>
        <v>5.2583296715092471</v>
      </c>
    </row>
    <row r="2121" spans="2:34" x14ac:dyDescent="0.25">
      <c r="B2121" s="16">
        <v>251.36</v>
      </c>
      <c r="C2121" s="16">
        <v>9391</v>
      </c>
      <c r="D2121" s="16">
        <v>2118</v>
      </c>
      <c r="E2121" s="113">
        <v>135</v>
      </c>
      <c r="F2121" s="113">
        <v>128.69999999999999</v>
      </c>
      <c r="G2121" s="113">
        <v>117</v>
      </c>
      <c r="H2121" s="113">
        <f t="shared" si="236"/>
        <v>32.5</v>
      </c>
      <c r="I2121" s="113">
        <v>16.7</v>
      </c>
      <c r="J2121" s="113">
        <v>57.86</v>
      </c>
      <c r="K2121" s="113">
        <v>-60.1</v>
      </c>
      <c r="L2121" s="183"/>
      <c r="M2121" s="16">
        <v>2118</v>
      </c>
      <c r="N2121" s="16">
        <f t="shared" si="238"/>
        <v>2.4223940006716432E-2</v>
      </c>
      <c r="O2121" s="16">
        <v>3</v>
      </c>
      <c r="P2121" s="16">
        <f t="shared" si="234"/>
        <v>10.596205962059623</v>
      </c>
      <c r="Q2121" s="16">
        <f t="shared" si="239"/>
        <v>41.281476082038502</v>
      </c>
      <c r="R2121" s="113">
        <f t="shared" si="235"/>
        <v>345.36</v>
      </c>
      <c r="S2121" s="16">
        <f>IF(S2120=15800,15800,ROUND((((Q2121*60)/'Gearing Calculator'!$C$14)*'Track Data'!P2121),-2))</f>
        <v>13300</v>
      </c>
      <c r="T2121" s="16">
        <f t="shared" si="237"/>
        <v>5.2583296715092471</v>
      </c>
      <c r="U2121" s="16">
        <f>IF(AC2121=100,Braking!$AG$2354,IF(AC2121=50,Braking!$AG$1179,IF(AC2121=75,Braking!$AG$1767,0)))</f>
        <v>0</v>
      </c>
      <c r="V2121" s="16">
        <f>0.5*'Gearing Calculator'!$C$15*'Gearing Calculator'!$C$20*'Gearing Calculator'!$W$20*('Track Data'!Q2121^2)</f>
        <v>180.36832271346125</v>
      </c>
      <c r="W2121" s="16">
        <f>('Gearing Calculator'!$U$9*'Track Data'!T2121)+'Track Data'!V2121</f>
        <v>1580.1356812692229</v>
      </c>
      <c r="X2121" s="16">
        <f>('Gearing Calculator'!$U$9*9.81)*('Gearing Calculator'!$U$16/'Gearing Calculator'!$C$7)-(('Track Data'!W2121)*('Gearing Calculator'!$U$17/'Gearing Calculator'!$C$7))</f>
        <v>539.88044034373297</v>
      </c>
      <c r="Y2121" s="16">
        <f>('Gearing Calculator'!$U$9*9.81)*(('Gearing Calculator'!$C$7-'Gearing Calculator'!$U$16)/'Gearing Calculator'!$C$7)+(('Track Data'!W2121)*('Gearing Calculator'!$U$17/'Gearing Calculator'!$C$7))</f>
        <v>2071.5415596562671</v>
      </c>
      <c r="Z2121" s="16">
        <f>((X2121*COS('Gearing Calculator'!$C$21))/'Gearing Calculator'!$C$22)/2</f>
        <v>16.691395719071824</v>
      </c>
      <c r="AA2121" s="16">
        <f>Y2121/'Gearing Calculator'!$C$24</f>
        <v>28.925668218874538</v>
      </c>
      <c r="AB2121" s="16">
        <f t="shared" si="233"/>
        <v>196.14331172798899</v>
      </c>
      <c r="AC2121" s="16">
        <v>0</v>
      </c>
      <c r="AD2121" s="16">
        <v>-51.415226335993196</v>
      </c>
      <c r="AE2121" s="16">
        <v>2118</v>
      </c>
      <c r="AF2121" s="16">
        <f>IF(AC2121=0,IF(O2121=6,INDEX(Acceleration!$V$4:$V$110,MATCH('Track Data'!S2121,Acceleration!$K$4:$K$110,0)),IF('Track Data'!O2121=5,INDEX(Acceleration!$U$4:$U$110,MATCH('Track Data'!S2121,Acceleration!$K$4:$K$110,0)),1)),U2121)</f>
        <v>1</v>
      </c>
      <c r="AG2121" s="16">
        <f>IF(AC2121=0,IF(O2121=4,INDEX(Acceleration!$T$4:$T$110,MATCH('Track Data'!S2121,Acceleration!$K$4:$K$110,0)),IF('Track Data'!O2121=3,INDEX(Acceleration!$S$4:$S$110,MATCH('Track Data'!S2121,Acceleration!$K$4:$K$110,0)),'Track Data'!AF2121)),'Track Data'!U2121)</f>
        <v>5.2583296715092471</v>
      </c>
      <c r="AH2121" s="16">
        <f>IF(AC2121=0,IF(O2121=2,INDEX(Acceleration!$R$4:$R$110,MATCH('Track Data'!S2121,Acceleration!$K$4:$K$110,0)),IF('Track Data'!O2121=1,INDEX(Acceleration!$Q$4:$Q$110,MATCH('Track Data'!S2121,Acceleration!$K$4:$K$110,0)),'Track Data'!AG2121)),'Track Data'!U2121)</f>
        <v>5.2583296715092471</v>
      </c>
    </row>
    <row r="2122" spans="2:34" x14ac:dyDescent="0.25">
      <c r="B2122" s="16">
        <v>251.38800000000001</v>
      </c>
      <c r="C2122" s="16">
        <v>9392</v>
      </c>
      <c r="D2122" s="16">
        <v>2119</v>
      </c>
      <c r="E2122" s="113">
        <v>135</v>
      </c>
      <c r="F2122" s="113">
        <v>128.6</v>
      </c>
      <c r="G2122" s="113">
        <v>117</v>
      </c>
      <c r="H2122" s="113">
        <f t="shared" si="236"/>
        <v>32.5</v>
      </c>
      <c r="I2122" s="113">
        <v>17.100000000000001</v>
      </c>
      <c r="J2122" s="113">
        <v>55.05</v>
      </c>
      <c r="K2122" s="113">
        <v>-60.1</v>
      </c>
      <c r="L2122" s="183"/>
      <c r="M2122" s="16">
        <v>2119</v>
      </c>
      <c r="N2122" s="16">
        <f t="shared" si="238"/>
        <v>2.4223940006716432E-2</v>
      </c>
      <c r="O2122" s="16">
        <v>3</v>
      </c>
      <c r="P2122" s="16">
        <f t="shared" si="234"/>
        <v>10.596205962059623</v>
      </c>
      <c r="Q2122" s="16">
        <f t="shared" si="239"/>
        <v>41.281476082038502</v>
      </c>
      <c r="R2122" s="113">
        <f t="shared" si="235"/>
        <v>345.36</v>
      </c>
      <c r="S2122" s="16">
        <f>IF(S2121=15800,15800,ROUND((((Q2122*60)/'Gearing Calculator'!$C$14)*'Track Data'!P2122),-2))</f>
        <v>13300</v>
      </c>
      <c r="T2122" s="16">
        <f t="shared" si="237"/>
        <v>5.2583296715092471</v>
      </c>
      <c r="U2122" s="16">
        <f>IF(AC2122=100,Braking!$AG$2354,IF(AC2122=50,Braking!$AG$1179,IF(AC2122=75,Braking!$AG$1767,0)))</f>
        <v>0</v>
      </c>
      <c r="V2122" s="16">
        <f>0.5*'Gearing Calculator'!$C$15*'Gearing Calculator'!$C$20*'Gearing Calculator'!$W$20*('Track Data'!Q2122^2)</f>
        <v>180.36832271346125</v>
      </c>
      <c r="W2122" s="16">
        <f>('Gearing Calculator'!$U$9*'Track Data'!T2122)+'Track Data'!V2122</f>
        <v>1580.1356812692229</v>
      </c>
      <c r="X2122" s="16">
        <f>('Gearing Calculator'!$U$9*9.81)*('Gearing Calculator'!$U$16/'Gearing Calculator'!$C$7)-(('Track Data'!W2122)*('Gearing Calculator'!$U$17/'Gearing Calculator'!$C$7))</f>
        <v>539.88044034373297</v>
      </c>
      <c r="Y2122" s="16">
        <f>('Gearing Calculator'!$U$9*9.81)*(('Gearing Calculator'!$C$7-'Gearing Calculator'!$U$16)/'Gearing Calculator'!$C$7)+(('Track Data'!W2122)*('Gearing Calculator'!$U$17/'Gearing Calculator'!$C$7))</f>
        <v>2071.5415596562671</v>
      </c>
      <c r="Z2122" s="16">
        <f>((X2122*COS('Gearing Calculator'!$C$21))/'Gearing Calculator'!$C$22)/2</f>
        <v>16.691395719071824</v>
      </c>
      <c r="AA2122" s="16">
        <f>Y2122/'Gearing Calculator'!$C$24</f>
        <v>28.925668218874538</v>
      </c>
      <c r="AB2122" s="16">
        <f t="shared" si="233"/>
        <v>196.14331172798899</v>
      </c>
      <c r="AC2122" s="16">
        <v>0</v>
      </c>
      <c r="AD2122" s="16">
        <v>-51.415226335993196</v>
      </c>
      <c r="AE2122" s="16">
        <v>2119</v>
      </c>
      <c r="AF2122" s="16">
        <f>IF(AC2122=0,IF(O2122=6,INDEX(Acceleration!$V$4:$V$110,MATCH('Track Data'!S2122,Acceleration!$K$4:$K$110,0)),IF('Track Data'!O2122=5,INDEX(Acceleration!$U$4:$U$110,MATCH('Track Data'!S2122,Acceleration!$K$4:$K$110,0)),1)),U2122)</f>
        <v>1</v>
      </c>
      <c r="AG2122" s="16">
        <f>IF(AC2122=0,IF(O2122=4,INDEX(Acceleration!$T$4:$T$110,MATCH('Track Data'!S2122,Acceleration!$K$4:$K$110,0)),IF('Track Data'!O2122=3,INDEX(Acceleration!$S$4:$S$110,MATCH('Track Data'!S2122,Acceleration!$K$4:$K$110,0)),'Track Data'!AF2122)),'Track Data'!U2122)</f>
        <v>5.2583296715092471</v>
      </c>
      <c r="AH2122" s="16">
        <f>IF(AC2122=0,IF(O2122=2,INDEX(Acceleration!$R$4:$R$110,MATCH('Track Data'!S2122,Acceleration!$K$4:$K$110,0)),IF('Track Data'!O2122=1,INDEX(Acceleration!$Q$4:$Q$110,MATCH('Track Data'!S2122,Acceleration!$K$4:$K$110,0)),'Track Data'!AG2122)),'Track Data'!U2122)</f>
        <v>5.2583296715092471</v>
      </c>
    </row>
    <row r="2123" spans="2:34" x14ac:dyDescent="0.25">
      <c r="B2123" s="16">
        <v>251.416</v>
      </c>
      <c r="C2123" s="16">
        <v>9393</v>
      </c>
      <c r="D2123" s="16">
        <v>2120</v>
      </c>
      <c r="E2123" s="113">
        <v>135</v>
      </c>
      <c r="F2123" s="113">
        <v>128.69999999999999</v>
      </c>
      <c r="G2123" s="113">
        <v>117.1</v>
      </c>
      <c r="H2123" s="113">
        <f t="shared" si="236"/>
        <v>32.527777777777779</v>
      </c>
      <c r="I2123" s="113">
        <v>14.9</v>
      </c>
      <c r="J2123" s="113">
        <v>48.94</v>
      </c>
      <c r="K2123" s="113">
        <v>-60.1</v>
      </c>
      <c r="L2123" s="183"/>
      <c r="M2123" s="16">
        <v>2120</v>
      </c>
      <c r="N2123" s="16">
        <f t="shared" si="238"/>
        <v>2.4223940006716432E-2</v>
      </c>
      <c r="O2123" s="16">
        <v>3</v>
      </c>
      <c r="P2123" s="16">
        <f t="shared" si="234"/>
        <v>10.596205962059623</v>
      </c>
      <c r="Q2123" s="16">
        <f t="shared" si="239"/>
        <v>41.281476082038502</v>
      </c>
      <c r="R2123" s="113">
        <f t="shared" si="235"/>
        <v>345.36</v>
      </c>
      <c r="S2123" s="16">
        <f>IF(S2122=15800,15800,ROUND((((Q2123*60)/'Gearing Calculator'!$C$14)*'Track Data'!P2123),-2))</f>
        <v>13300</v>
      </c>
      <c r="T2123" s="16">
        <f t="shared" si="237"/>
        <v>5.2583296715092471</v>
      </c>
      <c r="U2123" s="16">
        <f>IF(AC2123=100,Braking!$AG$2354,IF(AC2123=50,Braking!$AG$1179,IF(AC2123=75,Braking!$AG$1767,0)))</f>
        <v>0</v>
      </c>
      <c r="V2123" s="16">
        <f>0.5*'Gearing Calculator'!$C$15*'Gearing Calculator'!$C$20*'Gearing Calculator'!$W$20*('Track Data'!Q2123^2)</f>
        <v>180.36832271346125</v>
      </c>
      <c r="W2123" s="16">
        <f>('Gearing Calculator'!$U$9*'Track Data'!T2123)+'Track Data'!V2123</f>
        <v>1580.1356812692229</v>
      </c>
      <c r="X2123" s="16">
        <f>('Gearing Calculator'!$U$9*9.81)*('Gearing Calculator'!$U$16/'Gearing Calculator'!$C$7)-(('Track Data'!W2123)*('Gearing Calculator'!$U$17/'Gearing Calculator'!$C$7))</f>
        <v>539.88044034373297</v>
      </c>
      <c r="Y2123" s="16">
        <f>('Gearing Calculator'!$U$9*9.81)*(('Gearing Calculator'!$C$7-'Gearing Calculator'!$U$16)/'Gearing Calculator'!$C$7)+(('Track Data'!W2123)*('Gearing Calculator'!$U$17/'Gearing Calculator'!$C$7))</f>
        <v>2071.5415596562671</v>
      </c>
      <c r="Z2123" s="16">
        <f>((X2123*COS('Gearing Calculator'!$C$21))/'Gearing Calculator'!$C$22)/2</f>
        <v>16.691395719071824</v>
      </c>
      <c r="AA2123" s="16">
        <f>Y2123/'Gearing Calculator'!$C$24</f>
        <v>28.925668218874538</v>
      </c>
      <c r="AB2123" s="16">
        <f t="shared" si="233"/>
        <v>196.14331172798899</v>
      </c>
      <c r="AC2123" s="16">
        <v>0</v>
      </c>
      <c r="AD2123" s="16">
        <v>-51.415226335993196</v>
      </c>
      <c r="AE2123" s="16">
        <v>2120</v>
      </c>
      <c r="AF2123" s="16">
        <f>IF(AC2123=0,IF(O2123=6,INDEX(Acceleration!$V$4:$V$110,MATCH('Track Data'!S2123,Acceleration!$K$4:$K$110,0)),IF('Track Data'!O2123=5,INDEX(Acceleration!$U$4:$U$110,MATCH('Track Data'!S2123,Acceleration!$K$4:$K$110,0)),1)),U2123)</f>
        <v>1</v>
      </c>
      <c r="AG2123" s="16">
        <f>IF(AC2123=0,IF(O2123=4,INDEX(Acceleration!$T$4:$T$110,MATCH('Track Data'!S2123,Acceleration!$K$4:$K$110,0)),IF('Track Data'!O2123=3,INDEX(Acceleration!$S$4:$S$110,MATCH('Track Data'!S2123,Acceleration!$K$4:$K$110,0)),'Track Data'!AF2123)),'Track Data'!U2123)</f>
        <v>5.2583296715092471</v>
      </c>
      <c r="AH2123" s="16">
        <f>IF(AC2123=0,IF(O2123=2,INDEX(Acceleration!$R$4:$R$110,MATCH('Track Data'!S2123,Acceleration!$K$4:$K$110,0)),IF('Track Data'!O2123=1,INDEX(Acceleration!$Q$4:$Q$110,MATCH('Track Data'!S2123,Acceleration!$K$4:$K$110,0)),'Track Data'!AG2123)),'Track Data'!U2123)</f>
        <v>5.2583296715092471</v>
      </c>
    </row>
    <row r="2124" spans="2:34" x14ac:dyDescent="0.25">
      <c r="B2124" s="16">
        <v>251.44399999999999</v>
      </c>
      <c r="C2124" s="16">
        <v>9394</v>
      </c>
      <c r="D2124" s="16">
        <v>2121</v>
      </c>
      <c r="E2124" s="113">
        <v>136</v>
      </c>
      <c r="F2124" s="113">
        <v>129</v>
      </c>
      <c r="G2124" s="113">
        <v>117.2</v>
      </c>
      <c r="H2124" s="113">
        <f t="shared" si="236"/>
        <v>32.555555555555557</v>
      </c>
      <c r="I2124" s="113">
        <v>10</v>
      </c>
      <c r="J2124" s="113">
        <v>45.62</v>
      </c>
      <c r="K2124" s="113">
        <v>-59.9</v>
      </c>
      <c r="L2124" s="183"/>
      <c r="M2124" s="16">
        <v>2121</v>
      </c>
      <c r="N2124" s="16">
        <f t="shared" si="238"/>
        <v>2.4223940006716432E-2</v>
      </c>
      <c r="O2124" s="16">
        <v>3</v>
      </c>
      <c r="P2124" s="16">
        <f t="shared" si="234"/>
        <v>10.596205962059623</v>
      </c>
      <c r="Q2124" s="16">
        <f t="shared" si="239"/>
        <v>41.281476082038502</v>
      </c>
      <c r="R2124" s="113">
        <f t="shared" si="235"/>
        <v>345.36</v>
      </c>
      <c r="S2124" s="16">
        <f>IF(S2123=15800,15800,ROUND((((Q2124*60)/'Gearing Calculator'!$C$14)*'Track Data'!P2124),-2))</f>
        <v>13300</v>
      </c>
      <c r="T2124" s="16">
        <f t="shared" si="237"/>
        <v>5.2583296715092471</v>
      </c>
      <c r="U2124" s="16">
        <f>IF(AC2124=100,Braking!$AG$2354,IF(AC2124=50,Braking!$AG$1179,IF(AC2124=75,Braking!$AG$1767,0)))</f>
        <v>0</v>
      </c>
      <c r="V2124" s="16">
        <f>0.5*'Gearing Calculator'!$C$15*'Gearing Calculator'!$C$20*'Gearing Calculator'!$W$20*('Track Data'!Q2124^2)</f>
        <v>180.36832271346125</v>
      </c>
      <c r="W2124" s="16">
        <f>('Gearing Calculator'!$U$9*'Track Data'!T2124)+'Track Data'!V2124</f>
        <v>1580.1356812692229</v>
      </c>
      <c r="X2124" s="16">
        <f>('Gearing Calculator'!$U$9*9.81)*('Gearing Calculator'!$U$16/'Gearing Calculator'!$C$7)-(('Track Data'!W2124)*('Gearing Calculator'!$U$17/'Gearing Calculator'!$C$7))</f>
        <v>539.88044034373297</v>
      </c>
      <c r="Y2124" s="16">
        <f>('Gearing Calculator'!$U$9*9.81)*(('Gearing Calculator'!$C$7-'Gearing Calculator'!$U$16)/'Gearing Calculator'!$C$7)+(('Track Data'!W2124)*('Gearing Calculator'!$U$17/'Gearing Calculator'!$C$7))</f>
        <v>2071.5415596562671</v>
      </c>
      <c r="Z2124" s="16">
        <f>((X2124*COS('Gearing Calculator'!$C$21))/'Gearing Calculator'!$C$22)/2</f>
        <v>16.691395719071824</v>
      </c>
      <c r="AA2124" s="16">
        <f>Y2124/'Gearing Calculator'!$C$24</f>
        <v>28.925668218874538</v>
      </c>
      <c r="AB2124" s="16">
        <f t="shared" si="233"/>
        <v>196.14331172798899</v>
      </c>
      <c r="AC2124" s="16">
        <v>0</v>
      </c>
      <c r="AD2124" s="16">
        <v>-51.415226335993196</v>
      </c>
      <c r="AE2124" s="16">
        <v>2121</v>
      </c>
      <c r="AF2124" s="16">
        <f>IF(AC2124=0,IF(O2124=6,INDEX(Acceleration!$V$4:$V$110,MATCH('Track Data'!S2124,Acceleration!$K$4:$K$110,0)),IF('Track Data'!O2124=5,INDEX(Acceleration!$U$4:$U$110,MATCH('Track Data'!S2124,Acceleration!$K$4:$K$110,0)),1)),U2124)</f>
        <v>1</v>
      </c>
      <c r="AG2124" s="16">
        <f>IF(AC2124=0,IF(O2124=4,INDEX(Acceleration!$T$4:$T$110,MATCH('Track Data'!S2124,Acceleration!$K$4:$K$110,0)),IF('Track Data'!O2124=3,INDEX(Acceleration!$S$4:$S$110,MATCH('Track Data'!S2124,Acceleration!$K$4:$K$110,0)),'Track Data'!AF2124)),'Track Data'!U2124)</f>
        <v>5.2583296715092471</v>
      </c>
      <c r="AH2124" s="16">
        <f>IF(AC2124=0,IF(O2124=2,INDEX(Acceleration!$R$4:$R$110,MATCH('Track Data'!S2124,Acceleration!$K$4:$K$110,0)),IF('Track Data'!O2124=1,INDEX(Acceleration!$Q$4:$Q$110,MATCH('Track Data'!S2124,Acceleration!$K$4:$K$110,0)),'Track Data'!AG2124)),'Track Data'!U2124)</f>
        <v>5.2583296715092471</v>
      </c>
    </row>
    <row r="2125" spans="2:34" x14ac:dyDescent="0.25">
      <c r="B2125" s="16">
        <v>251.47200000000001</v>
      </c>
      <c r="C2125" s="16">
        <v>9395</v>
      </c>
      <c r="D2125" s="16">
        <v>2122</v>
      </c>
      <c r="E2125" s="113">
        <v>136</v>
      </c>
      <c r="F2125" s="113">
        <v>129</v>
      </c>
      <c r="G2125" s="113">
        <v>117.3</v>
      </c>
      <c r="H2125" s="113">
        <f t="shared" si="236"/>
        <v>32.583333333333329</v>
      </c>
      <c r="I2125" s="113">
        <v>7.8</v>
      </c>
      <c r="J2125" s="113">
        <v>46.43</v>
      </c>
      <c r="K2125" s="113">
        <v>-58.7</v>
      </c>
      <c r="L2125" s="183"/>
      <c r="M2125" s="16">
        <v>2122</v>
      </c>
      <c r="N2125" s="16">
        <f t="shared" si="238"/>
        <v>2.4223940006716432E-2</v>
      </c>
      <c r="O2125" s="16">
        <v>3</v>
      </c>
      <c r="P2125" s="16">
        <f t="shared" si="234"/>
        <v>10.596205962059623</v>
      </c>
      <c r="Q2125" s="16">
        <f t="shared" si="239"/>
        <v>41.281476082038502</v>
      </c>
      <c r="R2125" s="113">
        <f t="shared" si="235"/>
        <v>345.36</v>
      </c>
      <c r="S2125" s="16">
        <f>IF(S2124=15800,15800,ROUND((((Q2125*60)/'Gearing Calculator'!$C$14)*'Track Data'!P2125),-2))</f>
        <v>13300</v>
      </c>
      <c r="T2125" s="16">
        <f t="shared" si="237"/>
        <v>5.2583296715092471</v>
      </c>
      <c r="U2125" s="16">
        <f>IF(AC2125=100,Braking!$AG$2354,IF(AC2125=50,Braking!$AG$1179,IF(AC2125=75,Braking!$AG$1767,0)))</f>
        <v>0</v>
      </c>
      <c r="V2125" s="16">
        <f>0.5*'Gearing Calculator'!$C$15*'Gearing Calculator'!$C$20*'Gearing Calculator'!$W$20*('Track Data'!Q2125^2)</f>
        <v>180.36832271346125</v>
      </c>
      <c r="W2125" s="16">
        <f>('Gearing Calculator'!$U$9*'Track Data'!T2125)+'Track Data'!V2125</f>
        <v>1580.1356812692229</v>
      </c>
      <c r="X2125" s="16">
        <f>('Gearing Calculator'!$U$9*9.81)*('Gearing Calculator'!$U$16/'Gearing Calculator'!$C$7)-(('Track Data'!W2125)*('Gearing Calculator'!$U$17/'Gearing Calculator'!$C$7))</f>
        <v>539.88044034373297</v>
      </c>
      <c r="Y2125" s="16">
        <f>('Gearing Calculator'!$U$9*9.81)*(('Gearing Calculator'!$C$7-'Gearing Calculator'!$U$16)/'Gearing Calculator'!$C$7)+(('Track Data'!W2125)*('Gearing Calculator'!$U$17/'Gearing Calculator'!$C$7))</f>
        <v>2071.5415596562671</v>
      </c>
      <c r="Z2125" s="16">
        <f>((X2125*COS('Gearing Calculator'!$C$21))/'Gearing Calculator'!$C$22)/2</f>
        <v>16.691395719071824</v>
      </c>
      <c r="AA2125" s="16">
        <f>Y2125/'Gearing Calculator'!$C$24</f>
        <v>28.925668218874538</v>
      </c>
      <c r="AB2125" s="16">
        <f t="shared" si="233"/>
        <v>196.14331172798899</v>
      </c>
      <c r="AC2125" s="16">
        <v>0</v>
      </c>
      <c r="AD2125" s="16">
        <v>-51.415226335993196</v>
      </c>
      <c r="AE2125" s="16">
        <v>2122</v>
      </c>
      <c r="AF2125" s="16">
        <f>IF(AC2125=0,IF(O2125=6,INDEX(Acceleration!$V$4:$V$110,MATCH('Track Data'!S2125,Acceleration!$K$4:$K$110,0)),IF('Track Data'!O2125=5,INDEX(Acceleration!$U$4:$U$110,MATCH('Track Data'!S2125,Acceleration!$K$4:$K$110,0)),1)),U2125)</f>
        <v>1</v>
      </c>
      <c r="AG2125" s="16">
        <f>IF(AC2125=0,IF(O2125=4,INDEX(Acceleration!$T$4:$T$110,MATCH('Track Data'!S2125,Acceleration!$K$4:$K$110,0)),IF('Track Data'!O2125=3,INDEX(Acceleration!$S$4:$S$110,MATCH('Track Data'!S2125,Acceleration!$K$4:$K$110,0)),'Track Data'!AF2125)),'Track Data'!U2125)</f>
        <v>5.2583296715092471</v>
      </c>
      <c r="AH2125" s="16">
        <f>IF(AC2125=0,IF(O2125=2,INDEX(Acceleration!$R$4:$R$110,MATCH('Track Data'!S2125,Acceleration!$K$4:$K$110,0)),IF('Track Data'!O2125=1,INDEX(Acceleration!$Q$4:$Q$110,MATCH('Track Data'!S2125,Acceleration!$K$4:$K$110,0)),'Track Data'!AG2125)),'Track Data'!U2125)</f>
        <v>5.2583296715092471</v>
      </c>
    </row>
    <row r="2126" spans="2:34" x14ac:dyDescent="0.25">
      <c r="B2126" s="16">
        <v>251.499</v>
      </c>
      <c r="C2126" s="16">
        <v>9396</v>
      </c>
      <c r="D2126" s="16">
        <v>2123</v>
      </c>
      <c r="E2126" s="113">
        <v>135</v>
      </c>
      <c r="F2126" s="113">
        <v>129</v>
      </c>
      <c r="G2126" s="113">
        <v>117.3</v>
      </c>
      <c r="H2126" s="113">
        <f t="shared" si="236"/>
        <v>32.583333333333329</v>
      </c>
      <c r="I2126" s="113">
        <v>8.1</v>
      </c>
      <c r="J2126" s="113">
        <v>46.56</v>
      </c>
      <c r="K2126" s="113">
        <v>-57.9</v>
      </c>
      <c r="L2126" s="183"/>
      <c r="M2126" s="16">
        <v>2123</v>
      </c>
      <c r="N2126" s="16">
        <f t="shared" si="238"/>
        <v>2.4223940006716432E-2</v>
      </c>
      <c r="O2126" s="16">
        <v>3</v>
      </c>
      <c r="P2126" s="16">
        <f t="shared" si="234"/>
        <v>10.596205962059623</v>
      </c>
      <c r="Q2126" s="16">
        <f t="shared" si="239"/>
        <v>41.281476082038502</v>
      </c>
      <c r="R2126" s="113">
        <f t="shared" si="235"/>
        <v>345.36</v>
      </c>
      <c r="S2126" s="16">
        <f>IF(S2125=15800,15800,ROUND((((Q2126*60)/'Gearing Calculator'!$C$14)*'Track Data'!P2126),-2))</f>
        <v>13300</v>
      </c>
      <c r="T2126" s="16">
        <f t="shared" si="237"/>
        <v>5.2583296715092471</v>
      </c>
      <c r="U2126" s="16">
        <f>IF(AC2126=100,Braking!$AG$2354,IF(AC2126=50,Braking!$AG$1179,IF(AC2126=75,Braking!$AG$1767,0)))</f>
        <v>0</v>
      </c>
      <c r="V2126" s="16">
        <f>0.5*'Gearing Calculator'!$C$15*'Gearing Calculator'!$C$20*'Gearing Calculator'!$W$20*('Track Data'!Q2126^2)</f>
        <v>180.36832271346125</v>
      </c>
      <c r="W2126" s="16">
        <f>('Gearing Calculator'!$U$9*'Track Data'!T2126)+'Track Data'!V2126</f>
        <v>1580.1356812692229</v>
      </c>
      <c r="X2126" s="16">
        <f>('Gearing Calculator'!$U$9*9.81)*('Gearing Calculator'!$U$16/'Gearing Calculator'!$C$7)-(('Track Data'!W2126)*('Gearing Calculator'!$U$17/'Gearing Calculator'!$C$7))</f>
        <v>539.88044034373297</v>
      </c>
      <c r="Y2126" s="16">
        <f>('Gearing Calculator'!$U$9*9.81)*(('Gearing Calculator'!$C$7-'Gearing Calculator'!$U$16)/'Gearing Calculator'!$C$7)+(('Track Data'!W2126)*('Gearing Calculator'!$U$17/'Gearing Calculator'!$C$7))</f>
        <v>2071.5415596562671</v>
      </c>
      <c r="Z2126" s="16">
        <f>((X2126*COS('Gearing Calculator'!$C$21))/'Gearing Calculator'!$C$22)/2</f>
        <v>16.691395719071824</v>
      </c>
      <c r="AA2126" s="16">
        <f>Y2126/'Gearing Calculator'!$C$24</f>
        <v>28.925668218874538</v>
      </c>
      <c r="AB2126" s="16">
        <f t="shared" si="233"/>
        <v>196.14331172798899</v>
      </c>
      <c r="AC2126" s="16">
        <v>0</v>
      </c>
      <c r="AD2126" s="16">
        <v>-51.415226335993196</v>
      </c>
      <c r="AE2126" s="16">
        <v>2123</v>
      </c>
      <c r="AF2126" s="16">
        <f>IF(AC2126=0,IF(O2126=6,INDEX(Acceleration!$V$4:$V$110,MATCH('Track Data'!S2126,Acceleration!$K$4:$K$110,0)),IF('Track Data'!O2126=5,INDEX(Acceleration!$U$4:$U$110,MATCH('Track Data'!S2126,Acceleration!$K$4:$K$110,0)),1)),U2126)</f>
        <v>1</v>
      </c>
      <c r="AG2126" s="16">
        <f>IF(AC2126=0,IF(O2126=4,INDEX(Acceleration!$T$4:$T$110,MATCH('Track Data'!S2126,Acceleration!$K$4:$K$110,0)),IF('Track Data'!O2126=3,INDEX(Acceleration!$S$4:$S$110,MATCH('Track Data'!S2126,Acceleration!$K$4:$K$110,0)),'Track Data'!AF2126)),'Track Data'!U2126)</f>
        <v>5.2583296715092471</v>
      </c>
      <c r="AH2126" s="16">
        <f>IF(AC2126=0,IF(O2126=2,INDEX(Acceleration!$R$4:$R$110,MATCH('Track Data'!S2126,Acceleration!$K$4:$K$110,0)),IF('Track Data'!O2126=1,INDEX(Acceleration!$Q$4:$Q$110,MATCH('Track Data'!S2126,Acceleration!$K$4:$K$110,0)),'Track Data'!AG2126)),'Track Data'!U2126)</f>
        <v>5.2583296715092471</v>
      </c>
    </row>
    <row r="2127" spans="2:34" x14ac:dyDescent="0.25">
      <c r="B2127" s="16">
        <v>251.52799999999999</v>
      </c>
      <c r="C2127" s="16">
        <v>9397</v>
      </c>
      <c r="D2127" s="16">
        <v>2124</v>
      </c>
      <c r="E2127" s="113">
        <v>134</v>
      </c>
      <c r="F2127" s="113">
        <v>129</v>
      </c>
      <c r="G2127" s="113">
        <v>117.4</v>
      </c>
      <c r="H2127" s="113">
        <f t="shared" si="236"/>
        <v>32.611111111111114</v>
      </c>
      <c r="I2127" s="113">
        <v>11.6</v>
      </c>
      <c r="J2127" s="113">
        <v>53.84</v>
      </c>
      <c r="K2127" s="113">
        <v>-56.7</v>
      </c>
      <c r="L2127" s="183"/>
      <c r="M2127" s="16">
        <v>2124</v>
      </c>
      <c r="N2127" s="16">
        <f t="shared" si="238"/>
        <v>2.4223940006716432E-2</v>
      </c>
      <c r="O2127" s="16">
        <v>3</v>
      </c>
      <c r="P2127" s="16">
        <f t="shared" si="234"/>
        <v>10.596205962059623</v>
      </c>
      <c r="Q2127" s="16">
        <f t="shared" si="239"/>
        <v>41.281476082038502</v>
      </c>
      <c r="R2127" s="113">
        <f t="shared" si="235"/>
        <v>345.36</v>
      </c>
      <c r="S2127" s="16">
        <f>IF(S2126=15800,15800,ROUND((((Q2127*60)/'Gearing Calculator'!$C$14)*'Track Data'!P2127),-2))</f>
        <v>13300</v>
      </c>
      <c r="T2127" s="16">
        <f t="shared" si="237"/>
        <v>5.2583296715092471</v>
      </c>
      <c r="U2127" s="16">
        <f>IF(AC2127=100,Braking!$AG$2354,IF(AC2127=50,Braking!$AG$1179,IF(AC2127=75,Braking!$AG$1767,0)))</f>
        <v>0</v>
      </c>
      <c r="V2127" s="16">
        <f>0.5*'Gearing Calculator'!$C$15*'Gearing Calculator'!$C$20*'Gearing Calculator'!$W$20*('Track Data'!Q2127^2)</f>
        <v>180.36832271346125</v>
      </c>
      <c r="W2127" s="16">
        <f>('Gearing Calculator'!$U$9*'Track Data'!T2127)+'Track Data'!V2127</f>
        <v>1580.1356812692229</v>
      </c>
      <c r="X2127" s="16">
        <f>('Gearing Calculator'!$U$9*9.81)*('Gearing Calculator'!$U$16/'Gearing Calculator'!$C$7)-(('Track Data'!W2127)*('Gearing Calculator'!$U$17/'Gearing Calculator'!$C$7))</f>
        <v>539.88044034373297</v>
      </c>
      <c r="Y2127" s="16">
        <f>('Gearing Calculator'!$U$9*9.81)*(('Gearing Calculator'!$C$7-'Gearing Calculator'!$U$16)/'Gearing Calculator'!$C$7)+(('Track Data'!W2127)*('Gearing Calculator'!$U$17/'Gearing Calculator'!$C$7))</f>
        <v>2071.5415596562671</v>
      </c>
      <c r="Z2127" s="16">
        <f>((X2127*COS('Gearing Calculator'!$C$21))/'Gearing Calculator'!$C$22)/2</f>
        <v>16.691395719071824</v>
      </c>
      <c r="AA2127" s="16">
        <f>Y2127/'Gearing Calculator'!$C$24</f>
        <v>28.925668218874538</v>
      </c>
      <c r="AB2127" s="16">
        <f t="shared" si="233"/>
        <v>196.14331172798899</v>
      </c>
      <c r="AC2127" s="16">
        <v>0</v>
      </c>
      <c r="AD2127" s="16">
        <v>-51.415226335993196</v>
      </c>
      <c r="AE2127" s="16">
        <v>2124</v>
      </c>
      <c r="AF2127" s="16">
        <f>IF(AC2127=0,IF(O2127=6,INDEX(Acceleration!$V$4:$V$110,MATCH('Track Data'!S2127,Acceleration!$K$4:$K$110,0)),IF('Track Data'!O2127=5,INDEX(Acceleration!$U$4:$U$110,MATCH('Track Data'!S2127,Acceleration!$K$4:$K$110,0)),1)),U2127)</f>
        <v>1</v>
      </c>
      <c r="AG2127" s="16">
        <f>IF(AC2127=0,IF(O2127=4,INDEX(Acceleration!$T$4:$T$110,MATCH('Track Data'!S2127,Acceleration!$K$4:$K$110,0)),IF('Track Data'!O2127=3,INDEX(Acceleration!$S$4:$S$110,MATCH('Track Data'!S2127,Acceleration!$K$4:$K$110,0)),'Track Data'!AF2127)),'Track Data'!U2127)</f>
        <v>5.2583296715092471</v>
      </c>
      <c r="AH2127" s="16">
        <f>IF(AC2127=0,IF(O2127=2,INDEX(Acceleration!$R$4:$R$110,MATCH('Track Data'!S2127,Acceleration!$K$4:$K$110,0)),IF('Track Data'!O2127=1,INDEX(Acceleration!$Q$4:$Q$110,MATCH('Track Data'!S2127,Acceleration!$K$4:$K$110,0)),'Track Data'!AG2127)),'Track Data'!U2127)</f>
        <v>5.2583296715092471</v>
      </c>
    </row>
    <row r="2128" spans="2:34" x14ac:dyDescent="0.25">
      <c r="B2128" s="16">
        <v>251.55500000000001</v>
      </c>
      <c r="C2128" s="16">
        <v>9398</v>
      </c>
      <c r="D2128" s="16">
        <v>2125</v>
      </c>
      <c r="E2128" s="113">
        <v>134</v>
      </c>
      <c r="F2128" s="113">
        <v>129.1</v>
      </c>
      <c r="G2128" s="113">
        <v>117.5</v>
      </c>
      <c r="H2128" s="113">
        <f t="shared" si="236"/>
        <v>32.638888888888886</v>
      </c>
      <c r="I2128" s="113">
        <v>14</v>
      </c>
      <c r="J2128" s="113">
        <v>54.48</v>
      </c>
      <c r="K2128" s="113">
        <v>-55.3</v>
      </c>
      <c r="L2128" s="183"/>
      <c r="M2128" s="16">
        <v>2125</v>
      </c>
      <c r="N2128" s="16">
        <f t="shared" si="238"/>
        <v>2.4223940006716432E-2</v>
      </c>
      <c r="O2128" s="16">
        <v>3</v>
      </c>
      <c r="P2128" s="16">
        <f t="shared" si="234"/>
        <v>10.596205962059623</v>
      </c>
      <c r="Q2128" s="16">
        <f t="shared" si="239"/>
        <v>41.281476082038502</v>
      </c>
      <c r="R2128" s="113">
        <f t="shared" si="235"/>
        <v>345.36</v>
      </c>
      <c r="S2128" s="16">
        <f>IF(S2127=15800,15800,ROUND((((Q2128*60)/'Gearing Calculator'!$C$14)*'Track Data'!P2128),-2))</f>
        <v>13300</v>
      </c>
      <c r="T2128" s="16">
        <f t="shared" si="237"/>
        <v>5.2583296715092471</v>
      </c>
      <c r="U2128" s="16">
        <f>IF(AC2128=100,Braking!$AG$2354,IF(AC2128=50,Braking!$AG$1179,IF(AC2128=75,Braking!$AG$1767,0)))</f>
        <v>0</v>
      </c>
      <c r="V2128" s="16">
        <f>0.5*'Gearing Calculator'!$C$15*'Gearing Calculator'!$C$20*'Gearing Calculator'!$W$20*('Track Data'!Q2128^2)</f>
        <v>180.36832271346125</v>
      </c>
      <c r="W2128" s="16">
        <f>('Gearing Calculator'!$U$9*'Track Data'!T2128)+'Track Data'!V2128</f>
        <v>1580.1356812692229</v>
      </c>
      <c r="X2128" s="16">
        <f>('Gearing Calculator'!$U$9*9.81)*('Gearing Calculator'!$U$16/'Gearing Calculator'!$C$7)-(('Track Data'!W2128)*('Gearing Calculator'!$U$17/'Gearing Calculator'!$C$7))</f>
        <v>539.88044034373297</v>
      </c>
      <c r="Y2128" s="16">
        <f>('Gearing Calculator'!$U$9*9.81)*(('Gearing Calculator'!$C$7-'Gearing Calculator'!$U$16)/'Gearing Calculator'!$C$7)+(('Track Data'!W2128)*('Gearing Calculator'!$U$17/'Gearing Calculator'!$C$7))</f>
        <v>2071.5415596562671</v>
      </c>
      <c r="Z2128" s="16">
        <f>((X2128*COS('Gearing Calculator'!$C$21))/'Gearing Calculator'!$C$22)/2</f>
        <v>16.691395719071824</v>
      </c>
      <c r="AA2128" s="16">
        <f>Y2128/'Gearing Calculator'!$C$24</f>
        <v>28.925668218874538</v>
      </c>
      <c r="AB2128" s="16">
        <f t="shared" si="233"/>
        <v>196.14331172798899</v>
      </c>
      <c r="AC2128" s="16">
        <v>0</v>
      </c>
      <c r="AD2128" s="16">
        <v>-51.415226335993196</v>
      </c>
      <c r="AE2128" s="16">
        <v>2125</v>
      </c>
      <c r="AF2128" s="16">
        <f>IF(AC2128=0,IF(O2128=6,INDEX(Acceleration!$V$4:$V$110,MATCH('Track Data'!S2128,Acceleration!$K$4:$K$110,0)),IF('Track Data'!O2128=5,INDEX(Acceleration!$U$4:$U$110,MATCH('Track Data'!S2128,Acceleration!$K$4:$K$110,0)),1)),U2128)</f>
        <v>1</v>
      </c>
      <c r="AG2128" s="16">
        <f>IF(AC2128=0,IF(O2128=4,INDEX(Acceleration!$T$4:$T$110,MATCH('Track Data'!S2128,Acceleration!$K$4:$K$110,0)),IF('Track Data'!O2128=3,INDEX(Acceleration!$S$4:$S$110,MATCH('Track Data'!S2128,Acceleration!$K$4:$K$110,0)),'Track Data'!AF2128)),'Track Data'!U2128)</f>
        <v>5.2583296715092471</v>
      </c>
      <c r="AH2128" s="16">
        <f>IF(AC2128=0,IF(O2128=2,INDEX(Acceleration!$R$4:$R$110,MATCH('Track Data'!S2128,Acceleration!$K$4:$K$110,0)),IF('Track Data'!O2128=1,INDEX(Acceleration!$Q$4:$Q$110,MATCH('Track Data'!S2128,Acceleration!$K$4:$K$110,0)),'Track Data'!AG2128)),'Track Data'!U2128)</f>
        <v>5.2583296715092471</v>
      </c>
    </row>
    <row r="2129" spans="2:34" x14ac:dyDescent="0.25">
      <c r="B2129" s="16">
        <v>251.583</v>
      </c>
      <c r="C2129" s="16">
        <v>9399</v>
      </c>
      <c r="D2129" s="16">
        <v>2126</v>
      </c>
      <c r="E2129" s="113">
        <v>134</v>
      </c>
      <c r="F2129" s="113">
        <v>128.80000000000001</v>
      </c>
      <c r="G2129" s="113">
        <v>117.6</v>
      </c>
      <c r="H2129" s="113">
        <f t="shared" si="236"/>
        <v>32.666666666666664</v>
      </c>
      <c r="I2129" s="113">
        <v>16.100000000000001</v>
      </c>
      <c r="J2129" s="113">
        <v>56.39</v>
      </c>
      <c r="K2129" s="113">
        <v>-53.9</v>
      </c>
      <c r="L2129" s="183"/>
      <c r="M2129" s="16">
        <v>2126</v>
      </c>
      <c r="N2129" s="16">
        <f t="shared" si="238"/>
        <v>2.4223940006716432E-2</v>
      </c>
      <c r="O2129" s="16">
        <v>3</v>
      </c>
      <c r="P2129" s="16">
        <f t="shared" si="234"/>
        <v>10.596205962059623</v>
      </c>
      <c r="Q2129" s="16">
        <f t="shared" si="239"/>
        <v>41.281476082038502</v>
      </c>
      <c r="R2129" s="113">
        <f t="shared" si="235"/>
        <v>345.36</v>
      </c>
      <c r="S2129" s="16">
        <f>IF(S2128=15800,15800,ROUND((((Q2129*60)/'Gearing Calculator'!$C$14)*'Track Data'!P2129),-2))</f>
        <v>13300</v>
      </c>
      <c r="T2129" s="16">
        <f t="shared" si="237"/>
        <v>5.2583296715092471</v>
      </c>
      <c r="U2129" s="16">
        <f>IF(AC2129=100,Braking!$AG$2354,IF(AC2129=50,Braking!$AG$1179,IF(AC2129=75,Braking!$AG$1767,0)))</f>
        <v>0</v>
      </c>
      <c r="V2129" s="16">
        <f>0.5*'Gearing Calculator'!$C$15*'Gearing Calculator'!$C$20*'Gearing Calculator'!$W$20*('Track Data'!Q2129^2)</f>
        <v>180.36832271346125</v>
      </c>
      <c r="W2129" s="16">
        <f>('Gearing Calculator'!$U$9*'Track Data'!T2129)+'Track Data'!V2129</f>
        <v>1580.1356812692229</v>
      </c>
      <c r="X2129" s="16">
        <f>('Gearing Calculator'!$U$9*9.81)*('Gearing Calculator'!$U$16/'Gearing Calculator'!$C$7)-(('Track Data'!W2129)*('Gearing Calculator'!$U$17/'Gearing Calculator'!$C$7))</f>
        <v>539.88044034373297</v>
      </c>
      <c r="Y2129" s="16">
        <f>('Gearing Calculator'!$U$9*9.81)*(('Gearing Calculator'!$C$7-'Gearing Calculator'!$U$16)/'Gearing Calculator'!$C$7)+(('Track Data'!W2129)*('Gearing Calculator'!$U$17/'Gearing Calculator'!$C$7))</f>
        <v>2071.5415596562671</v>
      </c>
      <c r="Z2129" s="16">
        <f>((X2129*COS('Gearing Calculator'!$C$21))/'Gearing Calculator'!$C$22)/2</f>
        <v>16.691395719071824</v>
      </c>
      <c r="AA2129" s="16">
        <f>Y2129/'Gearing Calculator'!$C$24</f>
        <v>28.925668218874538</v>
      </c>
      <c r="AB2129" s="16">
        <f t="shared" si="233"/>
        <v>196.14331172798899</v>
      </c>
      <c r="AC2129" s="16">
        <v>0</v>
      </c>
      <c r="AD2129" s="16">
        <v>-51.415226335993196</v>
      </c>
      <c r="AE2129" s="16">
        <v>2126</v>
      </c>
      <c r="AF2129" s="16">
        <f>IF(AC2129=0,IF(O2129=6,INDEX(Acceleration!$V$4:$V$110,MATCH('Track Data'!S2129,Acceleration!$K$4:$K$110,0)),IF('Track Data'!O2129=5,INDEX(Acceleration!$U$4:$U$110,MATCH('Track Data'!S2129,Acceleration!$K$4:$K$110,0)),1)),U2129)</f>
        <v>1</v>
      </c>
      <c r="AG2129" s="16">
        <f>IF(AC2129=0,IF(O2129=4,INDEX(Acceleration!$T$4:$T$110,MATCH('Track Data'!S2129,Acceleration!$K$4:$K$110,0)),IF('Track Data'!O2129=3,INDEX(Acceleration!$S$4:$S$110,MATCH('Track Data'!S2129,Acceleration!$K$4:$K$110,0)),'Track Data'!AF2129)),'Track Data'!U2129)</f>
        <v>5.2583296715092471</v>
      </c>
      <c r="AH2129" s="16">
        <f>IF(AC2129=0,IF(O2129=2,INDEX(Acceleration!$R$4:$R$110,MATCH('Track Data'!S2129,Acceleration!$K$4:$K$110,0)),IF('Track Data'!O2129=1,INDEX(Acceleration!$Q$4:$Q$110,MATCH('Track Data'!S2129,Acceleration!$K$4:$K$110,0)),'Track Data'!AG2129)),'Track Data'!U2129)</f>
        <v>5.2583296715092471</v>
      </c>
    </row>
    <row r="2130" spans="2:34" x14ac:dyDescent="0.25">
      <c r="B2130" s="16">
        <v>251.61099999999999</v>
      </c>
      <c r="C2130" s="16">
        <v>9400</v>
      </c>
      <c r="D2130" s="16">
        <v>2127</v>
      </c>
      <c r="E2130" s="113">
        <v>134</v>
      </c>
      <c r="F2130" s="113">
        <v>128.69999999999999</v>
      </c>
      <c r="G2130" s="113">
        <v>117.7</v>
      </c>
      <c r="H2130" s="113">
        <f t="shared" si="236"/>
        <v>32.694444444444443</v>
      </c>
      <c r="I2130" s="113">
        <v>16.100000000000001</v>
      </c>
      <c r="J2130" s="113">
        <v>56.68</v>
      </c>
      <c r="K2130" s="113">
        <v>-53.5</v>
      </c>
      <c r="L2130" s="183"/>
      <c r="M2130" s="16">
        <v>2127</v>
      </c>
      <c r="N2130" s="16">
        <f t="shared" si="238"/>
        <v>2.4223940006716432E-2</v>
      </c>
      <c r="O2130" s="16">
        <v>3</v>
      </c>
      <c r="P2130" s="16">
        <f t="shared" si="234"/>
        <v>10.596205962059623</v>
      </c>
      <c r="Q2130" s="16">
        <f t="shared" si="239"/>
        <v>41.281476082038502</v>
      </c>
      <c r="R2130" s="113">
        <f t="shared" si="235"/>
        <v>345.36</v>
      </c>
      <c r="S2130" s="16">
        <f>IF(S2129=15800,15800,ROUND((((Q2130*60)/'Gearing Calculator'!$C$14)*'Track Data'!P2130),-2))</f>
        <v>13300</v>
      </c>
      <c r="T2130" s="16">
        <f t="shared" si="237"/>
        <v>5.2583296715092471</v>
      </c>
      <c r="U2130" s="16">
        <f>IF(AC2130=100,Braking!$AG$2354,IF(AC2130=50,Braking!$AG$1179,IF(AC2130=75,Braking!$AG$1767,0)))</f>
        <v>0</v>
      </c>
      <c r="V2130" s="16">
        <f>0.5*'Gearing Calculator'!$C$15*'Gearing Calculator'!$C$20*'Gearing Calculator'!$W$20*('Track Data'!Q2130^2)</f>
        <v>180.36832271346125</v>
      </c>
      <c r="W2130" s="16">
        <f>('Gearing Calculator'!$U$9*'Track Data'!T2130)+'Track Data'!V2130</f>
        <v>1580.1356812692229</v>
      </c>
      <c r="X2130" s="16">
        <f>('Gearing Calculator'!$U$9*9.81)*('Gearing Calculator'!$U$16/'Gearing Calculator'!$C$7)-(('Track Data'!W2130)*('Gearing Calculator'!$U$17/'Gearing Calculator'!$C$7))</f>
        <v>539.88044034373297</v>
      </c>
      <c r="Y2130" s="16">
        <f>('Gearing Calculator'!$U$9*9.81)*(('Gearing Calculator'!$C$7-'Gearing Calculator'!$U$16)/'Gearing Calculator'!$C$7)+(('Track Data'!W2130)*('Gearing Calculator'!$U$17/'Gearing Calculator'!$C$7))</f>
        <v>2071.5415596562671</v>
      </c>
      <c r="Z2130" s="16">
        <f>((X2130*COS('Gearing Calculator'!$C$21))/'Gearing Calculator'!$C$22)/2</f>
        <v>16.691395719071824</v>
      </c>
      <c r="AA2130" s="16">
        <f>Y2130/'Gearing Calculator'!$C$24</f>
        <v>28.925668218874538</v>
      </c>
      <c r="AB2130" s="16">
        <f t="shared" si="233"/>
        <v>196.14331172798899</v>
      </c>
      <c r="AC2130" s="16">
        <v>0</v>
      </c>
      <c r="AD2130" s="16">
        <v>-51.415226335993196</v>
      </c>
      <c r="AE2130" s="16">
        <v>2127</v>
      </c>
      <c r="AF2130" s="16">
        <f>IF(AC2130=0,IF(O2130=6,INDEX(Acceleration!$V$4:$V$110,MATCH('Track Data'!S2130,Acceleration!$K$4:$K$110,0)),IF('Track Data'!O2130=5,INDEX(Acceleration!$U$4:$U$110,MATCH('Track Data'!S2130,Acceleration!$K$4:$K$110,0)),1)),U2130)</f>
        <v>1</v>
      </c>
      <c r="AG2130" s="16">
        <f>IF(AC2130=0,IF(O2130=4,INDEX(Acceleration!$T$4:$T$110,MATCH('Track Data'!S2130,Acceleration!$K$4:$K$110,0)),IF('Track Data'!O2130=3,INDEX(Acceleration!$S$4:$S$110,MATCH('Track Data'!S2130,Acceleration!$K$4:$K$110,0)),'Track Data'!AF2130)),'Track Data'!U2130)</f>
        <v>5.2583296715092471</v>
      </c>
      <c r="AH2130" s="16">
        <f>IF(AC2130=0,IF(O2130=2,INDEX(Acceleration!$R$4:$R$110,MATCH('Track Data'!S2130,Acceleration!$K$4:$K$110,0)),IF('Track Data'!O2130=1,INDEX(Acceleration!$Q$4:$Q$110,MATCH('Track Data'!S2130,Acceleration!$K$4:$K$110,0)),'Track Data'!AG2130)),'Track Data'!U2130)</f>
        <v>5.2583296715092471</v>
      </c>
    </row>
    <row r="2131" spans="2:34" x14ac:dyDescent="0.25">
      <c r="B2131" s="16">
        <v>251.63900000000001</v>
      </c>
      <c r="C2131" s="16">
        <v>9401</v>
      </c>
      <c r="D2131" s="16">
        <v>2128</v>
      </c>
      <c r="E2131" s="113">
        <v>134</v>
      </c>
      <c r="F2131" s="113">
        <v>128.80000000000001</v>
      </c>
      <c r="G2131" s="113">
        <v>117.8</v>
      </c>
      <c r="H2131" s="113">
        <f t="shared" si="236"/>
        <v>32.722222222222221</v>
      </c>
      <c r="I2131" s="113">
        <v>16.100000000000001</v>
      </c>
      <c r="J2131" s="113">
        <v>55.82</v>
      </c>
      <c r="K2131" s="113">
        <v>-54.1</v>
      </c>
      <c r="L2131" s="183"/>
      <c r="M2131" s="16">
        <v>2128</v>
      </c>
      <c r="N2131" s="16">
        <f t="shared" si="238"/>
        <v>2.4223940006716432E-2</v>
      </c>
      <c r="O2131" s="16">
        <v>3</v>
      </c>
      <c r="P2131" s="16">
        <f t="shared" si="234"/>
        <v>10.596205962059623</v>
      </c>
      <c r="Q2131" s="16">
        <f t="shared" si="239"/>
        <v>41.281476082038502</v>
      </c>
      <c r="R2131" s="113">
        <f t="shared" si="235"/>
        <v>345.36</v>
      </c>
      <c r="S2131" s="16">
        <f>IF(S2130=15800,15800,ROUND((((Q2131*60)/'Gearing Calculator'!$C$14)*'Track Data'!P2131),-2))</f>
        <v>13300</v>
      </c>
      <c r="T2131" s="16">
        <f t="shared" si="237"/>
        <v>5.2583296715092471</v>
      </c>
      <c r="U2131" s="16">
        <f>IF(AC2131=100,Braking!$AG$2354,IF(AC2131=50,Braking!$AG$1179,IF(AC2131=75,Braking!$AG$1767,0)))</f>
        <v>0</v>
      </c>
      <c r="V2131" s="16">
        <f>0.5*'Gearing Calculator'!$C$15*'Gearing Calculator'!$C$20*'Gearing Calculator'!$W$20*('Track Data'!Q2131^2)</f>
        <v>180.36832271346125</v>
      </c>
      <c r="W2131" s="16">
        <f>('Gearing Calculator'!$U$9*'Track Data'!T2131)+'Track Data'!V2131</f>
        <v>1580.1356812692229</v>
      </c>
      <c r="X2131" s="16">
        <f>('Gearing Calculator'!$U$9*9.81)*('Gearing Calculator'!$U$16/'Gearing Calculator'!$C$7)-(('Track Data'!W2131)*('Gearing Calculator'!$U$17/'Gearing Calculator'!$C$7))</f>
        <v>539.88044034373297</v>
      </c>
      <c r="Y2131" s="16">
        <f>('Gearing Calculator'!$U$9*9.81)*(('Gearing Calculator'!$C$7-'Gearing Calculator'!$U$16)/'Gearing Calculator'!$C$7)+(('Track Data'!W2131)*('Gearing Calculator'!$U$17/'Gearing Calculator'!$C$7))</f>
        <v>2071.5415596562671</v>
      </c>
      <c r="Z2131" s="16">
        <f>((X2131*COS('Gearing Calculator'!$C$21))/'Gearing Calculator'!$C$22)/2</f>
        <v>16.691395719071824</v>
      </c>
      <c r="AA2131" s="16">
        <f>Y2131/'Gearing Calculator'!$C$24</f>
        <v>28.925668218874538</v>
      </c>
      <c r="AB2131" s="16">
        <f t="shared" si="233"/>
        <v>196.14331172798899</v>
      </c>
      <c r="AC2131" s="16">
        <v>0</v>
      </c>
      <c r="AD2131" s="16">
        <v>-51.415226335993196</v>
      </c>
      <c r="AE2131" s="16">
        <v>2128</v>
      </c>
      <c r="AF2131" s="16">
        <f>IF(AC2131=0,IF(O2131=6,INDEX(Acceleration!$V$4:$V$110,MATCH('Track Data'!S2131,Acceleration!$K$4:$K$110,0)),IF('Track Data'!O2131=5,INDEX(Acceleration!$U$4:$U$110,MATCH('Track Data'!S2131,Acceleration!$K$4:$K$110,0)),1)),U2131)</f>
        <v>1</v>
      </c>
      <c r="AG2131" s="16">
        <f>IF(AC2131=0,IF(O2131=4,INDEX(Acceleration!$T$4:$T$110,MATCH('Track Data'!S2131,Acceleration!$K$4:$K$110,0)),IF('Track Data'!O2131=3,INDEX(Acceleration!$S$4:$S$110,MATCH('Track Data'!S2131,Acceleration!$K$4:$K$110,0)),'Track Data'!AF2131)),'Track Data'!U2131)</f>
        <v>5.2583296715092471</v>
      </c>
      <c r="AH2131" s="16">
        <f>IF(AC2131=0,IF(O2131=2,INDEX(Acceleration!$R$4:$R$110,MATCH('Track Data'!S2131,Acceleration!$K$4:$K$110,0)),IF('Track Data'!O2131=1,INDEX(Acceleration!$Q$4:$Q$110,MATCH('Track Data'!S2131,Acceleration!$K$4:$K$110,0)),'Track Data'!AG2131)),'Track Data'!U2131)</f>
        <v>5.2583296715092471</v>
      </c>
    </row>
    <row r="2132" spans="2:34" x14ac:dyDescent="0.25">
      <c r="B2132" s="16">
        <v>251.666</v>
      </c>
      <c r="C2132" s="16">
        <v>9402</v>
      </c>
      <c r="D2132" s="16">
        <v>2129</v>
      </c>
      <c r="E2132" s="113">
        <v>134</v>
      </c>
      <c r="F2132" s="113">
        <v>129.19999999999999</v>
      </c>
      <c r="G2132" s="113">
        <v>118</v>
      </c>
      <c r="H2132" s="113">
        <f t="shared" si="236"/>
        <v>32.777777777777779</v>
      </c>
      <c r="I2132" s="113">
        <v>16.3</v>
      </c>
      <c r="J2132" s="113">
        <v>60.13</v>
      </c>
      <c r="K2132" s="113">
        <v>-55</v>
      </c>
      <c r="L2132" s="183"/>
      <c r="M2132" s="16">
        <v>2129</v>
      </c>
      <c r="N2132" s="16">
        <f t="shared" si="238"/>
        <v>2.4223940006716432E-2</v>
      </c>
      <c r="O2132" s="16">
        <v>3</v>
      </c>
      <c r="P2132" s="16">
        <f t="shared" si="234"/>
        <v>10.596205962059623</v>
      </c>
      <c r="Q2132" s="16">
        <f t="shared" si="239"/>
        <v>41.281476082038502</v>
      </c>
      <c r="R2132" s="113">
        <f t="shared" si="235"/>
        <v>345.36</v>
      </c>
      <c r="S2132" s="16">
        <f>IF(S2131=15800,15800,ROUND((((Q2132*60)/'Gearing Calculator'!$C$14)*'Track Data'!P2132),-2))</f>
        <v>13300</v>
      </c>
      <c r="T2132" s="16">
        <f t="shared" si="237"/>
        <v>5.2583296715092471</v>
      </c>
      <c r="U2132" s="16">
        <f>IF(AC2132=100,Braking!$AG$2354,IF(AC2132=50,Braking!$AG$1179,IF(AC2132=75,Braking!$AG$1767,0)))</f>
        <v>0</v>
      </c>
      <c r="V2132" s="16">
        <f>0.5*'Gearing Calculator'!$C$15*'Gearing Calculator'!$C$20*'Gearing Calculator'!$W$20*('Track Data'!Q2132^2)</f>
        <v>180.36832271346125</v>
      </c>
      <c r="W2132" s="16">
        <f>('Gearing Calculator'!$U$9*'Track Data'!T2132)+'Track Data'!V2132</f>
        <v>1580.1356812692229</v>
      </c>
      <c r="X2132" s="16">
        <f>('Gearing Calculator'!$U$9*9.81)*('Gearing Calculator'!$U$16/'Gearing Calculator'!$C$7)-(('Track Data'!W2132)*('Gearing Calculator'!$U$17/'Gearing Calculator'!$C$7))</f>
        <v>539.88044034373297</v>
      </c>
      <c r="Y2132" s="16">
        <f>('Gearing Calculator'!$U$9*9.81)*(('Gearing Calculator'!$C$7-'Gearing Calculator'!$U$16)/'Gearing Calculator'!$C$7)+(('Track Data'!W2132)*('Gearing Calculator'!$U$17/'Gearing Calculator'!$C$7))</f>
        <v>2071.5415596562671</v>
      </c>
      <c r="Z2132" s="16">
        <f>((X2132*COS('Gearing Calculator'!$C$21))/'Gearing Calculator'!$C$22)/2</f>
        <v>16.691395719071824</v>
      </c>
      <c r="AA2132" s="16">
        <f>Y2132/'Gearing Calculator'!$C$24</f>
        <v>28.925668218874538</v>
      </c>
      <c r="AB2132" s="16">
        <f t="shared" si="233"/>
        <v>196.14331172798899</v>
      </c>
      <c r="AC2132" s="16">
        <v>0</v>
      </c>
      <c r="AD2132" s="16">
        <v>-51.415226335993196</v>
      </c>
      <c r="AE2132" s="16">
        <v>2129</v>
      </c>
      <c r="AF2132" s="16">
        <f>IF(AC2132=0,IF(O2132=6,INDEX(Acceleration!$V$4:$V$110,MATCH('Track Data'!S2132,Acceleration!$K$4:$K$110,0)),IF('Track Data'!O2132=5,INDEX(Acceleration!$U$4:$U$110,MATCH('Track Data'!S2132,Acceleration!$K$4:$K$110,0)),1)),U2132)</f>
        <v>1</v>
      </c>
      <c r="AG2132" s="16">
        <f>IF(AC2132=0,IF(O2132=4,INDEX(Acceleration!$T$4:$T$110,MATCH('Track Data'!S2132,Acceleration!$K$4:$K$110,0)),IF('Track Data'!O2132=3,INDEX(Acceleration!$S$4:$S$110,MATCH('Track Data'!S2132,Acceleration!$K$4:$K$110,0)),'Track Data'!AF2132)),'Track Data'!U2132)</f>
        <v>5.2583296715092471</v>
      </c>
      <c r="AH2132" s="16">
        <f>IF(AC2132=0,IF(O2132=2,INDEX(Acceleration!$R$4:$R$110,MATCH('Track Data'!S2132,Acceleration!$K$4:$K$110,0)),IF('Track Data'!O2132=1,INDEX(Acceleration!$Q$4:$Q$110,MATCH('Track Data'!S2132,Acceleration!$K$4:$K$110,0)),'Track Data'!AG2132)),'Track Data'!U2132)</f>
        <v>5.2583296715092471</v>
      </c>
    </row>
    <row r="2133" spans="2:34" x14ac:dyDescent="0.25">
      <c r="B2133" s="16">
        <v>251.69399999999999</v>
      </c>
      <c r="C2133" s="16">
        <v>9403</v>
      </c>
      <c r="D2133" s="16">
        <v>2130</v>
      </c>
      <c r="E2133" s="113">
        <v>134</v>
      </c>
      <c r="F2133" s="113">
        <v>129.5</v>
      </c>
      <c r="G2133" s="113">
        <v>118.1</v>
      </c>
      <c r="H2133" s="113">
        <f t="shared" si="236"/>
        <v>32.80555555555555</v>
      </c>
      <c r="I2133" s="113">
        <v>16.3</v>
      </c>
      <c r="J2133" s="113">
        <v>62.71</v>
      </c>
      <c r="K2133" s="113">
        <v>-55.1</v>
      </c>
      <c r="L2133" s="183"/>
      <c r="M2133" s="16">
        <v>2130</v>
      </c>
      <c r="N2133" s="16">
        <f t="shared" si="238"/>
        <v>2.4223940006716432E-2</v>
      </c>
      <c r="O2133" s="16">
        <v>3</v>
      </c>
      <c r="P2133" s="16">
        <f t="shared" si="234"/>
        <v>10.596205962059623</v>
      </c>
      <c r="Q2133" s="16">
        <f t="shared" si="239"/>
        <v>41.281476082038502</v>
      </c>
      <c r="R2133" s="113">
        <f t="shared" si="235"/>
        <v>345.36</v>
      </c>
      <c r="S2133" s="16">
        <f>IF(S2132=15800,15800,ROUND((((Q2133*60)/'Gearing Calculator'!$C$14)*'Track Data'!P2133),-2))</f>
        <v>13300</v>
      </c>
      <c r="T2133" s="16">
        <f t="shared" si="237"/>
        <v>5.2583296715092471</v>
      </c>
      <c r="U2133" s="16">
        <f>IF(AC2133=100,Braking!$AG$2354,IF(AC2133=50,Braking!$AG$1179,IF(AC2133=75,Braking!$AG$1767,0)))</f>
        <v>0</v>
      </c>
      <c r="V2133" s="16">
        <f>0.5*'Gearing Calculator'!$C$15*'Gearing Calculator'!$C$20*'Gearing Calculator'!$W$20*('Track Data'!Q2133^2)</f>
        <v>180.36832271346125</v>
      </c>
      <c r="W2133" s="16">
        <f>('Gearing Calculator'!$U$9*'Track Data'!T2133)+'Track Data'!V2133</f>
        <v>1580.1356812692229</v>
      </c>
      <c r="X2133" s="16">
        <f>('Gearing Calculator'!$U$9*9.81)*('Gearing Calculator'!$U$16/'Gearing Calculator'!$C$7)-(('Track Data'!W2133)*('Gearing Calculator'!$U$17/'Gearing Calculator'!$C$7))</f>
        <v>539.88044034373297</v>
      </c>
      <c r="Y2133" s="16">
        <f>('Gearing Calculator'!$U$9*9.81)*(('Gearing Calculator'!$C$7-'Gearing Calculator'!$U$16)/'Gearing Calculator'!$C$7)+(('Track Data'!W2133)*('Gearing Calculator'!$U$17/'Gearing Calculator'!$C$7))</f>
        <v>2071.5415596562671</v>
      </c>
      <c r="Z2133" s="16">
        <f>((X2133*COS('Gearing Calculator'!$C$21))/'Gearing Calculator'!$C$22)/2</f>
        <v>16.691395719071824</v>
      </c>
      <c r="AA2133" s="16">
        <f>Y2133/'Gearing Calculator'!$C$24</f>
        <v>28.925668218874538</v>
      </c>
      <c r="AB2133" s="16">
        <f t="shared" si="233"/>
        <v>196.14331172798899</v>
      </c>
      <c r="AC2133" s="16">
        <v>0</v>
      </c>
      <c r="AD2133" s="16">
        <v>-51.415226335993196</v>
      </c>
      <c r="AE2133" s="16">
        <v>2130</v>
      </c>
      <c r="AF2133" s="16">
        <f>IF(AC2133=0,IF(O2133=6,INDEX(Acceleration!$V$4:$V$110,MATCH('Track Data'!S2133,Acceleration!$K$4:$K$110,0)),IF('Track Data'!O2133=5,INDEX(Acceleration!$U$4:$U$110,MATCH('Track Data'!S2133,Acceleration!$K$4:$K$110,0)),1)),U2133)</f>
        <v>1</v>
      </c>
      <c r="AG2133" s="16">
        <f>IF(AC2133=0,IF(O2133=4,INDEX(Acceleration!$T$4:$T$110,MATCH('Track Data'!S2133,Acceleration!$K$4:$K$110,0)),IF('Track Data'!O2133=3,INDEX(Acceleration!$S$4:$S$110,MATCH('Track Data'!S2133,Acceleration!$K$4:$K$110,0)),'Track Data'!AF2133)),'Track Data'!U2133)</f>
        <v>5.2583296715092471</v>
      </c>
      <c r="AH2133" s="16">
        <f>IF(AC2133=0,IF(O2133=2,INDEX(Acceleration!$R$4:$R$110,MATCH('Track Data'!S2133,Acceleration!$K$4:$K$110,0)),IF('Track Data'!O2133=1,INDEX(Acceleration!$Q$4:$Q$110,MATCH('Track Data'!S2133,Acceleration!$K$4:$K$110,0)),'Track Data'!AG2133)),'Track Data'!U2133)</f>
        <v>5.2583296715092471</v>
      </c>
    </row>
    <row r="2134" spans="2:34" x14ac:dyDescent="0.25">
      <c r="B2134" s="16">
        <v>251.72200000000001</v>
      </c>
      <c r="C2134" s="16">
        <v>9404</v>
      </c>
      <c r="D2134" s="16">
        <v>2131</v>
      </c>
      <c r="E2134" s="113">
        <v>135</v>
      </c>
      <c r="F2134" s="113">
        <v>129.30000000000001</v>
      </c>
      <c r="G2134" s="113">
        <v>118.3</v>
      </c>
      <c r="H2134" s="113">
        <f t="shared" si="236"/>
        <v>32.861111111111107</v>
      </c>
      <c r="I2134" s="113">
        <v>17.100000000000001</v>
      </c>
      <c r="J2134" s="113">
        <v>66.150000000000006</v>
      </c>
      <c r="K2134" s="113">
        <v>-54</v>
      </c>
      <c r="L2134" s="183"/>
      <c r="M2134" s="16">
        <v>2131</v>
      </c>
      <c r="N2134" s="16">
        <f t="shared" si="238"/>
        <v>2.4223940006716432E-2</v>
      </c>
      <c r="O2134" s="16">
        <v>3</v>
      </c>
      <c r="P2134" s="16">
        <f t="shared" si="234"/>
        <v>10.596205962059623</v>
      </c>
      <c r="Q2134" s="16">
        <f t="shared" si="239"/>
        <v>41.281476082038502</v>
      </c>
      <c r="R2134" s="113">
        <f t="shared" si="235"/>
        <v>345.36</v>
      </c>
      <c r="S2134" s="16">
        <f>IF(S2133=15800,15800,ROUND((((Q2134*60)/'Gearing Calculator'!$C$14)*'Track Data'!P2134),-2))</f>
        <v>13300</v>
      </c>
      <c r="T2134" s="16">
        <f t="shared" si="237"/>
        <v>5.2583296715092471</v>
      </c>
      <c r="U2134" s="16">
        <f>IF(AC2134=100,Braking!$AG$2354,IF(AC2134=50,Braking!$AG$1179,IF(AC2134=75,Braking!$AG$1767,0)))</f>
        <v>0</v>
      </c>
      <c r="V2134" s="16">
        <f>0.5*'Gearing Calculator'!$C$15*'Gearing Calculator'!$C$20*'Gearing Calculator'!$W$20*('Track Data'!Q2134^2)</f>
        <v>180.36832271346125</v>
      </c>
      <c r="W2134" s="16">
        <f>('Gearing Calculator'!$U$9*'Track Data'!T2134)+'Track Data'!V2134</f>
        <v>1580.1356812692229</v>
      </c>
      <c r="X2134" s="16">
        <f>('Gearing Calculator'!$U$9*9.81)*('Gearing Calculator'!$U$16/'Gearing Calculator'!$C$7)-(('Track Data'!W2134)*('Gearing Calculator'!$U$17/'Gearing Calculator'!$C$7))</f>
        <v>539.88044034373297</v>
      </c>
      <c r="Y2134" s="16">
        <f>('Gearing Calculator'!$U$9*9.81)*(('Gearing Calculator'!$C$7-'Gearing Calculator'!$U$16)/'Gearing Calculator'!$C$7)+(('Track Data'!W2134)*('Gearing Calculator'!$U$17/'Gearing Calculator'!$C$7))</f>
        <v>2071.5415596562671</v>
      </c>
      <c r="Z2134" s="16">
        <f>((X2134*COS('Gearing Calculator'!$C$21))/'Gearing Calculator'!$C$22)/2</f>
        <v>16.691395719071824</v>
      </c>
      <c r="AA2134" s="16">
        <f>Y2134/'Gearing Calculator'!$C$24</f>
        <v>28.925668218874538</v>
      </c>
      <c r="AB2134" s="16">
        <f t="shared" si="233"/>
        <v>196.14331172798899</v>
      </c>
      <c r="AC2134" s="16">
        <v>0</v>
      </c>
      <c r="AD2134" s="16">
        <v>-51.415226335993196</v>
      </c>
      <c r="AE2134" s="16">
        <v>2131</v>
      </c>
      <c r="AF2134" s="16">
        <f>IF(AC2134=0,IF(O2134=6,INDEX(Acceleration!$V$4:$V$110,MATCH('Track Data'!S2134,Acceleration!$K$4:$K$110,0)),IF('Track Data'!O2134=5,INDEX(Acceleration!$U$4:$U$110,MATCH('Track Data'!S2134,Acceleration!$K$4:$K$110,0)),1)),U2134)</f>
        <v>1</v>
      </c>
      <c r="AG2134" s="16">
        <f>IF(AC2134=0,IF(O2134=4,INDEX(Acceleration!$T$4:$T$110,MATCH('Track Data'!S2134,Acceleration!$K$4:$K$110,0)),IF('Track Data'!O2134=3,INDEX(Acceleration!$S$4:$S$110,MATCH('Track Data'!S2134,Acceleration!$K$4:$K$110,0)),'Track Data'!AF2134)),'Track Data'!U2134)</f>
        <v>5.2583296715092471</v>
      </c>
      <c r="AH2134" s="16">
        <f>IF(AC2134=0,IF(O2134=2,INDEX(Acceleration!$R$4:$R$110,MATCH('Track Data'!S2134,Acceleration!$K$4:$K$110,0)),IF('Track Data'!O2134=1,INDEX(Acceleration!$Q$4:$Q$110,MATCH('Track Data'!S2134,Acceleration!$K$4:$K$110,0)),'Track Data'!AG2134)),'Track Data'!U2134)</f>
        <v>5.2583296715092471</v>
      </c>
    </row>
    <row r="2135" spans="2:34" x14ac:dyDescent="0.25">
      <c r="B2135" s="16">
        <v>251.75</v>
      </c>
      <c r="C2135" s="16">
        <v>9405</v>
      </c>
      <c r="D2135" s="16">
        <v>2132</v>
      </c>
      <c r="E2135" s="113">
        <v>135</v>
      </c>
      <c r="F2135" s="113">
        <v>129.30000000000001</v>
      </c>
      <c r="G2135" s="113">
        <v>118.5</v>
      </c>
      <c r="H2135" s="113">
        <f t="shared" si="236"/>
        <v>32.916666666666664</v>
      </c>
      <c r="I2135" s="113">
        <v>18.3</v>
      </c>
      <c r="J2135" s="113">
        <v>62.83</v>
      </c>
      <c r="K2135" s="113">
        <v>-53</v>
      </c>
      <c r="L2135" s="183"/>
      <c r="M2135" s="16">
        <v>2132</v>
      </c>
      <c r="N2135" s="16">
        <f t="shared" si="238"/>
        <v>2.4223940006716432E-2</v>
      </c>
      <c r="O2135" s="16">
        <v>3</v>
      </c>
      <c r="P2135" s="16">
        <f t="shared" si="234"/>
        <v>10.596205962059623</v>
      </c>
      <c r="Q2135" s="16">
        <f t="shared" si="239"/>
        <v>41.281476082038502</v>
      </c>
      <c r="R2135" s="113">
        <f t="shared" si="235"/>
        <v>345.36</v>
      </c>
      <c r="S2135" s="16">
        <f>IF(S2134=15800,15800,ROUND((((Q2135*60)/'Gearing Calculator'!$C$14)*'Track Data'!P2135),-2))</f>
        <v>13300</v>
      </c>
      <c r="T2135" s="16">
        <f t="shared" si="237"/>
        <v>5.2583296715092471</v>
      </c>
      <c r="U2135" s="16">
        <f>IF(AC2135=100,Braking!$AG$2354,IF(AC2135=50,Braking!$AG$1179,IF(AC2135=75,Braking!$AG$1767,0)))</f>
        <v>0</v>
      </c>
      <c r="V2135" s="16">
        <f>0.5*'Gearing Calculator'!$C$15*'Gearing Calculator'!$C$20*'Gearing Calculator'!$W$20*('Track Data'!Q2135^2)</f>
        <v>180.36832271346125</v>
      </c>
      <c r="W2135" s="16">
        <f>('Gearing Calculator'!$U$9*'Track Data'!T2135)+'Track Data'!V2135</f>
        <v>1580.1356812692229</v>
      </c>
      <c r="X2135" s="16">
        <f>('Gearing Calculator'!$U$9*9.81)*('Gearing Calculator'!$U$16/'Gearing Calculator'!$C$7)-(('Track Data'!W2135)*('Gearing Calculator'!$U$17/'Gearing Calculator'!$C$7))</f>
        <v>539.88044034373297</v>
      </c>
      <c r="Y2135" s="16">
        <f>('Gearing Calculator'!$U$9*9.81)*(('Gearing Calculator'!$C$7-'Gearing Calculator'!$U$16)/'Gearing Calculator'!$C$7)+(('Track Data'!W2135)*('Gearing Calculator'!$U$17/'Gearing Calculator'!$C$7))</f>
        <v>2071.5415596562671</v>
      </c>
      <c r="Z2135" s="16">
        <f>((X2135*COS('Gearing Calculator'!$C$21))/'Gearing Calculator'!$C$22)/2</f>
        <v>16.691395719071824</v>
      </c>
      <c r="AA2135" s="16">
        <f>Y2135/'Gearing Calculator'!$C$24</f>
        <v>28.925668218874538</v>
      </c>
      <c r="AB2135" s="16">
        <f t="shared" si="233"/>
        <v>196.14331172798899</v>
      </c>
      <c r="AC2135" s="16">
        <v>0</v>
      </c>
      <c r="AD2135" s="16">
        <v>-51.415226335993196</v>
      </c>
      <c r="AE2135" s="16">
        <v>2132</v>
      </c>
      <c r="AF2135" s="16">
        <f>IF(AC2135=0,IF(O2135=6,INDEX(Acceleration!$V$4:$V$110,MATCH('Track Data'!S2135,Acceleration!$K$4:$K$110,0)),IF('Track Data'!O2135=5,INDEX(Acceleration!$U$4:$U$110,MATCH('Track Data'!S2135,Acceleration!$K$4:$K$110,0)),1)),U2135)</f>
        <v>1</v>
      </c>
      <c r="AG2135" s="16">
        <f>IF(AC2135=0,IF(O2135=4,INDEX(Acceleration!$T$4:$T$110,MATCH('Track Data'!S2135,Acceleration!$K$4:$K$110,0)),IF('Track Data'!O2135=3,INDEX(Acceleration!$S$4:$S$110,MATCH('Track Data'!S2135,Acceleration!$K$4:$K$110,0)),'Track Data'!AF2135)),'Track Data'!U2135)</f>
        <v>5.2583296715092471</v>
      </c>
      <c r="AH2135" s="16">
        <f>IF(AC2135=0,IF(O2135=2,INDEX(Acceleration!$R$4:$R$110,MATCH('Track Data'!S2135,Acceleration!$K$4:$K$110,0)),IF('Track Data'!O2135=1,INDEX(Acceleration!$Q$4:$Q$110,MATCH('Track Data'!S2135,Acceleration!$K$4:$K$110,0)),'Track Data'!AG2135)),'Track Data'!U2135)</f>
        <v>5.2583296715092471</v>
      </c>
    </row>
    <row r="2136" spans="2:34" x14ac:dyDescent="0.25">
      <c r="B2136" s="16">
        <v>251.77799999999999</v>
      </c>
      <c r="C2136" s="16">
        <v>9406</v>
      </c>
      <c r="D2136" s="16">
        <v>2133</v>
      </c>
      <c r="E2136" s="113">
        <v>135</v>
      </c>
      <c r="F2136" s="113">
        <v>129.30000000000001</v>
      </c>
      <c r="G2136" s="113">
        <v>118.6</v>
      </c>
      <c r="H2136" s="113">
        <f t="shared" si="236"/>
        <v>32.944444444444443</v>
      </c>
      <c r="I2136" s="113">
        <v>18.5</v>
      </c>
      <c r="J2136" s="113">
        <v>58.72</v>
      </c>
      <c r="K2136" s="113">
        <v>-52.8</v>
      </c>
      <c r="L2136" s="183"/>
      <c r="M2136" s="16">
        <v>2133</v>
      </c>
      <c r="N2136" s="16">
        <f t="shared" si="238"/>
        <v>2.4223940006716432E-2</v>
      </c>
      <c r="O2136" s="16">
        <v>3</v>
      </c>
      <c r="P2136" s="16">
        <f t="shared" si="234"/>
        <v>10.596205962059623</v>
      </c>
      <c r="Q2136" s="16">
        <f t="shared" si="239"/>
        <v>41.281476082038502</v>
      </c>
      <c r="R2136" s="113">
        <f t="shared" si="235"/>
        <v>345.36</v>
      </c>
      <c r="S2136" s="16">
        <f>IF(S2135=15800,15800,ROUND((((Q2136*60)/'Gearing Calculator'!$C$14)*'Track Data'!P2136),-2))</f>
        <v>13300</v>
      </c>
      <c r="T2136" s="16">
        <f t="shared" si="237"/>
        <v>5.2583296715092471</v>
      </c>
      <c r="U2136" s="16">
        <f>IF(AC2136=100,Braking!$AG$2354,IF(AC2136=50,Braking!$AG$1179,IF(AC2136=75,Braking!$AG$1767,0)))</f>
        <v>0</v>
      </c>
      <c r="V2136" s="16">
        <f>0.5*'Gearing Calculator'!$C$15*'Gearing Calculator'!$C$20*'Gearing Calculator'!$W$20*('Track Data'!Q2136^2)</f>
        <v>180.36832271346125</v>
      </c>
      <c r="W2136" s="16">
        <f>('Gearing Calculator'!$U$9*'Track Data'!T2136)+'Track Data'!V2136</f>
        <v>1580.1356812692229</v>
      </c>
      <c r="X2136" s="16">
        <f>('Gearing Calculator'!$U$9*9.81)*('Gearing Calculator'!$U$16/'Gearing Calculator'!$C$7)-(('Track Data'!W2136)*('Gearing Calculator'!$U$17/'Gearing Calculator'!$C$7))</f>
        <v>539.88044034373297</v>
      </c>
      <c r="Y2136" s="16">
        <f>('Gearing Calculator'!$U$9*9.81)*(('Gearing Calculator'!$C$7-'Gearing Calculator'!$U$16)/'Gearing Calculator'!$C$7)+(('Track Data'!W2136)*('Gearing Calculator'!$U$17/'Gearing Calculator'!$C$7))</f>
        <v>2071.5415596562671</v>
      </c>
      <c r="Z2136" s="16">
        <f>((X2136*COS('Gearing Calculator'!$C$21))/'Gearing Calculator'!$C$22)/2</f>
        <v>16.691395719071824</v>
      </c>
      <c r="AA2136" s="16">
        <f>Y2136/'Gearing Calculator'!$C$24</f>
        <v>28.925668218874538</v>
      </c>
      <c r="AB2136" s="16">
        <f t="shared" si="233"/>
        <v>196.14331172798899</v>
      </c>
      <c r="AC2136" s="16">
        <v>0</v>
      </c>
      <c r="AD2136" s="16">
        <v>-51.415226335993196</v>
      </c>
      <c r="AE2136" s="16">
        <v>2133</v>
      </c>
      <c r="AF2136" s="16">
        <f>IF(AC2136=0,IF(O2136=6,INDEX(Acceleration!$V$4:$V$110,MATCH('Track Data'!S2136,Acceleration!$K$4:$K$110,0)),IF('Track Data'!O2136=5,INDEX(Acceleration!$U$4:$U$110,MATCH('Track Data'!S2136,Acceleration!$K$4:$K$110,0)),1)),U2136)</f>
        <v>1</v>
      </c>
      <c r="AG2136" s="16">
        <f>IF(AC2136=0,IF(O2136=4,INDEX(Acceleration!$T$4:$T$110,MATCH('Track Data'!S2136,Acceleration!$K$4:$K$110,0)),IF('Track Data'!O2136=3,INDEX(Acceleration!$S$4:$S$110,MATCH('Track Data'!S2136,Acceleration!$K$4:$K$110,0)),'Track Data'!AF2136)),'Track Data'!U2136)</f>
        <v>5.2583296715092471</v>
      </c>
      <c r="AH2136" s="16">
        <f>IF(AC2136=0,IF(O2136=2,INDEX(Acceleration!$R$4:$R$110,MATCH('Track Data'!S2136,Acceleration!$K$4:$K$110,0)),IF('Track Data'!O2136=1,INDEX(Acceleration!$Q$4:$Q$110,MATCH('Track Data'!S2136,Acceleration!$K$4:$K$110,0)),'Track Data'!AG2136)),'Track Data'!U2136)</f>
        <v>5.2583296715092471</v>
      </c>
    </row>
    <row r="2137" spans="2:34" x14ac:dyDescent="0.25">
      <c r="B2137" s="16">
        <v>251.80600000000001</v>
      </c>
      <c r="C2137" s="16">
        <v>9407</v>
      </c>
      <c r="D2137" s="16">
        <v>2134</v>
      </c>
      <c r="E2137" s="113">
        <v>136</v>
      </c>
      <c r="F2137" s="113">
        <v>129.5</v>
      </c>
      <c r="G2137" s="113">
        <v>118.8</v>
      </c>
      <c r="H2137" s="113">
        <f t="shared" si="236"/>
        <v>33</v>
      </c>
      <c r="I2137" s="113">
        <v>17.600000000000001</v>
      </c>
      <c r="J2137" s="113">
        <v>55</v>
      </c>
      <c r="K2137" s="113">
        <v>-52.8</v>
      </c>
      <c r="L2137" s="183"/>
      <c r="M2137" s="16">
        <v>2134</v>
      </c>
      <c r="N2137" s="16">
        <f t="shared" si="238"/>
        <v>2.4223940006716432E-2</v>
      </c>
      <c r="O2137" s="16">
        <v>3</v>
      </c>
      <c r="P2137" s="16">
        <f t="shared" si="234"/>
        <v>10.596205962059623</v>
      </c>
      <c r="Q2137" s="16">
        <f t="shared" si="239"/>
        <v>41.281476082038502</v>
      </c>
      <c r="R2137" s="113">
        <f t="shared" si="235"/>
        <v>345.36</v>
      </c>
      <c r="S2137" s="16">
        <f>IF(S2136=15800,15800,ROUND((((Q2137*60)/'Gearing Calculator'!$C$14)*'Track Data'!P2137),-2))</f>
        <v>13300</v>
      </c>
      <c r="T2137" s="16">
        <f t="shared" si="237"/>
        <v>5.2583296715092471</v>
      </c>
      <c r="U2137" s="16">
        <f>IF(AC2137=100,Braking!$AG$2354,IF(AC2137=50,Braking!$AG$1179,IF(AC2137=75,Braking!$AG$1767,0)))</f>
        <v>0</v>
      </c>
      <c r="V2137" s="16">
        <f>0.5*'Gearing Calculator'!$C$15*'Gearing Calculator'!$C$20*'Gearing Calculator'!$W$20*('Track Data'!Q2137^2)</f>
        <v>180.36832271346125</v>
      </c>
      <c r="W2137" s="16">
        <f>('Gearing Calculator'!$U$9*'Track Data'!T2137)+'Track Data'!V2137</f>
        <v>1580.1356812692229</v>
      </c>
      <c r="X2137" s="16">
        <f>('Gearing Calculator'!$U$9*9.81)*('Gearing Calculator'!$U$16/'Gearing Calculator'!$C$7)-(('Track Data'!W2137)*('Gearing Calculator'!$U$17/'Gearing Calculator'!$C$7))</f>
        <v>539.88044034373297</v>
      </c>
      <c r="Y2137" s="16">
        <f>('Gearing Calculator'!$U$9*9.81)*(('Gearing Calculator'!$C$7-'Gearing Calculator'!$U$16)/'Gearing Calculator'!$C$7)+(('Track Data'!W2137)*('Gearing Calculator'!$U$17/'Gearing Calculator'!$C$7))</f>
        <v>2071.5415596562671</v>
      </c>
      <c r="Z2137" s="16">
        <f>((X2137*COS('Gearing Calculator'!$C$21))/'Gearing Calculator'!$C$22)/2</f>
        <v>16.691395719071824</v>
      </c>
      <c r="AA2137" s="16">
        <f>Y2137/'Gearing Calculator'!$C$24</f>
        <v>28.925668218874538</v>
      </c>
      <c r="AB2137" s="16">
        <f t="shared" si="233"/>
        <v>196.14331172798899</v>
      </c>
      <c r="AC2137" s="16">
        <v>0</v>
      </c>
      <c r="AD2137" s="16">
        <v>-51.415226335993196</v>
      </c>
      <c r="AE2137" s="16">
        <v>2134</v>
      </c>
      <c r="AF2137" s="16">
        <f>IF(AC2137=0,IF(O2137=6,INDEX(Acceleration!$V$4:$V$110,MATCH('Track Data'!S2137,Acceleration!$K$4:$K$110,0)),IF('Track Data'!O2137=5,INDEX(Acceleration!$U$4:$U$110,MATCH('Track Data'!S2137,Acceleration!$K$4:$K$110,0)),1)),U2137)</f>
        <v>1</v>
      </c>
      <c r="AG2137" s="16">
        <f>IF(AC2137=0,IF(O2137=4,INDEX(Acceleration!$T$4:$T$110,MATCH('Track Data'!S2137,Acceleration!$K$4:$K$110,0)),IF('Track Data'!O2137=3,INDEX(Acceleration!$S$4:$S$110,MATCH('Track Data'!S2137,Acceleration!$K$4:$K$110,0)),'Track Data'!AF2137)),'Track Data'!U2137)</f>
        <v>5.2583296715092471</v>
      </c>
      <c r="AH2137" s="16">
        <f>IF(AC2137=0,IF(O2137=2,INDEX(Acceleration!$R$4:$R$110,MATCH('Track Data'!S2137,Acceleration!$K$4:$K$110,0)),IF('Track Data'!O2137=1,INDEX(Acceleration!$Q$4:$Q$110,MATCH('Track Data'!S2137,Acceleration!$K$4:$K$110,0)),'Track Data'!AG2137)),'Track Data'!U2137)</f>
        <v>5.2583296715092471</v>
      </c>
    </row>
    <row r="2138" spans="2:34" x14ac:dyDescent="0.25">
      <c r="B2138" s="16">
        <v>251.833</v>
      </c>
      <c r="C2138" s="16">
        <v>9408</v>
      </c>
      <c r="D2138" s="16">
        <v>2135</v>
      </c>
      <c r="E2138" s="113">
        <v>138</v>
      </c>
      <c r="F2138" s="113">
        <v>129.80000000000001</v>
      </c>
      <c r="G2138" s="113">
        <v>119</v>
      </c>
      <c r="H2138" s="113">
        <f t="shared" si="236"/>
        <v>33.055555555555557</v>
      </c>
      <c r="I2138" s="113">
        <v>13.2</v>
      </c>
      <c r="J2138" s="113">
        <v>50.04</v>
      </c>
      <c r="K2138" s="113">
        <v>-52.8</v>
      </c>
      <c r="L2138" s="183"/>
      <c r="M2138" s="16">
        <v>2135</v>
      </c>
      <c r="N2138" s="16">
        <f t="shared" si="238"/>
        <v>2.4223940006716432E-2</v>
      </c>
      <c r="O2138" s="16">
        <v>3</v>
      </c>
      <c r="P2138" s="16">
        <f t="shared" si="234"/>
        <v>10.596205962059623</v>
      </c>
      <c r="Q2138" s="16">
        <f t="shared" si="239"/>
        <v>41.281476082038502</v>
      </c>
      <c r="R2138" s="113">
        <f t="shared" si="235"/>
        <v>345.36</v>
      </c>
      <c r="S2138" s="16">
        <f>IF(S2137=15800,15800,ROUND((((Q2138*60)/'Gearing Calculator'!$C$14)*'Track Data'!P2138),-2))</f>
        <v>13300</v>
      </c>
      <c r="T2138" s="16">
        <f t="shared" si="237"/>
        <v>5.2583296715092471</v>
      </c>
      <c r="U2138" s="16">
        <f>IF(AC2138=100,Braking!$AG$2354,IF(AC2138=50,Braking!$AG$1179,IF(AC2138=75,Braking!$AG$1767,0)))</f>
        <v>0</v>
      </c>
      <c r="V2138" s="16">
        <f>0.5*'Gearing Calculator'!$C$15*'Gearing Calculator'!$C$20*'Gearing Calculator'!$W$20*('Track Data'!Q2138^2)</f>
        <v>180.36832271346125</v>
      </c>
      <c r="W2138" s="16">
        <f>('Gearing Calculator'!$U$9*'Track Data'!T2138)+'Track Data'!V2138</f>
        <v>1580.1356812692229</v>
      </c>
      <c r="X2138" s="16">
        <f>('Gearing Calculator'!$U$9*9.81)*('Gearing Calculator'!$U$16/'Gearing Calculator'!$C$7)-(('Track Data'!W2138)*('Gearing Calculator'!$U$17/'Gearing Calculator'!$C$7))</f>
        <v>539.88044034373297</v>
      </c>
      <c r="Y2138" s="16">
        <f>('Gearing Calculator'!$U$9*9.81)*(('Gearing Calculator'!$C$7-'Gearing Calculator'!$U$16)/'Gearing Calculator'!$C$7)+(('Track Data'!W2138)*('Gearing Calculator'!$U$17/'Gearing Calculator'!$C$7))</f>
        <v>2071.5415596562671</v>
      </c>
      <c r="Z2138" s="16">
        <f>((X2138*COS('Gearing Calculator'!$C$21))/'Gearing Calculator'!$C$22)/2</f>
        <v>16.691395719071824</v>
      </c>
      <c r="AA2138" s="16">
        <f>Y2138/'Gearing Calculator'!$C$24</f>
        <v>28.925668218874538</v>
      </c>
      <c r="AB2138" s="16">
        <f t="shared" si="233"/>
        <v>196.14331172798899</v>
      </c>
      <c r="AC2138" s="16">
        <v>0</v>
      </c>
      <c r="AD2138" s="16">
        <v>-51.415226335993196</v>
      </c>
      <c r="AE2138" s="16">
        <v>2135</v>
      </c>
      <c r="AF2138" s="16">
        <f>IF(AC2138=0,IF(O2138=6,INDEX(Acceleration!$V$4:$V$110,MATCH('Track Data'!S2138,Acceleration!$K$4:$K$110,0)),IF('Track Data'!O2138=5,INDEX(Acceleration!$U$4:$U$110,MATCH('Track Data'!S2138,Acceleration!$K$4:$K$110,0)),1)),U2138)</f>
        <v>1</v>
      </c>
      <c r="AG2138" s="16">
        <f>IF(AC2138=0,IF(O2138=4,INDEX(Acceleration!$T$4:$T$110,MATCH('Track Data'!S2138,Acceleration!$K$4:$K$110,0)),IF('Track Data'!O2138=3,INDEX(Acceleration!$S$4:$S$110,MATCH('Track Data'!S2138,Acceleration!$K$4:$K$110,0)),'Track Data'!AF2138)),'Track Data'!U2138)</f>
        <v>5.2583296715092471</v>
      </c>
      <c r="AH2138" s="16">
        <f>IF(AC2138=0,IF(O2138=2,INDEX(Acceleration!$R$4:$R$110,MATCH('Track Data'!S2138,Acceleration!$K$4:$K$110,0)),IF('Track Data'!O2138=1,INDEX(Acceleration!$Q$4:$Q$110,MATCH('Track Data'!S2138,Acceleration!$K$4:$K$110,0)),'Track Data'!AG2138)),'Track Data'!U2138)</f>
        <v>5.2583296715092471</v>
      </c>
    </row>
    <row r="2139" spans="2:34" x14ac:dyDescent="0.25">
      <c r="B2139" s="16">
        <v>251.86099999999999</v>
      </c>
      <c r="C2139" s="16">
        <v>9409</v>
      </c>
      <c r="D2139" s="16">
        <v>2136</v>
      </c>
      <c r="E2139" s="113">
        <v>138</v>
      </c>
      <c r="F2139" s="113">
        <v>130.1</v>
      </c>
      <c r="G2139" s="113">
        <v>119.2</v>
      </c>
      <c r="H2139" s="113">
        <f t="shared" si="236"/>
        <v>33.111111111111114</v>
      </c>
      <c r="I2139" s="113">
        <v>12.1</v>
      </c>
      <c r="J2139" s="113">
        <v>48.39</v>
      </c>
      <c r="K2139" s="113">
        <v>-53.7</v>
      </c>
      <c r="L2139" s="183"/>
      <c r="M2139" s="16">
        <v>2136</v>
      </c>
      <c r="N2139" s="16">
        <f t="shared" si="238"/>
        <v>2.4223940006716432E-2</v>
      </c>
      <c r="O2139" s="16">
        <v>3</v>
      </c>
      <c r="P2139" s="16">
        <f t="shared" si="234"/>
        <v>10.596205962059623</v>
      </c>
      <c r="Q2139" s="16">
        <f t="shared" si="239"/>
        <v>41.281476082038502</v>
      </c>
      <c r="R2139" s="113">
        <f t="shared" si="235"/>
        <v>345.36</v>
      </c>
      <c r="S2139" s="16">
        <f>IF(S2138=15800,15800,ROUND((((Q2139*60)/'Gearing Calculator'!$C$14)*'Track Data'!P2139),-2))</f>
        <v>13300</v>
      </c>
      <c r="T2139" s="16">
        <f t="shared" si="237"/>
        <v>5.2583296715092471</v>
      </c>
      <c r="U2139" s="16">
        <f>IF(AC2139=100,Braking!$AG$2354,IF(AC2139=50,Braking!$AG$1179,IF(AC2139=75,Braking!$AG$1767,0)))</f>
        <v>0</v>
      </c>
      <c r="V2139" s="16">
        <f>0.5*'Gearing Calculator'!$C$15*'Gearing Calculator'!$C$20*'Gearing Calculator'!$W$20*('Track Data'!Q2139^2)</f>
        <v>180.36832271346125</v>
      </c>
      <c r="W2139" s="16">
        <f>('Gearing Calculator'!$U$9*'Track Data'!T2139)+'Track Data'!V2139</f>
        <v>1580.1356812692229</v>
      </c>
      <c r="X2139" s="16">
        <f>('Gearing Calculator'!$U$9*9.81)*('Gearing Calculator'!$U$16/'Gearing Calculator'!$C$7)-(('Track Data'!W2139)*('Gearing Calculator'!$U$17/'Gearing Calculator'!$C$7))</f>
        <v>539.88044034373297</v>
      </c>
      <c r="Y2139" s="16">
        <f>('Gearing Calculator'!$U$9*9.81)*(('Gearing Calculator'!$C$7-'Gearing Calculator'!$U$16)/'Gearing Calculator'!$C$7)+(('Track Data'!W2139)*('Gearing Calculator'!$U$17/'Gearing Calculator'!$C$7))</f>
        <v>2071.5415596562671</v>
      </c>
      <c r="Z2139" s="16">
        <f>((X2139*COS('Gearing Calculator'!$C$21))/'Gearing Calculator'!$C$22)/2</f>
        <v>16.691395719071824</v>
      </c>
      <c r="AA2139" s="16">
        <f>Y2139/'Gearing Calculator'!$C$24</f>
        <v>28.925668218874538</v>
      </c>
      <c r="AB2139" s="16">
        <f t="shared" si="233"/>
        <v>196.14331172798899</v>
      </c>
      <c r="AC2139" s="16">
        <v>0</v>
      </c>
      <c r="AD2139" s="16">
        <v>-51.415226335993196</v>
      </c>
      <c r="AE2139" s="16">
        <v>2136</v>
      </c>
      <c r="AF2139" s="16">
        <f>IF(AC2139=0,IF(O2139=6,INDEX(Acceleration!$V$4:$V$110,MATCH('Track Data'!S2139,Acceleration!$K$4:$K$110,0)),IF('Track Data'!O2139=5,INDEX(Acceleration!$U$4:$U$110,MATCH('Track Data'!S2139,Acceleration!$K$4:$K$110,0)),1)),U2139)</f>
        <v>1</v>
      </c>
      <c r="AG2139" s="16">
        <f>IF(AC2139=0,IF(O2139=4,INDEX(Acceleration!$T$4:$T$110,MATCH('Track Data'!S2139,Acceleration!$K$4:$K$110,0)),IF('Track Data'!O2139=3,INDEX(Acceleration!$S$4:$S$110,MATCH('Track Data'!S2139,Acceleration!$K$4:$K$110,0)),'Track Data'!AF2139)),'Track Data'!U2139)</f>
        <v>5.2583296715092471</v>
      </c>
      <c r="AH2139" s="16">
        <f>IF(AC2139=0,IF(O2139=2,INDEX(Acceleration!$R$4:$R$110,MATCH('Track Data'!S2139,Acceleration!$K$4:$K$110,0)),IF('Track Data'!O2139=1,INDEX(Acceleration!$Q$4:$Q$110,MATCH('Track Data'!S2139,Acceleration!$K$4:$K$110,0)),'Track Data'!AG2139)),'Track Data'!U2139)</f>
        <v>5.2583296715092471</v>
      </c>
    </row>
    <row r="2140" spans="2:34" x14ac:dyDescent="0.25">
      <c r="B2140" s="16">
        <v>251.88800000000001</v>
      </c>
      <c r="C2140" s="16">
        <v>9410</v>
      </c>
      <c r="D2140" s="16">
        <v>2137</v>
      </c>
      <c r="E2140" s="113">
        <v>138</v>
      </c>
      <c r="F2140" s="113">
        <v>130.19999999999999</v>
      </c>
      <c r="G2140" s="113">
        <v>119.4</v>
      </c>
      <c r="H2140" s="113">
        <f t="shared" si="236"/>
        <v>33.166666666666664</v>
      </c>
      <c r="I2140" s="113">
        <v>12</v>
      </c>
      <c r="J2140" s="113">
        <v>48.74</v>
      </c>
      <c r="K2140" s="113">
        <v>-54.4</v>
      </c>
      <c r="L2140" s="183"/>
      <c r="M2140" s="16">
        <v>2137</v>
      </c>
      <c r="N2140" s="16">
        <f t="shared" si="238"/>
        <v>2.4223940006716432E-2</v>
      </c>
      <c r="O2140" s="16">
        <v>3</v>
      </c>
      <c r="P2140" s="16">
        <f t="shared" si="234"/>
        <v>10.596205962059623</v>
      </c>
      <c r="Q2140" s="16">
        <f t="shared" si="239"/>
        <v>41.281476082038502</v>
      </c>
      <c r="R2140" s="113">
        <f t="shared" si="235"/>
        <v>345.36</v>
      </c>
      <c r="S2140" s="16">
        <f>IF(S2139=15800,15800,ROUND((((Q2140*60)/'Gearing Calculator'!$C$14)*'Track Data'!P2140),-2))</f>
        <v>13300</v>
      </c>
      <c r="T2140" s="16">
        <f t="shared" si="237"/>
        <v>5.2583296715092471</v>
      </c>
      <c r="U2140" s="16">
        <f>IF(AC2140=100,Braking!$AG$2354,IF(AC2140=50,Braking!$AG$1179,IF(AC2140=75,Braking!$AG$1767,0)))</f>
        <v>0</v>
      </c>
      <c r="V2140" s="16">
        <f>0.5*'Gearing Calculator'!$C$15*'Gearing Calculator'!$C$20*'Gearing Calculator'!$W$20*('Track Data'!Q2140^2)</f>
        <v>180.36832271346125</v>
      </c>
      <c r="W2140" s="16">
        <f>('Gearing Calculator'!$U$9*'Track Data'!T2140)+'Track Data'!V2140</f>
        <v>1580.1356812692229</v>
      </c>
      <c r="X2140" s="16">
        <f>('Gearing Calculator'!$U$9*9.81)*('Gearing Calculator'!$U$16/'Gearing Calculator'!$C$7)-(('Track Data'!W2140)*('Gearing Calculator'!$U$17/'Gearing Calculator'!$C$7))</f>
        <v>539.88044034373297</v>
      </c>
      <c r="Y2140" s="16">
        <f>('Gearing Calculator'!$U$9*9.81)*(('Gearing Calculator'!$C$7-'Gearing Calculator'!$U$16)/'Gearing Calculator'!$C$7)+(('Track Data'!W2140)*('Gearing Calculator'!$U$17/'Gearing Calculator'!$C$7))</f>
        <v>2071.5415596562671</v>
      </c>
      <c r="Z2140" s="16">
        <f>((X2140*COS('Gearing Calculator'!$C$21))/'Gearing Calculator'!$C$22)/2</f>
        <v>16.691395719071824</v>
      </c>
      <c r="AA2140" s="16">
        <f>Y2140/'Gearing Calculator'!$C$24</f>
        <v>28.925668218874538</v>
      </c>
      <c r="AB2140" s="16">
        <f t="shared" si="233"/>
        <v>196.14331172798899</v>
      </c>
      <c r="AC2140" s="16">
        <v>0</v>
      </c>
      <c r="AD2140" s="16">
        <v>-51.415226335993196</v>
      </c>
      <c r="AE2140" s="16">
        <v>2137</v>
      </c>
      <c r="AF2140" s="16">
        <f>IF(AC2140=0,IF(O2140=6,INDEX(Acceleration!$V$4:$V$110,MATCH('Track Data'!S2140,Acceleration!$K$4:$K$110,0)),IF('Track Data'!O2140=5,INDEX(Acceleration!$U$4:$U$110,MATCH('Track Data'!S2140,Acceleration!$K$4:$K$110,0)),1)),U2140)</f>
        <v>1</v>
      </c>
      <c r="AG2140" s="16">
        <f>IF(AC2140=0,IF(O2140=4,INDEX(Acceleration!$T$4:$T$110,MATCH('Track Data'!S2140,Acceleration!$K$4:$K$110,0)),IF('Track Data'!O2140=3,INDEX(Acceleration!$S$4:$S$110,MATCH('Track Data'!S2140,Acceleration!$K$4:$K$110,0)),'Track Data'!AF2140)),'Track Data'!U2140)</f>
        <v>5.2583296715092471</v>
      </c>
      <c r="AH2140" s="16">
        <f>IF(AC2140=0,IF(O2140=2,INDEX(Acceleration!$R$4:$R$110,MATCH('Track Data'!S2140,Acceleration!$K$4:$K$110,0)),IF('Track Data'!O2140=1,INDEX(Acceleration!$Q$4:$Q$110,MATCH('Track Data'!S2140,Acceleration!$K$4:$K$110,0)),'Track Data'!AG2140)),'Track Data'!U2140)</f>
        <v>5.2583296715092471</v>
      </c>
    </row>
    <row r="2141" spans="2:34" x14ac:dyDescent="0.25">
      <c r="B2141" s="16">
        <v>251.916</v>
      </c>
      <c r="C2141" s="16">
        <v>9411</v>
      </c>
      <c r="D2141" s="16">
        <v>2138</v>
      </c>
      <c r="E2141" s="113">
        <v>137</v>
      </c>
      <c r="F2141" s="113">
        <v>130.1</v>
      </c>
      <c r="G2141" s="113">
        <v>119.6</v>
      </c>
      <c r="H2141" s="113">
        <f t="shared" si="236"/>
        <v>33.222222222222221</v>
      </c>
      <c r="I2141" s="113">
        <v>14.3</v>
      </c>
      <c r="J2141" s="113">
        <v>49.95</v>
      </c>
      <c r="K2141" s="113">
        <v>-55.5</v>
      </c>
      <c r="L2141" s="183"/>
      <c r="M2141" s="16">
        <v>2138</v>
      </c>
      <c r="N2141" s="16">
        <f t="shared" si="238"/>
        <v>2.4223940006716432E-2</v>
      </c>
      <c r="O2141" s="16">
        <v>3</v>
      </c>
      <c r="P2141" s="16">
        <f t="shared" si="234"/>
        <v>10.596205962059623</v>
      </c>
      <c r="Q2141" s="16">
        <f t="shared" si="239"/>
        <v>41.281476082038502</v>
      </c>
      <c r="R2141" s="113">
        <f t="shared" si="235"/>
        <v>345.36</v>
      </c>
      <c r="S2141" s="16">
        <f>IF(S2140=15800,15800,ROUND((((Q2141*60)/'Gearing Calculator'!$C$14)*'Track Data'!P2141),-2))</f>
        <v>13300</v>
      </c>
      <c r="T2141" s="16">
        <f t="shared" si="237"/>
        <v>5.2583296715092471</v>
      </c>
      <c r="U2141" s="16">
        <f>IF(AC2141=100,Braking!$AG$2354,IF(AC2141=50,Braking!$AG$1179,IF(AC2141=75,Braking!$AG$1767,0)))</f>
        <v>0</v>
      </c>
      <c r="V2141" s="16">
        <f>0.5*'Gearing Calculator'!$C$15*'Gearing Calculator'!$C$20*'Gearing Calculator'!$W$20*('Track Data'!Q2141^2)</f>
        <v>180.36832271346125</v>
      </c>
      <c r="W2141" s="16">
        <f>('Gearing Calculator'!$U$9*'Track Data'!T2141)+'Track Data'!V2141</f>
        <v>1580.1356812692229</v>
      </c>
      <c r="X2141" s="16">
        <f>('Gearing Calculator'!$U$9*9.81)*('Gearing Calculator'!$U$16/'Gearing Calculator'!$C$7)-(('Track Data'!W2141)*('Gearing Calculator'!$U$17/'Gearing Calculator'!$C$7))</f>
        <v>539.88044034373297</v>
      </c>
      <c r="Y2141" s="16">
        <f>('Gearing Calculator'!$U$9*9.81)*(('Gearing Calculator'!$C$7-'Gearing Calculator'!$U$16)/'Gearing Calculator'!$C$7)+(('Track Data'!W2141)*('Gearing Calculator'!$U$17/'Gearing Calculator'!$C$7))</f>
        <v>2071.5415596562671</v>
      </c>
      <c r="Z2141" s="16">
        <f>((X2141*COS('Gearing Calculator'!$C$21))/'Gearing Calculator'!$C$22)/2</f>
        <v>16.691395719071824</v>
      </c>
      <c r="AA2141" s="16">
        <f>Y2141/'Gearing Calculator'!$C$24</f>
        <v>28.925668218874538</v>
      </c>
      <c r="AB2141" s="16">
        <f t="shared" si="233"/>
        <v>196.14331172798899</v>
      </c>
      <c r="AC2141" s="16">
        <v>0</v>
      </c>
      <c r="AD2141" s="16">
        <v>-51.415226335993196</v>
      </c>
      <c r="AE2141" s="16">
        <v>2138</v>
      </c>
      <c r="AF2141" s="16">
        <f>IF(AC2141=0,IF(O2141=6,INDEX(Acceleration!$V$4:$V$110,MATCH('Track Data'!S2141,Acceleration!$K$4:$K$110,0)),IF('Track Data'!O2141=5,INDEX(Acceleration!$U$4:$U$110,MATCH('Track Data'!S2141,Acceleration!$K$4:$K$110,0)),1)),U2141)</f>
        <v>1</v>
      </c>
      <c r="AG2141" s="16">
        <f>IF(AC2141=0,IF(O2141=4,INDEX(Acceleration!$T$4:$T$110,MATCH('Track Data'!S2141,Acceleration!$K$4:$K$110,0)),IF('Track Data'!O2141=3,INDEX(Acceleration!$S$4:$S$110,MATCH('Track Data'!S2141,Acceleration!$K$4:$K$110,0)),'Track Data'!AF2141)),'Track Data'!U2141)</f>
        <v>5.2583296715092471</v>
      </c>
      <c r="AH2141" s="16">
        <f>IF(AC2141=0,IF(O2141=2,INDEX(Acceleration!$R$4:$R$110,MATCH('Track Data'!S2141,Acceleration!$K$4:$K$110,0)),IF('Track Data'!O2141=1,INDEX(Acceleration!$Q$4:$Q$110,MATCH('Track Data'!S2141,Acceleration!$K$4:$K$110,0)),'Track Data'!AG2141)),'Track Data'!U2141)</f>
        <v>5.2583296715092471</v>
      </c>
    </row>
    <row r="2142" spans="2:34" x14ac:dyDescent="0.25">
      <c r="B2142" s="16">
        <v>251.94399999999999</v>
      </c>
      <c r="C2142" s="16">
        <v>9412</v>
      </c>
      <c r="D2142" s="16">
        <v>2139</v>
      </c>
      <c r="E2142" s="113">
        <v>136</v>
      </c>
      <c r="F2142" s="113">
        <v>130</v>
      </c>
      <c r="G2142" s="113">
        <v>119.8</v>
      </c>
      <c r="H2142" s="113">
        <f t="shared" si="236"/>
        <v>33.277777777777779</v>
      </c>
      <c r="I2142" s="113">
        <v>17</v>
      </c>
      <c r="J2142" s="113">
        <v>49.75</v>
      </c>
      <c r="K2142" s="113">
        <v>-54.2</v>
      </c>
      <c r="L2142" s="183"/>
      <c r="M2142" s="16">
        <v>2139</v>
      </c>
      <c r="N2142" s="16">
        <f t="shared" si="238"/>
        <v>2.4223940006716432E-2</v>
      </c>
      <c r="O2142" s="16">
        <v>3</v>
      </c>
      <c r="P2142" s="16">
        <f t="shared" si="234"/>
        <v>10.596205962059623</v>
      </c>
      <c r="Q2142" s="16">
        <f t="shared" si="239"/>
        <v>41.281476082038502</v>
      </c>
      <c r="R2142" s="113">
        <f t="shared" si="235"/>
        <v>345.36</v>
      </c>
      <c r="S2142" s="16">
        <f>IF(S2141=15800,15800,ROUND((((Q2142*60)/'Gearing Calculator'!$C$14)*'Track Data'!P2142),-2))</f>
        <v>13300</v>
      </c>
      <c r="T2142" s="16">
        <f t="shared" si="237"/>
        <v>5.2583296715092471</v>
      </c>
      <c r="U2142" s="16">
        <f>IF(AC2142=100,Braking!$AG$2354,IF(AC2142=50,Braking!$AG$1179,IF(AC2142=75,Braking!$AG$1767,0)))</f>
        <v>0</v>
      </c>
      <c r="V2142" s="16">
        <f>0.5*'Gearing Calculator'!$C$15*'Gearing Calculator'!$C$20*'Gearing Calculator'!$W$20*('Track Data'!Q2142^2)</f>
        <v>180.36832271346125</v>
      </c>
      <c r="W2142" s="16">
        <f>('Gearing Calculator'!$U$9*'Track Data'!T2142)+'Track Data'!V2142</f>
        <v>1580.1356812692229</v>
      </c>
      <c r="X2142" s="16">
        <f>('Gearing Calculator'!$U$9*9.81)*('Gearing Calculator'!$U$16/'Gearing Calculator'!$C$7)-(('Track Data'!W2142)*('Gearing Calculator'!$U$17/'Gearing Calculator'!$C$7))</f>
        <v>539.88044034373297</v>
      </c>
      <c r="Y2142" s="16">
        <f>('Gearing Calculator'!$U$9*9.81)*(('Gearing Calculator'!$C$7-'Gearing Calculator'!$U$16)/'Gearing Calculator'!$C$7)+(('Track Data'!W2142)*('Gearing Calculator'!$U$17/'Gearing Calculator'!$C$7))</f>
        <v>2071.5415596562671</v>
      </c>
      <c r="Z2142" s="16">
        <f>((X2142*COS('Gearing Calculator'!$C$21))/'Gearing Calculator'!$C$22)/2</f>
        <v>16.691395719071824</v>
      </c>
      <c r="AA2142" s="16">
        <f>Y2142/'Gearing Calculator'!$C$24</f>
        <v>28.925668218874538</v>
      </c>
      <c r="AB2142" s="16">
        <f t="shared" si="233"/>
        <v>196.14331172798899</v>
      </c>
      <c r="AC2142" s="16">
        <v>0</v>
      </c>
      <c r="AD2142" s="16">
        <v>-51.415226335993196</v>
      </c>
      <c r="AE2142" s="16">
        <v>2139</v>
      </c>
      <c r="AF2142" s="16">
        <f>IF(AC2142=0,IF(O2142=6,INDEX(Acceleration!$V$4:$V$110,MATCH('Track Data'!S2142,Acceleration!$K$4:$K$110,0)),IF('Track Data'!O2142=5,INDEX(Acceleration!$U$4:$U$110,MATCH('Track Data'!S2142,Acceleration!$K$4:$K$110,0)),1)),U2142)</f>
        <v>1</v>
      </c>
      <c r="AG2142" s="16">
        <f>IF(AC2142=0,IF(O2142=4,INDEX(Acceleration!$T$4:$T$110,MATCH('Track Data'!S2142,Acceleration!$K$4:$K$110,0)),IF('Track Data'!O2142=3,INDEX(Acceleration!$S$4:$S$110,MATCH('Track Data'!S2142,Acceleration!$K$4:$K$110,0)),'Track Data'!AF2142)),'Track Data'!U2142)</f>
        <v>5.2583296715092471</v>
      </c>
      <c r="AH2142" s="16">
        <f>IF(AC2142=0,IF(O2142=2,INDEX(Acceleration!$R$4:$R$110,MATCH('Track Data'!S2142,Acceleration!$K$4:$K$110,0)),IF('Track Data'!O2142=1,INDEX(Acceleration!$Q$4:$Q$110,MATCH('Track Data'!S2142,Acceleration!$K$4:$K$110,0)),'Track Data'!AG2142)),'Track Data'!U2142)</f>
        <v>5.2583296715092471</v>
      </c>
    </row>
    <row r="2143" spans="2:34" x14ac:dyDescent="0.25">
      <c r="B2143" s="16">
        <v>251.971</v>
      </c>
      <c r="C2143" s="16">
        <v>9413</v>
      </c>
      <c r="D2143" s="16">
        <v>2140</v>
      </c>
      <c r="E2143" s="113">
        <v>136</v>
      </c>
      <c r="F2143" s="113">
        <v>129.69999999999999</v>
      </c>
      <c r="G2143" s="113">
        <v>120</v>
      </c>
      <c r="H2143" s="113">
        <f t="shared" si="236"/>
        <v>33.333333333333336</v>
      </c>
      <c r="I2143" s="113">
        <v>18.399999999999999</v>
      </c>
      <c r="J2143" s="113">
        <v>46.62</v>
      </c>
      <c r="K2143" s="113">
        <v>-52.3</v>
      </c>
      <c r="L2143" s="183"/>
      <c r="M2143" s="16">
        <v>2140</v>
      </c>
      <c r="N2143" s="16">
        <f t="shared" si="238"/>
        <v>2.4223940006716432E-2</v>
      </c>
      <c r="O2143" s="16">
        <v>3</v>
      </c>
      <c r="P2143" s="16">
        <f t="shared" si="234"/>
        <v>10.596205962059623</v>
      </c>
      <c r="Q2143" s="16">
        <f t="shared" si="239"/>
        <v>41.281476082038502</v>
      </c>
      <c r="R2143" s="113">
        <f t="shared" si="235"/>
        <v>345.36</v>
      </c>
      <c r="S2143" s="16">
        <f>IF(S2142=15800,15800,ROUND((((Q2143*60)/'Gearing Calculator'!$C$14)*'Track Data'!P2143),-2))</f>
        <v>13300</v>
      </c>
      <c r="T2143" s="16">
        <f t="shared" si="237"/>
        <v>5.2583296715092471</v>
      </c>
      <c r="U2143" s="16">
        <f>IF(AC2143=100,Braking!$AG$2354,IF(AC2143=50,Braking!$AG$1179,IF(AC2143=75,Braking!$AG$1767,0)))</f>
        <v>0</v>
      </c>
      <c r="V2143" s="16">
        <f>0.5*'Gearing Calculator'!$C$15*'Gearing Calculator'!$C$20*'Gearing Calculator'!$W$20*('Track Data'!Q2143^2)</f>
        <v>180.36832271346125</v>
      </c>
      <c r="W2143" s="16">
        <f>('Gearing Calculator'!$U$9*'Track Data'!T2143)+'Track Data'!V2143</f>
        <v>1580.1356812692229</v>
      </c>
      <c r="X2143" s="16">
        <f>('Gearing Calculator'!$U$9*9.81)*('Gearing Calculator'!$U$16/'Gearing Calculator'!$C$7)-(('Track Data'!W2143)*('Gearing Calculator'!$U$17/'Gearing Calculator'!$C$7))</f>
        <v>539.88044034373297</v>
      </c>
      <c r="Y2143" s="16">
        <f>('Gearing Calculator'!$U$9*9.81)*(('Gearing Calculator'!$C$7-'Gearing Calculator'!$U$16)/'Gearing Calculator'!$C$7)+(('Track Data'!W2143)*('Gearing Calculator'!$U$17/'Gearing Calculator'!$C$7))</f>
        <v>2071.5415596562671</v>
      </c>
      <c r="Z2143" s="16">
        <f>((X2143*COS('Gearing Calculator'!$C$21))/'Gearing Calculator'!$C$22)/2</f>
        <v>16.691395719071824</v>
      </c>
      <c r="AA2143" s="16">
        <f>Y2143/'Gearing Calculator'!$C$24</f>
        <v>28.925668218874538</v>
      </c>
      <c r="AB2143" s="16">
        <f t="shared" si="233"/>
        <v>196.14331172798899</v>
      </c>
      <c r="AC2143" s="16">
        <v>0</v>
      </c>
      <c r="AD2143" s="16">
        <v>-51.415226335993196</v>
      </c>
      <c r="AE2143" s="16">
        <v>2140</v>
      </c>
      <c r="AF2143" s="16">
        <f>IF(AC2143=0,IF(O2143=6,INDEX(Acceleration!$V$4:$V$110,MATCH('Track Data'!S2143,Acceleration!$K$4:$K$110,0)),IF('Track Data'!O2143=5,INDEX(Acceleration!$U$4:$U$110,MATCH('Track Data'!S2143,Acceleration!$K$4:$K$110,0)),1)),U2143)</f>
        <v>1</v>
      </c>
      <c r="AG2143" s="16">
        <f>IF(AC2143=0,IF(O2143=4,INDEX(Acceleration!$T$4:$T$110,MATCH('Track Data'!S2143,Acceleration!$K$4:$K$110,0)),IF('Track Data'!O2143=3,INDEX(Acceleration!$S$4:$S$110,MATCH('Track Data'!S2143,Acceleration!$K$4:$K$110,0)),'Track Data'!AF2143)),'Track Data'!U2143)</f>
        <v>5.2583296715092471</v>
      </c>
      <c r="AH2143" s="16">
        <f>IF(AC2143=0,IF(O2143=2,INDEX(Acceleration!$R$4:$R$110,MATCH('Track Data'!S2143,Acceleration!$K$4:$K$110,0)),IF('Track Data'!O2143=1,INDEX(Acceleration!$Q$4:$Q$110,MATCH('Track Data'!S2143,Acceleration!$K$4:$K$110,0)),'Track Data'!AG2143)),'Track Data'!U2143)</f>
        <v>5.2583296715092471</v>
      </c>
    </row>
    <row r="2144" spans="2:34" x14ac:dyDescent="0.25">
      <c r="B2144" s="16">
        <v>251.999</v>
      </c>
      <c r="C2144" s="16">
        <v>9414</v>
      </c>
      <c r="D2144" s="16">
        <v>2141</v>
      </c>
      <c r="E2144" s="113">
        <v>137</v>
      </c>
      <c r="F2144" s="113">
        <v>129.5</v>
      </c>
      <c r="G2144" s="113">
        <v>120.2</v>
      </c>
      <c r="H2144" s="113">
        <f t="shared" si="236"/>
        <v>33.388888888888886</v>
      </c>
      <c r="I2144" s="113">
        <v>18.5</v>
      </c>
      <c r="J2144" s="113">
        <v>45.85</v>
      </c>
      <c r="K2144" s="113">
        <v>-51.1</v>
      </c>
      <c r="L2144" s="183"/>
      <c r="M2144" s="16">
        <v>2141</v>
      </c>
      <c r="N2144" s="16">
        <f t="shared" si="238"/>
        <v>2.4223940006716432E-2</v>
      </c>
      <c r="O2144" s="16">
        <v>3</v>
      </c>
      <c r="P2144" s="16">
        <f t="shared" si="234"/>
        <v>10.596205962059623</v>
      </c>
      <c r="Q2144" s="16">
        <f t="shared" si="239"/>
        <v>41.281476082038502</v>
      </c>
      <c r="R2144" s="113">
        <f t="shared" si="235"/>
        <v>345.36</v>
      </c>
      <c r="S2144" s="16">
        <f>IF(S2143=15800,15800,ROUND((((Q2144*60)/'Gearing Calculator'!$C$14)*'Track Data'!P2144),-2))</f>
        <v>13300</v>
      </c>
      <c r="T2144" s="16">
        <f t="shared" si="237"/>
        <v>5.2583296715092471</v>
      </c>
      <c r="U2144" s="16">
        <f>IF(AC2144=100,Braking!$AG$2354,IF(AC2144=50,Braking!$AG$1179,IF(AC2144=75,Braking!$AG$1767,0)))</f>
        <v>0</v>
      </c>
      <c r="V2144" s="16">
        <f>0.5*'Gearing Calculator'!$C$15*'Gearing Calculator'!$C$20*'Gearing Calculator'!$W$20*('Track Data'!Q2144^2)</f>
        <v>180.36832271346125</v>
      </c>
      <c r="W2144" s="16">
        <f>('Gearing Calculator'!$U$9*'Track Data'!T2144)+'Track Data'!V2144</f>
        <v>1580.1356812692229</v>
      </c>
      <c r="X2144" s="16">
        <f>('Gearing Calculator'!$U$9*9.81)*('Gearing Calculator'!$U$16/'Gearing Calculator'!$C$7)-(('Track Data'!W2144)*('Gearing Calculator'!$U$17/'Gearing Calculator'!$C$7))</f>
        <v>539.88044034373297</v>
      </c>
      <c r="Y2144" s="16">
        <f>('Gearing Calculator'!$U$9*9.81)*(('Gearing Calculator'!$C$7-'Gearing Calculator'!$U$16)/'Gearing Calculator'!$C$7)+(('Track Data'!W2144)*('Gearing Calculator'!$U$17/'Gearing Calculator'!$C$7))</f>
        <v>2071.5415596562671</v>
      </c>
      <c r="Z2144" s="16">
        <f>((X2144*COS('Gearing Calculator'!$C$21))/'Gearing Calculator'!$C$22)/2</f>
        <v>16.691395719071824</v>
      </c>
      <c r="AA2144" s="16">
        <f>Y2144/'Gearing Calculator'!$C$24</f>
        <v>28.925668218874538</v>
      </c>
      <c r="AB2144" s="16">
        <f t="shared" si="233"/>
        <v>196.14331172798899</v>
      </c>
      <c r="AC2144" s="16">
        <v>0</v>
      </c>
      <c r="AD2144" s="16">
        <v>-51.415226335993196</v>
      </c>
      <c r="AE2144" s="16">
        <v>2141</v>
      </c>
      <c r="AF2144" s="16">
        <f>IF(AC2144=0,IF(O2144=6,INDEX(Acceleration!$V$4:$V$110,MATCH('Track Data'!S2144,Acceleration!$K$4:$K$110,0)),IF('Track Data'!O2144=5,INDEX(Acceleration!$U$4:$U$110,MATCH('Track Data'!S2144,Acceleration!$K$4:$K$110,0)),1)),U2144)</f>
        <v>1</v>
      </c>
      <c r="AG2144" s="16">
        <f>IF(AC2144=0,IF(O2144=4,INDEX(Acceleration!$T$4:$T$110,MATCH('Track Data'!S2144,Acceleration!$K$4:$K$110,0)),IF('Track Data'!O2144=3,INDEX(Acceleration!$S$4:$S$110,MATCH('Track Data'!S2144,Acceleration!$K$4:$K$110,0)),'Track Data'!AF2144)),'Track Data'!U2144)</f>
        <v>5.2583296715092471</v>
      </c>
      <c r="AH2144" s="16">
        <f>IF(AC2144=0,IF(O2144=2,INDEX(Acceleration!$R$4:$R$110,MATCH('Track Data'!S2144,Acceleration!$K$4:$K$110,0)),IF('Track Data'!O2144=1,INDEX(Acceleration!$Q$4:$Q$110,MATCH('Track Data'!S2144,Acceleration!$K$4:$K$110,0)),'Track Data'!AG2144)),'Track Data'!U2144)</f>
        <v>5.2583296715092471</v>
      </c>
    </row>
    <row r="2145" spans="2:34" x14ac:dyDescent="0.25">
      <c r="B2145" s="16">
        <v>252.02600000000001</v>
      </c>
      <c r="C2145" s="16">
        <v>9415</v>
      </c>
      <c r="D2145" s="16">
        <v>2142</v>
      </c>
      <c r="E2145" s="113">
        <v>137</v>
      </c>
      <c r="F2145" s="113">
        <v>129.5</v>
      </c>
      <c r="G2145" s="113">
        <v>120.4</v>
      </c>
      <c r="H2145" s="113">
        <f t="shared" si="236"/>
        <v>33.444444444444443</v>
      </c>
      <c r="I2145" s="113">
        <v>18.399999999999999</v>
      </c>
      <c r="J2145" s="113">
        <v>45.08</v>
      </c>
      <c r="K2145" s="113">
        <v>-51.8</v>
      </c>
      <c r="L2145" s="183"/>
      <c r="M2145" s="16">
        <v>2142</v>
      </c>
      <c r="N2145" s="16">
        <f t="shared" si="238"/>
        <v>2.4223940006716432E-2</v>
      </c>
      <c r="O2145" s="16">
        <v>3</v>
      </c>
      <c r="P2145" s="16">
        <f t="shared" si="234"/>
        <v>10.596205962059623</v>
      </c>
      <c r="Q2145" s="16">
        <f t="shared" si="239"/>
        <v>41.281476082038502</v>
      </c>
      <c r="R2145" s="113">
        <f t="shared" si="235"/>
        <v>345.36</v>
      </c>
      <c r="S2145" s="16">
        <f>IF(S2144=15800,15800,ROUND((((Q2145*60)/'Gearing Calculator'!$C$14)*'Track Data'!P2145),-2))</f>
        <v>13300</v>
      </c>
      <c r="T2145" s="16">
        <f t="shared" si="237"/>
        <v>5.2583296715092471</v>
      </c>
      <c r="U2145" s="16">
        <f>IF(AC2145=100,Braking!$AG$2354,IF(AC2145=50,Braking!$AG$1179,IF(AC2145=75,Braking!$AG$1767,0)))</f>
        <v>0</v>
      </c>
      <c r="V2145" s="16">
        <f>0.5*'Gearing Calculator'!$C$15*'Gearing Calculator'!$C$20*'Gearing Calculator'!$W$20*('Track Data'!Q2145^2)</f>
        <v>180.36832271346125</v>
      </c>
      <c r="W2145" s="16">
        <f>('Gearing Calculator'!$U$9*'Track Data'!T2145)+'Track Data'!V2145</f>
        <v>1580.1356812692229</v>
      </c>
      <c r="X2145" s="16">
        <f>('Gearing Calculator'!$U$9*9.81)*('Gearing Calculator'!$U$16/'Gearing Calculator'!$C$7)-(('Track Data'!W2145)*('Gearing Calculator'!$U$17/'Gearing Calculator'!$C$7))</f>
        <v>539.88044034373297</v>
      </c>
      <c r="Y2145" s="16">
        <f>('Gearing Calculator'!$U$9*9.81)*(('Gearing Calculator'!$C$7-'Gearing Calculator'!$U$16)/'Gearing Calculator'!$C$7)+(('Track Data'!W2145)*('Gearing Calculator'!$U$17/'Gearing Calculator'!$C$7))</f>
        <v>2071.5415596562671</v>
      </c>
      <c r="Z2145" s="16">
        <f>((X2145*COS('Gearing Calculator'!$C$21))/'Gearing Calculator'!$C$22)/2</f>
        <v>16.691395719071824</v>
      </c>
      <c r="AA2145" s="16">
        <f>Y2145/'Gearing Calculator'!$C$24</f>
        <v>28.925668218874538</v>
      </c>
      <c r="AB2145" s="16">
        <f t="shared" si="233"/>
        <v>196.14331172798899</v>
      </c>
      <c r="AC2145" s="16">
        <v>0</v>
      </c>
      <c r="AD2145" s="16">
        <v>-51.415226335993196</v>
      </c>
      <c r="AE2145" s="16">
        <v>2142</v>
      </c>
      <c r="AF2145" s="16">
        <f>IF(AC2145=0,IF(O2145=6,INDEX(Acceleration!$V$4:$V$110,MATCH('Track Data'!S2145,Acceleration!$K$4:$K$110,0)),IF('Track Data'!O2145=5,INDEX(Acceleration!$U$4:$U$110,MATCH('Track Data'!S2145,Acceleration!$K$4:$K$110,0)),1)),U2145)</f>
        <v>1</v>
      </c>
      <c r="AG2145" s="16">
        <f>IF(AC2145=0,IF(O2145=4,INDEX(Acceleration!$T$4:$T$110,MATCH('Track Data'!S2145,Acceleration!$K$4:$K$110,0)),IF('Track Data'!O2145=3,INDEX(Acceleration!$S$4:$S$110,MATCH('Track Data'!S2145,Acceleration!$K$4:$K$110,0)),'Track Data'!AF2145)),'Track Data'!U2145)</f>
        <v>5.2583296715092471</v>
      </c>
      <c r="AH2145" s="16">
        <f>IF(AC2145=0,IF(O2145=2,INDEX(Acceleration!$R$4:$R$110,MATCH('Track Data'!S2145,Acceleration!$K$4:$K$110,0)),IF('Track Data'!O2145=1,INDEX(Acceleration!$Q$4:$Q$110,MATCH('Track Data'!S2145,Acceleration!$K$4:$K$110,0)),'Track Data'!AG2145)),'Track Data'!U2145)</f>
        <v>5.2583296715092471</v>
      </c>
    </row>
    <row r="2146" spans="2:34" x14ac:dyDescent="0.25">
      <c r="B2146" s="16">
        <v>252.054</v>
      </c>
      <c r="C2146" s="16">
        <v>9416</v>
      </c>
      <c r="D2146" s="16">
        <v>2143</v>
      </c>
      <c r="E2146" s="113">
        <v>137</v>
      </c>
      <c r="F2146" s="113">
        <v>129.6</v>
      </c>
      <c r="G2146" s="113">
        <v>120.7</v>
      </c>
      <c r="H2146" s="113">
        <f t="shared" si="236"/>
        <v>33.527777777777779</v>
      </c>
      <c r="I2146" s="113">
        <v>16.899999999999999</v>
      </c>
      <c r="J2146" s="113">
        <v>40.86</v>
      </c>
      <c r="K2146" s="113">
        <v>-53.2</v>
      </c>
      <c r="L2146" s="183"/>
      <c r="M2146" s="16">
        <v>2143</v>
      </c>
      <c r="N2146" s="16">
        <f t="shared" si="238"/>
        <v>2.4223940006716432E-2</v>
      </c>
      <c r="O2146" s="16">
        <v>3</v>
      </c>
      <c r="P2146" s="16">
        <f t="shared" si="234"/>
        <v>10.596205962059623</v>
      </c>
      <c r="Q2146" s="16">
        <f t="shared" si="239"/>
        <v>41.281476082038502</v>
      </c>
      <c r="R2146" s="113">
        <f t="shared" si="235"/>
        <v>345.36</v>
      </c>
      <c r="S2146" s="16">
        <f>IF(S2145=15800,15800,ROUND((((Q2146*60)/'Gearing Calculator'!$C$14)*'Track Data'!P2146),-2))</f>
        <v>13300</v>
      </c>
      <c r="T2146" s="16">
        <f t="shared" si="237"/>
        <v>5.2583296715092471</v>
      </c>
      <c r="U2146" s="16">
        <f>IF(AC2146=100,Braking!$AG$2354,IF(AC2146=50,Braking!$AG$1179,IF(AC2146=75,Braking!$AG$1767,0)))</f>
        <v>0</v>
      </c>
      <c r="V2146" s="16">
        <f>0.5*'Gearing Calculator'!$C$15*'Gearing Calculator'!$C$20*'Gearing Calculator'!$W$20*('Track Data'!Q2146^2)</f>
        <v>180.36832271346125</v>
      </c>
      <c r="W2146" s="16">
        <f>('Gearing Calculator'!$U$9*'Track Data'!T2146)+'Track Data'!V2146</f>
        <v>1580.1356812692229</v>
      </c>
      <c r="X2146" s="16">
        <f>('Gearing Calculator'!$U$9*9.81)*('Gearing Calculator'!$U$16/'Gearing Calculator'!$C$7)-(('Track Data'!W2146)*('Gearing Calculator'!$U$17/'Gearing Calculator'!$C$7))</f>
        <v>539.88044034373297</v>
      </c>
      <c r="Y2146" s="16">
        <f>('Gearing Calculator'!$U$9*9.81)*(('Gearing Calculator'!$C$7-'Gearing Calculator'!$U$16)/'Gearing Calculator'!$C$7)+(('Track Data'!W2146)*('Gearing Calculator'!$U$17/'Gearing Calculator'!$C$7))</f>
        <v>2071.5415596562671</v>
      </c>
      <c r="Z2146" s="16">
        <f>((X2146*COS('Gearing Calculator'!$C$21))/'Gearing Calculator'!$C$22)/2</f>
        <v>16.691395719071824</v>
      </c>
      <c r="AA2146" s="16">
        <f>Y2146/'Gearing Calculator'!$C$24</f>
        <v>28.925668218874538</v>
      </c>
      <c r="AB2146" s="16">
        <f t="shared" si="233"/>
        <v>196.14331172798899</v>
      </c>
      <c r="AC2146" s="16">
        <v>0</v>
      </c>
      <c r="AD2146" s="16">
        <v>-51.415226335993196</v>
      </c>
      <c r="AE2146" s="16">
        <v>2143</v>
      </c>
      <c r="AF2146" s="16">
        <f>IF(AC2146=0,IF(O2146=6,INDEX(Acceleration!$V$4:$V$110,MATCH('Track Data'!S2146,Acceleration!$K$4:$K$110,0)),IF('Track Data'!O2146=5,INDEX(Acceleration!$U$4:$U$110,MATCH('Track Data'!S2146,Acceleration!$K$4:$K$110,0)),1)),U2146)</f>
        <v>1</v>
      </c>
      <c r="AG2146" s="16">
        <f>IF(AC2146=0,IF(O2146=4,INDEX(Acceleration!$T$4:$T$110,MATCH('Track Data'!S2146,Acceleration!$K$4:$K$110,0)),IF('Track Data'!O2146=3,INDEX(Acceleration!$S$4:$S$110,MATCH('Track Data'!S2146,Acceleration!$K$4:$K$110,0)),'Track Data'!AF2146)),'Track Data'!U2146)</f>
        <v>5.2583296715092471</v>
      </c>
      <c r="AH2146" s="16">
        <f>IF(AC2146=0,IF(O2146=2,INDEX(Acceleration!$R$4:$R$110,MATCH('Track Data'!S2146,Acceleration!$K$4:$K$110,0)),IF('Track Data'!O2146=1,INDEX(Acceleration!$Q$4:$Q$110,MATCH('Track Data'!S2146,Acceleration!$K$4:$K$110,0)),'Track Data'!AG2146)),'Track Data'!U2146)</f>
        <v>5.2583296715092471</v>
      </c>
    </row>
    <row r="2147" spans="2:34" x14ac:dyDescent="0.25">
      <c r="B2147" s="16">
        <v>252.08199999999999</v>
      </c>
      <c r="C2147" s="16">
        <v>9417</v>
      </c>
      <c r="D2147" s="16">
        <v>2144</v>
      </c>
      <c r="E2147" s="113">
        <v>138</v>
      </c>
      <c r="F2147" s="113">
        <v>129.9</v>
      </c>
      <c r="G2147" s="113">
        <v>121</v>
      </c>
      <c r="H2147" s="113">
        <f t="shared" si="236"/>
        <v>33.611111111111107</v>
      </c>
      <c r="I2147" s="113">
        <v>14.5</v>
      </c>
      <c r="J2147" s="113">
        <v>42.29</v>
      </c>
      <c r="K2147" s="113">
        <v>-53.1</v>
      </c>
      <c r="L2147" s="183"/>
      <c r="M2147" s="16">
        <v>2144</v>
      </c>
      <c r="N2147" s="16">
        <f t="shared" si="238"/>
        <v>2.4223940006716432E-2</v>
      </c>
      <c r="O2147" s="16">
        <v>3</v>
      </c>
      <c r="P2147" s="16">
        <f t="shared" si="234"/>
        <v>10.596205962059623</v>
      </c>
      <c r="Q2147" s="16">
        <f t="shared" si="239"/>
        <v>41.281476082038502</v>
      </c>
      <c r="R2147" s="113">
        <f t="shared" si="235"/>
        <v>345.36</v>
      </c>
      <c r="S2147" s="16">
        <f>IF(S2146=15800,15800,ROUND((((Q2147*60)/'Gearing Calculator'!$C$14)*'Track Data'!P2147),-2))</f>
        <v>13300</v>
      </c>
      <c r="T2147" s="16">
        <f t="shared" si="237"/>
        <v>5.2583296715092471</v>
      </c>
      <c r="U2147" s="16">
        <f>IF(AC2147=100,Braking!$AG$2354,IF(AC2147=50,Braking!$AG$1179,IF(AC2147=75,Braking!$AG$1767,0)))</f>
        <v>0</v>
      </c>
      <c r="V2147" s="16">
        <f>0.5*'Gearing Calculator'!$C$15*'Gearing Calculator'!$C$20*'Gearing Calculator'!$W$20*('Track Data'!Q2147^2)</f>
        <v>180.36832271346125</v>
      </c>
      <c r="W2147" s="16">
        <f>('Gearing Calculator'!$U$9*'Track Data'!T2147)+'Track Data'!V2147</f>
        <v>1580.1356812692229</v>
      </c>
      <c r="X2147" s="16">
        <f>('Gearing Calculator'!$U$9*9.81)*('Gearing Calculator'!$U$16/'Gearing Calculator'!$C$7)-(('Track Data'!W2147)*('Gearing Calculator'!$U$17/'Gearing Calculator'!$C$7))</f>
        <v>539.88044034373297</v>
      </c>
      <c r="Y2147" s="16">
        <f>('Gearing Calculator'!$U$9*9.81)*(('Gearing Calculator'!$C$7-'Gearing Calculator'!$U$16)/'Gearing Calculator'!$C$7)+(('Track Data'!W2147)*('Gearing Calculator'!$U$17/'Gearing Calculator'!$C$7))</f>
        <v>2071.5415596562671</v>
      </c>
      <c r="Z2147" s="16">
        <f>((X2147*COS('Gearing Calculator'!$C$21))/'Gearing Calculator'!$C$22)/2</f>
        <v>16.691395719071824</v>
      </c>
      <c r="AA2147" s="16">
        <f>Y2147/'Gearing Calculator'!$C$24</f>
        <v>28.925668218874538</v>
      </c>
      <c r="AB2147" s="16">
        <f t="shared" si="233"/>
        <v>196.14331172798899</v>
      </c>
      <c r="AC2147" s="16">
        <v>0</v>
      </c>
      <c r="AD2147" s="16">
        <v>-51.415226335993196</v>
      </c>
      <c r="AE2147" s="16">
        <v>2144</v>
      </c>
      <c r="AF2147" s="16">
        <f>IF(AC2147=0,IF(O2147=6,INDEX(Acceleration!$V$4:$V$110,MATCH('Track Data'!S2147,Acceleration!$K$4:$K$110,0)),IF('Track Data'!O2147=5,INDEX(Acceleration!$U$4:$U$110,MATCH('Track Data'!S2147,Acceleration!$K$4:$K$110,0)),1)),U2147)</f>
        <v>1</v>
      </c>
      <c r="AG2147" s="16">
        <f>IF(AC2147=0,IF(O2147=4,INDEX(Acceleration!$T$4:$T$110,MATCH('Track Data'!S2147,Acceleration!$K$4:$K$110,0)),IF('Track Data'!O2147=3,INDEX(Acceleration!$S$4:$S$110,MATCH('Track Data'!S2147,Acceleration!$K$4:$K$110,0)),'Track Data'!AF2147)),'Track Data'!U2147)</f>
        <v>5.2583296715092471</v>
      </c>
      <c r="AH2147" s="16">
        <f>IF(AC2147=0,IF(O2147=2,INDEX(Acceleration!$R$4:$R$110,MATCH('Track Data'!S2147,Acceleration!$K$4:$K$110,0)),IF('Track Data'!O2147=1,INDEX(Acceleration!$Q$4:$Q$110,MATCH('Track Data'!S2147,Acceleration!$K$4:$K$110,0)),'Track Data'!AG2147)),'Track Data'!U2147)</f>
        <v>5.2583296715092471</v>
      </c>
    </row>
    <row r="2148" spans="2:34" x14ac:dyDescent="0.25">
      <c r="B2148" s="16">
        <v>252.10900000000001</v>
      </c>
      <c r="C2148" s="16">
        <v>9418</v>
      </c>
      <c r="D2148" s="16">
        <v>2145</v>
      </c>
      <c r="E2148" s="113">
        <v>139</v>
      </c>
      <c r="F2148" s="113">
        <v>130.1</v>
      </c>
      <c r="G2148" s="113">
        <v>121.2</v>
      </c>
      <c r="H2148" s="113">
        <f t="shared" si="236"/>
        <v>33.666666666666664</v>
      </c>
      <c r="I2148" s="113">
        <v>12.8</v>
      </c>
      <c r="J2148" s="113">
        <v>42.07</v>
      </c>
      <c r="K2148" s="113">
        <v>-46.5</v>
      </c>
      <c r="L2148" s="183"/>
      <c r="M2148" s="16">
        <v>2145</v>
      </c>
      <c r="N2148" s="16">
        <f t="shared" si="238"/>
        <v>2.4223940006716432E-2</v>
      </c>
      <c r="O2148" s="16">
        <v>3</v>
      </c>
      <c r="P2148" s="16">
        <f t="shared" si="234"/>
        <v>10.596205962059623</v>
      </c>
      <c r="Q2148" s="16">
        <f t="shared" si="239"/>
        <v>41.281476082038502</v>
      </c>
      <c r="R2148" s="113">
        <f t="shared" si="235"/>
        <v>345.36</v>
      </c>
      <c r="S2148" s="16">
        <f>IF(S2147=15800,15800,ROUND((((Q2148*60)/'Gearing Calculator'!$C$14)*'Track Data'!P2148),-2))</f>
        <v>13300</v>
      </c>
      <c r="T2148" s="16">
        <f t="shared" si="237"/>
        <v>5.2583296715092471</v>
      </c>
      <c r="U2148" s="16">
        <f>IF(AC2148=100,Braking!$AG$2354,IF(AC2148=50,Braking!$AG$1179,IF(AC2148=75,Braking!$AG$1767,0)))</f>
        <v>0</v>
      </c>
      <c r="V2148" s="16">
        <f>0.5*'Gearing Calculator'!$C$15*'Gearing Calculator'!$C$20*'Gearing Calculator'!$W$20*('Track Data'!Q2148^2)</f>
        <v>180.36832271346125</v>
      </c>
      <c r="W2148" s="16">
        <f>('Gearing Calculator'!$U$9*'Track Data'!T2148)+'Track Data'!V2148</f>
        <v>1580.1356812692229</v>
      </c>
      <c r="X2148" s="16">
        <f>('Gearing Calculator'!$U$9*9.81)*('Gearing Calculator'!$U$16/'Gearing Calculator'!$C$7)-(('Track Data'!W2148)*('Gearing Calculator'!$U$17/'Gearing Calculator'!$C$7))</f>
        <v>539.88044034373297</v>
      </c>
      <c r="Y2148" s="16">
        <f>('Gearing Calculator'!$U$9*9.81)*(('Gearing Calculator'!$C$7-'Gearing Calculator'!$U$16)/'Gearing Calculator'!$C$7)+(('Track Data'!W2148)*('Gearing Calculator'!$U$17/'Gearing Calculator'!$C$7))</f>
        <v>2071.5415596562671</v>
      </c>
      <c r="Z2148" s="16">
        <f>((X2148*COS('Gearing Calculator'!$C$21))/'Gearing Calculator'!$C$22)/2</f>
        <v>16.691395719071824</v>
      </c>
      <c r="AA2148" s="16">
        <f>Y2148/'Gearing Calculator'!$C$24</f>
        <v>28.925668218874538</v>
      </c>
      <c r="AB2148" s="16">
        <f t="shared" si="233"/>
        <v>196.14331172798899</v>
      </c>
      <c r="AC2148" s="16">
        <v>0</v>
      </c>
      <c r="AD2148" s="16">
        <v>-51.415226335993196</v>
      </c>
      <c r="AE2148" s="16">
        <v>2145</v>
      </c>
      <c r="AF2148" s="16">
        <f>IF(AC2148=0,IF(O2148=6,INDEX(Acceleration!$V$4:$V$110,MATCH('Track Data'!S2148,Acceleration!$K$4:$K$110,0)),IF('Track Data'!O2148=5,INDEX(Acceleration!$U$4:$U$110,MATCH('Track Data'!S2148,Acceleration!$K$4:$K$110,0)),1)),U2148)</f>
        <v>1</v>
      </c>
      <c r="AG2148" s="16">
        <f>IF(AC2148=0,IF(O2148=4,INDEX(Acceleration!$T$4:$T$110,MATCH('Track Data'!S2148,Acceleration!$K$4:$K$110,0)),IF('Track Data'!O2148=3,INDEX(Acceleration!$S$4:$S$110,MATCH('Track Data'!S2148,Acceleration!$K$4:$K$110,0)),'Track Data'!AF2148)),'Track Data'!U2148)</f>
        <v>5.2583296715092471</v>
      </c>
      <c r="AH2148" s="16">
        <f>IF(AC2148=0,IF(O2148=2,INDEX(Acceleration!$R$4:$R$110,MATCH('Track Data'!S2148,Acceleration!$K$4:$K$110,0)),IF('Track Data'!O2148=1,INDEX(Acceleration!$Q$4:$Q$110,MATCH('Track Data'!S2148,Acceleration!$K$4:$K$110,0)),'Track Data'!AG2148)),'Track Data'!U2148)</f>
        <v>5.2583296715092471</v>
      </c>
    </row>
    <row r="2149" spans="2:34" x14ac:dyDescent="0.25">
      <c r="B2149" s="16">
        <v>252.137</v>
      </c>
      <c r="C2149" s="16">
        <v>9419</v>
      </c>
      <c r="D2149" s="16">
        <v>2146</v>
      </c>
      <c r="E2149" s="113">
        <v>139</v>
      </c>
      <c r="F2149" s="113">
        <v>130.6</v>
      </c>
      <c r="G2149" s="113">
        <v>121.5</v>
      </c>
      <c r="H2149" s="113">
        <f t="shared" si="236"/>
        <v>33.75</v>
      </c>
      <c r="I2149" s="113">
        <v>12.1</v>
      </c>
      <c r="J2149" s="113">
        <v>38.56</v>
      </c>
      <c r="K2149" s="113">
        <v>-36.5</v>
      </c>
      <c r="L2149" s="183"/>
      <c r="M2149" s="16">
        <v>2146</v>
      </c>
      <c r="N2149" s="16">
        <f t="shared" si="238"/>
        <v>2.4223940006716432E-2</v>
      </c>
      <c r="O2149" s="16">
        <v>3</v>
      </c>
      <c r="P2149" s="16">
        <f t="shared" si="234"/>
        <v>10.596205962059623</v>
      </c>
      <c r="Q2149" s="16">
        <f t="shared" si="239"/>
        <v>41.281476082038502</v>
      </c>
      <c r="R2149" s="113">
        <f t="shared" si="235"/>
        <v>345.36</v>
      </c>
      <c r="S2149" s="16">
        <f>IF(S2148=15800,15800,ROUND((((Q2149*60)/'Gearing Calculator'!$C$14)*'Track Data'!P2149),-2))</f>
        <v>13300</v>
      </c>
      <c r="T2149" s="16">
        <f t="shared" si="237"/>
        <v>5.2583296715092471</v>
      </c>
      <c r="U2149" s="16">
        <f>IF(AC2149=100,Braking!$AG$2354,IF(AC2149=50,Braking!$AG$1179,IF(AC2149=75,Braking!$AG$1767,0)))</f>
        <v>0</v>
      </c>
      <c r="V2149" s="16">
        <f>0.5*'Gearing Calculator'!$C$15*'Gearing Calculator'!$C$20*'Gearing Calculator'!$W$20*('Track Data'!Q2149^2)</f>
        <v>180.36832271346125</v>
      </c>
      <c r="W2149" s="16">
        <f>('Gearing Calculator'!$U$9*'Track Data'!T2149)+'Track Data'!V2149</f>
        <v>1580.1356812692229</v>
      </c>
      <c r="X2149" s="16">
        <f>('Gearing Calculator'!$U$9*9.81)*('Gearing Calculator'!$U$16/'Gearing Calculator'!$C$7)-(('Track Data'!W2149)*('Gearing Calculator'!$U$17/'Gearing Calculator'!$C$7))</f>
        <v>539.88044034373297</v>
      </c>
      <c r="Y2149" s="16">
        <f>('Gearing Calculator'!$U$9*9.81)*(('Gearing Calculator'!$C$7-'Gearing Calculator'!$U$16)/'Gearing Calculator'!$C$7)+(('Track Data'!W2149)*('Gearing Calculator'!$U$17/'Gearing Calculator'!$C$7))</f>
        <v>2071.5415596562671</v>
      </c>
      <c r="Z2149" s="16">
        <f>((X2149*COS('Gearing Calculator'!$C$21))/'Gearing Calculator'!$C$22)/2</f>
        <v>16.691395719071824</v>
      </c>
      <c r="AA2149" s="16">
        <f>Y2149/'Gearing Calculator'!$C$24</f>
        <v>28.925668218874538</v>
      </c>
      <c r="AB2149" s="16">
        <f t="shared" si="233"/>
        <v>196.14331172798899</v>
      </c>
      <c r="AC2149" s="16">
        <v>0</v>
      </c>
      <c r="AD2149" s="16">
        <v>-51.415226335993196</v>
      </c>
      <c r="AE2149" s="16">
        <v>2146</v>
      </c>
      <c r="AF2149" s="16">
        <f>IF(AC2149=0,IF(O2149=6,INDEX(Acceleration!$V$4:$V$110,MATCH('Track Data'!S2149,Acceleration!$K$4:$K$110,0)),IF('Track Data'!O2149=5,INDEX(Acceleration!$U$4:$U$110,MATCH('Track Data'!S2149,Acceleration!$K$4:$K$110,0)),1)),U2149)</f>
        <v>1</v>
      </c>
      <c r="AG2149" s="16">
        <f>IF(AC2149=0,IF(O2149=4,INDEX(Acceleration!$T$4:$T$110,MATCH('Track Data'!S2149,Acceleration!$K$4:$K$110,0)),IF('Track Data'!O2149=3,INDEX(Acceleration!$S$4:$S$110,MATCH('Track Data'!S2149,Acceleration!$K$4:$K$110,0)),'Track Data'!AF2149)),'Track Data'!U2149)</f>
        <v>5.2583296715092471</v>
      </c>
      <c r="AH2149" s="16">
        <f>IF(AC2149=0,IF(O2149=2,INDEX(Acceleration!$R$4:$R$110,MATCH('Track Data'!S2149,Acceleration!$K$4:$K$110,0)),IF('Track Data'!O2149=1,INDEX(Acceleration!$Q$4:$Q$110,MATCH('Track Data'!S2149,Acceleration!$K$4:$K$110,0)),'Track Data'!AG2149)),'Track Data'!U2149)</f>
        <v>5.2583296715092471</v>
      </c>
    </row>
    <row r="2150" spans="2:34" x14ac:dyDescent="0.25">
      <c r="B2150" s="16">
        <v>252.16399999999999</v>
      </c>
      <c r="C2150" s="16">
        <v>9420</v>
      </c>
      <c r="D2150" s="16">
        <v>2147</v>
      </c>
      <c r="E2150" s="113">
        <v>139</v>
      </c>
      <c r="F2150" s="113">
        <v>131.1</v>
      </c>
      <c r="G2150" s="113">
        <v>121.8</v>
      </c>
      <c r="H2150" s="113">
        <f t="shared" si="236"/>
        <v>33.833333333333329</v>
      </c>
      <c r="I2150" s="113">
        <v>11.5</v>
      </c>
      <c r="J2150" s="113">
        <v>42.48</v>
      </c>
      <c r="K2150" s="113">
        <v>-27.7</v>
      </c>
      <c r="L2150" s="183"/>
      <c r="M2150" s="16">
        <v>2147</v>
      </c>
      <c r="N2150" s="16">
        <f t="shared" si="238"/>
        <v>2.4223940006716432E-2</v>
      </c>
      <c r="O2150" s="16">
        <v>3</v>
      </c>
      <c r="P2150" s="16">
        <f t="shared" si="234"/>
        <v>10.596205962059623</v>
      </c>
      <c r="Q2150" s="16">
        <f t="shared" si="239"/>
        <v>41.281476082038502</v>
      </c>
      <c r="R2150" s="113">
        <f t="shared" si="235"/>
        <v>345.36</v>
      </c>
      <c r="S2150" s="16">
        <f>IF(S2149=15800,15800,ROUND((((Q2150*60)/'Gearing Calculator'!$C$14)*'Track Data'!P2150),-2))</f>
        <v>13300</v>
      </c>
      <c r="T2150" s="16">
        <f t="shared" si="237"/>
        <v>5.2583296715092471</v>
      </c>
      <c r="U2150" s="16">
        <f>IF(AC2150=100,Braking!$AG$2354,IF(AC2150=50,Braking!$AG$1179,IF(AC2150=75,Braking!$AG$1767,0)))</f>
        <v>0</v>
      </c>
      <c r="V2150" s="16">
        <f>0.5*'Gearing Calculator'!$C$15*'Gearing Calculator'!$C$20*'Gearing Calculator'!$W$20*('Track Data'!Q2150^2)</f>
        <v>180.36832271346125</v>
      </c>
      <c r="W2150" s="16">
        <f>('Gearing Calculator'!$U$9*'Track Data'!T2150)+'Track Data'!V2150</f>
        <v>1580.1356812692229</v>
      </c>
      <c r="X2150" s="16">
        <f>('Gearing Calculator'!$U$9*9.81)*('Gearing Calculator'!$U$16/'Gearing Calculator'!$C$7)-(('Track Data'!W2150)*('Gearing Calculator'!$U$17/'Gearing Calculator'!$C$7))</f>
        <v>539.88044034373297</v>
      </c>
      <c r="Y2150" s="16">
        <f>('Gearing Calculator'!$U$9*9.81)*(('Gearing Calculator'!$C$7-'Gearing Calculator'!$U$16)/'Gearing Calculator'!$C$7)+(('Track Data'!W2150)*('Gearing Calculator'!$U$17/'Gearing Calculator'!$C$7))</f>
        <v>2071.5415596562671</v>
      </c>
      <c r="Z2150" s="16">
        <f>((X2150*COS('Gearing Calculator'!$C$21))/'Gearing Calculator'!$C$22)/2</f>
        <v>16.691395719071824</v>
      </c>
      <c r="AA2150" s="16">
        <f>Y2150/'Gearing Calculator'!$C$24</f>
        <v>28.925668218874538</v>
      </c>
      <c r="AB2150" s="16">
        <f t="shared" si="233"/>
        <v>196.14331172798899</v>
      </c>
      <c r="AC2150" s="16">
        <v>0</v>
      </c>
      <c r="AD2150" s="16">
        <v>-51.415226335993196</v>
      </c>
      <c r="AE2150" s="16">
        <v>2147</v>
      </c>
      <c r="AF2150" s="16">
        <f>IF(AC2150=0,IF(O2150=6,INDEX(Acceleration!$V$4:$V$110,MATCH('Track Data'!S2150,Acceleration!$K$4:$K$110,0)),IF('Track Data'!O2150=5,INDEX(Acceleration!$U$4:$U$110,MATCH('Track Data'!S2150,Acceleration!$K$4:$K$110,0)),1)),U2150)</f>
        <v>1</v>
      </c>
      <c r="AG2150" s="16">
        <f>IF(AC2150=0,IF(O2150=4,INDEX(Acceleration!$T$4:$T$110,MATCH('Track Data'!S2150,Acceleration!$K$4:$K$110,0)),IF('Track Data'!O2150=3,INDEX(Acceleration!$S$4:$S$110,MATCH('Track Data'!S2150,Acceleration!$K$4:$K$110,0)),'Track Data'!AF2150)),'Track Data'!U2150)</f>
        <v>5.2583296715092471</v>
      </c>
      <c r="AH2150" s="16">
        <f>IF(AC2150=0,IF(O2150=2,INDEX(Acceleration!$R$4:$R$110,MATCH('Track Data'!S2150,Acceleration!$K$4:$K$110,0)),IF('Track Data'!O2150=1,INDEX(Acceleration!$Q$4:$Q$110,MATCH('Track Data'!S2150,Acceleration!$K$4:$K$110,0)),'Track Data'!AG2150)),'Track Data'!U2150)</f>
        <v>5.2583296715092471</v>
      </c>
    </row>
    <row r="2151" spans="2:34" x14ac:dyDescent="0.25">
      <c r="B2151" s="16">
        <v>252.19200000000001</v>
      </c>
      <c r="C2151" s="16">
        <v>9421</v>
      </c>
      <c r="D2151" s="16">
        <v>2148</v>
      </c>
      <c r="E2151" s="113">
        <v>139</v>
      </c>
      <c r="F2151" s="113">
        <v>131.30000000000001</v>
      </c>
      <c r="G2151" s="113">
        <v>122.1</v>
      </c>
      <c r="H2151" s="113">
        <f t="shared" si="236"/>
        <v>33.916666666666664</v>
      </c>
      <c r="I2151" s="113">
        <v>11.1</v>
      </c>
      <c r="J2151" s="113">
        <v>44.24</v>
      </c>
      <c r="K2151" s="113">
        <v>-27.7</v>
      </c>
      <c r="L2151" s="183"/>
      <c r="M2151" s="16">
        <v>2148</v>
      </c>
      <c r="N2151" s="16">
        <f t="shared" si="238"/>
        <v>2.4223940006716432E-2</v>
      </c>
      <c r="O2151" s="16">
        <v>3</v>
      </c>
      <c r="P2151" s="16">
        <f t="shared" si="234"/>
        <v>10.596205962059623</v>
      </c>
      <c r="Q2151" s="16">
        <f t="shared" si="239"/>
        <v>41.281476082038502</v>
      </c>
      <c r="R2151" s="113">
        <f t="shared" si="235"/>
        <v>345.36</v>
      </c>
      <c r="S2151" s="16">
        <f>IF(S2150=15800,15800,ROUND((((Q2151*60)/'Gearing Calculator'!$C$14)*'Track Data'!P2151),-2))</f>
        <v>13300</v>
      </c>
      <c r="T2151" s="16">
        <f t="shared" si="237"/>
        <v>5.2583296715092471</v>
      </c>
      <c r="U2151" s="16">
        <f>IF(AC2151=100,Braking!$AG$2354,IF(AC2151=50,Braking!$AG$1179,IF(AC2151=75,Braking!$AG$1767,0)))</f>
        <v>0</v>
      </c>
      <c r="V2151" s="16">
        <f>0.5*'Gearing Calculator'!$C$15*'Gearing Calculator'!$C$20*'Gearing Calculator'!$W$20*('Track Data'!Q2151^2)</f>
        <v>180.36832271346125</v>
      </c>
      <c r="W2151" s="16">
        <f>('Gearing Calculator'!$U$9*'Track Data'!T2151)+'Track Data'!V2151</f>
        <v>1580.1356812692229</v>
      </c>
      <c r="X2151" s="16">
        <f>('Gearing Calculator'!$U$9*9.81)*('Gearing Calculator'!$U$16/'Gearing Calculator'!$C$7)-(('Track Data'!W2151)*('Gearing Calculator'!$U$17/'Gearing Calculator'!$C$7))</f>
        <v>539.88044034373297</v>
      </c>
      <c r="Y2151" s="16">
        <f>('Gearing Calculator'!$U$9*9.81)*(('Gearing Calculator'!$C$7-'Gearing Calculator'!$U$16)/'Gearing Calculator'!$C$7)+(('Track Data'!W2151)*('Gearing Calculator'!$U$17/'Gearing Calculator'!$C$7))</f>
        <v>2071.5415596562671</v>
      </c>
      <c r="Z2151" s="16">
        <f>((X2151*COS('Gearing Calculator'!$C$21))/'Gearing Calculator'!$C$22)/2</f>
        <v>16.691395719071824</v>
      </c>
      <c r="AA2151" s="16">
        <f>Y2151/'Gearing Calculator'!$C$24</f>
        <v>28.925668218874538</v>
      </c>
      <c r="AB2151" s="16">
        <f t="shared" si="233"/>
        <v>196.14331172798899</v>
      </c>
      <c r="AC2151" s="16">
        <v>0</v>
      </c>
      <c r="AD2151" s="16">
        <v>-51.415226335993196</v>
      </c>
      <c r="AE2151" s="16">
        <v>2148</v>
      </c>
      <c r="AF2151" s="16">
        <f>IF(AC2151=0,IF(O2151=6,INDEX(Acceleration!$V$4:$V$110,MATCH('Track Data'!S2151,Acceleration!$K$4:$K$110,0)),IF('Track Data'!O2151=5,INDEX(Acceleration!$U$4:$U$110,MATCH('Track Data'!S2151,Acceleration!$K$4:$K$110,0)),1)),U2151)</f>
        <v>1</v>
      </c>
      <c r="AG2151" s="16">
        <f>IF(AC2151=0,IF(O2151=4,INDEX(Acceleration!$T$4:$T$110,MATCH('Track Data'!S2151,Acceleration!$K$4:$K$110,0)),IF('Track Data'!O2151=3,INDEX(Acceleration!$S$4:$S$110,MATCH('Track Data'!S2151,Acceleration!$K$4:$K$110,0)),'Track Data'!AF2151)),'Track Data'!U2151)</f>
        <v>5.2583296715092471</v>
      </c>
      <c r="AH2151" s="16">
        <f>IF(AC2151=0,IF(O2151=2,INDEX(Acceleration!$R$4:$R$110,MATCH('Track Data'!S2151,Acceleration!$K$4:$K$110,0)),IF('Track Data'!O2151=1,INDEX(Acceleration!$Q$4:$Q$110,MATCH('Track Data'!S2151,Acceleration!$K$4:$K$110,0)),'Track Data'!AG2151)),'Track Data'!U2151)</f>
        <v>5.2583296715092471</v>
      </c>
    </row>
    <row r="2152" spans="2:34" x14ac:dyDescent="0.25">
      <c r="B2152" s="16">
        <v>252.21899999999999</v>
      </c>
      <c r="C2152" s="16">
        <v>9422</v>
      </c>
      <c r="D2152" s="16">
        <v>2149</v>
      </c>
      <c r="E2152" s="113">
        <v>139</v>
      </c>
      <c r="F2152" s="113">
        <v>131.30000000000001</v>
      </c>
      <c r="G2152" s="113">
        <v>122.3</v>
      </c>
      <c r="H2152" s="113">
        <f t="shared" si="236"/>
        <v>33.972222222222221</v>
      </c>
      <c r="I2152" s="113">
        <v>12</v>
      </c>
      <c r="J2152" s="113">
        <v>42.49</v>
      </c>
      <c r="K2152" s="113">
        <v>-27.7</v>
      </c>
      <c r="L2152" s="183"/>
      <c r="M2152" s="16">
        <v>2149</v>
      </c>
      <c r="N2152" s="16">
        <f t="shared" si="238"/>
        <v>2.4223940006716432E-2</v>
      </c>
      <c r="O2152" s="16">
        <v>3</v>
      </c>
      <c r="P2152" s="16">
        <f t="shared" si="234"/>
        <v>10.596205962059623</v>
      </c>
      <c r="Q2152" s="16">
        <f t="shared" si="239"/>
        <v>41.281476082038502</v>
      </c>
      <c r="R2152" s="113">
        <f t="shared" si="235"/>
        <v>345.36</v>
      </c>
      <c r="S2152" s="16">
        <f>IF(S2151=15800,15800,ROUND((((Q2152*60)/'Gearing Calculator'!$C$14)*'Track Data'!P2152),-2))</f>
        <v>13300</v>
      </c>
      <c r="T2152" s="16">
        <f t="shared" si="237"/>
        <v>5.2583296715092471</v>
      </c>
      <c r="U2152" s="16">
        <f>IF(AC2152=100,Braking!$AG$2354,IF(AC2152=50,Braking!$AG$1179,IF(AC2152=75,Braking!$AG$1767,0)))</f>
        <v>0</v>
      </c>
      <c r="V2152" s="16">
        <f>0.5*'Gearing Calculator'!$C$15*'Gearing Calculator'!$C$20*'Gearing Calculator'!$W$20*('Track Data'!Q2152^2)</f>
        <v>180.36832271346125</v>
      </c>
      <c r="W2152" s="16">
        <f>('Gearing Calculator'!$U$9*'Track Data'!T2152)+'Track Data'!V2152</f>
        <v>1580.1356812692229</v>
      </c>
      <c r="X2152" s="16">
        <f>('Gearing Calculator'!$U$9*9.81)*('Gearing Calculator'!$U$16/'Gearing Calculator'!$C$7)-(('Track Data'!W2152)*('Gearing Calculator'!$U$17/'Gearing Calculator'!$C$7))</f>
        <v>539.88044034373297</v>
      </c>
      <c r="Y2152" s="16">
        <f>('Gearing Calculator'!$U$9*9.81)*(('Gearing Calculator'!$C$7-'Gearing Calculator'!$U$16)/'Gearing Calculator'!$C$7)+(('Track Data'!W2152)*('Gearing Calculator'!$U$17/'Gearing Calculator'!$C$7))</f>
        <v>2071.5415596562671</v>
      </c>
      <c r="Z2152" s="16">
        <f>((X2152*COS('Gearing Calculator'!$C$21))/'Gearing Calculator'!$C$22)/2</f>
        <v>16.691395719071824</v>
      </c>
      <c r="AA2152" s="16">
        <f>Y2152/'Gearing Calculator'!$C$24</f>
        <v>28.925668218874538</v>
      </c>
      <c r="AB2152" s="16">
        <f t="shared" si="233"/>
        <v>196.14331172798899</v>
      </c>
      <c r="AC2152" s="16">
        <v>0</v>
      </c>
      <c r="AD2152" s="16">
        <v>-51.415226335993196</v>
      </c>
      <c r="AE2152" s="16">
        <v>2149</v>
      </c>
      <c r="AF2152" s="16">
        <f>IF(AC2152=0,IF(O2152=6,INDEX(Acceleration!$V$4:$V$110,MATCH('Track Data'!S2152,Acceleration!$K$4:$K$110,0)),IF('Track Data'!O2152=5,INDEX(Acceleration!$U$4:$U$110,MATCH('Track Data'!S2152,Acceleration!$K$4:$K$110,0)),1)),U2152)</f>
        <v>1</v>
      </c>
      <c r="AG2152" s="16">
        <f>IF(AC2152=0,IF(O2152=4,INDEX(Acceleration!$T$4:$T$110,MATCH('Track Data'!S2152,Acceleration!$K$4:$K$110,0)),IF('Track Data'!O2152=3,INDEX(Acceleration!$S$4:$S$110,MATCH('Track Data'!S2152,Acceleration!$K$4:$K$110,0)),'Track Data'!AF2152)),'Track Data'!U2152)</f>
        <v>5.2583296715092471</v>
      </c>
      <c r="AH2152" s="16">
        <f>IF(AC2152=0,IF(O2152=2,INDEX(Acceleration!$R$4:$R$110,MATCH('Track Data'!S2152,Acceleration!$K$4:$K$110,0)),IF('Track Data'!O2152=1,INDEX(Acceleration!$Q$4:$Q$110,MATCH('Track Data'!S2152,Acceleration!$K$4:$K$110,0)),'Track Data'!AG2152)),'Track Data'!U2152)</f>
        <v>5.2583296715092471</v>
      </c>
    </row>
    <row r="2153" spans="2:34" x14ac:dyDescent="0.25">
      <c r="B2153" s="16">
        <v>252.24700000000001</v>
      </c>
      <c r="C2153" s="16">
        <v>9423</v>
      </c>
      <c r="D2153" s="16">
        <v>2150</v>
      </c>
      <c r="E2153" s="113">
        <v>139</v>
      </c>
      <c r="F2153" s="113">
        <v>131.4</v>
      </c>
      <c r="G2153" s="113">
        <v>122.6</v>
      </c>
      <c r="H2153" s="113">
        <f t="shared" si="236"/>
        <v>34.05555555555555</v>
      </c>
      <c r="I2153" s="113">
        <v>13.9</v>
      </c>
      <c r="J2153" s="113">
        <v>40.07</v>
      </c>
      <c r="K2153" s="113">
        <v>-29.2</v>
      </c>
      <c r="L2153" s="183"/>
      <c r="M2153" s="16">
        <v>2150</v>
      </c>
      <c r="N2153" s="16">
        <f t="shared" si="238"/>
        <v>2.4223940006716432E-2</v>
      </c>
      <c r="O2153" s="16">
        <v>3</v>
      </c>
      <c r="P2153" s="16">
        <f t="shared" si="234"/>
        <v>10.596205962059623</v>
      </c>
      <c r="Q2153" s="16">
        <f t="shared" si="239"/>
        <v>41.281476082038502</v>
      </c>
      <c r="R2153" s="113">
        <f t="shared" si="235"/>
        <v>345.36</v>
      </c>
      <c r="S2153" s="16">
        <f>IF(S2152=15800,15800,ROUND((((Q2153*60)/'Gearing Calculator'!$C$14)*'Track Data'!P2153),-2))</f>
        <v>13300</v>
      </c>
      <c r="T2153" s="16">
        <f t="shared" si="237"/>
        <v>5.2583296715092471</v>
      </c>
      <c r="U2153" s="16">
        <f>IF(AC2153=100,Braking!$AG$2354,IF(AC2153=50,Braking!$AG$1179,IF(AC2153=75,Braking!$AG$1767,0)))</f>
        <v>0</v>
      </c>
      <c r="V2153" s="16">
        <f>0.5*'Gearing Calculator'!$C$15*'Gearing Calculator'!$C$20*'Gearing Calculator'!$W$20*('Track Data'!Q2153^2)</f>
        <v>180.36832271346125</v>
      </c>
      <c r="W2153" s="16">
        <f>('Gearing Calculator'!$U$9*'Track Data'!T2153)+'Track Data'!V2153</f>
        <v>1580.1356812692229</v>
      </c>
      <c r="X2153" s="16">
        <f>('Gearing Calculator'!$U$9*9.81)*('Gearing Calculator'!$U$16/'Gearing Calculator'!$C$7)-(('Track Data'!W2153)*('Gearing Calculator'!$U$17/'Gearing Calculator'!$C$7))</f>
        <v>539.88044034373297</v>
      </c>
      <c r="Y2153" s="16">
        <f>('Gearing Calculator'!$U$9*9.81)*(('Gearing Calculator'!$C$7-'Gearing Calculator'!$U$16)/'Gearing Calculator'!$C$7)+(('Track Data'!W2153)*('Gearing Calculator'!$U$17/'Gearing Calculator'!$C$7))</f>
        <v>2071.5415596562671</v>
      </c>
      <c r="Z2153" s="16">
        <f>((X2153*COS('Gearing Calculator'!$C$21))/'Gearing Calculator'!$C$22)/2</f>
        <v>16.691395719071824</v>
      </c>
      <c r="AA2153" s="16">
        <f>Y2153/'Gearing Calculator'!$C$24</f>
        <v>28.925668218874538</v>
      </c>
      <c r="AB2153" s="16">
        <f t="shared" si="233"/>
        <v>196.14331172798899</v>
      </c>
      <c r="AC2153" s="16">
        <v>0</v>
      </c>
      <c r="AD2153" s="16">
        <v>-51.415226335993196</v>
      </c>
      <c r="AE2153" s="16">
        <v>2150</v>
      </c>
      <c r="AF2153" s="16">
        <f>IF(AC2153=0,IF(O2153=6,INDEX(Acceleration!$V$4:$V$110,MATCH('Track Data'!S2153,Acceleration!$K$4:$K$110,0)),IF('Track Data'!O2153=5,INDEX(Acceleration!$U$4:$U$110,MATCH('Track Data'!S2153,Acceleration!$K$4:$K$110,0)),1)),U2153)</f>
        <v>1</v>
      </c>
      <c r="AG2153" s="16">
        <f>IF(AC2153=0,IF(O2153=4,INDEX(Acceleration!$T$4:$T$110,MATCH('Track Data'!S2153,Acceleration!$K$4:$K$110,0)),IF('Track Data'!O2153=3,INDEX(Acceleration!$S$4:$S$110,MATCH('Track Data'!S2153,Acceleration!$K$4:$K$110,0)),'Track Data'!AF2153)),'Track Data'!U2153)</f>
        <v>5.2583296715092471</v>
      </c>
      <c r="AH2153" s="16">
        <f>IF(AC2153=0,IF(O2153=2,INDEX(Acceleration!$R$4:$R$110,MATCH('Track Data'!S2153,Acceleration!$K$4:$K$110,0)),IF('Track Data'!O2153=1,INDEX(Acceleration!$Q$4:$Q$110,MATCH('Track Data'!S2153,Acceleration!$K$4:$K$110,0)),'Track Data'!AG2153)),'Track Data'!U2153)</f>
        <v>5.2583296715092471</v>
      </c>
    </row>
    <row r="2154" spans="2:34" x14ac:dyDescent="0.25">
      <c r="B2154" s="16">
        <v>252.274</v>
      </c>
      <c r="C2154" s="16">
        <v>9424</v>
      </c>
      <c r="D2154" s="16">
        <v>2151</v>
      </c>
      <c r="E2154" s="113">
        <v>139</v>
      </c>
      <c r="F2154" s="113">
        <v>131.80000000000001</v>
      </c>
      <c r="G2154" s="113">
        <v>123</v>
      </c>
      <c r="H2154" s="113">
        <f t="shared" si="236"/>
        <v>34.166666666666664</v>
      </c>
      <c r="I2154" s="113">
        <v>14</v>
      </c>
      <c r="J2154" s="113">
        <v>45.74</v>
      </c>
      <c r="K2154" s="113">
        <v>-40.9</v>
      </c>
      <c r="L2154" s="183"/>
      <c r="M2154" s="16">
        <v>2151</v>
      </c>
      <c r="N2154" s="16">
        <f t="shared" si="238"/>
        <v>2.4223940006716432E-2</v>
      </c>
      <c r="O2154" s="16">
        <v>3</v>
      </c>
      <c r="P2154" s="16">
        <f t="shared" si="234"/>
        <v>10.596205962059623</v>
      </c>
      <c r="Q2154" s="16">
        <f t="shared" si="239"/>
        <v>41.281476082038502</v>
      </c>
      <c r="R2154" s="113">
        <f t="shared" si="235"/>
        <v>345.36</v>
      </c>
      <c r="S2154" s="16">
        <f>IF(S2153=15800,15800,ROUND((((Q2154*60)/'Gearing Calculator'!$C$14)*'Track Data'!P2154),-2))</f>
        <v>13300</v>
      </c>
      <c r="T2154" s="16">
        <f t="shared" si="237"/>
        <v>5.2583296715092471</v>
      </c>
      <c r="U2154" s="16">
        <f>IF(AC2154=100,Braking!$AG$2354,IF(AC2154=50,Braking!$AG$1179,IF(AC2154=75,Braking!$AG$1767,0)))</f>
        <v>0</v>
      </c>
      <c r="V2154" s="16">
        <f>0.5*'Gearing Calculator'!$C$15*'Gearing Calculator'!$C$20*'Gearing Calculator'!$W$20*('Track Data'!Q2154^2)</f>
        <v>180.36832271346125</v>
      </c>
      <c r="W2154" s="16">
        <f>('Gearing Calculator'!$U$9*'Track Data'!T2154)+'Track Data'!V2154</f>
        <v>1580.1356812692229</v>
      </c>
      <c r="X2154" s="16">
        <f>('Gearing Calculator'!$U$9*9.81)*('Gearing Calculator'!$U$16/'Gearing Calculator'!$C$7)-(('Track Data'!W2154)*('Gearing Calculator'!$U$17/'Gearing Calculator'!$C$7))</f>
        <v>539.88044034373297</v>
      </c>
      <c r="Y2154" s="16">
        <f>('Gearing Calculator'!$U$9*9.81)*(('Gearing Calculator'!$C$7-'Gearing Calculator'!$U$16)/'Gearing Calculator'!$C$7)+(('Track Data'!W2154)*('Gearing Calculator'!$U$17/'Gearing Calculator'!$C$7))</f>
        <v>2071.5415596562671</v>
      </c>
      <c r="Z2154" s="16">
        <f>((X2154*COS('Gearing Calculator'!$C$21))/'Gearing Calculator'!$C$22)/2</f>
        <v>16.691395719071824</v>
      </c>
      <c r="AA2154" s="16">
        <f>Y2154/'Gearing Calculator'!$C$24</f>
        <v>28.925668218874538</v>
      </c>
      <c r="AB2154" s="16">
        <f t="shared" si="233"/>
        <v>196.14331172798899</v>
      </c>
      <c r="AC2154" s="16">
        <v>0</v>
      </c>
      <c r="AD2154" s="16">
        <v>-51.415226335993196</v>
      </c>
      <c r="AE2154" s="16">
        <v>2151</v>
      </c>
      <c r="AF2154" s="16">
        <f>IF(AC2154=0,IF(O2154=6,INDEX(Acceleration!$V$4:$V$110,MATCH('Track Data'!S2154,Acceleration!$K$4:$K$110,0)),IF('Track Data'!O2154=5,INDEX(Acceleration!$U$4:$U$110,MATCH('Track Data'!S2154,Acceleration!$K$4:$K$110,0)),1)),U2154)</f>
        <v>1</v>
      </c>
      <c r="AG2154" s="16">
        <f>IF(AC2154=0,IF(O2154=4,INDEX(Acceleration!$T$4:$T$110,MATCH('Track Data'!S2154,Acceleration!$K$4:$K$110,0)),IF('Track Data'!O2154=3,INDEX(Acceleration!$S$4:$S$110,MATCH('Track Data'!S2154,Acceleration!$K$4:$K$110,0)),'Track Data'!AF2154)),'Track Data'!U2154)</f>
        <v>5.2583296715092471</v>
      </c>
      <c r="AH2154" s="16">
        <f>IF(AC2154=0,IF(O2154=2,INDEX(Acceleration!$R$4:$R$110,MATCH('Track Data'!S2154,Acceleration!$K$4:$K$110,0)),IF('Track Data'!O2154=1,INDEX(Acceleration!$Q$4:$Q$110,MATCH('Track Data'!S2154,Acceleration!$K$4:$K$110,0)),'Track Data'!AG2154)),'Track Data'!U2154)</f>
        <v>5.2583296715092471</v>
      </c>
    </row>
    <row r="2155" spans="2:34" x14ac:dyDescent="0.25">
      <c r="B2155" s="16">
        <v>252.30099999999999</v>
      </c>
      <c r="C2155" s="16">
        <v>9425</v>
      </c>
      <c r="D2155" s="16">
        <v>2152</v>
      </c>
      <c r="E2155" s="113">
        <v>139</v>
      </c>
      <c r="F2155" s="113">
        <v>132.1</v>
      </c>
      <c r="G2155" s="113">
        <v>123.4</v>
      </c>
      <c r="H2155" s="113">
        <f t="shared" si="236"/>
        <v>34.277777777777779</v>
      </c>
      <c r="I2155" s="113">
        <v>13.7</v>
      </c>
      <c r="J2155" s="113">
        <v>43.95</v>
      </c>
      <c r="K2155" s="113">
        <v>-52.7</v>
      </c>
      <c r="L2155" s="183"/>
      <c r="M2155" s="16">
        <v>2152</v>
      </c>
      <c r="N2155" s="16">
        <f t="shared" si="238"/>
        <v>2.4223940006716432E-2</v>
      </c>
      <c r="O2155" s="16">
        <v>3</v>
      </c>
      <c r="P2155" s="16">
        <f t="shared" si="234"/>
        <v>10.596205962059623</v>
      </c>
      <c r="Q2155" s="16">
        <f t="shared" si="239"/>
        <v>41.281476082038502</v>
      </c>
      <c r="R2155" s="113">
        <f t="shared" si="235"/>
        <v>345.36</v>
      </c>
      <c r="S2155" s="16">
        <f>IF(S2154=15800,15800,ROUND((((Q2155*60)/'Gearing Calculator'!$C$14)*'Track Data'!P2155),-2))</f>
        <v>13300</v>
      </c>
      <c r="T2155" s="16">
        <f t="shared" si="237"/>
        <v>5.2583296715092471</v>
      </c>
      <c r="U2155" s="16">
        <f>IF(AC2155=100,Braking!$AG$2354,IF(AC2155=50,Braking!$AG$1179,IF(AC2155=75,Braking!$AG$1767,0)))</f>
        <v>0</v>
      </c>
      <c r="V2155" s="16">
        <f>0.5*'Gearing Calculator'!$C$15*'Gearing Calculator'!$C$20*'Gearing Calculator'!$W$20*('Track Data'!Q2155^2)</f>
        <v>180.36832271346125</v>
      </c>
      <c r="W2155" s="16">
        <f>('Gearing Calculator'!$U$9*'Track Data'!T2155)+'Track Data'!V2155</f>
        <v>1580.1356812692229</v>
      </c>
      <c r="X2155" s="16">
        <f>('Gearing Calculator'!$U$9*9.81)*('Gearing Calculator'!$U$16/'Gearing Calculator'!$C$7)-(('Track Data'!W2155)*('Gearing Calculator'!$U$17/'Gearing Calculator'!$C$7))</f>
        <v>539.88044034373297</v>
      </c>
      <c r="Y2155" s="16">
        <f>('Gearing Calculator'!$U$9*9.81)*(('Gearing Calculator'!$C$7-'Gearing Calculator'!$U$16)/'Gearing Calculator'!$C$7)+(('Track Data'!W2155)*('Gearing Calculator'!$U$17/'Gearing Calculator'!$C$7))</f>
        <v>2071.5415596562671</v>
      </c>
      <c r="Z2155" s="16">
        <f>((X2155*COS('Gearing Calculator'!$C$21))/'Gearing Calculator'!$C$22)/2</f>
        <v>16.691395719071824</v>
      </c>
      <c r="AA2155" s="16">
        <f>Y2155/'Gearing Calculator'!$C$24</f>
        <v>28.925668218874538</v>
      </c>
      <c r="AB2155" s="16">
        <f t="shared" si="233"/>
        <v>196.14331172798899</v>
      </c>
      <c r="AC2155" s="16">
        <v>0</v>
      </c>
      <c r="AD2155" s="16">
        <v>-51.415226335993196</v>
      </c>
      <c r="AE2155" s="16">
        <v>2152</v>
      </c>
      <c r="AF2155" s="16">
        <f>IF(AC2155=0,IF(O2155=6,INDEX(Acceleration!$V$4:$V$110,MATCH('Track Data'!S2155,Acceleration!$K$4:$K$110,0)),IF('Track Data'!O2155=5,INDEX(Acceleration!$U$4:$U$110,MATCH('Track Data'!S2155,Acceleration!$K$4:$K$110,0)),1)),U2155)</f>
        <v>1</v>
      </c>
      <c r="AG2155" s="16">
        <f>IF(AC2155=0,IF(O2155=4,INDEX(Acceleration!$T$4:$T$110,MATCH('Track Data'!S2155,Acceleration!$K$4:$K$110,0)),IF('Track Data'!O2155=3,INDEX(Acceleration!$S$4:$S$110,MATCH('Track Data'!S2155,Acceleration!$K$4:$K$110,0)),'Track Data'!AF2155)),'Track Data'!U2155)</f>
        <v>5.2583296715092471</v>
      </c>
      <c r="AH2155" s="16">
        <f>IF(AC2155=0,IF(O2155=2,INDEX(Acceleration!$R$4:$R$110,MATCH('Track Data'!S2155,Acceleration!$K$4:$K$110,0)),IF('Track Data'!O2155=1,INDEX(Acceleration!$Q$4:$Q$110,MATCH('Track Data'!S2155,Acceleration!$K$4:$K$110,0)),'Track Data'!AG2155)),'Track Data'!U2155)</f>
        <v>5.2583296715092471</v>
      </c>
    </row>
    <row r="2156" spans="2:34" x14ac:dyDescent="0.25">
      <c r="B2156" s="16">
        <v>252.32900000000001</v>
      </c>
      <c r="C2156" s="16">
        <v>9426</v>
      </c>
      <c r="D2156" s="16">
        <v>2153</v>
      </c>
      <c r="E2156" s="113">
        <v>139</v>
      </c>
      <c r="F2156" s="113">
        <v>132.30000000000001</v>
      </c>
      <c r="G2156" s="113">
        <v>123.7</v>
      </c>
      <c r="H2156" s="113">
        <f t="shared" si="236"/>
        <v>34.361111111111114</v>
      </c>
      <c r="I2156" s="113">
        <v>14.9</v>
      </c>
      <c r="J2156" s="113">
        <v>43.28</v>
      </c>
      <c r="K2156" s="113">
        <v>-58.9</v>
      </c>
      <c r="L2156" s="183"/>
      <c r="M2156" s="16">
        <v>2153</v>
      </c>
      <c r="N2156" s="16">
        <f t="shared" si="238"/>
        <v>2.4223940006716432E-2</v>
      </c>
      <c r="O2156" s="16">
        <v>3</v>
      </c>
      <c r="P2156" s="16">
        <f t="shared" si="234"/>
        <v>10.596205962059623</v>
      </c>
      <c r="Q2156" s="16">
        <f t="shared" si="239"/>
        <v>41.281476082038502</v>
      </c>
      <c r="R2156" s="113">
        <f t="shared" si="235"/>
        <v>345.36</v>
      </c>
      <c r="S2156" s="16">
        <f>IF(S2155=15800,15800,ROUND((((Q2156*60)/'Gearing Calculator'!$C$14)*'Track Data'!P2156),-2))</f>
        <v>13300</v>
      </c>
      <c r="T2156" s="16">
        <f t="shared" si="237"/>
        <v>5.2583296715092471</v>
      </c>
      <c r="U2156" s="16">
        <f>IF(AC2156=100,Braking!$AG$2354,IF(AC2156=50,Braking!$AG$1179,IF(AC2156=75,Braking!$AG$1767,0)))</f>
        <v>0</v>
      </c>
      <c r="V2156" s="16">
        <f>0.5*'Gearing Calculator'!$C$15*'Gearing Calculator'!$C$20*'Gearing Calculator'!$W$20*('Track Data'!Q2156^2)</f>
        <v>180.36832271346125</v>
      </c>
      <c r="W2156" s="16">
        <f>('Gearing Calculator'!$U$9*'Track Data'!T2156)+'Track Data'!V2156</f>
        <v>1580.1356812692229</v>
      </c>
      <c r="X2156" s="16">
        <f>('Gearing Calculator'!$U$9*9.81)*('Gearing Calculator'!$U$16/'Gearing Calculator'!$C$7)-(('Track Data'!W2156)*('Gearing Calculator'!$U$17/'Gearing Calculator'!$C$7))</f>
        <v>539.88044034373297</v>
      </c>
      <c r="Y2156" s="16">
        <f>('Gearing Calculator'!$U$9*9.81)*(('Gearing Calculator'!$C$7-'Gearing Calculator'!$U$16)/'Gearing Calculator'!$C$7)+(('Track Data'!W2156)*('Gearing Calculator'!$U$17/'Gearing Calculator'!$C$7))</f>
        <v>2071.5415596562671</v>
      </c>
      <c r="Z2156" s="16">
        <f>((X2156*COS('Gearing Calculator'!$C$21))/'Gearing Calculator'!$C$22)/2</f>
        <v>16.691395719071824</v>
      </c>
      <c r="AA2156" s="16">
        <f>Y2156/'Gearing Calculator'!$C$24</f>
        <v>28.925668218874538</v>
      </c>
      <c r="AB2156" s="16">
        <f t="shared" si="233"/>
        <v>196.14331172798899</v>
      </c>
      <c r="AC2156" s="16">
        <v>0</v>
      </c>
      <c r="AD2156" s="16">
        <v>-51.415226335993196</v>
      </c>
      <c r="AE2156" s="16">
        <v>2153</v>
      </c>
      <c r="AF2156" s="16">
        <f>IF(AC2156=0,IF(O2156=6,INDEX(Acceleration!$V$4:$V$110,MATCH('Track Data'!S2156,Acceleration!$K$4:$K$110,0)),IF('Track Data'!O2156=5,INDEX(Acceleration!$U$4:$U$110,MATCH('Track Data'!S2156,Acceleration!$K$4:$K$110,0)),1)),U2156)</f>
        <v>1</v>
      </c>
      <c r="AG2156" s="16">
        <f>IF(AC2156=0,IF(O2156=4,INDEX(Acceleration!$T$4:$T$110,MATCH('Track Data'!S2156,Acceleration!$K$4:$K$110,0)),IF('Track Data'!O2156=3,INDEX(Acceleration!$S$4:$S$110,MATCH('Track Data'!S2156,Acceleration!$K$4:$K$110,0)),'Track Data'!AF2156)),'Track Data'!U2156)</f>
        <v>5.2583296715092471</v>
      </c>
      <c r="AH2156" s="16">
        <f>IF(AC2156=0,IF(O2156=2,INDEX(Acceleration!$R$4:$R$110,MATCH('Track Data'!S2156,Acceleration!$K$4:$K$110,0)),IF('Track Data'!O2156=1,INDEX(Acceleration!$Q$4:$Q$110,MATCH('Track Data'!S2156,Acceleration!$K$4:$K$110,0)),'Track Data'!AG2156)),'Track Data'!U2156)</f>
        <v>5.2583296715092471</v>
      </c>
    </row>
    <row r="2157" spans="2:34" x14ac:dyDescent="0.25">
      <c r="B2157" s="16">
        <v>252.35599999999999</v>
      </c>
      <c r="C2157" s="16">
        <v>9427</v>
      </c>
      <c r="D2157" s="16">
        <v>2154</v>
      </c>
      <c r="E2157" s="113">
        <v>140</v>
      </c>
      <c r="F2157" s="113">
        <v>132.19999999999999</v>
      </c>
      <c r="G2157" s="113">
        <v>124.1</v>
      </c>
      <c r="H2157" s="113">
        <f t="shared" si="236"/>
        <v>34.472222222222221</v>
      </c>
      <c r="I2157" s="113">
        <v>15.8</v>
      </c>
      <c r="J2157" s="113">
        <v>44.45</v>
      </c>
      <c r="K2157" s="113">
        <v>-57.9</v>
      </c>
      <c r="L2157" s="183"/>
      <c r="M2157" s="16">
        <v>2154</v>
      </c>
      <c r="N2157" s="16">
        <f t="shared" si="238"/>
        <v>2.4223940006716432E-2</v>
      </c>
      <c r="O2157" s="16">
        <v>3</v>
      </c>
      <c r="P2157" s="16">
        <f t="shared" si="234"/>
        <v>10.596205962059623</v>
      </c>
      <c r="Q2157" s="16">
        <f t="shared" si="239"/>
        <v>41.281476082038502</v>
      </c>
      <c r="R2157" s="113">
        <f t="shared" si="235"/>
        <v>345.36</v>
      </c>
      <c r="S2157" s="16">
        <f>IF(S2156=15800,15800,ROUND((((Q2157*60)/'Gearing Calculator'!$C$14)*'Track Data'!P2157),-2))</f>
        <v>13300</v>
      </c>
      <c r="T2157" s="16">
        <f t="shared" si="237"/>
        <v>5.2583296715092471</v>
      </c>
      <c r="U2157" s="16">
        <f>IF(AC2157=100,Braking!$AG$2354,IF(AC2157=50,Braking!$AG$1179,IF(AC2157=75,Braking!$AG$1767,0)))</f>
        <v>0</v>
      </c>
      <c r="V2157" s="16">
        <f>0.5*'Gearing Calculator'!$C$15*'Gearing Calculator'!$C$20*'Gearing Calculator'!$W$20*('Track Data'!Q2157^2)</f>
        <v>180.36832271346125</v>
      </c>
      <c r="W2157" s="16">
        <f>('Gearing Calculator'!$U$9*'Track Data'!T2157)+'Track Data'!V2157</f>
        <v>1580.1356812692229</v>
      </c>
      <c r="X2157" s="16">
        <f>('Gearing Calculator'!$U$9*9.81)*('Gearing Calculator'!$U$16/'Gearing Calculator'!$C$7)-(('Track Data'!W2157)*('Gearing Calculator'!$U$17/'Gearing Calculator'!$C$7))</f>
        <v>539.88044034373297</v>
      </c>
      <c r="Y2157" s="16">
        <f>('Gearing Calculator'!$U$9*9.81)*(('Gearing Calculator'!$C$7-'Gearing Calculator'!$U$16)/'Gearing Calculator'!$C$7)+(('Track Data'!W2157)*('Gearing Calculator'!$U$17/'Gearing Calculator'!$C$7))</f>
        <v>2071.5415596562671</v>
      </c>
      <c r="Z2157" s="16">
        <f>((X2157*COS('Gearing Calculator'!$C$21))/'Gearing Calculator'!$C$22)/2</f>
        <v>16.691395719071824</v>
      </c>
      <c r="AA2157" s="16">
        <f>Y2157/'Gearing Calculator'!$C$24</f>
        <v>28.925668218874538</v>
      </c>
      <c r="AB2157" s="16">
        <f t="shared" si="233"/>
        <v>196.14331172798899</v>
      </c>
      <c r="AC2157" s="16">
        <v>0</v>
      </c>
      <c r="AD2157" s="16">
        <v>-51.415226335993196</v>
      </c>
      <c r="AE2157" s="16">
        <v>2154</v>
      </c>
      <c r="AF2157" s="16">
        <f>IF(AC2157=0,IF(O2157=6,INDEX(Acceleration!$V$4:$V$110,MATCH('Track Data'!S2157,Acceleration!$K$4:$K$110,0)),IF('Track Data'!O2157=5,INDEX(Acceleration!$U$4:$U$110,MATCH('Track Data'!S2157,Acceleration!$K$4:$K$110,0)),1)),U2157)</f>
        <v>1</v>
      </c>
      <c r="AG2157" s="16">
        <f>IF(AC2157=0,IF(O2157=4,INDEX(Acceleration!$T$4:$T$110,MATCH('Track Data'!S2157,Acceleration!$K$4:$K$110,0)),IF('Track Data'!O2157=3,INDEX(Acceleration!$S$4:$S$110,MATCH('Track Data'!S2157,Acceleration!$K$4:$K$110,0)),'Track Data'!AF2157)),'Track Data'!U2157)</f>
        <v>5.2583296715092471</v>
      </c>
      <c r="AH2157" s="16">
        <f>IF(AC2157=0,IF(O2157=2,INDEX(Acceleration!$R$4:$R$110,MATCH('Track Data'!S2157,Acceleration!$K$4:$K$110,0)),IF('Track Data'!O2157=1,INDEX(Acceleration!$Q$4:$Q$110,MATCH('Track Data'!S2157,Acceleration!$K$4:$K$110,0)),'Track Data'!AG2157)),'Track Data'!U2157)</f>
        <v>5.2583296715092471</v>
      </c>
    </row>
    <row r="2158" spans="2:34" x14ac:dyDescent="0.25">
      <c r="B2158" s="16">
        <v>252.38200000000001</v>
      </c>
      <c r="C2158" s="16">
        <v>9428</v>
      </c>
      <c r="D2158" s="16">
        <v>2155</v>
      </c>
      <c r="E2158" s="113">
        <v>140</v>
      </c>
      <c r="F2158" s="113">
        <v>132.4</v>
      </c>
      <c r="G2158" s="113">
        <v>124.4</v>
      </c>
      <c r="H2158" s="113">
        <f t="shared" si="236"/>
        <v>34.555555555555557</v>
      </c>
      <c r="I2158" s="113">
        <v>16</v>
      </c>
      <c r="J2158" s="113">
        <v>43.71</v>
      </c>
      <c r="K2158" s="113">
        <v>-57</v>
      </c>
      <c r="L2158" s="183"/>
      <c r="M2158" s="16">
        <v>2155</v>
      </c>
      <c r="N2158" s="16">
        <f t="shared" si="238"/>
        <v>2.4223940006716432E-2</v>
      </c>
      <c r="O2158" s="16">
        <v>3</v>
      </c>
      <c r="P2158" s="16">
        <f t="shared" si="234"/>
        <v>10.596205962059623</v>
      </c>
      <c r="Q2158" s="16">
        <f t="shared" si="239"/>
        <v>41.281476082038502</v>
      </c>
      <c r="R2158" s="113">
        <f t="shared" si="235"/>
        <v>345.36</v>
      </c>
      <c r="S2158" s="16">
        <f>IF(S2157=15800,15800,ROUND((((Q2158*60)/'Gearing Calculator'!$C$14)*'Track Data'!P2158),-2))</f>
        <v>13300</v>
      </c>
      <c r="T2158" s="16">
        <f t="shared" si="237"/>
        <v>5.2583296715092471</v>
      </c>
      <c r="U2158" s="16">
        <f>IF(AC2158=100,Braking!$AG$2354,IF(AC2158=50,Braking!$AG$1179,IF(AC2158=75,Braking!$AG$1767,0)))</f>
        <v>0</v>
      </c>
      <c r="V2158" s="16">
        <f>0.5*'Gearing Calculator'!$C$15*'Gearing Calculator'!$C$20*'Gearing Calculator'!$W$20*('Track Data'!Q2158^2)</f>
        <v>180.36832271346125</v>
      </c>
      <c r="W2158" s="16">
        <f>('Gearing Calculator'!$U$9*'Track Data'!T2158)+'Track Data'!V2158</f>
        <v>1580.1356812692229</v>
      </c>
      <c r="X2158" s="16">
        <f>('Gearing Calculator'!$U$9*9.81)*('Gearing Calculator'!$U$16/'Gearing Calculator'!$C$7)-(('Track Data'!W2158)*('Gearing Calculator'!$U$17/'Gearing Calculator'!$C$7))</f>
        <v>539.88044034373297</v>
      </c>
      <c r="Y2158" s="16">
        <f>('Gearing Calculator'!$U$9*9.81)*(('Gearing Calculator'!$C$7-'Gearing Calculator'!$U$16)/'Gearing Calculator'!$C$7)+(('Track Data'!W2158)*('Gearing Calculator'!$U$17/'Gearing Calculator'!$C$7))</f>
        <v>2071.5415596562671</v>
      </c>
      <c r="Z2158" s="16">
        <f>((X2158*COS('Gearing Calculator'!$C$21))/'Gearing Calculator'!$C$22)/2</f>
        <v>16.691395719071824</v>
      </c>
      <c r="AA2158" s="16">
        <f>Y2158/'Gearing Calculator'!$C$24</f>
        <v>28.925668218874538</v>
      </c>
      <c r="AB2158" s="16">
        <f t="shared" si="233"/>
        <v>196.14331172798899</v>
      </c>
      <c r="AC2158" s="16">
        <v>0</v>
      </c>
      <c r="AD2158" s="16">
        <v>-51.415226335993196</v>
      </c>
      <c r="AE2158" s="16">
        <v>2155</v>
      </c>
      <c r="AF2158" s="16">
        <f>IF(AC2158=0,IF(O2158=6,INDEX(Acceleration!$V$4:$V$110,MATCH('Track Data'!S2158,Acceleration!$K$4:$K$110,0)),IF('Track Data'!O2158=5,INDEX(Acceleration!$U$4:$U$110,MATCH('Track Data'!S2158,Acceleration!$K$4:$K$110,0)),1)),U2158)</f>
        <v>1</v>
      </c>
      <c r="AG2158" s="16">
        <f>IF(AC2158=0,IF(O2158=4,INDEX(Acceleration!$T$4:$T$110,MATCH('Track Data'!S2158,Acceleration!$K$4:$K$110,0)),IF('Track Data'!O2158=3,INDEX(Acceleration!$S$4:$S$110,MATCH('Track Data'!S2158,Acceleration!$K$4:$K$110,0)),'Track Data'!AF2158)),'Track Data'!U2158)</f>
        <v>5.2583296715092471</v>
      </c>
      <c r="AH2158" s="16">
        <f>IF(AC2158=0,IF(O2158=2,INDEX(Acceleration!$R$4:$R$110,MATCH('Track Data'!S2158,Acceleration!$K$4:$K$110,0)),IF('Track Data'!O2158=1,INDEX(Acceleration!$Q$4:$Q$110,MATCH('Track Data'!S2158,Acceleration!$K$4:$K$110,0)),'Track Data'!AG2158)),'Track Data'!U2158)</f>
        <v>5.2583296715092471</v>
      </c>
    </row>
    <row r="2159" spans="2:34" x14ac:dyDescent="0.25">
      <c r="B2159" s="16">
        <v>252.41</v>
      </c>
      <c r="C2159" s="16">
        <v>9429</v>
      </c>
      <c r="D2159" s="16">
        <v>2156</v>
      </c>
      <c r="E2159" s="113">
        <v>140</v>
      </c>
      <c r="F2159" s="113">
        <v>132.69999999999999</v>
      </c>
      <c r="G2159" s="113">
        <v>124.8</v>
      </c>
      <c r="H2159" s="113">
        <f t="shared" si="236"/>
        <v>34.666666666666664</v>
      </c>
      <c r="I2159" s="113">
        <v>15.8</v>
      </c>
      <c r="J2159" s="113">
        <v>42.3</v>
      </c>
      <c r="K2159" s="113">
        <v>-55.9</v>
      </c>
      <c r="L2159" s="183"/>
      <c r="M2159" s="16">
        <v>2156</v>
      </c>
      <c r="N2159" s="16">
        <f t="shared" si="238"/>
        <v>2.4223940006716432E-2</v>
      </c>
      <c r="O2159" s="16">
        <v>3</v>
      </c>
      <c r="P2159" s="16">
        <f t="shared" si="234"/>
        <v>10.596205962059623</v>
      </c>
      <c r="Q2159" s="16">
        <f t="shared" si="239"/>
        <v>41.281476082038502</v>
      </c>
      <c r="R2159" s="113">
        <f t="shared" si="235"/>
        <v>345.36</v>
      </c>
      <c r="S2159" s="16">
        <f>IF(S2158=15800,15800,ROUND((((Q2159*60)/'Gearing Calculator'!$C$14)*'Track Data'!P2159),-2))</f>
        <v>13300</v>
      </c>
      <c r="T2159" s="16">
        <f t="shared" si="237"/>
        <v>5.2583296715092471</v>
      </c>
      <c r="U2159" s="16">
        <f>IF(AC2159=100,Braking!$AG$2354,IF(AC2159=50,Braking!$AG$1179,IF(AC2159=75,Braking!$AG$1767,0)))</f>
        <v>0</v>
      </c>
      <c r="V2159" s="16">
        <f>0.5*'Gearing Calculator'!$C$15*'Gearing Calculator'!$C$20*'Gearing Calculator'!$W$20*('Track Data'!Q2159^2)</f>
        <v>180.36832271346125</v>
      </c>
      <c r="W2159" s="16">
        <f>('Gearing Calculator'!$U$9*'Track Data'!T2159)+'Track Data'!V2159</f>
        <v>1580.1356812692229</v>
      </c>
      <c r="X2159" s="16">
        <f>('Gearing Calculator'!$U$9*9.81)*('Gearing Calculator'!$U$16/'Gearing Calculator'!$C$7)-(('Track Data'!W2159)*('Gearing Calculator'!$U$17/'Gearing Calculator'!$C$7))</f>
        <v>539.88044034373297</v>
      </c>
      <c r="Y2159" s="16">
        <f>('Gearing Calculator'!$U$9*9.81)*(('Gearing Calculator'!$C$7-'Gearing Calculator'!$U$16)/'Gearing Calculator'!$C$7)+(('Track Data'!W2159)*('Gearing Calculator'!$U$17/'Gearing Calculator'!$C$7))</f>
        <v>2071.5415596562671</v>
      </c>
      <c r="Z2159" s="16">
        <f>((X2159*COS('Gearing Calculator'!$C$21))/'Gearing Calculator'!$C$22)/2</f>
        <v>16.691395719071824</v>
      </c>
      <c r="AA2159" s="16">
        <f>Y2159/'Gearing Calculator'!$C$24</f>
        <v>28.925668218874538</v>
      </c>
      <c r="AB2159" s="16">
        <f t="shared" si="233"/>
        <v>196.14331172798899</v>
      </c>
      <c r="AC2159" s="16">
        <v>0</v>
      </c>
      <c r="AD2159" s="16">
        <v>-51.415226335993196</v>
      </c>
      <c r="AE2159" s="16">
        <v>2156</v>
      </c>
      <c r="AF2159" s="16">
        <f>IF(AC2159=0,IF(O2159=6,INDEX(Acceleration!$V$4:$V$110,MATCH('Track Data'!S2159,Acceleration!$K$4:$K$110,0)),IF('Track Data'!O2159=5,INDEX(Acceleration!$U$4:$U$110,MATCH('Track Data'!S2159,Acceleration!$K$4:$K$110,0)),1)),U2159)</f>
        <v>1</v>
      </c>
      <c r="AG2159" s="16">
        <f>IF(AC2159=0,IF(O2159=4,INDEX(Acceleration!$T$4:$T$110,MATCH('Track Data'!S2159,Acceleration!$K$4:$K$110,0)),IF('Track Data'!O2159=3,INDEX(Acceleration!$S$4:$S$110,MATCH('Track Data'!S2159,Acceleration!$K$4:$K$110,0)),'Track Data'!AF2159)),'Track Data'!U2159)</f>
        <v>5.2583296715092471</v>
      </c>
      <c r="AH2159" s="16">
        <f>IF(AC2159=0,IF(O2159=2,INDEX(Acceleration!$R$4:$R$110,MATCH('Track Data'!S2159,Acceleration!$K$4:$K$110,0)),IF('Track Data'!O2159=1,INDEX(Acceleration!$Q$4:$Q$110,MATCH('Track Data'!S2159,Acceleration!$K$4:$K$110,0)),'Track Data'!AG2159)),'Track Data'!U2159)</f>
        <v>5.2583296715092471</v>
      </c>
    </row>
    <row r="2160" spans="2:34" x14ac:dyDescent="0.25">
      <c r="B2160" s="16">
        <v>252.43700000000001</v>
      </c>
      <c r="C2160" s="16">
        <v>9430</v>
      </c>
      <c r="D2160" s="16">
        <v>2157</v>
      </c>
      <c r="E2160" s="113">
        <v>141</v>
      </c>
      <c r="F2160" s="113">
        <v>132.9</v>
      </c>
      <c r="G2160" s="113">
        <v>125</v>
      </c>
      <c r="H2160" s="113">
        <f t="shared" si="236"/>
        <v>34.722222222222221</v>
      </c>
      <c r="I2160" s="113">
        <v>15.6</v>
      </c>
      <c r="J2160" s="113">
        <v>41.12</v>
      </c>
      <c r="K2160" s="113">
        <v>-54.9</v>
      </c>
      <c r="L2160" s="183"/>
      <c r="M2160" s="16">
        <v>2157</v>
      </c>
      <c r="N2160" s="16">
        <f t="shared" si="238"/>
        <v>2.4223940006716432E-2</v>
      </c>
      <c r="O2160" s="16">
        <v>3</v>
      </c>
      <c r="P2160" s="16">
        <f t="shared" si="234"/>
        <v>10.596205962059623</v>
      </c>
      <c r="Q2160" s="16">
        <f t="shared" si="239"/>
        <v>41.281476082038502</v>
      </c>
      <c r="R2160" s="113">
        <f t="shared" si="235"/>
        <v>345.36</v>
      </c>
      <c r="S2160" s="16">
        <f>IF(S2159=15800,15800,ROUND((((Q2160*60)/'Gearing Calculator'!$C$14)*'Track Data'!P2160),-2))</f>
        <v>13300</v>
      </c>
      <c r="T2160" s="16">
        <f t="shared" si="237"/>
        <v>5.2583296715092471</v>
      </c>
      <c r="U2160" s="16">
        <f>IF(AC2160=100,Braking!$AG$2354,IF(AC2160=50,Braking!$AG$1179,IF(AC2160=75,Braking!$AG$1767,0)))</f>
        <v>0</v>
      </c>
      <c r="V2160" s="16">
        <f>0.5*'Gearing Calculator'!$C$15*'Gearing Calculator'!$C$20*'Gearing Calculator'!$W$20*('Track Data'!Q2160^2)</f>
        <v>180.36832271346125</v>
      </c>
      <c r="W2160" s="16">
        <f>('Gearing Calculator'!$U$9*'Track Data'!T2160)+'Track Data'!V2160</f>
        <v>1580.1356812692229</v>
      </c>
      <c r="X2160" s="16">
        <f>('Gearing Calculator'!$U$9*9.81)*('Gearing Calculator'!$U$16/'Gearing Calculator'!$C$7)-(('Track Data'!W2160)*('Gearing Calculator'!$U$17/'Gearing Calculator'!$C$7))</f>
        <v>539.88044034373297</v>
      </c>
      <c r="Y2160" s="16">
        <f>('Gearing Calculator'!$U$9*9.81)*(('Gearing Calculator'!$C$7-'Gearing Calculator'!$U$16)/'Gearing Calculator'!$C$7)+(('Track Data'!W2160)*('Gearing Calculator'!$U$17/'Gearing Calculator'!$C$7))</f>
        <v>2071.5415596562671</v>
      </c>
      <c r="Z2160" s="16">
        <f>((X2160*COS('Gearing Calculator'!$C$21))/'Gearing Calculator'!$C$22)/2</f>
        <v>16.691395719071824</v>
      </c>
      <c r="AA2160" s="16">
        <f>Y2160/'Gearing Calculator'!$C$24</f>
        <v>28.925668218874538</v>
      </c>
      <c r="AB2160" s="16">
        <f t="shared" si="233"/>
        <v>196.14331172798899</v>
      </c>
      <c r="AC2160" s="16">
        <v>0</v>
      </c>
      <c r="AD2160" s="16">
        <v>-51.415226335993196</v>
      </c>
      <c r="AE2160" s="16">
        <v>2157</v>
      </c>
      <c r="AF2160" s="16">
        <f>IF(AC2160=0,IF(O2160=6,INDEX(Acceleration!$V$4:$V$110,MATCH('Track Data'!S2160,Acceleration!$K$4:$K$110,0)),IF('Track Data'!O2160=5,INDEX(Acceleration!$U$4:$U$110,MATCH('Track Data'!S2160,Acceleration!$K$4:$K$110,0)),1)),U2160)</f>
        <v>1</v>
      </c>
      <c r="AG2160" s="16">
        <f>IF(AC2160=0,IF(O2160=4,INDEX(Acceleration!$T$4:$T$110,MATCH('Track Data'!S2160,Acceleration!$K$4:$K$110,0)),IF('Track Data'!O2160=3,INDEX(Acceleration!$S$4:$S$110,MATCH('Track Data'!S2160,Acceleration!$K$4:$K$110,0)),'Track Data'!AF2160)),'Track Data'!U2160)</f>
        <v>5.2583296715092471</v>
      </c>
      <c r="AH2160" s="16">
        <f>IF(AC2160=0,IF(O2160=2,INDEX(Acceleration!$R$4:$R$110,MATCH('Track Data'!S2160,Acceleration!$K$4:$K$110,0)),IF('Track Data'!O2160=1,INDEX(Acceleration!$Q$4:$Q$110,MATCH('Track Data'!S2160,Acceleration!$K$4:$K$110,0)),'Track Data'!AG2160)),'Track Data'!U2160)</f>
        <v>5.2583296715092471</v>
      </c>
    </row>
    <row r="2161" spans="2:34" x14ac:dyDescent="0.25">
      <c r="B2161" s="16">
        <v>252.464</v>
      </c>
      <c r="C2161" s="16">
        <v>9431</v>
      </c>
      <c r="D2161" s="16">
        <v>2158</v>
      </c>
      <c r="E2161" s="113">
        <v>142</v>
      </c>
      <c r="F2161" s="113">
        <v>133.4</v>
      </c>
      <c r="G2161" s="113">
        <v>125.3</v>
      </c>
      <c r="H2161" s="113">
        <f t="shared" si="236"/>
        <v>34.805555555555557</v>
      </c>
      <c r="I2161" s="113">
        <v>14.9</v>
      </c>
      <c r="J2161" s="113">
        <v>39.270000000000003</v>
      </c>
      <c r="K2161" s="113">
        <v>-53.5</v>
      </c>
      <c r="L2161" s="183"/>
      <c r="M2161" s="16">
        <v>2158</v>
      </c>
      <c r="N2161" s="16">
        <f t="shared" si="238"/>
        <v>2.4223940006716432E-2</v>
      </c>
      <c r="O2161" s="16">
        <v>3</v>
      </c>
      <c r="P2161" s="16">
        <f t="shared" si="234"/>
        <v>10.596205962059623</v>
      </c>
      <c r="Q2161" s="16">
        <f t="shared" si="239"/>
        <v>41.281476082038502</v>
      </c>
      <c r="R2161" s="113">
        <f t="shared" si="235"/>
        <v>345.36</v>
      </c>
      <c r="S2161" s="16">
        <f>IF(S2160=15800,15800,ROUND((((Q2161*60)/'Gearing Calculator'!$C$14)*'Track Data'!P2161),-2))</f>
        <v>13300</v>
      </c>
      <c r="T2161" s="16">
        <f t="shared" si="237"/>
        <v>5.2583296715092471</v>
      </c>
      <c r="U2161" s="16">
        <f>IF(AC2161=100,Braking!$AG$2354,IF(AC2161=50,Braking!$AG$1179,IF(AC2161=75,Braking!$AG$1767,0)))</f>
        <v>0</v>
      </c>
      <c r="V2161" s="16">
        <f>0.5*'Gearing Calculator'!$C$15*'Gearing Calculator'!$C$20*'Gearing Calculator'!$W$20*('Track Data'!Q2161^2)</f>
        <v>180.36832271346125</v>
      </c>
      <c r="W2161" s="16">
        <f>('Gearing Calculator'!$U$9*'Track Data'!T2161)+'Track Data'!V2161</f>
        <v>1580.1356812692229</v>
      </c>
      <c r="X2161" s="16">
        <f>('Gearing Calculator'!$U$9*9.81)*('Gearing Calculator'!$U$16/'Gearing Calculator'!$C$7)-(('Track Data'!W2161)*('Gearing Calculator'!$U$17/'Gearing Calculator'!$C$7))</f>
        <v>539.88044034373297</v>
      </c>
      <c r="Y2161" s="16">
        <f>('Gearing Calculator'!$U$9*9.81)*(('Gearing Calculator'!$C$7-'Gearing Calculator'!$U$16)/'Gearing Calculator'!$C$7)+(('Track Data'!W2161)*('Gearing Calculator'!$U$17/'Gearing Calculator'!$C$7))</f>
        <v>2071.5415596562671</v>
      </c>
      <c r="Z2161" s="16">
        <f>((X2161*COS('Gearing Calculator'!$C$21))/'Gearing Calculator'!$C$22)/2</f>
        <v>16.691395719071824</v>
      </c>
      <c r="AA2161" s="16">
        <f>Y2161/'Gearing Calculator'!$C$24</f>
        <v>28.925668218874538</v>
      </c>
      <c r="AB2161" s="16">
        <f t="shared" si="233"/>
        <v>196.14331172798899</v>
      </c>
      <c r="AC2161" s="16">
        <v>0</v>
      </c>
      <c r="AD2161" s="16">
        <v>-51.415226335993196</v>
      </c>
      <c r="AE2161" s="16">
        <v>2158</v>
      </c>
      <c r="AF2161" s="16">
        <f>IF(AC2161=0,IF(O2161=6,INDEX(Acceleration!$V$4:$V$110,MATCH('Track Data'!S2161,Acceleration!$K$4:$K$110,0)),IF('Track Data'!O2161=5,INDEX(Acceleration!$U$4:$U$110,MATCH('Track Data'!S2161,Acceleration!$K$4:$K$110,0)),1)),U2161)</f>
        <v>1</v>
      </c>
      <c r="AG2161" s="16">
        <f>IF(AC2161=0,IF(O2161=4,INDEX(Acceleration!$T$4:$T$110,MATCH('Track Data'!S2161,Acceleration!$K$4:$K$110,0)),IF('Track Data'!O2161=3,INDEX(Acceleration!$S$4:$S$110,MATCH('Track Data'!S2161,Acceleration!$K$4:$K$110,0)),'Track Data'!AF2161)),'Track Data'!U2161)</f>
        <v>5.2583296715092471</v>
      </c>
      <c r="AH2161" s="16">
        <f>IF(AC2161=0,IF(O2161=2,INDEX(Acceleration!$R$4:$R$110,MATCH('Track Data'!S2161,Acceleration!$K$4:$K$110,0)),IF('Track Data'!O2161=1,INDEX(Acceleration!$Q$4:$Q$110,MATCH('Track Data'!S2161,Acceleration!$K$4:$K$110,0)),'Track Data'!AG2161)),'Track Data'!U2161)</f>
        <v>5.2583296715092471</v>
      </c>
    </row>
    <row r="2162" spans="2:34" x14ac:dyDescent="0.25">
      <c r="B2162" s="16">
        <v>252.49100000000001</v>
      </c>
      <c r="C2162" s="16">
        <v>9432</v>
      </c>
      <c r="D2162" s="16">
        <v>2159</v>
      </c>
      <c r="E2162" s="113">
        <v>143</v>
      </c>
      <c r="F2162" s="113">
        <v>133.9</v>
      </c>
      <c r="G2162" s="113">
        <v>125.7</v>
      </c>
      <c r="H2162" s="113">
        <f t="shared" si="236"/>
        <v>34.916666666666664</v>
      </c>
      <c r="I2162" s="113">
        <v>13.7</v>
      </c>
      <c r="J2162" s="113">
        <v>34.380000000000003</v>
      </c>
      <c r="K2162" s="113">
        <v>-52.6</v>
      </c>
      <c r="L2162" s="183"/>
      <c r="M2162" s="16">
        <v>2159</v>
      </c>
      <c r="N2162" s="16">
        <f t="shared" si="238"/>
        <v>2.4223940006716432E-2</v>
      </c>
      <c r="O2162" s="16">
        <v>3</v>
      </c>
      <c r="P2162" s="16">
        <f t="shared" si="234"/>
        <v>10.596205962059623</v>
      </c>
      <c r="Q2162" s="16">
        <f t="shared" si="239"/>
        <v>41.281476082038502</v>
      </c>
      <c r="R2162" s="113">
        <f t="shared" si="235"/>
        <v>345.36</v>
      </c>
      <c r="S2162" s="16">
        <f>IF(S2161=15800,15800,ROUND((((Q2162*60)/'Gearing Calculator'!$C$14)*'Track Data'!P2162),-2))</f>
        <v>13300</v>
      </c>
      <c r="T2162" s="16">
        <f t="shared" si="237"/>
        <v>5.2583296715092471</v>
      </c>
      <c r="U2162" s="16">
        <f>IF(AC2162=100,Braking!$AG$2354,IF(AC2162=50,Braking!$AG$1179,IF(AC2162=75,Braking!$AG$1767,0)))</f>
        <v>0</v>
      </c>
      <c r="V2162" s="16">
        <f>0.5*'Gearing Calculator'!$C$15*'Gearing Calculator'!$C$20*'Gearing Calculator'!$W$20*('Track Data'!Q2162^2)</f>
        <v>180.36832271346125</v>
      </c>
      <c r="W2162" s="16">
        <f>('Gearing Calculator'!$U$9*'Track Data'!T2162)+'Track Data'!V2162</f>
        <v>1580.1356812692229</v>
      </c>
      <c r="X2162" s="16">
        <f>('Gearing Calculator'!$U$9*9.81)*('Gearing Calculator'!$U$16/'Gearing Calculator'!$C$7)-(('Track Data'!W2162)*('Gearing Calculator'!$U$17/'Gearing Calculator'!$C$7))</f>
        <v>539.88044034373297</v>
      </c>
      <c r="Y2162" s="16">
        <f>('Gearing Calculator'!$U$9*9.81)*(('Gearing Calculator'!$C$7-'Gearing Calculator'!$U$16)/'Gearing Calculator'!$C$7)+(('Track Data'!W2162)*('Gearing Calculator'!$U$17/'Gearing Calculator'!$C$7))</f>
        <v>2071.5415596562671</v>
      </c>
      <c r="Z2162" s="16">
        <f>((X2162*COS('Gearing Calculator'!$C$21))/'Gearing Calculator'!$C$22)/2</f>
        <v>16.691395719071824</v>
      </c>
      <c r="AA2162" s="16">
        <f>Y2162/'Gearing Calculator'!$C$24</f>
        <v>28.925668218874538</v>
      </c>
      <c r="AB2162" s="16">
        <f t="shared" si="233"/>
        <v>196.14331172798899</v>
      </c>
      <c r="AC2162" s="16">
        <v>0</v>
      </c>
      <c r="AD2162" s="16">
        <v>-51.415226335993196</v>
      </c>
      <c r="AE2162" s="16">
        <v>2159</v>
      </c>
      <c r="AF2162" s="16">
        <f>IF(AC2162=0,IF(O2162=6,INDEX(Acceleration!$V$4:$V$110,MATCH('Track Data'!S2162,Acceleration!$K$4:$K$110,0)),IF('Track Data'!O2162=5,INDEX(Acceleration!$U$4:$U$110,MATCH('Track Data'!S2162,Acceleration!$K$4:$K$110,0)),1)),U2162)</f>
        <v>1</v>
      </c>
      <c r="AG2162" s="16">
        <f>IF(AC2162=0,IF(O2162=4,INDEX(Acceleration!$T$4:$T$110,MATCH('Track Data'!S2162,Acceleration!$K$4:$K$110,0)),IF('Track Data'!O2162=3,INDEX(Acceleration!$S$4:$S$110,MATCH('Track Data'!S2162,Acceleration!$K$4:$K$110,0)),'Track Data'!AF2162)),'Track Data'!U2162)</f>
        <v>5.2583296715092471</v>
      </c>
      <c r="AH2162" s="16">
        <f>IF(AC2162=0,IF(O2162=2,INDEX(Acceleration!$R$4:$R$110,MATCH('Track Data'!S2162,Acceleration!$K$4:$K$110,0)),IF('Track Data'!O2162=1,INDEX(Acceleration!$Q$4:$Q$110,MATCH('Track Data'!S2162,Acceleration!$K$4:$K$110,0)),'Track Data'!AG2162)),'Track Data'!U2162)</f>
        <v>5.2583296715092471</v>
      </c>
    </row>
    <row r="2163" spans="2:34" x14ac:dyDescent="0.25">
      <c r="B2163" s="16">
        <v>252.518</v>
      </c>
      <c r="C2163" s="16">
        <v>9433</v>
      </c>
      <c r="D2163" s="16">
        <v>2160</v>
      </c>
      <c r="E2163" s="113">
        <v>144</v>
      </c>
      <c r="F2163" s="113">
        <v>134.1</v>
      </c>
      <c r="G2163" s="113">
        <v>125.9</v>
      </c>
      <c r="H2163" s="113">
        <f t="shared" si="236"/>
        <v>34.972222222222221</v>
      </c>
      <c r="I2163" s="113">
        <v>12.7</v>
      </c>
      <c r="J2163" s="113">
        <v>35.450000000000003</v>
      </c>
      <c r="K2163" s="113">
        <v>-52.3</v>
      </c>
      <c r="L2163" s="183"/>
      <c r="M2163" s="16">
        <v>2160</v>
      </c>
      <c r="N2163" s="16">
        <f t="shared" si="238"/>
        <v>2.4223940006716432E-2</v>
      </c>
      <c r="O2163" s="16">
        <v>3</v>
      </c>
      <c r="P2163" s="16">
        <f t="shared" si="234"/>
        <v>10.596205962059623</v>
      </c>
      <c r="Q2163" s="16">
        <f t="shared" si="239"/>
        <v>41.281476082038502</v>
      </c>
      <c r="R2163" s="113">
        <f t="shared" si="235"/>
        <v>345.36</v>
      </c>
      <c r="S2163" s="16">
        <f>IF(S2162=15800,15800,ROUND((((Q2163*60)/'Gearing Calculator'!$C$14)*'Track Data'!P2163),-2))</f>
        <v>13300</v>
      </c>
      <c r="T2163" s="16">
        <f t="shared" si="237"/>
        <v>5.2583296715092471</v>
      </c>
      <c r="U2163" s="16">
        <f>IF(AC2163=100,Braking!$AG$2354,IF(AC2163=50,Braking!$AG$1179,IF(AC2163=75,Braking!$AG$1767,0)))</f>
        <v>0</v>
      </c>
      <c r="V2163" s="16">
        <f>0.5*'Gearing Calculator'!$C$15*'Gearing Calculator'!$C$20*'Gearing Calculator'!$W$20*('Track Data'!Q2163^2)</f>
        <v>180.36832271346125</v>
      </c>
      <c r="W2163" s="16">
        <f>('Gearing Calculator'!$U$9*'Track Data'!T2163)+'Track Data'!V2163</f>
        <v>1580.1356812692229</v>
      </c>
      <c r="X2163" s="16">
        <f>('Gearing Calculator'!$U$9*9.81)*('Gearing Calculator'!$U$16/'Gearing Calculator'!$C$7)-(('Track Data'!W2163)*('Gearing Calculator'!$U$17/'Gearing Calculator'!$C$7))</f>
        <v>539.88044034373297</v>
      </c>
      <c r="Y2163" s="16">
        <f>('Gearing Calculator'!$U$9*9.81)*(('Gearing Calculator'!$C$7-'Gearing Calculator'!$U$16)/'Gearing Calculator'!$C$7)+(('Track Data'!W2163)*('Gearing Calculator'!$U$17/'Gearing Calculator'!$C$7))</f>
        <v>2071.5415596562671</v>
      </c>
      <c r="Z2163" s="16">
        <f>((X2163*COS('Gearing Calculator'!$C$21))/'Gearing Calculator'!$C$22)/2</f>
        <v>16.691395719071824</v>
      </c>
      <c r="AA2163" s="16">
        <f>Y2163/'Gearing Calculator'!$C$24</f>
        <v>28.925668218874538</v>
      </c>
      <c r="AB2163" s="16">
        <f t="shared" si="233"/>
        <v>196.14331172798899</v>
      </c>
      <c r="AC2163" s="16">
        <v>0</v>
      </c>
      <c r="AD2163" s="16">
        <v>-51.415226335993196</v>
      </c>
      <c r="AE2163" s="16">
        <v>2160</v>
      </c>
      <c r="AF2163" s="16">
        <f>IF(AC2163=0,IF(O2163=6,INDEX(Acceleration!$V$4:$V$110,MATCH('Track Data'!S2163,Acceleration!$K$4:$K$110,0)),IF('Track Data'!O2163=5,INDEX(Acceleration!$U$4:$U$110,MATCH('Track Data'!S2163,Acceleration!$K$4:$K$110,0)),1)),U2163)</f>
        <v>1</v>
      </c>
      <c r="AG2163" s="16">
        <f>IF(AC2163=0,IF(O2163=4,INDEX(Acceleration!$T$4:$T$110,MATCH('Track Data'!S2163,Acceleration!$K$4:$K$110,0)),IF('Track Data'!O2163=3,INDEX(Acceleration!$S$4:$S$110,MATCH('Track Data'!S2163,Acceleration!$K$4:$K$110,0)),'Track Data'!AF2163)),'Track Data'!U2163)</f>
        <v>5.2583296715092471</v>
      </c>
      <c r="AH2163" s="16">
        <f>IF(AC2163=0,IF(O2163=2,INDEX(Acceleration!$R$4:$R$110,MATCH('Track Data'!S2163,Acceleration!$K$4:$K$110,0)),IF('Track Data'!O2163=1,INDEX(Acceleration!$Q$4:$Q$110,MATCH('Track Data'!S2163,Acceleration!$K$4:$K$110,0)),'Track Data'!AG2163)),'Track Data'!U2163)</f>
        <v>5.2583296715092471</v>
      </c>
    </row>
    <row r="2164" spans="2:34" x14ac:dyDescent="0.25">
      <c r="B2164" s="16">
        <v>252.54400000000001</v>
      </c>
      <c r="C2164" s="16">
        <v>9434</v>
      </c>
      <c r="D2164" s="16">
        <v>2161</v>
      </c>
      <c r="E2164" s="113">
        <v>144</v>
      </c>
      <c r="F2164" s="113">
        <v>134.69999999999999</v>
      </c>
      <c r="G2164" s="113">
        <v>126.3</v>
      </c>
      <c r="H2164" s="113">
        <f t="shared" si="236"/>
        <v>35.083333333333329</v>
      </c>
      <c r="I2164" s="113">
        <v>11.6</v>
      </c>
      <c r="J2164" s="113">
        <v>37.9</v>
      </c>
      <c r="K2164" s="113">
        <v>-51.9</v>
      </c>
      <c r="L2164" s="183"/>
      <c r="M2164" s="16">
        <v>2161</v>
      </c>
      <c r="N2164" s="16">
        <f t="shared" si="238"/>
        <v>2.4223940006716432E-2</v>
      </c>
      <c r="O2164" s="16">
        <v>3</v>
      </c>
      <c r="P2164" s="16">
        <f t="shared" si="234"/>
        <v>10.596205962059623</v>
      </c>
      <c r="Q2164" s="16">
        <f t="shared" si="239"/>
        <v>41.281476082038502</v>
      </c>
      <c r="R2164" s="113">
        <f t="shared" si="235"/>
        <v>345.36</v>
      </c>
      <c r="S2164" s="16">
        <f>IF(S2163=15800,15800,ROUND((((Q2164*60)/'Gearing Calculator'!$C$14)*'Track Data'!P2164),-2))</f>
        <v>13300</v>
      </c>
      <c r="T2164" s="16">
        <f t="shared" si="237"/>
        <v>5.2583296715092471</v>
      </c>
      <c r="U2164" s="16">
        <f>IF(AC2164=100,Braking!$AG$2354,IF(AC2164=50,Braking!$AG$1179,IF(AC2164=75,Braking!$AG$1767,0)))</f>
        <v>0</v>
      </c>
      <c r="V2164" s="16">
        <f>0.5*'Gearing Calculator'!$C$15*'Gearing Calculator'!$C$20*'Gearing Calculator'!$W$20*('Track Data'!Q2164^2)</f>
        <v>180.36832271346125</v>
      </c>
      <c r="W2164" s="16">
        <f>('Gearing Calculator'!$U$9*'Track Data'!T2164)+'Track Data'!V2164</f>
        <v>1580.1356812692229</v>
      </c>
      <c r="X2164" s="16">
        <f>('Gearing Calculator'!$U$9*9.81)*('Gearing Calculator'!$U$16/'Gearing Calculator'!$C$7)-(('Track Data'!W2164)*('Gearing Calculator'!$U$17/'Gearing Calculator'!$C$7))</f>
        <v>539.88044034373297</v>
      </c>
      <c r="Y2164" s="16">
        <f>('Gearing Calculator'!$U$9*9.81)*(('Gearing Calculator'!$C$7-'Gearing Calculator'!$U$16)/'Gearing Calculator'!$C$7)+(('Track Data'!W2164)*('Gearing Calculator'!$U$17/'Gearing Calculator'!$C$7))</f>
        <v>2071.5415596562671</v>
      </c>
      <c r="Z2164" s="16">
        <f>((X2164*COS('Gearing Calculator'!$C$21))/'Gearing Calculator'!$C$22)/2</f>
        <v>16.691395719071824</v>
      </c>
      <c r="AA2164" s="16">
        <f>Y2164/'Gearing Calculator'!$C$24</f>
        <v>28.925668218874538</v>
      </c>
      <c r="AB2164" s="16">
        <f t="shared" si="233"/>
        <v>196.14331172798899</v>
      </c>
      <c r="AC2164" s="16">
        <v>0</v>
      </c>
      <c r="AD2164" s="16">
        <v>-51.415226335993196</v>
      </c>
      <c r="AE2164" s="16">
        <v>2161</v>
      </c>
      <c r="AF2164" s="16">
        <f>IF(AC2164=0,IF(O2164=6,INDEX(Acceleration!$V$4:$V$110,MATCH('Track Data'!S2164,Acceleration!$K$4:$K$110,0)),IF('Track Data'!O2164=5,INDEX(Acceleration!$U$4:$U$110,MATCH('Track Data'!S2164,Acceleration!$K$4:$K$110,0)),1)),U2164)</f>
        <v>1</v>
      </c>
      <c r="AG2164" s="16">
        <f>IF(AC2164=0,IF(O2164=4,INDEX(Acceleration!$T$4:$T$110,MATCH('Track Data'!S2164,Acceleration!$K$4:$K$110,0)),IF('Track Data'!O2164=3,INDEX(Acceleration!$S$4:$S$110,MATCH('Track Data'!S2164,Acceleration!$K$4:$K$110,0)),'Track Data'!AF2164)),'Track Data'!U2164)</f>
        <v>5.2583296715092471</v>
      </c>
      <c r="AH2164" s="16">
        <f>IF(AC2164=0,IF(O2164=2,INDEX(Acceleration!$R$4:$R$110,MATCH('Track Data'!S2164,Acceleration!$K$4:$K$110,0)),IF('Track Data'!O2164=1,INDEX(Acceleration!$Q$4:$Q$110,MATCH('Track Data'!S2164,Acceleration!$K$4:$K$110,0)),'Track Data'!AG2164)),'Track Data'!U2164)</f>
        <v>5.2583296715092471</v>
      </c>
    </row>
    <row r="2165" spans="2:34" x14ac:dyDescent="0.25">
      <c r="B2165" s="16">
        <v>252.571</v>
      </c>
      <c r="C2165" s="16">
        <v>9435</v>
      </c>
      <c r="D2165" s="16">
        <v>2162</v>
      </c>
      <c r="E2165" s="113">
        <v>144</v>
      </c>
      <c r="F2165" s="113">
        <v>135.19999999999999</v>
      </c>
      <c r="G2165" s="113">
        <v>126.7</v>
      </c>
      <c r="H2165" s="113">
        <f t="shared" si="236"/>
        <v>35.194444444444443</v>
      </c>
      <c r="I2165" s="113">
        <v>12.2</v>
      </c>
      <c r="J2165" s="113">
        <v>33.119999999999997</v>
      </c>
      <c r="K2165" s="113">
        <v>-51.7</v>
      </c>
      <c r="L2165" s="183"/>
      <c r="M2165" s="16">
        <v>2162</v>
      </c>
      <c r="N2165" s="16">
        <f t="shared" si="238"/>
        <v>2.4223940006716432E-2</v>
      </c>
      <c r="O2165" s="16">
        <v>3</v>
      </c>
      <c r="P2165" s="16">
        <f t="shared" si="234"/>
        <v>10.596205962059623</v>
      </c>
      <c r="Q2165" s="16">
        <f t="shared" si="239"/>
        <v>41.281476082038502</v>
      </c>
      <c r="R2165" s="113">
        <f t="shared" si="235"/>
        <v>345.36</v>
      </c>
      <c r="S2165" s="16">
        <f>IF(S2164=15800,15800,ROUND((((Q2165*60)/'Gearing Calculator'!$C$14)*'Track Data'!P2165),-2))</f>
        <v>13300</v>
      </c>
      <c r="T2165" s="16">
        <f t="shared" si="237"/>
        <v>5.2583296715092471</v>
      </c>
      <c r="U2165" s="16">
        <f>IF(AC2165=100,Braking!$AG$2354,IF(AC2165=50,Braking!$AG$1179,IF(AC2165=75,Braking!$AG$1767,0)))</f>
        <v>0</v>
      </c>
      <c r="V2165" s="16">
        <f>0.5*'Gearing Calculator'!$C$15*'Gearing Calculator'!$C$20*'Gearing Calculator'!$W$20*('Track Data'!Q2165^2)</f>
        <v>180.36832271346125</v>
      </c>
      <c r="W2165" s="16">
        <f>('Gearing Calculator'!$U$9*'Track Data'!T2165)+'Track Data'!V2165</f>
        <v>1580.1356812692229</v>
      </c>
      <c r="X2165" s="16">
        <f>('Gearing Calculator'!$U$9*9.81)*('Gearing Calculator'!$U$16/'Gearing Calculator'!$C$7)-(('Track Data'!W2165)*('Gearing Calculator'!$U$17/'Gearing Calculator'!$C$7))</f>
        <v>539.88044034373297</v>
      </c>
      <c r="Y2165" s="16">
        <f>('Gearing Calculator'!$U$9*9.81)*(('Gearing Calculator'!$C$7-'Gearing Calculator'!$U$16)/'Gearing Calculator'!$C$7)+(('Track Data'!W2165)*('Gearing Calculator'!$U$17/'Gearing Calculator'!$C$7))</f>
        <v>2071.5415596562671</v>
      </c>
      <c r="Z2165" s="16">
        <f>((X2165*COS('Gearing Calculator'!$C$21))/'Gearing Calculator'!$C$22)/2</f>
        <v>16.691395719071824</v>
      </c>
      <c r="AA2165" s="16">
        <f>Y2165/'Gearing Calculator'!$C$24</f>
        <v>28.925668218874538</v>
      </c>
      <c r="AB2165" s="16">
        <f t="shared" si="233"/>
        <v>196.14331172798899</v>
      </c>
      <c r="AC2165" s="16">
        <v>0</v>
      </c>
      <c r="AD2165" s="16">
        <v>-51.415226335993196</v>
      </c>
      <c r="AE2165" s="16">
        <v>2162</v>
      </c>
      <c r="AF2165" s="16">
        <f>IF(AC2165=0,IF(O2165=6,INDEX(Acceleration!$V$4:$V$110,MATCH('Track Data'!S2165,Acceleration!$K$4:$K$110,0)),IF('Track Data'!O2165=5,INDEX(Acceleration!$U$4:$U$110,MATCH('Track Data'!S2165,Acceleration!$K$4:$K$110,0)),1)),U2165)</f>
        <v>1</v>
      </c>
      <c r="AG2165" s="16">
        <f>IF(AC2165=0,IF(O2165=4,INDEX(Acceleration!$T$4:$T$110,MATCH('Track Data'!S2165,Acceleration!$K$4:$K$110,0)),IF('Track Data'!O2165=3,INDEX(Acceleration!$S$4:$S$110,MATCH('Track Data'!S2165,Acceleration!$K$4:$K$110,0)),'Track Data'!AF2165)),'Track Data'!U2165)</f>
        <v>5.2583296715092471</v>
      </c>
      <c r="AH2165" s="16">
        <f>IF(AC2165=0,IF(O2165=2,INDEX(Acceleration!$R$4:$R$110,MATCH('Track Data'!S2165,Acceleration!$K$4:$K$110,0)),IF('Track Data'!O2165=1,INDEX(Acceleration!$Q$4:$Q$110,MATCH('Track Data'!S2165,Acceleration!$K$4:$K$110,0)),'Track Data'!AG2165)),'Track Data'!U2165)</f>
        <v>5.2583296715092471</v>
      </c>
    </row>
    <row r="2166" spans="2:34" x14ac:dyDescent="0.25">
      <c r="B2166" s="16">
        <v>252.59700000000001</v>
      </c>
      <c r="C2166" s="16">
        <v>9436</v>
      </c>
      <c r="D2166" s="16">
        <v>2163</v>
      </c>
      <c r="E2166" s="113">
        <v>144</v>
      </c>
      <c r="F2166" s="113">
        <v>135.30000000000001</v>
      </c>
      <c r="G2166" s="113">
        <v>126.9</v>
      </c>
      <c r="H2166" s="113">
        <f t="shared" si="236"/>
        <v>35.25</v>
      </c>
      <c r="I2166" s="113">
        <v>13.6</v>
      </c>
      <c r="J2166" s="113">
        <v>38.51</v>
      </c>
      <c r="K2166" s="113">
        <v>-51.7</v>
      </c>
      <c r="L2166" s="183"/>
      <c r="M2166" s="16">
        <v>2163</v>
      </c>
      <c r="N2166" s="16">
        <f t="shared" si="238"/>
        <v>2.4223940006716432E-2</v>
      </c>
      <c r="O2166" s="16">
        <v>3</v>
      </c>
      <c r="P2166" s="16">
        <f t="shared" si="234"/>
        <v>10.596205962059623</v>
      </c>
      <c r="Q2166" s="16">
        <f t="shared" si="239"/>
        <v>41.281476082038502</v>
      </c>
      <c r="R2166" s="113">
        <f t="shared" si="235"/>
        <v>345.36</v>
      </c>
      <c r="S2166" s="16">
        <f>IF(S2165=15800,15800,ROUND((((Q2166*60)/'Gearing Calculator'!$C$14)*'Track Data'!P2166),-2))</f>
        <v>13300</v>
      </c>
      <c r="T2166" s="16">
        <f t="shared" si="237"/>
        <v>5.2583296715092471</v>
      </c>
      <c r="U2166" s="16">
        <f>IF(AC2166=100,Braking!$AG$2354,IF(AC2166=50,Braking!$AG$1179,IF(AC2166=75,Braking!$AG$1767,0)))</f>
        <v>0</v>
      </c>
      <c r="V2166" s="16">
        <f>0.5*'Gearing Calculator'!$C$15*'Gearing Calculator'!$C$20*'Gearing Calculator'!$W$20*('Track Data'!Q2166^2)</f>
        <v>180.36832271346125</v>
      </c>
      <c r="W2166" s="16">
        <f>('Gearing Calculator'!$U$9*'Track Data'!T2166)+'Track Data'!V2166</f>
        <v>1580.1356812692229</v>
      </c>
      <c r="X2166" s="16">
        <f>('Gearing Calculator'!$U$9*9.81)*('Gearing Calculator'!$U$16/'Gearing Calculator'!$C$7)-(('Track Data'!W2166)*('Gearing Calculator'!$U$17/'Gearing Calculator'!$C$7))</f>
        <v>539.88044034373297</v>
      </c>
      <c r="Y2166" s="16">
        <f>('Gearing Calculator'!$U$9*9.81)*(('Gearing Calculator'!$C$7-'Gearing Calculator'!$U$16)/'Gearing Calculator'!$C$7)+(('Track Data'!W2166)*('Gearing Calculator'!$U$17/'Gearing Calculator'!$C$7))</f>
        <v>2071.5415596562671</v>
      </c>
      <c r="Z2166" s="16">
        <f>((X2166*COS('Gearing Calculator'!$C$21))/'Gearing Calculator'!$C$22)/2</f>
        <v>16.691395719071824</v>
      </c>
      <c r="AA2166" s="16">
        <f>Y2166/'Gearing Calculator'!$C$24</f>
        <v>28.925668218874538</v>
      </c>
      <c r="AB2166" s="16">
        <f t="shared" ref="AB2166:AB2229" si="240">(T2166*O2166)+V2166</f>
        <v>196.14331172798899</v>
      </c>
      <c r="AC2166" s="16">
        <v>0</v>
      </c>
      <c r="AD2166" s="16">
        <v>-51.415226335993196</v>
      </c>
      <c r="AE2166" s="16">
        <v>2163</v>
      </c>
      <c r="AF2166" s="16">
        <f>IF(AC2166=0,IF(O2166=6,INDEX(Acceleration!$V$4:$V$110,MATCH('Track Data'!S2166,Acceleration!$K$4:$K$110,0)),IF('Track Data'!O2166=5,INDEX(Acceleration!$U$4:$U$110,MATCH('Track Data'!S2166,Acceleration!$K$4:$K$110,0)),1)),U2166)</f>
        <v>1</v>
      </c>
      <c r="AG2166" s="16">
        <f>IF(AC2166=0,IF(O2166=4,INDEX(Acceleration!$T$4:$T$110,MATCH('Track Data'!S2166,Acceleration!$K$4:$K$110,0)),IF('Track Data'!O2166=3,INDEX(Acceleration!$S$4:$S$110,MATCH('Track Data'!S2166,Acceleration!$K$4:$K$110,0)),'Track Data'!AF2166)),'Track Data'!U2166)</f>
        <v>5.2583296715092471</v>
      </c>
      <c r="AH2166" s="16">
        <f>IF(AC2166=0,IF(O2166=2,INDEX(Acceleration!$R$4:$R$110,MATCH('Track Data'!S2166,Acceleration!$K$4:$K$110,0)),IF('Track Data'!O2166=1,INDEX(Acceleration!$Q$4:$Q$110,MATCH('Track Data'!S2166,Acceleration!$K$4:$K$110,0)),'Track Data'!AG2166)),'Track Data'!U2166)</f>
        <v>5.2583296715092471</v>
      </c>
    </row>
    <row r="2167" spans="2:34" x14ac:dyDescent="0.25">
      <c r="B2167" s="16">
        <v>252.624</v>
      </c>
      <c r="C2167" s="16">
        <v>9437</v>
      </c>
      <c r="D2167" s="16">
        <v>2164</v>
      </c>
      <c r="E2167" s="113">
        <v>144</v>
      </c>
      <c r="F2167" s="113">
        <v>135.69999999999999</v>
      </c>
      <c r="G2167" s="113">
        <v>127.3</v>
      </c>
      <c r="H2167" s="113">
        <f t="shared" si="236"/>
        <v>35.361111111111107</v>
      </c>
      <c r="I2167" s="113">
        <v>13.6</v>
      </c>
      <c r="J2167" s="113">
        <v>41.17</v>
      </c>
      <c r="K2167" s="113">
        <v>-51.7</v>
      </c>
      <c r="L2167" s="183"/>
      <c r="M2167" s="16">
        <v>2164</v>
      </c>
      <c r="N2167" s="16">
        <f t="shared" si="238"/>
        <v>2.4223940006716432E-2</v>
      </c>
      <c r="O2167" s="16">
        <v>3</v>
      </c>
      <c r="P2167" s="16">
        <f t="shared" si="234"/>
        <v>10.596205962059623</v>
      </c>
      <c r="Q2167" s="16">
        <f t="shared" si="239"/>
        <v>41.281476082038502</v>
      </c>
      <c r="R2167" s="113">
        <f t="shared" si="235"/>
        <v>345.36</v>
      </c>
      <c r="S2167" s="16">
        <f>IF(S2166=15800,15800,ROUND((((Q2167*60)/'Gearing Calculator'!$C$14)*'Track Data'!P2167),-2))</f>
        <v>13300</v>
      </c>
      <c r="T2167" s="16">
        <f t="shared" si="237"/>
        <v>5.2583296715092471</v>
      </c>
      <c r="U2167" s="16">
        <f>IF(AC2167=100,Braking!$AG$2354,IF(AC2167=50,Braking!$AG$1179,IF(AC2167=75,Braking!$AG$1767,0)))</f>
        <v>0</v>
      </c>
      <c r="V2167" s="16">
        <f>0.5*'Gearing Calculator'!$C$15*'Gearing Calculator'!$C$20*'Gearing Calculator'!$W$20*('Track Data'!Q2167^2)</f>
        <v>180.36832271346125</v>
      </c>
      <c r="W2167" s="16">
        <f>('Gearing Calculator'!$U$9*'Track Data'!T2167)+'Track Data'!V2167</f>
        <v>1580.1356812692229</v>
      </c>
      <c r="X2167" s="16">
        <f>('Gearing Calculator'!$U$9*9.81)*('Gearing Calculator'!$U$16/'Gearing Calculator'!$C$7)-(('Track Data'!W2167)*('Gearing Calculator'!$U$17/'Gearing Calculator'!$C$7))</f>
        <v>539.88044034373297</v>
      </c>
      <c r="Y2167" s="16">
        <f>('Gearing Calculator'!$U$9*9.81)*(('Gearing Calculator'!$C$7-'Gearing Calculator'!$U$16)/'Gearing Calculator'!$C$7)+(('Track Data'!W2167)*('Gearing Calculator'!$U$17/'Gearing Calculator'!$C$7))</f>
        <v>2071.5415596562671</v>
      </c>
      <c r="Z2167" s="16">
        <f>((X2167*COS('Gearing Calculator'!$C$21))/'Gearing Calculator'!$C$22)/2</f>
        <v>16.691395719071824</v>
      </c>
      <c r="AA2167" s="16">
        <f>Y2167/'Gearing Calculator'!$C$24</f>
        <v>28.925668218874538</v>
      </c>
      <c r="AB2167" s="16">
        <f t="shared" si="240"/>
        <v>196.14331172798899</v>
      </c>
      <c r="AC2167" s="16">
        <v>0</v>
      </c>
      <c r="AD2167" s="16">
        <v>-51.415226335993196</v>
      </c>
      <c r="AE2167" s="16">
        <v>2164</v>
      </c>
      <c r="AF2167" s="16">
        <f>IF(AC2167=0,IF(O2167=6,INDEX(Acceleration!$V$4:$V$110,MATCH('Track Data'!S2167,Acceleration!$K$4:$K$110,0)),IF('Track Data'!O2167=5,INDEX(Acceleration!$U$4:$U$110,MATCH('Track Data'!S2167,Acceleration!$K$4:$K$110,0)),1)),U2167)</f>
        <v>1</v>
      </c>
      <c r="AG2167" s="16">
        <f>IF(AC2167=0,IF(O2167=4,INDEX(Acceleration!$T$4:$T$110,MATCH('Track Data'!S2167,Acceleration!$K$4:$K$110,0)),IF('Track Data'!O2167=3,INDEX(Acceleration!$S$4:$S$110,MATCH('Track Data'!S2167,Acceleration!$K$4:$K$110,0)),'Track Data'!AF2167)),'Track Data'!U2167)</f>
        <v>5.2583296715092471</v>
      </c>
      <c r="AH2167" s="16">
        <f>IF(AC2167=0,IF(O2167=2,INDEX(Acceleration!$R$4:$R$110,MATCH('Track Data'!S2167,Acceleration!$K$4:$K$110,0)),IF('Track Data'!O2167=1,INDEX(Acceleration!$Q$4:$Q$110,MATCH('Track Data'!S2167,Acceleration!$K$4:$K$110,0)),'Track Data'!AG2167)),'Track Data'!U2167)</f>
        <v>5.2583296715092471</v>
      </c>
    </row>
    <row r="2168" spans="2:34" x14ac:dyDescent="0.25">
      <c r="B2168" s="16">
        <v>252.65100000000001</v>
      </c>
      <c r="C2168" s="16">
        <v>9438</v>
      </c>
      <c r="D2168" s="16">
        <v>2165</v>
      </c>
      <c r="E2168" s="113">
        <v>144</v>
      </c>
      <c r="F2168" s="113">
        <v>136.1</v>
      </c>
      <c r="G2168" s="113">
        <v>127.7</v>
      </c>
      <c r="H2168" s="113">
        <f t="shared" si="236"/>
        <v>35.472222222222221</v>
      </c>
      <c r="I2168" s="113">
        <v>15.4</v>
      </c>
      <c r="J2168" s="113">
        <v>38.11</v>
      </c>
      <c r="K2168" s="113">
        <v>-51.2</v>
      </c>
      <c r="L2168" s="183"/>
      <c r="M2168" s="16">
        <v>2165</v>
      </c>
      <c r="N2168" s="16">
        <f t="shared" si="238"/>
        <v>2.4223940006716432E-2</v>
      </c>
      <c r="O2168" s="16">
        <v>3</v>
      </c>
      <c r="P2168" s="16">
        <f t="shared" si="234"/>
        <v>10.596205962059623</v>
      </c>
      <c r="Q2168" s="16">
        <f t="shared" si="239"/>
        <v>41.281476082038502</v>
      </c>
      <c r="R2168" s="113">
        <f t="shared" si="235"/>
        <v>345.36</v>
      </c>
      <c r="S2168" s="16">
        <f>IF(S2167=15800,15800,ROUND((((Q2168*60)/'Gearing Calculator'!$C$14)*'Track Data'!P2168),-2))</f>
        <v>13300</v>
      </c>
      <c r="T2168" s="16">
        <f t="shared" si="237"/>
        <v>5.2583296715092471</v>
      </c>
      <c r="U2168" s="16">
        <f>IF(AC2168=100,Braking!$AG$2354,IF(AC2168=50,Braking!$AG$1179,IF(AC2168=75,Braking!$AG$1767,0)))</f>
        <v>0</v>
      </c>
      <c r="V2168" s="16">
        <f>0.5*'Gearing Calculator'!$C$15*'Gearing Calculator'!$C$20*'Gearing Calculator'!$W$20*('Track Data'!Q2168^2)</f>
        <v>180.36832271346125</v>
      </c>
      <c r="W2168" s="16">
        <f>('Gearing Calculator'!$U$9*'Track Data'!T2168)+'Track Data'!V2168</f>
        <v>1580.1356812692229</v>
      </c>
      <c r="X2168" s="16">
        <f>('Gearing Calculator'!$U$9*9.81)*('Gearing Calculator'!$U$16/'Gearing Calculator'!$C$7)-(('Track Data'!W2168)*('Gearing Calculator'!$U$17/'Gearing Calculator'!$C$7))</f>
        <v>539.88044034373297</v>
      </c>
      <c r="Y2168" s="16">
        <f>('Gearing Calculator'!$U$9*9.81)*(('Gearing Calculator'!$C$7-'Gearing Calculator'!$U$16)/'Gearing Calculator'!$C$7)+(('Track Data'!W2168)*('Gearing Calculator'!$U$17/'Gearing Calculator'!$C$7))</f>
        <v>2071.5415596562671</v>
      </c>
      <c r="Z2168" s="16">
        <f>((X2168*COS('Gearing Calculator'!$C$21))/'Gearing Calculator'!$C$22)/2</f>
        <v>16.691395719071824</v>
      </c>
      <c r="AA2168" s="16">
        <f>Y2168/'Gearing Calculator'!$C$24</f>
        <v>28.925668218874538</v>
      </c>
      <c r="AB2168" s="16">
        <f t="shared" si="240"/>
        <v>196.14331172798899</v>
      </c>
      <c r="AC2168" s="16">
        <v>0</v>
      </c>
      <c r="AD2168" s="16">
        <v>-51.415226335993196</v>
      </c>
      <c r="AE2168" s="16">
        <v>2165</v>
      </c>
      <c r="AF2168" s="16">
        <f>IF(AC2168=0,IF(O2168=6,INDEX(Acceleration!$V$4:$V$110,MATCH('Track Data'!S2168,Acceleration!$K$4:$K$110,0)),IF('Track Data'!O2168=5,INDEX(Acceleration!$U$4:$U$110,MATCH('Track Data'!S2168,Acceleration!$K$4:$K$110,0)),1)),U2168)</f>
        <v>1</v>
      </c>
      <c r="AG2168" s="16">
        <f>IF(AC2168=0,IF(O2168=4,INDEX(Acceleration!$T$4:$T$110,MATCH('Track Data'!S2168,Acceleration!$K$4:$K$110,0)),IF('Track Data'!O2168=3,INDEX(Acceleration!$S$4:$S$110,MATCH('Track Data'!S2168,Acceleration!$K$4:$K$110,0)),'Track Data'!AF2168)),'Track Data'!U2168)</f>
        <v>5.2583296715092471</v>
      </c>
      <c r="AH2168" s="16">
        <f>IF(AC2168=0,IF(O2168=2,INDEX(Acceleration!$R$4:$R$110,MATCH('Track Data'!S2168,Acceleration!$K$4:$K$110,0)),IF('Track Data'!O2168=1,INDEX(Acceleration!$Q$4:$Q$110,MATCH('Track Data'!S2168,Acceleration!$K$4:$K$110,0)),'Track Data'!AG2168)),'Track Data'!U2168)</f>
        <v>5.2583296715092471</v>
      </c>
    </row>
    <row r="2169" spans="2:34" x14ac:dyDescent="0.25">
      <c r="B2169" s="16">
        <v>252.67699999999999</v>
      </c>
      <c r="C2169" s="16">
        <v>9439</v>
      </c>
      <c r="D2169" s="16">
        <v>2166</v>
      </c>
      <c r="E2169" s="113">
        <v>144</v>
      </c>
      <c r="F2169" s="113">
        <v>136.4</v>
      </c>
      <c r="G2169" s="113">
        <v>128</v>
      </c>
      <c r="H2169" s="113">
        <f t="shared" si="236"/>
        <v>35.555555555555557</v>
      </c>
      <c r="I2169" s="113">
        <v>16.100000000000001</v>
      </c>
      <c r="J2169" s="113">
        <v>37.82</v>
      </c>
      <c r="K2169" s="113">
        <v>-50.5</v>
      </c>
      <c r="L2169" s="183"/>
      <c r="M2169" s="16">
        <v>2166</v>
      </c>
      <c r="N2169" s="16">
        <f t="shared" si="238"/>
        <v>2.4223940006716432E-2</v>
      </c>
      <c r="O2169" s="16">
        <v>3</v>
      </c>
      <c r="P2169" s="16">
        <f t="shared" si="234"/>
        <v>10.596205962059623</v>
      </c>
      <c r="Q2169" s="16">
        <f t="shared" si="239"/>
        <v>41.281476082038502</v>
      </c>
      <c r="R2169" s="113">
        <f t="shared" si="235"/>
        <v>345.36</v>
      </c>
      <c r="S2169" s="16">
        <f>IF(S2168=15800,15800,ROUND((((Q2169*60)/'Gearing Calculator'!$C$14)*'Track Data'!P2169),-2))</f>
        <v>13300</v>
      </c>
      <c r="T2169" s="16">
        <f t="shared" si="237"/>
        <v>5.2583296715092471</v>
      </c>
      <c r="U2169" s="16">
        <f>IF(AC2169=100,Braking!$AG$2354,IF(AC2169=50,Braking!$AG$1179,IF(AC2169=75,Braking!$AG$1767,0)))</f>
        <v>0</v>
      </c>
      <c r="V2169" s="16">
        <f>0.5*'Gearing Calculator'!$C$15*'Gearing Calculator'!$C$20*'Gearing Calculator'!$W$20*('Track Data'!Q2169^2)</f>
        <v>180.36832271346125</v>
      </c>
      <c r="W2169" s="16">
        <f>('Gearing Calculator'!$U$9*'Track Data'!T2169)+'Track Data'!V2169</f>
        <v>1580.1356812692229</v>
      </c>
      <c r="X2169" s="16">
        <f>('Gearing Calculator'!$U$9*9.81)*('Gearing Calculator'!$U$16/'Gearing Calculator'!$C$7)-(('Track Data'!W2169)*('Gearing Calculator'!$U$17/'Gearing Calculator'!$C$7))</f>
        <v>539.88044034373297</v>
      </c>
      <c r="Y2169" s="16">
        <f>('Gearing Calculator'!$U$9*9.81)*(('Gearing Calculator'!$C$7-'Gearing Calculator'!$U$16)/'Gearing Calculator'!$C$7)+(('Track Data'!W2169)*('Gearing Calculator'!$U$17/'Gearing Calculator'!$C$7))</f>
        <v>2071.5415596562671</v>
      </c>
      <c r="Z2169" s="16">
        <f>((X2169*COS('Gearing Calculator'!$C$21))/'Gearing Calculator'!$C$22)/2</f>
        <v>16.691395719071824</v>
      </c>
      <c r="AA2169" s="16">
        <f>Y2169/'Gearing Calculator'!$C$24</f>
        <v>28.925668218874538</v>
      </c>
      <c r="AB2169" s="16">
        <f t="shared" si="240"/>
        <v>196.14331172798899</v>
      </c>
      <c r="AC2169" s="16">
        <v>0</v>
      </c>
      <c r="AD2169" s="16">
        <v>-51.415226335993196</v>
      </c>
      <c r="AE2169" s="16">
        <v>2166</v>
      </c>
      <c r="AF2169" s="16">
        <f>IF(AC2169=0,IF(O2169=6,INDEX(Acceleration!$V$4:$V$110,MATCH('Track Data'!S2169,Acceleration!$K$4:$K$110,0)),IF('Track Data'!O2169=5,INDEX(Acceleration!$U$4:$U$110,MATCH('Track Data'!S2169,Acceleration!$K$4:$K$110,0)),1)),U2169)</f>
        <v>1</v>
      </c>
      <c r="AG2169" s="16">
        <f>IF(AC2169=0,IF(O2169=4,INDEX(Acceleration!$T$4:$T$110,MATCH('Track Data'!S2169,Acceleration!$K$4:$K$110,0)),IF('Track Data'!O2169=3,INDEX(Acceleration!$S$4:$S$110,MATCH('Track Data'!S2169,Acceleration!$K$4:$K$110,0)),'Track Data'!AF2169)),'Track Data'!U2169)</f>
        <v>5.2583296715092471</v>
      </c>
      <c r="AH2169" s="16">
        <f>IF(AC2169=0,IF(O2169=2,INDEX(Acceleration!$R$4:$R$110,MATCH('Track Data'!S2169,Acceleration!$K$4:$K$110,0)),IF('Track Data'!O2169=1,INDEX(Acceleration!$Q$4:$Q$110,MATCH('Track Data'!S2169,Acceleration!$K$4:$K$110,0)),'Track Data'!AG2169)),'Track Data'!U2169)</f>
        <v>5.2583296715092471</v>
      </c>
    </row>
    <row r="2170" spans="2:34" x14ac:dyDescent="0.25">
      <c r="B2170" s="16">
        <v>252.70400000000001</v>
      </c>
      <c r="C2170" s="16">
        <v>9440</v>
      </c>
      <c r="D2170" s="16">
        <v>2167</v>
      </c>
      <c r="E2170" s="113">
        <v>145</v>
      </c>
      <c r="F2170" s="113">
        <v>136.6</v>
      </c>
      <c r="G2170" s="113">
        <v>128.4</v>
      </c>
      <c r="H2170" s="113">
        <f t="shared" si="236"/>
        <v>35.666666666666664</v>
      </c>
      <c r="I2170" s="113">
        <v>16</v>
      </c>
      <c r="J2170" s="113">
        <v>37.950000000000003</v>
      </c>
      <c r="K2170" s="113">
        <v>-49.4</v>
      </c>
      <c r="L2170" s="183"/>
      <c r="M2170" s="16">
        <v>2167</v>
      </c>
      <c r="N2170" s="16">
        <f t="shared" si="238"/>
        <v>2.4223940006716432E-2</v>
      </c>
      <c r="O2170" s="16">
        <v>3</v>
      </c>
      <c r="P2170" s="16">
        <f t="shared" si="234"/>
        <v>10.596205962059623</v>
      </c>
      <c r="Q2170" s="16">
        <f t="shared" si="239"/>
        <v>41.281476082038502</v>
      </c>
      <c r="R2170" s="113">
        <f t="shared" si="235"/>
        <v>345.36</v>
      </c>
      <c r="S2170" s="16">
        <f>IF(S2169=15800,15800,ROUND((((Q2170*60)/'Gearing Calculator'!$C$14)*'Track Data'!P2170),-2))</f>
        <v>13300</v>
      </c>
      <c r="T2170" s="16">
        <f t="shared" si="237"/>
        <v>5.2583296715092471</v>
      </c>
      <c r="U2170" s="16">
        <f>IF(AC2170=100,Braking!$AG$2354,IF(AC2170=50,Braking!$AG$1179,IF(AC2170=75,Braking!$AG$1767,0)))</f>
        <v>0</v>
      </c>
      <c r="V2170" s="16">
        <f>0.5*'Gearing Calculator'!$C$15*'Gearing Calculator'!$C$20*'Gearing Calculator'!$W$20*('Track Data'!Q2170^2)</f>
        <v>180.36832271346125</v>
      </c>
      <c r="W2170" s="16">
        <f>('Gearing Calculator'!$U$9*'Track Data'!T2170)+'Track Data'!V2170</f>
        <v>1580.1356812692229</v>
      </c>
      <c r="X2170" s="16">
        <f>('Gearing Calculator'!$U$9*9.81)*('Gearing Calculator'!$U$16/'Gearing Calculator'!$C$7)-(('Track Data'!W2170)*('Gearing Calculator'!$U$17/'Gearing Calculator'!$C$7))</f>
        <v>539.88044034373297</v>
      </c>
      <c r="Y2170" s="16">
        <f>('Gearing Calculator'!$U$9*9.81)*(('Gearing Calculator'!$C$7-'Gearing Calculator'!$U$16)/'Gearing Calculator'!$C$7)+(('Track Data'!W2170)*('Gearing Calculator'!$U$17/'Gearing Calculator'!$C$7))</f>
        <v>2071.5415596562671</v>
      </c>
      <c r="Z2170" s="16">
        <f>((X2170*COS('Gearing Calculator'!$C$21))/'Gearing Calculator'!$C$22)/2</f>
        <v>16.691395719071824</v>
      </c>
      <c r="AA2170" s="16">
        <f>Y2170/'Gearing Calculator'!$C$24</f>
        <v>28.925668218874538</v>
      </c>
      <c r="AB2170" s="16">
        <f t="shared" si="240"/>
        <v>196.14331172798899</v>
      </c>
      <c r="AC2170" s="16">
        <v>0</v>
      </c>
      <c r="AD2170" s="16">
        <v>-51.415226335993196</v>
      </c>
      <c r="AE2170" s="16">
        <v>2167</v>
      </c>
      <c r="AF2170" s="16">
        <f>IF(AC2170=0,IF(O2170=6,INDEX(Acceleration!$V$4:$V$110,MATCH('Track Data'!S2170,Acceleration!$K$4:$K$110,0)),IF('Track Data'!O2170=5,INDEX(Acceleration!$U$4:$U$110,MATCH('Track Data'!S2170,Acceleration!$K$4:$K$110,0)),1)),U2170)</f>
        <v>1</v>
      </c>
      <c r="AG2170" s="16">
        <f>IF(AC2170=0,IF(O2170=4,INDEX(Acceleration!$T$4:$T$110,MATCH('Track Data'!S2170,Acceleration!$K$4:$K$110,0)),IF('Track Data'!O2170=3,INDEX(Acceleration!$S$4:$S$110,MATCH('Track Data'!S2170,Acceleration!$K$4:$K$110,0)),'Track Data'!AF2170)),'Track Data'!U2170)</f>
        <v>5.2583296715092471</v>
      </c>
      <c r="AH2170" s="16">
        <f>IF(AC2170=0,IF(O2170=2,INDEX(Acceleration!$R$4:$R$110,MATCH('Track Data'!S2170,Acceleration!$K$4:$K$110,0)),IF('Track Data'!O2170=1,INDEX(Acceleration!$Q$4:$Q$110,MATCH('Track Data'!S2170,Acceleration!$K$4:$K$110,0)),'Track Data'!AG2170)),'Track Data'!U2170)</f>
        <v>5.2583296715092471</v>
      </c>
    </row>
    <row r="2171" spans="2:34" x14ac:dyDescent="0.25">
      <c r="B2171" s="16">
        <v>252.73</v>
      </c>
      <c r="C2171" s="16">
        <v>9441</v>
      </c>
      <c r="D2171" s="16">
        <v>2168</v>
      </c>
      <c r="E2171" s="113">
        <v>146</v>
      </c>
      <c r="F2171" s="113">
        <v>136.9</v>
      </c>
      <c r="G2171" s="113">
        <v>128.9</v>
      </c>
      <c r="H2171" s="113">
        <f t="shared" si="236"/>
        <v>35.805555555555557</v>
      </c>
      <c r="I2171" s="113">
        <v>15.3</v>
      </c>
      <c r="J2171" s="113">
        <v>34.479999999999997</v>
      </c>
      <c r="K2171" s="113">
        <v>-49.3</v>
      </c>
      <c r="L2171" s="183"/>
      <c r="M2171" s="16">
        <v>2168</v>
      </c>
      <c r="N2171" s="16">
        <f t="shared" si="238"/>
        <v>2.4223940006716432E-2</v>
      </c>
      <c r="O2171" s="16">
        <v>3</v>
      </c>
      <c r="P2171" s="16">
        <f t="shared" si="234"/>
        <v>10.596205962059623</v>
      </c>
      <c r="Q2171" s="16">
        <f t="shared" si="239"/>
        <v>41.281476082038502</v>
      </c>
      <c r="R2171" s="113">
        <f t="shared" si="235"/>
        <v>345.36</v>
      </c>
      <c r="S2171" s="16">
        <f>IF(S2170=15800,15800,ROUND((((Q2171*60)/'Gearing Calculator'!$C$14)*'Track Data'!P2171),-2))</f>
        <v>13300</v>
      </c>
      <c r="T2171" s="16">
        <f t="shared" si="237"/>
        <v>5.2583296715092471</v>
      </c>
      <c r="U2171" s="16">
        <f>IF(AC2171=100,Braking!$AG$2354,IF(AC2171=50,Braking!$AG$1179,IF(AC2171=75,Braking!$AG$1767,0)))</f>
        <v>0</v>
      </c>
      <c r="V2171" s="16">
        <f>0.5*'Gearing Calculator'!$C$15*'Gearing Calculator'!$C$20*'Gearing Calculator'!$W$20*('Track Data'!Q2171^2)</f>
        <v>180.36832271346125</v>
      </c>
      <c r="W2171" s="16">
        <f>('Gearing Calculator'!$U$9*'Track Data'!T2171)+'Track Data'!V2171</f>
        <v>1580.1356812692229</v>
      </c>
      <c r="X2171" s="16">
        <f>('Gearing Calculator'!$U$9*9.81)*('Gearing Calculator'!$U$16/'Gearing Calculator'!$C$7)-(('Track Data'!W2171)*('Gearing Calculator'!$U$17/'Gearing Calculator'!$C$7))</f>
        <v>539.88044034373297</v>
      </c>
      <c r="Y2171" s="16">
        <f>('Gearing Calculator'!$U$9*9.81)*(('Gearing Calculator'!$C$7-'Gearing Calculator'!$U$16)/'Gearing Calculator'!$C$7)+(('Track Data'!W2171)*('Gearing Calculator'!$U$17/'Gearing Calculator'!$C$7))</f>
        <v>2071.5415596562671</v>
      </c>
      <c r="Z2171" s="16">
        <f>((X2171*COS('Gearing Calculator'!$C$21))/'Gearing Calculator'!$C$22)/2</f>
        <v>16.691395719071824</v>
      </c>
      <c r="AA2171" s="16">
        <f>Y2171/'Gearing Calculator'!$C$24</f>
        <v>28.925668218874538</v>
      </c>
      <c r="AB2171" s="16">
        <f t="shared" si="240"/>
        <v>196.14331172798899</v>
      </c>
      <c r="AC2171" s="16">
        <v>0</v>
      </c>
      <c r="AD2171" s="16">
        <v>-51.415226335993196</v>
      </c>
      <c r="AE2171" s="16">
        <v>2168</v>
      </c>
      <c r="AF2171" s="16">
        <f>IF(AC2171=0,IF(O2171=6,INDEX(Acceleration!$V$4:$V$110,MATCH('Track Data'!S2171,Acceleration!$K$4:$K$110,0)),IF('Track Data'!O2171=5,INDEX(Acceleration!$U$4:$U$110,MATCH('Track Data'!S2171,Acceleration!$K$4:$K$110,0)),1)),U2171)</f>
        <v>1</v>
      </c>
      <c r="AG2171" s="16">
        <f>IF(AC2171=0,IF(O2171=4,INDEX(Acceleration!$T$4:$T$110,MATCH('Track Data'!S2171,Acceleration!$K$4:$K$110,0)),IF('Track Data'!O2171=3,INDEX(Acceleration!$S$4:$S$110,MATCH('Track Data'!S2171,Acceleration!$K$4:$K$110,0)),'Track Data'!AF2171)),'Track Data'!U2171)</f>
        <v>5.2583296715092471</v>
      </c>
      <c r="AH2171" s="16">
        <f>IF(AC2171=0,IF(O2171=2,INDEX(Acceleration!$R$4:$R$110,MATCH('Track Data'!S2171,Acceleration!$K$4:$K$110,0)),IF('Track Data'!O2171=1,INDEX(Acceleration!$Q$4:$Q$110,MATCH('Track Data'!S2171,Acceleration!$K$4:$K$110,0)),'Track Data'!AG2171)),'Track Data'!U2171)</f>
        <v>5.2583296715092471</v>
      </c>
    </row>
    <row r="2172" spans="2:34" x14ac:dyDescent="0.25">
      <c r="B2172" s="16">
        <v>252.756</v>
      </c>
      <c r="C2172" s="16">
        <v>9442</v>
      </c>
      <c r="D2172" s="16">
        <v>2169</v>
      </c>
      <c r="E2172" s="113">
        <v>147</v>
      </c>
      <c r="F2172" s="113">
        <v>137.30000000000001</v>
      </c>
      <c r="G2172" s="113">
        <v>129.19999999999999</v>
      </c>
      <c r="H2172" s="113">
        <f t="shared" si="236"/>
        <v>35.888888888888886</v>
      </c>
      <c r="I2172" s="113">
        <v>14.6</v>
      </c>
      <c r="J2172" s="113">
        <v>31.85</v>
      </c>
      <c r="K2172" s="113">
        <v>-50.1</v>
      </c>
      <c r="L2172" s="183"/>
      <c r="M2172" s="16">
        <v>2169</v>
      </c>
      <c r="N2172" s="16">
        <f t="shared" si="238"/>
        <v>2.4223940006716432E-2</v>
      </c>
      <c r="O2172" s="16">
        <v>3</v>
      </c>
      <c r="P2172" s="16">
        <f t="shared" si="234"/>
        <v>10.596205962059623</v>
      </c>
      <c r="Q2172" s="16">
        <f t="shared" si="239"/>
        <v>41.281476082038502</v>
      </c>
      <c r="R2172" s="113">
        <f t="shared" si="235"/>
        <v>345.36</v>
      </c>
      <c r="S2172" s="16">
        <f>IF(S2171=15800,15800,ROUND((((Q2172*60)/'Gearing Calculator'!$C$14)*'Track Data'!P2172),-2))</f>
        <v>13300</v>
      </c>
      <c r="T2172" s="16">
        <f t="shared" si="237"/>
        <v>5.2583296715092471</v>
      </c>
      <c r="U2172" s="16">
        <f>IF(AC2172=100,Braking!$AG$2354,IF(AC2172=50,Braking!$AG$1179,IF(AC2172=75,Braking!$AG$1767,0)))</f>
        <v>0</v>
      </c>
      <c r="V2172" s="16">
        <f>0.5*'Gearing Calculator'!$C$15*'Gearing Calculator'!$C$20*'Gearing Calculator'!$W$20*('Track Data'!Q2172^2)</f>
        <v>180.36832271346125</v>
      </c>
      <c r="W2172" s="16">
        <f>('Gearing Calculator'!$U$9*'Track Data'!T2172)+'Track Data'!V2172</f>
        <v>1580.1356812692229</v>
      </c>
      <c r="X2172" s="16">
        <f>('Gearing Calculator'!$U$9*9.81)*('Gearing Calculator'!$U$16/'Gearing Calculator'!$C$7)-(('Track Data'!W2172)*('Gearing Calculator'!$U$17/'Gearing Calculator'!$C$7))</f>
        <v>539.88044034373297</v>
      </c>
      <c r="Y2172" s="16">
        <f>('Gearing Calculator'!$U$9*9.81)*(('Gearing Calculator'!$C$7-'Gearing Calculator'!$U$16)/'Gearing Calculator'!$C$7)+(('Track Data'!W2172)*('Gearing Calculator'!$U$17/'Gearing Calculator'!$C$7))</f>
        <v>2071.5415596562671</v>
      </c>
      <c r="Z2172" s="16">
        <f>((X2172*COS('Gearing Calculator'!$C$21))/'Gearing Calculator'!$C$22)/2</f>
        <v>16.691395719071824</v>
      </c>
      <c r="AA2172" s="16">
        <f>Y2172/'Gearing Calculator'!$C$24</f>
        <v>28.925668218874538</v>
      </c>
      <c r="AB2172" s="16">
        <f t="shared" si="240"/>
        <v>196.14331172798899</v>
      </c>
      <c r="AC2172" s="16">
        <v>0</v>
      </c>
      <c r="AD2172" s="16">
        <v>-51.415226335993196</v>
      </c>
      <c r="AE2172" s="16">
        <v>2169</v>
      </c>
      <c r="AF2172" s="16">
        <f>IF(AC2172=0,IF(O2172=6,INDEX(Acceleration!$V$4:$V$110,MATCH('Track Data'!S2172,Acceleration!$K$4:$K$110,0)),IF('Track Data'!O2172=5,INDEX(Acceleration!$U$4:$U$110,MATCH('Track Data'!S2172,Acceleration!$K$4:$K$110,0)),1)),U2172)</f>
        <v>1</v>
      </c>
      <c r="AG2172" s="16">
        <f>IF(AC2172=0,IF(O2172=4,INDEX(Acceleration!$T$4:$T$110,MATCH('Track Data'!S2172,Acceleration!$K$4:$K$110,0)),IF('Track Data'!O2172=3,INDEX(Acceleration!$S$4:$S$110,MATCH('Track Data'!S2172,Acceleration!$K$4:$K$110,0)),'Track Data'!AF2172)),'Track Data'!U2172)</f>
        <v>5.2583296715092471</v>
      </c>
      <c r="AH2172" s="16">
        <f>IF(AC2172=0,IF(O2172=2,INDEX(Acceleration!$R$4:$R$110,MATCH('Track Data'!S2172,Acceleration!$K$4:$K$110,0)),IF('Track Data'!O2172=1,INDEX(Acceleration!$Q$4:$Q$110,MATCH('Track Data'!S2172,Acceleration!$K$4:$K$110,0)),'Track Data'!AG2172)),'Track Data'!U2172)</f>
        <v>5.2583296715092471</v>
      </c>
    </row>
    <row r="2173" spans="2:34" x14ac:dyDescent="0.25">
      <c r="B2173" s="16">
        <v>252.78200000000001</v>
      </c>
      <c r="C2173" s="16">
        <v>9443</v>
      </c>
      <c r="D2173" s="16">
        <v>2170</v>
      </c>
      <c r="E2173" s="113">
        <v>148</v>
      </c>
      <c r="F2173" s="113">
        <v>137.69999999999999</v>
      </c>
      <c r="G2173" s="113">
        <v>129.69999999999999</v>
      </c>
      <c r="H2173" s="113">
        <f t="shared" si="236"/>
        <v>36.027777777777771</v>
      </c>
      <c r="I2173" s="113">
        <v>12.9</v>
      </c>
      <c r="J2173" s="113">
        <v>33.44</v>
      </c>
      <c r="K2173" s="113">
        <v>-51.1</v>
      </c>
      <c r="L2173" s="183"/>
      <c r="M2173" s="16">
        <v>2170</v>
      </c>
      <c r="N2173" s="16">
        <f t="shared" si="238"/>
        <v>2.4223940006716432E-2</v>
      </c>
      <c r="O2173" s="16">
        <v>3</v>
      </c>
      <c r="P2173" s="16">
        <f t="shared" si="234"/>
        <v>10.596205962059623</v>
      </c>
      <c r="Q2173" s="16">
        <f t="shared" si="239"/>
        <v>41.281476082038502</v>
      </c>
      <c r="R2173" s="113">
        <f t="shared" si="235"/>
        <v>345.36</v>
      </c>
      <c r="S2173" s="16">
        <f>IF(S2172=15800,15800,ROUND((((Q2173*60)/'Gearing Calculator'!$C$14)*'Track Data'!P2173),-2))</f>
        <v>13300</v>
      </c>
      <c r="T2173" s="16">
        <f t="shared" si="237"/>
        <v>5.2583296715092471</v>
      </c>
      <c r="U2173" s="16">
        <f>IF(AC2173=100,Braking!$AG$2354,IF(AC2173=50,Braking!$AG$1179,IF(AC2173=75,Braking!$AG$1767,0)))</f>
        <v>0</v>
      </c>
      <c r="V2173" s="16">
        <f>0.5*'Gearing Calculator'!$C$15*'Gearing Calculator'!$C$20*'Gearing Calculator'!$W$20*('Track Data'!Q2173^2)</f>
        <v>180.36832271346125</v>
      </c>
      <c r="W2173" s="16">
        <f>('Gearing Calculator'!$U$9*'Track Data'!T2173)+'Track Data'!V2173</f>
        <v>1580.1356812692229</v>
      </c>
      <c r="X2173" s="16">
        <f>('Gearing Calculator'!$U$9*9.81)*('Gearing Calculator'!$U$16/'Gearing Calculator'!$C$7)-(('Track Data'!W2173)*('Gearing Calculator'!$U$17/'Gearing Calculator'!$C$7))</f>
        <v>539.88044034373297</v>
      </c>
      <c r="Y2173" s="16">
        <f>('Gearing Calculator'!$U$9*9.81)*(('Gearing Calculator'!$C$7-'Gearing Calculator'!$U$16)/'Gearing Calculator'!$C$7)+(('Track Data'!W2173)*('Gearing Calculator'!$U$17/'Gearing Calculator'!$C$7))</f>
        <v>2071.5415596562671</v>
      </c>
      <c r="Z2173" s="16">
        <f>((X2173*COS('Gearing Calculator'!$C$21))/'Gearing Calculator'!$C$22)/2</f>
        <v>16.691395719071824</v>
      </c>
      <c r="AA2173" s="16">
        <f>Y2173/'Gearing Calculator'!$C$24</f>
        <v>28.925668218874538</v>
      </c>
      <c r="AB2173" s="16">
        <f t="shared" si="240"/>
        <v>196.14331172798899</v>
      </c>
      <c r="AC2173" s="16">
        <v>0</v>
      </c>
      <c r="AD2173" s="16">
        <v>-51.415226335993196</v>
      </c>
      <c r="AE2173" s="16">
        <v>2170</v>
      </c>
      <c r="AF2173" s="16">
        <f>IF(AC2173=0,IF(O2173=6,INDEX(Acceleration!$V$4:$V$110,MATCH('Track Data'!S2173,Acceleration!$K$4:$K$110,0)),IF('Track Data'!O2173=5,INDEX(Acceleration!$U$4:$U$110,MATCH('Track Data'!S2173,Acceleration!$K$4:$K$110,0)),1)),U2173)</f>
        <v>1</v>
      </c>
      <c r="AG2173" s="16">
        <f>IF(AC2173=0,IF(O2173=4,INDEX(Acceleration!$T$4:$T$110,MATCH('Track Data'!S2173,Acceleration!$K$4:$K$110,0)),IF('Track Data'!O2173=3,INDEX(Acceleration!$S$4:$S$110,MATCH('Track Data'!S2173,Acceleration!$K$4:$K$110,0)),'Track Data'!AF2173)),'Track Data'!U2173)</f>
        <v>5.2583296715092471</v>
      </c>
      <c r="AH2173" s="16">
        <f>IF(AC2173=0,IF(O2173=2,INDEX(Acceleration!$R$4:$R$110,MATCH('Track Data'!S2173,Acceleration!$K$4:$K$110,0)),IF('Track Data'!O2173=1,INDEX(Acceleration!$Q$4:$Q$110,MATCH('Track Data'!S2173,Acceleration!$K$4:$K$110,0)),'Track Data'!AG2173)),'Track Data'!U2173)</f>
        <v>5.2583296715092471</v>
      </c>
    </row>
    <row r="2174" spans="2:34" x14ac:dyDescent="0.25">
      <c r="B2174" s="16">
        <v>252.80799999999999</v>
      </c>
      <c r="C2174" s="16">
        <v>9444</v>
      </c>
      <c r="D2174" s="16">
        <v>2171</v>
      </c>
      <c r="E2174" s="113">
        <v>149</v>
      </c>
      <c r="F2174" s="113">
        <v>138</v>
      </c>
      <c r="G2174" s="113">
        <v>130</v>
      </c>
      <c r="H2174" s="113">
        <f t="shared" si="236"/>
        <v>36.111111111111107</v>
      </c>
      <c r="I2174" s="113">
        <v>12.3</v>
      </c>
      <c r="J2174" s="113">
        <v>31.73</v>
      </c>
      <c r="K2174" s="113">
        <v>-51.7</v>
      </c>
      <c r="L2174" s="183"/>
      <c r="M2174" s="16">
        <v>2171</v>
      </c>
      <c r="N2174" s="16">
        <f t="shared" si="238"/>
        <v>2.4223940006716432E-2</v>
      </c>
      <c r="O2174" s="16">
        <v>3</v>
      </c>
      <c r="P2174" s="16">
        <f t="shared" si="234"/>
        <v>10.596205962059623</v>
      </c>
      <c r="Q2174" s="16">
        <f t="shared" si="239"/>
        <v>41.281476082038502</v>
      </c>
      <c r="R2174" s="113">
        <f t="shared" si="235"/>
        <v>345.36</v>
      </c>
      <c r="S2174" s="16">
        <f>IF(S2173=15800,15800,ROUND((((Q2174*60)/'Gearing Calculator'!$C$14)*'Track Data'!P2174),-2))</f>
        <v>13300</v>
      </c>
      <c r="T2174" s="16">
        <f t="shared" si="237"/>
        <v>5.2583296715092471</v>
      </c>
      <c r="U2174" s="16">
        <f>IF(AC2174=100,Braking!$AG$2354,IF(AC2174=50,Braking!$AG$1179,IF(AC2174=75,Braking!$AG$1767,0)))</f>
        <v>0</v>
      </c>
      <c r="V2174" s="16">
        <f>0.5*'Gearing Calculator'!$C$15*'Gearing Calculator'!$C$20*'Gearing Calculator'!$W$20*('Track Data'!Q2174^2)</f>
        <v>180.36832271346125</v>
      </c>
      <c r="W2174" s="16">
        <f>('Gearing Calculator'!$U$9*'Track Data'!T2174)+'Track Data'!V2174</f>
        <v>1580.1356812692229</v>
      </c>
      <c r="X2174" s="16">
        <f>('Gearing Calculator'!$U$9*9.81)*('Gearing Calculator'!$U$16/'Gearing Calculator'!$C$7)-(('Track Data'!W2174)*('Gearing Calculator'!$U$17/'Gearing Calculator'!$C$7))</f>
        <v>539.88044034373297</v>
      </c>
      <c r="Y2174" s="16">
        <f>('Gearing Calculator'!$U$9*9.81)*(('Gearing Calculator'!$C$7-'Gearing Calculator'!$U$16)/'Gearing Calculator'!$C$7)+(('Track Data'!W2174)*('Gearing Calculator'!$U$17/'Gearing Calculator'!$C$7))</f>
        <v>2071.5415596562671</v>
      </c>
      <c r="Z2174" s="16">
        <f>((X2174*COS('Gearing Calculator'!$C$21))/'Gearing Calculator'!$C$22)/2</f>
        <v>16.691395719071824</v>
      </c>
      <c r="AA2174" s="16">
        <f>Y2174/'Gearing Calculator'!$C$24</f>
        <v>28.925668218874538</v>
      </c>
      <c r="AB2174" s="16">
        <f t="shared" si="240"/>
        <v>196.14331172798899</v>
      </c>
      <c r="AC2174" s="16">
        <v>0</v>
      </c>
      <c r="AD2174" s="16">
        <v>-51.415226335993196</v>
      </c>
      <c r="AE2174" s="16">
        <v>2171</v>
      </c>
      <c r="AF2174" s="16">
        <f>IF(AC2174=0,IF(O2174=6,INDEX(Acceleration!$V$4:$V$110,MATCH('Track Data'!S2174,Acceleration!$K$4:$K$110,0)),IF('Track Data'!O2174=5,INDEX(Acceleration!$U$4:$U$110,MATCH('Track Data'!S2174,Acceleration!$K$4:$K$110,0)),1)),U2174)</f>
        <v>1</v>
      </c>
      <c r="AG2174" s="16">
        <f>IF(AC2174=0,IF(O2174=4,INDEX(Acceleration!$T$4:$T$110,MATCH('Track Data'!S2174,Acceleration!$K$4:$K$110,0)),IF('Track Data'!O2174=3,INDEX(Acceleration!$S$4:$S$110,MATCH('Track Data'!S2174,Acceleration!$K$4:$K$110,0)),'Track Data'!AF2174)),'Track Data'!U2174)</f>
        <v>5.2583296715092471</v>
      </c>
      <c r="AH2174" s="16">
        <f>IF(AC2174=0,IF(O2174=2,INDEX(Acceleration!$R$4:$R$110,MATCH('Track Data'!S2174,Acceleration!$K$4:$K$110,0)),IF('Track Data'!O2174=1,INDEX(Acceleration!$Q$4:$Q$110,MATCH('Track Data'!S2174,Acceleration!$K$4:$K$110,0)),'Track Data'!AG2174)),'Track Data'!U2174)</f>
        <v>5.2583296715092471</v>
      </c>
    </row>
    <row r="2175" spans="2:34" x14ac:dyDescent="0.25">
      <c r="B2175" s="16">
        <v>252.834</v>
      </c>
      <c r="C2175" s="16">
        <v>9445</v>
      </c>
      <c r="D2175" s="16">
        <v>2172</v>
      </c>
      <c r="E2175" s="113">
        <v>148</v>
      </c>
      <c r="F2175" s="113">
        <v>138.6</v>
      </c>
      <c r="G2175" s="113">
        <v>130.5</v>
      </c>
      <c r="H2175" s="113">
        <f t="shared" si="236"/>
        <v>36.25</v>
      </c>
      <c r="I2175" s="113">
        <v>12.2</v>
      </c>
      <c r="J2175" s="113">
        <v>29.02</v>
      </c>
      <c r="K2175" s="113">
        <v>-51.3</v>
      </c>
      <c r="L2175" s="183"/>
      <c r="M2175" s="16">
        <v>2172</v>
      </c>
      <c r="N2175" s="16">
        <f t="shared" si="238"/>
        <v>2.4223940006716432E-2</v>
      </c>
      <c r="O2175" s="16">
        <v>3</v>
      </c>
      <c r="P2175" s="16">
        <f t="shared" si="234"/>
        <v>10.596205962059623</v>
      </c>
      <c r="Q2175" s="16">
        <f t="shared" si="239"/>
        <v>41.281476082038502</v>
      </c>
      <c r="R2175" s="113">
        <f t="shared" si="235"/>
        <v>345.36</v>
      </c>
      <c r="S2175" s="16">
        <f>IF(S2174=15800,15800,ROUND((((Q2175*60)/'Gearing Calculator'!$C$14)*'Track Data'!P2175),-2))</f>
        <v>13300</v>
      </c>
      <c r="T2175" s="16">
        <f t="shared" si="237"/>
        <v>5.2583296715092471</v>
      </c>
      <c r="U2175" s="16">
        <f>IF(AC2175=100,Braking!$AG$2354,IF(AC2175=50,Braking!$AG$1179,IF(AC2175=75,Braking!$AG$1767,0)))</f>
        <v>0</v>
      </c>
      <c r="V2175" s="16">
        <f>0.5*'Gearing Calculator'!$C$15*'Gearing Calculator'!$C$20*'Gearing Calculator'!$W$20*('Track Data'!Q2175^2)</f>
        <v>180.36832271346125</v>
      </c>
      <c r="W2175" s="16">
        <f>('Gearing Calculator'!$U$9*'Track Data'!T2175)+'Track Data'!V2175</f>
        <v>1580.1356812692229</v>
      </c>
      <c r="X2175" s="16">
        <f>('Gearing Calculator'!$U$9*9.81)*('Gearing Calculator'!$U$16/'Gearing Calculator'!$C$7)-(('Track Data'!W2175)*('Gearing Calculator'!$U$17/'Gearing Calculator'!$C$7))</f>
        <v>539.88044034373297</v>
      </c>
      <c r="Y2175" s="16">
        <f>('Gearing Calculator'!$U$9*9.81)*(('Gearing Calculator'!$C$7-'Gearing Calculator'!$U$16)/'Gearing Calculator'!$C$7)+(('Track Data'!W2175)*('Gearing Calculator'!$U$17/'Gearing Calculator'!$C$7))</f>
        <v>2071.5415596562671</v>
      </c>
      <c r="Z2175" s="16">
        <f>((X2175*COS('Gearing Calculator'!$C$21))/'Gearing Calculator'!$C$22)/2</f>
        <v>16.691395719071824</v>
      </c>
      <c r="AA2175" s="16">
        <f>Y2175/'Gearing Calculator'!$C$24</f>
        <v>28.925668218874538</v>
      </c>
      <c r="AB2175" s="16">
        <f t="shared" si="240"/>
        <v>196.14331172798899</v>
      </c>
      <c r="AC2175" s="16">
        <v>0</v>
      </c>
      <c r="AD2175" s="16">
        <v>-51.415226335993196</v>
      </c>
      <c r="AE2175" s="16">
        <v>2172</v>
      </c>
      <c r="AF2175" s="16">
        <f>IF(AC2175=0,IF(O2175=6,INDEX(Acceleration!$V$4:$V$110,MATCH('Track Data'!S2175,Acceleration!$K$4:$K$110,0)),IF('Track Data'!O2175=5,INDEX(Acceleration!$U$4:$U$110,MATCH('Track Data'!S2175,Acceleration!$K$4:$K$110,0)),1)),U2175)</f>
        <v>1</v>
      </c>
      <c r="AG2175" s="16">
        <f>IF(AC2175=0,IF(O2175=4,INDEX(Acceleration!$T$4:$T$110,MATCH('Track Data'!S2175,Acceleration!$K$4:$K$110,0)),IF('Track Data'!O2175=3,INDEX(Acceleration!$S$4:$S$110,MATCH('Track Data'!S2175,Acceleration!$K$4:$K$110,0)),'Track Data'!AF2175)),'Track Data'!U2175)</f>
        <v>5.2583296715092471</v>
      </c>
      <c r="AH2175" s="16">
        <f>IF(AC2175=0,IF(O2175=2,INDEX(Acceleration!$R$4:$R$110,MATCH('Track Data'!S2175,Acceleration!$K$4:$K$110,0)),IF('Track Data'!O2175=1,INDEX(Acceleration!$Q$4:$Q$110,MATCH('Track Data'!S2175,Acceleration!$K$4:$K$110,0)),'Track Data'!AG2175)),'Track Data'!U2175)</f>
        <v>5.2583296715092471</v>
      </c>
    </row>
    <row r="2176" spans="2:34" x14ac:dyDescent="0.25">
      <c r="B2176" s="16">
        <v>252.86</v>
      </c>
      <c r="C2176" s="16">
        <v>9446</v>
      </c>
      <c r="D2176" s="16">
        <v>2173</v>
      </c>
      <c r="E2176" s="113">
        <v>149</v>
      </c>
      <c r="F2176" s="113">
        <v>138.80000000000001</v>
      </c>
      <c r="G2176" s="113">
        <v>130.9</v>
      </c>
      <c r="H2176" s="113">
        <f t="shared" si="236"/>
        <v>36.361111111111114</v>
      </c>
      <c r="I2176" s="113">
        <v>12.2</v>
      </c>
      <c r="J2176" s="113">
        <v>29.34</v>
      </c>
      <c r="K2176" s="113">
        <v>-50.9</v>
      </c>
      <c r="L2176" s="183"/>
      <c r="M2176" s="16">
        <v>2173</v>
      </c>
      <c r="N2176" s="16">
        <f t="shared" si="238"/>
        <v>2.4223940006716432E-2</v>
      </c>
      <c r="O2176" s="16">
        <v>3</v>
      </c>
      <c r="P2176" s="16">
        <f t="shared" si="234"/>
        <v>10.596205962059623</v>
      </c>
      <c r="Q2176" s="16">
        <f t="shared" si="239"/>
        <v>41.281476082038502</v>
      </c>
      <c r="R2176" s="113">
        <f t="shared" si="235"/>
        <v>345.36</v>
      </c>
      <c r="S2176" s="16">
        <f>IF(S2175=15800,15800,ROUND((((Q2176*60)/'Gearing Calculator'!$C$14)*'Track Data'!P2176),-2))</f>
        <v>13300</v>
      </c>
      <c r="T2176" s="16">
        <f t="shared" si="237"/>
        <v>5.2583296715092471</v>
      </c>
      <c r="U2176" s="16">
        <f>IF(AC2176=100,Braking!$AG$2354,IF(AC2176=50,Braking!$AG$1179,IF(AC2176=75,Braking!$AG$1767,0)))</f>
        <v>0</v>
      </c>
      <c r="V2176" s="16">
        <f>0.5*'Gearing Calculator'!$C$15*'Gearing Calculator'!$C$20*'Gearing Calculator'!$W$20*('Track Data'!Q2176^2)</f>
        <v>180.36832271346125</v>
      </c>
      <c r="W2176" s="16">
        <f>('Gearing Calculator'!$U$9*'Track Data'!T2176)+'Track Data'!V2176</f>
        <v>1580.1356812692229</v>
      </c>
      <c r="X2176" s="16">
        <f>('Gearing Calculator'!$U$9*9.81)*('Gearing Calculator'!$U$16/'Gearing Calculator'!$C$7)-(('Track Data'!W2176)*('Gearing Calculator'!$U$17/'Gearing Calculator'!$C$7))</f>
        <v>539.88044034373297</v>
      </c>
      <c r="Y2176" s="16">
        <f>('Gearing Calculator'!$U$9*9.81)*(('Gearing Calculator'!$C$7-'Gearing Calculator'!$U$16)/'Gearing Calculator'!$C$7)+(('Track Data'!W2176)*('Gearing Calculator'!$U$17/'Gearing Calculator'!$C$7))</f>
        <v>2071.5415596562671</v>
      </c>
      <c r="Z2176" s="16">
        <f>((X2176*COS('Gearing Calculator'!$C$21))/'Gearing Calculator'!$C$22)/2</f>
        <v>16.691395719071824</v>
      </c>
      <c r="AA2176" s="16">
        <f>Y2176/'Gearing Calculator'!$C$24</f>
        <v>28.925668218874538</v>
      </c>
      <c r="AB2176" s="16">
        <f t="shared" si="240"/>
        <v>196.14331172798899</v>
      </c>
      <c r="AC2176" s="16">
        <v>0</v>
      </c>
      <c r="AD2176" s="16">
        <v>-51.415226335993196</v>
      </c>
      <c r="AE2176" s="16">
        <v>2173</v>
      </c>
      <c r="AF2176" s="16">
        <f>IF(AC2176=0,IF(O2176=6,INDEX(Acceleration!$V$4:$V$110,MATCH('Track Data'!S2176,Acceleration!$K$4:$K$110,0)),IF('Track Data'!O2176=5,INDEX(Acceleration!$U$4:$U$110,MATCH('Track Data'!S2176,Acceleration!$K$4:$K$110,0)),1)),U2176)</f>
        <v>1</v>
      </c>
      <c r="AG2176" s="16">
        <f>IF(AC2176=0,IF(O2176=4,INDEX(Acceleration!$T$4:$T$110,MATCH('Track Data'!S2176,Acceleration!$K$4:$K$110,0)),IF('Track Data'!O2176=3,INDEX(Acceleration!$S$4:$S$110,MATCH('Track Data'!S2176,Acceleration!$K$4:$K$110,0)),'Track Data'!AF2176)),'Track Data'!U2176)</f>
        <v>5.2583296715092471</v>
      </c>
      <c r="AH2176" s="16">
        <f>IF(AC2176=0,IF(O2176=2,INDEX(Acceleration!$R$4:$R$110,MATCH('Track Data'!S2176,Acceleration!$K$4:$K$110,0)),IF('Track Data'!O2176=1,INDEX(Acceleration!$Q$4:$Q$110,MATCH('Track Data'!S2176,Acceleration!$K$4:$K$110,0)),'Track Data'!AG2176)),'Track Data'!U2176)</f>
        <v>5.2583296715092471</v>
      </c>
    </row>
    <row r="2177" spans="2:34" x14ac:dyDescent="0.25">
      <c r="B2177" s="16">
        <v>252.886</v>
      </c>
      <c r="C2177" s="16">
        <v>9447</v>
      </c>
      <c r="D2177" s="16">
        <v>2174</v>
      </c>
      <c r="E2177" s="113">
        <v>149</v>
      </c>
      <c r="F2177" s="113">
        <v>139</v>
      </c>
      <c r="G2177" s="113">
        <v>131.19999999999999</v>
      </c>
      <c r="H2177" s="113">
        <f t="shared" si="236"/>
        <v>36.444444444444443</v>
      </c>
      <c r="I2177" s="113">
        <v>12.2</v>
      </c>
      <c r="J2177" s="113">
        <v>29.6</v>
      </c>
      <c r="K2177" s="113">
        <v>-50.6</v>
      </c>
      <c r="L2177" s="183"/>
      <c r="M2177" s="16">
        <v>2174</v>
      </c>
      <c r="N2177" s="16">
        <f t="shared" si="238"/>
        <v>2.4223940006716432E-2</v>
      </c>
      <c r="O2177" s="16">
        <v>3</v>
      </c>
      <c r="P2177" s="16">
        <f t="shared" si="234"/>
        <v>10.596205962059623</v>
      </c>
      <c r="Q2177" s="16">
        <f t="shared" si="239"/>
        <v>41.281476082038502</v>
      </c>
      <c r="R2177" s="113">
        <f t="shared" si="235"/>
        <v>345.36</v>
      </c>
      <c r="S2177" s="16">
        <f>IF(S2176=15800,15800,ROUND((((Q2177*60)/'Gearing Calculator'!$C$14)*'Track Data'!P2177),-2))</f>
        <v>13300</v>
      </c>
      <c r="T2177" s="16">
        <f t="shared" si="237"/>
        <v>5.2583296715092471</v>
      </c>
      <c r="U2177" s="16">
        <f>IF(AC2177=100,Braking!$AG$2354,IF(AC2177=50,Braking!$AG$1179,IF(AC2177=75,Braking!$AG$1767,0)))</f>
        <v>0</v>
      </c>
      <c r="V2177" s="16">
        <f>0.5*'Gearing Calculator'!$C$15*'Gearing Calculator'!$C$20*'Gearing Calculator'!$W$20*('Track Data'!Q2177^2)</f>
        <v>180.36832271346125</v>
      </c>
      <c r="W2177" s="16">
        <f>('Gearing Calculator'!$U$9*'Track Data'!T2177)+'Track Data'!V2177</f>
        <v>1580.1356812692229</v>
      </c>
      <c r="X2177" s="16">
        <f>('Gearing Calculator'!$U$9*9.81)*('Gearing Calculator'!$U$16/'Gearing Calculator'!$C$7)-(('Track Data'!W2177)*('Gearing Calculator'!$U$17/'Gearing Calculator'!$C$7))</f>
        <v>539.88044034373297</v>
      </c>
      <c r="Y2177" s="16">
        <f>('Gearing Calculator'!$U$9*9.81)*(('Gearing Calculator'!$C$7-'Gearing Calculator'!$U$16)/'Gearing Calculator'!$C$7)+(('Track Data'!W2177)*('Gearing Calculator'!$U$17/'Gearing Calculator'!$C$7))</f>
        <v>2071.5415596562671</v>
      </c>
      <c r="Z2177" s="16">
        <f>((X2177*COS('Gearing Calculator'!$C$21))/'Gearing Calculator'!$C$22)/2</f>
        <v>16.691395719071824</v>
      </c>
      <c r="AA2177" s="16">
        <f>Y2177/'Gearing Calculator'!$C$24</f>
        <v>28.925668218874538</v>
      </c>
      <c r="AB2177" s="16">
        <f t="shared" si="240"/>
        <v>196.14331172798899</v>
      </c>
      <c r="AC2177" s="16">
        <v>0</v>
      </c>
      <c r="AD2177" s="16">
        <v>-51.415226335993196</v>
      </c>
      <c r="AE2177" s="16">
        <v>2174</v>
      </c>
      <c r="AF2177" s="16">
        <f>IF(AC2177=0,IF(O2177=6,INDEX(Acceleration!$V$4:$V$110,MATCH('Track Data'!S2177,Acceleration!$K$4:$K$110,0)),IF('Track Data'!O2177=5,INDEX(Acceleration!$U$4:$U$110,MATCH('Track Data'!S2177,Acceleration!$K$4:$K$110,0)),1)),U2177)</f>
        <v>1</v>
      </c>
      <c r="AG2177" s="16">
        <f>IF(AC2177=0,IF(O2177=4,INDEX(Acceleration!$T$4:$T$110,MATCH('Track Data'!S2177,Acceleration!$K$4:$K$110,0)),IF('Track Data'!O2177=3,INDEX(Acceleration!$S$4:$S$110,MATCH('Track Data'!S2177,Acceleration!$K$4:$K$110,0)),'Track Data'!AF2177)),'Track Data'!U2177)</f>
        <v>5.2583296715092471</v>
      </c>
      <c r="AH2177" s="16">
        <f>IF(AC2177=0,IF(O2177=2,INDEX(Acceleration!$R$4:$R$110,MATCH('Track Data'!S2177,Acceleration!$K$4:$K$110,0)),IF('Track Data'!O2177=1,INDEX(Acceleration!$Q$4:$Q$110,MATCH('Track Data'!S2177,Acceleration!$K$4:$K$110,0)),'Track Data'!AG2177)),'Track Data'!U2177)</f>
        <v>5.2583296715092471</v>
      </c>
    </row>
    <row r="2178" spans="2:34" x14ac:dyDescent="0.25">
      <c r="B2178" s="16">
        <v>252.91200000000001</v>
      </c>
      <c r="C2178" s="16">
        <v>9448</v>
      </c>
      <c r="D2178" s="16">
        <v>2175</v>
      </c>
      <c r="E2178" s="113">
        <v>149</v>
      </c>
      <c r="F2178" s="113">
        <v>139.19999999999999</v>
      </c>
      <c r="G2178" s="113">
        <v>131.6</v>
      </c>
      <c r="H2178" s="113">
        <f t="shared" si="236"/>
        <v>36.55555555555555</v>
      </c>
      <c r="I2178" s="113">
        <v>12.5</v>
      </c>
      <c r="J2178" s="113">
        <v>25.53</v>
      </c>
      <c r="K2178" s="113">
        <v>-49.8</v>
      </c>
      <c r="L2178" s="183"/>
      <c r="M2178" s="16">
        <v>2175</v>
      </c>
      <c r="N2178" s="16">
        <f t="shared" si="238"/>
        <v>2.4223940006716432E-2</v>
      </c>
      <c r="O2178" s="16">
        <v>3</v>
      </c>
      <c r="P2178" s="16">
        <f t="shared" si="234"/>
        <v>10.596205962059623</v>
      </c>
      <c r="Q2178" s="16">
        <f t="shared" si="239"/>
        <v>41.281476082038502</v>
      </c>
      <c r="R2178" s="113">
        <f t="shared" si="235"/>
        <v>345.36</v>
      </c>
      <c r="S2178" s="16">
        <f>IF(S2177=15800,15800,ROUND((((Q2178*60)/'Gearing Calculator'!$C$14)*'Track Data'!P2178),-2))</f>
        <v>13300</v>
      </c>
      <c r="T2178" s="16">
        <f t="shared" si="237"/>
        <v>5.2583296715092471</v>
      </c>
      <c r="U2178" s="16">
        <f>IF(AC2178=100,Braking!$AG$2354,IF(AC2178=50,Braking!$AG$1179,IF(AC2178=75,Braking!$AG$1767,0)))</f>
        <v>0</v>
      </c>
      <c r="V2178" s="16">
        <f>0.5*'Gearing Calculator'!$C$15*'Gearing Calculator'!$C$20*'Gearing Calculator'!$W$20*('Track Data'!Q2178^2)</f>
        <v>180.36832271346125</v>
      </c>
      <c r="W2178" s="16">
        <f>('Gearing Calculator'!$U$9*'Track Data'!T2178)+'Track Data'!V2178</f>
        <v>1580.1356812692229</v>
      </c>
      <c r="X2178" s="16">
        <f>('Gearing Calculator'!$U$9*9.81)*('Gearing Calculator'!$U$16/'Gearing Calculator'!$C$7)-(('Track Data'!W2178)*('Gearing Calculator'!$U$17/'Gearing Calculator'!$C$7))</f>
        <v>539.88044034373297</v>
      </c>
      <c r="Y2178" s="16">
        <f>('Gearing Calculator'!$U$9*9.81)*(('Gearing Calculator'!$C$7-'Gearing Calculator'!$U$16)/'Gearing Calculator'!$C$7)+(('Track Data'!W2178)*('Gearing Calculator'!$U$17/'Gearing Calculator'!$C$7))</f>
        <v>2071.5415596562671</v>
      </c>
      <c r="Z2178" s="16">
        <f>((X2178*COS('Gearing Calculator'!$C$21))/'Gearing Calculator'!$C$22)/2</f>
        <v>16.691395719071824</v>
      </c>
      <c r="AA2178" s="16">
        <f>Y2178/'Gearing Calculator'!$C$24</f>
        <v>28.925668218874538</v>
      </c>
      <c r="AB2178" s="16">
        <f t="shared" si="240"/>
        <v>196.14331172798899</v>
      </c>
      <c r="AC2178" s="16">
        <v>0</v>
      </c>
      <c r="AD2178" s="16">
        <v>-51.415226335993196</v>
      </c>
      <c r="AE2178" s="16">
        <v>2175</v>
      </c>
      <c r="AF2178" s="16">
        <f>IF(AC2178=0,IF(O2178=6,INDEX(Acceleration!$V$4:$V$110,MATCH('Track Data'!S2178,Acceleration!$K$4:$K$110,0)),IF('Track Data'!O2178=5,INDEX(Acceleration!$U$4:$U$110,MATCH('Track Data'!S2178,Acceleration!$K$4:$K$110,0)),1)),U2178)</f>
        <v>1</v>
      </c>
      <c r="AG2178" s="16">
        <f>IF(AC2178=0,IF(O2178=4,INDEX(Acceleration!$T$4:$T$110,MATCH('Track Data'!S2178,Acceleration!$K$4:$K$110,0)),IF('Track Data'!O2178=3,INDEX(Acceleration!$S$4:$S$110,MATCH('Track Data'!S2178,Acceleration!$K$4:$K$110,0)),'Track Data'!AF2178)),'Track Data'!U2178)</f>
        <v>5.2583296715092471</v>
      </c>
      <c r="AH2178" s="16">
        <f>IF(AC2178=0,IF(O2178=2,INDEX(Acceleration!$R$4:$R$110,MATCH('Track Data'!S2178,Acceleration!$K$4:$K$110,0)),IF('Track Data'!O2178=1,INDEX(Acceleration!$Q$4:$Q$110,MATCH('Track Data'!S2178,Acceleration!$K$4:$K$110,0)),'Track Data'!AG2178)),'Track Data'!U2178)</f>
        <v>5.2583296715092471</v>
      </c>
    </row>
    <row r="2179" spans="2:34" x14ac:dyDescent="0.25">
      <c r="B2179" s="16">
        <v>252.93799999999999</v>
      </c>
      <c r="C2179" s="16">
        <v>9449</v>
      </c>
      <c r="D2179" s="16">
        <v>2176</v>
      </c>
      <c r="E2179" s="113">
        <v>149</v>
      </c>
      <c r="F2179" s="113">
        <v>139.5</v>
      </c>
      <c r="G2179" s="113">
        <v>131.9</v>
      </c>
      <c r="H2179" s="113">
        <f t="shared" si="236"/>
        <v>36.638888888888893</v>
      </c>
      <c r="I2179" s="113">
        <v>12.6</v>
      </c>
      <c r="J2179" s="113">
        <v>24.06</v>
      </c>
      <c r="K2179" s="113">
        <v>-49.2</v>
      </c>
      <c r="L2179" s="183"/>
      <c r="M2179" s="16">
        <v>2176</v>
      </c>
      <c r="N2179" s="16">
        <f t="shared" si="238"/>
        <v>2.4223940006716432E-2</v>
      </c>
      <c r="O2179" s="16">
        <v>3</v>
      </c>
      <c r="P2179" s="16">
        <f t="shared" si="234"/>
        <v>10.596205962059623</v>
      </c>
      <c r="Q2179" s="16">
        <f t="shared" si="239"/>
        <v>41.281476082038502</v>
      </c>
      <c r="R2179" s="113">
        <f t="shared" si="235"/>
        <v>345.36</v>
      </c>
      <c r="S2179" s="16">
        <f>IF(S2178=15800,15800,ROUND((((Q2179*60)/'Gearing Calculator'!$C$14)*'Track Data'!P2179),-2))</f>
        <v>13300</v>
      </c>
      <c r="T2179" s="16">
        <f t="shared" si="237"/>
        <v>5.2583296715092471</v>
      </c>
      <c r="U2179" s="16">
        <f>IF(AC2179=100,Braking!$AG$2354,IF(AC2179=50,Braking!$AG$1179,IF(AC2179=75,Braking!$AG$1767,0)))</f>
        <v>0</v>
      </c>
      <c r="V2179" s="16">
        <f>0.5*'Gearing Calculator'!$C$15*'Gearing Calculator'!$C$20*'Gearing Calculator'!$W$20*('Track Data'!Q2179^2)</f>
        <v>180.36832271346125</v>
      </c>
      <c r="W2179" s="16">
        <f>('Gearing Calculator'!$U$9*'Track Data'!T2179)+'Track Data'!V2179</f>
        <v>1580.1356812692229</v>
      </c>
      <c r="X2179" s="16">
        <f>('Gearing Calculator'!$U$9*9.81)*('Gearing Calculator'!$U$16/'Gearing Calculator'!$C$7)-(('Track Data'!W2179)*('Gearing Calculator'!$U$17/'Gearing Calculator'!$C$7))</f>
        <v>539.88044034373297</v>
      </c>
      <c r="Y2179" s="16">
        <f>('Gearing Calculator'!$U$9*9.81)*(('Gearing Calculator'!$C$7-'Gearing Calculator'!$U$16)/'Gearing Calculator'!$C$7)+(('Track Data'!W2179)*('Gearing Calculator'!$U$17/'Gearing Calculator'!$C$7))</f>
        <v>2071.5415596562671</v>
      </c>
      <c r="Z2179" s="16">
        <f>((X2179*COS('Gearing Calculator'!$C$21))/'Gearing Calculator'!$C$22)/2</f>
        <v>16.691395719071824</v>
      </c>
      <c r="AA2179" s="16">
        <f>Y2179/'Gearing Calculator'!$C$24</f>
        <v>28.925668218874538</v>
      </c>
      <c r="AB2179" s="16">
        <f t="shared" si="240"/>
        <v>196.14331172798899</v>
      </c>
      <c r="AC2179" s="16">
        <v>0</v>
      </c>
      <c r="AD2179" s="16">
        <v>-51.415226335993196</v>
      </c>
      <c r="AE2179" s="16">
        <v>2176</v>
      </c>
      <c r="AF2179" s="16">
        <f>IF(AC2179=0,IF(O2179=6,INDEX(Acceleration!$V$4:$V$110,MATCH('Track Data'!S2179,Acceleration!$K$4:$K$110,0)),IF('Track Data'!O2179=5,INDEX(Acceleration!$U$4:$U$110,MATCH('Track Data'!S2179,Acceleration!$K$4:$K$110,0)),1)),U2179)</f>
        <v>1</v>
      </c>
      <c r="AG2179" s="16">
        <f>IF(AC2179=0,IF(O2179=4,INDEX(Acceleration!$T$4:$T$110,MATCH('Track Data'!S2179,Acceleration!$K$4:$K$110,0)),IF('Track Data'!O2179=3,INDEX(Acceleration!$S$4:$S$110,MATCH('Track Data'!S2179,Acceleration!$K$4:$K$110,0)),'Track Data'!AF2179)),'Track Data'!U2179)</f>
        <v>5.2583296715092471</v>
      </c>
      <c r="AH2179" s="16">
        <f>IF(AC2179=0,IF(O2179=2,INDEX(Acceleration!$R$4:$R$110,MATCH('Track Data'!S2179,Acceleration!$K$4:$K$110,0)),IF('Track Data'!O2179=1,INDEX(Acceleration!$Q$4:$Q$110,MATCH('Track Data'!S2179,Acceleration!$K$4:$K$110,0)),'Track Data'!AG2179)),'Track Data'!U2179)</f>
        <v>5.2583296715092471</v>
      </c>
    </row>
    <row r="2180" spans="2:34" x14ac:dyDescent="0.25">
      <c r="B2180" s="16">
        <v>252.964</v>
      </c>
      <c r="C2180" s="16">
        <v>9450</v>
      </c>
      <c r="D2180" s="16">
        <v>2177</v>
      </c>
      <c r="E2180" s="113">
        <v>150</v>
      </c>
      <c r="F2180" s="113">
        <v>140.1</v>
      </c>
      <c r="G2180" s="113">
        <v>132.4</v>
      </c>
      <c r="H2180" s="113">
        <f t="shared" si="236"/>
        <v>36.777777777777779</v>
      </c>
      <c r="I2180" s="113">
        <v>11.6</v>
      </c>
      <c r="J2180" s="113">
        <v>23.75</v>
      </c>
      <c r="K2180" s="113">
        <v>-48.5</v>
      </c>
      <c r="L2180" s="183"/>
      <c r="M2180" s="16">
        <v>2177</v>
      </c>
      <c r="N2180" s="16">
        <f t="shared" si="238"/>
        <v>2.4223940006716432E-2</v>
      </c>
      <c r="O2180" s="16">
        <v>3</v>
      </c>
      <c r="P2180" s="16">
        <f t="shared" ref="P2180:P2243" si="241">VLOOKUP(O2180,$AJ$5:$AK$10,2,FALSE)</f>
        <v>10.596205962059623</v>
      </c>
      <c r="Q2180" s="16">
        <f t="shared" si="239"/>
        <v>41.281476082038502</v>
      </c>
      <c r="R2180" s="113">
        <f t="shared" ref="R2180:R2243" si="242">VLOOKUP(O2180,$AJ$5:$AL$10,3,FALSE)</f>
        <v>345.36</v>
      </c>
      <c r="S2180" s="16">
        <f>IF(S2179=15800,15800,ROUND((((Q2180*60)/'Gearing Calculator'!$C$14)*'Track Data'!P2180),-2))</f>
        <v>13300</v>
      </c>
      <c r="T2180" s="16">
        <f t="shared" si="237"/>
        <v>5.2583296715092471</v>
      </c>
      <c r="U2180" s="16">
        <f>IF(AC2180=100,Braking!$AG$2354,IF(AC2180=50,Braking!$AG$1179,IF(AC2180=75,Braking!$AG$1767,0)))</f>
        <v>0</v>
      </c>
      <c r="V2180" s="16">
        <f>0.5*'Gearing Calculator'!$C$15*'Gearing Calculator'!$C$20*'Gearing Calculator'!$W$20*('Track Data'!Q2180^2)</f>
        <v>180.36832271346125</v>
      </c>
      <c r="W2180" s="16">
        <f>('Gearing Calculator'!$U$9*'Track Data'!T2180)+'Track Data'!V2180</f>
        <v>1580.1356812692229</v>
      </c>
      <c r="X2180" s="16">
        <f>('Gearing Calculator'!$U$9*9.81)*('Gearing Calculator'!$U$16/'Gearing Calculator'!$C$7)-(('Track Data'!W2180)*('Gearing Calculator'!$U$17/'Gearing Calculator'!$C$7))</f>
        <v>539.88044034373297</v>
      </c>
      <c r="Y2180" s="16">
        <f>('Gearing Calculator'!$U$9*9.81)*(('Gearing Calculator'!$C$7-'Gearing Calculator'!$U$16)/'Gearing Calculator'!$C$7)+(('Track Data'!W2180)*('Gearing Calculator'!$U$17/'Gearing Calculator'!$C$7))</f>
        <v>2071.5415596562671</v>
      </c>
      <c r="Z2180" s="16">
        <f>((X2180*COS('Gearing Calculator'!$C$21))/'Gearing Calculator'!$C$22)/2</f>
        <v>16.691395719071824</v>
      </c>
      <c r="AA2180" s="16">
        <f>Y2180/'Gearing Calculator'!$C$24</f>
        <v>28.925668218874538</v>
      </c>
      <c r="AB2180" s="16">
        <f t="shared" si="240"/>
        <v>196.14331172798899</v>
      </c>
      <c r="AC2180" s="16">
        <v>0</v>
      </c>
      <c r="AD2180" s="16">
        <v>-51.415226335993196</v>
      </c>
      <c r="AE2180" s="16">
        <v>2177</v>
      </c>
      <c r="AF2180" s="16">
        <f>IF(AC2180=0,IF(O2180=6,INDEX(Acceleration!$V$4:$V$110,MATCH('Track Data'!S2180,Acceleration!$K$4:$K$110,0)),IF('Track Data'!O2180=5,INDEX(Acceleration!$U$4:$U$110,MATCH('Track Data'!S2180,Acceleration!$K$4:$K$110,0)),1)),U2180)</f>
        <v>1</v>
      </c>
      <c r="AG2180" s="16">
        <f>IF(AC2180=0,IF(O2180=4,INDEX(Acceleration!$T$4:$T$110,MATCH('Track Data'!S2180,Acceleration!$K$4:$K$110,0)),IF('Track Data'!O2180=3,INDEX(Acceleration!$S$4:$S$110,MATCH('Track Data'!S2180,Acceleration!$K$4:$K$110,0)),'Track Data'!AF2180)),'Track Data'!U2180)</f>
        <v>5.2583296715092471</v>
      </c>
      <c r="AH2180" s="16">
        <f>IF(AC2180=0,IF(O2180=2,INDEX(Acceleration!$R$4:$R$110,MATCH('Track Data'!S2180,Acceleration!$K$4:$K$110,0)),IF('Track Data'!O2180=1,INDEX(Acceleration!$Q$4:$Q$110,MATCH('Track Data'!S2180,Acceleration!$K$4:$K$110,0)),'Track Data'!AG2180)),'Track Data'!U2180)</f>
        <v>5.2583296715092471</v>
      </c>
    </row>
    <row r="2181" spans="2:34" x14ac:dyDescent="0.25">
      <c r="B2181" s="16">
        <v>252.989</v>
      </c>
      <c r="C2181" s="16">
        <v>9451</v>
      </c>
      <c r="D2181" s="16">
        <v>2178</v>
      </c>
      <c r="E2181" s="113">
        <v>151</v>
      </c>
      <c r="F2181" s="113">
        <v>140.5</v>
      </c>
      <c r="G2181" s="113">
        <v>132.80000000000001</v>
      </c>
      <c r="H2181" s="113">
        <f t="shared" ref="H2181:H2244" si="243">G2181/3.6</f>
        <v>36.888888888888893</v>
      </c>
      <c r="I2181" s="113">
        <v>10.6</v>
      </c>
      <c r="J2181" s="113">
        <v>26.33</v>
      </c>
      <c r="K2181" s="113">
        <v>-48.5</v>
      </c>
      <c r="L2181" s="183"/>
      <c r="M2181" s="16">
        <v>2178</v>
      </c>
      <c r="N2181" s="16">
        <f t="shared" si="238"/>
        <v>2.4223940006716432E-2</v>
      </c>
      <c r="O2181" s="16">
        <v>3</v>
      </c>
      <c r="P2181" s="16">
        <f t="shared" si="241"/>
        <v>10.596205962059623</v>
      </c>
      <c r="Q2181" s="16">
        <f t="shared" si="239"/>
        <v>41.281476082038502</v>
      </c>
      <c r="R2181" s="113">
        <f t="shared" si="242"/>
        <v>345.36</v>
      </c>
      <c r="S2181" s="16">
        <f>IF(S2180=15800,15800,ROUND((((Q2181*60)/'Gearing Calculator'!$C$14)*'Track Data'!P2181),-2))</f>
        <v>13300</v>
      </c>
      <c r="T2181" s="16">
        <f t="shared" ref="T2181:T2244" si="244">AH2181</f>
        <v>5.2583296715092471</v>
      </c>
      <c r="U2181" s="16">
        <f>IF(AC2181=100,Braking!$AG$2354,IF(AC2181=50,Braking!$AG$1179,IF(AC2181=75,Braking!$AG$1767,0)))</f>
        <v>0</v>
      </c>
      <c r="V2181" s="16">
        <f>0.5*'Gearing Calculator'!$C$15*'Gearing Calculator'!$C$20*'Gearing Calculator'!$W$20*('Track Data'!Q2181^2)</f>
        <v>180.36832271346125</v>
      </c>
      <c r="W2181" s="16">
        <f>('Gearing Calculator'!$U$9*'Track Data'!T2181)+'Track Data'!V2181</f>
        <v>1580.1356812692229</v>
      </c>
      <c r="X2181" s="16">
        <f>('Gearing Calculator'!$U$9*9.81)*('Gearing Calculator'!$U$16/'Gearing Calculator'!$C$7)-(('Track Data'!W2181)*('Gearing Calculator'!$U$17/'Gearing Calculator'!$C$7))</f>
        <v>539.88044034373297</v>
      </c>
      <c r="Y2181" s="16">
        <f>('Gearing Calculator'!$U$9*9.81)*(('Gearing Calculator'!$C$7-'Gearing Calculator'!$U$16)/'Gearing Calculator'!$C$7)+(('Track Data'!W2181)*('Gearing Calculator'!$U$17/'Gearing Calculator'!$C$7))</f>
        <v>2071.5415596562671</v>
      </c>
      <c r="Z2181" s="16">
        <f>((X2181*COS('Gearing Calculator'!$C$21))/'Gearing Calculator'!$C$22)/2</f>
        <v>16.691395719071824</v>
      </c>
      <c r="AA2181" s="16">
        <f>Y2181/'Gearing Calculator'!$C$24</f>
        <v>28.925668218874538</v>
      </c>
      <c r="AB2181" s="16">
        <f t="shared" si="240"/>
        <v>196.14331172798899</v>
      </c>
      <c r="AC2181" s="16">
        <v>0</v>
      </c>
      <c r="AD2181" s="16">
        <v>-51.415226335993196</v>
      </c>
      <c r="AE2181" s="16">
        <v>2178</v>
      </c>
      <c r="AF2181" s="16">
        <f>IF(AC2181=0,IF(O2181=6,INDEX(Acceleration!$V$4:$V$110,MATCH('Track Data'!S2181,Acceleration!$K$4:$K$110,0)),IF('Track Data'!O2181=5,INDEX(Acceleration!$U$4:$U$110,MATCH('Track Data'!S2181,Acceleration!$K$4:$K$110,0)),1)),U2181)</f>
        <v>1</v>
      </c>
      <c r="AG2181" s="16">
        <f>IF(AC2181=0,IF(O2181=4,INDEX(Acceleration!$T$4:$T$110,MATCH('Track Data'!S2181,Acceleration!$K$4:$K$110,0)),IF('Track Data'!O2181=3,INDEX(Acceleration!$S$4:$S$110,MATCH('Track Data'!S2181,Acceleration!$K$4:$K$110,0)),'Track Data'!AF2181)),'Track Data'!U2181)</f>
        <v>5.2583296715092471</v>
      </c>
      <c r="AH2181" s="16">
        <f>IF(AC2181=0,IF(O2181=2,INDEX(Acceleration!$R$4:$R$110,MATCH('Track Data'!S2181,Acceleration!$K$4:$K$110,0)),IF('Track Data'!O2181=1,INDEX(Acceleration!$Q$4:$Q$110,MATCH('Track Data'!S2181,Acceleration!$K$4:$K$110,0)),'Track Data'!AG2181)),'Track Data'!U2181)</f>
        <v>5.2583296715092471</v>
      </c>
    </row>
    <row r="2182" spans="2:34" x14ac:dyDescent="0.25">
      <c r="B2182" s="16">
        <v>253.01400000000001</v>
      </c>
      <c r="C2182" s="16">
        <v>9452</v>
      </c>
      <c r="D2182" s="16">
        <v>2179</v>
      </c>
      <c r="E2182" s="113">
        <v>152</v>
      </c>
      <c r="F2182" s="113">
        <v>141</v>
      </c>
      <c r="G2182" s="113">
        <v>133.19999999999999</v>
      </c>
      <c r="H2182" s="113">
        <f t="shared" si="243"/>
        <v>36.999999999999993</v>
      </c>
      <c r="I2182" s="113">
        <v>9.6999999999999993</v>
      </c>
      <c r="J2182" s="113">
        <v>23.14</v>
      </c>
      <c r="K2182" s="113">
        <v>-48.5</v>
      </c>
      <c r="L2182" s="183"/>
      <c r="M2182" s="16">
        <v>2179</v>
      </c>
      <c r="N2182" s="16">
        <f t="shared" ref="N2182:N2245" si="245">1/Q2182</f>
        <v>2.4223940006716432E-2</v>
      </c>
      <c r="O2182" s="16">
        <v>3</v>
      </c>
      <c r="P2182" s="16">
        <f t="shared" si="241"/>
        <v>10.596205962059623</v>
      </c>
      <c r="Q2182" s="16">
        <f t="shared" ref="Q2182:Q2245" si="246">IF(AD2181=0,SQRT(Q2181^2+(2*T2181)),Q2181)</f>
        <v>41.281476082038502</v>
      </c>
      <c r="R2182" s="113">
        <f t="shared" si="242"/>
        <v>345.36</v>
      </c>
      <c r="S2182" s="16">
        <f>IF(S2181=15800,15800,ROUND((((Q2182*60)/'Gearing Calculator'!$C$14)*'Track Data'!P2182),-2))</f>
        <v>13300</v>
      </c>
      <c r="T2182" s="16">
        <f t="shared" si="244"/>
        <v>5.2583296715092471</v>
      </c>
      <c r="U2182" s="16">
        <f>IF(AC2182=100,Braking!$AG$2354,IF(AC2182=50,Braking!$AG$1179,IF(AC2182=75,Braking!$AG$1767,0)))</f>
        <v>0</v>
      </c>
      <c r="V2182" s="16">
        <f>0.5*'Gearing Calculator'!$C$15*'Gearing Calculator'!$C$20*'Gearing Calculator'!$W$20*('Track Data'!Q2182^2)</f>
        <v>180.36832271346125</v>
      </c>
      <c r="W2182" s="16">
        <f>('Gearing Calculator'!$U$9*'Track Data'!T2182)+'Track Data'!V2182</f>
        <v>1580.1356812692229</v>
      </c>
      <c r="X2182" s="16">
        <f>('Gearing Calculator'!$U$9*9.81)*('Gearing Calculator'!$U$16/'Gearing Calculator'!$C$7)-(('Track Data'!W2182)*('Gearing Calculator'!$U$17/'Gearing Calculator'!$C$7))</f>
        <v>539.88044034373297</v>
      </c>
      <c r="Y2182" s="16">
        <f>('Gearing Calculator'!$U$9*9.81)*(('Gearing Calculator'!$C$7-'Gearing Calculator'!$U$16)/'Gearing Calculator'!$C$7)+(('Track Data'!W2182)*('Gearing Calculator'!$U$17/'Gearing Calculator'!$C$7))</f>
        <v>2071.5415596562671</v>
      </c>
      <c r="Z2182" s="16">
        <f>((X2182*COS('Gearing Calculator'!$C$21))/'Gearing Calculator'!$C$22)/2</f>
        <v>16.691395719071824</v>
      </c>
      <c r="AA2182" s="16">
        <f>Y2182/'Gearing Calculator'!$C$24</f>
        <v>28.925668218874538</v>
      </c>
      <c r="AB2182" s="16">
        <f t="shared" si="240"/>
        <v>196.14331172798899</v>
      </c>
      <c r="AC2182" s="16">
        <v>0</v>
      </c>
      <c r="AD2182" s="16">
        <v>-51.415226335993196</v>
      </c>
      <c r="AE2182" s="16">
        <v>2179</v>
      </c>
      <c r="AF2182" s="16">
        <f>IF(AC2182=0,IF(O2182=6,INDEX(Acceleration!$V$4:$V$110,MATCH('Track Data'!S2182,Acceleration!$K$4:$K$110,0)),IF('Track Data'!O2182=5,INDEX(Acceleration!$U$4:$U$110,MATCH('Track Data'!S2182,Acceleration!$K$4:$K$110,0)),1)),U2182)</f>
        <v>1</v>
      </c>
      <c r="AG2182" s="16">
        <f>IF(AC2182=0,IF(O2182=4,INDEX(Acceleration!$T$4:$T$110,MATCH('Track Data'!S2182,Acceleration!$K$4:$K$110,0)),IF('Track Data'!O2182=3,INDEX(Acceleration!$S$4:$S$110,MATCH('Track Data'!S2182,Acceleration!$K$4:$K$110,0)),'Track Data'!AF2182)),'Track Data'!U2182)</f>
        <v>5.2583296715092471</v>
      </c>
      <c r="AH2182" s="16">
        <f>IF(AC2182=0,IF(O2182=2,INDEX(Acceleration!$R$4:$R$110,MATCH('Track Data'!S2182,Acceleration!$K$4:$K$110,0)),IF('Track Data'!O2182=1,INDEX(Acceleration!$Q$4:$Q$110,MATCH('Track Data'!S2182,Acceleration!$K$4:$K$110,0)),'Track Data'!AG2182)),'Track Data'!U2182)</f>
        <v>5.2583296715092471</v>
      </c>
    </row>
    <row r="2183" spans="2:34" x14ac:dyDescent="0.25">
      <c r="B2183" s="16">
        <v>253.04</v>
      </c>
      <c r="C2183" s="16">
        <v>9453</v>
      </c>
      <c r="D2183" s="16">
        <v>2180</v>
      </c>
      <c r="E2183" s="113">
        <v>152</v>
      </c>
      <c r="F2183" s="113">
        <v>141.5</v>
      </c>
      <c r="G2183" s="113">
        <v>133.69999999999999</v>
      </c>
      <c r="H2183" s="113">
        <f t="shared" si="243"/>
        <v>37.138888888888886</v>
      </c>
      <c r="I2183" s="113">
        <v>9.6999999999999993</v>
      </c>
      <c r="J2183" s="113">
        <v>25.13</v>
      </c>
      <c r="K2183" s="113">
        <v>-48.5</v>
      </c>
      <c r="L2183" s="183"/>
      <c r="M2183" s="16">
        <v>2180</v>
      </c>
      <c r="N2183" s="16">
        <f t="shared" si="245"/>
        <v>2.4223940006716432E-2</v>
      </c>
      <c r="O2183" s="16">
        <v>3</v>
      </c>
      <c r="P2183" s="16">
        <f t="shared" si="241"/>
        <v>10.596205962059623</v>
      </c>
      <c r="Q2183" s="16">
        <f t="shared" si="246"/>
        <v>41.281476082038502</v>
      </c>
      <c r="R2183" s="113">
        <f t="shared" si="242"/>
        <v>345.36</v>
      </c>
      <c r="S2183" s="16">
        <f>IF(S2182=15800,15800,ROUND((((Q2183*60)/'Gearing Calculator'!$C$14)*'Track Data'!P2183),-2))</f>
        <v>13300</v>
      </c>
      <c r="T2183" s="16">
        <f t="shared" si="244"/>
        <v>5.2583296715092471</v>
      </c>
      <c r="U2183" s="16">
        <f>IF(AC2183=100,Braking!$AG$2354,IF(AC2183=50,Braking!$AG$1179,IF(AC2183=75,Braking!$AG$1767,0)))</f>
        <v>0</v>
      </c>
      <c r="V2183" s="16">
        <f>0.5*'Gearing Calculator'!$C$15*'Gearing Calculator'!$C$20*'Gearing Calculator'!$W$20*('Track Data'!Q2183^2)</f>
        <v>180.36832271346125</v>
      </c>
      <c r="W2183" s="16">
        <f>('Gearing Calculator'!$U$9*'Track Data'!T2183)+'Track Data'!V2183</f>
        <v>1580.1356812692229</v>
      </c>
      <c r="X2183" s="16">
        <f>('Gearing Calculator'!$U$9*9.81)*('Gearing Calculator'!$U$16/'Gearing Calculator'!$C$7)-(('Track Data'!W2183)*('Gearing Calculator'!$U$17/'Gearing Calculator'!$C$7))</f>
        <v>539.88044034373297</v>
      </c>
      <c r="Y2183" s="16">
        <f>('Gearing Calculator'!$U$9*9.81)*(('Gearing Calculator'!$C$7-'Gearing Calculator'!$U$16)/'Gearing Calculator'!$C$7)+(('Track Data'!W2183)*('Gearing Calculator'!$U$17/'Gearing Calculator'!$C$7))</f>
        <v>2071.5415596562671</v>
      </c>
      <c r="Z2183" s="16">
        <f>((X2183*COS('Gearing Calculator'!$C$21))/'Gearing Calculator'!$C$22)/2</f>
        <v>16.691395719071824</v>
      </c>
      <c r="AA2183" s="16">
        <f>Y2183/'Gearing Calculator'!$C$24</f>
        <v>28.925668218874538</v>
      </c>
      <c r="AB2183" s="16">
        <f t="shared" si="240"/>
        <v>196.14331172798899</v>
      </c>
      <c r="AC2183" s="16">
        <v>0</v>
      </c>
      <c r="AD2183" s="16">
        <v>-51.415226335993196</v>
      </c>
      <c r="AE2183" s="16">
        <v>2180</v>
      </c>
      <c r="AF2183" s="16">
        <f>IF(AC2183=0,IF(O2183=6,INDEX(Acceleration!$V$4:$V$110,MATCH('Track Data'!S2183,Acceleration!$K$4:$K$110,0)),IF('Track Data'!O2183=5,INDEX(Acceleration!$U$4:$U$110,MATCH('Track Data'!S2183,Acceleration!$K$4:$K$110,0)),1)),U2183)</f>
        <v>1</v>
      </c>
      <c r="AG2183" s="16">
        <f>IF(AC2183=0,IF(O2183=4,INDEX(Acceleration!$T$4:$T$110,MATCH('Track Data'!S2183,Acceleration!$K$4:$K$110,0)),IF('Track Data'!O2183=3,INDEX(Acceleration!$S$4:$S$110,MATCH('Track Data'!S2183,Acceleration!$K$4:$K$110,0)),'Track Data'!AF2183)),'Track Data'!U2183)</f>
        <v>5.2583296715092471</v>
      </c>
      <c r="AH2183" s="16">
        <f>IF(AC2183=0,IF(O2183=2,INDEX(Acceleration!$R$4:$R$110,MATCH('Track Data'!S2183,Acceleration!$K$4:$K$110,0)),IF('Track Data'!O2183=1,INDEX(Acceleration!$Q$4:$Q$110,MATCH('Track Data'!S2183,Acceleration!$K$4:$K$110,0)),'Track Data'!AG2183)),'Track Data'!U2183)</f>
        <v>5.2583296715092471</v>
      </c>
    </row>
    <row r="2184" spans="2:34" x14ac:dyDescent="0.25">
      <c r="B2184" s="16">
        <v>253.066</v>
      </c>
      <c r="C2184" s="16">
        <v>9454</v>
      </c>
      <c r="D2184" s="16">
        <v>2181</v>
      </c>
      <c r="E2184" s="113">
        <v>152</v>
      </c>
      <c r="F2184" s="113">
        <v>141.80000000000001</v>
      </c>
      <c r="G2184" s="113">
        <v>134.1</v>
      </c>
      <c r="H2184" s="113">
        <f t="shared" si="243"/>
        <v>37.25</v>
      </c>
      <c r="I2184" s="113">
        <v>10</v>
      </c>
      <c r="J2184" s="113">
        <v>29.11</v>
      </c>
      <c r="K2184" s="113">
        <v>-48.8</v>
      </c>
      <c r="L2184" s="183"/>
      <c r="M2184" s="16">
        <v>2181</v>
      </c>
      <c r="N2184" s="16">
        <f t="shared" si="245"/>
        <v>2.4223940006716432E-2</v>
      </c>
      <c r="O2184" s="16">
        <v>3</v>
      </c>
      <c r="P2184" s="16">
        <f t="shared" si="241"/>
        <v>10.596205962059623</v>
      </c>
      <c r="Q2184" s="16">
        <f t="shared" si="246"/>
        <v>41.281476082038502</v>
      </c>
      <c r="R2184" s="113">
        <f t="shared" si="242"/>
        <v>345.36</v>
      </c>
      <c r="S2184" s="16">
        <f>IF(S2183=15800,15800,ROUND((((Q2184*60)/'Gearing Calculator'!$C$14)*'Track Data'!P2184),-2))</f>
        <v>13300</v>
      </c>
      <c r="T2184" s="16">
        <f t="shared" si="244"/>
        <v>5.2583296715092471</v>
      </c>
      <c r="U2184" s="16">
        <f>IF(AC2184=100,Braking!$AG$2354,IF(AC2184=50,Braking!$AG$1179,IF(AC2184=75,Braking!$AG$1767,0)))</f>
        <v>0</v>
      </c>
      <c r="V2184" s="16">
        <f>0.5*'Gearing Calculator'!$C$15*'Gearing Calculator'!$C$20*'Gearing Calculator'!$W$20*('Track Data'!Q2184^2)</f>
        <v>180.36832271346125</v>
      </c>
      <c r="W2184" s="16">
        <f>('Gearing Calculator'!$U$9*'Track Data'!T2184)+'Track Data'!V2184</f>
        <v>1580.1356812692229</v>
      </c>
      <c r="X2184" s="16">
        <f>('Gearing Calculator'!$U$9*9.81)*('Gearing Calculator'!$U$16/'Gearing Calculator'!$C$7)-(('Track Data'!W2184)*('Gearing Calculator'!$U$17/'Gearing Calculator'!$C$7))</f>
        <v>539.88044034373297</v>
      </c>
      <c r="Y2184" s="16">
        <f>('Gearing Calculator'!$U$9*9.81)*(('Gearing Calculator'!$C$7-'Gearing Calculator'!$U$16)/'Gearing Calculator'!$C$7)+(('Track Data'!W2184)*('Gearing Calculator'!$U$17/'Gearing Calculator'!$C$7))</f>
        <v>2071.5415596562671</v>
      </c>
      <c r="Z2184" s="16">
        <f>((X2184*COS('Gearing Calculator'!$C$21))/'Gearing Calculator'!$C$22)/2</f>
        <v>16.691395719071824</v>
      </c>
      <c r="AA2184" s="16">
        <f>Y2184/'Gearing Calculator'!$C$24</f>
        <v>28.925668218874538</v>
      </c>
      <c r="AB2184" s="16">
        <f t="shared" si="240"/>
        <v>196.14331172798899</v>
      </c>
      <c r="AC2184" s="16">
        <v>0</v>
      </c>
      <c r="AD2184" s="16">
        <v>-51.415226335993196</v>
      </c>
      <c r="AE2184" s="16">
        <v>2181</v>
      </c>
      <c r="AF2184" s="16">
        <f>IF(AC2184=0,IF(O2184=6,INDEX(Acceleration!$V$4:$V$110,MATCH('Track Data'!S2184,Acceleration!$K$4:$K$110,0)),IF('Track Data'!O2184=5,INDEX(Acceleration!$U$4:$U$110,MATCH('Track Data'!S2184,Acceleration!$K$4:$K$110,0)),1)),U2184)</f>
        <v>1</v>
      </c>
      <c r="AG2184" s="16">
        <f>IF(AC2184=0,IF(O2184=4,INDEX(Acceleration!$T$4:$T$110,MATCH('Track Data'!S2184,Acceleration!$K$4:$K$110,0)),IF('Track Data'!O2184=3,INDEX(Acceleration!$S$4:$S$110,MATCH('Track Data'!S2184,Acceleration!$K$4:$K$110,0)),'Track Data'!AF2184)),'Track Data'!U2184)</f>
        <v>5.2583296715092471</v>
      </c>
      <c r="AH2184" s="16">
        <f>IF(AC2184=0,IF(O2184=2,INDEX(Acceleration!$R$4:$R$110,MATCH('Track Data'!S2184,Acceleration!$K$4:$K$110,0)),IF('Track Data'!O2184=1,INDEX(Acceleration!$Q$4:$Q$110,MATCH('Track Data'!S2184,Acceleration!$K$4:$K$110,0)),'Track Data'!AG2184)),'Track Data'!U2184)</f>
        <v>5.2583296715092471</v>
      </c>
    </row>
    <row r="2185" spans="2:34" x14ac:dyDescent="0.25">
      <c r="B2185" s="16">
        <v>253.09100000000001</v>
      </c>
      <c r="C2185" s="16">
        <v>9455</v>
      </c>
      <c r="D2185" s="16">
        <v>2182</v>
      </c>
      <c r="E2185" s="113">
        <v>152</v>
      </c>
      <c r="F2185" s="113">
        <v>142.30000000000001</v>
      </c>
      <c r="G2185" s="113">
        <v>134.6</v>
      </c>
      <c r="H2185" s="113">
        <f t="shared" si="243"/>
        <v>37.388888888888886</v>
      </c>
      <c r="I2185" s="113">
        <v>11.6</v>
      </c>
      <c r="J2185" s="113">
        <v>27.23</v>
      </c>
      <c r="K2185" s="113">
        <v>-49.2</v>
      </c>
      <c r="L2185" s="183"/>
      <c r="M2185" s="16">
        <v>2182</v>
      </c>
      <c r="N2185" s="16">
        <f t="shared" si="245"/>
        <v>2.4223940006716432E-2</v>
      </c>
      <c r="O2185" s="16">
        <v>3</v>
      </c>
      <c r="P2185" s="16">
        <f t="shared" si="241"/>
        <v>10.596205962059623</v>
      </c>
      <c r="Q2185" s="16">
        <f t="shared" si="246"/>
        <v>41.281476082038502</v>
      </c>
      <c r="R2185" s="113">
        <f t="shared" si="242"/>
        <v>345.36</v>
      </c>
      <c r="S2185" s="16">
        <f>IF(S2184=15800,15800,ROUND((((Q2185*60)/'Gearing Calculator'!$C$14)*'Track Data'!P2185),-2))</f>
        <v>13300</v>
      </c>
      <c r="T2185" s="16">
        <f t="shared" si="244"/>
        <v>5.2583296715092471</v>
      </c>
      <c r="U2185" s="16">
        <f>IF(AC2185=100,Braking!$AG$2354,IF(AC2185=50,Braking!$AG$1179,IF(AC2185=75,Braking!$AG$1767,0)))</f>
        <v>0</v>
      </c>
      <c r="V2185" s="16">
        <f>0.5*'Gearing Calculator'!$C$15*'Gearing Calculator'!$C$20*'Gearing Calculator'!$W$20*('Track Data'!Q2185^2)</f>
        <v>180.36832271346125</v>
      </c>
      <c r="W2185" s="16">
        <f>('Gearing Calculator'!$U$9*'Track Data'!T2185)+'Track Data'!V2185</f>
        <v>1580.1356812692229</v>
      </c>
      <c r="X2185" s="16">
        <f>('Gearing Calculator'!$U$9*9.81)*('Gearing Calculator'!$U$16/'Gearing Calculator'!$C$7)-(('Track Data'!W2185)*('Gearing Calculator'!$U$17/'Gearing Calculator'!$C$7))</f>
        <v>539.88044034373297</v>
      </c>
      <c r="Y2185" s="16">
        <f>('Gearing Calculator'!$U$9*9.81)*(('Gearing Calculator'!$C$7-'Gearing Calculator'!$U$16)/'Gearing Calculator'!$C$7)+(('Track Data'!W2185)*('Gearing Calculator'!$U$17/'Gearing Calculator'!$C$7))</f>
        <v>2071.5415596562671</v>
      </c>
      <c r="Z2185" s="16">
        <f>((X2185*COS('Gearing Calculator'!$C$21))/'Gearing Calculator'!$C$22)/2</f>
        <v>16.691395719071824</v>
      </c>
      <c r="AA2185" s="16">
        <f>Y2185/'Gearing Calculator'!$C$24</f>
        <v>28.925668218874538</v>
      </c>
      <c r="AB2185" s="16">
        <f t="shared" si="240"/>
        <v>196.14331172798899</v>
      </c>
      <c r="AC2185" s="16">
        <v>0</v>
      </c>
      <c r="AD2185" s="16">
        <v>-51.415226335993196</v>
      </c>
      <c r="AE2185" s="16">
        <v>2182</v>
      </c>
      <c r="AF2185" s="16">
        <f>IF(AC2185=0,IF(O2185=6,INDEX(Acceleration!$V$4:$V$110,MATCH('Track Data'!S2185,Acceleration!$K$4:$K$110,0)),IF('Track Data'!O2185=5,INDEX(Acceleration!$U$4:$U$110,MATCH('Track Data'!S2185,Acceleration!$K$4:$K$110,0)),1)),U2185)</f>
        <v>1</v>
      </c>
      <c r="AG2185" s="16">
        <f>IF(AC2185=0,IF(O2185=4,INDEX(Acceleration!$T$4:$T$110,MATCH('Track Data'!S2185,Acceleration!$K$4:$K$110,0)),IF('Track Data'!O2185=3,INDEX(Acceleration!$S$4:$S$110,MATCH('Track Data'!S2185,Acceleration!$K$4:$K$110,0)),'Track Data'!AF2185)),'Track Data'!U2185)</f>
        <v>5.2583296715092471</v>
      </c>
      <c r="AH2185" s="16">
        <f>IF(AC2185=0,IF(O2185=2,INDEX(Acceleration!$R$4:$R$110,MATCH('Track Data'!S2185,Acceleration!$K$4:$K$110,0)),IF('Track Data'!O2185=1,INDEX(Acceleration!$Q$4:$Q$110,MATCH('Track Data'!S2185,Acceleration!$K$4:$K$110,0)),'Track Data'!AG2185)),'Track Data'!U2185)</f>
        <v>5.2583296715092471</v>
      </c>
    </row>
    <row r="2186" spans="2:34" x14ac:dyDescent="0.25">
      <c r="B2186" s="16">
        <v>253.11600000000001</v>
      </c>
      <c r="C2186" s="16">
        <v>9456</v>
      </c>
      <c r="D2186" s="16">
        <v>2183</v>
      </c>
      <c r="E2186" s="113">
        <v>152</v>
      </c>
      <c r="F2186" s="113">
        <v>142.69999999999999</v>
      </c>
      <c r="G2186" s="113">
        <v>134.9</v>
      </c>
      <c r="H2186" s="113">
        <f t="shared" si="243"/>
        <v>37.472222222222221</v>
      </c>
      <c r="I2186" s="113">
        <v>13</v>
      </c>
      <c r="J2186" s="113">
        <v>26.14</v>
      </c>
      <c r="K2186" s="113">
        <v>-49.4</v>
      </c>
      <c r="L2186" s="183"/>
      <c r="M2186" s="16">
        <v>2183</v>
      </c>
      <c r="N2186" s="16">
        <f t="shared" si="245"/>
        <v>2.4223940006716432E-2</v>
      </c>
      <c r="O2186" s="16">
        <v>3</v>
      </c>
      <c r="P2186" s="16">
        <f t="shared" si="241"/>
        <v>10.596205962059623</v>
      </c>
      <c r="Q2186" s="16">
        <f t="shared" si="246"/>
        <v>41.281476082038502</v>
      </c>
      <c r="R2186" s="113">
        <f t="shared" si="242"/>
        <v>345.36</v>
      </c>
      <c r="S2186" s="16">
        <f>IF(S2185=15800,15800,ROUND((((Q2186*60)/'Gearing Calculator'!$C$14)*'Track Data'!P2186),-2))</f>
        <v>13300</v>
      </c>
      <c r="T2186" s="16">
        <f t="shared" si="244"/>
        <v>5.2583296715092471</v>
      </c>
      <c r="U2186" s="16">
        <f>IF(AC2186=100,Braking!$AG$2354,IF(AC2186=50,Braking!$AG$1179,IF(AC2186=75,Braking!$AG$1767,0)))</f>
        <v>0</v>
      </c>
      <c r="V2186" s="16">
        <f>0.5*'Gearing Calculator'!$C$15*'Gearing Calculator'!$C$20*'Gearing Calculator'!$W$20*('Track Data'!Q2186^2)</f>
        <v>180.36832271346125</v>
      </c>
      <c r="W2186" s="16">
        <f>('Gearing Calculator'!$U$9*'Track Data'!T2186)+'Track Data'!V2186</f>
        <v>1580.1356812692229</v>
      </c>
      <c r="X2186" s="16">
        <f>('Gearing Calculator'!$U$9*9.81)*('Gearing Calculator'!$U$16/'Gearing Calculator'!$C$7)-(('Track Data'!W2186)*('Gearing Calculator'!$U$17/'Gearing Calculator'!$C$7))</f>
        <v>539.88044034373297</v>
      </c>
      <c r="Y2186" s="16">
        <f>('Gearing Calculator'!$U$9*9.81)*(('Gearing Calculator'!$C$7-'Gearing Calculator'!$U$16)/'Gearing Calculator'!$C$7)+(('Track Data'!W2186)*('Gearing Calculator'!$U$17/'Gearing Calculator'!$C$7))</f>
        <v>2071.5415596562671</v>
      </c>
      <c r="Z2186" s="16">
        <f>((X2186*COS('Gearing Calculator'!$C$21))/'Gearing Calculator'!$C$22)/2</f>
        <v>16.691395719071824</v>
      </c>
      <c r="AA2186" s="16">
        <f>Y2186/'Gearing Calculator'!$C$24</f>
        <v>28.925668218874538</v>
      </c>
      <c r="AB2186" s="16">
        <f t="shared" si="240"/>
        <v>196.14331172798899</v>
      </c>
      <c r="AC2186" s="16">
        <v>0</v>
      </c>
      <c r="AD2186" s="16">
        <v>-51.415226335993196</v>
      </c>
      <c r="AE2186" s="16">
        <v>2183</v>
      </c>
      <c r="AF2186" s="16">
        <f>IF(AC2186=0,IF(O2186=6,INDEX(Acceleration!$V$4:$V$110,MATCH('Track Data'!S2186,Acceleration!$K$4:$K$110,0)),IF('Track Data'!O2186=5,INDEX(Acceleration!$U$4:$U$110,MATCH('Track Data'!S2186,Acceleration!$K$4:$K$110,0)),1)),U2186)</f>
        <v>1</v>
      </c>
      <c r="AG2186" s="16">
        <f>IF(AC2186=0,IF(O2186=4,INDEX(Acceleration!$T$4:$T$110,MATCH('Track Data'!S2186,Acceleration!$K$4:$K$110,0)),IF('Track Data'!O2186=3,INDEX(Acceleration!$S$4:$S$110,MATCH('Track Data'!S2186,Acceleration!$K$4:$K$110,0)),'Track Data'!AF2186)),'Track Data'!U2186)</f>
        <v>5.2583296715092471</v>
      </c>
      <c r="AH2186" s="16">
        <f>IF(AC2186=0,IF(O2186=2,INDEX(Acceleration!$R$4:$R$110,MATCH('Track Data'!S2186,Acceleration!$K$4:$K$110,0)),IF('Track Data'!O2186=1,INDEX(Acceleration!$Q$4:$Q$110,MATCH('Track Data'!S2186,Acceleration!$K$4:$K$110,0)),'Track Data'!AG2186)),'Track Data'!U2186)</f>
        <v>5.2583296715092471</v>
      </c>
    </row>
    <row r="2187" spans="2:34" x14ac:dyDescent="0.25">
      <c r="B2187" s="16">
        <v>253.14099999999999</v>
      </c>
      <c r="C2187" s="16">
        <v>9457</v>
      </c>
      <c r="D2187" s="16">
        <v>2184</v>
      </c>
      <c r="E2187" s="113">
        <v>153</v>
      </c>
      <c r="F2187" s="113">
        <v>142.9</v>
      </c>
      <c r="G2187" s="113">
        <v>135.5</v>
      </c>
      <c r="H2187" s="113">
        <f t="shared" si="243"/>
        <v>37.638888888888886</v>
      </c>
      <c r="I2187" s="113">
        <v>13.1</v>
      </c>
      <c r="J2187" s="113">
        <v>26</v>
      </c>
      <c r="K2187" s="113">
        <v>-41.1</v>
      </c>
      <c r="L2187" s="183"/>
      <c r="M2187" s="16">
        <v>2184</v>
      </c>
      <c r="N2187" s="16">
        <f t="shared" si="245"/>
        <v>2.4223940006716432E-2</v>
      </c>
      <c r="O2187" s="16">
        <v>3</v>
      </c>
      <c r="P2187" s="16">
        <f t="shared" si="241"/>
        <v>10.596205962059623</v>
      </c>
      <c r="Q2187" s="16">
        <f t="shared" si="246"/>
        <v>41.281476082038502</v>
      </c>
      <c r="R2187" s="113">
        <f t="shared" si="242"/>
        <v>345.36</v>
      </c>
      <c r="S2187" s="16">
        <f>IF(S2186=15800,15800,ROUND((((Q2187*60)/'Gearing Calculator'!$C$14)*'Track Data'!P2187),-2))</f>
        <v>13300</v>
      </c>
      <c r="T2187" s="16">
        <f t="shared" si="244"/>
        <v>5.2583296715092471</v>
      </c>
      <c r="U2187" s="16">
        <f>IF(AC2187=100,Braking!$AG$2354,IF(AC2187=50,Braking!$AG$1179,IF(AC2187=75,Braking!$AG$1767,0)))</f>
        <v>0</v>
      </c>
      <c r="V2187" s="16">
        <f>0.5*'Gearing Calculator'!$C$15*'Gearing Calculator'!$C$20*'Gearing Calculator'!$W$20*('Track Data'!Q2187^2)</f>
        <v>180.36832271346125</v>
      </c>
      <c r="W2187" s="16">
        <f>('Gearing Calculator'!$U$9*'Track Data'!T2187)+'Track Data'!V2187</f>
        <v>1580.1356812692229</v>
      </c>
      <c r="X2187" s="16">
        <f>('Gearing Calculator'!$U$9*9.81)*('Gearing Calculator'!$U$16/'Gearing Calculator'!$C$7)-(('Track Data'!W2187)*('Gearing Calculator'!$U$17/'Gearing Calculator'!$C$7))</f>
        <v>539.88044034373297</v>
      </c>
      <c r="Y2187" s="16">
        <f>('Gearing Calculator'!$U$9*9.81)*(('Gearing Calculator'!$C$7-'Gearing Calculator'!$U$16)/'Gearing Calculator'!$C$7)+(('Track Data'!W2187)*('Gearing Calculator'!$U$17/'Gearing Calculator'!$C$7))</f>
        <v>2071.5415596562671</v>
      </c>
      <c r="Z2187" s="16">
        <f>((X2187*COS('Gearing Calculator'!$C$21))/'Gearing Calculator'!$C$22)/2</f>
        <v>16.691395719071824</v>
      </c>
      <c r="AA2187" s="16">
        <f>Y2187/'Gearing Calculator'!$C$24</f>
        <v>28.925668218874538</v>
      </c>
      <c r="AB2187" s="16">
        <f t="shared" si="240"/>
        <v>196.14331172798899</v>
      </c>
      <c r="AC2187" s="16">
        <v>0</v>
      </c>
      <c r="AD2187" s="16">
        <v>-51.415226335993196</v>
      </c>
      <c r="AE2187" s="16">
        <v>2184</v>
      </c>
      <c r="AF2187" s="16">
        <f>IF(AC2187=0,IF(O2187=6,INDEX(Acceleration!$V$4:$V$110,MATCH('Track Data'!S2187,Acceleration!$K$4:$K$110,0)),IF('Track Data'!O2187=5,INDEX(Acceleration!$U$4:$U$110,MATCH('Track Data'!S2187,Acceleration!$K$4:$K$110,0)),1)),U2187)</f>
        <v>1</v>
      </c>
      <c r="AG2187" s="16">
        <f>IF(AC2187=0,IF(O2187=4,INDEX(Acceleration!$T$4:$T$110,MATCH('Track Data'!S2187,Acceleration!$K$4:$K$110,0)),IF('Track Data'!O2187=3,INDEX(Acceleration!$S$4:$S$110,MATCH('Track Data'!S2187,Acceleration!$K$4:$K$110,0)),'Track Data'!AF2187)),'Track Data'!U2187)</f>
        <v>5.2583296715092471</v>
      </c>
      <c r="AH2187" s="16">
        <f>IF(AC2187=0,IF(O2187=2,INDEX(Acceleration!$R$4:$R$110,MATCH('Track Data'!S2187,Acceleration!$K$4:$K$110,0)),IF('Track Data'!O2187=1,INDEX(Acceleration!$Q$4:$Q$110,MATCH('Track Data'!S2187,Acceleration!$K$4:$K$110,0)),'Track Data'!AG2187)),'Track Data'!U2187)</f>
        <v>5.2583296715092471</v>
      </c>
    </row>
    <row r="2188" spans="2:34" x14ac:dyDescent="0.25">
      <c r="B2188" s="16">
        <v>253.166</v>
      </c>
      <c r="C2188" s="16">
        <v>9458</v>
      </c>
      <c r="D2188" s="16">
        <v>2185</v>
      </c>
      <c r="E2188" s="113">
        <v>154</v>
      </c>
      <c r="F2188" s="113">
        <v>143.1</v>
      </c>
      <c r="G2188" s="113">
        <v>135.9</v>
      </c>
      <c r="H2188" s="113">
        <f t="shared" si="243"/>
        <v>37.75</v>
      </c>
      <c r="I2188" s="113">
        <v>12.7</v>
      </c>
      <c r="J2188" s="113">
        <v>24.98</v>
      </c>
      <c r="K2188" s="113">
        <v>-34</v>
      </c>
      <c r="L2188" s="183"/>
      <c r="M2188" s="16">
        <v>2185</v>
      </c>
      <c r="N2188" s="16">
        <f t="shared" si="245"/>
        <v>2.4223940006716432E-2</v>
      </c>
      <c r="O2188" s="16">
        <v>3</v>
      </c>
      <c r="P2188" s="16">
        <f t="shared" si="241"/>
        <v>10.596205962059623</v>
      </c>
      <c r="Q2188" s="16">
        <f t="shared" si="246"/>
        <v>41.281476082038502</v>
      </c>
      <c r="R2188" s="113">
        <f t="shared" si="242"/>
        <v>345.36</v>
      </c>
      <c r="S2188" s="16">
        <f>IF(S2187=15800,15800,ROUND((((Q2188*60)/'Gearing Calculator'!$C$14)*'Track Data'!P2188),-2))</f>
        <v>13300</v>
      </c>
      <c r="T2188" s="16">
        <f t="shared" si="244"/>
        <v>5.2583296715092471</v>
      </c>
      <c r="U2188" s="16">
        <f>IF(AC2188=100,Braking!$AG$2354,IF(AC2188=50,Braking!$AG$1179,IF(AC2188=75,Braking!$AG$1767,0)))</f>
        <v>0</v>
      </c>
      <c r="V2188" s="16">
        <f>0.5*'Gearing Calculator'!$C$15*'Gearing Calculator'!$C$20*'Gearing Calculator'!$W$20*('Track Data'!Q2188^2)</f>
        <v>180.36832271346125</v>
      </c>
      <c r="W2188" s="16">
        <f>('Gearing Calculator'!$U$9*'Track Data'!T2188)+'Track Data'!V2188</f>
        <v>1580.1356812692229</v>
      </c>
      <c r="X2188" s="16">
        <f>('Gearing Calculator'!$U$9*9.81)*('Gearing Calculator'!$U$16/'Gearing Calculator'!$C$7)-(('Track Data'!W2188)*('Gearing Calculator'!$U$17/'Gearing Calculator'!$C$7))</f>
        <v>539.88044034373297</v>
      </c>
      <c r="Y2188" s="16">
        <f>('Gearing Calculator'!$U$9*9.81)*(('Gearing Calculator'!$C$7-'Gearing Calculator'!$U$16)/'Gearing Calculator'!$C$7)+(('Track Data'!W2188)*('Gearing Calculator'!$U$17/'Gearing Calculator'!$C$7))</f>
        <v>2071.5415596562671</v>
      </c>
      <c r="Z2188" s="16">
        <f>((X2188*COS('Gearing Calculator'!$C$21))/'Gearing Calculator'!$C$22)/2</f>
        <v>16.691395719071824</v>
      </c>
      <c r="AA2188" s="16">
        <f>Y2188/'Gearing Calculator'!$C$24</f>
        <v>28.925668218874538</v>
      </c>
      <c r="AB2188" s="16">
        <f t="shared" si="240"/>
        <v>196.14331172798899</v>
      </c>
      <c r="AC2188" s="16">
        <v>0</v>
      </c>
      <c r="AD2188" s="16">
        <v>-51.415226335993196</v>
      </c>
      <c r="AE2188" s="16">
        <v>2185</v>
      </c>
      <c r="AF2188" s="16">
        <f>IF(AC2188=0,IF(O2188=6,INDEX(Acceleration!$V$4:$V$110,MATCH('Track Data'!S2188,Acceleration!$K$4:$K$110,0)),IF('Track Data'!O2188=5,INDEX(Acceleration!$U$4:$U$110,MATCH('Track Data'!S2188,Acceleration!$K$4:$K$110,0)),1)),U2188)</f>
        <v>1</v>
      </c>
      <c r="AG2188" s="16">
        <f>IF(AC2188=0,IF(O2188=4,INDEX(Acceleration!$T$4:$T$110,MATCH('Track Data'!S2188,Acceleration!$K$4:$K$110,0)),IF('Track Data'!O2188=3,INDEX(Acceleration!$S$4:$S$110,MATCH('Track Data'!S2188,Acceleration!$K$4:$K$110,0)),'Track Data'!AF2188)),'Track Data'!U2188)</f>
        <v>5.2583296715092471</v>
      </c>
      <c r="AH2188" s="16">
        <f>IF(AC2188=0,IF(O2188=2,INDEX(Acceleration!$R$4:$R$110,MATCH('Track Data'!S2188,Acceleration!$K$4:$K$110,0)),IF('Track Data'!O2188=1,INDEX(Acceleration!$Q$4:$Q$110,MATCH('Track Data'!S2188,Acceleration!$K$4:$K$110,0)),'Track Data'!AG2188)),'Track Data'!U2188)</f>
        <v>5.2583296715092471</v>
      </c>
    </row>
    <row r="2189" spans="2:34" x14ac:dyDescent="0.25">
      <c r="B2189" s="16">
        <v>253.191</v>
      </c>
      <c r="C2189" s="16">
        <v>9459</v>
      </c>
      <c r="D2189" s="16">
        <v>2186</v>
      </c>
      <c r="E2189" s="113">
        <v>154</v>
      </c>
      <c r="F2189" s="113">
        <v>143.5</v>
      </c>
      <c r="G2189" s="113">
        <v>136.5</v>
      </c>
      <c r="H2189" s="113">
        <f t="shared" si="243"/>
        <v>37.916666666666664</v>
      </c>
      <c r="I2189" s="113">
        <v>12.3</v>
      </c>
      <c r="J2189" s="113">
        <v>22.01</v>
      </c>
      <c r="K2189" s="113">
        <v>-23.4</v>
      </c>
      <c r="L2189" s="183"/>
      <c r="M2189" s="16">
        <v>2186</v>
      </c>
      <c r="N2189" s="16">
        <f t="shared" si="245"/>
        <v>2.4223940006716432E-2</v>
      </c>
      <c r="O2189" s="16">
        <v>3</v>
      </c>
      <c r="P2189" s="16">
        <f t="shared" si="241"/>
        <v>10.596205962059623</v>
      </c>
      <c r="Q2189" s="16">
        <f t="shared" si="246"/>
        <v>41.281476082038502</v>
      </c>
      <c r="R2189" s="113">
        <f t="shared" si="242"/>
        <v>345.36</v>
      </c>
      <c r="S2189" s="16">
        <f>IF(S2188=15800,15800,ROUND((((Q2189*60)/'Gearing Calculator'!$C$14)*'Track Data'!P2189),-2))</f>
        <v>13300</v>
      </c>
      <c r="T2189" s="16">
        <f t="shared" si="244"/>
        <v>5.2583296715092471</v>
      </c>
      <c r="U2189" s="16">
        <f>IF(AC2189=100,Braking!$AG$2354,IF(AC2189=50,Braking!$AG$1179,IF(AC2189=75,Braking!$AG$1767,0)))</f>
        <v>0</v>
      </c>
      <c r="V2189" s="16">
        <f>0.5*'Gearing Calculator'!$C$15*'Gearing Calculator'!$C$20*'Gearing Calculator'!$W$20*('Track Data'!Q2189^2)</f>
        <v>180.36832271346125</v>
      </c>
      <c r="W2189" s="16">
        <f>('Gearing Calculator'!$U$9*'Track Data'!T2189)+'Track Data'!V2189</f>
        <v>1580.1356812692229</v>
      </c>
      <c r="X2189" s="16">
        <f>('Gearing Calculator'!$U$9*9.81)*('Gearing Calculator'!$U$16/'Gearing Calculator'!$C$7)-(('Track Data'!W2189)*('Gearing Calculator'!$U$17/'Gearing Calculator'!$C$7))</f>
        <v>539.88044034373297</v>
      </c>
      <c r="Y2189" s="16">
        <f>('Gearing Calculator'!$U$9*9.81)*(('Gearing Calculator'!$C$7-'Gearing Calculator'!$U$16)/'Gearing Calculator'!$C$7)+(('Track Data'!W2189)*('Gearing Calculator'!$U$17/'Gearing Calculator'!$C$7))</f>
        <v>2071.5415596562671</v>
      </c>
      <c r="Z2189" s="16">
        <f>((X2189*COS('Gearing Calculator'!$C$21))/'Gearing Calculator'!$C$22)/2</f>
        <v>16.691395719071824</v>
      </c>
      <c r="AA2189" s="16">
        <f>Y2189/'Gearing Calculator'!$C$24</f>
        <v>28.925668218874538</v>
      </c>
      <c r="AB2189" s="16">
        <f t="shared" si="240"/>
        <v>196.14331172798899</v>
      </c>
      <c r="AC2189" s="16">
        <v>0</v>
      </c>
      <c r="AD2189" s="16">
        <v>-51.415226335993196</v>
      </c>
      <c r="AE2189" s="16">
        <v>2186</v>
      </c>
      <c r="AF2189" s="16">
        <f>IF(AC2189=0,IF(O2189=6,INDEX(Acceleration!$V$4:$V$110,MATCH('Track Data'!S2189,Acceleration!$K$4:$K$110,0)),IF('Track Data'!O2189=5,INDEX(Acceleration!$U$4:$U$110,MATCH('Track Data'!S2189,Acceleration!$K$4:$K$110,0)),1)),U2189)</f>
        <v>1</v>
      </c>
      <c r="AG2189" s="16">
        <f>IF(AC2189=0,IF(O2189=4,INDEX(Acceleration!$T$4:$T$110,MATCH('Track Data'!S2189,Acceleration!$K$4:$K$110,0)),IF('Track Data'!O2189=3,INDEX(Acceleration!$S$4:$S$110,MATCH('Track Data'!S2189,Acceleration!$K$4:$K$110,0)),'Track Data'!AF2189)),'Track Data'!U2189)</f>
        <v>5.2583296715092471</v>
      </c>
      <c r="AH2189" s="16">
        <f>IF(AC2189=0,IF(O2189=2,INDEX(Acceleration!$R$4:$R$110,MATCH('Track Data'!S2189,Acceleration!$K$4:$K$110,0)),IF('Track Data'!O2189=1,INDEX(Acceleration!$Q$4:$Q$110,MATCH('Track Data'!S2189,Acceleration!$K$4:$K$110,0)),'Track Data'!AG2189)),'Track Data'!U2189)</f>
        <v>5.2583296715092471</v>
      </c>
    </row>
    <row r="2190" spans="2:34" x14ac:dyDescent="0.25">
      <c r="B2190" s="16">
        <v>253.21700000000001</v>
      </c>
      <c r="C2190" s="16">
        <v>9460</v>
      </c>
      <c r="D2190" s="16">
        <v>2187</v>
      </c>
      <c r="E2190" s="113">
        <v>155</v>
      </c>
      <c r="F2190" s="113">
        <v>143.9</v>
      </c>
      <c r="G2190" s="113">
        <v>136.80000000000001</v>
      </c>
      <c r="H2190" s="113">
        <f t="shared" si="243"/>
        <v>38</v>
      </c>
      <c r="I2190" s="113">
        <v>11.4</v>
      </c>
      <c r="J2190" s="113">
        <v>21.23</v>
      </c>
      <c r="K2190" s="113">
        <v>-26.6</v>
      </c>
      <c r="L2190" s="183"/>
      <c r="M2190" s="16">
        <v>2187</v>
      </c>
      <c r="N2190" s="16">
        <f t="shared" si="245"/>
        <v>2.4223940006716432E-2</v>
      </c>
      <c r="O2190" s="16">
        <v>3</v>
      </c>
      <c r="P2190" s="16">
        <f t="shared" si="241"/>
        <v>10.596205962059623</v>
      </c>
      <c r="Q2190" s="16">
        <f t="shared" si="246"/>
        <v>41.281476082038502</v>
      </c>
      <c r="R2190" s="113">
        <f t="shared" si="242"/>
        <v>345.36</v>
      </c>
      <c r="S2190" s="16">
        <f>IF(S2189=15800,15800,ROUND((((Q2190*60)/'Gearing Calculator'!$C$14)*'Track Data'!P2190),-2))</f>
        <v>13300</v>
      </c>
      <c r="T2190" s="16">
        <f t="shared" si="244"/>
        <v>5.2583296715092471</v>
      </c>
      <c r="U2190" s="16">
        <f>IF(AC2190=100,Braking!$AG$2354,IF(AC2190=50,Braking!$AG$1179,IF(AC2190=75,Braking!$AG$1767,0)))</f>
        <v>0</v>
      </c>
      <c r="V2190" s="16">
        <f>0.5*'Gearing Calculator'!$C$15*'Gearing Calculator'!$C$20*'Gearing Calculator'!$W$20*('Track Data'!Q2190^2)</f>
        <v>180.36832271346125</v>
      </c>
      <c r="W2190" s="16">
        <f>('Gearing Calculator'!$U$9*'Track Data'!T2190)+'Track Data'!V2190</f>
        <v>1580.1356812692229</v>
      </c>
      <c r="X2190" s="16">
        <f>('Gearing Calculator'!$U$9*9.81)*('Gearing Calculator'!$U$16/'Gearing Calculator'!$C$7)-(('Track Data'!W2190)*('Gearing Calculator'!$U$17/'Gearing Calculator'!$C$7))</f>
        <v>539.88044034373297</v>
      </c>
      <c r="Y2190" s="16">
        <f>('Gearing Calculator'!$U$9*9.81)*(('Gearing Calculator'!$C$7-'Gearing Calculator'!$U$16)/'Gearing Calculator'!$C$7)+(('Track Data'!W2190)*('Gearing Calculator'!$U$17/'Gearing Calculator'!$C$7))</f>
        <v>2071.5415596562671</v>
      </c>
      <c r="Z2190" s="16">
        <f>((X2190*COS('Gearing Calculator'!$C$21))/'Gearing Calculator'!$C$22)/2</f>
        <v>16.691395719071824</v>
      </c>
      <c r="AA2190" s="16">
        <f>Y2190/'Gearing Calculator'!$C$24</f>
        <v>28.925668218874538</v>
      </c>
      <c r="AB2190" s="16">
        <f t="shared" si="240"/>
        <v>196.14331172798899</v>
      </c>
      <c r="AC2190" s="16">
        <v>0</v>
      </c>
      <c r="AD2190" s="16">
        <v>-51.415226335993196</v>
      </c>
      <c r="AE2190" s="16">
        <v>2187</v>
      </c>
      <c r="AF2190" s="16">
        <f>IF(AC2190=0,IF(O2190=6,INDEX(Acceleration!$V$4:$V$110,MATCH('Track Data'!S2190,Acceleration!$K$4:$K$110,0)),IF('Track Data'!O2190=5,INDEX(Acceleration!$U$4:$U$110,MATCH('Track Data'!S2190,Acceleration!$K$4:$K$110,0)),1)),U2190)</f>
        <v>1</v>
      </c>
      <c r="AG2190" s="16">
        <f>IF(AC2190=0,IF(O2190=4,INDEX(Acceleration!$T$4:$T$110,MATCH('Track Data'!S2190,Acceleration!$K$4:$K$110,0)),IF('Track Data'!O2190=3,INDEX(Acceleration!$S$4:$S$110,MATCH('Track Data'!S2190,Acceleration!$K$4:$K$110,0)),'Track Data'!AF2190)),'Track Data'!U2190)</f>
        <v>5.2583296715092471</v>
      </c>
      <c r="AH2190" s="16">
        <f>IF(AC2190=0,IF(O2190=2,INDEX(Acceleration!$R$4:$R$110,MATCH('Track Data'!S2190,Acceleration!$K$4:$K$110,0)),IF('Track Data'!O2190=1,INDEX(Acceleration!$Q$4:$Q$110,MATCH('Track Data'!S2190,Acceleration!$K$4:$K$110,0)),'Track Data'!AG2190)),'Track Data'!U2190)</f>
        <v>5.2583296715092471</v>
      </c>
    </row>
    <row r="2191" spans="2:34" x14ac:dyDescent="0.25">
      <c r="B2191" s="16">
        <v>253.24100000000001</v>
      </c>
      <c r="C2191" s="16">
        <v>9461</v>
      </c>
      <c r="D2191" s="16">
        <v>2188</v>
      </c>
      <c r="E2191" s="113">
        <v>156</v>
      </c>
      <c r="F2191" s="113">
        <v>144.6</v>
      </c>
      <c r="G2191" s="113">
        <v>137.5</v>
      </c>
      <c r="H2191" s="113">
        <f t="shared" si="243"/>
        <v>38.194444444444443</v>
      </c>
      <c r="I2191" s="113">
        <v>9.6</v>
      </c>
      <c r="J2191" s="113">
        <v>20.399999999999999</v>
      </c>
      <c r="K2191" s="113">
        <v>-38.299999999999997</v>
      </c>
      <c r="L2191" s="183"/>
      <c r="M2191" s="16">
        <v>2188</v>
      </c>
      <c r="N2191" s="16">
        <f t="shared" si="245"/>
        <v>2.4223940006716432E-2</v>
      </c>
      <c r="O2191" s="16">
        <v>3</v>
      </c>
      <c r="P2191" s="16">
        <f t="shared" si="241"/>
        <v>10.596205962059623</v>
      </c>
      <c r="Q2191" s="16">
        <f t="shared" si="246"/>
        <v>41.281476082038502</v>
      </c>
      <c r="R2191" s="113">
        <f t="shared" si="242"/>
        <v>345.36</v>
      </c>
      <c r="S2191" s="16">
        <f>IF(S2190=15800,15800,ROUND((((Q2191*60)/'Gearing Calculator'!$C$14)*'Track Data'!P2191),-2))</f>
        <v>13300</v>
      </c>
      <c r="T2191" s="16">
        <f t="shared" si="244"/>
        <v>5.2583296715092471</v>
      </c>
      <c r="U2191" s="16">
        <f>IF(AC2191=100,Braking!$AG$2354,IF(AC2191=50,Braking!$AG$1179,IF(AC2191=75,Braking!$AG$1767,0)))</f>
        <v>0</v>
      </c>
      <c r="V2191" s="16">
        <f>0.5*'Gearing Calculator'!$C$15*'Gearing Calculator'!$C$20*'Gearing Calculator'!$W$20*('Track Data'!Q2191^2)</f>
        <v>180.36832271346125</v>
      </c>
      <c r="W2191" s="16">
        <f>('Gearing Calculator'!$U$9*'Track Data'!T2191)+'Track Data'!V2191</f>
        <v>1580.1356812692229</v>
      </c>
      <c r="X2191" s="16">
        <f>('Gearing Calculator'!$U$9*9.81)*('Gearing Calculator'!$U$16/'Gearing Calculator'!$C$7)-(('Track Data'!W2191)*('Gearing Calculator'!$U$17/'Gearing Calculator'!$C$7))</f>
        <v>539.88044034373297</v>
      </c>
      <c r="Y2191" s="16">
        <f>('Gearing Calculator'!$U$9*9.81)*(('Gearing Calculator'!$C$7-'Gearing Calculator'!$U$16)/'Gearing Calculator'!$C$7)+(('Track Data'!W2191)*('Gearing Calculator'!$U$17/'Gearing Calculator'!$C$7))</f>
        <v>2071.5415596562671</v>
      </c>
      <c r="Z2191" s="16">
        <f>((X2191*COS('Gearing Calculator'!$C$21))/'Gearing Calculator'!$C$22)/2</f>
        <v>16.691395719071824</v>
      </c>
      <c r="AA2191" s="16">
        <f>Y2191/'Gearing Calculator'!$C$24</f>
        <v>28.925668218874538</v>
      </c>
      <c r="AB2191" s="16">
        <f t="shared" si="240"/>
        <v>196.14331172798899</v>
      </c>
      <c r="AC2191" s="16">
        <v>0</v>
      </c>
      <c r="AD2191" s="16">
        <v>-51.415226335993196</v>
      </c>
      <c r="AE2191" s="16">
        <v>2188</v>
      </c>
      <c r="AF2191" s="16">
        <f>IF(AC2191=0,IF(O2191=6,INDEX(Acceleration!$V$4:$V$110,MATCH('Track Data'!S2191,Acceleration!$K$4:$K$110,0)),IF('Track Data'!O2191=5,INDEX(Acceleration!$U$4:$U$110,MATCH('Track Data'!S2191,Acceleration!$K$4:$K$110,0)),1)),U2191)</f>
        <v>1</v>
      </c>
      <c r="AG2191" s="16">
        <f>IF(AC2191=0,IF(O2191=4,INDEX(Acceleration!$T$4:$T$110,MATCH('Track Data'!S2191,Acceleration!$K$4:$K$110,0)),IF('Track Data'!O2191=3,INDEX(Acceleration!$S$4:$S$110,MATCH('Track Data'!S2191,Acceleration!$K$4:$K$110,0)),'Track Data'!AF2191)),'Track Data'!U2191)</f>
        <v>5.2583296715092471</v>
      </c>
      <c r="AH2191" s="16">
        <f>IF(AC2191=0,IF(O2191=2,INDEX(Acceleration!$R$4:$R$110,MATCH('Track Data'!S2191,Acceleration!$K$4:$K$110,0)),IF('Track Data'!O2191=1,INDEX(Acceleration!$Q$4:$Q$110,MATCH('Track Data'!S2191,Acceleration!$K$4:$K$110,0)),'Track Data'!AG2191)),'Track Data'!U2191)</f>
        <v>5.2583296715092471</v>
      </c>
    </row>
    <row r="2192" spans="2:34" x14ac:dyDescent="0.25">
      <c r="B2192" s="16">
        <v>253.26599999999999</v>
      </c>
      <c r="C2192" s="16">
        <v>9462</v>
      </c>
      <c r="D2192" s="16">
        <v>2189</v>
      </c>
      <c r="E2192" s="113">
        <v>157</v>
      </c>
      <c r="F2192" s="113">
        <v>145</v>
      </c>
      <c r="G2192" s="113">
        <v>137.9</v>
      </c>
      <c r="H2192" s="113">
        <f t="shared" si="243"/>
        <v>38.305555555555557</v>
      </c>
      <c r="I2192" s="113">
        <v>9</v>
      </c>
      <c r="J2192" s="113">
        <v>21.14</v>
      </c>
      <c r="K2192" s="113">
        <v>-46.1</v>
      </c>
      <c r="L2192" s="183"/>
      <c r="M2192" s="16">
        <v>2189</v>
      </c>
      <c r="N2192" s="16">
        <f t="shared" si="245"/>
        <v>2.4223940006716432E-2</v>
      </c>
      <c r="O2192" s="16">
        <v>3</v>
      </c>
      <c r="P2192" s="16">
        <f t="shared" si="241"/>
        <v>10.596205962059623</v>
      </c>
      <c r="Q2192" s="16">
        <f t="shared" si="246"/>
        <v>41.281476082038502</v>
      </c>
      <c r="R2192" s="113">
        <f t="shared" si="242"/>
        <v>345.36</v>
      </c>
      <c r="S2192" s="16">
        <f>IF(S2191=15800,15800,ROUND((((Q2192*60)/'Gearing Calculator'!$C$14)*'Track Data'!P2192),-2))</f>
        <v>13300</v>
      </c>
      <c r="T2192" s="16">
        <f t="shared" si="244"/>
        <v>5.2583296715092471</v>
      </c>
      <c r="U2192" s="16">
        <f>IF(AC2192=100,Braking!$AG$2354,IF(AC2192=50,Braking!$AG$1179,IF(AC2192=75,Braking!$AG$1767,0)))</f>
        <v>0</v>
      </c>
      <c r="V2192" s="16">
        <f>0.5*'Gearing Calculator'!$C$15*'Gearing Calculator'!$C$20*'Gearing Calculator'!$W$20*('Track Data'!Q2192^2)</f>
        <v>180.36832271346125</v>
      </c>
      <c r="W2192" s="16">
        <f>('Gearing Calculator'!$U$9*'Track Data'!T2192)+'Track Data'!V2192</f>
        <v>1580.1356812692229</v>
      </c>
      <c r="X2192" s="16">
        <f>('Gearing Calculator'!$U$9*9.81)*('Gearing Calculator'!$U$16/'Gearing Calculator'!$C$7)-(('Track Data'!W2192)*('Gearing Calculator'!$U$17/'Gearing Calculator'!$C$7))</f>
        <v>539.88044034373297</v>
      </c>
      <c r="Y2192" s="16">
        <f>('Gearing Calculator'!$U$9*9.81)*(('Gearing Calculator'!$C$7-'Gearing Calculator'!$U$16)/'Gearing Calculator'!$C$7)+(('Track Data'!W2192)*('Gearing Calculator'!$U$17/'Gearing Calculator'!$C$7))</f>
        <v>2071.5415596562671</v>
      </c>
      <c r="Z2192" s="16">
        <f>((X2192*COS('Gearing Calculator'!$C$21))/'Gearing Calculator'!$C$22)/2</f>
        <v>16.691395719071824</v>
      </c>
      <c r="AA2192" s="16">
        <f>Y2192/'Gearing Calculator'!$C$24</f>
        <v>28.925668218874538</v>
      </c>
      <c r="AB2192" s="16">
        <f t="shared" si="240"/>
        <v>196.14331172798899</v>
      </c>
      <c r="AC2192" s="16">
        <v>0</v>
      </c>
      <c r="AD2192" s="16">
        <v>-51.415226335993196</v>
      </c>
      <c r="AE2192" s="16">
        <v>2189</v>
      </c>
      <c r="AF2192" s="16">
        <f>IF(AC2192=0,IF(O2192=6,INDEX(Acceleration!$V$4:$V$110,MATCH('Track Data'!S2192,Acceleration!$K$4:$K$110,0)),IF('Track Data'!O2192=5,INDEX(Acceleration!$U$4:$U$110,MATCH('Track Data'!S2192,Acceleration!$K$4:$K$110,0)),1)),U2192)</f>
        <v>1</v>
      </c>
      <c r="AG2192" s="16">
        <f>IF(AC2192=0,IF(O2192=4,INDEX(Acceleration!$T$4:$T$110,MATCH('Track Data'!S2192,Acceleration!$K$4:$K$110,0)),IF('Track Data'!O2192=3,INDEX(Acceleration!$S$4:$S$110,MATCH('Track Data'!S2192,Acceleration!$K$4:$K$110,0)),'Track Data'!AF2192)),'Track Data'!U2192)</f>
        <v>5.2583296715092471</v>
      </c>
      <c r="AH2192" s="16">
        <f>IF(AC2192=0,IF(O2192=2,INDEX(Acceleration!$R$4:$R$110,MATCH('Track Data'!S2192,Acceleration!$K$4:$K$110,0)),IF('Track Data'!O2192=1,INDEX(Acceleration!$Q$4:$Q$110,MATCH('Track Data'!S2192,Acceleration!$K$4:$K$110,0)),'Track Data'!AG2192)),'Track Data'!U2192)</f>
        <v>5.2583296715092471</v>
      </c>
    </row>
    <row r="2193" spans="2:34" x14ac:dyDescent="0.25">
      <c r="B2193" s="16">
        <v>253.291</v>
      </c>
      <c r="C2193" s="16">
        <v>9463</v>
      </c>
      <c r="D2193" s="16">
        <v>2190</v>
      </c>
      <c r="E2193" s="113">
        <v>157</v>
      </c>
      <c r="F2193" s="113">
        <v>145.69999999999999</v>
      </c>
      <c r="G2193" s="113">
        <v>138.6</v>
      </c>
      <c r="H2193" s="113">
        <f t="shared" si="243"/>
        <v>38.5</v>
      </c>
      <c r="I2193" s="113">
        <v>8.6</v>
      </c>
      <c r="J2193" s="113">
        <v>21.13</v>
      </c>
      <c r="K2193" s="113">
        <v>-52.5</v>
      </c>
      <c r="L2193" s="183"/>
      <c r="M2193" s="16">
        <v>2190</v>
      </c>
      <c r="N2193" s="16">
        <f t="shared" si="245"/>
        <v>2.4223940006716432E-2</v>
      </c>
      <c r="O2193" s="16">
        <v>3</v>
      </c>
      <c r="P2193" s="16">
        <f t="shared" si="241"/>
        <v>10.596205962059623</v>
      </c>
      <c r="Q2193" s="16">
        <f t="shared" si="246"/>
        <v>41.281476082038502</v>
      </c>
      <c r="R2193" s="113">
        <f t="shared" si="242"/>
        <v>345.36</v>
      </c>
      <c r="S2193" s="16">
        <f>IF(S2192=15800,15800,ROUND((((Q2193*60)/'Gearing Calculator'!$C$14)*'Track Data'!P2193),-2))</f>
        <v>13300</v>
      </c>
      <c r="T2193" s="16">
        <f t="shared" si="244"/>
        <v>5.2583296715092471</v>
      </c>
      <c r="U2193" s="16">
        <f>IF(AC2193=100,Braking!$AG$2354,IF(AC2193=50,Braking!$AG$1179,IF(AC2193=75,Braking!$AG$1767,0)))</f>
        <v>0</v>
      </c>
      <c r="V2193" s="16">
        <f>0.5*'Gearing Calculator'!$C$15*'Gearing Calculator'!$C$20*'Gearing Calculator'!$W$20*('Track Data'!Q2193^2)</f>
        <v>180.36832271346125</v>
      </c>
      <c r="W2193" s="16">
        <f>('Gearing Calculator'!$U$9*'Track Data'!T2193)+'Track Data'!V2193</f>
        <v>1580.1356812692229</v>
      </c>
      <c r="X2193" s="16">
        <f>('Gearing Calculator'!$U$9*9.81)*('Gearing Calculator'!$U$16/'Gearing Calculator'!$C$7)-(('Track Data'!W2193)*('Gearing Calculator'!$U$17/'Gearing Calculator'!$C$7))</f>
        <v>539.88044034373297</v>
      </c>
      <c r="Y2193" s="16">
        <f>('Gearing Calculator'!$U$9*9.81)*(('Gearing Calculator'!$C$7-'Gearing Calculator'!$U$16)/'Gearing Calculator'!$C$7)+(('Track Data'!W2193)*('Gearing Calculator'!$U$17/'Gearing Calculator'!$C$7))</f>
        <v>2071.5415596562671</v>
      </c>
      <c r="Z2193" s="16">
        <f>((X2193*COS('Gearing Calculator'!$C$21))/'Gearing Calculator'!$C$22)/2</f>
        <v>16.691395719071824</v>
      </c>
      <c r="AA2193" s="16">
        <f>Y2193/'Gearing Calculator'!$C$24</f>
        <v>28.925668218874538</v>
      </c>
      <c r="AB2193" s="16">
        <f t="shared" si="240"/>
        <v>196.14331172798899</v>
      </c>
      <c r="AC2193" s="16">
        <v>0</v>
      </c>
      <c r="AD2193" s="16">
        <v>-51.415226335993196</v>
      </c>
      <c r="AE2193" s="16">
        <v>2190</v>
      </c>
      <c r="AF2193" s="16">
        <f>IF(AC2193=0,IF(O2193=6,INDEX(Acceleration!$V$4:$V$110,MATCH('Track Data'!S2193,Acceleration!$K$4:$K$110,0)),IF('Track Data'!O2193=5,INDEX(Acceleration!$U$4:$U$110,MATCH('Track Data'!S2193,Acceleration!$K$4:$K$110,0)),1)),U2193)</f>
        <v>1</v>
      </c>
      <c r="AG2193" s="16">
        <f>IF(AC2193=0,IF(O2193=4,INDEX(Acceleration!$T$4:$T$110,MATCH('Track Data'!S2193,Acceleration!$K$4:$K$110,0)),IF('Track Data'!O2193=3,INDEX(Acceleration!$S$4:$S$110,MATCH('Track Data'!S2193,Acceleration!$K$4:$K$110,0)),'Track Data'!AF2193)),'Track Data'!U2193)</f>
        <v>5.2583296715092471</v>
      </c>
      <c r="AH2193" s="16">
        <f>IF(AC2193=0,IF(O2193=2,INDEX(Acceleration!$R$4:$R$110,MATCH('Track Data'!S2193,Acceleration!$K$4:$K$110,0)),IF('Track Data'!O2193=1,INDEX(Acceleration!$Q$4:$Q$110,MATCH('Track Data'!S2193,Acceleration!$K$4:$K$110,0)),'Track Data'!AG2193)),'Track Data'!U2193)</f>
        <v>5.2583296715092471</v>
      </c>
    </row>
    <row r="2194" spans="2:34" x14ac:dyDescent="0.25">
      <c r="B2194" s="16">
        <v>253.316</v>
      </c>
      <c r="C2194" s="16">
        <v>9464</v>
      </c>
      <c r="D2194" s="16">
        <v>2191</v>
      </c>
      <c r="E2194" s="113">
        <v>156</v>
      </c>
      <c r="F2194" s="113">
        <v>146.1</v>
      </c>
      <c r="G2194" s="113">
        <v>139.1</v>
      </c>
      <c r="H2194" s="113">
        <f t="shared" si="243"/>
        <v>38.638888888888886</v>
      </c>
      <c r="I2194" s="113">
        <v>8.6</v>
      </c>
      <c r="J2194" s="113">
        <v>21.78</v>
      </c>
      <c r="K2194" s="113">
        <v>-52.4</v>
      </c>
      <c r="L2194" s="183"/>
      <c r="M2194" s="16">
        <v>2191</v>
      </c>
      <c r="N2194" s="16">
        <f t="shared" si="245"/>
        <v>2.4223940006716432E-2</v>
      </c>
      <c r="O2194" s="16">
        <v>3</v>
      </c>
      <c r="P2194" s="16">
        <f t="shared" si="241"/>
        <v>10.596205962059623</v>
      </c>
      <c r="Q2194" s="16">
        <f t="shared" si="246"/>
        <v>41.281476082038502</v>
      </c>
      <c r="R2194" s="113">
        <f t="shared" si="242"/>
        <v>345.36</v>
      </c>
      <c r="S2194" s="16">
        <f>IF(S2193=15800,15800,ROUND((((Q2194*60)/'Gearing Calculator'!$C$14)*'Track Data'!P2194),-2))</f>
        <v>13300</v>
      </c>
      <c r="T2194" s="16">
        <f t="shared" si="244"/>
        <v>5.2583296715092471</v>
      </c>
      <c r="U2194" s="16">
        <f>IF(AC2194=100,Braking!$AG$2354,IF(AC2194=50,Braking!$AG$1179,IF(AC2194=75,Braking!$AG$1767,0)))</f>
        <v>0</v>
      </c>
      <c r="V2194" s="16">
        <f>0.5*'Gearing Calculator'!$C$15*'Gearing Calculator'!$C$20*'Gearing Calculator'!$W$20*('Track Data'!Q2194^2)</f>
        <v>180.36832271346125</v>
      </c>
      <c r="W2194" s="16">
        <f>('Gearing Calculator'!$U$9*'Track Data'!T2194)+'Track Data'!V2194</f>
        <v>1580.1356812692229</v>
      </c>
      <c r="X2194" s="16">
        <f>('Gearing Calculator'!$U$9*9.81)*('Gearing Calculator'!$U$16/'Gearing Calculator'!$C$7)-(('Track Data'!W2194)*('Gearing Calculator'!$U$17/'Gearing Calculator'!$C$7))</f>
        <v>539.88044034373297</v>
      </c>
      <c r="Y2194" s="16">
        <f>('Gearing Calculator'!$U$9*9.81)*(('Gearing Calculator'!$C$7-'Gearing Calculator'!$U$16)/'Gearing Calculator'!$C$7)+(('Track Data'!W2194)*('Gearing Calculator'!$U$17/'Gearing Calculator'!$C$7))</f>
        <v>2071.5415596562671</v>
      </c>
      <c r="Z2194" s="16">
        <f>((X2194*COS('Gearing Calculator'!$C$21))/'Gearing Calculator'!$C$22)/2</f>
        <v>16.691395719071824</v>
      </c>
      <c r="AA2194" s="16">
        <f>Y2194/'Gearing Calculator'!$C$24</f>
        <v>28.925668218874538</v>
      </c>
      <c r="AB2194" s="16">
        <f t="shared" si="240"/>
        <v>196.14331172798899</v>
      </c>
      <c r="AC2194" s="16">
        <v>0</v>
      </c>
      <c r="AD2194" s="16">
        <v>-51.415226335993196</v>
      </c>
      <c r="AE2194" s="16">
        <v>2191</v>
      </c>
      <c r="AF2194" s="16">
        <f>IF(AC2194=0,IF(O2194=6,INDEX(Acceleration!$V$4:$V$110,MATCH('Track Data'!S2194,Acceleration!$K$4:$K$110,0)),IF('Track Data'!O2194=5,INDEX(Acceleration!$U$4:$U$110,MATCH('Track Data'!S2194,Acceleration!$K$4:$K$110,0)),1)),U2194)</f>
        <v>1</v>
      </c>
      <c r="AG2194" s="16">
        <f>IF(AC2194=0,IF(O2194=4,INDEX(Acceleration!$T$4:$T$110,MATCH('Track Data'!S2194,Acceleration!$K$4:$K$110,0)),IF('Track Data'!O2194=3,INDEX(Acceleration!$S$4:$S$110,MATCH('Track Data'!S2194,Acceleration!$K$4:$K$110,0)),'Track Data'!AF2194)),'Track Data'!U2194)</f>
        <v>5.2583296715092471</v>
      </c>
      <c r="AH2194" s="16">
        <f>IF(AC2194=0,IF(O2194=2,INDEX(Acceleration!$R$4:$R$110,MATCH('Track Data'!S2194,Acceleration!$K$4:$K$110,0)),IF('Track Data'!O2194=1,INDEX(Acceleration!$Q$4:$Q$110,MATCH('Track Data'!S2194,Acceleration!$K$4:$K$110,0)),'Track Data'!AG2194)),'Track Data'!U2194)</f>
        <v>5.2583296715092471</v>
      </c>
    </row>
    <row r="2195" spans="2:34" x14ac:dyDescent="0.25">
      <c r="B2195" s="16">
        <v>253.34100000000001</v>
      </c>
      <c r="C2195" s="16">
        <v>9465</v>
      </c>
      <c r="D2195" s="16">
        <v>2192</v>
      </c>
      <c r="E2195" s="113">
        <v>156</v>
      </c>
      <c r="F2195" s="113">
        <v>146.69999999999999</v>
      </c>
      <c r="G2195" s="113">
        <v>139.80000000000001</v>
      </c>
      <c r="H2195" s="113">
        <f t="shared" si="243"/>
        <v>38.833333333333336</v>
      </c>
      <c r="I2195" s="113">
        <v>9.5</v>
      </c>
      <c r="J2195" s="113">
        <v>23.61</v>
      </c>
      <c r="K2195" s="113">
        <v>-52.3</v>
      </c>
      <c r="L2195" s="183"/>
      <c r="M2195" s="16">
        <v>2192</v>
      </c>
      <c r="N2195" s="16">
        <f t="shared" si="245"/>
        <v>2.4223940006716432E-2</v>
      </c>
      <c r="O2195" s="16">
        <v>3</v>
      </c>
      <c r="P2195" s="16">
        <f t="shared" si="241"/>
        <v>10.596205962059623</v>
      </c>
      <c r="Q2195" s="16">
        <f t="shared" si="246"/>
        <v>41.281476082038502</v>
      </c>
      <c r="R2195" s="113">
        <f t="shared" si="242"/>
        <v>345.36</v>
      </c>
      <c r="S2195" s="16">
        <f>IF(S2194=15800,15800,ROUND((((Q2195*60)/'Gearing Calculator'!$C$14)*'Track Data'!P2195),-2))</f>
        <v>13300</v>
      </c>
      <c r="T2195" s="16">
        <f t="shared" si="244"/>
        <v>5.2583296715092471</v>
      </c>
      <c r="U2195" s="16">
        <f>IF(AC2195=100,Braking!$AG$2354,IF(AC2195=50,Braking!$AG$1179,IF(AC2195=75,Braking!$AG$1767,0)))</f>
        <v>0</v>
      </c>
      <c r="V2195" s="16">
        <f>0.5*'Gearing Calculator'!$C$15*'Gearing Calculator'!$C$20*'Gearing Calculator'!$W$20*('Track Data'!Q2195^2)</f>
        <v>180.36832271346125</v>
      </c>
      <c r="W2195" s="16">
        <f>('Gearing Calculator'!$U$9*'Track Data'!T2195)+'Track Data'!V2195</f>
        <v>1580.1356812692229</v>
      </c>
      <c r="X2195" s="16">
        <f>('Gearing Calculator'!$U$9*9.81)*('Gearing Calculator'!$U$16/'Gearing Calculator'!$C$7)-(('Track Data'!W2195)*('Gearing Calculator'!$U$17/'Gearing Calculator'!$C$7))</f>
        <v>539.88044034373297</v>
      </c>
      <c r="Y2195" s="16">
        <f>('Gearing Calculator'!$U$9*9.81)*(('Gearing Calculator'!$C$7-'Gearing Calculator'!$U$16)/'Gearing Calculator'!$C$7)+(('Track Data'!W2195)*('Gearing Calculator'!$U$17/'Gearing Calculator'!$C$7))</f>
        <v>2071.5415596562671</v>
      </c>
      <c r="Z2195" s="16">
        <f>((X2195*COS('Gearing Calculator'!$C$21))/'Gearing Calculator'!$C$22)/2</f>
        <v>16.691395719071824</v>
      </c>
      <c r="AA2195" s="16">
        <f>Y2195/'Gearing Calculator'!$C$24</f>
        <v>28.925668218874538</v>
      </c>
      <c r="AB2195" s="16">
        <f t="shared" si="240"/>
        <v>196.14331172798899</v>
      </c>
      <c r="AC2195" s="16">
        <v>0</v>
      </c>
      <c r="AD2195" s="16">
        <v>-51.415226335993196</v>
      </c>
      <c r="AE2195" s="16">
        <v>2192</v>
      </c>
      <c r="AF2195" s="16">
        <f>IF(AC2195=0,IF(O2195=6,INDEX(Acceleration!$V$4:$V$110,MATCH('Track Data'!S2195,Acceleration!$K$4:$K$110,0)),IF('Track Data'!O2195=5,INDEX(Acceleration!$U$4:$U$110,MATCH('Track Data'!S2195,Acceleration!$K$4:$K$110,0)),1)),U2195)</f>
        <v>1</v>
      </c>
      <c r="AG2195" s="16">
        <f>IF(AC2195=0,IF(O2195=4,INDEX(Acceleration!$T$4:$T$110,MATCH('Track Data'!S2195,Acceleration!$K$4:$K$110,0)),IF('Track Data'!O2195=3,INDEX(Acceleration!$S$4:$S$110,MATCH('Track Data'!S2195,Acceleration!$K$4:$K$110,0)),'Track Data'!AF2195)),'Track Data'!U2195)</f>
        <v>5.2583296715092471</v>
      </c>
      <c r="AH2195" s="16">
        <f>IF(AC2195=0,IF(O2195=2,INDEX(Acceleration!$R$4:$R$110,MATCH('Track Data'!S2195,Acceleration!$K$4:$K$110,0)),IF('Track Data'!O2195=1,INDEX(Acceleration!$Q$4:$Q$110,MATCH('Track Data'!S2195,Acceleration!$K$4:$K$110,0)),'Track Data'!AG2195)),'Track Data'!U2195)</f>
        <v>5.2583296715092471</v>
      </c>
    </row>
    <row r="2196" spans="2:34" x14ac:dyDescent="0.25">
      <c r="B2196" s="16">
        <v>253.36500000000001</v>
      </c>
      <c r="C2196" s="16">
        <v>9466</v>
      </c>
      <c r="D2196" s="16">
        <v>2193</v>
      </c>
      <c r="E2196" s="113">
        <v>156</v>
      </c>
      <c r="F2196" s="113">
        <v>147</v>
      </c>
      <c r="G2196" s="113">
        <v>140.19999999999999</v>
      </c>
      <c r="H2196" s="113">
        <f t="shared" si="243"/>
        <v>38.944444444444443</v>
      </c>
      <c r="I2196" s="113">
        <v>10.199999999999999</v>
      </c>
      <c r="J2196" s="113">
        <v>23.56</v>
      </c>
      <c r="K2196" s="113">
        <v>-52.2</v>
      </c>
      <c r="L2196" s="183"/>
      <c r="M2196" s="16">
        <v>2193</v>
      </c>
      <c r="N2196" s="16">
        <f t="shared" si="245"/>
        <v>2.4223940006716432E-2</v>
      </c>
      <c r="O2196" s="16">
        <v>3</v>
      </c>
      <c r="P2196" s="16">
        <f t="shared" si="241"/>
        <v>10.596205962059623</v>
      </c>
      <c r="Q2196" s="16">
        <f t="shared" si="246"/>
        <v>41.281476082038502</v>
      </c>
      <c r="R2196" s="113">
        <f t="shared" si="242"/>
        <v>345.36</v>
      </c>
      <c r="S2196" s="16">
        <f>IF(S2195=15800,15800,ROUND((((Q2196*60)/'Gearing Calculator'!$C$14)*'Track Data'!P2196),-2))</f>
        <v>13300</v>
      </c>
      <c r="T2196" s="16">
        <f t="shared" si="244"/>
        <v>5.2583296715092471</v>
      </c>
      <c r="U2196" s="16">
        <f>IF(AC2196=100,Braking!$AG$2354,IF(AC2196=50,Braking!$AG$1179,IF(AC2196=75,Braking!$AG$1767,0)))</f>
        <v>0</v>
      </c>
      <c r="V2196" s="16">
        <f>0.5*'Gearing Calculator'!$C$15*'Gearing Calculator'!$C$20*'Gearing Calculator'!$W$20*('Track Data'!Q2196^2)</f>
        <v>180.36832271346125</v>
      </c>
      <c r="W2196" s="16">
        <f>('Gearing Calculator'!$U$9*'Track Data'!T2196)+'Track Data'!V2196</f>
        <v>1580.1356812692229</v>
      </c>
      <c r="X2196" s="16">
        <f>('Gearing Calculator'!$U$9*9.81)*('Gearing Calculator'!$U$16/'Gearing Calculator'!$C$7)-(('Track Data'!W2196)*('Gearing Calculator'!$U$17/'Gearing Calculator'!$C$7))</f>
        <v>539.88044034373297</v>
      </c>
      <c r="Y2196" s="16">
        <f>('Gearing Calculator'!$U$9*9.81)*(('Gearing Calculator'!$C$7-'Gearing Calculator'!$U$16)/'Gearing Calculator'!$C$7)+(('Track Data'!W2196)*('Gearing Calculator'!$U$17/'Gearing Calculator'!$C$7))</f>
        <v>2071.5415596562671</v>
      </c>
      <c r="Z2196" s="16">
        <f>((X2196*COS('Gearing Calculator'!$C$21))/'Gearing Calculator'!$C$22)/2</f>
        <v>16.691395719071824</v>
      </c>
      <c r="AA2196" s="16">
        <f>Y2196/'Gearing Calculator'!$C$24</f>
        <v>28.925668218874538</v>
      </c>
      <c r="AB2196" s="16">
        <f t="shared" si="240"/>
        <v>196.14331172798899</v>
      </c>
      <c r="AC2196" s="16">
        <v>0</v>
      </c>
      <c r="AD2196" s="16">
        <v>-51.415226335993196</v>
      </c>
      <c r="AE2196" s="16">
        <v>2193</v>
      </c>
      <c r="AF2196" s="16">
        <f>IF(AC2196=0,IF(O2196=6,INDEX(Acceleration!$V$4:$V$110,MATCH('Track Data'!S2196,Acceleration!$K$4:$K$110,0)),IF('Track Data'!O2196=5,INDEX(Acceleration!$U$4:$U$110,MATCH('Track Data'!S2196,Acceleration!$K$4:$K$110,0)),1)),U2196)</f>
        <v>1</v>
      </c>
      <c r="AG2196" s="16">
        <f>IF(AC2196=0,IF(O2196=4,INDEX(Acceleration!$T$4:$T$110,MATCH('Track Data'!S2196,Acceleration!$K$4:$K$110,0)),IF('Track Data'!O2196=3,INDEX(Acceleration!$S$4:$S$110,MATCH('Track Data'!S2196,Acceleration!$K$4:$K$110,0)),'Track Data'!AF2196)),'Track Data'!U2196)</f>
        <v>5.2583296715092471</v>
      </c>
      <c r="AH2196" s="16">
        <f>IF(AC2196=0,IF(O2196=2,INDEX(Acceleration!$R$4:$R$110,MATCH('Track Data'!S2196,Acceleration!$K$4:$K$110,0)),IF('Track Data'!O2196=1,INDEX(Acceleration!$Q$4:$Q$110,MATCH('Track Data'!S2196,Acceleration!$K$4:$K$110,0)),'Track Data'!AG2196)),'Track Data'!U2196)</f>
        <v>5.2583296715092471</v>
      </c>
    </row>
    <row r="2197" spans="2:34" x14ac:dyDescent="0.25">
      <c r="B2197" s="16">
        <v>253.38900000000001</v>
      </c>
      <c r="C2197" s="16">
        <v>9467</v>
      </c>
      <c r="D2197" s="16">
        <v>2194</v>
      </c>
      <c r="E2197" s="113">
        <v>157</v>
      </c>
      <c r="F2197" s="113">
        <v>147.4</v>
      </c>
      <c r="G2197" s="113">
        <v>140.6</v>
      </c>
      <c r="H2197" s="113">
        <f t="shared" si="243"/>
        <v>39.05555555555555</v>
      </c>
      <c r="I2197" s="113">
        <v>11.2</v>
      </c>
      <c r="J2197" s="113">
        <v>22.91</v>
      </c>
      <c r="K2197" s="113">
        <v>-52.2</v>
      </c>
      <c r="L2197" s="183"/>
      <c r="M2197" s="16">
        <v>2194</v>
      </c>
      <c r="N2197" s="16">
        <f t="shared" si="245"/>
        <v>2.4223940006716432E-2</v>
      </c>
      <c r="O2197" s="16">
        <v>3</v>
      </c>
      <c r="P2197" s="16">
        <f t="shared" si="241"/>
        <v>10.596205962059623</v>
      </c>
      <c r="Q2197" s="16">
        <f t="shared" si="246"/>
        <v>41.281476082038502</v>
      </c>
      <c r="R2197" s="113">
        <f t="shared" si="242"/>
        <v>345.36</v>
      </c>
      <c r="S2197" s="16">
        <f>IF(S2196=15800,15800,ROUND((((Q2197*60)/'Gearing Calculator'!$C$14)*'Track Data'!P2197),-2))</f>
        <v>13300</v>
      </c>
      <c r="T2197" s="16">
        <f t="shared" si="244"/>
        <v>5.2583296715092471</v>
      </c>
      <c r="U2197" s="16">
        <f>IF(AC2197=100,Braking!$AG$2354,IF(AC2197=50,Braking!$AG$1179,IF(AC2197=75,Braking!$AG$1767,0)))</f>
        <v>0</v>
      </c>
      <c r="V2197" s="16">
        <f>0.5*'Gearing Calculator'!$C$15*'Gearing Calculator'!$C$20*'Gearing Calculator'!$W$20*('Track Data'!Q2197^2)</f>
        <v>180.36832271346125</v>
      </c>
      <c r="W2197" s="16">
        <f>('Gearing Calculator'!$U$9*'Track Data'!T2197)+'Track Data'!V2197</f>
        <v>1580.1356812692229</v>
      </c>
      <c r="X2197" s="16">
        <f>('Gearing Calculator'!$U$9*9.81)*('Gearing Calculator'!$U$16/'Gearing Calculator'!$C$7)-(('Track Data'!W2197)*('Gearing Calculator'!$U$17/'Gearing Calculator'!$C$7))</f>
        <v>539.88044034373297</v>
      </c>
      <c r="Y2197" s="16">
        <f>('Gearing Calculator'!$U$9*9.81)*(('Gearing Calculator'!$C$7-'Gearing Calculator'!$U$16)/'Gearing Calculator'!$C$7)+(('Track Data'!W2197)*('Gearing Calculator'!$U$17/'Gearing Calculator'!$C$7))</f>
        <v>2071.5415596562671</v>
      </c>
      <c r="Z2197" s="16">
        <f>((X2197*COS('Gearing Calculator'!$C$21))/'Gearing Calculator'!$C$22)/2</f>
        <v>16.691395719071824</v>
      </c>
      <c r="AA2197" s="16">
        <f>Y2197/'Gearing Calculator'!$C$24</f>
        <v>28.925668218874538</v>
      </c>
      <c r="AB2197" s="16">
        <f t="shared" si="240"/>
        <v>196.14331172798899</v>
      </c>
      <c r="AC2197" s="16">
        <v>0</v>
      </c>
      <c r="AD2197" s="16">
        <v>-51.415226335993196</v>
      </c>
      <c r="AE2197" s="16">
        <v>2194</v>
      </c>
      <c r="AF2197" s="16">
        <f>IF(AC2197=0,IF(O2197=6,INDEX(Acceleration!$V$4:$V$110,MATCH('Track Data'!S2197,Acceleration!$K$4:$K$110,0)),IF('Track Data'!O2197=5,INDEX(Acceleration!$U$4:$U$110,MATCH('Track Data'!S2197,Acceleration!$K$4:$K$110,0)),1)),U2197)</f>
        <v>1</v>
      </c>
      <c r="AG2197" s="16">
        <f>IF(AC2197=0,IF(O2197=4,INDEX(Acceleration!$T$4:$T$110,MATCH('Track Data'!S2197,Acceleration!$K$4:$K$110,0)),IF('Track Data'!O2197=3,INDEX(Acceleration!$S$4:$S$110,MATCH('Track Data'!S2197,Acceleration!$K$4:$K$110,0)),'Track Data'!AF2197)),'Track Data'!U2197)</f>
        <v>5.2583296715092471</v>
      </c>
      <c r="AH2197" s="16">
        <f>IF(AC2197=0,IF(O2197=2,INDEX(Acceleration!$R$4:$R$110,MATCH('Track Data'!S2197,Acceleration!$K$4:$K$110,0)),IF('Track Data'!O2197=1,INDEX(Acceleration!$Q$4:$Q$110,MATCH('Track Data'!S2197,Acceleration!$K$4:$K$110,0)),'Track Data'!AG2197)),'Track Data'!U2197)</f>
        <v>5.2583296715092471</v>
      </c>
    </row>
    <row r="2198" spans="2:34" x14ac:dyDescent="0.25">
      <c r="B2198" s="16">
        <v>253.41399999999999</v>
      </c>
      <c r="C2198" s="16">
        <v>9468</v>
      </c>
      <c r="D2198" s="16">
        <v>2195</v>
      </c>
      <c r="E2198" s="113">
        <v>157</v>
      </c>
      <c r="F2198" s="113">
        <v>148</v>
      </c>
      <c r="G2198" s="113">
        <v>141.30000000000001</v>
      </c>
      <c r="H2198" s="113">
        <f t="shared" si="243"/>
        <v>39.25</v>
      </c>
      <c r="I2198" s="113">
        <v>11.4</v>
      </c>
      <c r="J2198" s="113">
        <v>23.11</v>
      </c>
      <c r="K2198" s="113">
        <v>-52.2</v>
      </c>
      <c r="L2198" s="183"/>
      <c r="M2198" s="16">
        <v>2195</v>
      </c>
      <c r="N2198" s="16">
        <f t="shared" si="245"/>
        <v>2.4223940006716432E-2</v>
      </c>
      <c r="O2198" s="16">
        <v>3</v>
      </c>
      <c r="P2198" s="16">
        <f t="shared" si="241"/>
        <v>10.596205962059623</v>
      </c>
      <c r="Q2198" s="16">
        <f t="shared" si="246"/>
        <v>41.281476082038502</v>
      </c>
      <c r="R2198" s="113">
        <f t="shared" si="242"/>
        <v>345.36</v>
      </c>
      <c r="S2198" s="16">
        <f>IF(S2197=15800,15800,ROUND((((Q2198*60)/'Gearing Calculator'!$C$14)*'Track Data'!P2198),-2))</f>
        <v>13300</v>
      </c>
      <c r="T2198" s="16">
        <f t="shared" si="244"/>
        <v>5.2583296715092471</v>
      </c>
      <c r="U2198" s="16">
        <f>IF(AC2198=100,Braking!$AG$2354,IF(AC2198=50,Braking!$AG$1179,IF(AC2198=75,Braking!$AG$1767,0)))</f>
        <v>0</v>
      </c>
      <c r="V2198" s="16">
        <f>0.5*'Gearing Calculator'!$C$15*'Gearing Calculator'!$C$20*'Gearing Calculator'!$W$20*('Track Data'!Q2198^2)</f>
        <v>180.36832271346125</v>
      </c>
      <c r="W2198" s="16">
        <f>('Gearing Calculator'!$U$9*'Track Data'!T2198)+'Track Data'!V2198</f>
        <v>1580.1356812692229</v>
      </c>
      <c r="X2198" s="16">
        <f>('Gearing Calculator'!$U$9*9.81)*('Gearing Calculator'!$U$16/'Gearing Calculator'!$C$7)-(('Track Data'!W2198)*('Gearing Calculator'!$U$17/'Gearing Calculator'!$C$7))</f>
        <v>539.88044034373297</v>
      </c>
      <c r="Y2198" s="16">
        <f>('Gearing Calculator'!$U$9*9.81)*(('Gearing Calculator'!$C$7-'Gearing Calculator'!$U$16)/'Gearing Calculator'!$C$7)+(('Track Data'!W2198)*('Gearing Calculator'!$U$17/'Gearing Calculator'!$C$7))</f>
        <v>2071.5415596562671</v>
      </c>
      <c r="Z2198" s="16">
        <f>((X2198*COS('Gearing Calculator'!$C$21))/'Gearing Calculator'!$C$22)/2</f>
        <v>16.691395719071824</v>
      </c>
      <c r="AA2198" s="16">
        <f>Y2198/'Gearing Calculator'!$C$24</f>
        <v>28.925668218874538</v>
      </c>
      <c r="AB2198" s="16">
        <f t="shared" si="240"/>
        <v>196.14331172798899</v>
      </c>
      <c r="AC2198" s="16">
        <v>0</v>
      </c>
      <c r="AD2198" s="16">
        <v>-51.415226335993196</v>
      </c>
      <c r="AE2198" s="16">
        <v>2195</v>
      </c>
      <c r="AF2198" s="16">
        <f>IF(AC2198=0,IF(O2198=6,INDEX(Acceleration!$V$4:$V$110,MATCH('Track Data'!S2198,Acceleration!$K$4:$K$110,0)),IF('Track Data'!O2198=5,INDEX(Acceleration!$U$4:$U$110,MATCH('Track Data'!S2198,Acceleration!$K$4:$K$110,0)),1)),U2198)</f>
        <v>1</v>
      </c>
      <c r="AG2198" s="16">
        <f>IF(AC2198=0,IF(O2198=4,INDEX(Acceleration!$T$4:$T$110,MATCH('Track Data'!S2198,Acceleration!$K$4:$K$110,0)),IF('Track Data'!O2198=3,INDEX(Acceleration!$S$4:$S$110,MATCH('Track Data'!S2198,Acceleration!$K$4:$K$110,0)),'Track Data'!AF2198)),'Track Data'!U2198)</f>
        <v>5.2583296715092471</v>
      </c>
      <c r="AH2198" s="16">
        <f>IF(AC2198=0,IF(O2198=2,INDEX(Acceleration!$R$4:$R$110,MATCH('Track Data'!S2198,Acceleration!$K$4:$K$110,0)),IF('Track Data'!O2198=1,INDEX(Acceleration!$Q$4:$Q$110,MATCH('Track Data'!S2198,Acceleration!$K$4:$K$110,0)),'Track Data'!AG2198)),'Track Data'!U2198)</f>
        <v>5.2583296715092471</v>
      </c>
    </row>
    <row r="2199" spans="2:34" x14ac:dyDescent="0.25">
      <c r="B2199" s="16">
        <v>253.43799999999999</v>
      </c>
      <c r="C2199" s="16">
        <v>9469</v>
      </c>
      <c r="D2199" s="16">
        <v>2196</v>
      </c>
      <c r="E2199" s="113">
        <v>158</v>
      </c>
      <c r="F2199" s="113">
        <v>148.5</v>
      </c>
      <c r="G2199" s="113">
        <v>141.69999999999999</v>
      </c>
      <c r="H2199" s="113">
        <f t="shared" si="243"/>
        <v>39.361111111111107</v>
      </c>
      <c r="I2199" s="113">
        <v>11.7</v>
      </c>
      <c r="J2199" s="113">
        <v>24.3</v>
      </c>
      <c r="K2199" s="113">
        <v>-52.2</v>
      </c>
      <c r="L2199" s="183"/>
      <c r="M2199" s="16">
        <v>2196</v>
      </c>
      <c r="N2199" s="16">
        <f t="shared" si="245"/>
        <v>2.4223940006716432E-2</v>
      </c>
      <c r="O2199" s="16">
        <v>3</v>
      </c>
      <c r="P2199" s="16">
        <f t="shared" si="241"/>
        <v>10.596205962059623</v>
      </c>
      <c r="Q2199" s="16">
        <f t="shared" si="246"/>
        <v>41.281476082038502</v>
      </c>
      <c r="R2199" s="113">
        <f t="shared" si="242"/>
        <v>345.36</v>
      </c>
      <c r="S2199" s="16">
        <f>IF(S2198=15800,15800,ROUND((((Q2199*60)/'Gearing Calculator'!$C$14)*'Track Data'!P2199),-2))</f>
        <v>13300</v>
      </c>
      <c r="T2199" s="16">
        <f t="shared" si="244"/>
        <v>5.2583296715092471</v>
      </c>
      <c r="U2199" s="16">
        <f>IF(AC2199=100,Braking!$AG$2354,IF(AC2199=50,Braking!$AG$1179,IF(AC2199=75,Braking!$AG$1767,0)))</f>
        <v>0</v>
      </c>
      <c r="V2199" s="16">
        <f>0.5*'Gearing Calculator'!$C$15*'Gearing Calculator'!$C$20*'Gearing Calculator'!$W$20*('Track Data'!Q2199^2)</f>
        <v>180.36832271346125</v>
      </c>
      <c r="W2199" s="16">
        <f>('Gearing Calculator'!$U$9*'Track Data'!T2199)+'Track Data'!V2199</f>
        <v>1580.1356812692229</v>
      </c>
      <c r="X2199" s="16">
        <f>('Gearing Calculator'!$U$9*9.81)*('Gearing Calculator'!$U$16/'Gearing Calculator'!$C$7)-(('Track Data'!W2199)*('Gearing Calculator'!$U$17/'Gearing Calculator'!$C$7))</f>
        <v>539.88044034373297</v>
      </c>
      <c r="Y2199" s="16">
        <f>('Gearing Calculator'!$U$9*9.81)*(('Gearing Calculator'!$C$7-'Gearing Calculator'!$U$16)/'Gearing Calculator'!$C$7)+(('Track Data'!W2199)*('Gearing Calculator'!$U$17/'Gearing Calculator'!$C$7))</f>
        <v>2071.5415596562671</v>
      </c>
      <c r="Z2199" s="16">
        <f>((X2199*COS('Gearing Calculator'!$C$21))/'Gearing Calculator'!$C$22)/2</f>
        <v>16.691395719071824</v>
      </c>
      <c r="AA2199" s="16">
        <f>Y2199/'Gearing Calculator'!$C$24</f>
        <v>28.925668218874538</v>
      </c>
      <c r="AB2199" s="16">
        <f t="shared" si="240"/>
        <v>196.14331172798899</v>
      </c>
      <c r="AC2199" s="16">
        <v>0</v>
      </c>
      <c r="AD2199" s="16">
        <v>-51.415226335993196</v>
      </c>
      <c r="AE2199" s="16">
        <v>2196</v>
      </c>
      <c r="AF2199" s="16">
        <f>IF(AC2199=0,IF(O2199=6,INDEX(Acceleration!$V$4:$V$110,MATCH('Track Data'!S2199,Acceleration!$K$4:$K$110,0)),IF('Track Data'!O2199=5,INDEX(Acceleration!$U$4:$U$110,MATCH('Track Data'!S2199,Acceleration!$K$4:$K$110,0)),1)),U2199)</f>
        <v>1</v>
      </c>
      <c r="AG2199" s="16">
        <f>IF(AC2199=0,IF(O2199=4,INDEX(Acceleration!$T$4:$T$110,MATCH('Track Data'!S2199,Acceleration!$K$4:$K$110,0)),IF('Track Data'!O2199=3,INDEX(Acceleration!$S$4:$S$110,MATCH('Track Data'!S2199,Acceleration!$K$4:$K$110,0)),'Track Data'!AF2199)),'Track Data'!U2199)</f>
        <v>5.2583296715092471</v>
      </c>
      <c r="AH2199" s="16">
        <f>IF(AC2199=0,IF(O2199=2,INDEX(Acceleration!$R$4:$R$110,MATCH('Track Data'!S2199,Acceleration!$K$4:$K$110,0)),IF('Track Data'!O2199=1,INDEX(Acceleration!$Q$4:$Q$110,MATCH('Track Data'!S2199,Acceleration!$K$4:$K$110,0)),'Track Data'!AG2199)),'Track Data'!U2199)</f>
        <v>5.2583296715092471</v>
      </c>
    </row>
    <row r="2200" spans="2:34" x14ac:dyDescent="0.25">
      <c r="B2200" s="16">
        <v>253.46299999999999</v>
      </c>
      <c r="C2200" s="16">
        <v>9470</v>
      </c>
      <c r="D2200" s="16">
        <v>2197</v>
      </c>
      <c r="E2200" s="113">
        <v>157</v>
      </c>
      <c r="F2200" s="113">
        <v>148.80000000000001</v>
      </c>
      <c r="G2200" s="113">
        <v>142.30000000000001</v>
      </c>
      <c r="H2200" s="113">
        <f t="shared" si="243"/>
        <v>39.527777777777779</v>
      </c>
      <c r="I2200" s="113">
        <v>12.7</v>
      </c>
      <c r="J2200" s="113">
        <v>25.69</v>
      </c>
      <c r="K2200" s="113">
        <v>-50.7</v>
      </c>
      <c r="L2200" s="183"/>
      <c r="M2200" s="16">
        <v>2197</v>
      </c>
      <c r="N2200" s="16">
        <f t="shared" si="245"/>
        <v>2.4223940006716432E-2</v>
      </c>
      <c r="O2200" s="16">
        <v>3</v>
      </c>
      <c r="P2200" s="16">
        <f t="shared" si="241"/>
        <v>10.596205962059623</v>
      </c>
      <c r="Q2200" s="16">
        <f t="shared" si="246"/>
        <v>41.281476082038502</v>
      </c>
      <c r="R2200" s="113">
        <f t="shared" si="242"/>
        <v>345.36</v>
      </c>
      <c r="S2200" s="16">
        <f>IF(S2199=15800,15800,ROUND((((Q2200*60)/'Gearing Calculator'!$C$14)*'Track Data'!P2200),-2))</f>
        <v>13300</v>
      </c>
      <c r="T2200" s="16">
        <f t="shared" si="244"/>
        <v>5.2583296715092471</v>
      </c>
      <c r="U2200" s="16">
        <f>IF(AC2200=100,Braking!$AG$2354,IF(AC2200=50,Braking!$AG$1179,IF(AC2200=75,Braking!$AG$1767,0)))</f>
        <v>0</v>
      </c>
      <c r="V2200" s="16">
        <f>0.5*'Gearing Calculator'!$C$15*'Gearing Calculator'!$C$20*'Gearing Calculator'!$W$20*('Track Data'!Q2200^2)</f>
        <v>180.36832271346125</v>
      </c>
      <c r="W2200" s="16">
        <f>('Gearing Calculator'!$U$9*'Track Data'!T2200)+'Track Data'!V2200</f>
        <v>1580.1356812692229</v>
      </c>
      <c r="X2200" s="16">
        <f>('Gearing Calculator'!$U$9*9.81)*('Gearing Calculator'!$U$16/'Gearing Calculator'!$C$7)-(('Track Data'!W2200)*('Gearing Calculator'!$U$17/'Gearing Calculator'!$C$7))</f>
        <v>539.88044034373297</v>
      </c>
      <c r="Y2200" s="16">
        <f>('Gearing Calculator'!$U$9*9.81)*(('Gearing Calculator'!$C$7-'Gearing Calculator'!$U$16)/'Gearing Calculator'!$C$7)+(('Track Data'!W2200)*('Gearing Calculator'!$U$17/'Gearing Calculator'!$C$7))</f>
        <v>2071.5415596562671</v>
      </c>
      <c r="Z2200" s="16">
        <f>((X2200*COS('Gearing Calculator'!$C$21))/'Gearing Calculator'!$C$22)/2</f>
        <v>16.691395719071824</v>
      </c>
      <c r="AA2200" s="16">
        <f>Y2200/'Gearing Calculator'!$C$24</f>
        <v>28.925668218874538</v>
      </c>
      <c r="AB2200" s="16">
        <f t="shared" si="240"/>
        <v>196.14331172798899</v>
      </c>
      <c r="AC2200" s="16">
        <v>0</v>
      </c>
      <c r="AD2200" s="16">
        <v>-51.415226335993196</v>
      </c>
      <c r="AE2200" s="16">
        <v>2197</v>
      </c>
      <c r="AF2200" s="16">
        <f>IF(AC2200=0,IF(O2200=6,INDEX(Acceleration!$V$4:$V$110,MATCH('Track Data'!S2200,Acceleration!$K$4:$K$110,0)),IF('Track Data'!O2200=5,INDEX(Acceleration!$U$4:$U$110,MATCH('Track Data'!S2200,Acceleration!$K$4:$K$110,0)),1)),U2200)</f>
        <v>1</v>
      </c>
      <c r="AG2200" s="16">
        <f>IF(AC2200=0,IF(O2200=4,INDEX(Acceleration!$T$4:$T$110,MATCH('Track Data'!S2200,Acceleration!$K$4:$K$110,0)),IF('Track Data'!O2200=3,INDEX(Acceleration!$S$4:$S$110,MATCH('Track Data'!S2200,Acceleration!$K$4:$K$110,0)),'Track Data'!AF2200)),'Track Data'!U2200)</f>
        <v>5.2583296715092471</v>
      </c>
      <c r="AH2200" s="16">
        <f>IF(AC2200=0,IF(O2200=2,INDEX(Acceleration!$R$4:$R$110,MATCH('Track Data'!S2200,Acceleration!$K$4:$K$110,0)),IF('Track Data'!O2200=1,INDEX(Acceleration!$Q$4:$Q$110,MATCH('Track Data'!S2200,Acceleration!$K$4:$K$110,0)),'Track Data'!AG2200)),'Track Data'!U2200)</f>
        <v>5.2583296715092471</v>
      </c>
    </row>
    <row r="2201" spans="2:34" x14ac:dyDescent="0.25">
      <c r="B2201" s="16">
        <v>253.48599999999999</v>
      </c>
      <c r="C2201" s="16">
        <v>9471</v>
      </c>
      <c r="D2201" s="16">
        <v>2198</v>
      </c>
      <c r="E2201" s="113">
        <v>157</v>
      </c>
      <c r="F2201" s="113">
        <v>148.9</v>
      </c>
      <c r="G2201" s="113">
        <v>142.69999999999999</v>
      </c>
      <c r="H2201" s="113">
        <f t="shared" si="243"/>
        <v>39.638888888888886</v>
      </c>
      <c r="I2201" s="113">
        <v>14.1</v>
      </c>
      <c r="J2201" s="113">
        <v>27.41</v>
      </c>
      <c r="K2201" s="113">
        <v>-49.4</v>
      </c>
      <c r="L2201" s="183"/>
      <c r="M2201" s="16">
        <v>2198</v>
      </c>
      <c r="N2201" s="16">
        <f t="shared" si="245"/>
        <v>2.4223940006716432E-2</v>
      </c>
      <c r="O2201" s="16">
        <v>3</v>
      </c>
      <c r="P2201" s="16">
        <f t="shared" si="241"/>
        <v>10.596205962059623</v>
      </c>
      <c r="Q2201" s="16">
        <f t="shared" si="246"/>
        <v>41.281476082038502</v>
      </c>
      <c r="R2201" s="113">
        <f t="shared" si="242"/>
        <v>345.36</v>
      </c>
      <c r="S2201" s="16">
        <f>IF(S2200=15800,15800,ROUND((((Q2201*60)/'Gearing Calculator'!$C$14)*'Track Data'!P2201),-2))</f>
        <v>13300</v>
      </c>
      <c r="T2201" s="16">
        <f t="shared" si="244"/>
        <v>5.2583296715092471</v>
      </c>
      <c r="U2201" s="16">
        <f>IF(AC2201=100,Braking!$AG$2354,IF(AC2201=50,Braking!$AG$1179,IF(AC2201=75,Braking!$AG$1767,0)))</f>
        <v>0</v>
      </c>
      <c r="V2201" s="16">
        <f>0.5*'Gearing Calculator'!$C$15*'Gearing Calculator'!$C$20*'Gearing Calculator'!$W$20*('Track Data'!Q2201^2)</f>
        <v>180.36832271346125</v>
      </c>
      <c r="W2201" s="16">
        <f>('Gearing Calculator'!$U$9*'Track Data'!T2201)+'Track Data'!V2201</f>
        <v>1580.1356812692229</v>
      </c>
      <c r="X2201" s="16">
        <f>('Gearing Calculator'!$U$9*9.81)*('Gearing Calculator'!$U$16/'Gearing Calculator'!$C$7)-(('Track Data'!W2201)*('Gearing Calculator'!$U$17/'Gearing Calculator'!$C$7))</f>
        <v>539.88044034373297</v>
      </c>
      <c r="Y2201" s="16">
        <f>('Gearing Calculator'!$U$9*9.81)*(('Gearing Calculator'!$C$7-'Gearing Calculator'!$U$16)/'Gearing Calculator'!$C$7)+(('Track Data'!W2201)*('Gearing Calculator'!$U$17/'Gearing Calculator'!$C$7))</f>
        <v>2071.5415596562671</v>
      </c>
      <c r="Z2201" s="16">
        <f>((X2201*COS('Gearing Calculator'!$C$21))/'Gearing Calculator'!$C$22)/2</f>
        <v>16.691395719071824</v>
      </c>
      <c r="AA2201" s="16">
        <f>Y2201/'Gearing Calculator'!$C$24</f>
        <v>28.925668218874538</v>
      </c>
      <c r="AB2201" s="16">
        <f t="shared" si="240"/>
        <v>196.14331172798899</v>
      </c>
      <c r="AC2201" s="16">
        <v>0</v>
      </c>
      <c r="AD2201" s="16">
        <v>-51.415226335993196</v>
      </c>
      <c r="AE2201" s="16">
        <v>2198</v>
      </c>
      <c r="AF2201" s="16">
        <f>IF(AC2201=0,IF(O2201=6,INDEX(Acceleration!$V$4:$V$110,MATCH('Track Data'!S2201,Acceleration!$K$4:$K$110,0)),IF('Track Data'!O2201=5,INDEX(Acceleration!$U$4:$U$110,MATCH('Track Data'!S2201,Acceleration!$K$4:$K$110,0)),1)),U2201)</f>
        <v>1</v>
      </c>
      <c r="AG2201" s="16">
        <f>IF(AC2201=0,IF(O2201=4,INDEX(Acceleration!$T$4:$T$110,MATCH('Track Data'!S2201,Acceleration!$K$4:$K$110,0)),IF('Track Data'!O2201=3,INDEX(Acceleration!$S$4:$S$110,MATCH('Track Data'!S2201,Acceleration!$K$4:$K$110,0)),'Track Data'!AF2201)),'Track Data'!U2201)</f>
        <v>5.2583296715092471</v>
      </c>
      <c r="AH2201" s="16">
        <f>IF(AC2201=0,IF(O2201=2,INDEX(Acceleration!$R$4:$R$110,MATCH('Track Data'!S2201,Acceleration!$K$4:$K$110,0)),IF('Track Data'!O2201=1,INDEX(Acceleration!$Q$4:$Q$110,MATCH('Track Data'!S2201,Acceleration!$K$4:$K$110,0)),'Track Data'!AG2201)),'Track Data'!U2201)</f>
        <v>5.2583296715092471</v>
      </c>
    </row>
    <row r="2202" spans="2:34" x14ac:dyDescent="0.25">
      <c r="B2202" s="16">
        <v>253.511</v>
      </c>
      <c r="C2202" s="16">
        <v>9472</v>
      </c>
      <c r="D2202" s="16">
        <v>2199</v>
      </c>
      <c r="E2202" s="113">
        <v>157</v>
      </c>
      <c r="F2202" s="113">
        <v>149.1</v>
      </c>
      <c r="G2202" s="113">
        <v>143.30000000000001</v>
      </c>
      <c r="H2202" s="113">
        <f t="shared" si="243"/>
        <v>39.805555555555557</v>
      </c>
      <c r="I2202" s="113">
        <v>15.4</v>
      </c>
      <c r="J2202" s="113">
        <v>27.35</v>
      </c>
      <c r="K2202" s="113">
        <v>-47.5</v>
      </c>
      <c r="L2202" s="183"/>
      <c r="M2202" s="16">
        <v>2199</v>
      </c>
      <c r="N2202" s="16">
        <f t="shared" si="245"/>
        <v>2.4223940006716432E-2</v>
      </c>
      <c r="O2202" s="16">
        <v>3</v>
      </c>
      <c r="P2202" s="16">
        <f t="shared" si="241"/>
        <v>10.596205962059623</v>
      </c>
      <c r="Q2202" s="16">
        <f t="shared" si="246"/>
        <v>41.281476082038502</v>
      </c>
      <c r="R2202" s="113">
        <f t="shared" si="242"/>
        <v>345.36</v>
      </c>
      <c r="S2202" s="16">
        <f>IF(S2201=15800,15800,ROUND((((Q2202*60)/'Gearing Calculator'!$C$14)*'Track Data'!P2202),-2))</f>
        <v>13300</v>
      </c>
      <c r="T2202" s="16">
        <f t="shared" si="244"/>
        <v>5.2583296715092471</v>
      </c>
      <c r="U2202" s="16">
        <f>IF(AC2202=100,Braking!$AG$2354,IF(AC2202=50,Braking!$AG$1179,IF(AC2202=75,Braking!$AG$1767,0)))</f>
        <v>0</v>
      </c>
      <c r="V2202" s="16">
        <f>0.5*'Gearing Calculator'!$C$15*'Gearing Calculator'!$C$20*'Gearing Calculator'!$W$20*('Track Data'!Q2202^2)</f>
        <v>180.36832271346125</v>
      </c>
      <c r="W2202" s="16">
        <f>('Gearing Calculator'!$U$9*'Track Data'!T2202)+'Track Data'!V2202</f>
        <v>1580.1356812692229</v>
      </c>
      <c r="X2202" s="16">
        <f>('Gearing Calculator'!$U$9*9.81)*('Gearing Calculator'!$U$16/'Gearing Calculator'!$C$7)-(('Track Data'!W2202)*('Gearing Calculator'!$U$17/'Gearing Calculator'!$C$7))</f>
        <v>539.88044034373297</v>
      </c>
      <c r="Y2202" s="16">
        <f>('Gearing Calculator'!$U$9*9.81)*(('Gearing Calculator'!$C$7-'Gearing Calculator'!$U$16)/'Gearing Calculator'!$C$7)+(('Track Data'!W2202)*('Gearing Calculator'!$U$17/'Gearing Calculator'!$C$7))</f>
        <v>2071.5415596562671</v>
      </c>
      <c r="Z2202" s="16">
        <f>((X2202*COS('Gearing Calculator'!$C$21))/'Gearing Calculator'!$C$22)/2</f>
        <v>16.691395719071824</v>
      </c>
      <c r="AA2202" s="16">
        <f>Y2202/'Gearing Calculator'!$C$24</f>
        <v>28.925668218874538</v>
      </c>
      <c r="AB2202" s="16">
        <f t="shared" si="240"/>
        <v>196.14331172798899</v>
      </c>
      <c r="AC2202" s="16">
        <v>0</v>
      </c>
      <c r="AD2202" s="16">
        <v>-51.415226335993196</v>
      </c>
      <c r="AE2202" s="16">
        <v>2199</v>
      </c>
      <c r="AF2202" s="16">
        <f>IF(AC2202=0,IF(O2202=6,INDEX(Acceleration!$V$4:$V$110,MATCH('Track Data'!S2202,Acceleration!$K$4:$K$110,0)),IF('Track Data'!O2202=5,INDEX(Acceleration!$U$4:$U$110,MATCH('Track Data'!S2202,Acceleration!$K$4:$K$110,0)),1)),U2202)</f>
        <v>1</v>
      </c>
      <c r="AG2202" s="16">
        <f>IF(AC2202=0,IF(O2202=4,INDEX(Acceleration!$T$4:$T$110,MATCH('Track Data'!S2202,Acceleration!$K$4:$K$110,0)),IF('Track Data'!O2202=3,INDEX(Acceleration!$S$4:$S$110,MATCH('Track Data'!S2202,Acceleration!$K$4:$K$110,0)),'Track Data'!AF2202)),'Track Data'!U2202)</f>
        <v>5.2583296715092471</v>
      </c>
      <c r="AH2202" s="16">
        <f>IF(AC2202=0,IF(O2202=2,INDEX(Acceleration!$R$4:$R$110,MATCH('Track Data'!S2202,Acceleration!$K$4:$K$110,0)),IF('Track Data'!O2202=1,INDEX(Acceleration!$Q$4:$Q$110,MATCH('Track Data'!S2202,Acceleration!$K$4:$K$110,0)),'Track Data'!AG2202)),'Track Data'!U2202)</f>
        <v>5.2583296715092471</v>
      </c>
    </row>
    <row r="2203" spans="2:34" x14ac:dyDescent="0.25">
      <c r="B2203" s="16">
        <v>253.53399999999999</v>
      </c>
      <c r="C2203" s="16">
        <v>9473</v>
      </c>
      <c r="D2203" s="16">
        <v>2200</v>
      </c>
      <c r="E2203" s="113">
        <v>158</v>
      </c>
      <c r="F2203" s="113">
        <v>149.1</v>
      </c>
      <c r="G2203" s="113">
        <v>143.69999999999999</v>
      </c>
      <c r="H2203" s="113">
        <f t="shared" si="243"/>
        <v>39.916666666666664</v>
      </c>
      <c r="I2203" s="113">
        <v>15.8</v>
      </c>
      <c r="J2203" s="113">
        <v>25.07</v>
      </c>
      <c r="K2203" s="113">
        <v>-46.8</v>
      </c>
      <c r="L2203" s="183"/>
      <c r="M2203" s="16">
        <v>2200</v>
      </c>
      <c r="N2203" s="16">
        <f t="shared" si="245"/>
        <v>2.4223940006716432E-2</v>
      </c>
      <c r="O2203" s="16">
        <v>3</v>
      </c>
      <c r="P2203" s="16">
        <f t="shared" si="241"/>
        <v>10.596205962059623</v>
      </c>
      <c r="Q2203" s="16">
        <f t="shared" si="246"/>
        <v>41.281476082038502</v>
      </c>
      <c r="R2203" s="113">
        <f t="shared" si="242"/>
        <v>345.36</v>
      </c>
      <c r="S2203" s="16">
        <f>IF(S2202=15800,15800,ROUND((((Q2203*60)/'Gearing Calculator'!$C$14)*'Track Data'!P2203),-2))</f>
        <v>13300</v>
      </c>
      <c r="T2203" s="16">
        <f t="shared" si="244"/>
        <v>5.2583296715092471</v>
      </c>
      <c r="U2203" s="16">
        <f>IF(AC2203=100,Braking!$AG$2354,IF(AC2203=50,Braking!$AG$1179,IF(AC2203=75,Braking!$AG$1767,0)))</f>
        <v>0</v>
      </c>
      <c r="V2203" s="16">
        <f>0.5*'Gearing Calculator'!$C$15*'Gearing Calculator'!$C$20*'Gearing Calculator'!$W$20*('Track Data'!Q2203^2)</f>
        <v>180.36832271346125</v>
      </c>
      <c r="W2203" s="16">
        <f>('Gearing Calculator'!$U$9*'Track Data'!T2203)+'Track Data'!V2203</f>
        <v>1580.1356812692229</v>
      </c>
      <c r="X2203" s="16">
        <f>('Gearing Calculator'!$U$9*9.81)*('Gearing Calculator'!$U$16/'Gearing Calculator'!$C$7)-(('Track Data'!W2203)*('Gearing Calculator'!$U$17/'Gearing Calculator'!$C$7))</f>
        <v>539.88044034373297</v>
      </c>
      <c r="Y2203" s="16">
        <f>('Gearing Calculator'!$U$9*9.81)*(('Gearing Calculator'!$C$7-'Gearing Calculator'!$U$16)/'Gearing Calculator'!$C$7)+(('Track Data'!W2203)*('Gearing Calculator'!$U$17/'Gearing Calculator'!$C$7))</f>
        <v>2071.5415596562671</v>
      </c>
      <c r="Z2203" s="16">
        <f>((X2203*COS('Gearing Calculator'!$C$21))/'Gearing Calculator'!$C$22)/2</f>
        <v>16.691395719071824</v>
      </c>
      <c r="AA2203" s="16">
        <f>Y2203/'Gearing Calculator'!$C$24</f>
        <v>28.925668218874538</v>
      </c>
      <c r="AB2203" s="16">
        <f t="shared" si="240"/>
        <v>196.14331172798899</v>
      </c>
      <c r="AC2203" s="16">
        <v>0</v>
      </c>
      <c r="AD2203" s="16">
        <v>-51.415226335993196</v>
      </c>
      <c r="AE2203" s="16">
        <v>2200</v>
      </c>
      <c r="AF2203" s="16">
        <f>IF(AC2203=0,IF(O2203=6,INDEX(Acceleration!$V$4:$V$110,MATCH('Track Data'!S2203,Acceleration!$K$4:$K$110,0)),IF('Track Data'!O2203=5,INDEX(Acceleration!$U$4:$U$110,MATCH('Track Data'!S2203,Acceleration!$K$4:$K$110,0)),1)),U2203)</f>
        <v>1</v>
      </c>
      <c r="AG2203" s="16">
        <f>IF(AC2203=0,IF(O2203=4,INDEX(Acceleration!$T$4:$T$110,MATCH('Track Data'!S2203,Acceleration!$K$4:$K$110,0)),IF('Track Data'!O2203=3,INDEX(Acceleration!$S$4:$S$110,MATCH('Track Data'!S2203,Acceleration!$K$4:$K$110,0)),'Track Data'!AF2203)),'Track Data'!U2203)</f>
        <v>5.2583296715092471</v>
      </c>
      <c r="AH2203" s="16">
        <f>IF(AC2203=0,IF(O2203=2,INDEX(Acceleration!$R$4:$R$110,MATCH('Track Data'!S2203,Acceleration!$K$4:$K$110,0)),IF('Track Data'!O2203=1,INDEX(Acceleration!$Q$4:$Q$110,MATCH('Track Data'!S2203,Acceleration!$K$4:$K$110,0)),'Track Data'!AG2203)),'Track Data'!U2203)</f>
        <v>5.2583296715092471</v>
      </c>
    </row>
    <row r="2204" spans="2:34" x14ac:dyDescent="0.25">
      <c r="B2204" s="16">
        <v>253.559</v>
      </c>
      <c r="C2204" s="16">
        <v>9474</v>
      </c>
      <c r="D2204" s="16">
        <v>2201</v>
      </c>
      <c r="E2204" s="113">
        <v>159</v>
      </c>
      <c r="F2204" s="113">
        <v>149</v>
      </c>
      <c r="G2204" s="113">
        <v>144.1</v>
      </c>
      <c r="H2204" s="113">
        <f t="shared" si="243"/>
        <v>40.027777777777779</v>
      </c>
      <c r="I2204" s="113">
        <v>15.1</v>
      </c>
      <c r="J2204" s="113">
        <v>25.02</v>
      </c>
      <c r="K2204" s="113">
        <v>-46.4</v>
      </c>
      <c r="L2204" s="183"/>
      <c r="M2204" s="16">
        <v>2201</v>
      </c>
      <c r="N2204" s="16">
        <f t="shared" si="245"/>
        <v>2.4223940006716432E-2</v>
      </c>
      <c r="O2204" s="16">
        <v>3</v>
      </c>
      <c r="P2204" s="16">
        <f t="shared" si="241"/>
        <v>10.596205962059623</v>
      </c>
      <c r="Q2204" s="16">
        <f t="shared" si="246"/>
        <v>41.281476082038502</v>
      </c>
      <c r="R2204" s="113">
        <f t="shared" si="242"/>
        <v>345.36</v>
      </c>
      <c r="S2204" s="16">
        <f>IF(S2203=15800,15800,ROUND((((Q2204*60)/'Gearing Calculator'!$C$14)*'Track Data'!P2204),-2))</f>
        <v>13300</v>
      </c>
      <c r="T2204" s="16">
        <f t="shared" si="244"/>
        <v>5.2583296715092471</v>
      </c>
      <c r="U2204" s="16">
        <f>IF(AC2204=100,Braking!$AG$2354,IF(AC2204=50,Braking!$AG$1179,IF(AC2204=75,Braking!$AG$1767,0)))</f>
        <v>0</v>
      </c>
      <c r="V2204" s="16">
        <f>0.5*'Gearing Calculator'!$C$15*'Gearing Calculator'!$C$20*'Gearing Calculator'!$W$20*('Track Data'!Q2204^2)</f>
        <v>180.36832271346125</v>
      </c>
      <c r="W2204" s="16">
        <f>('Gearing Calculator'!$U$9*'Track Data'!T2204)+'Track Data'!V2204</f>
        <v>1580.1356812692229</v>
      </c>
      <c r="X2204" s="16">
        <f>('Gearing Calculator'!$U$9*9.81)*('Gearing Calculator'!$U$16/'Gearing Calculator'!$C$7)-(('Track Data'!W2204)*('Gearing Calculator'!$U$17/'Gearing Calculator'!$C$7))</f>
        <v>539.88044034373297</v>
      </c>
      <c r="Y2204" s="16">
        <f>('Gearing Calculator'!$U$9*9.81)*(('Gearing Calculator'!$C$7-'Gearing Calculator'!$U$16)/'Gearing Calculator'!$C$7)+(('Track Data'!W2204)*('Gearing Calculator'!$U$17/'Gearing Calculator'!$C$7))</f>
        <v>2071.5415596562671</v>
      </c>
      <c r="Z2204" s="16">
        <f>((X2204*COS('Gearing Calculator'!$C$21))/'Gearing Calculator'!$C$22)/2</f>
        <v>16.691395719071824</v>
      </c>
      <c r="AA2204" s="16">
        <f>Y2204/'Gearing Calculator'!$C$24</f>
        <v>28.925668218874538</v>
      </c>
      <c r="AB2204" s="16">
        <f t="shared" si="240"/>
        <v>196.14331172798899</v>
      </c>
      <c r="AC2204" s="16">
        <v>0</v>
      </c>
      <c r="AD2204" s="16">
        <v>-51.415226335993196</v>
      </c>
      <c r="AE2204" s="16">
        <v>2201</v>
      </c>
      <c r="AF2204" s="16">
        <f>IF(AC2204=0,IF(O2204=6,INDEX(Acceleration!$V$4:$V$110,MATCH('Track Data'!S2204,Acceleration!$K$4:$K$110,0)),IF('Track Data'!O2204=5,INDEX(Acceleration!$U$4:$U$110,MATCH('Track Data'!S2204,Acceleration!$K$4:$K$110,0)),1)),U2204)</f>
        <v>1</v>
      </c>
      <c r="AG2204" s="16">
        <f>IF(AC2204=0,IF(O2204=4,INDEX(Acceleration!$T$4:$T$110,MATCH('Track Data'!S2204,Acceleration!$K$4:$K$110,0)),IF('Track Data'!O2204=3,INDEX(Acceleration!$S$4:$S$110,MATCH('Track Data'!S2204,Acceleration!$K$4:$K$110,0)),'Track Data'!AF2204)),'Track Data'!U2204)</f>
        <v>5.2583296715092471</v>
      </c>
      <c r="AH2204" s="16">
        <f>IF(AC2204=0,IF(O2204=2,INDEX(Acceleration!$R$4:$R$110,MATCH('Track Data'!S2204,Acceleration!$K$4:$K$110,0)),IF('Track Data'!O2204=1,INDEX(Acceleration!$Q$4:$Q$110,MATCH('Track Data'!S2204,Acceleration!$K$4:$K$110,0)),'Track Data'!AG2204)),'Track Data'!U2204)</f>
        <v>5.2583296715092471</v>
      </c>
    </row>
    <row r="2205" spans="2:34" x14ac:dyDescent="0.25">
      <c r="B2205" s="16">
        <v>253.583</v>
      </c>
      <c r="C2205" s="16">
        <v>9475</v>
      </c>
      <c r="D2205" s="16">
        <v>2202</v>
      </c>
      <c r="E2205" s="113">
        <v>160</v>
      </c>
      <c r="F2205" s="113">
        <v>148.5</v>
      </c>
      <c r="G2205" s="113">
        <v>144.6</v>
      </c>
      <c r="H2205" s="113">
        <f t="shared" si="243"/>
        <v>40.166666666666664</v>
      </c>
      <c r="I2205" s="113">
        <v>12.3</v>
      </c>
      <c r="J2205" s="113">
        <v>21.42</v>
      </c>
      <c r="K2205" s="113">
        <v>-45.8</v>
      </c>
      <c r="L2205" s="183"/>
      <c r="M2205" s="16">
        <v>2202</v>
      </c>
      <c r="N2205" s="16">
        <f t="shared" si="245"/>
        <v>2.4223940006716432E-2</v>
      </c>
      <c r="O2205" s="16">
        <v>3</v>
      </c>
      <c r="P2205" s="16">
        <f t="shared" si="241"/>
        <v>10.596205962059623</v>
      </c>
      <c r="Q2205" s="16">
        <f t="shared" si="246"/>
        <v>41.281476082038502</v>
      </c>
      <c r="R2205" s="113">
        <f t="shared" si="242"/>
        <v>345.36</v>
      </c>
      <c r="S2205" s="16">
        <f>IF(S2204=15800,15800,ROUND((((Q2205*60)/'Gearing Calculator'!$C$14)*'Track Data'!P2205),-2))</f>
        <v>13300</v>
      </c>
      <c r="T2205" s="16">
        <f t="shared" si="244"/>
        <v>5.2583296715092471</v>
      </c>
      <c r="U2205" s="16">
        <f>IF(AC2205=100,Braking!$AG$2354,IF(AC2205=50,Braking!$AG$1179,IF(AC2205=75,Braking!$AG$1767,0)))</f>
        <v>0</v>
      </c>
      <c r="V2205" s="16">
        <f>0.5*'Gearing Calculator'!$C$15*'Gearing Calculator'!$C$20*'Gearing Calculator'!$W$20*('Track Data'!Q2205^2)</f>
        <v>180.36832271346125</v>
      </c>
      <c r="W2205" s="16">
        <f>('Gearing Calculator'!$U$9*'Track Data'!T2205)+'Track Data'!V2205</f>
        <v>1580.1356812692229</v>
      </c>
      <c r="X2205" s="16">
        <f>('Gearing Calculator'!$U$9*9.81)*('Gearing Calculator'!$U$16/'Gearing Calculator'!$C$7)-(('Track Data'!W2205)*('Gearing Calculator'!$U$17/'Gearing Calculator'!$C$7))</f>
        <v>539.88044034373297</v>
      </c>
      <c r="Y2205" s="16">
        <f>('Gearing Calculator'!$U$9*9.81)*(('Gearing Calculator'!$C$7-'Gearing Calculator'!$U$16)/'Gearing Calculator'!$C$7)+(('Track Data'!W2205)*('Gearing Calculator'!$U$17/'Gearing Calculator'!$C$7))</f>
        <v>2071.5415596562671</v>
      </c>
      <c r="Z2205" s="16">
        <f>((X2205*COS('Gearing Calculator'!$C$21))/'Gearing Calculator'!$C$22)/2</f>
        <v>16.691395719071824</v>
      </c>
      <c r="AA2205" s="16">
        <f>Y2205/'Gearing Calculator'!$C$24</f>
        <v>28.925668218874538</v>
      </c>
      <c r="AB2205" s="16">
        <f t="shared" si="240"/>
        <v>196.14331172798899</v>
      </c>
      <c r="AC2205" s="16">
        <v>0</v>
      </c>
      <c r="AD2205" s="16">
        <v>-51.415226335993196</v>
      </c>
      <c r="AE2205" s="16">
        <v>2202</v>
      </c>
      <c r="AF2205" s="16">
        <f>IF(AC2205=0,IF(O2205=6,INDEX(Acceleration!$V$4:$V$110,MATCH('Track Data'!S2205,Acceleration!$K$4:$K$110,0)),IF('Track Data'!O2205=5,INDEX(Acceleration!$U$4:$U$110,MATCH('Track Data'!S2205,Acceleration!$K$4:$K$110,0)),1)),U2205)</f>
        <v>1</v>
      </c>
      <c r="AG2205" s="16">
        <f>IF(AC2205=0,IF(O2205=4,INDEX(Acceleration!$T$4:$T$110,MATCH('Track Data'!S2205,Acceleration!$K$4:$K$110,0)),IF('Track Data'!O2205=3,INDEX(Acceleration!$S$4:$S$110,MATCH('Track Data'!S2205,Acceleration!$K$4:$K$110,0)),'Track Data'!AF2205)),'Track Data'!U2205)</f>
        <v>5.2583296715092471</v>
      </c>
      <c r="AH2205" s="16">
        <f>IF(AC2205=0,IF(O2205=2,INDEX(Acceleration!$R$4:$R$110,MATCH('Track Data'!S2205,Acceleration!$K$4:$K$110,0)),IF('Track Data'!O2205=1,INDEX(Acceleration!$Q$4:$Q$110,MATCH('Track Data'!S2205,Acceleration!$K$4:$K$110,0)),'Track Data'!AG2205)),'Track Data'!U2205)</f>
        <v>5.2583296715092471</v>
      </c>
    </row>
    <row r="2206" spans="2:34" x14ac:dyDescent="0.25">
      <c r="B2206" s="16">
        <v>253.607</v>
      </c>
      <c r="C2206" s="16">
        <v>9476</v>
      </c>
      <c r="D2206" s="16">
        <v>2203</v>
      </c>
      <c r="E2206" s="113">
        <v>162</v>
      </c>
      <c r="F2206" s="113">
        <v>148.4</v>
      </c>
      <c r="G2206" s="113">
        <v>145</v>
      </c>
      <c r="H2206" s="113">
        <f t="shared" si="243"/>
        <v>40.277777777777779</v>
      </c>
      <c r="I2206" s="113">
        <v>9.8000000000000007</v>
      </c>
      <c r="J2206" s="113">
        <v>16.149999999999999</v>
      </c>
      <c r="K2206" s="113">
        <v>-45.5</v>
      </c>
      <c r="L2206" s="183"/>
      <c r="M2206" s="16">
        <v>2203</v>
      </c>
      <c r="N2206" s="16">
        <f t="shared" si="245"/>
        <v>2.4223940006716432E-2</v>
      </c>
      <c r="O2206" s="16">
        <v>3</v>
      </c>
      <c r="P2206" s="16">
        <f t="shared" si="241"/>
        <v>10.596205962059623</v>
      </c>
      <c r="Q2206" s="16">
        <f t="shared" si="246"/>
        <v>41.281476082038502</v>
      </c>
      <c r="R2206" s="113">
        <f t="shared" si="242"/>
        <v>345.36</v>
      </c>
      <c r="S2206" s="16">
        <f>IF(S2205=15800,15800,ROUND((((Q2206*60)/'Gearing Calculator'!$C$14)*'Track Data'!P2206),-2))</f>
        <v>13300</v>
      </c>
      <c r="T2206" s="16">
        <f t="shared" si="244"/>
        <v>5.2583296715092471</v>
      </c>
      <c r="U2206" s="16">
        <f>IF(AC2206=100,Braking!$AG$2354,IF(AC2206=50,Braking!$AG$1179,IF(AC2206=75,Braking!$AG$1767,0)))</f>
        <v>0</v>
      </c>
      <c r="V2206" s="16">
        <f>0.5*'Gearing Calculator'!$C$15*'Gearing Calculator'!$C$20*'Gearing Calculator'!$W$20*('Track Data'!Q2206^2)</f>
        <v>180.36832271346125</v>
      </c>
      <c r="W2206" s="16">
        <f>('Gearing Calculator'!$U$9*'Track Data'!T2206)+'Track Data'!V2206</f>
        <v>1580.1356812692229</v>
      </c>
      <c r="X2206" s="16">
        <f>('Gearing Calculator'!$U$9*9.81)*('Gearing Calculator'!$U$16/'Gearing Calculator'!$C$7)-(('Track Data'!W2206)*('Gearing Calculator'!$U$17/'Gearing Calculator'!$C$7))</f>
        <v>539.88044034373297</v>
      </c>
      <c r="Y2206" s="16">
        <f>('Gearing Calculator'!$U$9*9.81)*(('Gearing Calculator'!$C$7-'Gearing Calculator'!$U$16)/'Gearing Calculator'!$C$7)+(('Track Data'!W2206)*('Gearing Calculator'!$U$17/'Gearing Calculator'!$C$7))</f>
        <v>2071.5415596562671</v>
      </c>
      <c r="Z2206" s="16">
        <f>((X2206*COS('Gearing Calculator'!$C$21))/'Gearing Calculator'!$C$22)/2</f>
        <v>16.691395719071824</v>
      </c>
      <c r="AA2206" s="16">
        <f>Y2206/'Gearing Calculator'!$C$24</f>
        <v>28.925668218874538</v>
      </c>
      <c r="AB2206" s="16">
        <f t="shared" si="240"/>
        <v>196.14331172798899</v>
      </c>
      <c r="AC2206" s="16">
        <v>0</v>
      </c>
      <c r="AD2206" s="16">
        <v>-51.415226335993196</v>
      </c>
      <c r="AE2206" s="16">
        <v>2203</v>
      </c>
      <c r="AF2206" s="16">
        <f>IF(AC2206=0,IF(O2206=6,INDEX(Acceleration!$V$4:$V$110,MATCH('Track Data'!S2206,Acceleration!$K$4:$K$110,0)),IF('Track Data'!O2206=5,INDEX(Acceleration!$U$4:$U$110,MATCH('Track Data'!S2206,Acceleration!$K$4:$K$110,0)),1)),U2206)</f>
        <v>1</v>
      </c>
      <c r="AG2206" s="16">
        <f>IF(AC2206=0,IF(O2206=4,INDEX(Acceleration!$T$4:$T$110,MATCH('Track Data'!S2206,Acceleration!$K$4:$K$110,0)),IF('Track Data'!O2206=3,INDEX(Acceleration!$S$4:$S$110,MATCH('Track Data'!S2206,Acceleration!$K$4:$K$110,0)),'Track Data'!AF2206)),'Track Data'!U2206)</f>
        <v>5.2583296715092471</v>
      </c>
      <c r="AH2206" s="16">
        <f>IF(AC2206=0,IF(O2206=2,INDEX(Acceleration!$R$4:$R$110,MATCH('Track Data'!S2206,Acceleration!$K$4:$K$110,0)),IF('Track Data'!O2206=1,INDEX(Acceleration!$Q$4:$Q$110,MATCH('Track Data'!S2206,Acceleration!$K$4:$K$110,0)),'Track Data'!AG2206)),'Track Data'!U2206)</f>
        <v>5.2583296715092471</v>
      </c>
    </row>
    <row r="2207" spans="2:34" x14ac:dyDescent="0.25">
      <c r="B2207" s="16">
        <v>253.631</v>
      </c>
      <c r="C2207" s="16">
        <v>9477</v>
      </c>
      <c r="D2207" s="16">
        <v>2204</v>
      </c>
      <c r="E2207" s="113">
        <v>164</v>
      </c>
      <c r="F2207" s="113">
        <v>149.9</v>
      </c>
      <c r="G2207" s="113">
        <v>145.5</v>
      </c>
      <c r="H2207" s="113">
        <f t="shared" si="243"/>
        <v>40.416666666666664</v>
      </c>
      <c r="I2207" s="113">
        <v>3.4</v>
      </c>
      <c r="J2207" s="113">
        <v>8.74</v>
      </c>
      <c r="K2207" s="113">
        <v>-46.1</v>
      </c>
      <c r="L2207" s="183"/>
      <c r="M2207" s="16">
        <v>2204</v>
      </c>
      <c r="N2207" s="16">
        <f t="shared" si="245"/>
        <v>2.4223940006716432E-2</v>
      </c>
      <c r="O2207" s="16">
        <v>3</v>
      </c>
      <c r="P2207" s="16">
        <f t="shared" si="241"/>
        <v>10.596205962059623</v>
      </c>
      <c r="Q2207" s="16">
        <f t="shared" si="246"/>
        <v>41.281476082038502</v>
      </c>
      <c r="R2207" s="113">
        <f t="shared" si="242"/>
        <v>345.36</v>
      </c>
      <c r="S2207" s="16">
        <f>IF(S2206=15800,15800,ROUND((((Q2207*60)/'Gearing Calculator'!$C$14)*'Track Data'!P2207),-2))</f>
        <v>13300</v>
      </c>
      <c r="T2207" s="16">
        <f t="shared" si="244"/>
        <v>5.2583296715092471</v>
      </c>
      <c r="U2207" s="16">
        <f>IF(AC2207=100,Braking!$AG$2354,IF(AC2207=50,Braking!$AG$1179,IF(AC2207=75,Braking!$AG$1767,0)))</f>
        <v>0</v>
      </c>
      <c r="V2207" s="16">
        <f>0.5*'Gearing Calculator'!$C$15*'Gearing Calculator'!$C$20*'Gearing Calculator'!$W$20*('Track Data'!Q2207^2)</f>
        <v>180.36832271346125</v>
      </c>
      <c r="W2207" s="16">
        <f>('Gearing Calculator'!$U$9*'Track Data'!T2207)+'Track Data'!V2207</f>
        <v>1580.1356812692229</v>
      </c>
      <c r="X2207" s="16">
        <f>('Gearing Calculator'!$U$9*9.81)*('Gearing Calculator'!$U$16/'Gearing Calculator'!$C$7)-(('Track Data'!W2207)*('Gearing Calculator'!$U$17/'Gearing Calculator'!$C$7))</f>
        <v>539.88044034373297</v>
      </c>
      <c r="Y2207" s="16">
        <f>('Gearing Calculator'!$U$9*9.81)*(('Gearing Calculator'!$C$7-'Gearing Calculator'!$U$16)/'Gearing Calculator'!$C$7)+(('Track Data'!W2207)*('Gearing Calculator'!$U$17/'Gearing Calculator'!$C$7))</f>
        <v>2071.5415596562671</v>
      </c>
      <c r="Z2207" s="16">
        <f>((X2207*COS('Gearing Calculator'!$C$21))/'Gearing Calculator'!$C$22)/2</f>
        <v>16.691395719071824</v>
      </c>
      <c r="AA2207" s="16">
        <f>Y2207/'Gearing Calculator'!$C$24</f>
        <v>28.925668218874538</v>
      </c>
      <c r="AB2207" s="16">
        <f t="shared" si="240"/>
        <v>196.14331172798899</v>
      </c>
      <c r="AC2207" s="16">
        <v>0</v>
      </c>
      <c r="AD2207" s="16">
        <v>-51.415226335993196</v>
      </c>
      <c r="AE2207" s="16">
        <v>2204</v>
      </c>
      <c r="AF2207" s="16">
        <f>IF(AC2207=0,IF(O2207=6,INDEX(Acceleration!$V$4:$V$110,MATCH('Track Data'!S2207,Acceleration!$K$4:$K$110,0)),IF('Track Data'!O2207=5,INDEX(Acceleration!$U$4:$U$110,MATCH('Track Data'!S2207,Acceleration!$K$4:$K$110,0)),1)),U2207)</f>
        <v>1</v>
      </c>
      <c r="AG2207" s="16">
        <f>IF(AC2207=0,IF(O2207=4,INDEX(Acceleration!$T$4:$T$110,MATCH('Track Data'!S2207,Acceleration!$K$4:$K$110,0)),IF('Track Data'!O2207=3,INDEX(Acceleration!$S$4:$S$110,MATCH('Track Data'!S2207,Acceleration!$K$4:$K$110,0)),'Track Data'!AF2207)),'Track Data'!U2207)</f>
        <v>5.2583296715092471</v>
      </c>
      <c r="AH2207" s="16">
        <f>IF(AC2207=0,IF(O2207=2,INDEX(Acceleration!$R$4:$R$110,MATCH('Track Data'!S2207,Acceleration!$K$4:$K$110,0)),IF('Track Data'!O2207=1,INDEX(Acceleration!$Q$4:$Q$110,MATCH('Track Data'!S2207,Acceleration!$K$4:$K$110,0)),'Track Data'!AG2207)),'Track Data'!U2207)</f>
        <v>5.2583296715092471</v>
      </c>
    </row>
    <row r="2208" spans="2:34" x14ac:dyDescent="0.25">
      <c r="B2208" s="16">
        <v>253.655</v>
      </c>
      <c r="C2208" s="16">
        <v>9478</v>
      </c>
      <c r="D2208" s="16">
        <v>2205</v>
      </c>
      <c r="E2208" s="113">
        <v>167</v>
      </c>
      <c r="F2208" s="113">
        <v>150.9</v>
      </c>
      <c r="G2208" s="113">
        <v>145.80000000000001</v>
      </c>
      <c r="H2208" s="113">
        <f t="shared" si="243"/>
        <v>40.5</v>
      </c>
      <c r="I2208" s="113">
        <v>-1.7</v>
      </c>
      <c r="J2208" s="113">
        <v>7.45</v>
      </c>
      <c r="K2208" s="113">
        <v>-46.4</v>
      </c>
      <c r="L2208" s="183"/>
      <c r="M2208" s="16">
        <v>2205</v>
      </c>
      <c r="N2208" s="16">
        <f t="shared" si="245"/>
        <v>2.4223940006716432E-2</v>
      </c>
      <c r="O2208" s="16">
        <v>3</v>
      </c>
      <c r="P2208" s="16">
        <f t="shared" si="241"/>
        <v>10.596205962059623</v>
      </c>
      <c r="Q2208" s="16">
        <f t="shared" si="246"/>
        <v>41.281476082038502</v>
      </c>
      <c r="R2208" s="113">
        <f t="shared" si="242"/>
        <v>345.36</v>
      </c>
      <c r="S2208" s="16">
        <f>IF(S2207=15800,15800,ROUND((((Q2208*60)/'Gearing Calculator'!$C$14)*'Track Data'!P2208),-2))</f>
        <v>13300</v>
      </c>
      <c r="T2208" s="16">
        <f t="shared" si="244"/>
        <v>5.2583296715092471</v>
      </c>
      <c r="U2208" s="16">
        <f>IF(AC2208=100,Braking!$AG$2354,IF(AC2208=50,Braking!$AG$1179,IF(AC2208=75,Braking!$AG$1767,0)))</f>
        <v>0</v>
      </c>
      <c r="V2208" s="16">
        <f>0.5*'Gearing Calculator'!$C$15*'Gearing Calculator'!$C$20*'Gearing Calculator'!$W$20*('Track Data'!Q2208^2)</f>
        <v>180.36832271346125</v>
      </c>
      <c r="W2208" s="16">
        <f>('Gearing Calculator'!$U$9*'Track Data'!T2208)+'Track Data'!V2208</f>
        <v>1580.1356812692229</v>
      </c>
      <c r="X2208" s="16">
        <f>('Gearing Calculator'!$U$9*9.81)*('Gearing Calculator'!$U$16/'Gearing Calculator'!$C$7)-(('Track Data'!W2208)*('Gearing Calculator'!$U$17/'Gearing Calculator'!$C$7))</f>
        <v>539.88044034373297</v>
      </c>
      <c r="Y2208" s="16">
        <f>('Gearing Calculator'!$U$9*9.81)*(('Gearing Calculator'!$C$7-'Gearing Calculator'!$U$16)/'Gearing Calculator'!$C$7)+(('Track Data'!W2208)*('Gearing Calculator'!$U$17/'Gearing Calculator'!$C$7))</f>
        <v>2071.5415596562671</v>
      </c>
      <c r="Z2208" s="16">
        <f>((X2208*COS('Gearing Calculator'!$C$21))/'Gearing Calculator'!$C$22)/2</f>
        <v>16.691395719071824</v>
      </c>
      <c r="AA2208" s="16">
        <f>Y2208/'Gearing Calculator'!$C$24</f>
        <v>28.925668218874538</v>
      </c>
      <c r="AB2208" s="16">
        <f t="shared" si="240"/>
        <v>196.14331172798899</v>
      </c>
      <c r="AC2208" s="16">
        <v>0</v>
      </c>
      <c r="AD2208" s="16">
        <v>-51.415226335993196</v>
      </c>
      <c r="AE2208" s="16">
        <v>2205</v>
      </c>
      <c r="AF2208" s="16">
        <f>IF(AC2208=0,IF(O2208=6,INDEX(Acceleration!$V$4:$V$110,MATCH('Track Data'!S2208,Acceleration!$K$4:$K$110,0)),IF('Track Data'!O2208=5,INDEX(Acceleration!$U$4:$U$110,MATCH('Track Data'!S2208,Acceleration!$K$4:$K$110,0)),1)),U2208)</f>
        <v>1</v>
      </c>
      <c r="AG2208" s="16">
        <f>IF(AC2208=0,IF(O2208=4,INDEX(Acceleration!$T$4:$T$110,MATCH('Track Data'!S2208,Acceleration!$K$4:$K$110,0)),IF('Track Data'!O2208=3,INDEX(Acceleration!$S$4:$S$110,MATCH('Track Data'!S2208,Acceleration!$K$4:$K$110,0)),'Track Data'!AF2208)),'Track Data'!U2208)</f>
        <v>5.2583296715092471</v>
      </c>
      <c r="AH2208" s="16">
        <f>IF(AC2208=0,IF(O2208=2,INDEX(Acceleration!$R$4:$R$110,MATCH('Track Data'!S2208,Acceleration!$K$4:$K$110,0)),IF('Track Data'!O2208=1,INDEX(Acceleration!$Q$4:$Q$110,MATCH('Track Data'!S2208,Acceleration!$K$4:$K$110,0)),'Track Data'!AG2208)),'Track Data'!U2208)</f>
        <v>5.2583296715092471</v>
      </c>
    </row>
    <row r="2209" spans="2:34" x14ac:dyDescent="0.25">
      <c r="B2209" s="16">
        <v>253.679</v>
      </c>
      <c r="C2209" s="16">
        <v>9479</v>
      </c>
      <c r="D2209" s="16">
        <v>2206</v>
      </c>
      <c r="E2209" s="113">
        <v>169</v>
      </c>
      <c r="F2209" s="113">
        <v>151.80000000000001</v>
      </c>
      <c r="G2209" s="113">
        <v>146.19999999999999</v>
      </c>
      <c r="H2209" s="113">
        <f t="shared" si="243"/>
        <v>40.611111111111107</v>
      </c>
      <c r="I2209" s="113">
        <v>-2.6</v>
      </c>
      <c r="J2209" s="113">
        <v>16.84</v>
      </c>
      <c r="K2209" s="113">
        <v>-46.7</v>
      </c>
      <c r="L2209" s="183"/>
      <c r="M2209" s="16">
        <v>2206</v>
      </c>
      <c r="N2209" s="16">
        <f t="shared" si="245"/>
        <v>2.4223940006716432E-2</v>
      </c>
      <c r="O2209" s="16">
        <v>3</v>
      </c>
      <c r="P2209" s="16">
        <f t="shared" si="241"/>
        <v>10.596205962059623</v>
      </c>
      <c r="Q2209" s="16">
        <f t="shared" si="246"/>
        <v>41.281476082038502</v>
      </c>
      <c r="R2209" s="113">
        <f t="shared" si="242"/>
        <v>345.36</v>
      </c>
      <c r="S2209" s="16">
        <f>IF(S2208=15800,15800,ROUND((((Q2209*60)/'Gearing Calculator'!$C$14)*'Track Data'!P2209),-2))</f>
        <v>13300</v>
      </c>
      <c r="T2209" s="16">
        <f t="shared" si="244"/>
        <v>5.2583296715092471</v>
      </c>
      <c r="U2209" s="16">
        <f>IF(AC2209=100,Braking!$AG$2354,IF(AC2209=50,Braking!$AG$1179,IF(AC2209=75,Braking!$AG$1767,0)))</f>
        <v>0</v>
      </c>
      <c r="V2209" s="16">
        <f>0.5*'Gearing Calculator'!$C$15*'Gearing Calculator'!$C$20*'Gearing Calculator'!$W$20*('Track Data'!Q2209^2)</f>
        <v>180.36832271346125</v>
      </c>
      <c r="W2209" s="16">
        <f>('Gearing Calculator'!$U$9*'Track Data'!T2209)+'Track Data'!V2209</f>
        <v>1580.1356812692229</v>
      </c>
      <c r="X2209" s="16">
        <f>('Gearing Calculator'!$U$9*9.81)*('Gearing Calculator'!$U$16/'Gearing Calculator'!$C$7)-(('Track Data'!W2209)*('Gearing Calculator'!$U$17/'Gearing Calculator'!$C$7))</f>
        <v>539.88044034373297</v>
      </c>
      <c r="Y2209" s="16">
        <f>('Gearing Calculator'!$U$9*9.81)*(('Gearing Calculator'!$C$7-'Gearing Calculator'!$U$16)/'Gearing Calculator'!$C$7)+(('Track Data'!W2209)*('Gearing Calculator'!$U$17/'Gearing Calculator'!$C$7))</f>
        <v>2071.5415596562671</v>
      </c>
      <c r="Z2209" s="16">
        <f>((X2209*COS('Gearing Calculator'!$C$21))/'Gearing Calculator'!$C$22)/2</f>
        <v>16.691395719071824</v>
      </c>
      <c r="AA2209" s="16">
        <f>Y2209/'Gearing Calculator'!$C$24</f>
        <v>28.925668218874538</v>
      </c>
      <c r="AB2209" s="16">
        <f t="shared" si="240"/>
        <v>196.14331172798899</v>
      </c>
      <c r="AC2209" s="16">
        <v>0</v>
      </c>
      <c r="AD2209" s="16">
        <v>-51.415226335993196</v>
      </c>
      <c r="AE2209" s="16">
        <v>2206</v>
      </c>
      <c r="AF2209" s="16">
        <f>IF(AC2209=0,IF(O2209=6,INDEX(Acceleration!$V$4:$V$110,MATCH('Track Data'!S2209,Acceleration!$K$4:$K$110,0)),IF('Track Data'!O2209=5,INDEX(Acceleration!$U$4:$U$110,MATCH('Track Data'!S2209,Acceleration!$K$4:$K$110,0)),1)),U2209)</f>
        <v>1</v>
      </c>
      <c r="AG2209" s="16">
        <f>IF(AC2209=0,IF(O2209=4,INDEX(Acceleration!$T$4:$T$110,MATCH('Track Data'!S2209,Acceleration!$K$4:$K$110,0)),IF('Track Data'!O2209=3,INDEX(Acceleration!$S$4:$S$110,MATCH('Track Data'!S2209,Acceleration!$K$4:$K$110,0)),'Track Data'!AF2209)),'Track Data'!U2209)</f>
        <v>5.2583296715092471</v>
      </c>
      <c r="AH2209" s="16">
        <f>IF(AC2209=0,IF(O2209=2,INDEX(Acceleration!$R$4:$R$110,MATCH('Track Data'!S2209,Acceleration!$K$4:$K$110,0)),IF('Track Data'!O2209=1,INDEX(Acceleration!$Q$4:$Q$110,MATCH('Track Data'!S2209,Acceleration!$K$4:$K$110,0)),'Track Data'!AG2209)),'Track Data'!U2209)</f>
        <v>5.2583296715092471</v>
      </c>
    </row>
    <row r="2210" spans="2:34" x14ac:dyDescent="0.25">
      <c r="B2210" s="16">
        <v>253.702</v>
      </c>
      <c r="C2210" s="16">
        <v>9480</v>
      </c>
      <c r="D2210" s="16">
        <v>2207</v>
      </c>
      <c r="E2210" s="113">
        <v>166</v>
      </c>
      <c r="F2210" s="113">
        <v>152.5</v>
      </c>
      <c r="G2210" s="113">
        <v>146.69999999999999</v>
      </c>
      <c r="H2210" s="113">
        <f t="shared" si="243"/>
        <v>40.749999999999993</v>
      </c>
      <c r="I2210" s="113">
        <v>2.7</v>
      </c>
      <c r="J2210" s="113">
        <v>25.82</v>
      </c>
      <c r="K2210" s="113">
        <v>-43</v>
      </c>
      <c r="L2210" s="183"/>
      <c r="M2210" s="16">
        <v>2207</v>
      </c>
      <c r="N2210" s="16">
        <f t="shared" si="245"/>
        <v>2.4223940006716432E-2</v>
      </c>
      <c r="O2210" s="16">
        <v>3</v>
      </c>
      <c r="P2210" s="16">
        <f t="shared" si="241"/>
        <v>10.596205962059623</v>
      </c>
      <c r="Q2210" s="16">
        <f t="shared" si="246"/>
        <v>41.281476082038502</v>
      </c>
      <c r="R2210" s="113">
        <f t="shared" si="242"/>
        <v>345.36</v>
      </c>
      <c r="S2210" s="16">
        <f>IF(S2209=15800,15800,ROUND((((Q2210*60)/'Gearing Calculator'!$C$14)*'Track Data'!P2210),-2))</f>
        <v>13300</v>
      </c>
      <c r="T2210" s="16">
        <f t="shared" si="244"/>
        <v>5.2583296715092471</v>
      </c>
      <c r="U2210" s="16">
        <f>IF(AC2210=100,Braking!$AG$2354,IF(AC2210=50,Braking!$AG$1179,IF(AC2210=75,Braking!$AG$1767,0)))</f>
        <v>0</v>
      </c>
      <c r="V2210" s="16">
        <f>0.5*'Gearing Calculator'!$C$15*'Gearing Calculator'!$C$20*'Gearing Calculator'!$W$20*('Track Data'!Q2210^2)</f>
        <v>180.36832271346125</v>
      </c>
      <c r="W2210" s="16">
        <f>('Gearing Calculator'!$U$9*'Track Data'!T2210)+'Track Data'!V2210</f>
        <v>1580.1356812692229</v>
      </c>
      <c r="X2210" s="16">
        <f>('Gearing Calculator'!$U$9*9.81)*('Gearing Calculator'!$U$16/'Gearing Calculator'!$C$7)-(('Track Data'!W2210)*('Gearing Calculator'!$U$17/'Gearing Calculator'!$C$7))</f>
        <v>539.88044034373297</v>
      </c>
      <c r="Y2210" s="16">
        <f>('Gearing Calculator'!$U$9*9.81)*(('Gearing Calculator'!$C$7-'Gearing Calculator'!$U$16)/'Gearing Calculator'!$C$7)+(('Track Data'!W2210)*('Gearing Calculator'!$U$17/'Gearing Calculator'!$C$7))</f>
        <v>2071.5415596562671</v>
      </c>
      <c r="Z2210" s="16">
        <f>((X2210*COS('Gearing Calculator'!$C$21))/'Gearing Calculator'!$C$22)/2</f>
        <v>16.691395719071824</v>
      </c>
      <c r="AA2210" s="16">
        <f>Y2210/'Gearing Calculator'!$C$24</f>
        <v>28.925668218874538</v>
      </c>
      <c r="AB2210" s="16">
        <f t="shared" si="240"/>
        <v>196.14331172798899</v>
      </c>
      <c r="AC2210" s="16">
        <v>0</v>
      </c>
      <c r="AD2210" s="16">
        <v>-51.415226335993196</v>
      </c>
      <c r="AE2210" s="16">
        <v>2207</v>
      </c>
      <c r="AF2210" s="16">
        <f>IF(AC2210=0,IF(O2210=6,INDEX(Acceleration!$V$4:$V$110,MATCH('Track Data'!S2210,Acceleration!$K$4:$K$110,0)),IF('Track Data'!O2210=5,INDEX(Acceleration!$U$4:$U$110,MATCH('Track Data'!S2210,Acceleration!$K$4:$K$110,0)),1)),U2210)</f>
        <v>1</v>
      </c>
      <c r="AG2210" s="16">
        <f>IF(AC2210=0,IF(O2210=4,INDEX(Acceleration!$T$4:$T$110,MATCH('Track Data'!S2210,Acceleration!$K$4:$K$110,0)),IF('Track Data'!O2210=3,INDEX(Acceleration!$S$4:$S$110,MATCH('Track Data'!S2210,Acceleration!$K$4:$K$110,0)),'Track Data'!AF2210)),'Track Data'!U2210)</f>
        <v>5.2583296715092471</v>
      </c>
      <c r="AH2210" s="16">
        <f>IF(AC2210=0,IF(O2210=2,INDEX(Acceleration!$R$4:$R$110,MATCH('Track Data'!S2210,Acceleration!$K$4:$K$110,0)),IF('Track Data'!O2210=1,INDEX(Acceleration!$Q$4:$Q$110,MATCH('Track Data'!S2210,Acceleration!$K$4:$K$110,0)),'Track Data'!AG2210)),'Track Data'!U2210)</f>
        <v>5.2583296715092471</v>
      </c>
    </row>
    <row r="2211" spans="2:34" x14ac:dyDescent="0.25">
      <c r="B2211" s="16">
        <v>253.726</v>
      </c>
      <c r="C2211" s="16">
        <v>9481</v>
      </c>
      <c r="D2211" s="16">
        <v>2208</v>
      </c>
      <c r="E2211" s="113">
        <v>164</v>
      </c>
      <c r="F2211" s="113">
        <v>152.9</v>
      </c>
      <c r="G2211" s="113">
        <v>147</v>
      </c>
      <c r="H2211" s="113">
        <f t="shared" si="243"/>
        <v>40.833333333333336</v>
      </c>
      <c r="I2211" s="113">
        <v>6.8</v>
      </c>
      <c r="J2211" s="113">
        <v>25.79</v>
      </c>
      <c r="K2211" s="113">
        <v>-39.9</v>
      </c>
      <c r="L2211" s="183"/>
      <c r="M2211" s="16">
        <v>2208</v>
      </c>
      <c r="N2211" s="16">
        <f t="shared" si="245"/>
        <v>2.4223940006716432E-2</v>
      </c>
      <c r="O2211" s="16">
        <v>3</v>
      </c>
      <c r="P2211" s="16">
        <f t="shared" si="241"/>
        <v>10.596205962059623</v>
      </c>
      <c r="Q2211" s="16">
        <f t="shared" si="246"/>
        <v>41.281476082038502</v>
      </c>
      <c r="R2211" s="113">
        <f t="shared" si="242"/>
        <v>345.36</v>
      </c>
      <c r="S2211" s="16">
        <f>IF(S2210=15800,15800,ROUND((((Q2211*60)/'Gearing Calculator'!$C$14)*'Track Data'!P2211),-2))</f>
        <v>13300</v>
      </c>
      <c r="T2211" s="16">
        <f t="shared" si="244"/>
        <v>5.2583296715092471</v>
      </c>
      <c r="U2211" s="16">
        <f>IF(AC2211=100,Braking!$AG$2354,IF(AC2211=50,Braking!$AG$1179,IF(AC2211=75,Braking!$AG$1767,0)))</f>
        <v>0</v>
      </c>
      <c r="V2211" s="16">
        <f>0.5*'Gearing Calculator'!$C$15*'Gearing Calculator'!$C$20*'Gearing Calculator'!$W$20*('Track Data'!Q2211^2)</f>
        <v>180.36832271346125</v>
      </c>
      <c r="W2211" s="16">
        <f>('Gearing Calculator'!$U$9*'Track Data'!T2211)+'Track Data'!V2211</f>
        <v>1580.1356812692229</v>
      </c>
      <c r="X2211" s="16">
        <f>('Gearing Calculator'!$U$9*9.81)*('Gearing Calculator'!$U$16/'Gearing Calculator'!$C$7)-(('Track Data'!W2211)*('Gearing Calculator'!$U$17/'Gearing Calculator'!$C$7))</f>
        <v>539.88044034373297</v>
      </c>
      <c r="Y2211" s="16">
        <f>('Gearing Calculator'!$U$9*9.81)*(('Gearing Calculator'!$C$7-'Gearing Calculator'!$U$16)/'Gearing Calculator'!$C$7)+(('Track Data'!W2211)*('Gearing Calculator'!$U$17/'Gearing Calculator'!$C$7))</f>
        <v>2071.5415596562671</v>
      </c>
      <c r="Z2211" s="16">
        <f>((X2211*COS('Gearing Calculator'!$C$21))/'Gearing Calculator'!$C$22)/2</f>
        <v>16.691395719071824</v>
      </c>
      <c r="AA2211" s="16">
        <f>Y2211/'Gearing Calculator'!$C$24</f>
        <v>28.925668218874538</v>
      </c>
      <c r="AB2211" s="16">
        <f t="shared" si="240"/>
        <v>196.14331172798899</v>
      </c>
      <c r="AC2211" s="16">
        <v>0</v>
      </c>
      <c r="AD2211" s="16">
        <v>-51.415226335993196</v>
      </c>
      <c r="AE2211" s="16">
        <v>2208</v>
      </c>
      <c r="AF2211" s="16">
        <f>IF(AC2211=0,IF(O2211=6,INDEX(Acceleration!$V$4:$V$110,MATCH('Track Data'!S2211,Acceleration!$K$4:$K$110,0)),IF('Track Data'!O2211=5,INDEX(Acceleration!$U$4:$U$110,MATCH('Track Data'!S2211,Acceleration!$K$4:$K$110,0)),1)),U2211)</f>
        <v>1</v>
      </c>
      <c r="AG2211" s="16">
        <f>IF(AC2211=0,IF(O2211=4,INDEX(Acceleration!$T$4:$T$110,MATCH('Track Data'!S2211,Acceleration!$K$4:$K$110,0)),IF('Track Data'!O2211=3,INDEX(Acceleration!$S$4:$S$110,MATCH('Track Data'!S2211,Acceleration!$K$4:$K$110,0)),'Track Data'!AF2211)),'Track Data'!U2211)</f>
        <v>5.2583296715092471</v>
      </c>
      <c r="AH2211" s="16">
        <f>IF(AC2211=0,IF(O2211=2,INDEX(Acceleration!$R$4:$R$110,MATCH('Track Data'!S2211,Acceleration!$K$4:$K$110,0)),IF('Track Data'!O2211=1,INDEX(Acceleration!$Q$4:$Q$110,MATCH('Track Data'!S2211,Acceleration!$K$4:$K$110,0)),'Track Data'!AG2211)),'Track Data'!U2211)</f>
        <v>5.2583296715092471</v>
      </c>
    </row>
    <row r="2212" spans="2:34" x14ac:dyDescent="0.25">
      <c r="B2212" s="16">
        <v>253.749</v>
      </c>
      <c r="C2212" s="16">
        <v>9482</v>
      </c>
      <c r="D2212" s="16">
        <v>2209</v>
      </c>
      <c r="E2212" s="113">
        <v>163</v>
      </c>
      <c r="F2212" s="113">
        <v>153.30000000000001</v>
      </c>
      <c r="G2212" s="113">
        <v>147.4</v>
      </c>
      <c r="H2212" s="113">
        <f t="shared" si="243"/>
        <v>40.944444444444443</v>
      </c>
      <c r="I2212" s="113">
        <v>9.6999999999999993</v>
      </c>
      <c r="J2212" s="113">
        <v>25.78</v>
      </c>
      <c r="K2212" s="113">
        <v>-36.700000000000003</v>
      </c>
      <c r="L2212" s="183"/>
      <c r="M2212" s="16">
        <v>2209</v>
      </c>
      <c r="N2212" s="16">
        <f t="shared" si="245"/>
        <v>2.4223940006716432E-2</v>
      </c>
      <c r="O2212" s="16">
        <v>3</v>
      </c>
      <c r="P2212" s="16">
        <f t="shared" si="241"/>
        <v>10.596205962059623</v>
      </c>
      <c r="Q2212" s="16">
        <f t="shared" si="246"/>
        <v>41.281476082038502</v>
      </c>
      <c r="R2212" s="113">
        <f t="shared" si="242"/>
        <v>345.36</v>
      </c>
      <c r="S2212" s="16">
        <f>IF(S2211=15800,15800,ROUND((((Q2212*60)/'Gearing Calculator'!$C$14)*'Track Data'!P2212),-2))</f>
        <v>13300</v>
      </c>
      <c r="T2212" s="16">
        <f t="shared" si="244"/>
        <v>5.2583296715092471</v>
      </c>
      <c r="U2212" s="16">
        <f>IF(AC2212=100,Braking!$AG$2354,IF(AC2212=50,Braking!$AG$1179,IF(AC2212=75,Braking!$AG$1767,0)))</f>
        <v>0</v>
      </c>
      <c r="V2212" s="16">
        <f>0.5*'Gearing Calculator'!$C$15*'Gearing Calculator'!$C$20*'Gearing Calculator'!$W$20*('Track Data'!Q2212^2)</f>
        <v>180.36832271346125</v>
      </c>
      <c r="W2212" s="16">
        <f>('Gearing Calculator'!$U$9*'Track Data'!T2212)+'Track Data'!V2212</f>
        <v>1580.1356812692229</v>
      </c>
      <c r="X2212" s="16">
        <f>('Gearing Calculator'!$U$9*9.81)*('Gearing Calculator'!$U$16/'Gearing Calculator'!$C$7)-(('Track Data'!W2212)*('Gearing Calculator'!$U$17/'Gearing Calculator'!$C$7))</f>
        <v>539.88044034373297</v>
      </c>
      <c r="Y2212" s="16">
        <f>('Gearing Calculator'!$U$9*9.81)*(('Gearing Calculator'!$C$7-'Gearing Calculator'!$U$16)/'Gearing Calculator'!$C$7)+(('Track Data'!W2212)*('Gearing Calculator'!$U$17/'Gearing Calculator'!$C$7))</f>
        <v>2071.5415596562671</v>
      </c>
      <c r="Z2212" s="16">
        <f>((X2212*COS('Gearing Calculator'!$C$21))/'Gearing Calculator'!$C$22)/2</f>
        <v>16.691395719071824</v>
      </c>
      <c r="AA2212" s="16">
        <f>Y2212/'Gearing Calculator'!$C$24</f>
        <v>28.925668218874538</v>
      </c>
      <c r="AB2212" s="16">
        <f t="shared" si="240"/>
        <v>196.14331172798899</v>
      </c>
      <c r="AC2212" s="16">
        <v>0</v>
      </c>
      <c r="AD2212" s="16">
        <v>-51.415226335993196</v>
      </c>
      <c r="AE2212" s="16">
        <v>2209</v>
      </c>
      <c r="AF2212" s="16">
        <f>IF(AC2212=0,IF(O2212=6,INDEX(Acceleration!$V$4:$V$110,MATCH('Track Data'!S2212,Acceleration!$K$4:$K$110,0)),IF('Track Data'!O2212=5,INDEX(Acceleration!$U$4:$U$110,MATCH('Track Data'!S2212,Acceleration!$K$4:$K$110,0)),1)),U2212)</f>
        <v>1</v>
      </c>
      <c r="AG2212" s="16">
        <f>IF(AC2212=0,IF(O2212=4,INDEX(Acceleration!$T$4:$T$110,MATCH('Track Data'!S2212,Acceleration!$K$4:$K$110,0)),IF('Track Data'!O2212=3,INDEX(Acceleration!$S$4:$S$110,MATCH('Track Data'!S2212,Acceleration!$K$4:$K$110,0)),'Track Data'!AF2212)),'Track Data'!U2212)</f>
        <v>5.2583296715092471</v>
      </c>
      <c r="AH2212" s="16">
        <f>IF(AC2212=0,IF(O2212=2,INDEX(Acceleration!$R$4:$R$110,MATCH('Track Data'!S2212,Acceleration!$K$4:$K$110,0)),IF('Track Data'!O2212=1,INDEX(Acceleration!$Q$4:$Q$110,MATCH('Track Data'!S2212,Acceleration!$K$4:$K$110,0)),'Track Data'!AG2212)),'Track Data'!U2212)</f>
        <v>5.2583296715092471</v>
      </c>
    </row>
    <row r="2213" spans="2:34" x14ac:dyDescent="0.25">
      <c r="B2213" s="16">
        <v>253.773</v>
      </c>
      <c r="C2213" s="16">
        <v>9483</v>
      </c>
      <c r="D2213" s="16">
        <v>2210</v>
      </c>
      <c r="E2213" s="113">
        <v>162</v>
      </c>
      <c r="F2213" s="113">
        <v>153.5</v>
      </c>
      <c r="G2213" s="113">
        <v>147.9</v>
      </c>
      <c r="H2213" s="113">
        <f t="shared" si="243"/>
        <v>41.083333333333336</v>
      </c>
      <c r="I2213" s="113">
        <v>13.5</v>
      </c>
      <c r="J2213" s="113">
        <v>24.13</v>
      </c>
      <c r="K2213" s="113">
        <v>-34.1</v>
      </c>
      <c r="L2213" s="183"/>
      <c r="M2213" s="16">
        <v>2210</v>
      </c>
      <c r="N2213" s="16">
        <f t="shared" si="245"/>
        <v>2.4223940006716432E-2</v>
      </c>
      <c r="O2213" s="16">
        <v>3</v>
      </c>
      <c r="P2213" s="16">
        <f t="shared" si="241"/>
        <v>10.596205962059623</v>
      </c>
      <c r="Q2213" s="16">
        <f t="shared" si="246"/>
        <v>41.281476082038502</v>
      </c>
      <c r="R2213" s="113">
        <f t="shared" si="242"/>
        <v>345.36</v>
      </c>
      <c r="S2213" s="16">
        <f>IF(S2212=15800,15800,ROUND((((Q2213*60)/'Gearing Calculator'!$C$14)*'Track Data'!P2213),-2))</f>
        <v>13300</v>
      </c>
      <c r="T2213" s="16">
        <f t="shared" si="244"/>
        <v>5.2583296715092471</v>
      </c>
      <c r="U2213" s="16">
        <f>IF(AC2213=100,Braking!$AG$2354,IF(AC2213=50,Braking!$AG$1179,IF(AC2213=75,Braking!$AG$1767,0)))</f>
        <v>0</v>
      </c>
      <c r="V2213" s="16">
        <f>0.5*'Gearing Calculator'!$C$15*'Gearing Calculator'!$C$20*'Gearing Calculator'!$W$20*('Track Data'!Q2213^2)</f>
        <v>180.36832271346125</v>
      </c>
      <c r="W2213" s="16">
        <f>('Gearing Calculator'!$U$9*'Track Data'!T2213)+'Track Data'!V2213</f>
        <v>1580.1356812692229</v>
      </c>
      <c r="X2213" s="16">
        <f>('Gearing Calculator'!$U$9*9.81)*('Gearing Calculator'!$U$16/'Gearing Calculator'!$C$7)-(('Track Data'!W2213)*('Gearing Calculator'!$U$17/'Gearing Calculator'!$C$7))</f>
        <v>539.88044034373297</v>
      </c>
      <c r="Y2213" s="16">
        <f>('Gearing Calculator'!$U$9*9.81)*(('Gearing Calculator'!$C$7-'Gearing Calculator'!$U$16)/'Gearing Calculator'!$C$7)+(('Track Data'!W2213)*('Gearing Calculator'!$U$17/'Gearing Calculator'!$C$7))</f>
        <v>2071.5415596562671</v>
      </c>
      <c r="Z2213" s="16">
        <f>((X2213*COS('Gearing Calculator'!$C$21))/'Gearing Calculator'!$C$22)/2</f>
        <v>16.691395719071824</v>
      </c>
      <c r="AA2213" s="16">
        <f>Y2213/'Gearing Calculator'!$C$24</f>
        <v>28.925668218874538</v>
      </c>
      <c r="AB2213" s="16">
        <f t="shared" si="240"/>
        <v>196.14331172798899</v>
      </c>
      <c r="AC2213" s="16">
        <v>0</v>
      </c>
      <c r="AD2213" s="16">
        <v>-51.415226335993196</v>
      </c>
      <c r="AE2213" s="16">
        <v>2210</v>
      </c>
      <c r="AF2213" s="16">
        <f>IF(AC2213=0,IF(O2213=6,INDEX(Acceleration!$V$4:$V$110,MATCH('Track Data'!S2213,Acceleration!$K$4:$K$110,0)),IF('Track Data'!O2213=5,INDEX(Acceleration!$U$4:$U$110,MATCH('Track Data'!S2213,Acceleration!$K$4:$K$110,0)),1)),U2213)</f>
        <v>1</v>
      </c>
      <c r="AG2213" s="16">
        <f>IF(AC2213=0,IF(O2213=4,INDEX(Acceleration!$T$4:$T$110,MATCH('Track Data'!S2213,Acceleration!$K$4:$K$110,0)),IF('Track Data'!O2213=3,INDEX(Acceleration!$S$4:$S$110,MATCH('Track Data'!S2213,Acceleration!$K$4:$K$110,0)),'Track Data'!AF2213)),'Track Data'!U2213)</f>
        <v>5.2583296715092471</v>
      </c>
      <c r="AH2213" s="16">
        <f>IF(AC2213=0,IF(O2213=2,INDEX(Acceleration!$R$4:$R$110,MATCH('Track Data'!S2213,Acceleration!$K$4:$K$110,0)),IF('Track Data'!O2213=1,INDEX(Acceleration!$Q$4:$Q$110,MATCH('Track Data'!S2213,Acceleration!$K$4:$K$110,0)),'Track Data'!AG2213)),'Track Data'!U2213)</f>
        <v>5.2583296715092471</v>
      </c>
    </row>
    <row r="2214" spans="2:34" x14ac:dyDescent="0.25">
      <c r="B2214" s="16">
        <v>253.79599999999999</v>
      </c>
      <c r="C2214" s="16">
        <v>9484</v>
      </c>
      <c r="D2214" s="16">
        <v>2211</v>
      </c>
      <c r="E2214" s="113">
        <v>162</v>
      </c>
      <c r="F2214" s="113">
        <v>153.30000000000001</v>
      </c>
      <c r="G2214" s="113">
        <v>148.19999999999999</v>
      </c>
      <c r="H2214" s="113">
        <f t="shared" si="243"/>
        <v>41.166666666666664</v>
      </c>
      <c r="I2214" s="113">
        <v>15.1</v>
      </c>
      <c r="J2214" s="113">
        <v>21.02</v>
      </c>
      <c r="K2214" s="113">
        <v>-34.1</v>
      </c>
      <c r="L2214" s="183"/>
      <c r="M2214" s="16">
        <v>2211</v>
      </c>
      <c r="N2214" s="16">
        <f t="shared" si="245"/>
        <v>2.4223940006716432E-2</v>
      </c>
      <c r="O2214" s="16">
        <v>3</v>
      </c>
      <c r="P2214" s="16">
        <f t="shared" si="241"/>
        <v>10.596205962059623</v>
      </c>
      <c r="Q2214" s="16">
        <f t="shared" si="246"/>
        <v>41.281476082038502</v>
      </c>
      <c r="R2214" s="113">
        <f t="shared" si="242"/>
        <v>345.36</v>
      </c>
      <c r="S2214" s="16">
        <f>IF(S2213=15800,15800,ROUND((((Q2214*60)/'Gearing Calculator'!$C$14)*'Track Data'!P2214),-2))</f>
        <v>13300</v>
      </c>
      <c r="T2214" s="16">
        <f t="shared" si="244"/>
        <v>5.2583296715092471</v>
      </c>
      <c r="U2214" s="16">
        <f>IF(AC2214=100,Braking!$AG$2354,IF(AC2214=50,Braking!$AG$1179,IF(AC2214=75,Braking!$AG$1767,0)))</f>
        <v>0</v>
      </c>
      <c r="V2214" s="16">
        <f>0.5*'Gearing Calculator'!$C$15*'Gearing Calculator'!$C$20*'Gearing Calculator'!$W$20*('Track Data'!Q2214^2)</f>
        <v>180.36832271346125</v>
      </c>
      <c r="W2214" s="16">
        <f>('Gearing Calculator'!$U$9*'Track Data'!T2214)+'Track Data'!V2214</f>
        <v>1580.1356812692229</v>
      </c>
      <c r="X2214" s="16">
        <f>('Gearing Calculator'!$U$9*9.81)*('Gearing Calculator'!$U$16/'Gearing Calculator'!$C$7)-(('Track Data'!W2214)*('Gearing Calculator'!$U$17/'Gearing Calculator'!$C$7))</f>
        <v>539.88044034373297</v>
      </c>
      <c r="Y2214" s="16">
        <f>('Gearing Calculator'!$U$9*9.81)*(('Gearing Calculator'!$C$7-'Gearing Calculator'!$U$16)/'Gearing Calculator'!$C$7)+(('Track Data'!W2214)*('Gearing Calculator'!$U$17/'Gearing Calculator'!$C$7))</f>
        <v>2071.5415596562671</v>
      </c>
      <c r="Z2214" s="16">
        <f>((X2214*COS('Gearing Calculator'!$C$21))/'Gearing Calculator'!$C$22)/2</f>
        <v>16.691395719071824</v>
      </c>
      <c r="AA2214" s="16">
        <f>Y2214/'Gearing Calculator'!$C$24</f>
        <v>28.925668218874538</v>
      </c>
      <c r="AB2214" s="16">
        <f t="shared" si="240"/>
        <v>196.14331172798899</v>
      </c>
      <c r="AC2214" s="16">
        <v>0</v>
      </c>
      <c r="AD2214" s="16">
        <v>-51.415226335993196</v>
      </c>
      <c r="AE2214" s="16">
        <v>2211</v>
      </c>
      <c r="AF2214" s="16">
        <f>IF(AC2214=0,IF(O2214=6,INDEX(Acceleration!$V$4:$V$110,MATCH('Track Data'!S2214,Acceleration!$K$4:$K$110,0)),IF('Track Data'!O2214=5,INDEX(Acceleration!$U$4:$U$110,MATCH('Track Data'!S2214,Acceleration!$K$4:$K$110,0)),1)),U2214)</f>
        <v>1</v>
      </c>
      <c r="AG2214" s="16">
        <f>IF(AC2214=0,IF(O2214=4,INDEX(Acceleration!$T$4:$T$110,MATCH('Track Data'!S2214,Acceleration!$K$4:$K$110,0)),IF('Track Data'!O2214=3,INDEX(Acceleration!$S$4:$S$110,MATCH('Track Data'!S2214,Acceleration!$K$4:$K$110,0)),'Track Data'!AF2214)),'Track Data'!U2214)</f>
        <v>5.2583296715092471</v>
      </c>
      <c r="AH2214" s="16">
        <f>IF(AC2214=0,IF(O2214=2,INDEX(Acceleration!$R$4:$R$110,MATCH('Track Data'!S2214,Acceleration!$K$4:$K$110,0)),IF('Track Data'!O2214=1,INDEX(Acceleration!$Q$4:$Q$110,MATCH('Track Data'!S2214,Acceleration!$K$4:$K$110,0)),'Track Data'!AG2214)),'Track Data'!U2214)</f>
        <v>5.2583296715092471</v>
      </c>
    </row>
    <row r="2215" spans="2:34" x14ac:dyDescent="0.25">
      <c r="B2215" s="16">
        <v>253.82</v>
      </c>
      <c r="C2215" s="16">
        <v>9485</v>
      </c>
      <c r="D2215" s="16">
        <v>2212</v>
      </c>
      <c r="E2215" s="113">
        <v>162</v>
      </c>
      <c r="F2215" s="113">
        <v>153.4</v>
      </c>
      <c r="G2215" s="113">
        <v>148.69999999999999</v>
      </c>
      <c r="H2215" s="113">
        <f t="shared" si="243"/>
        <v>41.30555555555555</v>
      </c>
      <c r="I2215" s="113">
        <v>15.5</v>
      </c>
      <c r="J2215" s="113">
        <v>17.63</v>
      </c>
      <c r="K2215" s="113">
        <v>-34.1</v>
      </c>
      <c r="L2215" s="183"/>
      <c r="M2215" s="16">
        <v>2212</v>
      </c>
      <c r="N2215" s="16">
        <f t="shared" si="245"/>
        <v>2.4223940006716432E-2</v>
      </c>
      <c r="O2215" s="16">
        <v>3</v>
      </c>
      <c r="P2215" s="16">
        <f t="shared" si="241"/>
        <v>10.596205962059623</v>
      </c>
      <c r="Q2215" s="16">
        <f t="shared" si="246"/>
        <v>41.281476082038502</v>
      </c>
      <c r="R2215" s="113">
        <f t="shared" si="242"/>
        <v>345.36</v>
      </c>
      <c r="S2215" s="16">
        <f>IF(S2214=15800,15800,ROUND((((Q2215*60)/'Gearing Calculator'!$C$14)*'Track Data'!P2215),-2))</f>
        <v>13300</v>
      </c>
      <c r="T2215" s="16">
        <f t="shared" si="244"/>
        <v>5.2583296715092471</v>
      </c>
      <c r="U2215" s="16">
        <f>IF(AC2215=100,Braking!$AG$2354,IF(AC2215=50,Braking!$AG$1179,IF(AC2215=75,Braking!$AG$1767,0)))</f>
        <v>0</v>
      </c>
      <c r="V2215" s="16">
        <f>0.5*'Gearing Calculator'!$C$15*'Gearing Calculator'!$C$20*'Gearing Calculator'!$W$20*('Track Data'!Q2215^2)</f>
        <v>180.36832271346125</v>
      </c>
      <c r="W2215" s="16">
        <f>('Gearing Calculator'!$U$9*'Track Data'!T2215)+'Track Data'!V2215</f>
        <v>1580.1356812692229</v>
      </c>
      <c r="X2215" s="16">
        <f>('Gearing Calculator'!$U$9*9.81)*('Gearing Calculator'!$U$16/'Gearing Calculator'!$C$7)-(('Track Data'!W2215)*('Gearing Calculator'!$U$17/'Gearing Calculator'!$C$7))</f>
        <v>539.88044034373297</v>
      </c>
      <c r="Y2215" s="16">
        <f>('Gearing Calculator'!$U$9*9.81)*(('Gearing Calculator'!$C$7-'Gearing Calculator'!$U$16)/'Gearing Calculator'!$C$7)+(('Track Data'!W2215)*('Gearing Calculator'!$U$17/'Gearing Calculator'!$C$7))</f>
        <v>2071.5415596562671</v>
      </c>
      <c r="Z2215" s="16">
        <f>((X2215*COS('Gearing Calculator'!$C$21))/'Gearing Calculator'!$C$22)/2</f>
        <v>16.691395719071824</v>
      </c>
      <c r="AA2215" s="16">
        <f>Y2215/'Gearing Calculator'!$C$24</f>
        <v>28.925668218874538</v>
      </c>
      <c r="AB2215" s="16">
        <f t="shared" si="240"/>
        <v>196.14331172798899</v>
      </c>
      <c r="AC2215" s="16">
        <v>0</v>
      </c>
      <c r="AD2215" s="16">
        <v>-51.415226335993196</v>
      </c>
      <c r="AE2215" s="16">
        <v>2212</v>
      </c>
      <c r="AF2215" s="16">
        <f>IF(AC2215=0,IF(O2215=6,INDEX(Acceleration!$V$4:$V$110,MATCH('Track Data'!S2215,Acceleration!$K$4:$K$110,0)),IF('Track Data'!O2215=5,INDEX(Acceleration!$U$4:$U$110,MATCH('Track Data'!S2215,Acceleration!$K$4:$K$110,0)),1)),U2215)</f>
        <v>1</v>
      </c>
      <c r="AG2215" s="16">
        <f>IF(AC2215=0,IF(O2215=4,INDEX(Acceleration!$T$4:$T$110,MATCH('Track Data'!S2215,Acceleration!$K$4:$K$110,0)),IF('Track Data'!O2215=3,INDEX(Acceleration!$S$4:$S$110,MATCH('Track Data'!S2215,Acceleration!$K$4:$K$110,0)),'Track Data'!AF2215)),'Track Data'!U2215)</f>
        <v>5.2583296715092471</v>
      </c>
      <c r="AH2215" s="16">
        <f>IF(AC2215=0,IF(O2215=2,INDEX(Acceleration!$R$4:$R$110,MATCH('Track Data'!S2215,Acceleration!$K$4:$K$110,0)),IF('Track Data'!O2215=1,INDEX(Acceleration!$Q$4:$Q$110,MATCH('Track Data'!S2215,Acceleration!$K$4:$K$110,0)),'Track Data'!AG2215)),'Track Data'!U2215)</f>
        <v>5.2583296715092471</v>
      </c>
    </row>
    <row r="2216" spans="2:34" x14ac:dyDescent="0.25">
      <c r="B2216" s="16">
        <v>253.84299999999999</v>
      </c>
      <c r="C2216" s="16">
        <v>9486</v>
      </c>
      <c r="D2216" s="16">
        <v>2213</v>
      </c>
      <c r="E2216" s="113">
        <v>162</v>
      </c>
      <c r="F2216" s="113">
        <v>153.5</v>
      </c>
      <c r="G2216" s="113">
        <v>149</v>
      </c>
      <c r="H2216" s="113">
        <f t="shared" si="243"/>
        <v>41.388888888888886</v>
      </c>
      <c r="I2216" s="113">
        <v>15</v>
      </c>
      <c r="J2216" s="113">
        <v>17.18</v>
      </c>
      <c r="K2216" s="113">
        <v>-34.799999999999997</v>
      </c>
      <c r="L2216" s="183"/>
      <c r="M2216" s="16">
        <v>2213</v>
      </c>
      <c r="N2216" s="16">
        <f t="shared" si="245"/>
        <v>2.4223940006716432E-2</v>
      </c>
      <c r="O2216" s="16">
        <v>3</v>
      </c>
      <c r="P2216" s="16">
        <f t="shared" si="241"/>
        <v>10.596205962059623</v>
      </c>
      <c r="Q2216" s="16">
        <f t="shared" si="246"/>
        <v>41.281476082038502</v>
      </c>
      <c r="R2216" s="113">
        <f t="shared" si="242"/>
        <v>345.36</v>
      </c>
      <c r="S2216" s="16">
        <f>IF(S2215=15800,15800,ROUND((((Q2216*60)/'Gearing Calculator'!$C$14)*'Track Data'!P2216),-2))</f>
        <v>13300</v>
      </c>
      <c r="T2216" s="16">
        <f t="shared" si="244"/>
        <v>5.2583296715092471</v>
      </c>
      <c r="U2216" s="16">
        <f>IF(AC2216=100,Braking!$AG$2354,IF(AC2216=50,Braking!$AG$1179,IF(AC2216=75,Braking!$AG$1767,0)))</f>
        <v>0</v>
      </c>
      <c r="V2216" s="16">
        <f>0.5*'Gearing Calculator'!$C$15*'Gearing Calculator'!$C$20*'Gearing Calculator'!$W$20*('Track Data'!Q2216^2)</f>
        <v>180.36832271346125</v>
      </c>
      <c r="W2216" s="16">
        <f>('Gearing Calculator'!$U$9*'Track Data'!T2216)+'Track Data'!V2216</f>
        <v>1580.1356812692229</v>
      </c>
      <c r="X2216" s="16">
        <f>('Gearing Calculator'!$U$9*9.81)*('Gearing Calculator'!$U$16/'Gearing Calculator'!$C$7)-(('Track Data'!W2216)*('Gearing Calculator'!$U$17/'Gearing Calculator'!$C$7))</f>
        <v>539.88044034373297</v>
      </c>
      <c r="Y2216" s="16">
        <f>('Gearing Calculator'!$U$9*9.81)*(('Gearing Calculator'!$C$7-'Gearing Calculator'!$U$16)/'Gearing Calculator'!$C$7)+(('Track Data'!W2216)*('Gearing Calculator'!$U$17/'Gearing Calculator'!$C$7))</f>
        <v>2071.5415596562671</v>
      </c>
      <c r="Z2216" s="16">
        <f>((X2216*COS('Gearing Calculator'!$C$21))/'Gearing Calculator'!$C$22)/2</f>
        <v>16.691395719071824</v>
      </c>
      <c r="AA2216" s="16">
        <f>Y2216/'Gearing Calculator'!$C$24</f>
        <v>28.925668218874538</v>
      </c>
      <c r="AB2216" s="16">
        <f t="shared" si="240"/>
        <v>196.14331172798899</v>
      </c>
      <c r="AC2216" s="16">
        <v>0</v>
      </c>
      <c r="AD2216" s="16">
        <v>-51.415226335993196</v>
      </c>
      <c r="AE2216" s="16">
        <v>2213</v>
      </c>
      <c r="AF2216" s="16">
        <f>IF(AC2216=0,IF(O2216=6,INDEX(Acceleration!$V$4:$V$110,MATCH('Track Data'!S2216,Acceleration!$K$4:$K$110,0)),IF('Track Data'!O2216=5,INDEX(Acceleration!$U$4:$U$110,MATCH('Track Data'!S2216,Acceleration!$K$4:$K$110,0)),1)),U2216)</f>
        <v>1</v>
      </c>
      <c r="AG2216" s="16">
        <f>IF(AC2216=0,IF(O2216=4,INDEX(Acceleration!$T$4:$T$110,MATCH('Track Data'!S2216,Acceleration!$K$4:$K$110,0)),IF('Track Data'!O2216=3,INDEX(Acceleration!$S$4:$S$110,MATCH('Track Data'!S2216,Acceleration!$K$4:$K$110,0)),'Track Data'!AF2216)),'Track Data'!U2216)</f>
        <v>5.2583296715092471</v>
      </c>
      <c r="AH2216" s="16">
        <f>IF(AC2216=0,IF(O2216=2,INDEX(Acceleration!$R$4:$R$110,MATCH('Track Data'!S2216,Acceleration!$K$4:$K$110,0)),IF('Track Data'!O2216=1,INDEX(Acceleration!$Q$4:$Q$110,MATCH('Track Data'!S2216,Acceleration!$K$4:$K$110,0)),'Track Data'!AG2216)),'Track Data'!U2216)</f>
        <v>5.2583296715092471</v>
      </c>
    </row>
    <row r="2217" spans="2:34" x14ac:dyDescent="0.25">
      <c r="B2217" s="16">
        <v>253.86699999999999</v>
      </c>
      <c r="C2217" s="16">
        <v>9487</v>
      </c>
      <c r="D2217" s="16">
        <v>2214</v>
      </c>
      <c r="E2217" s="113">
        <v>163</v>
      </c>
      <c r="F2217" s="113">
        <v>154.19999999999999</v>
      </c>
      <c r="G2217" s="113">
        <v>149.30000000000001</v>
      </c>
      <c r="H2217" s="113">
        <f t="shared" si="243"/>
        <v>41.472222222222221</v>
      </c>
      <c r="I2217" s="113">
        <v>13.4</v>
      </c>
      <c r="J2217" s="113">
        <v>17.34</v>
      </c>
      <c r="K2217" s="113">
        <v>-38.4</v>
      </c>
      <c r="L2217" s="183"/>
      <c r="M2217" s="16">
        <v>2214</v>
      </c>
      <c r="N2217" s="16">
        <f t="shared" si="245"/>
        <v>2.4223940006716432E-2</v>
      </c>
      <c r="O2217" s="16">
        <v>3</v>
      </c>
      <c r="P2217" s="16">
        <f t="shared" si="241"/>
        <v>10.596205962059623</v>
      </c>
      <c r="Q2217" s="16">
        <f t="shared" si="246"/>
        <v>41.281476082038502</v>
      </c>
      <c r="R2217" s="113">
        <f t="shared" si="242"/>
        <v>345.36</v>
      </c>
      <c r="S2217" s="16">
        <f>IF(S2216=15800,15800,ROUND((((Q2217*60)/'Gearing Calculator'!$C$14)*'Track Data'!P2217),-2))</f>
        <v>13300</v>
      </c>
      <c r="T2217" s="16">
        <f t="shared" si="244"/>
        <v>5.2583296715092471</v>
      </c>
      <c r="U2217" s="16">
        <f>IF(AC2217=100,Braking!$AG$2354,IF(AC2217=50,Braking!$AG$1179,IF(AC2217=75,Braking!$AG$1767,0)))</f>
        <v>0</v>
      </c>
      <c r="V2217" s="16">
        <f>0.5*'Gearing Calculator'!$C$15*'Gearing Calculator'!$C$20*'Gearing Calculator'!$W$20*('Track Data'!Q2217^2)</f>
        <v>180.36832271346125</v>
      </c>
      <c r="W2217" s="16">
        <f>('Gearing Calculator'!$U$9*'Track Data'!T2217)+'Track Data'!V2217</f>
        <v>1580.1356812692229</v>
      </c>
      <c r="X2217" s="16">
        <f>('Gearing Calculator'!$U$9*9.81)*('Gearing Calculator'!$U$16/'Gearing Calculator'!$C$7)-(('Track Data'!W2217)*('Gearing Calculator'!$U$17/'Gearing Calculator'!$C$7))</f>
        <v>539.88044034373297</v>
      </c>
      <c r="Y2217" s="16">
        <f>('Gearing Calculator'!$U$9*9.81)*(('Gearing Calculator'!$C$7-'Gearing Calculator'!$U$16)/'Gearing Calculator'!$C$7)+(('Track Data'!W2217)*('Gearing Calculator'!$U$17/'Gearing Calculator'!$C$7))</f>
        <v>2071.5415596562671</v>
      </c>
      <c r="Z2217" s="16">
        <f>((X2217*COS('Gearing Calculator'!$C$21))/'Gearing Calculator'!$C$22)/2</f>
        <v>16.691395719071824</v>
      </c>
      <c r="AA2217" s="16">
        <f>Y2217/'Gearing Calculator'!$C$24</f>
        <v>28.925668218874538</v>
      </c>
      <c r="AB2217" s="16">
        <f t="shared" si="240"/>
        <v>196.14331172798899</v>
      </c>
      <c r="AC2217" s="16">
        <v>0</v>
      </c>
      <c r="AD2217" s="16">
        <v>-51.415226335993196</v>
      </c>
      <c r="AE2217" s="16">
        <v>2214</v>
      </c>
      <c r="AF2217" s="16">
        <f>IF(AC2217=0,IF(O2217=6,INDEX(Acceleration!$V$4:$V$110,MATCH('Track Data'!S2217,Acceleration!$K$4:$K$110,0)),IF('Track Data'!O2217=5,INDEX(Acceleration!$U$4:$U$110,MATCH('Track Data'!S2217,Acceleration!$K$4:$K$110,0)),1)),U2217)</f>
        <v>1</v>
      </c>
      <c r="AG2217" s="16">
        <f>IF(AC2217=0,IF(O2217=4,INDEX(Acceleration!$T$4:$T$110,MATCH('Track Data'!S2217,Acceleration!$K$4:$K$110,0)),IF('Track Data'!O2217=3,INDEX(Acceleration!$S$4:$S$110,MATCH('Track Data'!S2217,Acceleration!$K$4:$K$110,0)),'Track Data'!AF2217)),'Track Data'!U2217)</f>
        <v>5.2583296715092471</v>
      </c>
      <c r="AH2217" s="16">
        <f>IF(AC2217=0,IF(O2217=2,INDEX(Acceleration!$R$4:$R$110,MATCH('Track Data'!S2217,Acceleration!$K$4:$K$110,0)),IF('Track Data'!O2217=1,INDEX(Acceleration!$Q$4:$Q$110,MATCH('Track Data'!S2217,Acceleration!$K$4:$K$110,0)),'Track Data'!AG2217)),'Track Data'!U2217)</f>
        <v>5.2583296715092471</v>
      </c>
    </row>
    <row r="2218" spans="2:34" x14ac:dyDescent="0.25">
      <c r="B2218" s="16">
        <v>253.89</v>
      </c>
      <c r="C2218" s="16">
        <v>9488</v>
      </c>
      <c r="D2218" s="16">
        <v>2215</v>
      </c>
      <c r="E2218" s="113">
        <v>163</v>
      </c>
      <c r="F2218" s="113">
        <v>154.9</v>
      </c>
      <c r="G2218" s="113">
        <v>149.80000000000001</v>
      </c>
      <c r="H2218" s="113">
        <f t="shared" si="243"/>
        <v>41.611111111111114</v>
      </c>
      <c r="I2218" s="113">
        <v>11.1</v>
      </c>
      <c r="J2218" s="113">
        <v>19.41</v>
      </c>
      <c r="K2218" s="113">
        <v>-43.8</v>
      </c>
      <c r="L2218" s="183"/>
      <c r="M2218" s="16">
        <v>2215</v>
      </c>
      <c r="N2218" s="16">
        <f t="shared" si="245"/>
        <v>2.4223940006716432E-2</v>
      </c>
      <c r="O2218" s="16">
        <v>3</v>
      </c>
      <c r="P2218" s="16">
        <f t="shared" si="241"/>
        <v>10.596205962059623</v>
      </c>
      <c r="Q2218" s="16">
        <f t="shared" si="246"/>
        <v>41.281476082038502</v>
      </c>
      <c r="R2218" s="113">
        <f t="shared" si="242"/>
        <v>345.36</v>
      </c>
      <c r="S2218" s="16">
        <f>IF(S2217=15800,15800,ROUND((((Q2218*60)/'Gearing Calculator'!$C$14)*'Track Data'!P2218),-2))</f>
        <v>13300</v>
      </c>
      <c r="T2218" s="16">
        <f t="shared" si="244"/>
        <v>5.2583296715092471</v>
      </c>
      <c r="U2218" s="16">
        <f>IF(AC2218=100,Braking!$AG$2354,IF(AC2218=50,Braking!$AG$1179,IF(AC2218=75,Braking!$AG$1767,0)))</f>
        <v>0</v>
      </c>
      <c r="V2218" s="16">
        <f>0.5*'Gearing Calculator'!$C$15*'Gearing Calculator'!$C$20*'Gearing Calculator'!$W$20*('Track Data'!Q2218^2)</f>
        <v>180.36832271346125</v>
      </c>
      <c r="W2218" s="16">
        <f>('Gearing Calculator'!$U$9*'Track Data'!T2218)+'Track Data'!V2218</f>
        <v>1580.1356812692229</v>
      </c>
      <c r="X2218" s="16">
        <f>('Gearing Calculator'!$U$9*9.81)*('Gearing Calculator'!$U$16/'Gearing Calculator'!$C$7)-(('Track Data'!W2218)*('Gearing Calculator'!$U$17/'Gearing Calculator'!$C$7))</f>
        <v>539.88044034373297</v>
      </c>
      <c r="Y2218" s="16">
        <f>('Gearing Calculator'!$U$9*9.81)*(('Gearing Calculator'!$C$7-'Gearing Calculator'!$U$16)/'Gearing Calculator'!$C$7)+(('Track Data'!W2218)*('Gearing Calculator'!$U$17/'Gearing Calculator'!$C$7))</f>
        <v>2071.5415596562671</v>
      </c>
      <c r="Z2218" s="16">
        <f>((X2218*COS('Gearing Calculator'!$C$21))/'Gearing Calculator'!$C$22)/2</f>
        <v>16.691395719071824</v>
      </c>
      <c r="AA2218" s="16">
        <f>Y2218/'Gearing Calculator'!$C$24</f>
        <v>28.925668218874538</v>
      </c>
      <c r="AB2218" s="16">
        <f t="shared" si="240"/>
        <v>196.14331172798899</v>
      </c>
      <c r="AC2218" s="16">
        <v>0</v>
      </c>
      <c r="AD2218" s="16">
        <v>-51.415226335993196</v>
      </c>
      <c r="AE2218" s="16">
        <v>2215</v>
      </c>
      <c r="AF2218" s="16">
        <f>IF(AC2218=0,IF(O2218=6,INDEX(Acceleration!$V$4:$V$110,MATCH('Track Data'!S2218,Acceleration!$K$4:$K$110,0)),IF('Track Data'!O2218=5,INDEX(Acceleration!$U$4:$U$110,MATCH('Track Data'!S2218,Acceleration!$K$4:$K$110,0)),1)),U2218)</f>
        <v>1</v>
      </c>
      <c r="AG2218" s="16">
        <f>IF(AC2218=0,IF(O2218=4,INDEX(Acceleration!$T$4:$T$110,MATCH('Track Data'!S2218,Acceleration!$K$4:$K$110,0)),IF('Track Data'!O2218=3,INDEX(Acceleration!$S$4:$S$110,MATCH('Track Data'!S2218,Acceleration!$K$4:$K$110,0)),'Track Data'!AF2218)),'Track Data'!U2218)</f>
        <v>5.2583296715092471</v>
      </c>
      <c r="AH2218" s="16">
        <f>IF(AC2218=0,IF(O2218=2,INDEX(Acceleration!$R$4:$R$110,MATCH('Track Data'!S2218,Acceleration!$K$4:$K$110,0)),IF('Track Data'!O2218=1,INDEX(Acceleration!$Q$4:$Q$110,MATCH('Track Data'!S2218,Acceleration!$K$4:$K$110,0)),'Track Data'!AG2218)),'Track Data'!U2218)</f>
        <v>5.2583296715092471</v>
      </c>
    </row>
    <row r="2219" spans="2:34" x14ac:dyDescent="0.25">
      <c r="B2219" s="16">
        <v>253.91300000000001</v>
      </c>
      <c r="C2219" s="16">
        <v>9489</v>
      </c>
      <c r="D2219" s="16">
        <v>2216</v>
      </c>
      <c r="E2219" s="113">
        <v>164</v>
      </c>
      <c r="F2219" s="113">
        <v>155.30000000000001</v>
      </c>
      <c r="G2219" s="113">
        <v>150.1</v>
      </c>
      <c r="H2219" s="113">
        <f t="shared" si="243"/>
        <v>41.694444444444443</v>
      </c>
      <c r="I2219" s="113">
        <v>9.6999999999999993</v>
      </c>
      <c r="J2219" s="113">
        <v>22.46</v>
      </c>
      <c r="K2219" s="113">
        <v>-47.4</v>
      </c>
      <c r="L2219" s="183"/>
      <c r="M2219" s="16">
        <v>2216</v>
      </c>
      <c r="N2219" s="16">
        <f t="shared" si="245"/>
        <v>2.4223940006716432E-2</v>
      </c>
      <c r="O2219" s="16">
        <v>3</v>
      </c>
      <c r="P2219" s="16">
        <f t="shared" si="241"/>
        <v>10.596205962059623</v>
      </c>
      <c r="Q2219" s="16">
        <f t="shared" si="246"/>
        <v>41.281476082038502</v>
      </c>
      <c r="R2219" s="113">
        <f t="shared" si="242"/>
        <v>345.36</v>
      </c>
      <c r="S2219" s="16">
        <f>IF(S2218=15800,15800,ROUND((((Q2219*60)/'Gearing Calculator'!$C$14)*'Track Data'!P2219),-2))</f>
        <v>13300</v>
      </c>
      <c r="T2219" s="16">
        <f t="shared" si="244"/>
        <v>5.2583296715092471</v>
      </c>
      <c r="U2219" s="16">
        <f>IF(AC2219=100,Braking!$AG$2354,IF(AC2219=50,Braking!$AG$1179,IF(AC2219=75,Braking!$AG$1767,0)))</f>
        <v>0</v>
      </c>
      <c r="V2219" s="16">
        <f>0.5*'Gearing Calculator'!$C$15*'Gearing Calculator'!$C$20*'Gearing Calculator'!$W$20*('Track Data'!Q2219^2)</f>
        <v>180.36832271346125</v>
      </c>
      <c r="W2219" s="16">
        <f>('Gearing Calculator'!$U$9*'Track Data'!T2219)+'Track Data'!V2219</f>
        <v>1580.1356812692229</v>
      </c>
      <c r="X2219" s="16">
        <f>('Gearing Calculator'!$U$9*9.81)*('Gearing Calculator'!$U$16/'Gearing Calculator'!$C$7)-(('Track Data'!W2219)*('Gearing Calculator'!$U$17/'Gearing Calculator'!$C$7))</f>
        <v>539.88044034373297</v>
      </c>
      <c r="Y2219" s="16">
        <f>('Gearing Calculator'!$U$9*9.81)*(('Gearing Calculator'!$C$7-'Gearing Calculator'!$U$16)/'Gearing Calculator'!$C$7)+(('Track Data'!W2219)*('Gearing Calculator'!$U$17/'Gearing Calculator'!$C$7))</f>
        <v>2071.5415596562671</v>
      </c>
      <c r="Z2219" s="16">
        <f>((X2219*COS('Gearing Calculator'!$C$21))/'Gearing Calculator'!$C$22)/2</f>
        <v>16.691395719071824</v>
      </c>
      <c r="AA2219" s="16">
        <f>Y2219/'Gearing Calculator'!$C$24</f>
        <v>28.925668218874538</v>
      </c>
      <c r="AB2219" s="16">
        <f t="shared" si="240"/>
        <v>196.14331172798899</v>
      </c>
      <c r="AC2219" s="16">
        <v>0</v>
      </c>
      <c r="AD2219" s="16">
        <v>-51.415226335993196</v>
      </c>
      <c r="AE2219" s="16">
        <v>2216</v>
      </c>
      <c r="AF2219" s="16">
        <f>IF(AC2219=0,IF(O2219=6,INDEX(Acceleration!$V$4:$V$110,MATCH('Track Data'!S2219,Acceleration!$K$4:$K$110,0)),IF('Track Data'!O2219=5,INDEX(Acceleration!$U$4:$U$110,MATCH('Track Data'!S2219,Acceleration!$K$4:$K$110,0)),1)),U2219)</f>
        <v>1</v>
      </c>
      <c r="AG2219" s="16">
        <f>IF(AC2219=0,IF(O2219=4,INDEX(Acceleration!$T$4:$T$110,MATCH('Track Data'!S2219,Acceleration!$K$4:$K$110,0)),IF('Track Data'!O2219=3,INDEX(Acceleration!$S$4:$S$110,MATCH('Track Data'!S2219,Acceleration!$K$4:$K$110,0)),'Track Data'!AF2219)),'Track Data'!U2219)</f>
        <v>5.2583296715092471</v>
      </c>
      <c r="AH2219" s="16">
        <f>IF(AC2219=0,IF(O2219=2,INDEX(Acceleration!$R$4:$R$110,MATCH('Track Data'!S2219,Acceleration!$K$4:$K$110,0)),IF('Track Data'!O2219=1,INDEX(Acceleration!$Q$4:$Q$110,MATCH('Track Data'!S2219,Acceleration!$K$4:$K$110,0)),'Track Data'!AG2219)),'Track Data'!U2219)</f>
        <v>5.2583296715092471</v>
      </c>
    </row>
    <row r="2220" spans="2:34" x14ac:dyDescent="0.25">
      <c r="B2220" s="16">
        <v>253.93600000000001</v>
      </c>
      <c r="C2220" s="16">
        <v>9490</v>
      </c>
      <c r="D2220" s="16">
        <v>2217</v>
      </c>
      <c r="E2220" s="113">
        <v>165</v>
      </c>
      <c r="F2220" s="113">
        <v>155.69999999999999</v>
      </c>
      <c r="G2220" s="113">
        <v>150.4</v>
      </c>
      <c r="H2220" s="113">
        <f t="shared" si="243"/>
        <v>41.777777777777779</v>
      </c>
      <c r="I2220" s="113">
        <v>9.5</v>
      </c>
      <c r="J2220" s="113">
        <v>22.19</v>
      </c>
      <c r="K2220" s="113">
        <v>-47.4</v>
      </c>
      <c r="L2220" s="183"/>
      <c r="M2220" s="16">
        <v>2217</v>
      </c>
      <c r="N2220" s="16">
        <f t="shared" si="245"/>
        <v>2.4223940006716432E-2</v>
      </c>
      <c r="O2220" s="16">
        <v>3</v>
      </c>
      <c r="P2220" s="16">
        <f t="shared" si="241"/>
        <v>10.596205962059623</v>
      </c>
      <c r="Q2220" s="16">
        <f t="shared" si="246"/>
        <v>41.281476082038502</v>
      </c>
      <c r="R2220" s="113">
        <f t="shared" si="242"/>
        <v>345.36</v>
      </c>
      <c r="S2220" s="16">
        <f>IF(S2219=15800,15800,ROUND((((Q2220*60)/'Gearing Calculator'!$C$14)*'Track Data'!P2220),-2))</f>
        <v>13300</v>
      </c>
      <c r="T2220" s="16">
        <f t="shared" si="244"/>
        <v>5.2583296715092471</v>
      </c>
      <c r="U2220" s="16">
        <f>IF(AC2220=100,Braking!$AG$2354,IF(AC2220=50,Braking!$AG$1179,IF(AC2220=75,Braking!$AG$1767,0)))</f>
        <v>0</v>
      </c>
      <c r="V2220" s="16">
        <f>0.5*'Gearing Calculator'!$C$15*'Gearing Calculator'!$C$20*'Gearing Calculator'!$W$20*('Track Data'!Q2220^2)</f>
        <v>180.36832271346125</v>
      </c>
      <c r="W2220" s="16">
        <f>('Gearing Calculator'!$U$9*'Track Data'!T2220)+'Track Data'!V2220</f>
        <v>1580.1356812692229</v>
      </c>
      <c r="X2220" s="16">
        <f>('Gearing Calculator'!$U$9*9.81)*('Gearing Calculator'!$U$16/'Gearing Calculator'!$C$7)-(('Track Data'!W2220)*('Gearing Calculator'!$U$17/'Gearing Calculator'!$C$7))</f>
        <v>539.88044034373297</v>
      </c>
      <c r="Y2220" s="16">
        <f>('Gearing Calculator'!$U$9*9.81)*(('Gearing Calculator'!$C$7-'Gearing Calculator'!$U$16)/'Gearing Calculator'!$C$7)+(('Track Data'!W2220)*('Gearing Calculator'!$U$17/'Gearing Calculator'!$C$7))</f>
        <v>2071.5415596562671</v>
      </c>
      <c r="Z2220" s="16">
        <f>((X2220*COS('Gearing Calculator'!$C$21))/'Gearing Calculator'!$C$22)/2</f>
        <v>16.691395719071824</v>
      </c>
      <c r="AA2220" s="16">
        <f>Y2220/'Gearing Calculator'!$C$24</f>
        <v>28.925668218874538</v>
      </c>
      <c r="AB2220" s="16">
        <f t="shared" si="240"/>
        <v>196.14331172798899</v>
      </c>
      <c r="AC2220" s="16">
        <v>0</v>
      </c>
      <c r="AD2220" s="16">
        <v>-51.415226335993196</v>
      </c>
      <c r="AE2220" s="16">
        <v>2217</v>
      </c>
      <c r="AF2220" s="16">
        <f>IF(AC2220=0,IF(O2220=6,INDEX(Acceleration!$V$4:$V$110,MATCH('Track Data'!S2220,Acceleration!$K$4:$K$110,0)),IF('Track Data'!O2220=5,INDEX(Acceleration!$U$4:$U$110,MATCH('Track Data'!S2220,Acceleration!$K$4:$K$110,0)),1)),U2220)</f>
        <v>1</v>
      </c>
      <c r="AG2220" s="16">
        <f>IF(AC2220=0,IF(O2220=4,INDEX(Acceleration!$T$4:$T$110,MATCH('Track Data'!S2220,Acceleration!$K$4:$K$110,0)),IF('Track Data'!O2220=3,INDEX(Acceleration!$S$4:$S$110,MATCH('Track Data'!S2220,Acceleration!$K$4:$K$110,0)),'Track Data'!AF2220)),'Track Data'!U2220)</f>
        <v>5.2583296715092471</v>
      </c>
      <c r="AH2220" s="16">
        <f>IF(AC2220=0,IF(O2220=2,INDEX(Acceleration!$R$4:$R$110,MATCH('Track Data'!S2220,Acceleration!$K$4:$K$110,0)),IF('Track Data'!O2220=1,INDEX(Acceleration!$Q$4:$Q$110,MATCH('Track Data'!S2220,Acceleration!$K$4:$K$110,0)),'Track Data'!AG2220)),'Track Data'!U2220)</f>
        <v>5.2583296715092471</v>
      </c>
    </row>
    <row r="2221" spans="2:34" x14ac:dyDescent="0.25">
      <c r="B2221" s="16">
        <v>253.959</v>
      </c>
      <c r="C2221" s="16">
        <v>9491</v>
      </c>
      <c r="D2221" s="16">
        <v>2218</v>
      </c>
      <c r="E2221" s="113">
        <v>166</v>
      </c>
      <c r="F2221" s="113">
        <v>156.19999999999999</v>
      </c>
      <c r="G2221" s="113">
        <v>150.69999999999999</v>
      </c>
      <c r="H2221" s="113">
        <f t="shared" si="243"/>
        <v>41.861111111111107</v>
      </c>
      <c r="I2221" s="113">
        <v>8.6999999999999993</v>
      </c>
      <c r="J2221" s="113">
        <v>21.22</v>
      </c>
      <c r="K2221" s="113">
        <v>-45.8</v>
      </c>
      <c r="L2221" s="183"/>
      <c r="M2221" s="16">
        <v>2218</v>
      </c>
      <c r="N2221" s="16">
        <f t="shared" si="245"/>
        <v>2.4223940006716432E-2</v>
      </c>
      <c r="O2221" s="16">
        <v>3</v>
      </c>
      <c r="P2221" s="16">
        <f t="shared" si="241"/>
        <v>10.596205962059623</v>
      </c>
      <c r="Q2221" s="16">
        <f t="shared" si="246"/>
        <v>41.281476082038502</v>
      </c>
      <c r="R2221" s="113">
        <f t="shared" si="242"/>
        <v>345.36</v>
      </c>
      <c r="S2221" s="16">
        <f>IF(S2220=15800,15800,ROUND((((Q2221*60)/'Gearing Calculator'!$C$14)*'Track Data'!P2221),-2))</f>
        <v>13300</v>
      </c>
      <c r="T2221" s="16">
        <f t="shared" si="244"/>
        <v>5.2583296715092471</v>
      </c>
      <c r="U2221" s="16">
        <f>IF(AC2221=100,Braking!$AG$2354,IF(AC2221=50,Braking!$AG$1179,IF(AC2221=75,Braking!$AG$1767,0)))</f>
        <v>0</v>
      </c>
      <c r="V2221" s="16">
        <f>0.5*'Gearing Calculator'!$C$15*'Gearing Calculator'!$C$20*'Gearing Calculator'!$W$20*('Track Data'!Q2221^2)</f>
        <v>180.36832271346125</v>
      </c>
      <c r="W2221" s="16">
        <f>('Gearing Calculator'!$U$9*'Track Data'!T2221)+'Track Data'!V2221</f>
        <v>1580.1356812692229</v>
      </c>
      <c r="X2221" s="16">
        <f>('Gearing Calculator'!$U$9*9.81)*('Gearing Calculator'!$U$16/'Gearing Calculator'!$C$7)-(('Track Data'!W2221)*('Gearing Calculator'!$U$17/'Gearing Calculator'!$C$7))</f>
        <v>539.88044034373297</v>
      </c>
      <c r="Y2221" s="16">
        <f>('Gearing Calculator'!$U$9*9.81)*(('Gearing Calculator'!$C$7-'Gearing Calculator'!$U$16)/'Gearing Calculator'!$C$7)+(('Track Data'!W2221)*('Gearing Calculator'!$U$17/'Gearing Calculator'!$C$7))</f>
        <v>2071.5415596562671</v>
      </c>
      <c r="Z2221" s="16">
        <f>((X2221*COS('Gearing Calculator'!$C$21))/'Gearing Calculator'!$C$22)/2</f>
        <v>16.691395719071824</v>
      </c>
      <c r="AA2221" s="16">
        <f>Y2221/'Gearing Calculator'!$C$24</f>
        <v>28.925668218874538</v>
      </c>
      <c r="AB2221" s="16">
        <f t="shared" si="240"/>
        <v>196.14331172798899</v>
      </c>
      <c r="AC2221" s="16">
        <v>0</v>
      </c>
      <c r="AD2221" s="16">
        <v>-51.415226335993196</v>
      </c>
      <c r="AE2221" s="16">
        <v>2218</v>
      </c>
      <c r="AF2221" s="16">
        <f>IF(AC2221=0,IF(O2221=6,INDEX(Acceleration!$V$4:$V$110,MATCH('Track Data'!S2221,Acceleration!$K$4:$K$110,0)),IF('Track Data'!O2221=5,INDEX(Acceleration!$U$4:$U$110,MATCH('Track Data'!S2221,Acceleration!$K$4:$K$110,0)),1)),U2221)</f>
        <v>1</v>
      </c>
      <c r="AG2221" s="16">
        <f>IF(AC2221=0,IF(O2221=4,INDEX(Acceleration!$T$4:$T$110,MATCH('Track Data'!S2221,Acceleration!$K$4:$K$110,0)),IF('Track Data'!O2221=3,INDEX(Acceleration!$S$4:$S$110,MATCH('Track Data'!S2221,Acceleration!$K$4:$K$110,0)),'Track Data'!AF2221)),'Track Data'!U2221)</f>
        <v>5.2583296715092471</v>
      </c>
      <c r="AH2221" s="16">
        <f>IF(AC2221=0,IF(O2221=2,INDEX(Acceleration!$R$4:$R$110,MATCH('Track Data'!S2221,Acceleration!$K$4:$K$110,0)),IF('Track Data'!O2221=1,INDEX(Acceleration!$Q$4:$Q$110,MATCH('Track Data'!S2221,Acceleration!$K$4:$K$110,0)),'Track Data'!AG2221)),'Track Data'!U2221)</f>
        <v>5.2583296715092471</v>
      </c>
    </row>
    <row r="2222" spans="2:34" x14ac:dyDescent="0.25">
      <c r="B2222" s="16">
        <v>253.982</v>
      </c>
      <c r="C2222" s="16">
        <v>9492</v>
      </c>
      <c r="D2222" s="16">
        <v>2219</v>
      </c>
      <c r="E2222" s="113">
        <v>167</v>
      </c>
      <c r="F2222" s="113">
        <v>156.69999999999999</v>
      </c>
      <c r="G2222" s="113">
        <v>151.19999999999999</v>
      </c>
      <c r="H2222" s="113">
        <f t="shared" si="243"/>
        <v>41.999999999999993</v>
      </c>
      <c r="I2222" s="113">
        <v>6.9</v>
      </c>
      <c r="J2222" s="113">
        <v>20.27</v>
      </c>
      <c r="K2222" s="113">
        <v>-43.4</v>
      </c>
      <c r="L2222" s="183"/>
      <c r="M2222" s="16">
        <v>2219</v>
      </c>
      <c r="N2222" s="16">
        <f t="shared" si="245"/>
        <v>2.4223940006716432E-2</v>
      </c>
      <c r="O2222" s="16">
        <v>3</v>
      </c>
      <c r="P2222" s="16">
        <f t="shared" si="241"/>
        <v>10.596205962059623</v>
      </c>
      <c r="Q2222" s="16">
        <f t="shared" si="246"/>
        <v>41.281476082038502</v>
      </c>
      <c r="R2222" s="113">
        <f t="shared" si="242"/>
        <v>345.36</v>
      </c>
      <c r="S2222" s="16">
        <f>IF(S2221=15800,15800,ROUND((((Q2222*60)/'Gearing Calculator'!$C$14)*'Track Data'!P2222),-2))</f>
        <v>13300</v>
      </c>
      <c r="T2222" s="16">
        <f t="shared" si="244"/>
        <v>5.2583296715092471</v>
      </c>
      <c r="U2222" s="16">
        <f>IF(AC2222=100,Braking!$AG$2354,IF(AC2222=50,Braking!$AG$1179,IF(AC2222=75,Braking!$AG$1767,0)))</f>
        <v>0</v>
      </c>
      <c r="V2222" s="16">
        <f>0.5*'Gearing Calculator'!$C$15*'Gearing Calculator'!$C$20*'Gearing Calculator'!$W$20*('Track Data'!Q2222^2)</f>
        <v>180.36832271346125</v>
      </c>
      <c r="W2222" s="16">
        <f>('Gearing Calculator'!$U$9*'Track Data'!T2222)+'Track Data'!V2222</f>
        <v>1580.1356812692229</v>
      </c>
      <c r="X2222" s="16">
        <f>('Gearing Calculator'!$U$9*9.81)*('Gearing Calculator'!$U$16/'Gearing Calculator'!$C$7)-(('Track Data'!W2222)*('Gearing Calculator'!$U$17/'Gearing Calculator'!$C$7))</f>
        <v>539.88044034373297</v>
      </c>
      <c r="Y2222" s="16">
        <f>('Gearing Calculator'!$U$9*9.81)*(('Gearing Calculator'!$C$7-'Gearing Calculator'!$U$16)/'Gearing Calculator'!$C$7)+(('Track Data'!W2222)*('Gearing Calculator'!$U$17/'Gearing Calculator'!$C$7))</f>
        <v>2071.5415596562671</v>
      </c>
      <c r="Z2222" s="16">
        <f>((X2222*COS('Gearing Calculator'!$C$21))/'Gearing Calculator'!$C$22)/2</f>
        <v>16.691395719071824</v>
      </c>
      <c r="AA2222" s="16">
        <f>Y2222/'Gearing Calculator'!$C$24</f>
        <v>28.925668218874538</v>
      </c>
      <c r="AB2222" s="16">
        <f t="shared" si="240"/>
        <v>196.14331172798899</v>
      </c>
      <c r="AC2222" s="16">
        <v>0</v>
      </c>
      <c r="AD2222" s="16">
        <v>-51.415226335993196</v>
      </c>
      <c r="AE2222" s="16">
        <v>2219</v>
      </c>
      <c r="AF2222" s="16">
        <f>IF(AC2222=0,IF(O2222=6,INDEX(Acceleration!$V$4:$V$110,MATCH('Track Data'!S2222,Acceleration!$K$4:$K$110,0)),IF('Track Data'!O2222=5,INDEX(Acceleration!$U$4:$U$110,MATCH('Track Data'!S2222,Acceleration!$K$4:$K$110,0)),1)),U2222)</f>
        <v>1</v>
      </c>
      <c r="AG2222" s="16">
        <f>IF(AC2222=0,IF(O2222=4,INDEX(Acceleration!$T$4:$T$110,MATCH('Track Data'!S2222,Acceleration!$K$4:$K$110,0)),IF('Track Data'!O2222=3,INDEX(Acceleration!$S$4:$S$110,MATCH('Track Data'!S2222,Acceleration!$K$4:$K$110,0)),'Track Data'!AF2222)),'Track Data'!U2222)</f>
        <v>5.2583296715092471</v>
      </c>
      <c r="AH2222" s="16">
        <f>IF(AC2222=0,IF(O2222=2,INDEX(Acceleration!$R$4:$R$110,MATCH('Track Data'!S2222,Acceleration!$K$4:$K$110,0)),IF('Track Data'!O2222=1,INDEX(Acceleration!$Q$4:$Q$110,MATCH('Track Data'!S2222,Acceleration!$K$4:$K$110,0)),'Track Data'!AG2222)),'Track Data'!U2222)</f>
        <v>5.2583296715092471</v>
      </c>
    </row>
    <row r="2223" spans="2:34" x14ac:dyDescent="0.25">
      <c r="B2223" s="16">
        <v>254.006</v>
      </c>
      <c r="C2223" s="16">
        <v>9493</v>
      </c>
      <c r="D2223" s="16">
        <v>2220</v>
      </c>
      <c r="E2223" s="113">
        <v>168</v>
      </c>
      <c r="F2223" s="113">
        <v>157</v>
      </c>
      <c r="G2223" s="113">
        <v>151.5</v>
      </c>
      <c r="H2223" s="113">
        <f t="shared" si="243"/>
        <v>42.083333333333336</v>
      </c>
      <c r="I2223" s="113">
        <v>5.4</v>
      </c>
      <c r="J2223" s="113">
        <v>20.48</v>
      </c>
      <c r="K2223" s="113">
        <v>-41.8</v>
      </c>
      <c r="L2223" s="183"/>
      <c r="M2223" s="16">
        <v>2220</v>
      </c>
      <c r="N2223" s="16">
        <f t="shared" si="245"/>
        <v>2.4223940006716432E-2</v>
      </c>
      <c r="O2223" s="16">
        <v>3</v>
      </c>
      <c r="P2223" s="16">
        <f t="shared" si="241"/>
        <v>10.596205962059623</v>
      </c>
      <c r="Q2223" s="16">
        <f t="shared" si="246"/>
        <v>41.281476082038502</v>
      </c>
      <c r="R2223" s="113">
        <f t="shared" si="242"/>
        <v>345.36</v>
      </c>
      <c r="S2223" s="16">
        <f>IF(S2222=15800,15800,ROUND((((Q2223*60)/'Gearing Calculator'!$C$14)*'Track Data'!P2223),-2))</f>
        <v>13300</v>
      </c>
      <c r="T2223" s="16">
        <f t="shared" si="244"/>
        <v>5.2583296715092471</v>
      </c>
      <c r="U2223" s="16">
        <f>IF(AC2223=100,Braking!$AG$2354,IF(AC2223=50,Braking!$AG$1179,IF(AC2223=75,Braking!$AG$1767,0)))</f>
        <v>0</v>
      </c>
      <c r="V2223" s="16">
        <f>0.5*'Gearing Calculator'!$C$15*'Gearing Calculator'!$C$20*'Gearing Calculator'!$W$20*('Track Data'!Q2223^2)</f>
        <v>180.36832271346125</v>
      </c>
      <c r="W2223" s="16">
        <f>('Gearing Calculator'!$U$9*'Track Data'!T2223)+'Track Data'!V2223</f>
        <v>1580.1356812692229</v>
      </c>
      <c r="X2223" s="16">
        <f>('Gearing Calculator'!$U$9*9.81)*('Gearing Calculator'!$U$16/'Gearing Calculator'!$C$7)-(('Track Data'!W2223)*('Gearing Calculator'!$U$17/'Gearing Calculator'!$C$7))</f>
        <v>539.88044034373297</v>
      </c>
      <c r="Y2223" s="16">
        <f>('Gearing Calculator'!$U$9*9.81)*(('Gearing Calculator'!$C$7-'Gearing Calculator'!$U$16)/'Gearing Calculator'!$C$7)+(('Track Data'!W2223)*('Gearing Calculator'!$U$17/'Gearing Calculator'!$C$7))</f>
        <v>2071.5415596562671</v>
      </c>
      <c r="Z2223" s="16">
        <f>((X2223*COS('Gearing Calculator'!$C$21))/'Gearing Calculator'!$C$22)/2</f>
        <v>16.691395719071824</v>
      </c>
      <c r="AA2223" s="16">
        <f>Y2223/'Gearing Calculator'!$C$24</f>
        <v>28.925668218874538</v>
      </c>
      <c r="AB2223" s="16">
        <f t="shared" si="240"/>
        <v>196.14331172798899</v>
      </c>
      <c r="AC2223" s="16">
        <v>0</v>
      </c>
      <c r="AD2223" s="16">
        <v>-51.415226335993196</v>
      </c>
      <c r="AE2223" s="16">
        <v>2220</v>
      </c>
      <c r="AF2223" s="16">
        <f>IF(AC2223=0,IF(O2223=6,INDEX(Acceleration!$V$4:$V$110,MATCH('Track Data'!S2223,Acceleration!$K$4:$K$110,0)),IF('Track Data'!O2223=5,INDEX(Acceleration!$U$4:$U$110,MATCH('Track Data'!S2223,Acceleration!$K$4:$K$110,0)),1)),U2223)</f>
        <v>1</v>
      </c>
      <c r="AG2223" s="16">
        <f>IF(AC2223=0,IF(O2223=4,INDEX(Acceleration!$T$4:$T$110,MATCH('Track Data'!S2223,Acceleration!$K$4:$K$110,0)),IF('Track Data'!O2223=3,INDEX(Acceleration!$S$4:$S$110,MATCH('Track Data'!S2223,Acceleration!$K$4:$K$110,0)),'Track Data'!AF2223)),'Track Data'!U2223)</f>
        <v>5.2583296715092471</v>
      </c>
      <c r="AH2223" s="16">
        <f>IF(AC2223=0,IF(O2223=2,INDEX(Acceleration!$R$4:$R$110,MATCH('Track Data'!S2223,Acceleration!$K$4:$K$110,0)),IF('Track Data'!O2223=1,INDEX(Acceleration!$Q$4:$Q$110,MATCH('Track Data'!S2223,Acceleration!$K$4:$K$110,0)),'Track Data'!AG2223)),'Track Data'!U2223)</f>
        <v>5.2583296715092471</v>
      </c>
    </row>
    <row r="2224" spans="2:34" x14ac:dyDescent="0.25">
      <c r="B2224" s="16">
        <v>254.02799999999999</v>
      </c>
      <c r="C2224" s="16">
        <v>9494</v>
      </c>
      <c r="D2224" s="16">
        <v>2221</v>
      </c>
      <c r="E2224" s="113">
        <v>167</v>
      </c>
      <c r="F2224" s="113">
        <v>157.4</v>
      </c>
      <c r="G2224" s="113">
        <v>151.9</v>
      </c>
      <c r="H2224" s="113">
        <f t="shared" si="243"/>
        <v>42.194444444444443</v>
      </c>
      <c r="I2224" s="113">
        <v>5.3</v>
      </c>
      <c r="J2224" s="113">
        <v>17.940000000000001</v>
      </c>
      <c r="K2224" s="113">
        <v>-40.1</v>
      </c>
      <c r="L2224" s="183"/>
      <c r="M2224" s="16">
        <v>2221</v>
      </c>
      <c r="N2224" s="16">
        <f t="shared" si="245"/>
        <v>2.4223940006716432E-2</v>
      </c>
      <c r="O2224" s="16">
        <v>3</v>
      </c>
      <c r="P2224" s="16">
        <f t="shared" si="241"/>
        <v>10.596205962059623</v>
      </c>
      <c r="Q2224" s="16">
        <f t="shared" si="246"/>
        <v>41.281476082038502</v>
      </c>
      <c r="R2224" s="113">
        <f t="shared" si="242"/>
        <v>345.36</v>
      </c>
      <c r="S2224" s="16">
        <f>IF(S2223=15800,15800,ROUND((((Q2224*60)/'Gearing Calculator'!$C$14)*'Track Data'!P2224),-2))</f>
        <v>13300</v>
      </c>
      <c r="T2224" s="16">
        <f t="shared" si="244"/>
        <v>5.2583296715092471</v>
      </c>
      <c r="U2224" s="16">
        <f>IF(AC2224=100,Braking!$AG$2354,IF(AC2224=50,Braking!$AG$1179,IF(AC2224=75,Braking!$AG$1767,0)))</f>
        <v>0</v>
      </c>
      <c r="V2224" s="16">
        <f>0.5*'Gearing Calculator'!$C$15*'Gearing Calculator'!$C$20*'Gearing Calculator'!$W$20*('Track Data'!Q2224^2)</f>
        <v>180.36832271346125</v>
      </c>
      <c r="W2224" s="16">
        <f>('Gearing Calculator'!$U$9*'Track Data'!T2224)+'Track Data'!V2224</f>
        <v>1580.1356812692229</v>
      </c>
      <c r="X2224" s="16">
        <f>('Gearing Calculator'!$U$9*9.81)*('Gearing Calculator'!$U$16/'Gearing Calculator'!$C$7)-(('Track Data'!W2224)*('Gearing Calculator'!$U$17/'Gearing Calculator'!$C$7))</f>
        <v>539.88044034373297</v>
      </c>
      <c r="Y2224" s="16">
        <f>('Gearing Calculator'!$U$9*9.81)*(('Gearing Calculator'!$C$7-'Gearing Calculator'!$U$16)/'Gearing Calculator'!$C$7)+(('Track Data'!W2224)*('Gearing Calculator'!$U$17/'Gearing Calculator'!$C$7))</f>
        <v>2071.5415596562671</v>
      </c>
      <c r="Z2224" s="16">
        <f>((X2224*COS('Gearing Calculator'!$C$21))/'Gearing Calculator'!$C$22)/2</f>
        <v>16.691395719071824</v>
      </c>
      <c r="AA2224" s="16">
        <f>Y2224/'Gearing Calculator'!$C$24</f>
        <v>28.925668218874538</v>
      </c>
      <c r="AB2224" s="16">
        <f t="shared" si="240"/>
        <v>196.14331172798899</v>
      </c>
      <c r="AC2224" s="16">
        <v>0</v>
      </c>
      <c r="AD2224" s="16">
        <v>-51.415226335993196</v>
      </c>
      <c r="AE2224" s="16">
        <v>2221</v>
      </c>
      <c r="AF2224" s="16">
        <f>IF(AC2224=0,IF(O2224=6,INDEX(Acceleration!$V$4:$V$110,MATCH('Track Data'!S2224,Acceleration!$K$4:$K$110,0)),IF('Track Data'!O2224=5,INDEX(Acceleration!$U$4:$U$110,MATCH('Track Data'!S2224,Acceleration!$K$4:$K$110,0)),1)),U2224)</f>
        <v>1</v>
      </c>
      <c r="AG2224" s="16">
        <f>IF(AC2224=0,IF(O2224=4,INDEX(Acceleration!$T$4:$T$110,MATCH('Track Data'!S2224,Acceleration!$K$4:$K$110,0)),IF('Track Data'!O2224=3,INDEX(Acceleration!$S$4:$S$110,MATCH('Track Data'!S2224,Acceleration!$K$4:$K$110,0)),'Track Data'!AF2224)),'Track Data'!U2224)</f>
        <v>5.2583296715092471</v>
      </c>
      <c r="AH2224" s="16">
        <f>IF(AC2224=0,IF(O2224=2,INDEX(Acceleration!$R$4:$R$110,MATCH('Track Data'!S2224,Acceleration!$K$4:$K$110,0)),IF('Track Data'!O2224=1,INDEX(Acceleration!$Q$4:$Q$110,MATCH('Track Data'!S2224,Acceleration!$K$4:$K$110,0)),'Track Data'!AG2224)),'Track Data'!U2224)</f>
        <v>5.2583296715092471</v>
      </c>
    </row>
    <row r="2225" spans="2:34" x14ac:dyDescent="0.25">
      <c r="B2225" s="16">
        <v>254.05099999999999</v>
      </c>
      <c r="C2225" s="16">
        <v>9495</v>
      </c>
      <c r="D2225" s="16">
        <v>2222</v>
      </c>
      <c r="E2225" s="113">
        <v>167</v>
      </c>
      <c r="F2225" s="113">
        <v>157.69999999999999</v>
      </c>
      <c r="G2225" s="113">
        <v>152.4</v>
      </c>
      <c r="H2225" s="113">
        <f t="shared" si="243"/>
        <v>42.333333333333336</v>
      </c>
      <c r="I2225" s="113">
        <v>5.9</v>
      </c>
      <c r="J2225" s="113">
        <v>17.3</v>
      </c>
      <c r="K2225" s="113">
        <v>-37.6</v>
      </c>
      <c r="L2225" s="183"/>
      <c r="M2225" s="16">
        <v>2222</v>
      </c>
      <c r="N2225" s="16">
        <f t="shared" si="245"/>
        <v>2.4223940006716432E-2</v>
      </c>
      <c r="O2225" s="16">
        <v>3</v>
      </c>
      <c r="P2225" s="16">
        <f t="shared" si="241"/>
        <v>10.596205962059623</v>
      </c>
      <c r="Q2225" s="16">
        <f t="shared" si="246"/>
        <v>41.281476082038502</v>
      </c>
      <c r="R2225" s="113">
        <f t="shared" si="242"/>
        <v>345.36</v>
      </c>
      <c r="S2225" s="16">
        <f>IF(S2224=15800,15800,ROUND((((Q2225*60)/'Gearing Calculator'!$C$14)*'Track Data'!P2225),-2))</f>
        <v>13300</v>
      </c>
      <c r="T2225" s="16">
        <f t="shared" si="244"/>
        <v>5.2583296715092471</v>
      </c>
      <c r="U2225" s="16">
        <f>IF(AC2225=100,Braking!$AG$2354,IF(AC2225=50,Braking!$AG$1179,IF(AC2225=75,Braking!$AG$1767,0)))</f>
        <v>0</v>
      </c>
      <c r="V2225" s="16">
        <f>0.5*'Gearing Calculator'!$C$15*'Gearing Calculator'!$C$20*'Gearing Calculator'!$W$20*('Track Data'!Q2225^2)</f>
        <v>180.36832271346125</v>
      </c>
      <c r="W2225" s="16">
        <f>('Gearing Calculator'!$U$9*'Track Data'!T2225)+'Track Data'!V2225</f>
        <v>1580.1356812692229</v>
      </c>
      <c r="X2225" s="16">
        <f>('Gearing Calculator'!$U$9*9.81)*('Gearing Calculator'!$U$16/'Gearing Calculator'!$C$7)-(('Track Data'!W2225)*('Gearing Calculator'!$U$17/'Gearing Calculator'!$C$7))</f>
        <v>539.88044034373297</v>
      </c>
      <c r="Y2225" s="16">
        <f>('Gearing Calculator'!$U$9*9.81)*(('Gearing Calculator'!$C$7-'Gearing Calculator'!$U$16)/'Gearing Calculator'!$C$7)+(('Track Data'!W2225)*('Gearing Calculator'!$U$17/'Gearing Calculator'!$C$7))</f>
        <v>2071.5415596562671</v>
      </c>
      <c r="Z2225" s="16">
        <f>((X2225*COS('Gearing Calculator'!$C$21))/'Gearing Calculator'!$C$22)/2</f>
        <v>16.691395719071824</v>
      </c>
      <c r="AA2225" s="16">
        <f>Y2225/'Gearing Calculator'!$C$24</f>
        <v>28.925668218874538</v>
      </c>
      <c r="AB2225" s="16">
        <f t="shared" si="240"/>
        <v>196.14331172798899</v>
      </c>
      <c r="AC2225" s="16">
        <v>0</v>
      </c>
      <c r="AD2225" s="16">
        <v>-51.415226335993196</v>
      </c>
      <c r="AE2225" s="16">
        <v>2222</v>
      </c>
      <c r="AF2225" s="16">
        <f>IF(AC2225=0,IF(O2225=6,INDEX(Acceleration!$V$4:$V$110,MATCH('Track Data'!S2225,Acceleration!$K$4:$K$110,0)),IF('Track Data'!O2225=5,INDEX(Acceleration!$U$4:$U$110,MATCH('Track Data'!S2225,Acceleration!$K$4:$K$110,0)),1)),U2225)</f>
        <v>1</v>
      </c>
      <c r="AG2225" s="16">
        <f>IF(AC2225=0,IF(O2225=4,INDEX(Acceleration!$T$4:$T$110,MATCH('Track Data'!S2225,Acceleration!$K$4:$K$110,0)),IF('Track Data'!O2225=3,INDEX(Acceleration!$S$4:$S$110,MATCH('Track Data'!S2225,Acceleration!$K$4:$K$110,0)),'Track Data'!AF2225)),'Track Data'!U2225)</f>
        <v>5.2583296715092471</v>
      </c>
      <c r="AH2225" s="16">
        <f>IF(AC2225=0,IF(O2225=2,INDEX(Acceleration!$R$4:$R$110,MATCH('Track Data'!S2225,Acceleration!$K$4:$K$110,0)),IF('Track Data'!O2225=1,INDEX(Acceleration!$Q$4:$Q$110,MATCH('Track Data'!S2225,Acceleration!$K$4:$K$110,0)),'Track Data'!AG2225)),'Track Data'!U2225)</f>
        <v>5.2583296715092471</v>
      </c>
    </row>
    <row r="2226" spans="2:34" x14ac:dyDescent="0.25">
      <c r="B2226" s="16">
        <v>254.07400000000001</v>
      </c>
      <c r="C2226" s="16">
        <v>9496</v>
      </c>
      <c r="D2226" s="16">
        <v>2223</v>
      </c>
      <c r="E2226" s="113">
        <v>167</v>
      </c>
      <c r="F2226" s="113">
        <v>157.6</v>
      </c>
      <c r="G2226" s="113">
        <v>152.69999999999999</v>
      </c>
      <c r="H2226" s="113">
        <f t="shared" si="243"/>
        <v>42.416666666666664</v>
      </c>
      <c r="I2226" s="113">
        <v>6.8</v>
      </c>
      <c r="J2226" s="113">
        <v>19.62</v>
      </c>
      <c r="K2226" s="113">
        <v>-35.9</v>
      </c>
      <c r="L2226" s="183"/>
      <c r="M2226" s="16">
        <v>2223</v>
      </c>
      <c r="N2226" s="16">
        <f t="shared" si="245"/>
        <v>2.4223940006716432E-2</v>
      </c>
      <c r="O2226" s="16">
        <v>3</v>
      </c>
      <c r="P2226" s="16">
        <f t="shared" si="241"/>
        <v>10.596205962059623</v>
      </c>
      <c r="Q2226" s="16">
        <f t="shared" si="246"/>
        <v>41.281476082038502</v>
      </c>
      <c r="R2226" s="113">
        <f t="shared" si="242"/>
        <v>345.36</v>
      </c>
      <c r="S2226" s="16">
        <f>IF(S2225=15800,15800,ROUND((((Q2226*60)/'Gearing Calculator'!$C$14)*'Track Data'!P2226),-2))</f>
        <v>13300</v>
      </c>
      <c r="T2226" s="16">
        <f t="shared" si="244"/>
        <v>5.2583296715092471</v>
      </c>
      <c r="U2226" s="16">
        <f>IF(AC2226=100,Braking!$AG$2354,IF(AC2226=50,Braking!$AG$1179,IF(AC2226=75,Braking!$AG$1767,0)))</f>
        <v>0</v>
      </c>
      <c r="V2226" s="16">
        <f>0.5*'Gearing Calculator'!$C$15*'Gearing Calculator'!$C$20*'Gearing Calculator'!$W$20*('Track Data'!Q2226^2)</f>
        <v>180.36832271346125</v>
      </c>
      <c r="W2226" s="16">
        <f>('Gearing Calculator'!$U$9*'Track Data'!T2226)+'Track Data'!V2226</f>
        <v>1580.1356812692229</v>
      </c>
      <c r="X2226" s="16">
        <f>('Gearing Calculator'!$U$9*9.81)*('Gearing Calculator'!$U$16/'Gearing Calculator'!$C$7)-(('Track Data'!W2226)*('Gearing Calculator'!$U$17/'Gearing Calculator'!$C$7))</f>
        <v>539.88044034373297</v>
      </c>
      <c r="Y2226" s="16">
        <f>('Gearing Calculator'!$U$9*9.81)*(('Gearing Calculator'!$C$7-'Gearing Calculator'!$U$16)/'Gearing Calculator'!$C$7)+(('Track Data'!W2226)*('Gearing Calculator'!$U$17/'Gearing Calculator'!$C$7))</f>
        <v>2071.5415596562671</v>
      </c>
      <c r="Z2226" s="16">
        <f>((X2226*COS('Gearing Calculator'!$C$21))/'Gearing Calculator'!$C$22)/2</f>
        <v>16.691395719071824</v>
      </c>
      <c r="AA2226" s="16">
        <f>Y2226/'Gearing Calculator'!$C$24</f>
        <v>28.925668218874538</v>
      </c>
      <c r="AB2226" s="16">
        <f t="shared" si="240"/>
        <v>196.14331172798899</v>
      </c>
      <c r="AC2226" s="16">
        <v>0</v>
      </c>
      <c r="AD2226" s="16">
        <v>-51.415226335993196</v>
      </c>
      <c r="AE2226" s="16">
        <v>2223</v>
      </c>
      <c r="AF2226" s="16">
        <f>IF(AC2226=0,IF(O2226=6,INDEX(Acceleration!$V$4:$V$110,MATCH('Track Data'!S2226,Acceleration!$K$4:$K$110,0)),IF('Track Data'!O2226=5,INDEX(Acceleration!$U$4:$U$110,MATCH('Track Data'!S2226,Acceleration!$K$4:$K$110,0)),1)),U2226)</f>
        <v>1</v>
      </c>
      <c r="AG2226" s="16">
        <f>IF(AC2226=0,IF(O2226=4,INDEX(Acceleration!$T$4:$T$110,MATCH('Track Data'!S2226,Acceleration!$K$4:$K$110,0)),IF('Track Data'!O2226=3,INDEX(Acceleration!$S$4:$S$110,MATCH('Track Data'!S2226,Acceleration!$K$4:$K$110,0)),'Track Data'!AF2226)),'Track Data'!U2226)</f>
        <v>5.2583296715092471</v>
      </c>
      <c r="AH2226" s="16">
        <f>IF(AC2226=0,IF(O2226=2,INDEX(Acceleration!$R$4:$R$110,MATCH('Track Data'!S2226,Acceleration!$K$4:$K$110,0)),IF('Track Data'!O2226=1,INDEX(Acceleration!$Q$4:$Q$110,MATCH('Track Data'!S2226,Acceleration!$K$4:$K$110,0)),'Track Data'!AG2226)),'Track Data'!U2226)</f>
        <v>5.2583296715092471</v>
      </c>
    </row>
    <row r="2227" spans="2:34" x14ac:dyDescent="0.25">
      <c r="B2227" s="16">
        <v>254.09700000000001</v>
      </c>
      <c r="C2227" s="16">
        <v>9497</v>
      </c>
      <c r="D2227" s="16">
        <v>2224</v>
      </c>
      <c r="E2227" s="113">
        <v>167</v>
      </c>
      <c r="F2227" s="113">
        <v>157.6</v>
      </c>
      <c r="G2227" s="113">
        <v>153</v>
      </c>
      <c r="H2227" s="113">
        <f t="shared" si="243"/>
        <v>42.5</v>
      </c>
      <c r="I2227" s="113">
        <v>7.3</v>
      </c>
      <c r="J2227" s="113">
        <v>19.23</v>
      </c>
      <c r="K2227" s="113">
        <v>-31.5</v>
      </c>
      <c r="L2227" s="183"/>
      <c r="M2227" s="16">
        <v>2224</v>
      </c>
      <c r="N2227" s="16">
        <f t="shared" si="245"/>
        <v>2.4223940006716432E-2</v>
      </c>
      <c r="O2227" s="16">
        <v>3</v>
      </c>
      <c r="P2227" s="16">
        <f t="shared" si="241"/>
        <v>10.596205962059623</v>
      </c>
      <c r="Q2227" s="16">
        <f t="shared" si="246"/>
        <v>41.281476082038502</v>
      </c>
      <c r="R2227" s="113">
        <f t="shared" si="242"/>
        <v>345.36</v>
      </c>
      <c r="S2227" s="16">
        <f>IF(S2226=15800,15800,ROUND((((Q2227*60)/'Gearing Calculator'!$C$14)*'Track Data'!P2227),-2))</f>
        <v>13300</v>
      </c>
      <c r="T2227" s="16">
        <f t="shared" si="244"/>
        <v>5.2583296715092471</v>
      </c>
      <c r="U2227" s="16">
        <f>IF(AC2227=100,Braking!$AG$2354,IF(AC2227=50,Braking!$AG$1179,IF(AC2227=75,Braking!$AG$1767,0)))</f>
        <v>0</v>
      </c>
      <c r="V2227" s="16">
        <f>0.5*'Gearing Calculator'!$C$15*'Gearing Calculator'!$C$20*'Gearing Calculator'!$W$20*('Track Data'!Q2227^2)</f>
        <v>180.36832271346125</v>
      </c>
      <c r="W2227" s="16">
        <f>('Gearing Calculator'!$U$9*'Track Data'!T2227)+'Track Data'!V2227</f>
        <v>1580.1356812692229</v>
      </c>
      <c r="X2227" s="16">
        <f>('Gearing Calculator'!$U$9*9.81)*('Gearing Calculator'!$U$16/'Gearing Calculator'!$C$7)-(('Track Data'!W2227)*('Gearing Calculator'!$U$17/'Gearing Calculator'!$C$7))</f>
        <v>539.88044034373297</v>
      </c>
      <c r="Y2227" s="16">
        <f>('Gearing Calculator'!$U$9*9.81)*(('Gearing Calculator'!$C$7-'Gearing Calculator'!$U$16)/'Gearing Calculator'!$C$7)+(('Track Data'!W2227)*('Gearing Calculator'!$U$17/'Gearing Calculator'!$C$7))</f>
        <v>2071.5415596562671</v>
      </c>
      <c r="Z2227" s="16">
        <f>((X2227*COS('Gearing Calculator'!$C$21))/'Gearing Calculator'!$C$22)/2</f>
        <v>16.691395719071824</v>
      </c>
      <c r="AA2227" s="16">
        <f>Y2227/'Gearing Calculator'!$C$24</f>
        <v>28.925668218874538</v>
      </c>
      <c r="AB2227" s="16">
        <f t="shared" si="240"/>
        <v>196.14331172798899</v>
      </c>
      <c r="AC2227" s="16">
        <v>0</v>
      </c>
      <c r="AD2227" s="16">
        <v>-51.415226335993196</v>
      </c>
      <c r="AE2227" s="16">
        <v>2224</v>
      </c>
      <c r="AF2227" s="16">
        <f>IF(AC2227=0,IF(O2227=6,INDEX(Acceleration!$V$4:$V$110,MATCH('Track Data'!S2227,Acceleration!$K$4:$K$110,0)),IF('Track Data'!O2227=5,INDEX(Acceleration!$U$4:$U$110,MATCH('Track Data'!S2227,Acceleration!$K$4:$K$110,0)),1)),U2227)</f>
        <v>1</v>
      </c>
      <c r="AG2227" s="16">
        <f>IF(AC2227=0,IF(O2227=4,INDEX(Acceleration!$T$4:$T$110,MATCH('Track Data'!S2227,Acceleration!$K$4:$K$110,0)),IF('Track Data'!O2227=3,INDEX(Acceleration!$S$4:$S$110,MATCH('Track Data'!S2227,Acceleration!$K$4:$K$110,0)),'Track Data'!AF2227)),'Track Data'!U2227)</f>
        <v>5.2583296715092471</v>
      </c>
      <c r="AH2227" s="16">
        <f>IF(AC2227=0,IF(O2227=2,INDEX(Acceleration!$R$4:$R$110,MATCH('Track Data'!S2227,Acceleration!$K$4:$K$110,0)),IF('Track Data'!O2227=1,INDEX(Acceleration!$Q$4:$Q$110,MATCH('Track Data'!S2227,Acceleration!$K$4:$K$110,0)),'Track Data'!AG2227)),'Track Data'!U2227)</f>
        <v>5.2583296715092471</v>
      </c>
    </row>
    <row r="2228" spans="2:34" x14ac:dyDescent="0.25">
      <c r="B2228" s="16">
        <v>254.119</v>
      </c>
      <c r="C2228" s="16">
        <v>9498</v>
      </c>
      <c r="D2228" s="16">
        <v>2225</v>
      </c>
      <c r="E2228" s="113">
        <v>167</v>
      </c>
      <c r="F2228" s="113">
        <v>157.6</v>
      </c>
      <c r="G2228" s="113">
        <v>153.4</v>
      </c>
      <c r="H2228" s="113">
        <f t="shared" si="243"/>
        <v>42.611111111111114</v>
      </c>
      <c r="I2228" s="113">
        <v>8.3000000000000007</v>
      </c>
      <c r="J2228" s="113">
        <v>14.86</v>
      </c>
      <c r="K2228" s="113">
        <v>-25.9</v>
      </c>
      <c r="L2228" s="183"/>
      <c r="M2228" s="16">
        <v>2225</v>
      </c>
      <c r="N2228" s="16">
        <f t="shared" si="245"/>
        <v>2.4223940006716432E-2</v>
      </c>
      <c r="O2228" s="16">
        <v>3</v>
      </c>
      <c r="P2228" s="16">
        <f t="shared" si="241"/>
        <v>10.596205962059623</v>
      </c>
      <c r="Q2228" s="16">
        <f t="shared" si="246"/>
        <v>41.281476082038502</v>
      </c>
      <c r="R2228" s="113">
        <f t="shared" si="242"/>
        <v>345.36</v>
      </c>
      <c r="S2228" s="16">
        <f>IF(S2227=15800,15800,ROUND((((Q2228*60)/'Gearing Calculator'!$C$14)*'Track Data'!P2228),-2))</f>
        <v>13300</v>
      </c>
      <c r="T2228" s="16">
        <f t="shared" si="244"/>
        <v>5.2583296715092471</v>
      </c>
      <c r="U2228" s="16">
        <f>IF(AC2228=100,Braking!$AG$2354,IF(AC2228=50,Braking!$AG$1179,IF(AC2228=75,Braking!$AG$1767,0)))</f>
        <v>0</v>
      </c>
      <c r="V2228" s="16">
        <f>0.5*'Gearing Calculator'!$C$15*'Gearing Calculator'!$C$20*'Gearing Calculator'!$W$20*('Track Data'!Q2228^2)</f>
        <v>180.36832271346125</v>
      </c>
      <c r="W2228" s="16">
        <f>('Gearing Calculator'!$U$9*'Track Data'!T2228)+'Track Data'!V2228</f>
        <v>1580.1356812692229</v>
      </c>
      <c r="X2228" s="16">
        <f>('Gearing Calculator'!$U$9*9.81)*('Gearing Calculator'!$U$16/'Gearing Calculator'!$C$7)-(('Track Data'!W2228)*('Gearing Calculator'!$U$17/'Gearing Calculator'!$C$7))</f>
        <v>539.88044034373297</v>
      </c>
      <c r="Y2228" s="16">
        <f>('Gearing Calculator'!$U$9*9.81)*(('Gearing Calculator'!$C$7-'Gearing Calculator'!$U$16)/'Gearing Calculator'!$C$7)+(('Track Data'!W2228)*('Gearing Calculator'!$U$17/'Gearing Calculator'!$C$7))</f>
        <v>2071.5415596562671</v>
      </c>
      <c r="Z2228" s="16">
        <f>((X2228*COS('Gearing Calculator'!$C$21))/'Gearing Calculator'!$C$22)/2</f>
        <v>16.691395719071824</v>
      </c>
      <c r="AA2228" s="16">
        <f>Y2228/'Gearing Calculator'!$C$24</f>
        <v>28.925668218874538</v>
      </c>
      <c r="AB2228" s="16">
        <f t="shared" si="240"/>
        <v>196.14331172798899</v>
      </c>
      <c r="AC2228" s="16">
        <v>0</v>
      </c>
      <c r="AD2228" s="16">
        <v>-51.415226335993196</v>
      </c>
      <c r="AE2228" s="16">
        <v>2225</v>
      </c>
      <c r="AF2228" s="16">
        <f>IF(AC2228=0,IF(O2228=6,INDEX(Acceleration!$V$4:$V$110,MATCH('Track Data'!S2228,Acceleration!$K$4:$K$110,0)),IF('Track Data'!O2228=5,INDEX(Acceleration!$U$4:$U$110,MATCH('Track Data'!S2228,Acceleration!$K$4:$K$110,0)),1)),U2228)</f>
        <v>1</v>
      </c>
      <c r="AG2228" s="16">
        <f>IF(AC2228=0,IF(O2228=4,INDEX(Acceleration!$T$4:$T$110,MATCH('Track Data'!S2228,Acceleration!$K$4:$K$110,0)),IF('Track Data'!O2228=3,INDEX(Acceleration!$S$4:$S$110,MATCH('Track Data'!S2228,Acceleration!$K$4:$K$110,0)),'Track Data'!AF2228)),'Track Data'!U2228)</f>
        <v>5.2583296715092471</v>
      </c>
      <c r="AH2228" s="16">
        <f>IF(AC2228=0,IF(O2228=2,INDEX(Acceleration!$R$4:$R$110,MATCH('Track Data'!S2228,Acceleration!$K$4:$K$110,0)),IF('Track Data'!O2228=1,INDEX(Acceleration!$Q$4:$Q$110,MATCH('Track Data'!S2228,Acceleration!$K$4:$K$110,0)),'Track Data'!AG2228)),'Track Data'!U2228)</f>
        <v>5.2583296715092471</v>
      </c>
    </row>
    <row r="2229" spans="2:34" x14ac:dyDescent="0.25">
      <c r="B2229" s="16">
        <v>254.142</v>
      </c>
      <c r="C2229" s="16">
        <v>9499</v>
      </c>
      <c r="D2229" s="16">
        <v>2226</v>
      </c>
      <c r="E2229" s="113">
        <v>168</v>
      </c>
      <c r="F2229" s="113">
        <v>158.30000000000001</v>
      </c>
      <c r="G2229" s="113">
        <v>153.9</v>
      </c>
      <c r="H2229" s="113">
        <f t="shared" si="243"/>
        <v>42.75</v>
      </c>
      <c r="I2229" s="113">
        <v>7.2</v>
      </c>
      <c r="J2229" s="113">
        <v>11.36</v>
      </c>
      <c r="K2229" s="113">
        <v>-17.5</v>
      </c>
      <c r="L2229" s="183"/>
      <c r="M2229" s="16">
        <v>2226</v>
      </c>
      <c r="N2229" s="16">
        <f t="shared" si="245"/>
        <v>2.4223940006716432E-2</v>
      </c>
      <c r="O2229" s="16">
        <v>3</v>
      </c>
      <c r="P2229" s="16">
        <f t="shared" si="241"/>
        <v>10.596205962059623</v>
      </c>
      <c r="Q2229" s="16">
        <f t="shared" si="246"/>
        <v>41.281476082038502</v>
      </c>
      <c r="R2229" s="113">
        <f t="shared" si="242"/>
        <v>345.36</v>
      </c>
      <c r="S2229" s="16">
        <f>IF(S2228=15800,15800,ROUND((((Q2229*60)/'Gearing Calculator'!$C$14)*'Track Data'!P2229),-2))</f>
        <v>13300</v>
      </c>
      <c r="T2229" s="16">
        <f t="shared" si="244"/>
        <v>5.2583296715092471</v>
      </c>
      <c r="U2229" s="16">
        <f>IF(AC2229=100,Braking!$AG$2354,IF(AC2229=50,Braking!$AG$1179,IF(AC2229=75,Braking!$AG$1767,0)))</f>
        <v>0</v>
      </c>
      <c r="V2229" s="16">
        <f>0.5*'Gearing Calculator'!$C$15*'Gearing Calculator'!$C$20*'Gearing Calculator'!$W$20*('Track Data'!Q2229^2)</f>
        <v>180.36832271346125</v>
      </c>
      <c r="W2229" s="16">
        <f>('Gearing Calculator'!$U$9*'Track Data'!T2229)+'Track Data'!V2229</f>
        <v>1580.1356812692229</v>
      </c>
      <c r="X2229" s="16">
        <f>('Gearing Calculator'!$U$9*9.81)*('Gearing Calculator'!$U$16/'Gearing Calculator'!$C$7)-(('Track Data'!W2229)*('Gearing Calculator'!$U$17/'Gearing Calculator'!$C$7))</f>
        <v>539.88044034373297</v>
      </c>
      <c r="Y2229" s="16">
        <f>('Gearing Calculator'!$U$9*9.81)*(('Gearing Calculator'!$C$7-'Gearing Calculator'!$U$16)/'Gearing Calculator'!$C$7)+(('Track Data'!W2229)*('Gearing Calculator'!$U$17/'Gearing Calculator'!$C$7))</f>
        <v>2071.5415596562671</v>
      </c>
      <c r="Z2229" s="16">
        <f>((X2229*COS('Gearing Calculator'!$C$21))/'Gearing Calculator'!$C$22)/2</f>
        <v>16.691395719071824</v>
      </c>
      <c r="AA2229" s="16">
        <f>Y2229/'Gearing Calculator'!$C$24</f>
        <v>28.925668218874538</v>
      </c>
      <c r="AB2229" s="16">
        <f t="shared" si="240"/>
        <v>196.14331172798899</v>
      </c>
      <c r="AC2229" s="16">
        <v>0</v>
      </c>
      <c r="AD2229" s="16">
        <v>-51.415226335993196</v>
      </c>
      <c r="AE2229" s="16">
        <v>2226</v>
      </c>
      <c r="AF2229" s="16">
        <f>IF(AC2229=0,IF(O2229=6,INDEX(Acceleration!$V$4:$V$110,MATCH('Track Data'!S2229,Acceleration!$K$4:$K$110,0)),IF('Track Data'!O2229=5,INDEX(Acceleration!$U$4:$U$110,MATCH('Track Data'!S2229,Acceleration!$K$4:$K$110,0)),1)),U2229)</f>
        <v>1</v>
      </c>
      <c r="AG2229" s="16">
        <f>IF(AC2229=0,IF(O2229=4,INDEX(Acceleration!$T$4:$T$110,MATCH('Track Data'!S2229,Acceleration!$K$4:$K$110,0)),IF('Track Data'!O2229=3,INDEX(Acceleration!$S$4:$S$110,MATCH('Track Data'!S2229,Acceleration!$K$4:$K$110,0)),'Track Data'!AF2229)),'Track Data'!U2229)</f>
        <v>5.2583296715092471</v>
      </c>
      <c r="AH2229" s="16">
        <f>IF(AC2229=0,IF(O2229=2,INDEX(Acceleration!$R$4:$R$110,MATCH('Track Data'!S2229,Acceleration!$K$4:$K$110,0)),IF('Track Data'!O2229=1,INDEX(Acceleration!$Q$4:$Q$110,MATCH('Track Data'!S2229,Acceleration!$K$4:$K$110,0)),'Track Data'!AG2229)),'Track Data'!U2229)</f>
        <v>5.2583296715092471</v>
      </c>
    </row>
    <row r="2230" spans="2:34" x14ac:dyDescent="0.25">
      <c r="B2230" s="16">
        <v>254.16499999999999</v>
      </c>
      <c r="C2230" s="16">
        <v>9500</v>
      </c>
      <c r="D2230" s="16">
        <v>2227</v>
      </c>
      <c r="E2230" s="113">
        <v>169</v>
      </c>
      <c r="F2230" s="113">
        <v>158.80000000000001</v>
      </c>
      <c r="G2230" s="113">
        <v>154.19999999999999</v>
      </c>
      <c r="H2230" s="113">
        <f t="shared" si="243"/>
        <v>42.833333333333329</v>
      </c>
      <c r="I2230" s="113">
        <v>5.9</v>
      </c>
      <c r="J2230" s="113">
        <v>13.64</v>
      </c>
      <c r="K2230" s="113">
        <v>-13</v>
      </c>
      <c r="L2230" s="183"/>
      <c r="M2230" s="16">
        <v>2227</v>
      </c>
      <c r="N2230" s="16">
        <f t="shared" si="245"/>
        <v>2.4223940006716432E-2</v>
      </c>
      <c r="O2230" s="16">
        <v>3</v>
      </c>
      <c r="P2230" s="16">
        <f t="shared" si="241"/>
        <v>10.596205962059623</v>
      </c>
      <c r="Q2230" s="16">
        <f t="shared" si="246"/>
        <v>41.281476082038502</v>
      </c>
      <c r="R2230" s="113">
        <f t="shared" si="242"/>
        <v>345.36</v>
      </c>
      <c r="S2230" s="16">
        <f>IF(S2229=15800,15800,ROUND((((Q2230*60)/'Gearing Calculator'!$C$14)*'Track Data'!P2230),-2))</f>
        <v>13300</v>
      </c>
      <c r="T2230" s="16">
        <f t="shared" si="244"/>
        <v>5.2583296715092471</v>
      </c>
      <c r="U2230" s="16">
        <f>IF(AC2230=100,Braking!$AG$2354,IF(AC2230=50,Braking!$AG$1179,IF(AC2230=75,Braking!$AG$1767,0)))</f>
        <v>0</v>
      </c>
      <c r="V2230" s="16">
        <f>0.5*'Gearing Calculator'!$C$15*'Gearing Calculator'!$C$20*'Gearing Calculator'!$W$20*('Track Data'!Q2230^2)</f>
        <v>180.36832271346125</v>
      </c>
      <c r="W2230" s="16">
        <f>('Gearing Calculator'!$U$9*'Track Data'!T2230)+'Track Data'!V2230</f>
        <v>1580.1356812692229</v>
      </c>
      <c r="X2230" s="16">
        <f>('Gearing Calculator'!$U$9*9.81)*('Gearing Calculator'!$U$16/'Gearing Calculator'!$C$7)-(('Track Data'!W2230)*('Gearing Calculator'!$U$17/'Gearing Calculator'!$C$7))</f>
        <v>539.88044034373297</v>
      </c>
      <c r="Y2230" s="16">
        <f>('Gearing Calculator'!$U$9*9.81)*(('Gearing Calculator'!$C$7-'Gearing Calculator'!$U$16)/'Gearing Calculator'!$C$7)+(('Track Data'!W2230)*('Gearing Calculator'!$U$17/'Gearing Calculator'!$C$7))</f>
        <v>2071.5415596562671</v>
      </c>
      <c r="Z2230" s="16">
        <f>((X2230*COS('Gearing Calculator'!$C$21))/'Gearing Calculator'!$C$22)/2</f>
        <v>16.691395719071824</v>
      </c>
      <c r="AA2230" s="16">
        <f>Y2230/'Gearing Calculator'!$C$24</f>
        <v>28.925668218874538</v>
      </c>
      <c r="AB2230" s="16">
        <f t="shared" ref="AB2230:AB2293" si="247">(T2230*O2230)+V2230</f>
        <v>196.14331172798899</v>
      </c>
      <c r="AC2230" s="16">
        <v>0</v>
      </c>
      <c r="AD2230" s="16">
        <v>-51.415226335993196</v>
      </c>
      <c r="AE2230" s="16">
        <v>2227</v>
      </c>
      <c r="AF2230" s="16">
        <f>IF(AC2230=0,IF(O2230=6,INDEX(Acceleration!$V$4:$V$110,MATCH('Track Data'!S2230,Acceleration!$K$4:$K$110,0)),IF('Track Data'!O2230=5,INDEX(Acceleration!$U$4:$U$110,MATCH('Track Data'!S2230,Acceleration!$K$4:$K$110,0)),1)),U2230)</f>
        <v>1</v>
      </c>
      <c r="AG2230" s="16">
        <f>IF(AC2230=0,IF(O2230=4,INDEX(Acceleration!$T$4:$T$110,MATCH('Track Data'!S2230,Acceleration!$K$4:$K$110,0)),IF('Track Data'!O2230=3,INDEX(Acceleration!$S$4:$S$110,MATCH('Track Data'!S2230,Acceleration!$K$4:$K$110,0)),'Track Data'!AF2230)),'Track Data'!U2230)</f>
        <v>5.2583296715092471</v>
      </c>
      <c r="AH2230" s="16">
        <f>IF(AC2230=0,IF(O2230=2,INDEX(Acceleration!$R$4:$R$110,MATCH('Track Data'!S2230,Acceleration!$K$4:$K$110,0)),IF('Track Data'!O2230=1,INDEX(Acceleration!$Q$4:$Q$110,MATCH('Track Data'!S2230,Acceleration!$K$4:$K$110,0)),'Track Data'!AG2230)),'Track Data'!U2230)</f>
        <v>5.2583296715092471</v>
      </c>
    </row>
    <row r="2231" spans="2:34" ht="15.75" thickBot="1" x14ac:dyDescent="0.3">
      <c r="B2231" s="16">
        <v>254.18799999999999</v>
      </c>
      <c r="C2231" s="16">
        <v>9501</v>
      </c>
      <c r="D2231" s="16">
        <v>2228</v>
      </c>
      <c r="E2231" s="113">
        <v>168</v>
      </c>
      <c r="F2231" s="113">
        <v>159.1</v>
      </c>
      <c r="G2231" s="113">
        <v>154.5</v>
      </c>
      <c r="H2231" s="113">
        <f t="shared" si="243"/>
        <v>42.916666666666664</v>
      </c>
      <c r="I2231" s="113">
        <v>5.3</v>
      </c>
      <c r="J2231" s="113">
        <v>18.61</v>
      </c>
      <c r="K2231" s="113">
        <v>-13</v>
      </c>
      <c r="L2231" s="183"/>
      <c r="M2231" s="16">
        <v>2228</v>
      </c>
      <c r="N2231" s="16">
        <f t="shared" si="245"/>
        <v>2.4223940006716432E-2</v>
      </c>
      <c r="O2231" s="16">
        <v>3</v>
      </c>
      <c r="P2231" s="16">
        <f t="shared" si="241"/>
        <v>10.596205962059623</v>
      </c>
      <c r="Q2231" s="16">
        <f t="shared" si="246"/>
        <v>41.281476082038502</v>
      </c>
      <c r="R2231" s="113">
        <f t="shared" si="242"/>
        <v>345.36</v>
      </c>
      <c r="S2231" s="16">
        <f>IF(S2230=15800,15800,ROUND((((Q2231*60)/'Gearing Calculator'!$C$14)*'Track Data'!P2231),-2))</f>
        <v>13300</v>
      </c>
      <c r="T2231" s="16">
        <f t="shared" si="244"/>
        <v>5.2583296715092471</v>
      </c>
      <c r="U2231" s="16">
        <f>IF(AC2231=100,Braking!$AG$2354,IF(AC2231=50,Braking!$AG$1179,IF(AC2231=75,Braking!$AG$1767,0)))</f>
        <v>0</v>
      </c>
      <c r="V2231" s="16">
        <f>0.5*'Gearing Calculator'!$C$15*'Gearing Calculator'!$C$20*'Gearing Calculator'!$W$20*('Track Data'!Q2231^2)</f>
        <v>180.36832271346125</v>
      </c>
      <c r="W2231" s="16">
        <f>('Gearing Calculator'!$U$9*'Track Data'!T2231)+'Track Data'!V2231</f>
        <v>1580.1356812692229</v>
      </c>
      <c r="X2231" s="16">
        <f>('Gearing Calculator'!$U$9*9.81)*('Gearing Calculator'!$U$16/'Gearing Calculator'!$C$7)-(('Track Data'!W2231)*('Gearing Calculator'!$U$17/'Gearing Calculator'!$C$7))</f>
        <v>539.88044034373297</v>
      </c>
      <c r="Y2231" s="16">
        <f>('Gearing Calculator'!$U$9*9.81)*(('Gearing Calculator'!$C$7-'Gearing Calculator'!$U$16)/'Gearing Calculator'!$C$7)+(('Track Data'!W2231)*('Gearing Calculator'!$U$17/'Gearing Calculator'!$C$7))</f>
        <v>2071.5415596562671</v>
      </c>
      <c r="Z2231" s="16">
        <f>((X2231*COS('Gearing Calculator'!$C$21))/'Gearing Calculator'!$C$22)/2</f>
        <v>16.691395719071824</v>
      </c>
      <c r="AA2231" s="16">
        <f>Y2231/'Gearing Calculator'!$C$24</f>
        <v>28.925668218874538</v>
      </c>
      <c r="AB2231" s="16">
        <f t="shared" si="247"/>
        <v>196.14331172798899</v>
      </c>
      <c r="AC2231" s="16">
        <v>0</v>
      </c>
      <c r="AD2231" s="16">
        <v>-51.415226335993196</v>
      </c>
      <c r="AE2231" s="16">
        <v>2228</v>
      </c>
      <c r="AF2231" s="16">
        <f>IF(AC2231=0,IF(O2231=6,INDEX(Acceleration!$V$4:$V$110,MATCH('Track Data'!S2231,Acceleration!$K$4:$K$110,0)),IF('Track Data'!O2231=5,INDEX(Acceleration!$U$4:$U$110,MATCH('Track Data'!S2231,Acceleration!$K$4:$K$110,0)),1)),U2231)</f>
        <v>1</v>
      </c>
      <c r="AG2231" s="16">
        <f>IF(AC2231=0,IF(O2231=4,INDEX(Acceleration!$T$4:$T$110,MATCH('Track Data'!S2231,Acceleration!$K$4:$K$110,0)),IF('Track Data'!O2231=3,INDEX(Acceleration!$S$4:$S$110,MATCH('Track Data'!S2231,Acceleration!$K$4:$K$110,0)),'Track Data'!AF2231)),'Track Data'!U2231)</f>
        <v>5.2583296715092471</v>
      </c>
      <c r="AH2231" s="16">
        <f>IF(AC2231=0,IF(O2231=2,INDEX(Acceleration!$R$4:$R$110,MATCH('Track Data'!S2231,Acceleration!$K$4:$K$110,0)),IF('Track Data'!O2231=1,INDEX(Acceleration!$Q$4:$Q$110,MATCH('Track Data'!S2231,Acceleration!$K$4:$K$110,0)),'Track Data'!AG2231)),'Track Data'!U2231)</f>
        <v>5.2583296715092471</v>
      </c>
    </row>
    <row r="2232" spans="2:34" x14ac:dyDescent="0.25">
      <c r="B2232" s="16">
        <v>254.21</v>
      </c>
      <c r="C2232" s="16">
        <v>9502</v>
      </c>
      <c r="D2232" s="16">
        <v>2229</v>
      </c>
      <c r="E2232" s="113">
        <v>167</v>
      </c>
      <c r="F2232" s="113">
        <v>159.5</v>
      </c>
      <c r="G2232" s="113">
        <v>155</v>
      </c>
      <c r="H2232" s="113">
        <f t="shared" si="243"/>
        <v>43.055555555555557</v>
      </c>
      <c r="I2232" s="113">
        <v>7.5</v>
      </c>
      <c r="J2232" s="113">
        <v>17.420000000000002</v>
      </c>
      <c r="K2232" s="113">
        <v>-13</v>
      </c>
      <c r="L2232" s="184" t="s">
        <v>199</v>
      </c>
      <c r="M2232" s="16">
        <v>2229</v>
      </c>
      <c r="N2232" s="16">
        <f t="shared" si="245"/>
        <v>2.4223940006716432E-2</v>
      </c>
      <c r="O2232" s="16">
        <v>3</v>
      </c>
      <c r="P2232" s="16">
        <f t="shared" si="241"/>
        <v>10.596205962059623</v>
      </c>
      <c r="Q2232" s="16">
        <f t="shared" si="246"/>
        <v>41.281476082038502</v>
      </c>
      <c r="R2232" s="113">
        <f t="shared" si="242"/>
        <v>345.36</v>
      </c>
      <c r="S2232" s="16">
        <f>IF(S2231=15800,15800,ROUND((((Q2232*60)/'Gearing Calculator'!$C$14)*'Track Data'!P2232),-2))</f>
        <v>13300</v>
      </c>
      <c r="T2232" s="16">
        <f t="shared" si="244"/>
        <v>5.2583296715092471</v>
      </c>
      <c r="U2232" s="16">
        <f>IF(AC2232=100,Braking!$AG$2354,IF(AC2232=50,Braking!$AG$1179,IF(AC2232=75,Braking!$AG$1767,0)))</f>
        <v>0</v>
      </c>
      <c r="V2232" s="16">
        <f>0.5*'Gearing Calculator'!$C$15*'Gearing Calculator'!$C$20*'Gearing Calculator'!$W$20*('Track Data'!Q2232^2)</f>
        <v>180.36832271346125</v>
      </c>
      <c r="W2232" s="16">
        <f>('Gearing Calculator'!$U$9*'Track Data'!T2232)+'Track Data'!V2232</f>
        <v>1580.1356812692229</v>
      </c>
      <c r="X2232" s="16">
        <f>('Gearing Calculator'!$U$9*9.81)*('Gearing Calculator'!$U$16/'Gearing Calculator'!$C$7)-(('Track Data'!W2232)*('Gearing Calculator'!$U$17/'Gearing Calculator'!$C$7))</f>
        <v>539.88044034373297</v>
      </c>
      <c r="Y2232" s="16">
        <f>('Gearing Calculator'!$U$9*9.81)*(('Gearing Calculator'!$C$7-'Gearing Calculator'!$U$16)/'Gearing Calculator'!$C$7)+(('Track Data'!W2232)*('Gearing Calculator'!$U$17/'Gearing Calculator'!$C$7))</f>
        <v>2071.5415596562671</v>
      </c>
      <c r="Z2232" s="16">
        <f>((X2232*COS('Gearing Calculator'!$C$21))/'Gearing Calculator'!$C$22)/2</f>
        <v>16.691395719071824</v>
      </c>
      <c r="AA2232" s="16">
        <f>Y2232/'Gearing Calculator'!$C$24</f>
        <v>28.925668218874538</v>
      </c>
      <c r="AB2232" s="16">
        <f t="shared" si="247"/>
        <v>196.14331172798899</v>
      </c>
      <c r="AC2232" s="16">
        <v>0</v>
      </c>
      <c r="AD2232" s="16">
        <v>0</v>
      </c>
      <c r="AE2232" s="16">
        <v>2229</v>
      </c>
      <c r="AF2232" s="16">
        <f>IF(AC2232=0,IF(O2232=6,INDEX(Acceleration!$V$4:$V$110,MATCH('Track Data'!S2232,Acceleration!$K$4:$K$110,0)),IF('Track Data'!O2232=5,INDEX(Acceleration!$U$4:$U$110,MATCH('Track Data'!S2232,Acceleration!$K$4:$K$110,0)),1)),U2232)</f>
        <v>1</v>
      </c>
      <c r="AG2232" s="16">
        <f>IF(AC2232=0,IF(O2232=4,INDEX(Acceleration!$T$4:$T$110,MATCH('Track Data'!S2232,Acceleration!$K$4:$K$110,0)),IF('Track Data'!O2232=3,INDEX(Acceleration!$S$4:$S$110,MATCH('Track Data'!S2232,Acceleration!$K$4:$K$110,0)),'Track Data'!AF2232)),'Track Data'!U2232)</f>
        <v>5.2583296715092471</v>
      </c>
      <c r="AH2232" s="16">
        <f>IF(AC2232=0,IF(O2232=2,INDEX(Acceleration!$R$4:$R$110,MATCH('Track Data'!S2232,Acceleration!$K$4:$K$110,0)),IF('Track Data'!O2232=1,INDEX(Acceleration!$Q$4:$Q$110,MATCH('Track Data'!S2232,Acceleration!$K$4:$K$110,0)),'Track Data'!AG2232)),'Track Data'!U2232)</f>
        <v>5.2583296715092471</v>
      </c>
    </row>
    <row r="2233" spans="2:34" x14ac:dyDescent="0.25">
      <c r="B2233" s="16">
        <v>254.232</v>
      </c>
      <c r="C2233" s="16">
        <v>9503</v>
      </c>
      <c r="D2233" s="16">
        <v>2230</v>
      </c>
      <c r="E2233" s="113">
        <v>166</v>
      </c>
      <c r="F2233" s="113">
        <v>159.69999999999999</v>
      </c>
      <c r="G2233" s="113">
        <v>155.4</v>
      </c>
      <c r="H2233" s="113">
        <f t="shared" si="243"/>
        <v>43.166666666666664</v>
      </c>
      <c r="I2233" s="113">
        <v>8.3000000000000007</v>
      </c>
      <c r="J2233" s="113">
        <v>19.63</v>
      </c>
      <c r="K2233" s="113">
        <v>-13</v>
      </c>
      <c r="L2233" s="185"/>
      <c r="M2233" s="16">
        <v>2230</v>
      </c>
      <c r="N2233" s="16">
        <f t="shared" si="245"/>
        <v>2.4149539183220128E-2</v>
      </c>
      <c r="O2233" s="16">
        <v>3</v>
      </c>
      <c r="P2233" s="16">
        <f t="shared" si="241"/>
        <v>10.596205962059623</v>
      </c>
      <c r="Q2233" s="16">
        <f t="shared" si="246"/>
        <v>41.408657631646733</v>
      </c>
      <c r="R2233" s="113">
        <f t="shared" si="242"/>
        <v>345.36</v>
      </c>
      <c r="S2233" s="16">
        <f>IF(S2232=15800,15800,ROUND((((Q2233*60)/'Gearing Calculator'!$C$14)*'Track Data'!P2233),-2))</f>
        <v>13300</v>
      </c>
      <c r="T2233" s="16">
        <f t="shared" si="244"/>
        <v>5.2583296715092471</v>
      </c>
      <c r="U2233" s="16">
        <f>IF(AC2233=100,Braking!$AG$2354,IF(AC2233=50,Braking!$AG$1179,IF(AC2233=75,Braking!$AG$1767,0)))</f>
        <v>0</v>
      </c>
      <c r="V2233" s="16">
        <f>0.5*'Gearing Calculator'!$C$15*'Gearing Calculator'!$C$20*'Gearing Calculator'!$W$20*('Track Data'!Q2233^2)</f>
        <v>181.4814059383263</v>
      </c>
      <c r="W2233" s="16">
        <f>('Gearing Calculator'!$U$9*'Track Data'!T2233)+'Track Data'!V2233</f>
        <v>1581.2487644940879</v>
      </c>
      <c r="X2233" s="16">
        <f>('Gearing Calculator'!$U$9*9.81)*('Gearing Calculator'!$U$16/'Gearing Calculator'!$C$7)-(('Track Data'!W2233)*('Gearing Calculator'!$U$17/'Gearing Calculator'!$C$7))</f>
        <v>539.27373396957273</v>
      </c>
      <c r="Y2233" s="16">
        <f>('Gearing Calculator'!$U$9*9.81)*(('Gearing Calculator'!$C$7-'Gearing Calculator'!$U$16)/'Gearing Calculator'!$C$7)+(('Track Data'!W2233)*('Gearing Calculator'!$U$17/'Gearing Calculator'!$C$7))</f>
        <v>2072.1482660304273</v>
      </c>
      <c r="Z2233" s="16">
        <f>((X2233*COS('Gearing Calculator'!$C$21))/'Gearing Calculator'!$C$22)/2</f>
        <v>16.67263827683157</v>
      </c>
      <c r="AA2233" s="16">
        <f>Y2233/'Gearing Calculator'!$C$24</f>
        <v>28.934139874779017</v>
      </c>
      <c r="AB2233" s="16">
        <f t="shared" si="247"/>
        <v>197.25639495285404</v>
      </c>
      <c r="AC2233" s="16">
        <v>0</v>
      </c>
      <c r="AD2233" s="16">
        <v>0</v>
      </c>
      <c r="AE2233" s="16">
        <v>2230</v>
      </c>
      <c r="AF2233" s="16">
        <f>IF(AC2233=0,IF(O2233=6,INDEX(Acceleration!$V$4:$V$110,MATCH('Track Data'!S2233,Acceleration!$K$4:$K$110,0)),IF('Track Data'!O2233=5,INDEX(Acceleration!$U$4:$U$110,MATCH('Track Data'!S2233,Acceleration!$K$4:$K$110,0)),1)),U2233)</f>
        <v>1</v>
      </c>
      <c r="AG2233" s="16">
        <f>IF(AC2233=0,IF(O2233=4,INDEX(Acceleration!$T$4:$T$110,MATCH('Track Data'!S2233,Acceleration!$K$4:$K$110,0)),IF('Track Data'!O2233=3,INDEX(Acceleration!$S$4:$S$110,MATCH('Track Data'!S2233,Acceleration!$K$4:$K$110,0)),'Track Data'!AF2233)),'Track Data'!U2233)</f>
        <v>5.2583296715092471</v>
      </c>
      <c r="AH2233" s="16">
        <f>IF(AC2233=0,IF(O2233=2,INDEX(Acceleration!$R$4:$R$110,MATCH('Track Data'!S2233,Acceleration!$K$4:$K$110,0)),IF('Track Data'!O2233=1,INDEX(Acceleration!$Q$4:$Q$110,MATCH('Track Data'!S2233,Acceleration!$K$4:$K$110,0)),'Track Data'!AG2233)),'Track Data'!U2233)</f>
        <v>5.2583296715092471</v>
      </c>
    </row>
    <row r="2234" spans="2:34" x14ac:dyDescent="0.25">
      <c r="B2234" s="16">
        <v>254.255</v>
      </c>
      <c r="C2234" s="16">
        <v>9504</v>
      </c>
      <c r="D2234" s="16">
        <v>2231</v>
      </c>
      <c r="E2234" s="113">
        <v>166</v>
      </c>
      <c r="F2234" s="113">
        <v>160.1</v>
      </c>
      <c r="G2234" s="113">
        <v>155.69999999999999</v>
      </c>
      <c r="H2234" s="113">
        <f t="shared" si="243"/>
        <v>43.249999999999993</v>
      </c>
      <c r="I2234" s="113">
        <v>8.4</v>
      </c>
      <c r="J2234" s="113">
        <v>19.940000000000001</v>
      </c>
      <c r="K2234" s="113">
        <v>-17.100000000000001</v>
      </c>
      <c r="L2234" s="185"/>
      <c r="M2234" s="16">
        <v>2231</v>
      </c>
      <c r="N2234" s="16">
        <f t="shared" si="245"/>
        <v>2.4075819714067855E-2</v>
      </c>
      <c r="O2234" s="16">
        <v>3</v>
      </c>
      <c r="P2234" s="16">
        <f t="shared" si="241"/>
        <v>10.596205962059623</v>
      </c>
      <c r="Q2234" s="16">
        <f t="shared" si="246"/>
        <v>41.535449753168123</v>
      </c>
      <c r="R2234" s="113">
        <f t="shared" si="242"/>
        <v>345.36</v>
      </c>
      <c r="S2234" s="16">
        <f>IF(S2233=15800,15800,ROUND((((Q2234*60)/'Gearing Calculator'!$C$14)*'Track Data'!P2234),-2))</f>
        <v>13300</v>
      </c>
      <c r="T2234" s="16">
        <f t="shared" si="244"/>
        <v>5.2583296715092471</v>
      </c>
      <c r="U2234" s="16">
        <f>IF(AC2234=100,Braking!$AG$2354,IF(AC2234=50,Braking!$AG$1179,IF(AC2234=75,Braking!$AG$1767,0)))</f>
        <v>0</v>
      </c>
      <c r="V2234" s="16">
        <f>0.5*'Gearing Calculator'!$C$15*'Gearing Calculator'!$C$20*'Gearing Calculator'!$W$20*('Track Data'!Q2234^2)</f>
        <v>182.59448916319141</v>
      </c>
      <c r="W2234" s="16">
        <f>('Gearing Calculator'!$U$9*'Track Data'!T2234)+'Track Data'!V2234</f>
        <v>1582.361847718953</v>
      </c>
      <c r="X2234" s="16">
        <f>('Gearing Calculator'!$U$9*9.81)*('Gearing Calculator'!$U$16/'Gearing Calculator'!$C$7)-(('Track Data'!W2234)*('Gearing Calculator'!$U$17/'Gearing Calculator'!$C$7))</f>
        <v>538.66702759541261</v>
      </c>
      <c r="Y2234" s="16">
        <f>('Gearing Calculator'!$U$9*9.81)*(('Gearing Calculator'!$C$7-'Gearing Calculator'!$U$16)/'Gearing Calculator'!$C$7)+(('Track Data'!W2234)*('Gearing Calculator'!$U$17/'Gearing Calculator'!$C$7))</f>
        <v>2072.7549724045875</v>
      </c>
      <c r="Z2234" s="16">
        <f>((X2234*COS('Gearing Calculator'!$C$21))/'Gearing Calculator'!$C$22)/2</f>
        <v>16.653880834591316</v>
      </c>
      <c r="AA2234" s="16">
        <f>Y2234/'Gearing Calculator'!$C$24</f>
        <v>28.942611530683497</v>
      </c>
      <c r="AB2234" s="16">
        <f t="shared" si="247"/>
        <v>198.36947817771915</v>
      </c>
      <c r="AC2234" s="16">
        <v>0</v>
      </c>
      <c r="AD2234" s="16">
        <v>0</v>
      </c>
      <c r="AE2234" s="16">
        <v>2231</v>
      </c>
      <c r="AF2234" s="16">
        <f>IF(AC2234=0,IF(O2234=6,INDEX(Acceleration!$V$4:$V$110,MATCH('Track Data'!S2234,Acceleration!$K$4:$K$110,0)),IF('Track Data'!O2234=5,INDEX(Acceleration!$U$4:$U$110,MATCH('Track Data'!S2234,Acceleration!$K$4:$K$110,0)),1)),U2234)</f>
        <v>1</v>
      </c>
      <c r="AG2234" s="16">
        <f>IF(AC2234=0,IF(O2234=4,INDEX(Acceleration!$T$4:$T$110,MATCH('Track Data'!S2234,Acceleration!$K$4:$K$110,0)),IF('Track Data'!O2234=3,INDEX(Acceleration!$S$4:$S$110,MATCH('Track Data'!S2234,Acceleration!$K$4:$K$110,0)),'Track Data'!AF2234)),'Track Data'!U2234)</f>
        <v>5.2583296715092471</v>
      </c>
      <c r="AH2234" s="16">
        <f>IF(AC2234=0,IF(O2234=2,INDEX(Acceleration!$R$4:$R$110,MATCH('Track Data'!S2234,Acceleration!$K$4:$K$110,0)),IF('Track Data'!O2234=1,INDEX(Acceleration!$Q$4:$Q$110,MATCH('Track Data'!S2234,Acceleration!$K$4:$K$110,0)),'Track Data'!AG2234)),'Track Data'!U2234)</f>
        <v>5.2583296715092471</v>
      </c>
    </row>
    <row r="2235" spans="2:34" x14ac:dyDescent="0.25">
      <c r="B2235" s="16">
        <v>254.27799999999999</v>
      </c>
      <c r="C2235" s="16">
        <v>9505</v>
      </c>
      <c r="D2235" s="16">
        <v>2232</v>
      </c>
      <c r="E2235" s="113">
        <v>167</v>
      </c>
      <c r="F2235" s="113">
        <v>160.6</v>
      </c>
      <c r="G2235" s="113">
        <v>156.1</v>
      </c>
      <c r="H2235" s="113">
        <f t="shared" si="243"/>
        <v>43.361111111111107</v>
      </c>
      <c r="I2235" s="113">
        <v>8.3000000000000007</v>
      </c>
      <c r="J2235" s="113">
        <v>18.920000000000002</v>
      </c>
      <c r="K2235" s="113">
        <v>-23.1</v>
      </c>
      <c r="L2235" s="185"/>
      <c r="M2235" s="16">
        <v>2232</v>
      </c>
      <c r="N2235" s="16">
        <f t="shared" si="245"/>
        <v>2.4002771262740485E-2</v>
      </c>
      <c r="O2235" s="16">
        <v>3</v>
      </c>
      <c r="P2235" s="16">
        <f t="shared" si="241"/>
        <v>10.596205962059623</v>
      </c>
      <c r="Q2235" s="16">
        <f t="shared" si="246"/>
        <v>41.66185600211508</v>
      </c>
      <c r="R2235" s="113">
        <f t="shared" si="242"/>
        <v>345.36</v>
      </c>
      <c r="S2235" s="16">
        <f>IF(S2234=15800,15800,ROUND((((Q2235*60)/'Gearing Calculator'!$C$14)*'Track Data'!P2235),-2))</f>
        <v>13400</v>
      </c>
      <c r="T2235" s="16">
        <f t="shared" si="244"/>
        <v>5.2096417315015078</v>
      </c>
      <c r="U2235" s="16">
        <f>IF(AC2235=100,Braking!$AG$2354,IF(AC2235=50,Braking!$AG$1179,IF(AC2235=75,Braking!$AG$1767,0)))</f>
        <v>0</v>
      </c>
      <c r="V2235" s="16">
        <f>0.5*'Gearing Calculator'!$C$15*'Gearing Calculator'!$C$20*'Gearing Calculator'!$W$20*('Track Data'!Q2235^2)</f>
        <v>183.70757238805649</v>
      </c>
      <c r="W2235" s="16">
        <f>('Gearing Calculator'!$U$9*'Track Data'!T2235)+'Track Data'!V2235</f>
        <v>1570.5142013137577</v>
      </c>
      <c r="X2235" s="16">
        <f>('Gearing Calculator'!$U$9*9.81)*('Gearing Calculator'!$U$16/'Gearing Calculator'!$C$7)-(('Track Data'!W2235)*('Gearing Calculator'!$U$17/'Gearing Calculator'!$C$7))</f>
        <v>545.12480400624599</v>
      </c>
      <c r="Y2235" s="16">
        <f>('Gearing Calculator'!$U$9*9.81)*(('Gearing Calculator'!$C$7-'Gearing Calculator'!$U$16)/'Gearing Calculator'!$C$7)+(('Track Data'!W2235)*('Gearing Calculator'!$U$17/'Gearing Calculator'!$C$7))</f>
        <v>2066.297195993754</v>
      </c>
      <c r="Z2235" s="16">
        <f>((X2235*COS('Gearing Calculator'!$C$21))/'Gearing Calculator'!$C$22)/2</f>
        <v>16.853534857007613</v>
      </c>
      <c r="AA2235" s="16">
        <f>Y2235/'Gearing Calculator'!$C$24</f>
        <v>28.852439312307901</v>
      </c>
      <c r="AB2235" s="16">
        <f t="shared" si="247"/>
        <v>199.33649758256101</v>
      </c>
      <c r="AC2235" s="16">
        <v>0</v>
      </c>
      <c r="AD2235" s="16">
        <v>0</v>
      </c>
      <c r="AE2235" s="16">
        <v>2232</v>
      </c>
      <c r="AF2235" s="16">
        <f>IF(AC2235=0,IF(O2235=6,INDEX(Acceleration!$V$4:$V$110,MATCH('Track Data'!S2235,Acceleration!$K$4:$K$110,0)),IF('Track Data'!O2235=5,INDEX(Acceleration!$U$4:$U$110,MATCH('Track Data'!S2235,Acceleration!$K$4:$K$110,0)),1)),U2235)</f>
        <v>1</v>
      </c>
      <c r="AG2235" s="16">
        <f>IF(AC2235=0,IF(O2235=4,INDEX(Acceleration!$T$4:$T$110,MATCH('Track Data'!S2235,Acceleration!$K$4:$K$110,0)),IF('Track Data'!O2235=3,INDEX(Acceleration!$S$4:$S$110,MATCH('Track Data'!S2235,Acceleration!$K$4:$K$110,0)),'Track Data'!AF2235)),'Track Data'!U2235)</f>
        <v>5.2096417315015078</v>
      </c>
      <c r="AH2235" s="16">
        <f>IF(AC2235=0,IF(O2235=2,INDEX(Acceleration!$R$4:$R$110,MATCH('Track Data'!S2235,Acceleration!$K$4:$K$110,0)),IF('Track Data'!O2235=1,INDEX(Acceleration!$Q$4:$Q$110,MATCH('Track Data'!S2235,Acceleration!$K$4:$K$110,0)),'Track Data'!AG2235)),'Track Data'!U2235)</f>
        <v>5.2096417315015078</v>
      </c>
    </row>
    <row r="2236" spans="2:34" x14ac:dyDescent="0.25">
      <c r="B2236" s="16">
        <v>254.3</v>
      </c>
      <c r="C2236" s="16">
        <v>9506</v>
      </c>
      <c r="D2236" s="16">
        <v>2233</v>
      </c>
      <c r="E2236" s="113">
        <v>167</v>
      </c>
      <c r="F2236" s="113">
        <v>160.9</v>
      </c>
      <c r="G2236" s="113">
        <v>156.6</v>
      </c>
      <c r="H2236" s="113">
        <f t="shared" si="243"/>
        <v>43.5</v>
      </c>
      <c r="I2236" s="113">
        <v>8</v>
      </c>
      <c r="J2236" s="113">
        <v>19.5</v>
      </c>
      <c r="K2236" s="113">
        <v>-32.200000000000003</v>
      </c>
      <c r="L2236" s="185"/>
      <c r="M2236" s="16">
        <v>2233</v>
      </c>
      <c r="N2236" s="16">
        <f t="shared" si="245"/>
        <v>2.3931050960881287E-2</v>
      </c>
      <c r="O2236" s="16">
        <v>3</v>
      </c>
      <c r="P2236" s="16">
        <f t="shared" si="241"/>
        <v>10.596205962059623</v>
      </c>
      <c r="Q2236" s="16">
        <f t="shared" si="246"/>
        <v>41.786714742893764</v>
      </c>
      <c r="R2236" s="113">
        <f t="shared" si="242"/>
        <v>345.36</v>
      </c>
      <c r="S2236" s="16">
        <f>IF(S2235=15800,15800,ROUND((((Q2236*60)/'Gearing Calculator'!$C$14)*'Track Data'!P2236),-2))</f>
        <v>13400</v>
      </c>
      <c r="T2236" s="16">
        <f t="shared" si="244"/>
        <v>5.2096417315015078</v>
      </c>
      <c r="U2236" s="16">
        <f>IF(AC2236=100,Braking!$AG$2354,IF(AC2236=50,Braking!$AG$1179,IF(AC2236=75,Braking!$AG$1767,0)))</f>
        <v>0</v>
      </c>
      <c r="V2236" s="16">
        <f>0.5*'Gearing Calculator'!$C$15*'Gearing Calculator'!$C$20*'Gearing Calculator'!$W$20*('Track Data'!Q2236^2)</f>
        <v>184.81034934978069</v>
      </c>
      <c r="W2236" s="16">
        <f>('Gearing Calculator'!$U$9*'Track Data'!T2236)+'Track Data'!V2236</f>
        <v>1571.6169782754819</v>
      </c>
      <c r="X2236" s="16">
        <f>('Gearing Calculator'!$U$9*9.81)*('Gearing Calculator'!$U$16/'Gearing Calculator'!$C$7)-(('Track Data'!W2236)*('Gearing Calculator'!$U$17/'Gearing Calculator'!$C$7))</f>
        <v>544.52371524935074</v>
      </c>
      <c r="Y2236" s="16">
        <f>('Gearing Calculator'!$U$9*9.81)*(('Gearing Calculator'!$C$7-'Gearing Calculator'!$U$16)/'Gearing Calculator'!$C$7)+(('Track Data'!W2236)*('Gearing Calculator'!$U$17/'Gearing Calculator'!$C$7))</f>
        <v>2066.8982847506495</v>
      </c>
      <c r="Z2236" s="16">
        <f>((X2236*COS('Gearing Calculator'!$C$21))/'Gearing Calculator'!$C$22)/2</f>
        <v>16.834951093726179</v>
      </c>
      <c r="AA2236" s="16">
        <f>Y2236/'Gearing Calculator'!$C$24</f>
        <v>28.860832527433615</v>
      </c>
      <c r="AB2236" s="16">
        <f t="shared" si="247"/>
        <v>200.43927454428521</v>
      </c>
      <c r="AC2236" s="16">
        <v>0</v>
      </c>
      <c r="AD2236" s="16">
        <v>0</v>
      </c>
      <c r="AE2236" s="16">
        <v>2233</v>
      </c>
      <c r="AF2236" s="16">
        <f>IF(AC2236=0,IF(O2236=6,INDEX(Acceleration!$V$4:$V$110,MATCH('Track Data'!S2236,Acceleration!$K$4:$K$110,0)),IF('Track Data'!O2236=5,INDEX(Acceleration!$U$4:$U$110,MATCH('Track Data'!S2236,Acceleration!$K$4:$K$110,0)),1)),U2236)</f>
        <v>1</v>
      </c>
      <c r="AG2236" s="16">
        <f>IF(AC2236=0,IF(O2236=4,INDEX(Acceleration!$T$4:$T$110,MATCH('Track Data'!S2236,Acceleration!$K$4:$K$110,0)),IF('Track Data'!O2236=3,INDEX(Acceleration!$S$4:$S$110,MATCH('Track Data'!S2236,Acceleration!$K$4:$K$110,0)),'Track Data'!AF2236)),'Track Data'!U2236)</f>
        <v>5.2096417315015078</v>
      </c>
      <c r="AH2236" s="16">
        <f>IF(AC2236=0,IF(O2236=2,INDEX(Acceleration!$R$4:$R$110,MATCH('Track Data'!S2236,Acceleration!$K$4:$K$110,0)),IF('Track Data'!O2236=1,INDEX(Acceleration!$Q$4:$Q$110,MATCH('Track Data'!S2236,Acceleration!$K$4:$K$110,0)),'Track Data'!AG2236)),'Track Data'!U2236)</f>
        <v>5.2096417315015078</v>
      </c>
    </row>
    <row r="2237" spans="2:34" x14ac:dyDescent="0.25">
      <c r="B2237" s="16">
        <v>254.322</v>
      </c>
      <c r="C2237" s="16">
        <v>9507</v>
      </c>
      <c r="D2237" s="16">
        <v>2234</v>
      </c>
      <c r="E2237" s="113">
        <v>167</v>
      </c>
      <c r="F2237" s="113">
        <v>161.1</v>
      </c>
      <c r="G2237" s="113">
        <v>157</v>
      </c>
      <c r="H2237" s="113">
        <f t="shared" si="243"/>
        <v>43.611111111111107</v>
      </c>
      <c r="I2237" s="113">
        <v>7.9</v>
      </c>
      <c r="J2237" s="113">
        <v>19.57</v>
      </c>
      <c r="K2237" s="113">
        <v>-37.299999999999997</v>
      </c>
      <c r="L2237" s="185"/>
      <c r="M2237" s="16">
        <v>2234</v>
      </c>
      <c r="N2237" s="16">
        <f t="shared" si="245"/>
        <v>2.3859969741784708E-2</v>
      </c>
      <c r="O2237" s="16">
        <v>3</v>
      </c>
      <c r="P2237" s="16">
        <f t="shared" si="241"/>
        <v>10.596205962059623</v>
      </c>
      <c r="Q2237" s="16">
        <f t="shared" si="246"/>
        <v>41.911201515429951</v>
      </c>
      <c r="R2237" s="113">
        <f t="shared" si="242"/>
        <v>345.36</v>
      </c>
      <c r="S2237" s="16">
        <f>IF(S2236=15800,15800,ROUND((((Q2237*60)/'Gearing Calculator'!$C$14)*'Track Data'!P2237),-2))</f>
        <v>13500</v>
      </c>
      <c r="T2237" s="16">
        <f t="shared" si="244"/>
        <v>5.1615340939618166</v>
      </c>
      <c r="U2237" s="16">
        <f>IF(AC2237=100,Braking!$AG$2354,IF(AC2237=50,Braking!$AG$1179,IF(AC2237=75,Braking!$AG$1767,0)))</f>
        <v>0</v>
      </c>
      <c r="V2237" s="16">
        <f>0.5*'Gearing Calculator'!$C$15*'Gearing Calculator'!$C$20*'Gearing Calculator'!$W$20*('Track Data'!Q2237^2)</f>
        <v>185.9131263115049</v>
      </c>
      <c r="W2237" s="16">
        <f>('Gearing Calculator'!$U$9*'Track Data'!T2237)+'Track Data'!V2237</f>
        <v>1559.9135021241402</v>
      </c>
      <c r="X2237" s="16">
        <f>('Gearing Calculator'!$U$9*9.81)*('Gearing Calculator'!$U$16/'Gearing Calculator'!$C$7)-(('Track Data'!W2237)*('Gearing Calculator'!$U$17/'Gearing Calculator'!$C$7))</f>
        <v>550.90290902590903</v>
      </c>
      <c r="Y2237" s="16">
        <f>('Gearing Calculator'!$U$9*9.81)*(('Gearing Calculator'!$C$7-'Gearing Calculator'!$U$16)/'Gearing Calculator'!$C$7)+(('Track Data'!W2237)*('Gearing Calculator'!$U$17/'Gearing Calculator'!$C$7))</f>
        <v>2060.5190909740909</v>
      </c>
      <c r="Z2237" s="16">
        <f>((X2237*COS('Gearing Calculator'!$C$21))/'Gearing Calculator'!$C$22)/2</f>
        <v>17.032175589626387</v>
      </c>
      <c r="AA2237" s="16">
        <f>Y2237/'Gearing Calculator'!$C$24</f>
        <v>28.771757586202284</v>
      </c>
      <c r="AB2237" s="16">
        <f t="shared" si="247"/>
        <v>201.39772859339035</v>
      </c>
      <c r="AC2237" s="16">
        <v>0</v>
      </c>
      <c r="AD2237" s="16">
        <v>0</v>
      </c>
      <c r="AE2237" s="16">
        <v>2234</v>
      </c>
      <c r="AF2237" s="16">
        <f>IF(AC2237=0,IF(O2237=6,INDEX(Acceleration!$V$4:$V$110,MATCH('Track Data'!S2237,Acceleration!$K$4:$K$110,0)),IF('Track Data'!O2237=5,INDEX(Acceleration!$U$4:$U$110,MATCH('Track Data'!S2237,Acceleration!$K$4:$K$110,0)),1)),U2237)</f>
        <v>1</v>
      </c>
      <c r="AG2237" s="16">
        <f>IF(AC2237=0,IF(O2237=4,INDEX(Acceleration!$T$4:$T$110,MATCH('Track Data'!S2237,Acceleration!$K$4:$K$110,0)),IF('Track Data'!O2237=3,INDEX(Acceleration!$S$4:$S$110,MATCH('Track Data'!S2237,Acceleration!$K$4:$K$110,0)),'Track Data'!AF2237)),'Track Data'!U2237)</f>
        <v>5.1615340939618166</v>
      </c>
      <c r="AH2237" s="16">
        <f>IF(AC2237=0,IF(O2237=2,INDEX(Acceleration!$R$4:$R$110,MATCH('Track Data'!S2237,Acceleration!$K$4:$K$110,0)),IF('Track Data'!O2237=1,INDEX(Acceleration!$Q$4:$Q$110,MATCH('Track Data'!S2237,Acceleration!$K$4:$K$110,0)),'Track Data'!AG2237)),'Track Data'!U2237)</f>
        <v>5.1615340939618166</v>
      </c>
    </row>
    <row r="2238" spans="2:34" x14ac:dyDescent="0.25">
      <c r="B2238" s="16">
        <v>254.34399999999999</v>
      </c>
      <c r="C2238" s="16">
        <v>9508</v>
      </c>
      <c r="D2238" s="16">
        <v>2235</v>
      </c>
      <c r="E2238" s="113">
        <v>167</v>
      </c>
      <c r="F2238" s="113">
        <v>161.6</v>
      </c>
      <c r="G2238" s="113">
        <v>157.30000000000001</v>
      </c>
      <c r="H2238" s="113">
        <f t="shared" si="243"/>
        <v>43.69444444444445</v>
      </c>
      <c r="I2238" s="113">
        <v>8.3000000000000007</v>
      </c>
      <c r="J2238" s="113">
        <v>18.510000000000002</v>
      </c>
      <c r="K2238" s="113">
        <v>-38.299999999999997</v>
      </c>
      <c r="L2238" s="185"/>
      <c r="M2238" s="16">
        <v>2235</v>
      </c>
      <c r="N2238" s="16">
        <f t="shared" si="245"/>
        <v>2.3790165892377046E-2</v>
      </c>
      <c r="O2238" s="16">
        <v>3</v>
      </c>
      <c r="P2238" s="16">
        <f t="shared" si="241"/>
        <v>10.596205962059623</v>
      </c>
      <c r="Q2238" s="16">
        <f t="shared" si="246"/>
        <v>42.034175151356322</v>
      </c>
      <c r="R2238" s="113">
        <f t="shared" si="242"/>
        <v>345.36</v>
      </c>
      <c r="S2238" s="16">
        <f>IF(S2237=15800,15800,ROUND((((Q2238*60)/'Gearing Calculator'!$C$14)*'Track Data'!P2238),-2))</f>
        <v>13500</v>
      </c>
      <c r="T2238" s="16">
        <f t="shared" si="244"/>
        <v>5.1615340939618166</v>
      </c>
      <c r="U2238" s="16">
        <f>IF(AC2238=100,Braking!$AG$2354,IF(AC2238=50,Braking!$AG$1179,IF(AC2238=75,Braking!$AG$1767,0)))</f>
        <v>0</v>
      </c>
      <c r="V2238" s="16">
        <f>0.5*'Gearing Calculator'!$C$15*'Gearing Calculator'!$C$20*'Gearing Calculator'!$W$20*('Track Data'!Q2238^2)</f>
        <v>187.00571984851473</v>
      </c>
      <c r="W2238" s="16">
        <f>('Gearing Calculator'!$U$9*'Track Data'!T2238)+'Track Data'!V2238</f>
        <v>1561.0060956611501</v>
      </c>
      <c r="X2238" s="16">
        <f>('Gearing Calculator'!$U$9*9.81)*('Gearing Calculator'!$U$16/'Gearing Calculator'!$C$7)-(('Track Data'!W2238)*('Gearing Calculator'!$U$17/'Gearing Calculator'!$C$7))</f>
        <v>550.30737093094717</v>
      </c>
      <c r="Y2238" s="16">
        <f>('Gearing Calculator'!$U$9*9.81)*(('Gearing Calculator'!$C$7-'Gearing Calculator'!$U$16)/'Gearing Calculator'!$C$7)+(('Track Data'!W2238)*('Gearing Calculator'!$U$17/'Gearing Calculator'!$C$7))</f>
        <v>2061.1146290690531</v>
      </c>
      <c r="Z2238" s="16">
        <f>((X2238*COS('Gearing Calculator'!$C$21))/'Gearing Calculator'!$C$22)/2</f>
        <v>17.013763435256688</v>
      </c>
      <c r="AA2238" s="16">
        <f>Y2238/'Gearing Calculator'!$C$24</f>
        <v>28.780073295470235</v>
      </c>
      <c r="AB2238" s="16">
        <f t="shared" si="247"/>
        <v>202.49032213040019</v>
      </c>
      <c r="AC2238" s="16">
        <v>0</v>
      </c>
      <c r="AD2238" s="16">
        <v>0</v>
      </c>
      <c r="AE2238" s="16">
        <v>2235</v>
      </c>
      <c r="AF2238" s="16">
        <f>IF(AC2238=0,IF(O2238=6,INDEX(Acceleration!$V$4:$V$110,MATCH('Track Data'!S2238,Acceleration!$K$4:$K$110,0)),IF('Track Data'!O2238=5,INDEX(Acceleration!$U$4:$U$110,MATCH('Track Data'!S2238,Acceleration!$K$4:$K$110,0)),1)),U2238)</f>
        <v>1</v>
      </c>
      <c r="AG2238" s="16">
        <f>IF(AC2238=0,IF(O2238=4,INDEX(Acceleration!$T$4:$T$110,MATCH('Track Data'!S2238,Acceleration!$K$4:$K$110,0)),IF('Track Data'!O2238=3,INDEX(Acceleration!$S$4:$S$110,MATCH('Track Data'!S2238,Acceleration!$K$4:$K$110,0)),'Track Data'!AF2238)),'Track Data'!U2238)</f>
        <v>5.1615340939618166</v>
      </c>
      <c r="AH2238" s="16">
        <f>IF(AC2238=0,IF(O2238=2,INDEX(Acceleration!$R$4:$R$110,MATCH('Track Data'!S2238,Acceleration!$K$4:$K$110,0)),IF('Track Data'!O2238=1,INDEX(Acceleration!$Q$4:$Q$110,MATCH('Track Data'!S2238,Acceleration!$K$4:$K$110,0)),'Track Data'!AG2238)),'Track Data'!U2238)</f>
        <v>5.1615340939618166</v>
      </c>
    </row>
    <row r="2239" spans="2:34" x14ac:dyDescent="0.25">
      <c r="B2239" s="16">
        <v>254.36699999999999</v>
      </c>
      <c r="C2239" s="16">
        <v>9509</v>
      </c>
      <c r="D2239" s="16">
        <v>2236</v>
      </c>
      <c r="E2239" s="113">
        <v>167</v>
      </c>
      <c r="F2239" s="113">
        <v>162</v>
      </c>
      <c r="G2239" s="113">
        <v>157.69999999999999</v>
      </c>
      <c r="H2239" s="113">
        <f t="shared" si="243"/>
        <v>43.80555555555555</v>
      </c>
      <c r="I2239" s="113">
        <v>8.4</v>
      </c>
      <c r="J2239" s="113">
        <v>17.920000000000002</v>
      </c>
      <c r="K2239" s="113">
        <v>-39.4</v>
      </c>
      <c r="L2239" s="185"/>
      <c r="M2239" s="16">
        <v>2236</v>
      </c>
      <c r="N2239" s="16">
        <f t="shared" si="245"/>
        <v>2.3720971126726071E-2</v>
      </c>
      <c r="O2239" s="16">
        <v>3</v>
      </c>
      <c r="P2239" s="16">
        <f t="shared" si="241"/>
        <v>10.596205962059623</v>
      </c>
      <c r="Q2239" s="16">
        <f t="shared" si="246"/>
        <v>42.156790068064062</v>
      </c>
      <c r="R2239" s="113">
        <f t="shared" si="242"/>
        <v>345.36</v>
      </c>
      <c r="S2239" s="16">
        <f>IF(S2238=15800,15800,ROUND((((Q2239*60)/'Gearing Calculator'!$C$14)*'Track Data'!P2239),-2))</f>
        <v>13500</v>
      </c>
      <c r="T2239" s="16">
        <f t="shared" si="244"/>
        <v>5.1615340939618166</v>
      </c>
      <c r="U2239" s="16">
        <f>IF(AC2239=100,Braking!$AG$2354,IF(AC2239=50,Braking!$AG$1179,IF(AC2239=75,Braking!$AG$1767,0)))</f>
        <v>0</v>
      </c>
      <c r="V2239" s="16">
        <f>0.5*'Gearing Calculator'!$C$15*'Gearing Calculator'!$C$20*'Gearing Calculator'!$W$20*('Track Data'!Q2239^2)</f>
        <v>188.09831338552456</v>
      </c>
      <c r="W2239" s="16">
        <f>('Gearing Calculator'!$U$9*'Track Data'!T2239)+'Track Data'!V2239</f>
        <v>1562.0986891981599</v>
      </c>
      <c r="X2239" s="16">
        <f>('Gearing Calculator'!$U$9*9.81)*('Gearing Calculator'!$U$16/'Gearing Calculator'!$C$7)-(('Track Data'!W2239)*('Gearing Calculator'!$U$17/'Gearing Calculator'!$C$7))</f>
        <v>549.71183283598543</v>
      </c>
      <c r="Y2239" s="16">
        <f>('Gearing Calculator'!$U$9*9.81)*(('Gearing Calculator'!$C$7-'Gearing Calculator'!$U$16)/'Gearing Calculator'!$C$7)+(('Track Data'!W2239)*('Gearing Calculator'!$U$17/'Gearing Calculator'!$C$7))</f>
        <v>2061.7101671640148</v>
      </c>
      <c r="Z2239" s="16">
        <f>((X2239*COS('Gearing Calculator'!$C$21))/'Gearing Calculator'!$C$22)/2</f>
        <v>16.99535128088699</v>
      </c>
      <c r="AA2239" s="16">
        <f>Y2239/'Gearing Calculator'!$C$24</f>
        <v>28.788389004738178</v>
      </c>
      <c r="AB2239" s="16">
        <f t="shared" si="247"/>
        <v>203.58291566741002</v>
      </c>
      <c r="AC2239" s="16">
        <v>0</v>
      </c>
      <c r="AD2239" s="16">
        <v>0</v>
      </c>
      <c r="AE2239" s="16">
        <v>2236</v>
      </c>
      <c r="AF2239" s="16">
        <f>IF(AC2239=0,IF(O2239=6,INDEX(Acceleration!$V$4:$V$110,MATCH('Track Data'!S2239,Acceleration!$K$4:$K$110,0)),IF('Track Data'!O2239=5,INDEX(Acceleration!$U$4:$U$110,MATCH('Track Data'!S2239,Acceleration!$K$4:$K$110,0)),1)),U2239)</f>
        <v>1</v>
      </c>
      <c r="AG2239" s="16">
        <f>IF(AC2239=0,IF(O2239=4,INDEX(Acceleration!$T$4:$T$110,MATCH('Track Data'!S2239,Acceleration!$K$4:$K$110,0)),IF('Track Data'!O2239=3,INDEX(Acceleration!$S$4:$S$110,MATCH('Track Data'!S2239,Acceleration!$K$4:$K$110,0)),'Track Data'!AF2239)),'Track Data'!U2239)</f>
        <v>5.1615340939618166</v>
      </c>
      <c r="AH2239" s="16">
        <f>IF(AC2239=0,IF(O2239=2,INDEX(Acceleration!$R$4:$R$110,MATCH('Track Data'!S2239,Acceleration!$K$4:$K$110,0)),IF('Track Data'!O2239=1,INDEX(Acceleration!$Q$4:$Q$110,MATCH('Track Data'!S2239,Acceleration!$K$4:$K$110,0)),'Track Data'!AG2239)),'Track Data'!U2239)</f>
        <v>5.1615340939618166</v>
      </c>
    </row>
    <row r="2240" spans="2:34" x14ac:dyDescent="0.25">
      <c r="B2240" s="16">
        <v>254.38900000000001</v>
      </c>
      <c r="C2240" s="16">
        <v>9510</v>
      </c>
      <c r="D2240" s="16">
        <v>2237</v>
      </c>
      <c r="E2240" s="113">
        <v>168</v>
      </c>
      <c r="F2240" s="113">
        <v>162.19999999999999</v>
      </c>
      <c r="G2240" s="113">
        <v>158</v>
      </c>
      <c r="H2240" s="113">
        <f t="shared" si="243"/>
        <v>43.888888888888886</v>
      </c>
      <c r="I2240" s="113">
        <v>7.9</v>
      </c>
      <c r="J2240" s="113">
        <v>19.82</v>
      </c>
      <c r="K2240" s="113">
        <v>-40.5</v>
      </c>
      <c r="L2240" s="185"/>
      <c r="M2240" s="16">
        <v>2237</v>
      </c>
      <c r="N2240" s="16">
        <f t="shared" si="245"/>
        <v>2.3652376638298035E-2</v>
      </c>
      <c r="O2240" s="16">
        <v>3</v>
      </c>
      <c r="P2240" s="16">
        <f t="shared" si="241"/>
        <v>10.596205962059623</v>
      </c>
      <c r="Q2240" s="16">
        <f t="shared" si="246"/>
        <v>42.279049386554902</v>
      </c>
      <c r="R2240" s="113">
        <f t="shared" si="242"/>
        <v>345.36</v>
      </c>
      <c r="S2240" s="16">
        <f>IF(S2239=15800,15800,ROUND((((Q2240*60)/'Gearing Calculator'!$C$14)*'Track Data'!P2240),-2))</f>
        <v>13600</v>
      </c>
      <c r="T2240" s="16">
        <f t="shared" si="244"/>
        <v>5.1139929135961175</v>
      </c>
      <c r="U2240" s="16">
        <f>IF(AC2240=100,Braking!$AG$2354,IF(AC2240=50,Braking!$AG$1179,IF(AC2240=75,Braking!$AG$1767,0)))</f>
        <v>0</v>
      </c>
      <c r="V2240" s="16">
        <f>0.5*'Gearing Calculator'!$C$15*'Gearing Calculator'!$C$20*'Gearing Calculator'!$W$20*('Track Data'!Q2240^2)</f>
        <v>189.1909069225344</v>
      </c>
      <c r="W2240" s="16">
        <f>('Gearing Calculator'!$U$9*'Track Data'!T2240)+'Track Data'!V2240</f>
        <v>1550.5358205218208</v>
      </c>
      <c r="X2240" s="16">
        <f>('Gearing Calculator'!$U$9*9.81)*('Gearing Calculator'!$U$16/'Gearing Calculator'!$C$7)-(('Track Data'!W2240)*('Gearing Calculator'!$U$17/'Gearing Calculator'!$C$7))</f>
        <v>556.01438593605792</v>
      </c>
      <c r="Y2240" s="16">
        <f>('Gearing Calculator'!$U$9*9.81)*(('Gearing Calculator'!$C$7-'Gearing Calculator'!$U$16)/'Gearing Calculator'!$C$7)+(('Track Data'!W2240)*('Gearing Calculator'!$U$17/'Gearing Calculator'!$C$7))</f>
        <v>2055.4076140639422</v>
      </c>
      <c r="Z2240" s="16">
        <f>((X2240*COS('Gearing Calculator'!$C$21))/'Gearing Calculator'!$C$22)/2</f>
        <v>17.190206289464065</v>
      </c>
      <c r="AA2240" s="16">
        <f>Y2240/'Gearing Calculator'!$C$24</f>
        <v>28.70038422440696</v>
      </c>
      <c r="AB2240" s="16">
        <f t="shared" si="247"/>
        <v>204.53288566332276</v>
      </c>
      <c r="AC2240" s="16">
        <v>0</v>
      </c>
      <c r="AD2240" s="16">
        <v>0</v>
      </c>
      <c r="AE2240" s="16">
        <v>2237</v>
      </c>
      <c r="AF2240" s="16">
        <f>IF(AC2240=0,IF(O2240=6,INDEX(Acceleration!$V$4:$V$110,MATCH('Track Data'!S2240,Acceleration!$K$4:$K$110,0)),IF('Track Data'!O2240=5,INDEX(Acceleration!$U$4:$U$110,MATCH('Track Data'!S2240,Acceleration!$K$4:$K$110,0)),1)),U2240)</f>
        <v>1</v>
      </c>
      <c r="AG2240" s="16">
        <f>IF(AC2240=0,IF(O2240=4,INDEX(Acceleration!$T$4:$T$110,MATCH('Track Data'!S2240,Acceleration!$K$4:$K$110,0)),IF('Track Data'!O2240=3,INDEX(Acceleration!$S$4:$S$110,MATCH('Track Data'!S2240,Acceleration!$K$4:$K$110,0)),'Track Data'!AF2240)),'Track Data'!U2240)</f>
        <v>5.1139929135961175</v>
      </c>
      <c r="AH2240" s="16">
        <f>IF(AC2240=0,IF(O2240=2,INDEX(Acceleration!$R$4:$R$110,MATCH('Track Data'!S2240,Acceleration!$K$4:$K$110,0)),IF('Track Data'!O2240=1,INDEX(Acceleration!$Q$4:$Q$110,MATCH('Track Data'!S2240,Acceleration!$K$4:$K$110,0)),'Track Data'!AG2240)),'Track Data'!U2240)</f>
        <v>5.1139929135961175</v>
      </c>
    </row>
    <row r="2241" spans="2:34" x14ac:dyDescent="0.25">
      <c r="B2241" s="16">
        <v>254.411</v>
      </c>
      <c r="C2241" s="16">
        <v>9511</v>
      </c>
      <c r="D2241" s="16">
        <v>2238</v>
      </c>
      <c r="E2241" s="113">
        <v>168</v>
      </c>
      <c r="F2241" s="113">
        <v>162.6</v>
      </c>
      <c r="G2241" s="113">
        <v>158.5</v>
      </c>
      <c r="H2241" s="113">
        <f t="shared" si="243"/>
        <v>44.027777777777779</v>
      </c>
      <c r="I2241" s="113">
        <v>7.2</v>
      </c>
      <c r="J2241" s="113">
        <v>19.16</v>
      </c>
      <c r="K2241" s="113">
        <v>-40.200000000000003</v>
      </c>
      <c r="L2241" s="185"/>
      <c r="M2241" s="16">
        <v>2238</v>
      </c>
      <c r="N2241" s="16">
        <f t="shared" si="245"/>
        <v>2.3584997475525851E-2</v>
      </c>
      <c r="O2241" s="16">
        <v>3</v>
      </c>
      <c r="P2241" s="16">
        <f t="shared" si="241"/>
        <v>10.596205962059623</v>
      </c>
      <c r="Q2241" s="16">
        <f t="shared" si="246"/>
        <v>42.39983493904122</v>
      </c>
      <c r="R2241" s="113">
        <f t="shared" si="242"/>
        <v>345.36</v>
      </c>
      <c r="S2241" s="16">
        <f>IF(S2240=15800,15800,ROUND((((Q2241*60)/'Gearing Calculator'!$C$14)*'Track Data'!P2241),-2))</f>
        <v>13600</v>
      </c>
      <c r="T2241" s="16">
        <f t="shared" si="244"/>
        <v>5.1139929135961175</v>
      </c>
      <c r="U2241" s="16">
        <f>IF(AC2241=100,Braking!$AG$2354,IF(AC2241=50,Braking!$AG$1179,IF(AC2241=75,Braking!$AG$1767,0)))</f>
        <v>0</v>
      </c>
      <c r="V2241" s="16">
        <f>0.5*'Gearing Calculator'!$C$15*'Gearing Calculator'!$C$20*'Gearing Calculator'!$W$20*('Track Data'!Q2241^2)</f>
        <v>190.27343694248441</v>
      </c>
      <c r="W2241" s="16">
        <f>('Gearing Calculator'!$U$9*'Track Data'!T2241)+'Track Data'!V2241</f>
        <v>1551.6183505417707</v>
      </c>
      <c r="X2241" s="16">
        <f>('Gearing Calculator'!$U$9*9.81)*('Gearing Calculator'!$U$16/'Gearing Calculator'!$C$7)-(('Track Data'!W2241)*('Gearing Calculator'!$U$17/'Gearing Calculator'!$C$7))</f>
        <v>555.42433314516893</v>
      </c>
      <c r="Y2241" s="16">
        <f>('Gearing Calculator'!$U$9*9.81)*(('Gearing Calculator'!$C$7-'Gearing Calculator'!$U$16)/'Gearing Calculator'!$C$7)+(('Track Data'!W2241)*('Gearing Calculator'!$U$17/'Gearing Calculator'!$C$7))</f>
        <v>2055.9976668548311</v>
      </c>
      <c r="Z2241" s="16">
        <f>((X2241*COS('Gearing Calculator'!$C$21))/'Gearing Calculator'!$C$22)/2</f>
        <v>17.171963723347758</v>
      </c>
      <c r="AA2241" s="16">
        <f>Y2241/'Gearing Calculator'!$C$24</f>
        <v>28.70862334043208</v>
      </c>
      <c r="AB2241" s="16">
        <f t="shared" si="247"/>
        <v>205.61541568327277</v>
      </c>
      <c r="AC2241" s="16">
        <v>0</v>
      </c>
      <c r="AD2241" s="16">
        <v>0</v>
      </c>
      <c r="AE2241" s="16">
        <v>2238</v>
      </c>
      <c r="AF2241" s="16">
        <f>IF(AC2241=0,IF(O2241=6,INDEX(Acceleration!$V$4:$V$110,MATCH('Track Data'!S2241,Acceleration!$K$4:$K$110,0)),IF('Track Data'!O2241=5,INDEX(Acceleration!$U$4:$U$110,MATCH('Track Data'!S2241,Acceleration!$K$4:$K$110,0)),1)),U2241)</f>
        <v>1</v>
      </c>
      <c r="AG2241" s="16">
        <f>IF(AC2241=0,IF(O2241=4,INDEX(Acceleration!$T$4:$T$110,MATCH('Track Data'!S2241,Acceleration!$K$4:$K$110,0)),IF('Track Data'!O2241=3,INDEX(Acceleration!$S$4:$S$110,MATCH('Track Data'!S2241,Acceleration!$K$4:$K$110,0)),'Track Data'!AF2241)),'Track Data'!U2241)</f>
        <v>5.1139929135961175</v>
      </c>
      <c r="AH2241" s="16">
        <f>IF(AC2241=0,IF(O2241=2,INDEX(Acceleration!$R$4:$R$110,MATCH('Track Data'!S2241,Acceleration!$K$4:$K$110,0)),IF('Track Data'!O2241=1,INDEX(Acceleration!$Q$4:$Q$110,MATCH('Track Data'!S2241,Acceleration!$K$4:$K$110,0)),'Track Data'!AG2241)),'Track Data'!U2241)</f>
        <v>5.1139929135961175</v>
      </c>
    </row>
    <row r="2242" spans="2:34" x14ac:dyDescent="0.25">
      <c r="B2242" s="16">
        <v>254.43299999999999</v>
      </c>
      <c r="C2242" s="16">
        <v>9512</v>
      </c>
      <c r="D2242" s="16">
        <v>2239</v>
      </c>
      <c r="E2242" s="113">
        <v>168</v>
      </c>
      <c r="F2242" s="113">
        <v>163.1</v>
      </c>
      <c r="G2242" s="113">
        <v>158.80000000000001</v>
      </c>
      <c r="H2242" s="113">
        <f t="shared" si="243"/>
        <v>44.111111111111114</v>
      </c>
      <c r="I2242" s="113">
        <v>7.1</v>
      </c>
      <c r="J2242" s="113">
        <v>17.52</v>
      </c>
      <c r="K2242" s="113">
        <v>-38.6</v>
      </c>
      <c r="L2242" s="185"/>
      <c r="M2242" s="16">
        <v>2239</v>
      </c>
      <c r="N2242" s="16">
        <f t="shared" si="245"/>
        <v>2.3518190885825688E-2</v>
      </c>
      <c r="O2242" s="16">
        <v>3</v>
      </c>
      <c r="P2242" s="16">
        <f t="shared" si="241"/>
        <v>10.596205962059623</v>
      </c>
      <c r="Q2242" s="16">
        <f t="shared" si="246"/>
        <v>42.520277382504609</v>
      </c>
      <c r="R2242" s="113">
        <f t="shared" si="242"/>
        <v>345.36</v>
      </c>
      <c r="S2242" s="16">
        <f>IF(S2241=15800,15800,ROUND((((Q2242*60)/'Gearing Calculator'!$C$14)*'Track Data'!P2242),-2))</f>
        <v>13700</v>
      </c>
      <c r="T2242" s="16">
        <f t="shared" si="244"/>
        <v>5.0670047493525079</v>
      </c>
      <c r="U2242" s="16">
        <f>IF(AC2242=100,Braking!$AG$2354,IF(AC2242=50,Braking!$AG$1179,IF(AC2242=75,Braking!$AG$1767,0)))</f>
        <v>0</v>
      </c>
      <c r="V2242" s="16">
        <f>0.5*'Gearing Calculator'!$C$15*'Gearing Calculator'!$C$20*'Gearing Calculator'!$W$20*('Track Data'!Q2242^2)</f>
        <v>191.35596696243445</v>
      </c>
      <c r="W2242" s="16">
        <f>('Gearing Calculator'!$U$9*'Track Data'!T2242)+'Track Data'!V2242</f>
        <v>1540.1926312400719</v>
      </c>
      <c r="X2242" s="16">
        <f>('Gearing Calculator'!$U$9*9.81)*('Gearing Calculator'!$U$16/'Gearing Calculator'!$C$7)-(('Track Data'!W2242)*('Gearing Calculator'!$U$17/'Gearing Calculator'!$C$7))</f>
        <v>561.65213046961969</v>
      </c>
      <c r="Y2242" s="16">
        <f>('Gearing Calculator'!$U$9*9.81)*(('Gearing Calculator'!$C$7-'Gearing Calculator'!$U$16)/'Gearing Calculator'!$C$7)+(('Track Data'!W2242)*('Gearing Calculator'!$U$17/'Gearing Calculator'!$C$7))</f>
        <v>2049.7698695303802</v>
      </c>
      <c r="Z2242" s="16">
        <f>((X2242*COS('Gearing Calculator'!$C$21))/'Gearing Calculator'!$C$22)/2</f>
        <v>17.364507519774985</v>
      </c>
      <c r="AA2242" s="16">
        <f>Y2242/'Gearing Calculator'!$C$24</f>
        <v>28.621662401462867</v>
      </c>
      <c r="AB2242" s="16">
        <f t="shared" si="247"/>
        <v>206.55698121049198</v>
      </c>
      <c r="AC2242" s="16">
        <v>0</v>
      </c>
      <c r="AD2242" s="16">
        <v>0</v>
      </c>
      <c r="AE2242" s="16">
        <v>2239</v>
      </c>
      <c r="AF2242" s="16">
        <f>IF(AC2242=0,IF(O2242=6,INDEX(Acceleration!$V$4:$V$110,MATCH('Track Data'!S2242,Acceleration!$K$4:$K$110,0)),IF('Track Data'!O2242=5,INDEX(Acceleration!$U$4:$U$110,MATCH('Track Data'!S2242,Acceleration!$K$4:$K$110,0)),1)),U2242)</f>
        <v>1</v>
      </c>
      <c r="AG2242" s="16">
        <f>IF(AC2242=0,IF(O2242=4,INDEX(Acceleration!$T$4:$T$110,MATCH('Track Data'!S2242,Acceleration!$K$4:$K$110,0)),IF('Track Data'!O2242=3,INDEX(Acceleration!$S$4:$S$110,MATCH('Track Data'!S2242,Acceleration!$K$4:$K$110,0)),'Track Data'!AF2242)),'Track Data'!U2242)</f>
        <v>5.0670047493525079</v>
      </c>
      <c r="AH2242" s="16">
        <f>IF(AC2242=0,IF(O2242=2,INDEX(Acceleration!$R$4:$R$110,MATCH('Track Data'!S2242,Acceleration!$K$4:$K$110,0)),IF('Track Data'!O2242=1,INDEX(Acceleration!$Q$4:$Q$110,MATCH('Track Data'!S2242,Acceleration!$K$4:$K$110,0)),'Track Data'!AG2242)),'Track Data'!U2242)</f>
        <v>5.0670047493525079</v>
      </c>
    </row>
    <row r="2243" spans="2:34" x14ac:dyDescent="0.25">
      <c r="B2243" s="16">
        <v>254.45500000000001</v>
      </c>
      <c r="C2243" s="16">
        <v>9513</v>
      </c>
      <c r="D2243" s="16">
        <v>2240</v>
      </c>
      <c r="E2243" s="113">
        <v>168</v>
      </c>
      <c r="F2243" s="113">
        <v>163.1</v>
      </c>
      <c r="G2243" s="113">
        <v>159.1</v>
      </c>
      <c r="H2243" s="113">
        <f t="shared" si="243"/>
        <v>44.194444444444443</v>
      </c>
      <c r="I2243" s="113">
        <v>7.1</v>
      </c>
      <c r="J2243" s="113">
        <v>20.04</v>
      </c>
      <c r="K2243" s="113">
        <v>-37</v>
      </c>
      <c r="L2243" s="185"/>
      <c r="M2243" s="16">
        <v>2240</v>
      </c>
      <c r="N2243" s="16">
        <f t="shared" si="245"/>
        <v>2.3452554902527539E-2</v>
      </c>
      <c r="O2243" s="16">
        <v>3</v>
      </c>
      <c r="P2243" s="16">
        <f t="shared" si="241"/>
        <v>10.596205962059623</v>
      </c>
      <c r="Q2243" s="16">
        <f t="shared" si="246"/>
        <v>42.639277646130893</v>
      </c>
      <c r="R2243" s="113">
        <f t="shared" si="242"/>
        <v>345.36</v>
      </c>
      <c r="S2243" s="16">
        <f>IF(S2242=15800,15800,ROUND((((Q2243*60)/'Gearing Calculator'!$C$14)*'Track Data'!P2243),-2))</f>
        <v>13700</v>
      </c>
      <c r="T2243" s="16">
        <f t="shared" si="244"/>
        <v>5.0670047493525079</v>
      </c>
      <c r="U2243" s="16">
        <f>IF(AC2243=100,Braking!$AG$2354,IF(AC2243=50,Braking!$AG$1179,IF(AC2243=75,Braking!$AG$1767,0)))</f>
        <v>0</v>
      </c>
      <c r="V2243" s="16">
        <f>0.5*'Gearing Calculator'!$C$15*'Gearing Calculator'!$C$20*'Gearing Calculator'!$W$20*('Track Data'!Q2243^2)</f>
        <v>192.42855052777736</v>
      </c>
      <c r="W2243" s="16">
        <f>('Gearing Calculator'!$U$9*'Track Data'!T2243)+'Track Data'!V2243</f>
        <v>1541.2652148054149</v>
      </c>
      <c r="X2243" s="16">
        <f>('Gearing Calculator'!$U$9*9.81)*('Gearing Calculator'!$U$16/'Gearing Calculator'!$C$7)-(('Track Data'!W2243)*('Gearing Calculator'!$U$17/'Gearing Calculator'!$C$7))</f>
        <v>561.06749917577201</v>
      </c>
      <c r="Y2243" s="16">
        <f>('Gearing Calculator'!$U$9*9.81)*(('Gearing Calculator'!$C$7-'Gearing Calculator'!$U$16)/'Gearing Calculator'!$C$7)+(('Track Data'!W2243)*('Gearing Calculator'!$U$17/'Gearing Calculator'!$C$7))</f>
        <v>2050.3545008242281</v>
      </c>
      <c r="Z2243" s="16">
        <f>((X2243*COS('Gearing Calculator'!$C$21))/'Gearing Calculator'!$C$22)/2</f>
        <v>17.346432569200459</v>
      </c>
      <c r="AA2243" s="16">
        <f>Y2243/'Gearing Calculator'!$C$24</f>
        <v>28.629825815205347</v>
      </c>
      <c r="AB2243" s="16">
        <f t="shared" si="247"/>
        <v>207.62956477583489</v>
      </c>
      <c r="AC2243" s="16">
        <v>0</v>
      </c>
      <c r="AD2243" s="16">
        <v>0</v>
      </c>
      <c r="AE2243" s="16">
        <v>2240</v>
      </c>
      <c r="AF2243" s="16">
        <f>IF(AC2243=0,IF(O2243=6,INDEX(Acceleration!$V$4:$V$110,MATCH('Track Data'!S2243,Acceleration!$K$4:$K$110,0)),IF('Track Data'!O2243=5,INDEX(Acceleration!$U$4:$U$110,MATCH('Track Data'!S2243,Acceleration!$K$4:$K$110,0)),1)),U2243)</f>
        <v>1</v>
      </c>
      <c r="AG2243" s="16">
        <f>IF(AC2243=0,IF(O2243=4,INDEX(Acceleration!$T$4:$T$110,MATCH('Track Data'!S2243,Acceleration!$K$4:$K$110,0)),IF('Track Data'!O2243=3,INDEX(Acceleration!$S$4:$S$110,MATCH('Track Data'!S2243,Acceleration!$K$4:$K$110,0)),'Track Data'!AF2243)),'Track Data'!U2243)</f>
        <v>5.0670047493525079</v>
      </c>
      <c r="AH2243" s="16">
        <f>IF(AC2243=0,IF(O2243=2,INDEX(Acceleration!$R$4:$R$110,MATCH('Track Data'!S2243,Acceleration!$K$4:$K$110,0)),IF('Track Data'!O2243=1,INDEX(Acceleration!$Q$4:$Q$110,MATCH('Track Data'!S2243,Acceleration!$K$4:$K$110,0)),'Track Data'!AG2243)),'Track Data'!U2243)</f>
        <v>5.0670047493525079</v>
      </c>
    </row>
    <row r="2244" spans="2:34" x14ac:dyDescent="0.25">
      <c r="B2244" s="16">
        <v>254.477</v>
      </c>
      <c r="C2244" s="16">
        <v>9514</v>
      </c>
      <c r="D2244" s="16">
        <v>2241</v>
      </c>
      <c r="E2244" s="113">
        <v>168</v>
      </c>
      <c r="F2244" s="113">
        <v>162.69999999999999</v>
      </c>
      <c r="G2244" s="113">
        <v>159.4</v>
      </c>
      <c r="H2244" s="113">
        <f t="shared" si="243"/>
        <v>44.277777777777779</v>
      </c>
      <c r="I2244" s="113">
        <v>7.3</v>
      </c>
      <c r="J2244" s="113">
        <v>22.92</v>
      </c>
      <c r="K2244" s="113">
        <v>-35.4</v>
      </c>
      <c r="L2244" s="185"/>
      <c r="M2244" s="16">
        <v>2241</v>
      </c>
      <c r="N2244" s="16">
        <f t="shared" si="245"/>
        <v>2.3387465412127894E-2</v>
      </c>
      <c r="O2244" s="16">
        <v>3</v>
      </c>
      <c r="P2244" s="16">
        <f t="shared" ref="P2244:P2307" si="248">VLOOKUP(O2244,$AJ$5:$AK$10,2,FALSE)</f>
        <v>10.596205962059623</v>
      </c>
      <c r="Q2244" s="16">
        <f t="shared" si="246"/>
        <v>42.757946719674727</v>
      </c>
      <c r="R2244" s="113">
        <f t="shared" ref="R2244:R2307" si="249">VLOOKUP(O2244,$AJ$5:$AL$10,3,FALSE)</f>
        <v>345.36</v>
      </c>
      <c r="S2244" s="16">
        <f>IF(S2243=15800,15800,ROUND((((Q2244*60)/'Gearing Calculator'!$C$14)*'Track Data'!P2244),-2))</f>
        <v>13700</v>
      </c>
      <c r="T2244" s="16">
        <f t="shared" si="244"/>
        <v>5.0670047493525079</v>
      </c>
      <c r="U2244" s="16">
        <f>IF(AC2244=100,Braking!$AG$2354,IF(AC2244=50,Braking!$AG$1179,IF(AC2244=75,Braking!$AG$1767,0)))</f>
        <v>0</v>
      </c>
      <c r="V2244" s="16">
        <f>0.5*'Gearing Calculator'!$C$15*'Gearing Calculator'!$C$20*'Gearing Calculator'!$W$20*('Track Data'!Q2244^2)</f>
        <v>193.50113409312033</v>
      </c>
      <c r="W2244" s="16">
        <f>('Gearing Calculator'!$U$9*'Track Data'!T2244)+'Track Data'!V2244</f>
        <v>1542.3377983707578</v>
      </c>
      <c r="X2244" s="16">
        <f>('Gearing Calculator'!$U$9*9.81)*('Gearing Calculator'!$U$16/'Gearing Calculator'!$C$7)-(('Track Data'!W2244)*('Gearing Calculator'!$U$17/'Gearing Calculator'!$C$7))</f>
        <v>560.48286788192434</v>
      </c>
      <c r="Y2244" s="16">
        <f>('Gearing Calculator'!$U$9*9.81)*(('Gearing Calculator'!$C$7-'Gearing Calculator'!$U$16)/'Gearing Calculator'!$C$7)+(('Track Data'!W2244)*('Gearing Calculator'!$U$17/'Gearing Calculator'!$C$7))</f>
        <v>2050.9391321180756</v>
      </c>
      <c r="Z2244" s="16">
        <f>((X2244*COS('Gearing Calculator'!$C$21))/'Gearing Calculator'!$C$22)/2</f>
        <v>17.32835761862594</v>
      </c>
      <c r="AA2244" s="16">
        <f>Y2244/'Gearing Calculator'!$C$24</f>
        <v>28.63798922894782</v>
      </c>
      <c r="AB2244" s="16">
        <f t="shared" si="247"/>
        <v>208.70214834117786</v>
      </c>
      <c r="AC2244" s="16">
        <v>0</v>
      </c>
      <c r="AD2244" s="16">
        <v>0</v>
      </c>
      <c r="AE2244" s="16">
        <v>2241</v>
      </c>
      <c r="AF2244" s="16">
        <f>IF(AC2244=0,IF(O2244=6,INDEX(Acceleration!$V$4:$V$110,MATCH('Track Data'!S2244,Acceleration!$K$4:$K$110,0)),IF('Track Data'!O2244=5,INDEX(Acceleration!$U$4:$U$110,MATCH('Track Data'!S2244,Acceleration!$K$4:$K$110,0)),1)),U2244)</f>
        <v>1</v>
      </c>
      <c r="AG2244" s="16">
        <f>IF(AC2244=0,IF(O2244=4,INDEX(Acceleration!$T$4:$T$110,MATCH('Track Data'!S2244,Acceleration!$K$4:$K$110,0)),IF('Track Data'!O2244=3,INDEX(Acceleration!$S$4:$S$110,MATCH('Track Data'!S2244,Acceleration!$K$4:$K$110,0)),'Track Data'!AF2244)),'Track Data'!U2244)</f>
        <v>5.0670047493525079</v>
      </c>
      <c r="AH2244" s="16">
        <f>IF(AC2244=0,IF(O2244=2,INDEX(Acceleration!$R$4:$R$110,MATCH('Track Data'!S2244,Acceleration!$K$4:$K$110,0)),IF('Track Data'!O2244=1,INDEX(Acceleration!$Q$4:$Q$110,MATCH('Track Data'!S2244,Acceleration!$K$4:$K$110,0)),'Track Data'!AG2244)),'Track Data'!U2244)</f>
        <v>5.0670047493525079</v>
      </c>
    </row>
    <row r="2245" spans="2:34" x14ac:dyDescent="0.25">
      <c r="B2245" s="16">
        <v>254.499</v>
      </c>
      <c r="C2245" s="16">
        <v>9515</v>
      </c>
      <c r="D2245" s="16">
        <v>2242</v>
      </c>
      <c r="E2245" s="113">
        <v>168</v>
      </c>
      <c r="F2245" s="113">
        <v>162.9</v>
      </c>
      <c r="G2245" s="113">
        <v>159.69999999999999</v>
      </c>
      <c r="H2245" s="113">
        <f t="shared" ref="H2245:H2308" si="250">G2245/3.6</f>
        <v>44.361111111111107</v>
      </c>
      <c r="I2245" s="113">
        <v>8.6</v>
      </c>
      <c r="J2245" s="113">
        <v>19.73</v>
      </c>
      <c r="K2245" s="113">
        <v>-34.799999999999997</v>
      </c>
      <c r="L2245" s="185"/>
      <c r="M2245" s="16">
        <v>2242</v>
      </c>
      <c r="N2245" s="16">
        <f t="shared" si="245"/>
        <v>2.3322914872872812E-2</v>
      </c>
      <c r="O2245" s="16">
        <v>3</v>
      </c>
      <c r="P2245" s="16">
        <f t="shared" si="248"/>
        <v>10.596205962059623</v>
      </c>
      <c r="Q2245" s="16">
        <f t="shared" si="246"/>
        <v>42.876287353049214</v>
      </c>
      <c r="R2245" s="113">
        <f t="shared" si="249"/>
        <v>345.36</v>
      </c>
      <c r="S2245" s="16">
        <f>IF(S2244=15800,15800,ROUND((((Q2245*60)/'Gearing Calculator'!$C$14)*'Track Data'!P2245),-2))</f>
        <v>13800</v>
      </c>
      <c r="T2245" s="16">
        <f t="shared" ref="T2245:T2308" si="251">AH2245</f>
        <v>5.0456548592470503</v>
      </c>
      <c r="U2245" s="16">
        <f>IF(AC2245=100,Braking!$AG$2354,IF(AC2245=50,Braking!$AG$1179,IF(AC2245=75,Braking!$AG$1767,0)))</f>
        <v>0</v>
      </c>
      <c r="V2245" s="16">
        <f>0.5*'Gearing Calculator'!$C$15*'Gearing Calculator'!$C$20*'Gearing Calculator'!$W$20*('Track Data'!Q2245^2)</f>
        <v>194.57371765846327</v>
      </c>
      <c r="W2245" s="16">
        <f>('Gearing Calculator'!$U$9*'Track Data'!T2245)+'Track Data'!V2245</f>
        <v>1537.7270411900279</v>
      </c>
      <c r="X2245" s="16">
        <f>('Gearing Calculator'!$U$9*9.81)*('Gearing Calculator'!$U$16/'Gearing Calculator'!$C$7)-(('Track Data'!W2245)*('Gearing Calculator'!$U$17/'Gearing Calculator'!$C$7))</f>
        <v>562.99604543124258</v>
      </c>
      <c r="Y2245" s="16">
        <f>('Gearing Calculator'!$U$9*9.81)*(('Gearing Calculator'!$C$7-'Gearing Calculator'!$U$16)/'Gearing Calculator'!$C$7)+(('Track Data'!W2245)*('Gearing Calculator'!$U$17/'Gearing Calculator'!$C$7))</f>
        <v>2048.4259545687573</v>
      </c>
      <c r="Z2245" s="16">
        <f>((X2245*COS('Gearing Calculator'!$C$21))/'Gearing Calculator'!$C$22)/2</f>
        <v>17.406057119947473</v>
      </c>
      <c r="AA2245" s="16">
        <f>Y2245/'Gearing Calculator'!$C$24</f>
        <v>28.602896841045755</v>
      </c>
      <c r="AB2245" s="16">
        <f t="shared" si="247"/>
        <v>209.71068223620441</v>
      </c>
      <c r="AC2245" s="16">
        <v>0</v>
      </c>
      <c r="AD2245" s="16">
        <v>0</v>
      </c>
      <c r="AE2245" s="16">
        <v>2242</v>
      </c>
      <c r="AF2245" s="16">
        <f>IF(AC2245=0,IF(O2245=6,INDEX(Acceleration!$V$4:$V$110,MATCH('Track Data'!S2245,Acceleration!$K$4:$K$110,0)),IF('Track Data'!O2245=5,INDEX(Acceleration!$U$4:$U$110,MATCH('Track Data'!S2245,Acceleration!$K$4:$K$110,0)),1)),U2245)</f>
        <v>1</v>
      </c>
      <c r="AG2245" s="16">
        <f>IF(AC2245=0,IF(O2245=4,INDEX(Acceleration!$T$4:$T$110,MATCH('Track Data'!S2245,Acceleration!$K$4:$K$110,0)),IF('Track Data'!O2245=3,INDEX(Acceleration!$S$4:$S$110,MATCH('Track Data'!S2245,Acceleration!$K$4:$K$110,0)),'Track Data'!AF2245)),'Track Data'!U2245)</f>
        <v>5.0456548592470503</v>
      </c>
      <c r="AH2245" s="16">
        <f>IF(AC2245=0,IF(O2245=2,INDEX(Acceleration!$R$4:$R$110,MATCH('Track Data'!S2245,Acceleration!$K$4:$K$110,0)),IF('Track Data'!O2245=1,INDEX(Acceleration!$Q$4:$Q$110,MATCH('Track Data'!S2245,Acceleration!$K$4:$K$110,0)),'Track Data'!AG2245)),'Track Data'!U2245)</f>
        <v>5.0456548592470503</v>
      </c>
    </row>
    <row r="2246" spans="2:34" x14ac:dyDescent="0.25">
      <c r="B2246" s="16">
        <v>254.52099999999999</v>
      </c>
      <c r="C2246" s="16">
        <v>9516</v>
      </c>
      <c r="D2246" s="16">
        <v>2243</v>
      </c>
      <c r="E2246" s="113">
        <v>168</v>
      </c>
      <c r="F2246" s="113">
        <v>163.4</v>
      </c>
      <c r="G2246" s="113">
        <v>160.19999999999999</v>
      </c>
      <c r="H2246" s="113">
        <f t="shared" si="250"/>
        <v>44.499999999999993</v>
      </c>
      <c r="I2246" s="113">
        <v>7.4</v>
      </c>
      <c r="J2246" s="113">
        <v>18.18</v>
      </c>
      <c r="K2246" s="113">
        <v>-34.700000000000003</v>
      </c>
      <c r="L2246" s="185"/>
      <c r="M2246" s="16">
        <v>2243</v>
      </c>
      <c r="N2246" s="16">
        <f t="shared" ref="N2246:N2309" si="252">1/Q2246</f>
        <v>2.3259164527778015E-2</v>
      </c>
      <c r="O2246" s="16">
        <v>3</v>
      </c>
      <c r="P2246" s="16">
        <f t="shared" si="248"/>
        <v>10.596205962059623</v>
      </c>
      <c r="Q2246" s="16">
        <f t="shared" ref="Q2246:Q2309" si="253">IF(AD2245=0,SQRT(Q2245^2+(2*T2245)),Q2245)</f>
        <v>42.993805680583129</v>
      </c>
      <c r="R2246" s="113">
        <f t="shared" si="249"/>
        <v>345.36</v>
      </c>
      <c r="S2246" s="16">
        <f>IF(S2245=15800,15800,ROUND((((Q2246*60)/'Gearing Calculator'!$C$14)*'Track Data'!P2246),-2))</f>
        <v>13800</v>
      </c>
      <c r="T2246" s="16">
        <f t="shared" si="251"/>
        <v>5.0456548592470503</v>
      </c>
      <c r="U2246" s="16">
        <f>IF(AC2246=100,Braking!$AG$2354,IF(AC2246=50,Braking!$AG$1179,IF(AC2246=75,Braking!$AG$1767,0)))</f>
        <v>0</v>
      </c>
      <c r="V2246" s="16">
        <f>0.5*'Gearing Calculator'!$C$15*'Gearing Calculator'!$C$20*'Gearing Calculator'!$W$20*('Track Data'!Q2246^2)</f>
        <v>195.6417818790687</v>
      </c>
      <c r="W2246" s="16">
        <f>('Gearing Calculator'!$U$9*'Track Data'!T2246)+'Track Data'!V2246</f>
        <v>1538.7951054106334</v>
      </c>
      <c r="X2246" s="16">
        <f>('Gearing Calculator'!$U$9*9.81)*('Gearing Calculator'!$U$16/'Gearing Calculator'!$C$7)-(('Track Data'!W2246)*('Gearing Calculator'!$U$17/'Gearing Calculator'!$C$7))</f>
        <v>562.41387748891975</v>
      </c>
      <c r="Y2246" s="16">
        <f>('Gearing Calculator'!$U$9*9.81)*(('Gearing Calculator'!$C$7-'Gearing Calculator'!$U$16)/'Gearing Calculator'!$C$7)+(('Track Data'!W2246)*('Gearing Calculator'!$U$17/'Gearing Calculator'!$C$7))</f>
        <v>2049.0081225110803</v>
      </c>
      <c r="Z2246" s="16">
        <f>((X2246*COS('Gearing Calculator'!$C$21))/'Gearing Calculator'!$C$22)/2</f>
        <v>17.38805832841118</v>
      </c>
      <c r="AA2246" s="16">
        <f>Y2246/'Gearing Calculator'!$C$24</f>
        <v>28.611025858138753</v>
      </c>
      <c r="AB2246" s="16">
        <f t="shared" si="247"/>
        <v>210.77874645680984</v>
      </c>
      <c r="AC2246" s="16">
        <v>0</v>
      </c>
      <c r="AD2246" s="16">
        <v>0</v>
      </c>
      <c r="AE2246" s="16">
        <v>2243</v>
      </c>
      <c r="AF2246" s="16">
        <f>IF(AC2246=0,IF(O2246=6,INDEX(Acceleration!$V$4:$V$110,MATCH('Track Data'!S2246,Acceleration!$K$4:$K$110,0)),IF('Track Data'!O2246=5,INDEX(Acceleration!$U$4:$U$110,MATCH('Track Data'!S2246,Acceleration!$K$4:$K$110,0)),1)),U2246)</f>
        <v>1</v>
      </c>
      <c r="AG2246" s="16">
        <f>IF(AC2246=0,IF(O2246=4,INDEX(Acceleration!$T$4:$T$110,MATCH('Track Data'!S2246,Acceleration!$K$4:$K$110,0)),IF('Track Data'!O2246=3,INDEX(Acceleration!$S$4:$S$110,MATCH('Track Data'!S2246,Acceleration!$K$4:$K$110,0)),'Track Data'!AF2246)),'Track Data'!U2246)</f>
        <v>5.0456548592470503</v>
      </c>
      <c r="AH2246" s="16">
        <f>IF(AC2246=0,IF(O2246=2,INDEX(Acceleration!$R$4:$R$110,MATCH('Track Data'!S2246,Acceleration!$K$4:$K$110,0)),IF('Track Data'!O2246=1,INDEX(Acceleration!$Q$4:$Q$110,MATCH('Track Data'!S2246,Acceleration!$K$4:$K$110,0)),'Track Data'!AG2246)),'Track Data'!U2246)</f>
        <v>5.0456548592470503</v>
      </c>
    </row>
    <row r="2247" spans="2:34" x14ac:dyDescent="0.25">
      <c r="B2247" s="16">
        <v>254.54300000000001</v>
      </c>
      <c r="C2247" s="16">
        <v>9517</v>
      </c>
      <c r="D2247" s="16">
        <v>2244</v>
      </c>
      <c r="E2247" s="113">
        <v>169</v>
      </c>
      <c r="F2247" s="113">
        <v>163.30000000000001</v>
      </c>
      <c r="G2247" s="113">
        <v>160.5</v>
      </c>
      <c r="H2247" s="113">
        <f t="shared" si="250"/>
        <v>44.583333333333336</v>
      </c>
      <c r="I2247" s="113">
        <v>5.2</v>
      </c>
      <c r="J2247" s="113">
        <v>17.91</v>
      </c>
      <c r="K2247" s="113">
        <v>-34.6</v>
      </c>
      <c r="L2247" s="185"/>
      <c r="M2247" s="16">
        <v>2244</v>
      </c>
      <c r="N2247" s="16">
        <f t="shared" si="252"/>
        <v>2.3195934102446844E-2</v>
      </c>
      <c r="O2247" s="16">
        <v>3</v>
      </c>
      <c r="P2247" s="16">
        <f t="shared" si="248"/>
        <v>10.596205962059623</v>
      </c>
      <c r="Q2247" s="16">
        <f t="shared" si="253"/>
        <v>43.111003660530059</v>
      </c>
      <c r="R2247" s="113">
        <f t="shared" si="249"/>
        <v>345.36</v>
      </c>
      <c r="S2247" s="16">
        <f>IF(S2246=15800,15800,ROUND((((Q2247*60)/'Gearing Calculator'!$C$14)*'Track Data'!P2247),-2))</f>
        <v>13800</v>
      </c>
      <c r="T2247" s="16">
        <f t="shared" si="251"/>
        <v>5.0456548592470503</v>
      </c>
      <c r="U2247" s="16">
        <f>IF(AC2247=100,Braking!$AG$2354,IF(AC2247=50,Braking!$AG$1179,IF(AC2247=75,Braking!$AG$1767,0)))</f>
        <v>0</v>
      </c>
      <c r="V2247" s="16">
        <f>0.5*'Gearing Calculator'!$C$15*'Gearing Calculator'!$C$20*'Gearing Calculator'!$W$20*('Track Data'!Q2247^2)</f>
        <v>196.70984609967411</v>
      </c>
      <c r="W2247" s="16">
        <f>('Gearing Calculator'!$U$9*'Track Data'!T2247)+'Track Data'!V2247</f>
        <v>1539.8631696312386</v>
      </c>
      <c r="X2247" s="16">
        <f>('Gearing Calculator'!$U$9*9.81)*('Gearing Calculator'!$U$16/'Gearing Calculator'!$C$7)-(('Track Data'!W2247)*('Gearing Calculator'!$U$17/'Gearing Calculator'!$C$7))</f>
        <v>561.83170954659704</v>
      </c>
      <c r="Y2247" s="16">
        <f>('Gearing Calculator'!$U$9*9.81)*(('Gearing Calculator'!$C$7-'Gearing Calculator'!$U$16)/'Gearing Calculator'!$C$7)+(('Track Data'!W2247)*('Gearing Calculator'!$U$17/'Gearing Calculator'!$C$7))</f>
        <v>2049.5902904534032</v>
      </c>
      <c r="Z2247" s="16">
        <f>((X2247*COS('Gearing Calculator'!$C$21))/'Gearing Calculator'!$C$22)/2</f>
        <v>17.370059536874894</v>
      </c>
      <c r="AA2247" s="16">
        <f>Y2247/'Gearing Calculator'!$C$24</f>
        <v>28.61915487523175</v>
      </c>
      <c r="AB2247" s="16">
        <f t="shared" si="247"/>
        <v>211.84681067741525</v>
      </c>
      <c r="AC2247" s="16">
        <v>0</v>
      </c>
      <c r="AD2247" s="16">
        <v>0</v>
      </c>
      <c r="AE2247" s="16">
        <v>2244</v>
      </c>
      <c r="AF2247" s="16">
        <f>IF(AC2247=0,IF(O2247=6,INDEX(Acceleration!$V$4:$V$110,MATCH('Track Data'!S2247,Acceleration!$K$4:$K$110,0)),IF('Track Data'!O2247=5,INDEX(Acceleration!$U$4:$U$110,MATCH('Track Data'!S2247,Acceleration!$K$4:$K$110,0)),1)),U2247)</f>
        <v>1</v>
      </c>
      <c r="AG2247" s="16">
        <f>IF(AC2247=0,IF(O2247=4,INDEX(Acceleration!$T$4:$T$110,MATCH('Track Data'!S2247,Acceleration!$K$4:$K$110,0)),IF('Track Data'!O2247=3,INDEX(Acceleration!$S$4:$S$110,MATCH('Track Data'!S2247,Acceleration!$K$4:$K$110,0)),'Track Data'!AF2247)),'Track Data'!U2247)</f>
        <v>5.0456548592470503</v>
      </c>
      <c r="AH2247" s="16">
        <f>IF(AC2247=0,IF(O2247=2,INDEX(Acceleration!$R$4:$R$110,MATCH('Track Data'!S2247,Acceleration!$K$4:$K$110,0)),IF('Track Data'!O2247=1,INDEX(Acceleration!$Q$4:$Q$110,MATCH('Track Data'!S2247,Acceleration!$K$4:$K$110,0)),'Track Data'!AG2247)),'Track Data'!U2247)</f>
        <v>5.0456548592470503</v>
      </c>
    </row>
    <row r="2248" spans="2:34" x14ac:dyDescent="0.25">
      <c r="B2248" s="16">
        <v>254.565</v>
      </c>
      <c r="C2248" s="16">
        <v>9518</v>
      </c>
      <c r="D2248" s="16">
        <v>2245</v>
      </c>
      <c r="E2248" s="113">
        <v>170</v>
      </c>
      <c r="F2248" s="113">
        <v>163.19999999999999</v>
      </c>
      <c r="G2248" s="113">
        <v>160.80000000000001</v>
      </c>
      <c r="H2248" s="113">
        <f t="shared" si="250"/>
        <v>44.666666666666671</v>
      </c>
      <c r="I2248" s="113">
        <v>3.4</v>
      </c>
      <c r="J2248" s="113">
        <v>15.85</v>
      </c>
      <c r="K2248" s="113">
        <v>-34.5</v>
      </c>
      <c r="L2248" s="185"/>
      <c r="M2248" s="16">
        <v>2245</v>
      </c>
      <c r="N2248" s="16">
        <f t="shared" si="252"/>
        <v>2.3133216568025486E-2</v>
      </c>
      <c r="O2248" s="16">
        <v>3</v>
      </c>
      <c r="P2248" s="16">
        <f t="shared" si="248"/>
        <v>10.596205962059623</v>
      </c>
      <c r="Q2248" s="16">
        <f t="shared" si="253"/>
        <v>43.227883898436787</v>
      </c>
      <c r="R2248" s="113">
        <f t="shared" si="249"/>
        <v>345.36</v>
      </c>
      <c r="S2248" s="16">
        <f>IF(S2247=15800,15800,ROUND((((Q2248*60)/'Gearing Calculator'!$C$14)*'Track Data'!P2248),-2))</f>
        <v>13900</v>
      </c>
      <c r="T2248" s="16">
        <f t="shared" si="251"/>
        <v>5.0244711311777763</v>
      </c>
      <c r="U2248" s="16">
        <f>IF(AC2248=100,Braking!$AG$2354,IF(AC2248=50,Braking!$AG$1179,IF(AC2248=75,Braking!$AG$1767,0)))</f>
        <v>0</v>
      </c>
      <c r="V2248" s="16">
        <f>0.5*'Gearing Calculator'!$C$15*'Gearing Calculator'!$C$20*'Gearing Calculator'!$W$20*('Track Data'!Q2248^2)</f>
        <v>197.77791032027952</v>
      </c>
      <c r="W2248" s="16">
        <f>('Gearing Calculator'!$U$9*'Track Data'!T2248)+'Track Data'!V2248</f>
        <v>1535.2921254398034</v>
      </c>
      <c r="X2248" s="16">
        <f>('Gearing Calculator'!$U$9*9.81)*('Gearing Calculator'!$U$16/'Gearing Calculator'!$C$7)-(('Track Data'!W2248)*('Gearing Calculator'!$U$17/'Gearing Calculator'!$C$7))</f>
        <v>564.32324080460137</v>
      </c>
      <c r="Y2248" s="16">
        <f>('Gearing Calculator'!$U$9*9.81)*(('Gearing Calculator'!$C$7-'Gearing Calculator'!$U$16)/'Gearing Calculator'!$C$7)+(('Track Data'!W2248)*('Gearing Calculator'!$U$17/'Gearing Calculator'!$C$7))</f>
        <v>2047.0987591953985</v>
      </c>
      <c r="Z2248" s="16">
        <f>((X2248*COS('Gearing Calculator'!$C$21))/'Gearing Calculator'!$C$22)/2</f>
        <v>17.447089803330385</v>
      </c>
      <c r="AA2248" s="16">
        <f>Y2248/'Gearing Calculator'!$C$24</f>
        <v>28.584364742159085</v>
      </c>
      <c r="AB2248" s="16">
        <f t="shared" si="247"/>
        <v>212.85132371381286</v>
      </c>
      <c r="AC2248" s="16">
        <v>0</v>
      </c>
      <c r="AD2248" s="16">
        <v>0</v>
      </c>
      <c r="AE2248" s="16">
        <v>2245</v>
      </c>
      <c r="AF2248" s="16">
        <f>IF(AC2248=0,IF(O2248=6,INDEX(Acceleration!$V$4:$V$110,MATCH('Track Data'!S2248,Acceleration!$K$4:$K$110,0)),IF('Track Data'!O2248=5,INDEX(Acceleration!$U$4:$U$110,MATCH('Track Data'!S2248,Acceleration!$K$4:$K$110,0)),1)),U2248)</f>
        <v>1</v>
      </c>
      <c r="AG2248" s="16">
        <f>IF(AC2248=0,IF(O2248=4,INDEX(Acceleration!$T$4:$T$110,MATCH('Track Data'!S2248,Acceleration!$K$4:$K$110,0)),IF('Track Data'!O2248=3,INDEX(Acceleration!$S$4:$S$110,MATCH('Track Data'!S2248,Acceleration!$K$4:$K$110,0)),'Track Data'!AF2248)),'Track Data'!U2248)</f>
        <v>5.0244711311777763</v>
      </c>
      <c r="AH2248" s="16">
        <f>IF(AC2248=0,IF(O2248=2,INDEX(Acceleration!$R$4:$R$110,MATCH('Track Data'!S2248,Acceleration!$K$4:$K$110,0)),IF('Track Data'!O2248=1,INDEX(Acceleration!$Q$4:$Q$110,MATCH('Track Data'!S2248,Acceleration!$K$4:$K$110,0)),'Track Data'!AG2248)),'Track Data'!U2248)</f>
        <v>5.0244711311777763</v>
      </c>
    </row>
    <row r="2249" spans="2:34" x14ac:dyDescent="0.25">
      <c r="B2249" s="16">
        <v>254.58799999999999</v>
      </c>
      <c r="C2249" s="16">
        <v>9519</v>
      </c>
      <c r="D2249" s="16">
        <v>2246</v>
      </c>
      <c r="E2249" s="113">
        <v>170</v>
      </c>
      <c r="F2249" s="113">
        <v>163.1</v>
      </c>
      <c r="G2249" s="113">
        <v>161.1</v>
      </c>
      <c r="H2249" s="113">
        <f t="shared" si="250"/>
        <v>44.75</v>
      </c>
      <c r="I2249" s="113">
        <v>2.9</v>
      </c>
      <c r="J2249" s="113">
        <v>11.46</v>
      </c>
      <c r="K2249" s="113">
        <v>-34.5</v>
      </c>
      <c r="L2249" s="185"/>
      <c r="M2249" s="16">
        <v>2246</v>
      </c>
      <c r="N2249" s="16">
        <f t="shared" si="252"/>
        <v>2.307126516926232E-2</v>
      </c>
      <c r="O2249" s="16">
        <v>3</v>
      </c>
      <c r="P2249" s="16">
        <f t="shared" si="248"/>
        <v>10.596205962059623</v>
      </c>
      <c r="Q2249" s="16">
        <f t="shared" si="253"/>
        <v>43.343960232067928</v>
      </c>
      <c r="R2249" s="113">
        <f t="shared" si="249"/>
        <v>345.36</v>
      </c>
      <c r="S2249" s="16">
        <f>IF(S2248=15800,15800,ROUND((((Q2249*60)/'Gearing Calculator'!$C$14)*'Track Data'!P2249),-2))</f>
        <v>13900</v>
      </c>
      <c r="T2249" s="16">
        <f t="shared" si="251"/>
        <v>5.0244711311777763</v>
      </c>
      <c r="U2249" s="16">
        <f>IF(AC2249=100,Braking!$AG$2354,IF(AC2249=50,Braking!$AG$1179,IF(AC2249=75,Braking!$AG$1767,0)))</f>
        <v>0</v>
      </c>
      <c r="V2249" s="16">
        <f>0.5*'Gearing Calculator'!$C$15*'Gearing Calculator'!$C$20*'Gearing Calculator'!$W$20*('Track Data'!Q2249^2)</f>
        <v>198.84149036932726</v>
      </c>
      <c r="W2249" s="16">
        <f>('Gearing Calculator'!$U$9*'Track Data'!T2249)+'Track Data'!V2249</f>
        <v>1536.3557054888511</v>
      </c>
      <c r="X2249" s="16">
        <f>('Gearing Calculator'!$U$9*9.81)*('Gearing Calculator'!$U$16/'Gearing Calculator'!$C$7)-(('Track Data'!W2249)*('Gearing Calculator'!$U$17/'Gearing Calculator'!$C$7))</f>
        <v>563.74351704201842</v>
      </c>
      <c r="Y2249" s="16">
        <f>('Gearing Calculator'!$U$9*9.81)*(('Gearing Calculator'!$C$7-'Gearing Calculator'!$U$16)/'Gearing Calculator'!$C$7)+(('Track Data'!W2249)*('Gearing Calculator'!$U$17/'Gearing Calculator'!$C$7))</f>
        <v>2047.6784829579815</v>
      </c>
      <c r="Z2249" s="16">
        <f>((X2249*COS('Gearing Calculator'!$C$21))/'Gearing Calculator'!$C$22)/2</f>
        <v>17.42916657810137</v>
      </c>
      <c r="AA2249" s="16">
        <f>Y2249/'Gearing Calculator'!$C$24</f>
        <v>28.592459630305019</v>
      </c>
      <c r="AB2249" s="16">
        <f t="shared" si="247"/>
        <v>213.9149037628606</v>
      </c>
      <c r="AC2249" s="16">
        <v>0</v>
      </c>
      <c r="AD2249" s="16">
        <v>0</v>
      </c>
      <c r="AE2249" s="16">
        <v>2246</v>
      </c>
      <c r="AF2249" s="16">
        <f>IF(AC2249=0,IF(O2249=6,INDEX(Acceleration!$V$4:$V$110,MATCH('Track Data'!S2249,Acceleration!$K$4:$K$110,0)),IF('Track Data'!O2249=5,INDEX(Acceleration!$U$4:$U$110,MATCH('Track Data'!S2249,Acceleration!$K$4:$K$110,0)),1)),U2249)</f>
        <v>1</v>
      </c>
      <c r="AG2249" s="16">
        <f>IF(AC2249=0,IF(O2249=4,INDEX(Acceleration!$T$4:$T$110,MATCH('Track Data'!S2249,Acceleration!$K$4:$K$110,0)),IF('Track Data'!O2249=3,INDEX(Acceleration!$S$4:$S$110,MATCH('Track Data'!S2249,Acceleration!$K$4:$K$110,0)),'Track Data'!AF2249)),'Track Data'!U2249)</f>
        <v>5.0244711311777763</v>
      </c>
      <c r="AH2249" s="16">
        <f>IF(AC2249=0,IF(O2249=2,INDEX(Acceleration!$R$4:$R$110,MATCH('Track Data'!S2249,Acceleration!$K$4:$K$110,0)),IF('Track Data'!O2249=1,INDEX(Acceleration!$Q$4:$Q$110,MATCH('Track Data'!S2249,Acceleration!$K$4:$K$110,0)),'Track Data'!AG2249)),'Track Data'!U2249)</f>
        <v>5.0244711311777763</v>
      </c>
    </row>
    <row r="2250" spans="2:34" x14ac:dyDescent="0.25">
      <c r="B2250" s="16">
        <v>254.60900000000001</v>
      </c>
      <c r="C2250" s="16">
        <v>9520</v>
      </c>
      <c r="D2250" s="16">
        <v>2247</v>
      </c>
      <c r="E2250" s="113">
        <v>170</v>
      </c>
      <c r="F2250" s="113">
        <v>163</v>
      </c>
      <c r="G2250" s="113">
        <v>161.5</v>
      </c>
      <c r="H2250" s="113">
        <f t="shared" si="250"/>
        <v>44.861111111111107</v>
      </c>
      <c r="I2250" s="113">
        <v>2.2000000000000002</v>
      </c>
      <c r="J2250" s="113">
        <v>10.119999999999999</v>
      </c>
      <c r="K2250" s="113">
        <v>-34.5</v>
      </c>
      <c r="L2250" s="185"/>
      <c r="M2250" s="16">
        <v>2247</v>
      </c>
      <c r="N2250" s="16">
        <f t="shared" si="252"/>
        <v>2.3009808842174267E-2</v>
      </c>
      <c r="O2250" s="16">
        <v>3</v>
      </c>
      <c r="P2250" s="16">
        <f t="shared" si="248"/>
        <v>10.596205962059623</v>
      </c>
      <c r="Q2250" s="16">
        <f t="shared" si="253"/>
        <v>43.459726539193056</v>
      </c>
      <c r="R2250" s="113">
        <f t="shared" si="249"/>
        <v>345.36</v>
      </c>
      <c r="S2250" s="16">
        <f>IF(S2249=15800,15800,ROUND((((Q2250*60)/'Gearing Calculator'!$C$14)*'Track Data'!P2250),-2))</f>
        <v>14000</v>
      </c>
      <c r="T2250" s="16">
        <f t="shared" si="251"/>
        <v>5.02818875206236</v>
      </c>
      <c r="U2250" s="16">
        <f>IF(AC2250=100,Braking!$AG$2354,IF(AC2250=50,Braking!$AG$1179,IF(AC2250=75,Braking!$AG$1767,0)))</f>
        <v>0</v>
      </c>
      <c r="V2250" s="16">
        <f>0.5*'Gearing Calculator'!$C$15*'Gearing Calculator'!$C$20*'Gearing Calculator'!$W$20*('Track Data'!Q2250^2)</f>
        <v>199.90507041837492</v>
      </c>
      <c r="W2250" s="16">
        <f>('Gearing Calculator'!$U$9*'Track Data'!T2250)+'Track Data'!V2250</f>
        <v>1538.408916217375</v>
      </c>
      <c r="X2250" s="16">
        <f>('Gearing Calculator'!$U$9*9.81)*('Gearing Calculator'!$U$16/'Gearing Calculator'!$C$7)-(('Track Data'!W2250)*('Gearing Calculator'!$U$17/'Gearing Calculator'!$C$7))</f>
        <v>562.62437697354721</v>
      </c>
      <c r="Y2250" s="16">
        <f>('Gearing Calculator'!$U$9*9.81)*(('Gearing Calculator'!$C$7-'Gearing Calculator'!$U$16)/'Gearing Calculator'!$C$7)+(('Track Data'!W2250)*('Gearing Calculator'!$U$17/'Gearing Calculator'!$C$7))</f>
        <v>2048.797623026453</v>
      </c>
      <c r="Z2250" s="16">
        <f>((X2250*COS('Gearing Calculator'!$C$21))/'Gearing Calculator'!$C$22)/2</f>
        <v>17.394566306722712</v>
      </c>
      <c r="AA2250" s="16">
        <f>Y2250/'Gearing Calculator'!$C$24</f>
        <v>28.608086579308363</v>
      </c>
      <c r="AB2250" s="16">
        <f t="shared" si="247"/>
        <v>214.98963667456201</v>
      </c>
      <c r="AC2250" s="16">
        <v>0</v>
      </c>
      <c r="AD2250" s="16">
        <v>0</v>
      </c>
      <c r="AE2250" s="16">
        <v>2247</v>
      </c>
      <c r="AF2250" s="16">
        <f>IF(AC2250=0,IF(O2250=6,INDEX(Acceleration!$V$4:$V$110,MATCH('Track Data'!S2250,Acceleration!$K$4:$K$110,0)),IF('Track Data'!O2250=5,INDEX(Acceleration!$U$4:$U$110,MATCH('Track Data'!S2250,Acceleration!$K$4:$K$110,0)),1)),U2250)</f>
        <v>1</v>
      </c>
      <c r="AG2250" s="16">
        <f>IF(AC2250=0,IF(O2250=4,INDEX(Acceleration!$T$4:$T$110,MATCH('Track Data'!S2250,Acceleration!$K$4:$K$110,0)),IF('Track Data'!O2250=3,INDEX(Acceleration!$S$4:$S$110,MATCH('Track Data'!S2250,Acceleration!$K$4:$K$110,0)),'Track Data'!AF2250)),'Track Data'!U2250)</f>
        <v>5.02818875206236</v>
      </c>
      <c r="AH2250" s="16">
        <f>IF(AC2250=0,IF(O2250=2,INDEX(Acceleration!$R$4:$R$110,MATCH('Track Data'!S2250,Acceleration!$K$4:$K$110,0)),IF('Track Data'!O2250=1,INDEX(Acceleration!$Q$4:$Q$110,MATCH('Track Data'!S2250,Acceleration!$K$4:$K$110,0)),'Track Data'!AG2250)),'Track Data'!U2250)</f>
        <v>5.02818875206236</v>
      </c>
    </row>
    <row r="2251" spans="2:34" x14ac:dyDescent="0.25">
      <c r="B2251" s="16">
        <v>254.631</v>
      </c>
      <c r="C2251" s="16">
        <v>9521</v>
      </c>
      <c r="D2251" s="16">
        <v>2248</v>
      </c>
      <c r="E2251" s="113">
        <v>170</v>
      </c>
      <c r="F2251" s="113">
        <v>163.4</v>
      </c>
      <c r="G2251" s="113">
        <v>162</v>
      </c>
      <c r="H2251" s="113">
        <f t="shared" si="250"/>
        <v>45</v>
      </c>
      <c r="I2251" s="113">
        <v>1.8</v>
      </c>
      <c r="J2251" s="113">
        <v>6.9</v>
      </c>
      <c r="K2251" s="113">
        <v>-34.5</v>
      </c>
      <c r="L2251" s="185"/>
      <c r="M2251" s="16">
        <v>2248</v>
      </c>
      <c r="N2251" s="16">
        <f t="shared" si="252"/>
        <v>2.2948796096924792E-2</v>
      </c>
      <c r="O2251" s="16">
        <v>3</v>
      </c>
      <c r="P2251" s="16">
        <f t="shared" si="248"/>
        <v>10.596205962059623</v>
      </c>
      <c r="Q2251" s="16">
        <f t="shared" si="253"/>
        <v>43.575270605764068</v>
      </c>
      <c r="R2251" s="113">
        <f t="shared" si="249"/>
        <v>345.36</v>
      </c>
      <c r="S2251" s="16">
        <f>IF(S2250=15800,15800,ROUND((((Q2251*60)/'Gearing Calculator'!$C$14)*'Track Data'!P2251),-2))</f>
        <v>14000</v>
      </c>
      <c r="T2251" s="16">
        <f t="shared" si="251"/>
        <v>5.02818875206236</v>
      </c>
      <c r="U2251" s="16">
        <f>IF(AC2251=100,Braking!$AG$2354,IF(AC2251=50,Braking!$AG$1179,IF(AC2251=75,Braking!$AG$1767,0)))</f>
        <v>0</v>
      </c>
      <c r="V2251" s="16">
        <f>0.5*'Gearing Calculator'!$C$15*'Gearing Calculator'!$C$20*'Gearing Calculator'!$W$20*('Track Data'!Q2251^2)</f>
        <v>200.96943741341147</v>
      </c>
      <c r="W2251" s="16">
        <f>('Gearing Calculator'!$U$9*'Track Data'!T2251)+'Track Data'!V2251</f>
        <v>1539.4732832124116</v>
      </c>
      <c r="X2251" s="16">
        <f>('Gearing Calculator'!$U$9*9.81)*('Gearing Calculator'!$U$16/'Gearing Calculator'!$C$7)-(('Track Data'!W2251)*('Gearing Calculator'!$U$17/'Gearing Calculator'!$C$7))</f>
        <v>562.04422427165684</v>
      </c>
      <c r="Y2251" s="16">
        <f>('Gearing Calculator'!$U$9*9.81)*(('Gearing Calculator'!$C$7-'Gearing Calculator'!$U$16)/'Gearing Calculator'!$C$7)+(('Track Data'!W2251)*('Gearing Calculator'!$U$17/'Gearing Calculator'!$C$7))</f>
        <v>2049.3777757283433</v>
      </c>
      <c r="Z2251" s="16">
        <f>((X2251*COS('Gearing Calculator'!$C$21))/'Gearing Calculator'!$C$22)/2</f>
        <v>17.376629820046929</v>
      </c>
      <c r="AA2251" s="16">
        <f>Y2251/'Gearing Calculator'!$C$24</f>
        <v>28.616187456885708</v>
      </c>
      <c r="AB2251" s="16">
        <f t="shared" si="247"/>
        <v>216.05400366959856</v>
      </c>
      <c r="AC2251" s="16">
        <v>0</v>
      </c>
      <c r="AD2251" s="16">
        <v>0</v>
      </c>
      <c r="AE2251" s="16">
        <v>2248</v>
      </c>
      <c r="AF2251" s="16">
        <f>IF(AC2251=0,IF(O2251=6,INDEX(Acceleration!$V$4:$V$110,MATCH('Track Data'!S2251,Acceleration!$K$4:$K$110,0)),IF('Track Data'!O2251=5,INDEX(Acceleration!$U$4:$U$110,MATCH('Track Data'!S2251,Acceleration!$K$4:$K$110,0)),1)),U2251)</f>
        <v>1</v>
      </c>
      <c r="AG2251" s="16">
        <f>IF(AC2251=0,IF(O2251=4,INDEX(Acceleration!$T$4:$T$110,MATCH('Track Data'!S2251,Acceleration!$K$4:$K$110,0)),IF('Track Data'!O2251=3,INDEX(Acceleration!$S$4:$S$110,MATCH('Track Data'!S2251,Acceleration!$K$4:$K$110,0)),'Track Data'!AF2251)),'Track Data'!U2251)</f>
        <v>5.02818875206236</v>
      </c>
      <c r="AH2251" s="16">
        <f>IF(AC2251=0,IF(O2251=2,INDEX(Acceleration!$R$4:$R$110,MATCH('Track Data'!S2251,Acceleration!$K$4:$K$110,0)),IF('Track Data'!O2251=1,INDEX(Acceleration!$Q$4:$Q$110,MATCH('Track Data'!S2251,Acceleration!$K$4:$K$110,0)),'Track Data'!AG2251)),'Track Data'!U2251)</f>
        <v>5.02818875206236</v>
      </c>
    </row>
    <row r="2252" spans="2:34" x14ac:dyDescent="0.25">
      <c r="B2252" s="16">
        <v>254.65299999999999</v>
      </c>
      <c r="C2252" s="16">
        <v>9522</v>
      </c>
      <c r="D2252" s="16">
        <v>2249</v>
      </c>
      <c r="E2252" s="113">
        <v>170</v>
      </c>
      <c r="F2252" s="113">
        <v>164.1</v>
      </c>
      <c r="G2252" s="113">
        <v>162.30000000000001</v>
      </c>
      <c r="H2252" s="113">
        <f t="shared" si="250"/>
        <v>45.083333333333336</v>
      </c>
      <c r="I2252" s="113">
        <v>1.2</v>
      </c>
      <c r="J2252" s="113">
        <v>6.49</v>
      </c>
      <c r="K2252" s="113">
        <v>-32.799999999999997</v>
      </c>
      <c r="L2252" s="185"/>
      <c r="M2252" s="16">
        <v>2249</v>
      </c>
      <c r="N2252" s="16">
        <f t="shared" si="252"/>
        <v>2.2888266135618725E-2</v>
      </c>
      <c r="O2252" s="16">
        <v>4</v>
      </c>
      <c r="P2252" s="16">
        <f t="shared" si="248"/>
        <v>9.1833785004516724</v>
      </c>
      <c r="Q2252" s="16">
        <f t="shared" si="253"/>
        <v>43.690509105178556</v>
      </c>
      <c r="R2252" s="113">
        <f t="shared" si="249"/>
        <v>329.49099999999999</v>
      </c>
      <c r="S2252" s="16">
        <f>IF(S2251=15800,15800,ROUND((((Q2252*60)/'Gearing Calculator'!$C$14)*'Track Data'!P2252),-2))</f>
        <v>12200</v>
      </c>
      <c r="T2252" s="16">
        <f t="shared" si="251"/>
        <v>4.8209066787706405</v>
      </c>
      <c r="U2252" s="16">
        <f>IF(AC2252=100,Braking!$AG$2354,IF(AC2252=50,Braking!$AG$1179,IF(AC2252=75,Braking!$AG$1767,0)))</f>
        <v>0</v>
      </c>
      <c r="V2252" s="16">
        <f>0.5*'Gearing Calculator'!$C$15*'Gearing Calculator'!$C$20*'Gearing Calculator'!$W$20*('Track Data'!Q2252^2)</f>
        <v>202.03380440844799</v>
      </c>
      <c r="W2252" s="16">
        <f>('Gearing Calculator'!$U$9*'Track Data'!T2252)+'Track Data'!V2252</f>
        <v>1485.3591622971926</v>
      </c>
      <c r="X2252" s="16">
        <f>('Gearing Calculator'!$U$9*9.81)*('Gearing Calculator'!$U$16/'Gearing Calculator'!$C$7)-(('Track Data'!W2252)*('Gearing Calculator'!$U$17/'Gearing Calculator'!$C$7))</f>
        <v>591.54011582578403</v>
      </c>
      <c r="Y2252" s="16">
        <f>('Gearing Calculator'!$U$9*9.81)*(('Gearing Calculator'!$C$7-'Gearing Calculator'!$U$16)/'Gearing Calculator'!$C$7)+(('Track Data'!W2252)*('Gearing Calculator'!$U$17/'Gearing Calculator'!$C$7))</f>
        <v>2019.8818841742159</v>
      </c>
      <c r="Z2252" s="16">
        <f>((X2252*COS('Gearing Calculator'!$C$21))/'Gearing Calculator'!$C$22)/2</f>
        <v>18.288549499343532</v>
      </c>
      <c r="AA2252" s="16">
        <f>Y2252/'Gearing Calculator'!$C$24</f>
        <v>28.204325880207438</v>
      </c>
      <c r="AB2252" s="16">
        <f t="shared" si="247"/>
        <v>221.31743112353055</v>
      </c>
      <c r="AC2252" s="16">
        <v>0</v>
      </c>
      <c r="AD2252" s="16">
        <v>0</v>
      </c>
      <c r="AE2252" s="16">
        <v>2249</v>
      </c>
      <c r="AF2252" s="16">
        <f>IF(AC2252=0,IF(O2252=6,INDEX(Acceleration!$V$4:$V$110,MATCH('Track Data'!S2252,Acceleration!$K$4:$K$110,0)),IF('Track Data'!O2252=5,INDEX(Acceleration!$U$4:$U$110,MATCH('Track Data'!S2252,Acceleration!$K$4:$K$110,0)),1)),U2252)</f>
        <v>1</v>
      </c>
      <c r="AG2252" s="16">
        <f>IF(AC2252=0,IF(O2252=4,INDEX(Acceleration!$T$4:$T$110,MATCH('Track Data'!S2252,Acceleration!$K$4:$K$110,0)),IF('Track Data'!O2252=3,INDEX(Acceleration!$S$4:$S$110,MATCH('Track Data'!S2252,Acceleration!$K$4:$K$110,0)),'Track Data'!AF2252)),'Track Data'!U2252)</f>
        <v>4.8209066787706405</v>
      </c>
      <c r="AH2252" s="16">
        <f>IF(AC2252=0,IF(O2252=2,INDEX(Acceleration!$R$4:$R$110,MATCH('Track Data'!S2252,Acceleration!$K$4:$K$110,0)),IF('Track Data'!O2252=1,INDEX(Acceleration!$Q$4:$Q$110,MATCH('Track Data'!S2252,Acceleration!$K$4:$K$110,0)),'Track Data'!AG2252)),'Track Data'!U2252)</f>
        <v>4.8209066787706405</v>
      </c>
    </row>
    <row r="2253" spans="2:34" x14ac:dyDescent="0.25">
      <c r="B2253" s="16">
        <v>254.67500000000001</v>
      </c>
      <c r="C2253" s="16">
        <v>9523</v>
      </c>
      <c r="D2253" s="16">
        <v>2250</v>
      </c>
      <c r="E2253" s="113">
        <v>170</v>
      </c>
      <c r="F2253" s="113">
        <v>165</v>
      </c>
      <c r="G2253" s="113">
        <v>162.6</v>
      </c>
      <c r="H2253" s="113">
        <f t="shared" si="250"/>
        <v>45.166666666666664</v>
      </c>
      <c r="I2253" s="113">
        <v>1.2</v>
      </c>
      <c r="J2253" s="113">
        <v>5.91</v>
      </c>
      <c r="K2253" s="113">
        <v>-30.3</v>
      </c>
      <c r="L2253" s="185"/>
      <c r="M2253" s="16">
        <v>2250</v>
      </c>
      <c r="N2253" s="16">
        <f t="shared" si="252"/>
        <v>2.2830678935713739E-2</v>
      </c>
      <c r="O2253" s="16">
        <v>4</v>
      </c>
      <c r="P2253" s="16">
        <f t="shared" si="248"/>
        <v>9.1833785004516724</v>
      </c>
      <c r="Q2253" s="16">
        <f t="shared" si="253"/>
        <v>43.800712314153422</v>
      </c>
      <c r="R2253" s="113">
        <f t="shared" si="249"/>
        <v>329.49099999999999</v>
      </c>
      <c r="S2253" s="16">
        <f>IF(S2252=15800,15800,ROUND((((Q2253*60)/'Gearing Calculator'!$C$14)*'Track Data'!P2253),-2))</f>
        <v>12200</v>
      </c>
      <c r="T2253" s="16">
        <f t="shared" si="251"/>
        <v>4.8209066787706405</v>
      </c>
      <c r="U2253" s="16">
        <f>IF(AC2253=100,Braking!$AG$2354,IF(AC2253=50,Braking!$AG$1179,IF(AC2253=75,Braking!$AG$1767,0)))</f>
        <v>0</v>
      </c>
      <c r="V2253" s="16">
        <f>0.5*'Gearing Calculator'!$C$15*'Gearing Calculator'!$C$20*'Gearing Calculator'!$W$20*('Track Data'!Q2253^2)</f>
        <v>203.05429393421014</v>
      </c>
      <c r="W2253" s="16">
        <f>('Gearing Calculator'!$U$9*'Track Data'!T2253)+'Track Data'!V2253</f>
        <v>1486.3796518229547</v>
      </c>
      <c r="X2253" s="16">
        <f>('Gearing Calculator'!$U$9*9.81)*('Gearing Calculator'!$U$16/'Gearing Calculator'!$C$7)-(('Track Data'!W2253)*('Gearing Calculator'!$U$17/'Gearing Calculator'!$C$7))</f>
        <v>590.98387934120433</v>
      </c>
      <c r="Y2253" s="16">
        <f>('Gearing Calculator'!$U$9*9.81)*(('Gearing Calculator'!$C$7-'Gearing Calculator'!$U$16)/'Gearing Calculator'!$C$7)+(('Track Data'!W2253)*('Gearing Calculator'!$U$17/'Gearing Calculator'!$C$7))</f>
        <v>2020.4381206587957</v>
      </c>
      <c r="Z2253" s="16">
        <f>((X2253*COS('Gearing Calculator'!$C$21))/'Gearing Calculator'!$C$22)/2</f>
        <v>18.271352426466446</v>
      </c>
      <c r="AA2253" s="16">
        <f>Y2253/'Gearing Calculator'!$C$24</f>
        <v>28.212092807175033</v>
      </c>
      <c r="AB2253" s="16">
        <f t="shared" si="247"/>
        <v>222.3379206492927</v>
      </c>
      <c r="AC2253" s="16">
        <v>0</v>
      </c>
      <c r="AD2253" s="16">
        <v>0</v>
      </c>
      <c r="AE2253" s="16">
        <v>2250</v>
      </c>
      <c r="AF2253" s="16">
        <f>IF(AC2253=0,IF(O2253=6,INDEX(Acceleration!$V$4:$V$110,MATCH('Track Data'!S2253,Acceleration!$K$4:$K$110,0)),IF('Track Data'!O2253=5,INDEX(Acceleration!$U$4:$U$110,MATCH('Track Data'!S2253,Acceleration!$K$4:$K$110,0)),1)),U2253)</f>
        <v>1</v>
      </c>
      <c r="AG2253" s="16">
        <f>IF(AC2253=0,IF(O2253=4,INDEX(Acceleration!$T$4:$T$110,MATCH('Track Data'!S2253,Acceleration!$K$4:$K$110,0)),IF('Track Data'!O2253=3,INDEX(Acceleration!$S$4:$S$110,MATCH('Track Data'!S2253,Acceleration!$K$4:$K$110,0)),'Track Data'!AF2253)),'Track Data'!U2253)</f>
        <v>4.8209066787706405</v>
      </c>
      <c r="AH2253" s="16">
        <f>IF(AC2253=0,IF(O2253=2,INDEX(Acceleration!$R$4:$R$110,MATCH('Track Data'!S2253,Acceleration!$K$4:$K$110,0)),IF('Track Data'!O2253=1,INDEX(Acceleration!$Q$4:$Q$110,MATCH('Track Data'!S2253,Acceleration!$K$4:$K$110,0)),'Track Data'!AG2253)),'Track Data'!U2253)</f>
        <v>4.8209066787706405</v>
      </c>
    </row>
    <row r="2254" spans="2:34" x14ac:dyDescent="0.25">
      <c r="B2254" s="16">
        <v>254.697</v>
      </c>
      <c r="C2254" s="16">
        <v>9524</v>
      </c>
      <c r="D2254" s="16">
        <v>2251</v>
      </c>
      <c r="E2254" s="113">
        <v>170</v>
      </c>
      <c r="F2254" s="113">
        <v>165.7</v>
      </c>
      <c r="G2254" s="113">
        <v>163</v>
      </c>
      <c r="H2254" s="113">
        <f t="shared" si="250"/>
        <v>45.277777777777779</v>
      </c>
      <c r="I2254" s="113">
        <v>1.1000000000000001</v>
      </c>
      <c r="J2254" s="113">
        <v>8.5299999999999994</v>
      </c>
      <c r="K2254" s="113">
        <v>-27.8</v>
      </c>
      <c r="L2254" s="185"/>
      <c r="M2254" s="16">
        <v>2251</v>
      </c>
      <c r="N2254" s="16">
        <f t="shared" si="252"/>
        <v>2.2773524230554704E-2</v>
      </c>
      <c r="O2254" s="16">
        <v>4</v>
      </c>
      <c r="P2254" s="16">
        <f t="shared" si="248"/>
        <v>9.1833785004516724</v>
      </c>
      <c r="Q2254" s="16">
        <f t="shared" si="253"/>
        <v>43.910638945303134</v>
      </c>
      <c r="R2254" s="113">
        <f t="shared" si="249"/>
        <v>329.49099999999999</v>
      </c>
      <c r="S2254" s="16">
        <f>IF(S2253=15800,15800,ROUND((((Q2254*60)/'Gearing Calculator'!$C$14)*'Track Data'!P2254),-2))</f>
        <v>12200</v>
      </c>
      <c r="T2254" s="16">
        <f t="shared" si="251"/>
        <v>4.8209066787706405</v>
      </c>
      <c r="U2254" s="16">
        <f>IF(AC2254=100,Braking!$AG$2354,IF(AC2254=50,Braking!$AG$1179,IF(AC2254=75,Braking!$AG$1767,0)))</f>
        <v>0</v>
      </c>
      <c r="V2254" s="16">
        <f>0.5*'Gearing Calculator'!$C$15*'Gearing Calculator'!$C$20*'Gearing Calculator'!$W$20*('Track Data'!Q2254^2)</f>
        <v>204.07478345997228</v>
      </c>
      <c r="W2254" s="16">
        <f>('Gearing Calculator'!$U$9*'Track Data'!T2254)+'Track Data'!V2254</f>
        <v>1487.4001413487167</v>
      </c>
      <c r="X2254" s="16">
        <f>('Gearing Calculator'!$U$9*9.81)*('Gearing Calculator'!$U$16/'Gearing Calculator'!$C$7)-(('Track Data'!W2254)*('Gearing Calculator'!$U$17/'Gearing Calculator'!$C$7))</f>
        <v>590.42764285662474</v>
      </c>
      <c r="Y2254" s="16">
        <f>('Gearing Calculator'!$U$9*9.81)*(('Gearing Calculator'!$C$7-'Gearing Calculator'!$U$16)/'Gearing Calculator'!$C$7)+(('Track Data'!W2254)*('Gearing Calculator'!$U$17/'Gearing Calculator'!$C$7))</f>
        <v>2020.9943571433753</v>
      </c>
      <c r="Z2254" s="16">
        <f>((X2254*COS('Gearing Calculator'!$C$21))/'Gearing Calculator'!$C$22)/2</f>
        <v>18.254155353589361</v>
      </c>
      <c r="AA2254" s="16">
        <f>Y2254/'Gearing Calculator'!$C$24</f>
        <v>28.219859734142627</v>
      </c>
      <c r="AB2254" s="16">
        <f t="shared" si="247"/>
        <v>223.35841017505484</v>
      </c>
      <c r="AC2254" s="16">
        <v>0</v>
      </c>
      <c r="AD2254" s="16">
        <v>0</v>
      </c>
      <c r="AE2254" s="16">
        <v>2251</v>
      </c>
      <c r="AF2254" s="16">
        <f>IF(AC2254=0,IF(O2254=6,INDEX(Acceleration!$V$4:$V$110,MATCH('Track Data'!S2254,Acceleration!$K$4:$K$110,0)),IF('Track Data'!O2254=5,INDEX(Acceleration!$U$4:$U$110,MATCH('Track Data'!S2254,Acceleration!$K$4:$K$110,0)),1)),U2254)</f>
        <v>1</v>
      </c>
      <c r="AG2254" s="16">
        <f>IF(AC2254=0,IF(O2254=4,INDEX(Acceleration!$T$4:$T$110,MATCH('Track Data'!S2254,Acceleration!$K$4:$K$110,0)),IF('Track Data'!O2254=3,INDEX(Acceleration!$S$4:$S$110,MATCH('Track Data'!S2254,Acceleration!$K$4:$K$110,0)),'Track Data'!AF2254)),'Track Data'!U2254)</f>
        <v>4.8209066787706405</v>
      </c>
      <c r="AH2254" s="16">
        <f>IF(AC2254=0,IF(O2254=2,INDEX(Acceleration!$R$4:$R$110,MATCH('Track Data'!S2254,Acceleration!$K$4:$K$110,0)),IF('Track Data'!O2254=1,INDEX(Acceleration!$Q$4:$Q$110,MATCH('Track Data'!S2254,Acceleration!$K$4:$K$110,0)),'Track Data'!AG2254)),'Track Data'!U2254)</f>
        <v>4.8209066787706405</v>
      </c>
    </row>
    <row r="2255" spans="2:34" x14ac:dyDescent="0.25">
      <c r="B2255" s="16">
        <v>254.71899999999999</v>
      </c>
      <c r="C2255" s="16">
        <v>9525</v>
      </c>
      <c r="D2255" s="16">
        <v>2252</v>
      </c>
      <c r="E2255" s="113">
        <v>169</v>
      </c>
      <c r="F2255" s="113">
        <v>166.3</v>
      </c>
      <c r="G2255" s="113">
        <v>163.30000000000001</v>
      </c>
      <c r="H2255" s="113">
        <f t="shared" si="250"/>
        <v>45.361111111111114</v>
      </c>
      <c r="I2255" s="113">
        <v>1.7</v>
      </c>
      <c r="J2255" s="113">
        <v>9.9499999999999993</v>
      </c>
      <c r="K2255" s="113">
        <v>-25.3</v>
      </c>
      <c r="L2255" s="185"/>
      <c r="M2255" s="16">
        <v>2252</v>
      </c>
      <c r="N2255" s="16">
        <f t="shared" si="252"/>
        <v>2.2716796633527173E-2</v>
      </c>
      <c r="O2255" s="16">
        <v>4</v>
      </c>
      <c r="P2255" s="16">
        <f t="shared" si="248"/>
        <v>9.1833785004516724</v>
      </c>
      <c r="Q2255" s="16">
        <f t="shared" si="253"/>
        <v>44.020291070622349</v>
      </c>
      <c r="R2255" s="113">
        <f t="shared" si="249"/>
        <v>329.49099999999999</v>
      </c>
      <c r="S2255" s="16">
        <f>IF(S2254=15800,15800,ROUND((((Q2255*60)/'Gearing Calculator'!$C$14)*'Track Data'!P2255),-2))</f>
        <v>12300</v>
      </c>
      <c r="T2255" s="16">
        <f t="shared" si="251"/>
        <v>4.8207797244267363</v>
      </c>
      <c r="U2255" s="16">
        <f>IF(AC2255=100,Braking!$AG$2354,IF(AC2255=50,Braking!$AG$1179,IF(AC2255=75,Braking!$AG$1767,0)))</f>
        <v>0</v>
      </c>
      <c r="V2255" s="16">
        <f>0.5*'Gearing Calculator'!$C$15*'Gearing Calculator'!$C$20*'Gearing Calculator'!$W$20*('Track Data'!Q2255^2)</f>
        <v>205.09527298573445</v>
      </c>
      <c r="W2255" s="16">
        <f>('Gearing Calculator'!$U$9*'Track Data'!T2255)+'Track Data'!V2255</f>
        <v>1488.3868356281316</v>
      </c>
      <c r="X2255" s="16">
        <f>('Gearing Calculator'!$U$9*9.81)*('Gearing Calculator'!$U$16/'Gearing Calculator'!$C$7)-(('Track Data'!W2255)*('Gearing Calculator'!$U$17/'Gearing Calculator'!$C$7))</f>
        <v>589.8898270893078</v>
      </c>
      <c r="Y2255" s="16">
        <f>('Gearing Calculator'!$U$9*9.81)*(('Gearing Calculator'!$C$7-'Gearing Calculator'!$U$16)/'Gearing Calculator'!$C$7)+(('Track Data'!W2255)*('Gearing Calculator'!$U$17/'Gearing Calculator'!$C$7))</f>
        <v>2021.5321729106922</v>
      </c>
      <c r="Z2255" s="16">
        <f>((X2255*COS('Gearing Calculator'!$C$21))/'Gearing Calculator'!$C$22)/2</f>
        <v>18.237527791030274</v>
      </c>
      <c r="AA2255" s="16">
        <f>Y2255/'Gearing Calculator'!$C$24</f>
        <v>28.227369446113297</v>
      </c>
      <c r="AB2255" s="16">
        <f t="shared" si="247"/>
        <v>224.3783918834414</v>
      </c>
      <c r="AC2255" s="16">
        <v>0</v>
      </c>
      <c r="AD2255" s="16">
        <v>0</v>
      </c>
      <c r="AE2255" s="16">
        <v>2252</v>
      </c>
      <c r="AF2255" s="16">
        <f>IF(AC2255=0,IF(O2255=6,INDEX(Acceleration!$V$4:$V$110,MATCH('Track Data'!S2255,Acceleration!$K$4:$K$110,0)),IF('Track Data'!O2255=5,INDEX(Acceleration!$U$4:$U$110,MATCH('Track Data'!S2255,Acceleration!$K$4:$K$110,0)),1)),U2255)</f>
        <v>1</v>
      </c>
      <c r="AG2255" s="16">
        <f>IF(AC2255=0,IF(O2255=4,INDEX(Acceleration!$T$4:$T$110,MATCH('Track Data'!S2255,Acceleration!$K$4:$K$110,0)),IF('Track Data'!O2255=3,INDEX(Acceleration!$S$4:$S$110,MATCH('Track Data'!S2255,Acceleration!$K$4:$K$110,0)),'Track Data'!AF2255)),'Track Data'!U2255)</f>
        <v>4.8207797244267363</v>
      </c>
      <c r="AH2255" s="16">
        <f>IF(AC2255=0,IF(O2255=2,INDEX(Acceleration!$R$4:$R$110,MATCH('Track Data'!S2255,Acceleration!$K$4:$K$110,0)),IF('Track Data'!O2255=1,INDEX(Acceleration!$Q$4:$Q$110,MATCH('Track Data'!S2255,Acceleration!$K$4:$K$110,0)),'Track Data'!AG2255)),'Track Data'!U2255)</f>
        <v>4.8207797244267363</v>
      </c>
    </row>
    <row r="2256" spans="2:34" x14ac:dyDescent="0.25">
      <c r="B2256" s="16">
        <v>254.74</v>
      </c>
      <c r="C2256" s="16">
        <v>9526</v>
      </c>
      <c r="D2256" s="16">
        <v>2253</v>
      </c>
      <c r="E2256" s="113">
        <v>168</v>
      </c>
      <c r="F2256" s="113">
        <v>166.9</v>
      </c>
      <c r="G2256" s="113">
        <v>163.80000000000001</v>
      </c>
      <c r="H2256" s="113">
        <f t="shared" si="250"/>
        <v>45.5</v>
      </c>
      <c r="I2256" s="113">
        <v>4.3</v>
      </c>
      <c r="J2256" s="113">
        <v>11.51</v>
      </c>
      <c r="K2256" s="113">
        <v>-23</v>
      </c>
      <c r="L2256" s="185"/>
      <c r="M2256" s="16">
        <v>2253</v>
      </c>
      <c r="N2256" s="16">
        <f t="shared" si="252"/>
        <v>2.2660492328730977E-2</v>
      </c>
      <c r="O2256" s="16">
        <v>4</v>
      </c>
      <c r="P2256" s="16">
        <f t="shared" si="248"/>
        <v>9.1833785004516724</v>
      </c>
      <c r="Q2256" s="16">
        <f t="shared" si="253"/>
        <v>44.129667859515635</v>
      </c>
      <c r="R2256" s="113">
        <f t="shared" si="249"/>
        <v>329.49099999999999</v>
      </c>
      <c r="S2256" s="16">
        <f>IF(S2255=15800,15800,ROUND((((Q2256*60)/'Gearing Calculator'!$C$14)*'Track Data'!P2256),-2))</f>
        <v>12300</v>
      </c>
      <c r="T2256" s="16">
        <f t="shared" si="251"/>
        <v>4.8207797244267363</v>
      </c>
      <c r="U2256" s="16">
        <f>IF(AC2256=100,Braking!$AG$2354,IF(AC2256=50,Braking!$AG$1179,IF(AC2256=75,Braking!$AG$1767,0)))</f>
        <v>0</v>
      </c>
      <c r="V2256" s="16">
        <f>0.5*'Gearing Calculator'!$C$15*'Gearing Calculator'!$C$20*'Gearing Calculator'!$W$20*('Track Data'!Q2256^2)</f>
        <v>206.11573563780112</v>
      </c>
      <c r="W2256" s="16">
        <f>('Gearing Calculator'!$U$9*'Track Data'!T2256)+'Track Data'!V2256</f>
        <v>1489.4072982801983</v>
      </c>
      <c r="X2256" s="16">
        <f>('Gearing Calculator'!$U$9*9.81)*('Gearing Calculator'!$U$16/'Gearing Calculator'!$C$7)-(('Track Data'!W2256)*('Gearing Calculator'!$U$17/'Gearing Calculator'!$C$7))</f>
        <v>589.33360525272735</v>
      </c>
      <c r="Y2256" s="16">
        <f>('Gearing Calculator'!$U$9*9.81)*(('Gearing Calculator'!$C$7-'Gearing Calculator'!$U$16)/'Gearing Calculator'!$C$7)+(('Track Data'!W2256)*('Gearing Calculator'!$U$17/'Gearing Calculator'!$C$7))</f>
        <v>2022.0883947472726</v>
      </c>
      <c r="Z2256" s="16">
        <f>((X2256*COS('Gearing Calculator'!$C$21))/'Gearing Calculator'!$C$22)/2</f>
        <v>18.220331171022995</v>
      </c>
      <c r="AA2256" s="16">
        <f>Y2256/'Gearing Calculator'!$C$24</f>
        <v>28.235136168545687</v>
      </c>
      <c r="AB2256" s="16">
        <f t="shared" si="247"/>
        <v>225.39885453550806</v>
      </c>
      <c r="AC2256" s="16">
        <v>0</v>
      </c>
      <c r="AD2256" s="16">
        <v>0</v>
      </c>
      <c r="AE2256" s="16">
        <v>2253</v>
      </c>
      <c r="AF2256" s="16">
        <f>IF(AC2256=0,IF(O2256=6,INDEX(Acceleration!$V$4:$V$110,MATCH('Track Data'!S2256,Acceleration!$K$4:$K$110,0)),IF('Track Data'!O2256=5,INDEX(Acceleration!$U$4:$U$110,MATCH('Track Data'!S2256,Acceleration!$K$4:$K$110,0)),1)),U2256)</f>
        <v>1</v>
      </c>
      <c r="AG2256" s="16">
        <f>IF(AC2256=0,IF(O2256=4,INDEX(Acceleration!$T$4:$T$110,MATCH('Track Data'!S2256,Acceleration!$K$4:$K$110,0)),IF('Track Data'!O2256=3,INDEX(Acceleration!$S$4:$S$110,MATCH('Track Data'!S2256,Acceleration!$K$4:$K$110,0)),'Track Data'!AF2256)),'Track Data'!U2256)</f>
        <v>4.8207797244267363</v>
      </c>
      <c r="AH2256" s="16">
        <f>IF(AC2256=0,IF(O2256=2,INDEX(Acceleration!$R$4:$R$110,MATCH('Track Data'!S2256,Acceleration!$K$4:$K$110,0)),IF('Track Data'!O2256=1,INDEX(Acceleration!$Q$4:$Q$110,MATCH('Track Data'!S2256,Acceleration!$K$4:$K$110,0)),'Track Data'!AG2256)),'Track Data'!U2256)</f>
        <v>4.8207797244267363</v>
      </c>
    </row>
    <row r="2257" spans="2:34" x14ac:dyDescent="0.25">
      <c r="B2257" s="16">
        <v>254.762</v>
      </c>
      <c r="C2257" s="16">
        <v>9527</v>
      </c>
      <c r="D2257" s="16">
        <v>2254</v>
      </c>
      <c r="E2257" s="113">
        <v>168</v>
      </c>
      <c r="F2257" s="113">
        <v>167.1</v>
      </c>
      <c r="G2257" s="113">
        <v>164.1</v>
      </c>
      <c r="H2257" s="113">
        <f t="shared" si="250"/>
        <v>45.583333333333329</v>
      </c>
      <c r="I2257" s="113">
        <v>6.4</v>
      </c>
      <c r="J2257" s="113">
        <v>13.66</v>
      </c>
      <c r="K2257" s="113">
        <v>-21.7</v>
      </c>
      <c r="L2257" s="185"/>
      <c r="M2257" s="16">
        <v>2254</v>
      </c>
      <c r="N2257" s="16">
        <f t="shared" si="252"/>
        <v>2.2604604615333285E-2</v>
      </c>
      <c r="O2257" s="16">
        <v>4</v>
      </c>
      <c r="P2257" s="16">
        <f t="shared" si="248"/>
        <v>9.1833785004516724</v>
      </c>
      <c r="Q2257" s="16">
        <f t="shared" si="253"/>
        <v>44.238774223977103</v>
      </c>
      <c r="R2257" s="113">
        <f t="shared" si="249"/>
        <v>329.49099999999999</v>
      </c>
      <c r="S2257" s="16">
        <f>IF(S2256=15800,15800,ROUND((((Q2257*60)/'Gearing Calculator'!$C$14)*'Track Data'!P2257),-2))</f>
        <v>12300</v>
      </c>
      <c r="T2257" s="16">
        <f t="shared" si="251"/>
        <v>4.8207797244267363</v>
      </c>
      <c r="U2257" s="16">
        <f>IF(AC2257=100,Braking!$AG$2354,IF(AC2257=50,Braking!$AG$1179,IF(AC2257=75,Braking!$AG$1767,0)))</f>
        <v>0</v>
      </c>
      <c r="V2257" s="16">
        <f>0.5*'Gearing Calculator'!$C$15*'Gearing Calculator'!$C$20*'Gearing Calculator'!$W$20*('Track Data'!Q2257^2)</f>
        <v>207.13619828986779</v>
      </c>
      <c r="W2257" s="16">
        <f>('Gearing Calculator'!$U$9*'Track Data'!T2257)+'Track Data'!V2257</f>
        <v>1490.4277609322648</v>
      </c>
      <c r="X2257" s="16">
        <f>('Gearing Calculator'!$U$9*9.81)*('Gearing Calculator'!$U$16/'Gearing Calculator'!$C$7)-(('Track Data'!W2257)*('Gearing Calculator'!$U$17/'Gearing Calculator'!$C$7))</f>
        <v>588.77738341614702</v>
      </c>
      <c r="Y2257" s="16">
        <f>('Gearing Calculator'!$U$9*9.81)*(('Gearing Calculator'!$C$7-'Gearing Calculator'!$U$16)/'Gearing Calculator'!$C$7)+(('Track Data'!W2257)*('Gearing Calculator'!$U$17/'Gearing Calculator'!$C$7))</f>
        <v>2022.6446165838529</v>
      </c>
      <c r="Z2257" s="16">
        <f>((X2257*COS('Gearing Calculator'!$C$21))/'Gearing Calculator'!$C$22)/2</f>
        <v>18.203134551015722</v>
      </c>
      <c r="AA2257" s="16">
        <f>Y2257/'Gearing Calculator'!$C$24</f>
        <v>28.24290289097808</v>
      </c>
      <c r="AB2257" s="16">
        <f t="shared" si="247"/>
        <v>226.41931718757473</v>
      </c>
      <c r="AC2257" s="16">
        <v>0</v>
      </c>
      <c r="AD2257" s="16">
        <v>0</v>
      </c>
      <c r="AE2257" s="16">
        <v>2254</v>
      </c>
      <c r="AF2257" s="16">
        <f>IF(AC2257=0,IF(O2257=6,INDEX(Acceleration!$V$4:$V$110,MATCH('Track Data'!S2257,Acceleration!$K$4:$K$110,0)),IF('Track Data'!O2257=5,INDEX(Acceleration!$U$4:$U$110,MATCH('Track Data'!S2257,Acceleration!$K$4:$K$110,0)),1)),U2257)</f>
        <v>1</v>
      </c>
      <c r="AG2257" s="16">
        <f>IF(AC2257=0,IF(O2257=4,INDEX(Acceleration!$T$4:$T$110,MATCH('Track Data'!S2257,Acceleration!$K$4:$K$110,0)),IF('Track Data'!O2257=3,INDEX(Acceleration!$S$4:$S$110,MATCH('Track Data'!S2257,Acceleration!$K$4:$K$110,0)),'Track Data'!AF2257)),'Track Data'!U2257)</f>
        <v>4.8207797244267363</v>
      </c>
      <c r="AH2257" s="16">
        <f>IF(AC2257=0,IF(O2257=2,INDEX(Acceleration!$R$4:$R$110,MATCH('Track Data'!S2257,Acceleration!$K$4:$K$110,0)),IF('Track Data'!O2257=1,INDEX(Acceleration!$Q$4:$Q$110,MATCH('Track Data'!S2257,Acceleration!$K$4:$K$110,0)),'Track Data'!AG2257)),'Track Data'!U2257)</f>
        <v>4.8207797244267363</v>
      </c>
    </row>
    <row r="2258" spans="2:34" x14ac:dyDescent="0.25">
      <c r="B2258" s="16">
        <v>254.78299999999999</v>
      </c>
      <c r="C2258" s="16">
        <v>9528</v>
      </c>
      <c r="D2258" s="16">
        <v>2255</v>
      </c>
      <c r="E2258" s="113">
        <v>169</v>
      </c>
      <c r="F2258" s="113">
        <v>167.4</v>
      </c>
      <c r="G2258" s="113">
        <v>164.5</v>
      </c>
      <c r="H2258" s="113">
        <f t="shared" si="250"/>
        <v>45.694444444444443</v>
      </c>
      <c r="I2258" s="113">
        <v>8.4</v>
      </c>
      <c r="J2258" s="113">
        <v>15.34</v>
      </c>
      <c r="K2258" s="113">
        <v>-20.5</v>
      </c>
      <c r="L2258" s="185"/>
      <c r="M2258" s="16">
        <v>2255</v>
      </c>
      <c r="N2258" s="16">
        <f t="shared" si="252"/>
        <v>2.2549128381329452E-2</v>
      </c>
      <c r="O2258" s="16">
        <v>4</v>
      </c>
      <c r="P2258" s="16">
        <f t="shared" si="248"/>
        <v>9.1833785004516724</v>
      </c>
      <c r="Q2258" s="16">
        <f t="shared" si="253"/>
        <v>44.347612159944696</v>
      </c>
      <c r="R2258" s="113">
        <f t="shared" si="249"/>
        <v>329.49099999999999</v>
      </c>
      <c r="S2258" s="16">
        <f>IF(S2257=15800,15800,ROUND((((Q2258*60)/'Gearing Calculator'!$C$14)*'Track Data'!P2258),-2))</f>
        <v>12300</v>
      </c>
      <c r="T2258" s="16">
        <f t="shared" si="251"/>
        <v>4.8207797244267363</v>
      </c>
      <c r="U2258" s="16">
        <f>IF(AC2258=100,Braking!$AG$2354,IF(AC2258=50,Braking!$AG$1179,IF(AC2258=75,Braking!$AG$1767,0)))</f>
        <v>0</v>
      </c>
      <c r="V2258" s="16">
        <f>0.5*'Gearing Calculator'!$C$15*'Gearing Calculator'!$C$20*'Gearing Calculator'!$W$20*('Track Data'!Q2258^2)</f>
        <v>208.15666094193449</v>
      </c>
      <c r="W2258" s="16">
        <f>('Gearing Calculator'!$U$9*'Track Data'!T2258)+'Track Data'!V2258</f>
        <v>1491.4482235843316</v>
      </c>
      <c r="X2258" s="16">
        <f>('Gearing Calculator'!$U$9*9.81)*('Gearing Calculator'!$U$16/'Gearing Calculator'!$C$7)-(('Track Data'!W2258)*('Gearing Calculator'!$U$17/'Gearing Calculator'!$C$7))</f>
        <v>588.22116157956668</v>
      </c>
      <c r="Y2258" s="16">
        <f>('Gearing Calculator'!$U$9*9.81)*(('Gearing Calculator'!$C$7-'Gearing Calculator'!$U$16)/'Gearing Calculator'!$C$7)+(('Track Data'!W2258)*('Gearing Calculator'!$U$17/'Gearing Calculator'!$C$7))</f>
        <v>2023.2008384204332</v>
      </c>
      <c r="Z2258" s="16">
        <f>((X2258*COS('Gearing Calculator'!$C$21))/'Gearing Calculator'!$C$22)/2</f>
        <v>18.185937931008446</v>
      </c>
      <c r="AA2258" s="16">
        <f>Y2258/'Gearing Calculator'!$C$24</f>
        <v>28.250669613410473</v>
      </c>
      <c r="AB2258" s="16">
        <f t="shared" si="247"/>
        <v>227.43977983964143</v>
      </c>
      <c r="AC2258" s="16">
        <v>0</v>
      </c>
      <c r="AD2258" s="16">
        <v>0</v>
      </c>
      <c r="AE2258" s="16">
        <v>2255</v>
      </c>
      <c r="AF2258" s="16">
        <f>IF(AC2258=0,IF(O2258=6,INDEX(Acceleration!$V$4:$V$110,MATCH('Track Data'!S2258,Acceleration!$K$4:$K$110,0)),IF('Track Data'!O2258=5,INDEX(Acceleration!$U$4:$U$110,MATCH('Track Data'!S2258,Acceleration!$K$4:$K$110,0)),1)),U2258)</f>
        <v>1</v>
      </c>
      <c r="AG2258" s="16">
        <f>IF(AC2258=0,IF(O2258=4,INDEX(Acceleration!$T$4:$T$110,MATCH('Track Data'!S2258,Acceleration!$K$4:$K$110,0)),IF('Track Data'!O2258=3,INDEX(Acceleration!$S$4:$S$110,MATCH('Track Data'!S2258,Acceleration!$K$4:$K$110,0)),'Track Data'!AF2258)),'Track Data'!U2258)</f>
        <v>4.8207797244267363</v>
      </c>
      <c r="AH2258" s="16">
        <f>IF(AC2258=0,IF(O2258=2,INDEX(Acceleration!$R$4:$R$110,MATCH('Track Data'!S2258,Acceleration!$K$4:$K$110,0)),IF('Track Data'!O2258=1,INDEX(Acceleration!$Q$4:$Q$110,MATCH('Track Data'!S2258,Acceleration!$K$4:$K$110,0)),'Track Data'!AG2258)),'Track Data'!U2258)</f>
        <v>4.8207797244267363</v>
      </c>
    </row>
    <row r="2259" spans="2:34" x14ac:dyDescent="0.25">
      <c r="B2259" s="16">
        <v>254.80500000000001</v>
      </c>
      <c r="C2259" s="16">
        <v>9529</v>
      </c>
      <c r="D2259" s="16">
        <v>2256</v>
      </c>
      <c r="E2259" s="113">
        <v>169</v>
      </c>
      <c r="F2259" s="113">
        <v>167.5</v>
      </c>
      <c r="G2259" s="113">
        <v>164.8</v>
      </c>
      <c r="H2259" s="113">
        <f t="shared" si="250"/>
        <v>45.777777777777779</v>
      </c>
      <c r="I2259" s="113">
        <v>10.1</v>
      </c>
      <c r="J2259" s="113">
        <v>15.5</v>
      </c>
      <c r="K2259" s="113">
        <v>-19</v>
      </c>
      <c r="L2259" s="185"/>
      <c r="M2259" s="16">
        <v>2256</v>
      </c>
      <c r="N2259" s="16">
        <f t="shared" si="252"/>
        <v>2.2494058602107327E-2</v>
      </c>
      <c r="O2259" s="16">
        <v>4</v>
      </c>
      <c r="P2259" s="16">
        <f t="shared" si="248"/>
        <v>9.1833785004516724</v>
      </c>
      <c r="Q2259" s="16">
        <f t="shared" si="253"/>
        <v>44.456183638923939</v>
      </c>
      <c r="R2259" s="113">
        <f t="shared" si="249"/>
        <v>329.49099999999999</v>
      </c>
      <c r="S2259" s="16">
        <f>IF(S2258=15800,15800,ROUND((((Q2259*60)/'Gearing Calculator'!$C$14)*'Track Data'!P2259),-2))</f>
        <v>12400</v>
      </c>
      <c r="T2259" s="16">
        <f t="shared" si="251"/>
        <v>4.820458184523007</v>
      </c>
      <c r="U2259" s="16">
        <f>IF(AC2259=100,Braking!$AG$2354,IF(AC2259=50,Braking!$AG$1179,IF(AC2259=75,Braking!$AG$1767,0)))</f>
        <v>0</v>
      </c>
      <c r="V2259" s="16">
        <f>0.5*'Gearing Calculator'!$C$15*'Gearing Calculator'!$C$20*'Gearing Calculator'!$W$20*('Track Data'!Q2259^2)</f>
        <v>209.17712359400116</v>
      </c>
      <c r="W2259" s="16">
        <f>('Gearing Calculator'!$U$9*'Track Data'!T2259)+'Track Data'!V2259</f>
        <v>1492.3830923140256</v>
      </c>
      <c r="X2259" s="16">
        <f>('Gearing Calculator'!$U$9*9.81)*('Gearing Calculator'!$U$16/'Gearing Calculator'!$C$7)-(('Track Data'!W2259)*('Gearing Calculator'!$U$17/'Gearing Calculator'!$C$7))</f>
        <v>587.71159427620785</v>
      </c>
      <c r="Y2259" s="16">
        <f>('Gearing Calculator'!$U$9*9.81)*(('Gearing Calculator'!$C$7-'Gearing Calculator'!$U$16)/'Gearing Calculator'!$C$7)+(('Track Data'!W2259)*('Gearing Calculator'!$U$17/'Gearing Calculator'!$C$7))</f>
        <v>2023.7104057237921</v>
      </c>
      <c r="Z2259" s="16">
        <f>((X2259*COS('Gearing Calculator'!$C$21))/'Gearing Calculator'!$C$22)/2</f>
        <v>18.170183721612666</v>
      </c>
      <c r="AA2259" s="16">
        <f>Y2259/'Gearing Calculator'!$C$24</f>
        <v>28.257784882077633</v>
      </c>
      <c r="AB2259" s="16">
        <f t="shared" si="247"/>
        <v>228.45895633209318</v>
      </c>
      <c r="AC2259" s="16">
        <v>0</v>
      </c>
      <c r="AD2259" s="16">
        <v>0</v>
      </c>
      <c r="AE2259" s="16">
        <v>2256</v>
      </c>
      <c r="AF2259" s="16">
        <f>IF(AC2259=0,IF(O2259=6,INDEX(Acceleration!$V$4:$V$110,MATCH('Track Data'!S2259,Acceleration!$K$4:$K$110,0)),IF('Track Data'!O2259=5,INDEX(Acceleration!$U$4:$U$110,MATCH('Track Data'!S2259,Acceleration!$K$4:$K$110,0)),1)),U2259)</f>
        <v>1</v>
      </c>
      <c r="AG2259" s="16">
        <f>IF(AC2259=0,IF(O2259=4,INDEX(Acceleration!$T$4:$T$110,MATCH('Track Data'!S2259,Acceleration!$K$4:$K$110,0)),IF('Track Data'!O2259=3,INDEX(Acceleration!$S$4:$S$110,MATCH('Track Data'!S2259,Acceleration!$K$4:$K$110,0)),'Track Data'!AF2259)),'Track Data'!U2259)</f>
        <v>4.820458184523007</v>
      </c>
      <c r="AH2259" s="16">
        <f>IF(AC2259=0,IF(O2259=2,INDEX(Acceleration!$R$4:$R$110,MATCH('Track Data'!S2259,Acceleration!$K$4:$K$110,0)),IF('Track Data'!O2259=1,INDEX(Acceleration!$Q$4:$Q$110,MATCH('Track Data'!S2259,Acceleration!$K$4:$K$110,0)),'Track Data'!AG2259)),'Track Data'!U2259)</f>
        <v>4.820458184523007</v>
      </c>
    </row>
    <row r="2260" spans="2:34" x14ac:dyDescent="0.25">
      <c r="B2260" s="16">
        <v>254.82599999999999</v>
      </c>
      <c r="C2260" s="16">
        <v>9530</v>
      </c>
      <c r="D2260" s="16">
        <v>2257</v>
      </c>
      <c r="E2260" s="113">
        <v>169</v>
      </c>
      <c r="F2260" s="113">
        <v>167.7</v>
      </c>
      <c r="G2260" s="113">
        <v>165.2</v>
      </c>
      <c r="H2260" s="113">
        <f t="shared" si="250"/>
        <v>45.888888888888886</v>
      </c>
      <c r="I2260" s="113">
        <v>10.7</v>
      </c>
      <c r="J2260" s="113">
        <v>17.350000000000001</v>
      </c>
      <c r="K2260" s="113">
        <v>-16.3</v>
      </c>
      <c r="L2260" s="185"/>
      <c r="M2260" s="16">
        <v>2257</v>
      </c>
      <c r="N2260" s="16">
        <f t="shared" si="252"/>
        <v>2.2439393971558683E-2</v>
      </c>
      <c r="O2260" s="16">
        <v>4</v>
      </c>
      <c r="P2260" s="16">
        <f t="shared" si="248"/>
        <v>9.1833785004516724</v>
      </c>
      <c r="Q2260" s="16">
        <f t="shared" si="253"/>
        <v>44.564483393244608</v>
      </c>
      <c r="R2260" s="113">
        <f t="shared" si="249"/>
        <v>329.49099999999999</v>
      </c>
      <c r="S2260" s="16">
        <f>IF(S2259=15800,15800,ROUND((((Q2260*60)/'Gearing Calculator'!$C$14)*'Track Data'!P2260),-2))</f>
        <v>12400</v>
      </c>
      <c r="T2260" s="16">
        <f t="shared" si="251"/>
        <v>4.820458184523007</v>
      </c>
      <c r="U2260" s="16">
        <f>IF(AC2260=100,Braking!$AG$2354,IF(AC2260=50,Braking!$AG$1179,IF(AC2260=75,Braking!$AG$1767,0)))</f>
        <v>0</v>
      </c>
      <c r="V2260" s="16">
        <f>0.5*'Gearing Calculator'!$C$15*'Gearing Calculator'!$C$20*'Gearing Calculator'!$W$20*('Track Data'!Q2260^2)</f>
        <v>210.19751818250097</v>
      </c>
      <c r="W2260" s="16">
        <f>('Gearing Calculator'!$U$9*'Track Data'!T2260)+'Track Data'!V2260</f>
        <v>1493.4034869025254</v>
      </c>
      <c r="X2260" s="16">
        <f>('Gearing Calculator'!$U$9*9.81)*('Gearing Calculator'!$U$16/'Gearing Calculator'!$C$7)-(('Track Data'!W2260)*('Gearing Calculator'!$U$17/'Gearing Calculator'!$C$7))</f>
        <v>587.1554095389198</v>
      </c>
      <c r="Y2260" s="16">
        <f>('Gearing Calculator'!$U$9*9.81)*(('Gearing Calculator'!$C$7-'Gearing Calculator'!$U$16)/'Gearing Calculator'!$C$7)+(('Track Data'!W2260)*('Gearing Calculator'!$U$17/'Gearing Calculator'!$C$7))</f>
        <v>2024.2665904610803</v>
      </c>
      <c r="Z2260" s="16">
        <f>((X2260*COS('Gearing Calculator'!$C$21))/'Gearing Calculator'!$C$22)/2</f>
        <v>18.15298824859817</v>
      </c>
      <c r="AA2260" s="16">
        <f>Y2260/'Gearing Calculator'!$C$24</f>
        <v>28.265551086479476</v>
      </c>
      <c r="AB2260" s="16">
        <f t="shared" si="247"/>
        <v>229.47935092059299</v>
      </c>
      <c r="AC2260" s="16">
        <v>0</v>
      </c>
      <c r="AD2260" s="16">
        <v>0</v>
      </c>
      <c r="AE2260" s="16">
        <v>2257</v>
      </c>
      <c r="AF2260" s="16">
        <f>IF(AC2260=0,IF(O2260=6,INDEX(Acceleration!$V$4:$V$110,MATCH('Track Data'!S2260,Acceleration!$K$4:$K$110,0)),IF('Track Data'!O2260=5,INDEX(Acceleration!$U$4:$U$110,MATCH('Track Data'!S2260,Acceleration!$K$4:$K$110,0)),1)),U2260)</f>
        <v>1</v>
      </c>
      <c r="AG2260" s="16">
        <f>IF(AC2260=0,IF(O2260=4,INDEX(Acceleration!$T$4:$T$110,MATCH('Track Data'!S2260,Acceleration!$K$4:$K$110,0)),IF('Track Data'!O2260=3,INDEX(Acceleration!$S$4:$S$110,MATCH('Track Data'!S2260,Acceleration!$K$4:$K$110,0)),'Track Data'!AF2260)),'Track Data'!U2260)</f>
        <v>4.820458184523007</v>
      </c>
      <c r="AH2260" s="16">
        <f>IF(AC2260=0,IF(O2260=2,INDEX(Acceleration!$R$4:$R$110,MATCH('Track Data'!S2260,Acceleration!$K$4:$K$110,0)),IF('Track Data'!O2260=1,INDEX(Acceleration!$Q$4:$Q$110,MATCH('Track Data'!S2260,Acceleration!$K$4:$K$110,0)),'Track Data'!AG2260)),'Track Data'!U2260)</f>
        <v>4.820458184523007</v>
      </c>
    </row>
    <row r="2261" spans="2:34" x14ac:dyDescent="0.25">
      <c r="B2261" s="16">
        <v>254.84700000000001</v>
      </c>
      <c r="C2261" s="16">
        <v>9531</v>
      </c>
      <c r="D2261" s="16">
        <v>2258</v>
      </c>
      <c r="E2261" s="113">
        <v>169</v>
      </c>
      <c r="F2261" s="113">
        <v>167.8</v>
      </c>
      <c r="G2261" s="113">
        <v>165.5</v>
      </c>
      <c r="H2261" s="113">
        <f t="shared" si="250"/>
        <v>45.972222222222221</v>
      </c>
      <c r="I2261" s="113">
        <v>11.2</v>
      </c>
      <c r="J2261" s="113">
        <v>17.579999999999998</v>
      </c>
      <c r="K2261" s="113">
        <v>-13.6</v>
      </c>
      <c r="L2261" s="185"/>
      <c r="M2261" s="16">
        <v>2258</v>
      </c>
      <c r="N2261" s="16">
        <f t="shared" si="252"/>
        <v>2.2385125948558071E-2</v>
      </c>
      <c r="O2261" s="16">
        <v>4</v>
      </c>
      <c r="P2261" s="16">
        <f t="shared" si="248"/>
        <v>9.1833785004516724</v>
      </c>
      <c r="Q2261" s="16">
        <f t="shared" si="253"/>
        <v>44.67252059684813</v>
      </c>
      <c r="R2261" s="113">
        <f t="shared" si="249"/>
        <v>329.49099999999999</v>
      </c>
      <c r="S2261" s="16">
        <f>IF(S2260=15800,15800,ROUND((((Q2261*60)/'Gearing Calculator'!$C$14)*'Track Data'!P2261),-2))</f>
        <v>12400</v>
      </c>
      <c r="T2261" s="16">
        <f t="shared" si="251"/>
        <v>4.820458184523007</v>
      </c>
      <c r="U2261" s="16">
        <f>IF(AC2261=100,Braking!$AG$2354,IF(AC2261=50,Braking!$AG$1179,IF(AC2261=75,Braking!$AG$1767,0)))</f>
        <v>0</v>
      </c>
      <c r="V2261" s="16">
        <f>0.5*'Gearing Calculator'!$C$15*'Gearing Calculator'!$C$20*'Gearing Calculator'!$W$20*('Track Data'!Q2261^2)</f>
        <v>211.21791277100081</v>
      </c>
      <c r="W2261" s="16">
        <f>('Gearing Calculator'!$U$9*'Track Data'!T2261)+'Track Data'!V2261</f>
        <v>1494.4238814910252</v>
      </c>
      <c r="X2261" s="16">
        <f>('Gearing Calculator'!$U$9*9.81)*('Gearing Calculator'!$U$16/'Gearing Calculator'!$C$7)-(('Track Data'!W2261)*('Gearing Calculator'!$U$17/'Gearing Calculator'!$C$7))</f>
        <v>586.59922480163164</v>
      </c>
      <c r="Y2261" s="16">
        <f>('Gearing Calculator'!$U$9*9.81)*(('Gearing Calculator'!$C$7-'Gearing Calculator'!$U$16)/'Gearing Calculator'!$C$7)+(('Track Data'!W2261)*('Gearing Calculator'!$U$17/'Gearing Calculator'!$C$7))</f>
        <v>2024.8227751983684</v>
      </c>
      <c r="Z2261" s="16">
        <f>((X2261*COS('Gearing Calculator'!$C$21))/'Gearing Calculator'!$C$22)/2</f>
        <v>18.135792775583674</v>
      </c>
      <c r="AA2261" s="16">
        <f>Y2261/'Gearing Calculator'!$C$24</f>
        <v>28.273317290881316</v>
      </c>
      <c r="AB2261" s="16">
        <f t="shared" si="247"/>
        <v>230.49974550909283</v>
      </c>
      <c r="AC2261" s="16">
        <v>0</v>
      </c>
      <c r="AD2261" s="16">
        <v>0</v>
      </c>
      <c r="AE2261" s="16">
        <v>2258</v>
      </c>
      <c r="AF2261" s="16">
        <f>IF(AC2261=0,IF(O2261=6,INDEX(Acceleration!$V$4:$V$110,MATCH('Track Data'!S2261,Acceleration!$K$4:$K$110,0)),IF('Track Data'!O2261=5,INDEX(Acceleration!$U$4:$U$110,MATCH('Track Data'!S2261,Acceleration!$K$4:$K$110,0)),1)),U2261)</f>
        <v>1</v>
      </c>
      <c r="AG2261" s="16">
        <f>IF(AC2261=0,IF(O2261=4,INDEX(Acceleration!$T$4:$T$110,MATCH('Track Data'!S2261,Acceleration!$K$4:$K$110,0)),IF('Track Data'!O2261=3,INDEX(Acceleration!$S$4:$S$110,MATCH('Track Data'!S2261,Acceleration!$K$4:$K$110,0)),'Track Data'!AF2261)),'Track Data'!U2261)</f>
        <v>4.820458184523007</v>
      </c>
      <c r="AH2261" s="16">
        <f>IF(AC2261=0,IF(O2261=2,INDEX(Acceleration!$R$4:$R$110,MATCH('Track Data'!S2261,Acceleration!$K$4:$K$110,0)),IF('Track Data'!O2261=1,INDEX(Acceleration!$Q$4:$Q$110,MATCH('Track Data'!S2261,Acceleration!$K$4:$K$110,0)),'Track Data'!AG2261)),'Track Data'!U2261)</f>
        <v>4.820458184523007</v>
      </c>
    </row>
    <row r="2262" spans="2:34" x14ac:dyDescent="0.25">
      <c r="B2262" s="16">
        <v>254.869</v>
      </c>
      <c r="C2262" s="16">
        <v>9532</v>
      </c>
      <c r="D2262" s="16">
        <v>2259</v>
      </c>
      <c r="E2262" s="113">
        <v>170</v>
      </c>
      <c r="F2262" s="113">
        <v>167.8</v>
      </c>
      <c r="G2262" s="113">
        <v>165.8</v>
      </c>
      <c r="H2262" s="113">
        <f t="shared" si="250"/>
        <v>46.055555555555557</v>
      </c>
      <c r="I2262" s="113">
        <v>11.1</v>
      </c>
      <c r="J2262" s="113">
        <v>18.04</v>
      </c>
      <c r="K2262" s="113">
        <v>-11</v>
      </c>
      <c r="L2262" s="185"/>
      <c r="M2262" s="16">
        <v>2259</v>
      </c>
      <c r="N2262" s="16">
        <f t="shared" si="252"/>
        <v>2.2331249760350457E-2</v>
      </c>
      <c r="O2262" s="16">
        <v>4</v>
      </c>
      <c r="P2262" s="16">
        <f t="shared" si="248"/>
        <v>9.1833785004516724</v>
      </c>
      <c r="Q2262" s="16">
        <f t="shared" si="253"/>
        <v>44.780297150028673</v>
      </c>
      <c r="R2262" s="113">
        <f t="shared" si="249"/>
        <v>329.49099999999999</v>
      </c>
      <c r="S2262" s="16">
        <f>IF(S2261=15800,15800,ROUND((((Q2262*60)/'Gearing Calculator'!$C$14)*'Track Data'!P2262),-2))</f>
        <v>12500</v>
      </c>
      <c r="T2262" s="16">
        <f t="shared" si="251"/>
        <v>4.8199451432580522</v>
      </c>
      <c r="U2262" s="16">
        <f>IF(AC2262=100,Braking!$AG$2354,IF(AC2262=50,Braking!$AG$1179,IF(AC2262=75,Braking!$AG$1767,0)))</f>
        <v>0</v>
      </c>
      <c r="V2262" s="16">
        <f>0.5*'Gearing Calculator'!$C$15*'Gearing Calculator'!$C$20*'Gearing Calculator'!$W$20*('Track Data'!Q2262^2)</f>
        <v>212.2383073595006</v>
      </c>
      <c r="W2262" s="16">
        <f>('Gearing Calculator'!$U$9*'Track Data'!T2262)+'Track Data'!V2262</f>
        <v>1495.3077044947941</v>
      </c>
      <c r="X2262" s="16">
        <f>('Gearing Calculator'!$U$9*9.81)*('Gearing Calculator'!$U$16/'Gearing Calculator'!$C$7)-(('Track Data'!W2262)*('Gearing Calculator'!$U$17/'Gearing Calculator'!$C$7))</f>
        <v>586.11748090500521</v>
      </c>
      <c r="Y2262" s="16">
        <f>('Gearing Calculator'!$U$9*9.81)*(('Gearing Calculator'!$C$7-'Gearing Calculator'!$U$16)/'Gearing Calculator'!$C$7)+(('Track Data'!W2262)*('Gearing Calculator'!$U$17/'Gearing Calculator'!$C$7))</f>
        <v>2025.3045190949947</v>
      </c>
      <c r="Z2262" s="16">
        <f>((X2262*COS('Gearing Calculator'!$C$21))/'Gearing Calculator'!$C$22)/2</f>
        <v>18.120898777926122</v>
      </c>
      <c r="AA2262" s="16">
        <f>Y2262/'Gearing Calculator'!$C$24</f>
        <v>28.280044051469499</v>
      </c>
      <c r="AB2262" s="16">
        <f t="shared" si="247"/>
        <v>231.51808793253281</v>
      </c>
      <c r="AC2262" s="16">
        <v>0</v>
      </c>
      <c r="AD2262" s="16">
        <v>0</v>
      </c>
      <c r="AE2262" s="16">
        <v>2259</v>
      </c>
      <c r="AF2262" s="16">
        <f>IF(AC2262=0,IF(O2262=6,INDEX(Acceleration!$V$4:$V$110,MATCH('Track Data'!S2262,Acceleration!$K$4:$K$110,0)),IF('Track Data'!O2262=5,INDEX(Acceleration!$U$4:$U$110,MATCH('Track Data'!S2262,Acceleration!$K$4:$K$110,0)),1)),U2262)</f>
        <v>1</v>
      </c>
      <c r="AG2262" s="16">
        <f>IF(AC2262=0,IF(O2262=4,INDEX(Acceleration!$T$4:$T$110,MATCH('Track Data'!S2262,Acceleration!$K$4:$K$110,0)),IF('Track Data'!O2262=3,INDEX(Acceleration!$S$4:$S$110,MATCH('Track Data'!S2262,Acceleration!$K$4:$K$110,0)),'Track Data'!AF2262)),'Track Data'!U2262)</f>
        <v>4.8199451432580522</v>
      </c>
      <c r="AH2262" s="16">
        <f>IF(AC2262=0,IF(O2262=2,INDEX(Acceleration!$R$4:$R$110,MATCH('Track Data'!S2262,Acceleration!$K$4:$K$110,0)),IF('Track Data'!O2262=1,INDEX(Acceleration!$Q$4:$Q$110,MATCH('Track Data'!S2262,Acceleration!$K$4:$K$110,0)),'Track Data'!AG2262)),'Track Data'!U2262)</f>
        <v>4.8199451432580522</v>
      </c>
    </row>
    <row r="2263" spans="2:34" x14ac:dyDescent="0.25">
      <c r="B2263" s="16">
        <v>254.89099999999999</v>
      </c>
      <c r="C2263" s="16">
        <v>9533</v>
      </c>
      <c r="D2263" s="16">
        <v>2260</v>
      </c>
      <c r="E2263" s="113">
        <v>170</v>
      </c>
      <c r="F2263" s="113">
        <v>168.3</v>
      </c>
      <c r="G2263" s="113">
        <v>166.3</v>
      </c>
      <c r="H2263" s="113">
        <f t="shared" si="250"/>
        <v>46.19444444444445</v>
      </c>
      <c r="I2263" s="113">
        <v>9.8000000000000007</v>
      </c>
      <c r="J2263" s="113">
        <v>17.989999999999998</v>
      </c>
      <c r="K2263" s="113">
        <v>-9.3000000000000007</v>
      </c>
      <c r="L2263" s="185"/>
      <c r="M2263" s="16">
        <v>2260</v>
      </c>
      <c r="N2263" s="16">
        <f t="shared" si="252"/>
        <v>2.227776638660766E-2</v>
      </c>
      <c r="O2263" s="16">
        <v>4</v>
      </c>
      <c r="P2263" s="16">
        <f t="shared" si="248"/>
        <v>9.1833785004516724</v>
      </c>
      <c r="Q2263" s="16">
        <f t="shared" si="253"/>
        <v>44.887803500855128</v>
      </c>
      <c r="R2263" s="113">
        <f t="shared" si="249"/>
        <v>329.49099999999999</v>
      </c>
      <c r="S2263" s="16">
        <f>IF(S2262=15800,15800,ROUND((((Q2263*60)/'Gearing Calculator'!$C$14)*'Track Data'!P2263),-2))</f>
        <v>12500</v>
      </c>
      <c r="T2263" s="16">
        <f t="shared" si="251"/>
        <v>4.8199451432580522</v>
      </c>
      <c r="U2263" s="16">
        <f>IF(AC2263=100,Braking!$AG$2354,IF(AC2263=50,Braking!$AG$1179,IF(AC2263=75,Braking!$AG$1767,0)))</f>
        <v>0</v>
      </c>
      <c r="V2263" s="16">
        <f>0.5*'Gearing Calculator'!$C$15*'Gearing Calculator'!$C$20*'Gearing Calculator'!$W$20*('Track Data'!Q2263^2)</f>
        <v>213.25859334742543</v>
      </c>
      <c r="W2263" s="16">
        <f>('Gearing Calculator'!$U$9*'Track Data'!T2263)+'Track Data'!V2263</f>
        <v>1496.3279904827189</v>
      </c>
      <c r="X2263" s="16">
        <f>('Gearing Calculator'!$U$9*9.81)*('Gearing Calculator'!$U$16/'Gearing Calculator'!$C$7)-(('Track Data'!W2263)*('Gearing Calculator'!$U$17/'Gearing Calculator'!$C$7))</f>
        <v>585.56135536244722</v>
      </c>
      <c r="Y2263" s="16">
        <f>('Gearing Calculator'!$U$9*9.81)*(('Gearing Calculator'!$C$7-'Gearing Calculator'!$U$16)/'Gearing Calculator'!$C$7)+(('Track Data'!W2263)*('Gearing Calculator'!$U$17/'Gearing Calculator'!$C$7))</f>
        <v>2025.8606446375529</v>
      </c>
      <c r="Z2263" s="16">
        <f>((X2263*COS('Gearing Calculator'!$C$21))/'Gearing Calculator'!$C$22)/2</f>
        <v>18.103705135025464</v>
      </c>
      <c r="AA2263" s="16">
        <f>Y2263/'Gearing Calculator'!$C$24</f>
        <v>28.287809429314368</v>
      </c>
      <c r="AB2263" s="16">
        <f t="shared" si="247"/>
        <v>232.53837392045764</v>
      </c>
      <c r="AC2263" s="16">
        <v>0</v>
      </c>
      <c r="AD2263" s="16">
        <v>0</v>
      </c>
      <c r="AE2263" s="16">
        <v>2260</v>
      </c>
      <c r="AF2263" s="16">
        <f>IF(AC2263=0,IF(O2263=6,INDEX(Acceleration!$V$4:$V$110,MATCH('Track Data'!S2263,Acceleration!$K$4:$K$110,0)),IF('Track Data'!O2263=5,INDEX(Acceleration!$U$4:$U$110,MATCH('Track Data'!S2263,Acceleration!$K$4:$K$110,0)),1)),U2263)</f>
        <v>1</v>
      </c>
      <c r="AG2263" s="16">
        <f>IF(AC2263=0,IF(O2263=4,INDEX(Acceleration!$T$4:$T$110,MATCH('Track Data'!S2263,Acceleration!$K$4:$K$110,0)),IF('Track Data'!O2263=3,INDEX(Acceleration!$S$4:$S$110,MATCH('Track Data'!S2263,Acceleration!$K$4:$K$110,0)),'Track Data'!AF2263)),'Track Data'!U2263)</f>
        <v>4.8199451432580522</v>
      </c>
      <c r="AH2263" s="16">
        <f>IF(AC2263=0,IF(O2263=2,INDEX(Acceleration!$R$4:$R$110,MATCH('Track Data'!S2263,Acceleration!$K$4:$K$110,0)),IF('Track Data'!O2263=1,INDEX(Acceleration!$Q$4:$Q$110,MATCH('Track Data'!S2263,Acceleration!$K$4:$K$110,0)),'Track Data'!AG2263)),'Track Data'!U2263)</f>
        <v>4.8199451432580522</v>
      </c>
    </row>
    <row r="2264" spans="2:34" x14ac:dyDescent="0.25">
      <c r="B2264" s="16">
        <v>254.91200000000001</v>
      </c>
      <c r="C2264" s="16">
        <v>9534</v>
      </c>
      <c r="D2264" s="16">
        <v>2261</v>
      </c>
      <c r="E2264" s="113">
        <v>170</v>
      </c>
      <c r="F2264" s="113">
        <v>168.9</v>
      </c>
      <c r="G2264" s="113">
        <v>166.6</v>
      </c>
      <c r="H2264" s="113">
        <f t="shared" si="250"/>
        <v>46.277777777777779</v>
      </c>
      <c r="I2264" s="113">
        <v>8.6999999999999993</v>
      </c>
      <c r="J2264" s="113">
        <v>16.34</v>
      </c>
      <c r="K2264" s="113">
        <v>-10.1</v>
      </c>
      <c r="L2264" s="185"/>
      <c r="M2264" s="16">
        <v>2261</v>
      </c>
      <c r="N2264" s="16">
        <f t="shared" si="252"/>
        <v>2.2224665459567947E-2</v>
      </c>
      <c r="O2264" s="16">
        <v>4</v>
      </c>
      <c r="P2264" s="16">
        <f t="shared" si="248"/>
        <v>9.1833785004516724</v>
      </c>
      <c r="Q2264" s="16">
        <f t="shared" si="253"/>
        <v>44.995052988277479</v>
      </c>
      <c r="R2264" s="113">
        <f t="shared" si="249"/>
        <v>329.49099999999999</v>
      </c>
      <c r="S2264" s="16">
        <f>IF(S2263=15800,15800,ROUND((((Q2264*60)/'Gearing Calculator'!$C$14)*'Track Data'!P2264),-2))</f>
        <v>12500</v>
      </c>
      <c r="T2264" s="16">
        <f t="shared" si="251"/>
        <v>4.8199451432580522</v>
      </c>
      <c r="U2264" s="16">
        <f>IF(AC2264=100,Braking!$AG$2354,IF(AC2264=50,Braking!$AG$1179,IF(AC2264=75,Braking!$AG$1767,0)))</f>
        <v>0</v>
      </c>
      <c r="V2264" s="16">
        <f>0.5*'Gearing Calculator'!$C$15*'Gearing Calculator'!$C$20*'Gearing Calculator'!$W$20*('Track Data'!Q2264^2)</f>
        <v>214.2788793353503</v>
      </c>
      <c r="W2264" s="16">
        <f>('Gearing Calculator'!$U$9*'Track Data'!T2264)+'Track Data'!V2264</f>
        <v>1497.3482764706437</v>
      </c>
      <c r="X2264" s="16">
        <f>('Gearing Calculator'!$U$9*9.81)*('Gearing Calculator'!$U$16/'Gearing Calculator'!$C$7)-(('Track Data'!W2264)*('Gearing Calculator'!$U$17/'Gearing Calculator'!$C$7))</f>
        <v>585.00522981988922</v>
      </c>
      <c r="Y2264" s="16">
        <f>('Gearing Calculator'!$U$9*9.81)*(('Gearing Calculator'!$C$7-'Gearing Calculator'!$U$16)/'Gearing Calculator'!$C$7)+(('Track Data'!W2264)*('Gearing Calculator'!$U$17/'Gearing Calculator'!$C$7))</f>
        <v>2026.4167701801107</v>
      </c>
      <c r="Z2264" s="16">
        <f>((X2264*COS('Gearing Calculator'!$C$21))/'Gearing Calculator'!$C$22)/2</f>
        <v>18.08651149212481</v>
      </c>
      <c r="AA2264" s="16">
        <f>Y2264/'Gearing Calculator'!$C$24</f>
        <v>28.295574807159234</v>
      </c>
      <c r="AB2264" s="16">
        <f t="shared" si="247"/>
        <v>233.55865990838251</v>
      </c>
      <c r="AC2264" s="16">
        <v>0</v>
      </c>
      <c r="AD2264" s="16">
        <v>0</v>
      </c>
      <c r="AE2264" s="16">
        <v>2261</v>
      </c>
      <c r="AF2264" s="16">
        <f>IF(AC2264=0,IF(O2264=6,INDEX(Acceleration!$V$4:$V$110,MATCH('Track Data'!S2264,Acceleration!$K$4:$K$110,0)),IF('Track Data'!O2264=5,INDEX(Acceleration!$U$4:$U$110,MATCH('Track Data'!S2264,Acceleration!$K$4:$K$110,0)),1)),U2264)</f>
        <v>1</v>
      </c>
      <c r="AG2264" s="16">
        <f>IF(AC2264=0,IF(O2264=4,INDEX(Acceleration!$T$4:$T$110,MATCH('Track Data'!S2264,Acceleration!$K$4:$K$110,0)),IF('Track Data'!O2264=3,INDEX(Acceleration!$S$4:$S$110,MATCH('Track Data'!S2264,Acceleration!$K$4:$K$110,0)),'Track Data'!AF2264)),'Track Data'!U2264)</f>
        <v>4.8199451432580522</v>
      </c>
      <c r="AH2264" s="16">
        <f>IF(AC2264=0,IF(O2264=2,INDEX(Acceleration!$R$4:$R$110,MATCH('Track Data'!S2264,Acceleration!$K$4:$K$110,0)),IF('Track Data'!O2264=1,INDEX(Acceleration!$Q$4:$Q$110,MATCH('Track Data'!S2264,Acceleration!$K$4:$K$110,0)),'Track Data'!AG2264)),'Track Data'!U2264)</f>
        <v>4.8199451432580522</v>
      </c>
    </row>
    <row r="2265" spans="2:34" x14ac:dyDescent="0.25">
      <c r="B2265" s="16">
        <v>254.93299999999999</v>
      </c>
      <c r="C2265" s="16">
        <v>9535</v>
      </c>
      <c r="D2265" s="16">
        <v>2262</v>
      </c>
      <c r="E2265" s="113">
        <v>170</v>
      </c>
      <c r="F2265" s="113">
        <v>169.3</v>
      </c>
      <c r="G2265" s="113">
        <v>166.9</v>
      </c>
      <c r="H2265" s="113">
        <f t="shared" si="250"/>
        <v>46.361111111111114</v>
      </c>
      <c r="I2265" s="113">
        <v>7.3</v>
      </c>
      <c r="J2265" s="113">
        <v>16.93</v>
      </c>
      <c r="K2265" s="113">
        <v>-10.9</v>
      </c>
      <c r="L2265" s="185"/>
      <c r="M2265" s="16">
        <v>2262</v>
      </c>
      <c r="N2265" s="16">
        <f t="shared" si="252"/>
        <v>2.2171942442879101E-2</v>
      </c>
      <c r="O2265" s="16">
        <v>4</v>
      </c>
      <c r="P2265" s="16">
        <f t="shared" si="248"/>
        <v>9.1833785004516724</v>
      </c>
      <c r="Q2265" s="16">
        <f t="shared" si="253"/>
        <v>45.102047444704922</v>
      </c>
      <c r="R2265" s="113">
        <f t="shared" si="249"/>
        <v>329.49099999999999</v>
      </c>
      <c r="S2265" s="16">
        <f>IF(S2264=15800,15800,ROUND((((Q2265*60)/'Gearing Calculator'!$C$14)*'Track Data'!P2265),-2))</f>
        <v>12600</v>
      </c>
      <c r="T2265" s="16">
        <f t="shared" si="251"/>
        <v>4.8192435869194066</v>
      </c>
      <c r="U2265" s="16">
        <f>IF(AC2265=100,Braking!$AG$2354,IF(AC2265=50,Braking!$AG$1179,IF(AC2265=75,Braking!$AG$1767,0)))</f>
        <v>0</v>
      </c>
      <c r="V2265" s="16">
        <f>0.5*'Gearing Calculator'!$C$15*'Gearing Calculator'!$C$20*'Gearing Calculator'!$W$20*('Track Data'!Q2265^2)</f>
        <v>215.29916532327513</v>
      </c>
      <c r="W2265" s="16">
        <f>('Gearing Calculator'!$U$9*'Track Data'!T2265)+'Track Data'!V2265</f>
        <v>1498.1818081612209</v>
      </c>
      <c r="X2265" s="16">
        <f>('Gearing Calculator'!$U$9*9.81)*('Gearing Calculator'!$U$16/'Gearing Calculator'!$C$7)-(('Track Data'!W2265)*('Gearing Calculator'!$U$17/'Gearing Calculator'!$C$7))</f>
        <v>584.55089812353378</v>
      </c>
      <c r="Y2265" s="16">
        <f>('Gearing Calculator'!$U$9*9.81)*(('Gearing Calculator'!$C$7-'Gearing Calculator'!$U$16)/'Gearing Calculator'!$C$7)+(('Track Data'!W2265)*('Gearing Calculator'!$U$17/'Gearing Calculator'!$C$7))</f>
        <v>2026.8711018764661</v>
      </c>
      <c r="Z2265" s="16">
        <f>((X2265*COS('Gearing Calculator'!$C$21))/'Gearing Calculator'!$C$22)/2</f>
        <v>18.072464993002232</v>
      </c>
      <c r="AA2265" s="16">
        <f>Y2265/'Gearing Calculator'!$C$24</f>
        <v>28.301918801489848</v>
      </c>
      <c r="AB2265" s="16">
        <f t="shared" si="247"/>
        <v>234.57613967095276</v>
      </c>
      <c r="AC2265" s="16">
        <v>0</v>
      </c>
      <c r="AD2265" s="16">
        <v>0</v>
      </c>
      <c r="AE2265" s="16">
        <v>2262</v>
      </c>
      <c r="AF2265" s="16">
        <f>IF(AC2265=0,IF(O2265=6,INDEX(Acceleration!$V$4:$V$110,MATCH('Track Data'!S2265,Acceleration!$K$4:$K$110,0)),IF('Track Data'!O2265=5,INDEX(Acceleration!$U$4:$U$110,MATCH('Track Data'!S2265,Acceleration!$K$4:$K$110,0)),1)),U2265)</f>
        <v>1</v>
      </c>
      <c r="AG2265" s="16">
        <f>IF(AC2265=0,IF(O2265=4,INDEX(Acceleration!$T$4:$T$110,MATCH('Track Data'!S2265,Acceleration!$K$4:$K$110,0)),IF('Track Data'!O2265=3,INDEX(Acceleration!$S$4:$S$110,MATCH('Track Data'!S2265,Acceleration!$K$4:$K$110,0)),'Track Data'!AF2265)),'Track Data'!U2265)</f>
        <v>4.8192435869194066</v>
      </c>
      <c r="AH2265" s="16">
        <f>IF(AC2265=0,IF(O2265=2,INDEX(Acceleration!$R$4:$R$110,MATCH('Track Data'!S2265,Acceleration!$K$4:$K$110,0)),IF('Track Data'!O2265=1,INDEX(Acceleration!$Q$4:$Q$110,MATCH('Track Data'!S2265,Acceleration!$K$4:$K$110,0)),'Track Data'!AG2265)),'Track Data'!U2265)</f>
        <v>4.8192435869194066</v>
      </c>
    </row>
    <row r="2266" spans="2:34" x14ac:dyDescent="0.25">
      <c r="B2266" s="16">
        <v>254.95400000000001</v>
      </c>
      <c r="C2266" s="16">
        <v>9536</v>
      </c>
      <c r="D2266" s="16">
        <v>2263</v>
      </c>
      <c r="E2266" s="113">
        <v>171</v>
      </c>
      <c r="F2266" s="113">
        <v>169.6</v>
      </c>
      <c r="G2266" s="113">
        <v>167.2</v>
      </c>
      <c r="H2266" s="113">
        <f t="shared" si="250"/>
        <v>46.444444444444443</v>
      </c>
      <c r="I2266" s="113">
        <v>6.3</v>
      </c>
      <c r="J2266" s="113">
        <v>19.11</v>
      </c>
      <c r="K2266" s="113">
        <v>-11.5</v>
      </c>
      <c r="L2266" s="185"/>
      <c r="M2266" s="16">
        <v>2263</v>
      </c>
      <c r="N2266" s="16">
        <f t="shared" si="252"/>
        <v>2.2119600467827412E-2</v>
      </c>
      <c r="O2266" s="16">
        <v>4</v>
      </c>
      <c r="P2266" s="16">
        <f t="shared" si="248"/>
        <v>9.1833785004516724</v>
      </c>
      <c r="Q2266" s="16">
        <f t="shared" si="253"/>
        <v>45.208773162719787</v>
      </c>
      <c r="R2266" s="113">
        <f t="shared" si="249"/>
        <v>329.49099999999999</v>
      </c>
      <c r="S2266" s="16">
        <f>IF(S2265=15800,15800,ROUND((((Q2266*60)/'Gearing Calculator'!$C$14)*'Track Data'!P2266),-2))</f>
        <v>12600</v>
      </c>
      <c r="T2266" s="16">
        <f t="shared" si="251"/>
        <v>4.8192435869194066</v>
      </c>
      <c r="U2266" s="16">
        <f>IF(AC2266=100,Braking!$AG$2354,IF(AC2266=50,Braking!$AG$1179,IF(AC2266=75,Braking!$AG$1767,0)))</f>
        <v>0</v>
      </c>
      <c r="V2266" s="16">
        <f>0.5*'Gearing Calculator'!$C$15*'Gearing Calculator'!$C$20*'Gearing Calculator'!$W$20*('Track Data'!Q2266^2)</f>
        <v>216.31930280575426</v>
      </c>
      <c r="W2266" s="16">
        <f>('Gearing Calculator'!$U$9*'Track Data'!T2266)+'Track Data'!V2266</f>
        <v>1499.2019456437001</v>
      </c>
      <c r="X2266" s="16">
        <f>('Gearing Calculator'!$U$9*9.81)*('Gearing Calculator'!$U$16/'Gearing Calculator'!$C$7)-(('Track Data'!W2266)*('Gearing Calculator'!$U$17/'Gearing Calculator'!$C$7))</f>
        <v>583.99485352658564</v>
      </c>
      <c r="Y2266" s="16">
        <f>('Gearing Calculator'!$U$9*9.81)*(('Gearing Calculator'!$C$7-'Gearing Calculator'!$U$16)/'Gearing Calculator'!$C$7)+(('Track Data'!W2266)*('Gearing Calculator'!$U$17/'Gearing Calculator'!$C$7))</f>
        <v>2027.4271464734143</v>
      </c>
      <c r="Z2266" s="16">
        <f>((X2266*COS('Gearing Calculator'!$C$21))/'Gearing Calculator'!$C$22)/2</f>
        <v>18.055273852683822</v>
      </c>
      <c r="AA2266" s="16">
        <f>Y2266/'Gearing Calculator'!$C$24</f>
        <v>28.309683049062507</v>
      </c>
      <c r="AB2266" s="16">
        <f t="shared" si="247"/>
        <v>235.59627715343188</v>
      </c>
      <c r="AC2266" s="16">
        <v>0</v>
      </c>
      <c r="AD2266" s="16">
        <v>0</v>
      </c>
      <c r="AE2266" s="16">
        <v>2263</v>
      </c>
      <c r="AF2266" s="16">
        <f>IF(AC2266=0,IF(O2266=6,INDEX(Acceleration!$V$4:$V$110,MATCH('Track Data'!S2266,Acceleration!$K$4:$K$110,0)),IF('Track Data'!O2266=5,INDEX(Acceleration!$U$4:$U$110,MATCH('Track Data'!S2266,Acceleration!$K$4:$K$110,0)),1)),U2266)</f>
        <v>1</v>
      </c>
      <c r="AG2266" s="16">
        <f>IF(AC2266=0,IF(O2266=4,INDEX(Acceleration!$T$4:$T$110,MATCH('Track Data'!S2266,Acceleration!$K$4:$K$110,0)),IF('Track Data'!O2266=3,INDEX(Acceleration!$S$4:$S$110,MATCH('Track Data'!S2266,Acceleration!$K$4:$K$110,0)),'Track Data'!AF2266)),'Track Data'!U2266)</f>
        <v>4.8192435869194066</v>
      </c>
      <c r="AH2266" s="16">
        <f>IF(AC2266=0,IF(O2266=2,INDEX(Acceleration!$R$4:$R$110,MATCH('Track Data'!S2266,Acceleration!$K$4:$K$110,0)),IF('Track Data'!O2266=1,INDEX(Acceleration!$Q$4:$Q$110,MATCH('Track Data'!S2266,Acceleration!$K$4:$K$110,0)),'Track Data'!AG2266)),'Track Data'!U2266)</f>
        <v>4.8192435869194066</v>
      </c>
    </row>
    <row r="2267" spans="2:34" x14ac:dyDescent="0.25">
      <c r="B2267" s="16">
        <v>254.976</v>
      </c>
      <c r="C2267" s="16">
        <v>9537</v>
      </c>
      <c r="D2267" s="16">
        <v>2264</v>
      </c>
      <c r="E2267" s="113">
        <v>171</v>
      </c>
      <c r="F2267" s="113">
        <v>169.6</v>
      </c>
      <c r="G2267" s="113">
        <v>167.5</v>
      </c>
      <c r="H2267" s="113">
        <f t="shared" si="250"/>
        <v>46.527777777777779</v>
      </c>
      <c r="I2267" s="113">
        <v>6.1</v>
      </c>
      <c r="J2267" s="113">
        <v>20.52</v>
      </c>
      <c r="K2267" s="113">
        <v>-11.8</v>
      </c>
      <c r="L2267" s="185"/>
      <c r="M2267" s="16">
        <v>2264</v>
      </c>
      <c r="N2267" s="16">
        <f t="shared" si="252"/>
        <v>2.20676274469645E-2</v>
      </c>
      <c r="O2267" s="16">
        <v>4</v>
      </c>
      <c r="P2267" s="16">
        <f t="shared" si="248"/>
        <v>9.1833785004516724</v>
      </c>
      <c r="Q2267" s="16">
        <f t="shared" si="253"/>
        <v>45.315247522794046</v>
      </c>
      <c r="R2267" s="113">
        <f t="shared" si="249"/>
        <v>329.49099999999999</v>
      </c>
      <c r="S2267" s="16">
        <f>IF(S2266=15800,15800,ROUND((((Q2267*60)/'Gearing Calculator'!$C$14)*'Track Data'!P2267),-2))</f>
        <v>12600</v>
      </c>
      <c r="T2267" s="16">
        <f t="shared" si="251"/>
        <v>4.8192435869194066</v>
      </c>
      <c r="U2267" s="16">
        <f>IF(AC2267=100,Braking!$AG$2354,IF(AC2267=50,Braking!$AG$1179,IF(AC2267=75,Braking!$AG$1767,0)))</f>
        <v>0</v>
      </c>
      <c r="V2267" s="16">
        <f>0.5*'Gearing Calculator'!$C$15*'Gearing Calculator'!$C$20*'Gearing Calculator'!$W$20*('Track Data'!Q2267^2)</f>
        <v>217.33944028823336</v>
      </c>
      <c r="W2267" s="16">
        <f>('Gearing Calculator'!$U$9*'Track Data'!T2267)+'Track Data'!V2267</f>
        <v>1500.2220831261793</v>
      </c>
      <c r="X2267" s="16">
        <f>('Gearing Calculator'!$U$9*9.81)*('Gearing Calculator'!$U$16/'Gearing Calculator'!$C$7)-(('Track Data'!W2267)*('Gearing Calculator'!$U$17/'Gearing Calculator'!$C$7))</f>
        <v>583.4388089296375</v>
      </c>
      <c r="Y2267" s="16">
        <f>('Gearing Calculator'!$U$9*9.81)*(('Gearing Calculator'!$C$7-'Gearing Calculator'!$U$16)/'Gearing Calculator'!$C$7)+(('Track Data'!W2267)*('Gearing Calculator'!$U$17/'Gearing Calculator'!$C$7))</f>
        <v>2027.9831910703624</v>
      </c>
      <c r="Z2267" s="16">
        <f>((X2267*COS('Gearing Calculator'!$C$21))/'Gearing Calculator'!$C$22)/2</f>
        <v>18.038082712365412</v>
      </c>
      <c r="AA2267" s="16">
        <f>Y2267/'Gearing Calculator'!$C$24</f>
        <v>28.317447296635162</v>
      </c>
      <c r="AB2267" s="16">
        <f t="shared" si="247"/>
        <v>236.61641463591098</v>
      </c>
      <c r="AC2267" s="16">
        <v>0</v>
      </c>
      <c r="AD2267" s="16">
        <v>0</v>
      </c>
      <c r="AE2267" s="16">
        <v>2264</v>
      </c>
      <c r="AF2267" s="16">
        <f>IF(AC2267=0,IF(O2267=6,INDEX(Acceleration!$V$4:$V$110,MATCH('Track Data'!S2267,Acceleration!$K$4:$K$110,0)),IF('Track Data'!O2267=5,INDEX(Acceleration!$U$4:$U$110,MATCH('Track Data'!S2267,Acceleration!$K$4:$K$110,0)),1)),U2267)</f>
        <v>1</v>
      </c>
      <c r="AG2267" s="16">
        <f>IF(AC2267=0,IF(O2267=4,INDEX(Acceleration!$T$4:$T$110,MATCH('Track Data'!S2267,Acceleration!$K$4:$K$110,0)),IF('Track Data'!O2267=3,INDEX(Acceleration!$S$4:$S$110,MATCH('Track Data'!S2267,Acceleration!$K$4:$K$110,0)),'Track Data'!AF2267)),'Track Data'!U2267)</f>
        <v>4.8192435869194066</v>
      </c>
      <c r="AH2267" s="16">
        <f>IF(AC2267=0,IF(O2267=2,INDEX(Acceleration!$R$4:$R$110,MATCH('Track Data'!S2267,Acceleration!$K$4:$K$110,0)),IF('Track Data'!O2267=1,INDEX(Acceleration!$Q$4:$Q$110,MATCH('Track Data'!S2267,Acceleration!$K$4:$K$110,0)),'Track Data'!AG2267)),'Track Data'!U2267)</f>
        <v>4.8192435869194066</v>
      </c>
    </row>
    <row r="2268" spans="2:34" x14ac:dyDescent="0.25">
      <c r="B2268" s="16">
        <v>254.99700000000001</v>
      </c>
      <c r="C2268" s="16">
        <v>9538</v>
      </c>
      <c r="D2268" s="16">
        <v>2265</v>
      </c>
      <c r="E2268" s="113">
        <v>171</v>
      </c>
      <c r="F2268" s="113">
        <v>169.4</v>
      </c>
      <c r="G2268" s="113">
        <v>167.8</v>
      </c>
      <c r="H2268" s="113">
        <f t="shared" si="250"/>
        <v>46.611111111111114</v>
      </c>
      <c r="I2268" s="113">
        <v>6.5</v>
      </c>
      <c r="J2268" s="113">
        <v>19.28</v>
      </c>
      <c r="K2268" s="113">
        <v>-11.8</v>
      </c>
      <c r="L2268" s="185"/>
      <c r="M2268" s="16">
        <v>2265</v>
      </c>
      <c r="N2268" s="16">
        <f t="shared" si="252"/>
        <v>2.2016019066015215E-2</v>
      </c>
      <c r="O2268" s="16">
        <v>4</v>
      </c>
      <c r="P2268" s="16">
        <f t="shared" si="248"/>
        <v>9.1833785004516724</v>
      </c>
      <c r="Q2268" s="16">
        <f t="shared" si="253"/>
        <v>45.421472292583495</v>
      </c>
      <c r="R2268" s="113">
        <f t="shared" si="249"/>
        <v>329.49099999999999</v>
      </c>
      <c r="S2268" s="16">
        <f>IF(S2267=15800,15800,ROUND((((Q2268*60)/'Gearing Calculator'!$C$14)*'Track Data'!P2268),-2))</f>
        <v>12600</v>
      </c>
      <c r="T2268" s="16">
        <f t="shared" si="251"/>
        <v>4.8192435869194066</v>
      </c>
      <c r="U2268" s="16">
        <f>IF(AC2268=100,Braking!$AG$2354,IF(AC2268=50,Braking!$AG$1179,IF(AC2268=75,Braking!$AG$1767,0)))</f>
        <v>0</v>
      </c>
      <c r="V2268" s="16">
        <f>0.5*'Gearing Calculator'!$C$15*'Gearing Calculator'!$C$20*'Gearing Calculator'!$W$20*('Track Data'!Q2268^2)</f>
        <v>218.35957777071241</v>
      </c>
      <c r="W2268" s="16">
        <f>('Gearing Calculator'!$U$9*'Track Data'!T2268)+'Track Data'!V2268</f>
        <v>1501.2422206086583</v>
      </c>
      <c r="X2268" s="16">
        <f>('Gearing Calculator'!$U$9*9.81)*('Gearing Calculator'!$U$16/'Gearing Calculator'!$C$7)-(('Track Data'!W2268)*('Gearing Calculator'!$U$17/'Gearing Calculator'!$C$7))</f>
        <v>582.88276433268948</v>
      </c>
      <c r="Y2268" s="16">
        <f>('Gearing Calculator'!$U$9*9.81)*(('Gearing Calculator'!$C$7-'Gearing Calculator'!$U$16)/'Gearing Calculator'!$C$7)+(('Track Data'!W2268)*('Gearing Calculator'!$U$17/'Gearing Calculator'!$C$7))</f>
        <v>2028.5392356673105</v>
      </c>
      <c r="Z2268" s="16">
        <f>((X2268*COS('Gearing Calculator'!$C$21))/'Gearing Calculator'!$C$22)/2</f>
        <v>18.02089157204701</v>
      </c>
      <c r="AA2268" s="16">
        <f>Y2268/'Gearing Calculator'!$C$24</f>
        <v>28.325211544207821</v>
      </c>
      <c r="AB2268" s="16">
        <f t="shared" si="247"/>
        <v>237.63655211839003</v>
      </c>
      <c r="AC2268" s="16">
        <v>0</v>
      </c>
      <c r="AD2268" s="16">
        <v>0</v>
      </c>
      <c r="AE2268" s="16">
        <v>2265</v>
      </c>
      <c r="AF2268" s="16">
        <f>IF(AC2268=0,IF(O2268=6,INDEX(Acceleration!$V$4:$V$110,MATCH('Track Data'!S2268,Acceleration!$K$4:$K$110,0)),IF('Track Data'!O2268=5,INDEX(Acceleration!$U$4:$U$110,MATCH('Track Data'!S2268,Acceleration!$K$4:$K$110,0)),1)),U2268)</f>
        <v>1</v>
      </c>
      <c r="AG2268" s="16">
        <f>IF(AC2268=0,IF(O2268=4,INDEX(Acceleration!$T$4:$T$110,MATCH('Track Data'!S2268,Acceleration!$K$4:$K$110,0)),IF('Track Data'!O2268=3,INDEX(Acceleration!$S$4:$S$110,MATCH('Track Data'!S2268,Acceleration!$K$4:$K$110,0)),'Track Data'!AF2268)),'Track Data'!U2268)</f>
        <v>4.8192435869194066</v>
      </c>
      <c r="AH2268" s="16">
        <f>IF(AC2268=0,IF(O2268=2,INDEX(Acceleration!$R$4:$R$110,MATCH('Track Data'!S2268,Acceleration!$K$4:$K$110,0)),IF('Track Data'!O2268=1,INDEX(Acceleration!$Q$4:$Q$110,MATCH('Track Data'!S2268,Acceleration!$K$4:$K$110,0)),'Track Data'!AG2268)),'Track Data'!U2268)</f>
        <v>4.8192435869194066</v>
      </c>
    </row>
    <row r="2269" spans="2:34" x14ac:dyDescent="0.25">
      <c r="B2269" s="16">
        <v>255.018</v>
      </c>
      <c r="C2269" s="16">
        <v>9539</v>
      </c>
      <c r="D2269" s="16">
        <v>2266</v>
      </c>
      <c r="E2269" s="113">
        <v>171</v>
      </c>
      <c r="F2269" s="113">
        <v>169.8</v>
      </c>
      <c r="G2269" s="113">
        <v>168</v>
      </c>
      <c r="H2269" s="113">
        <f t="shared" si="250"/>
        <v>46.666666666666664</v>
      </c>
      <c r="I2269" s="113">
        <v>6.7</v>
      </c>
      <c r="J2269" s="113">
        <v>15.42</v>
      </c>
      <c r="K2269" s="113">
        <v>-11.8</v>
      </c>
      <c r="L2269" s="185"/>
      <c r="M2269" s="16">
        <v>2266</v>
      </c>
      <c r="N2269" s="16">
        <f t="shared" si="252"/>
        <v>2.1964771081002733E-2</v>
      </c>
      <c r="O2269" s="16">
        <v>4</v>
      </c>
      <c r="P2269" s="16">
        <f t="shared" si="248"/>
        <v>9.1833785004516724</v>
      </c>
      <c r="Q2269" s="16">
        <f t="shared" si="253"/>
        <v>45.527449219122396</v>
      </c>
      <c r="R2269" s="113">
        <f t="shared" si="249"/>
        <v>329.49099999999999</v>
      </c>
      <c r="S2269" s="16">
        <f>IF(S2268=15800,15800,ROUND((((Q2269*60)/'Gearing Calculator'!$C$14)*'Track Data'!P2269),-2))</f>
        <v>12700</v>
      </c>
      <c r="T2269" s="16">
        <f t="shared" si="251"/>
        <v>4.8183564077382988</v>
      </c>
      <c r="U2269" s="16">
        <f>IF(AC2269=100,Braking!$AG$2354,IF(AC2269=50,Braking!$AG$1179,IF(AC2269=75,Braking!$AG$1767,0)))</f>
        <v>0</v>
      </c>
      <c r="V2269" s="16">
        <f>0.5*'Gearing Calculator'!$C$15*'Gearing Calculator'!$C$20*'Gearing Calculator'!$W$20*('Track Data'!Q2269^2)</f>
        <v>219.37971525319145</v>
      </c>
      <c r="W2269" s="16">
        <f>('Gearing Calculator'!$U$9*'Track Data'!T2269)+'Track Data'!V2269</f>
        <v>1502.0261909931266</v>
      </c>
      <c r="X2269" s="16">
        <f>('Gearing Calculator'!$U$9*9.81)*('Gearing Calculator'!$U$16/'Gearing Calculator'!$C$7)-(('Track Data'!W2269)*('Gearing Calculator'!$U$17/'Gearing Calculator'!$C$7))</f>
        <v>582.45544693289003</v>
      </c>
      <c r="Y2269" s="16">
        <f>('Gearing Calculator'!$U$9*9.81)*(('Gearing Calculator'!$C$7-'Gearing Calculator'!$U$16)/'Gearing Calculator'!$C$7)+(('Track Data'!W2269)*('Gearing Calculator'!$U$17/'Gearing Calculator'!$C$7))</f>
        <v>2028.96655306711</v>
      </c>
      <c r="Z2269" s="16">
        <f>((X2269*COS('Gearing Calculator'!$C$21))/'Gearing Calculator'!$C$22)/2</f>
        <v>18.007680269535001</v>
      </c>
      <c r="AA2269" s="16">
        <f>Y2269/'Gearing Calculator'!$C$24</f>
        <v>28.331178328351317</v>
      </c>
      <c r="AB2269" s="16">
        <f t="shared" si="247"/>
        <v>238.65314088414465</v>
      </c>
      <c r="AC2269" s="16">
        <v>0</v>
      </c>
      <c r="AD2269" s="16">
        <v>0</v>
      </c>
      <c r="AE2269" s="16">
        <v>2266</v>
      </c>
      <c r="AF2269" s="16">
        <f>IF(AC2269=0,IF(O2269=6,INDEX(Acceleration!$V$4:$V$110,MATCH('Track Data'!S2269,Acceleration!$K$4:$K$110,0)),IF('Track Data'!O2269=5,INDEX(Acceleration!$U$4:$U$110,MATCH('Track Data'!S2269,Acceleration!$K$4:$K$110,0)),1)),U2269)</f>
        <v>1</v>
      </c>
      <c r="AG2269" s="16">
        <f>IF(AC2269=0,IF(O2269=4,INDEX(Acceleration!$T$4:$T$110,MATCH('Track Data'!S2269,Acceleration!$K$4:$K$110,0)),IF('Track Data'!O2269=3,INDEX(Acceleration!$S$4:$S$110,MATCH('Track Data'!S2269,Acceleration!$K$4:$K$110,0)),'Track Data'!AF2269)),'Track Data'!U2269)</f>
        <v>4.8183564077382988</v>
      </c>
      <c r="AH2269" s="16">
        <f>IF(AC2269=0,IF(O2269=2,INDEX(Acceleration!$R$4:$R$110,MATCH('Track Data'!S2269,Acceleration!$K$4:$K$110,0)),IF('Track Data'!O2269=1,INDEX(Acceleration!$Q$4:$Q$110,MATCH('Track Data'!S2269,Acceleration!$K$4:$K$110,0)),'Track Data'!AG2269)),'Track Data'!U2269)</f>
        <v>4.8183564077382988</v>
      </c>
    </row>
    <row r="2270" spans="2:34" x14ac:dyDescent="0.25">
      <c r="B2270" s="16">
        <v>255.03899999999999</v>
      </c>
      <c r="C2270" s="16">
        <v>9540</v>
      </c>
      <c r="D2270" s="16">
        <v>2267</v>
      </c>
      <c r="E2270" s="113">
        <v>172</v>
      </c>
      <c r="F2270" s="113">
        <v>170.4</v>
      </c>
      <c r="G2270" s="113">
        <v>168.3</v>
      </c>
      <c r="H2270" s="113">
        <f t="shared" si="250"/>
        <v>46.75</v>
      </c>
      <c r="I2270" s="113">
        <v>6.1</v>
      </c>
      <c r="J2270" s="113">
        <v>13.22</v>
      </c>
      <c r="K2270" s="113">
        <v>-11.8</v>
      </c>
      <c r="L2270" s="185"/>
      <c r="M2270" s="16">
        <v>2267</v>
      </c>
      <c r="N2270" s="16">
        <f t="shared" si="252"/>
        <v>2.1913888652966961E-2</v>
      </c>
      <c r="O2270" s="16">
        <v>4</v>
      </c>
      <c r="P2270" s="16">
        <f t="shared" si="248"/>
        <v>9.1833785004516724</v>
      </c>
      <c r="Q2270" s="16">
        <f t="shared" si="253"/>
        <v>45.633160587617034</v>
      </c>
      <c r="R2270" s="113">
        <f t="shared" si="249"/>
        <v>329.49099999999999</v>
      </c>
      <c r="S2270" s="16">
        <f>IF(S2269=15800,15800,ROUND((((Q2270*60)/'Gearing Calculator'!$C$14)*'Track Data'!P2270),-2))</f>
        <v>12700</v>
      </c>
      <c r="T2270" s="16">
        <f t="shared" si="251"/>
        <v>4.8183564077382988</v>
      </c>
      <c r="U2270" s="16">
        <f>IF(AC2270=100,Braking!$AG$2354,IF(AC2270=50,Braking!$AG$1179,IF(AC2270=75,Braking!$AG$1767,0)))</f>
        <v>0</v>
      </c>
      <c r="V2270" s="16">
        <f>0.5*'Gearing Calculator'!$C$15*'Gearing Calculator'!$C$20*'Gearing Calculator'!$W$20*('Track Data'!Q2270^2)</f>
        <v>220.39966493758149</v>
      </c>
      <c r="W2270" s="16">
        <f>('Gearing Calculator'!$U$9*'Track Data'!T2270)+'Track Data'!V2270</f>
        <v>1503.0461406775166</v>
      </c>
      <c r="X2270" s="16">
        <f>('Gearing Calculator'!$U$9*9.81)*('Gearing Calculator'!$U$16/'Gearing Calculator'!$C$7)-(('Track Data'!W2270)*('Gearing Calculator'!$U$17/'Gearing Calculator'!$C$7))</f>
        <v>581.89950469872588</v>
      </c>
      <c r="Y2270" s="16">
        <f>('Gearing Calculator'!$U$9*9.81)*(('Gearing Calculator'!$C$7-'Gearing Calculator'!$U$16)/'Gearing Calculator'!$C$7)+(('Track Data'!W2270)*('Gearing Calculator'!$U$17/'Gearing Calculator'!$C$7))</f>
        <v>2029.5224953012741</v>
      </c>
      <c r="Z2270" s="16">
        <f>((X2270*COS('Gearing Calculator'!$C$21))/'Gearing Calculator'!$C$22)/2</f>
        <v>17.990492293950126</v>
      </c>
      <c r="AA2270" s="16">
        <f>Y2270/'Gearing Calculator'!$C$24</f>
        <v>28.338941146596181</v>
      </c>
      <c r="AB2270" s="16">
        <f t="shared" si="247"/>
        <v>239.67309056853469</v>
      </c>
      <c r="AC2270" s="16">
        <v>0</v>
      </c>
      <c r="AD2270" s="16">
        <v>0</v>
      </c>
      <c r="AE2270" s="16">
        <v>2267</v>
      </c>
      <c r="AF2270" s="16">
        <f>IF(AC2270=0,IF(O2270=6,INDEX(Acceleration!$V$4:$V$110,MATCH('Track Data'!S2270,Acceleration!$K$4:$K$110,0)),IF('Track Data'!O2270=5,INDEX(Acceleration!$U$4:$U$110,MATCH('Track Data'!S2270,Acceleration!$K$4:$K$110,0)),1)),U2270)</f>
        <v>1</v>
      </c>
      <c r="AG2270" s="16">
        <f>IF(AC2270=0,IF(O2270=4,INDEX(Acceleration!$T$4:$T$110,MATCH('Track Data'!S2270,Acceleration!$K$4:$K$110,0)),IF('Track Data'!O2270=3,INDEX(Acceleration!$S$4:$S$110,MATCH('Track Data'!S2270,Acceleration!$K$4:$K$110,0)),'Track Data'!AF2270)),'Track Data'!U2270)</f>
        <v>4.8183564077382988</v>
      </c>
      <c r="AH2270" s="16">
        <f>IF(AC2270=0,IF(O2270=2,INDEX(Acceleration!$R$4:$R$110,MATCH('Track Data'!S2270,Acceleration!$K$4:$K$110,0)),IF('Track Data'!O2270=1,INDEX(Acceleration!$Q$4:$Q$110,MATCH('Track Data'!S2270,Acceleration!$K$4:$K$110,0)),'Track Data'!AG2270)),'Track Data'!U2270)</f>
        <v>4.8183564077382988</v>
      </c>
    </row>
    <row r="2271" spans="2:34" x14ac:dyDescent="0.25">
      <c r="B2271" s="16">
        <v>255.06</v>
      </c>
      <c r="C2271" s="16">
        <v>9541</v>
      </c>
      <c r="D2271" s="16">
        <v>2268</v>
      </c>
      <c r="E2271" s="113">
        <v>173</v>
      </c>
      <c r="F2271" s="113">
        <v>170.4</v>
      </c>
      <c r="G2271" s="113">
        <v>168.8</v>
      </c>
      <c r="H2271" s="113">
        <f t="shared" si="250"/>
        <v>46.888888888888893</v>
      </c>
      <c r="I2271" s="113">
        <v>3</v>
      </c>
      <c r="J2271" s="113">
        <v>15.26</v>
      </c>
      <c r="K2271" s="113">
        <v>-11.8</v>
      </c>
      <c r="L2271" s="185"/>
      <c r="M2271" s="16">
        <v>2268</v>
      </c>
      <c r="N2271" s="16">
        <f t="shared" si="252"/>
        <v>2.1863358209100948E-2</v>
      </c>
      <c r="O2271" s="16">
        <v>4</v>
      </c>
      <c r="P2271" s="16">
        <f t="shared" si="248"/>
        <v>9.1833785004516724</v>
      </c>
      <c r="Q2271" s="16">
        <f t="shared" si="253"/>
        <v>45.738627636066227</v>
      </c>
      <c r="R2271" s="113">
        <f t="shared" si="249"/>
        <v>329.49099999999999</v>
      </c>
      <c r="S2271" s="16">
        <f>IF(S2270=15800,15800,ROUND((((Q2271*60)/'Gearing Calculator'!$C$14)*'Track Data'!P2271),-2))</f>
        <v>12700</v>
      </c>
      <c r="T2271" s="16">
        <f t="shared" si="251"/>
        <v>4.8183564077382988</v>
      </c>
      <c r="U2271" s="16">
        <f>IF(AC2271=100,Braking!$AG$2354,IF(AC2271=50,Braking!$AG$1179,IF(AC2271=75,Braking!$AG$1767,0)))</f>
        <v>0</v>
      </c>
      <c r="V2271" s="16">
        <f>0.5*'Gearing Calculator'!$C$15*'Gearing Calculator'!$C$20*'Gearing Calculator'!$W$20*('Track Data'!Q2271^2)</f>
        <v>221.41961462197153</v>
      </c>
      <c r="W2271" s="16">
        <f>('Gearing Calculator'!$U$9*'Track Data'!T2271)+'Track Data'!V2271</f>
        <v>1504.0660903619066</v>
      </c>
      <c r="X2271" s="16">
        <f>('Gearing Calculator'!$U$9*9.81)*('Gearing Calculator'!$U$16/'Gearing Calculator'!$C$7)-(('Track Data'!W2271)*('Gearing Calculator'!$U$17/'Gearing Calculator'!$C$7))</f>
        <v>581.34356246456173</v>
      </c>
      <c r="Y2271" s="16">
        <f>('Gearing Calculator'!$U$9*9.81)*(('Gearing Calculator'!$C$7-'Gearing Calculator'!$U$16)/'Gearing Calculator'!$C$7)+(('Track Data'!W2271)*('Gearing Calculator'!$U$17/'Gearing Calculator'!$C$7))</f>
        <v>2030.0784375354383</v>
      </c>
      <c r="Z2271" s="16">
        <f>((X2271*COS('Gearing Calculator'!$C$21))/'Gearing Calculator'!$C$22)/2</f>
        <v>17.973304318365255</v>
      </c>
      <c r="AA2271" s="16">
        <f>Y2271/'Gearing Calculator'!$C$24</f>
        <v>28.346703964841044</v>
      </c>
      <c r="AB2271" s="16">
        <f t="shared" si="247"/>
        <v>240.69304025292473</v>
      </c>
      <c r="AC2271" s="16">
        <v>0</v>
      </c>
      <c r="AD2271" s="16">
        <v>0</v>
      </c>
      <c r="AE2271" s="16">
        <v>2268</v>
      </c>
      <c r="AF2271" s="16">
        <f>IF(AC2271=0,IF(O2271=6,INDEX(Acceleration!$V$4:$V$110,MATCH('Track Data'!S2271,Acceleration!$K$4:$K$110,0)),IF('Track Data'!O2271=5,INDEX(Acceleration!$U$4:$U$110,MATCH('Track Data'!S2271,Acceleration!$K$4:$K$110,0)),1)),U2271)</f>
        <v>1</v>
      </c>
      <c r="AG2271" s="16">
        <f>IF(AC2271=0,IF(O2271=4,INDEX(Acceleration!$T$4:$T$110,MATCH('Track Data'!S2271,Acceleration!$K$4:$K$110,0)),IF('Track Data'!O2271=3,INDEX(Acceleration!$S$4:$S$110,MATCH('Track Data'!S2271,Acceleration!$K$4:$K$110,0)),'Track Data'!AF2271)),'Track Data'!U2271)</f>
        <v>4.8183564077382988</v>
      </c>
      <c r="AH2271" s="16">
        <f>IF(AC2271=0,IF(O2271=2,INDEX(Acceleration!$R$4:$R$110,MATCH('Track Data'!S2271,Acceleration!$K$4:$K$110,0)),IF('Track Data'!O2271=1,INDEX(Acceleration!$Q$4:$Q$110,MATCH('Track Data'!S2271,Acceleration!$K$4:$K$110,0)),'Track Data'!AG2271)),'Track Data'!U2271)</f>
        <v>4.8183564077382988</v>
      </c>
    </row>
    <row r="2272" spans="2:34" x14ac:dyDescent="0.25">
      <c r="B2272" s="16">
        <v>255.08099999999999</v>
      </c>
      <c r="C2272" s="16">
        <v>9542</v>
      </c>
      <c r="D2272" s="16">
        <v>2269</v>
      </c>
      <c r="E2272" s="113">
        <v>174</v>
      </c>
      <c r="F2272" s="113">
        <v>170.2</v>
      </c>
      <c r="G2272" s="113">
        <v>169.1</v>
      </c>
      <c r="H2272" s="113">
        <f t="shared" si="250"/>
        <v>46.972222222222221</v>
      </c>
      <c r="I2272" s="113">
        <v>2.5</v>
      </c>
      <c r="J2272" s="113">
        <v>14.8</v>
      </c>
      <c r="K2272" s="113">
        <v>-11.8</v>
      </c>
      <c r="L2272" s="185"/>
      <c r="M2272" s="16">
        <v>2269</v>
      </c>
      <c r="N2272" s="16">
        <f t="shared" si="252"/>
        <v>2.1813175709888798E-2</v>
      </c>
      <c r="O2272" s="16">
        <v>4</v>
      </c>
      <c r="P2272" s="16">
        <f t="shared" si="248"/>
        <v>9.1833785004516724</v>
      </c>
      <c r="Q2272" s="16">
        <f t="shared" si="253"/>
        <v>45.843852050697024</v>
      </c>
      <c r="R2272" s="113">
        <f t="shared" si="249"/>
        <v>329.49099999999999</v>
      </c>
      <c r="S2272" s="16">
        <f>IF(S2271=15800,15800,ROUND((((Q2272*60)/'Gearing Calculator'!$C$14)*'Track Data'!P2272),-2))</f>
        <v>12800</v>
      </c>
      <c r="T2272" s="16">
        <f t="shared" si="251"/>
        <v>4.792705712495037</v>
      </c>
      <c r="U2272" s="16">
        <f>IF(AC2272=100,Braking!$AG$2354,IF(AC2272=50,Braking!$AG$1179,IF(AC2272=75,Braking!$AG$1767,0)))</f>
        <v>0</v>
      </c>
      <c r="V2272" s="16">
        <f>0.5*'Gearing Calculator'!$C$15*'Gearing Calculator'!$C$20*'Gearing Calculator'!$W$20*('Track Data'!Q2272^2)</f>
        <v>222.43956430636152</v>
      </c>
      <c r="W2272" s="16">
        <f>('Gearing Calculator'!$U$9*'Track Data'!T2272)+'Track Data'!V2272</f>
        <v>1498.2578249725402</v>
      </c>
      <c r="X2272" s="16">
        <f>('Gearing Calculator'!$U$9*9.81)*('Gearing Calculator'!$U$16/'Gearing Calculator'!$C$7)-(('Track Data'!W2272)*('Gearing Calculator'!$U$17/'Gearing Calculator'!$C$7))</f>
        <v>584.50946376989293</v>
      </c>
      <c r="Y2272" s="16">
        <f>('Gearing Calculator'!$U$9*9.81)*(('Gearing Calculator'!$C$7-'Gearing Calculator'!$U$16)/'Gearing Calculator'!$C$7)+(('Track Data'!W2272)*('Gearing Calculator'!$U$17/'Gearing Calculator'!$C$7))</f>
        <v>2026.912536230107</v>
      </c>
      <c r="Z2272" s="16">
        <f>((X2272*COS('Gearing Calculator'!$C$21))/'Gearing Calculator'!$C$22)/2</f>
        <v>18.07118397383335</v>
      </c>
      <c r="AA2272" s="16">
        <f>Y2272/'Gearing Calculator'!$C$24</f>
        <v>28.302497364039411</v>
      </c>
      <c r="AB2272" s="16">
        <f t="shared" si="247"/>
        <v>241.61038715634166</v>
      </c>
      <c r="AC2272" s="16">
        <v>0</v>
      </c>
      <c r="AD2272" s="16">
        <v>0</v>
      </c>
      <c r="AE2272" s="16">
        <v>2269</v>
      </c>
      <c r="AF2272" s="16">
        <f>IF(AC2272=0,IF(O2272=6,INDEX(Acceleration!$V$4:$V$110,MATCH('Track Data'!S2272,Acceleration!$K$4:$K$110,0)),IF('Track Data'!O2272=5,INDEX(Acceleration!$U$4:$U$110,MATCH('Track Data'!S2272,Acceleration!$K$4:$K$110,0)),1)),U2272)</f>
        <v>1</v>
      </c>
      <c r="AG2272" s="16">
        <f>IF(AC2272=0,IF(O2272=4,INDEX(Acceleration!$T$4:$T$110,MATCH('Track Data'!S2272,Acceleration!$K$4:$K$110,0)),IF('Track Data'!O2272=3,INDEX(Acceleration!$S$4:$S$110,MATCH('Track Data'!S2272,Acceleration!$K$4:$K$110,0)),'Track Data'!AF2272)),'Track Data'!U2272)</f>
        <v>4.792705712495037</v>
      </c>
      <c r="AH2272" s="16">
        <f>IF(AC2272=0,IF(O2272=2,INDEX(Acceleration!$R$4:$R$110,MATCH('Track Data'!S2272,Acceleration!$K$4:$K$110,0)),IF('Track Data'!O2272=1,INDEX(Acceleration!$Q$4:$Q$110,MATCH('Track Data'!S2272,Acceleration!$K$4:$K$110,0)),'Track Data'!AG2272)),'Track Data'!U2272)</f>
        <v>4.792705712495037</v>
      </c>
    </row>
    <row r="2273" spans="2:34" x14ac:dyDescent="0.25">
      <c r="B2273" s="16">
        <v>255.102</v>
      </c>
      <c r="C2273" s="16">
        <v>9543</v>
      </c>
      <c r="D2273" s="16">
        <v>2270</v>
      </c>
      <c r="E2273" s="113">
        <v>173</v>
      </c>
      <c r="F2273" s="113">
        <v>170.2</v>
      </c>
      <c r="G2273" s="113">
        <v>169.4</v>
      </c>
      <c r="H2273" s="113">
        <f t="shared" si="250"/>
        <v>47.055555555555557</v>
      </c>
      <c r="I2273" s="113">
        <v>2.6</v>
      </c>
      <c r="J2273" s="113">
        <v>13.22</v>
      </c>
      <c r="K2273" s="113">
        <v>-11.8</v>
      </c>
      <c r="L2273" s="185"/>
      <c r="M2273" s="16">
        <v>2270</v>
      </c>
      <c r="N2273" s="16">
        <f t="shared" si="252"/>
        <v>2.1763601593861565E-2</v>
      </c>
      <c r="O2273" s="16">
        <v>4</v>
      </c>
      <c r="P2273" s="16">
        <f t="shared" si="248"/>
        <v>9.1833785004516724</v>
      </c>
      <c r="Q2273" s="16">
        <f t="shared" si="253"/>
        <v>45.948277250308173</v>
      </c>
      <c r="R2273" s="113">
        <f t="shared" si="249"/>
        <v>329.49099999999999</v>
      </c>
      <c r="S2273" s="16">
        <f>IF(S2272=15800,15800,ROUND((((Q2273*60)/'Gearing Calculator'!$C$14)*'Track Data'!P2273),-2))</f>
        <v>12800</v>
      </c>
      <c r="T2273" s="16">
        <f t="shared" si="251"/>
        <v>4.792705712495037</v>
      </c>
      <c r="U2273" s="16">
        <f>IF(AC2273=100,Braking!$AG$2354,IF(AC2273=50,Braking!$AG$1179,IF(AC2273=75,Braking!$AG$1767,0)))</f>
        <v>0</v>
      </c>
      <c r="V2273" s="16">
        <f>0.5*'Gearing Calculator'!$C$15*'Gearing Calculator'!$C$20*'Gearing Calculator'!$W$20*('Track Data'!Q2273^2)</f>
        <v>223.45408425158246</v>
      </c>
      <c r="W2273" s="16">
        <f>('Gearing Calculator'!$U$9*'Track Data'!T2273)+'Track Data'!V2273</f>
        <v>1499.2723449177611</v>
      </c>
      <c r="X2273" s="16">
        <f>('Gearing Calculator'!$U$9*9.81)*('Gearing Calculator'!$U$16/'Gearing Calculator'!$C$7)-(('Track Data'!W2273)*('Gearing Calculator'!$U$17/'Gearing Calculator'!$C$7))</f>
        <v>583.95648111439323</v>
      </c>
      <c r="Y2273" s="16">
        <f>('Gearing Calculator'!$U$9*9.81)*(('Gearing Calculator'!$C$7-'Gearing Calculator'!$U$16)/'Gearing Calculator'!$C$7)+(('Track Data'!W2273)*('Gearing Calculator'!$U$17/'Gearing Calculator'!$C$7))</f>
        <v>2027.4655188856068</v>
      </c>
      <c r="Z2273" s="16">
        <f>((X2273*COS('Gearing Calculator'!$C$21))/'Gearing Calculator'!$C$22)/2</f>
        <v>18.054087499060433</v>
      </c>
      <c r="AA2273" s="16">
        <f>Y2273/'Gearing Calculator'!$C$24</f>
        <v>28.310218856639558</v>
      </c>
      <c r="AB2273" s="16">
        <f t="shared" si="247"/>
        <v>242.6249071015626</v>
      </c>
      <c r="AC2273" s="16">
        <v>0</v>
      </c>
      <c r="AD2273" s="16">
        <v>0</v>
      </c>
      <c r="AE2273" s="16">
        <v>2270</v>
      </c>
      <c r="AF2273" s="16">
        <f>IF(AC2273=0,IF(O2273=6,INDEX(Acceleration!$V$4:$V$110,MATCH('Track Data'!S2273,Acceleration!$K$4:$K$110,0)),IF('Track Data'!O2273=5,INDEX(Acceleration!$U$4:$U$110,MATCH('Track Data'!S2273,Acceleration!$K$4:$K$110,0)),1)),U2273)</f>
        <v>1</v>
      </c>
      <c r="AG2273" s="16">
        <f>IF(AC2273=0,IF(O2273=4,INDEX(Acceleration!$T$4:$T$110,MATCH('Track Data'!S2273,Acceleration!$K$4:$K$110,0)),IF('Track Data'!O2273=3,INDEX(Acceleration!$S$4:$S$110,MATCH('Track Data'!S2273,Acceleration!$K$4:$K$110,0)),'Track Data'!AF2273)),'Track Data'!U2273)</f>
        <v>4.792705712495037</v>
      </c>
      <c r="AH2273" s="16">
        <f>IF(AC2273=0,IF(O2273=2,INDEX(Acceleration!$R$4:$R$110,MATCH('Track Data'!S2273,Acceleration!$K$4:$K$110,0)),IF('Track Data'!O2273=1,INDEX(Acceleration!$Q$4:$Q$110,MATCH('Track Data'!S2273,Acceleration!$K$4:$K$110,0)),'Track Data'!AG2273)),'Track Data'!U2273)</f>
        <v>4.792705712495037</v>
      </c>
    </row>
    <row r="2274" spans="2:34" x14ac:dyDescent="0.25">
      <c r="B2274" s="16">
        <v>255.12299999999999</v>
      </c>
      <c r="C2274" s="16">
        <v>9544</v>
      </c>
      <c r="D2274" s="16">
        <v>2271</v>
      </c>
      <c r="E2274" s="113">
        <v>173</v>
      </c>
      <c r="F2274" s="113">
        <v>170.3</v>
      </c>
      <c r="G2274" s="113">
        <v>169.7</v>
      </c>
      <c r="H2274" s="113">
        <f t="shared" si="250"/>
        <v>47.138888888888886</v>
      </c>
      <c r="I2274" s="113">
        <v>3.2</v>
      </c>
      <c r="J2274" s="113">
        <v>9.86</v>
      </c>
      <c r="K2274" s="113">
        <v>-11.3</v>
      </c>
      <c r="L2274" s="185"/>
      <c r="M2274" s="16">
        <v>2271</v>
      </c>
      <c r="N2274" s="16">
        <f t="shared" si="252"/>
        <v>2.171436394535136E-2</v>
      </c>
      <c r="O2274" s="16">
        <v>4</v>
      </c>
      <c r="P2274" s="16">
        <f t="shared" si="248"/>
        <v>9.1833785004516724</v>
      </c>
      <c r="Q2274" s="16">
        <f t="shared" si="253"/>
        <v>46.052465663590453</v>
      </c>
      <c r="R2274" s="113">
        <f t="shared" si="249"/>
        <v>329.49099999999999</v>
      </c>
      <c r="S2274" s="16">
        <f>IF(S2273=15800,15800,ROUND((((Q2274*60)/'Gearing Calculator'!$C$14)*'Track Data'!P2274),-2))</f>
        <v>12800</v>
      </c>
      <c r="T2274" s="16">
        <f t="shared" si="251"/>
        <v>4.792705712495037</v>
      </c>
      <c r="U2274" s="16">
        <f>IF(AC2274=100,Braking!$AG$2354,IF(AC2274=50,Braking!$AG$1179,IF(AC2274=75,Braking!$AG$1767,0)))</f>
        <v>0</v>
      </c>
      <c r="V2274" s="16">
        <f>0.5*'Gearing Calculator'!$C$15*'Gearing Calculator'!$C$20*'Gearing Calculator'!$W$20*('Track Data'!Q2274^2)</f>
        <v>224.46860419680343</v>
      </c>
      <c r="W2274" s="16">
        <f>('Gearing Calculator'!$U$9*'Track Data'!T2274)+'Track Data'!V2274</f>
        <v>1500.2868648629822</v>
      </c>
      <c r="X2274" s="16">
        <f>('Gearing Calculator'!$U$9*9.81)*('Gearing Calculator'!$U$16/'Gearing Calculator'!$C$7)-(('Track Data'!W2274)*('Gearing Calculator'!$U$17/'Gearing Calculator'!$C$7))</f>
        <v>583.4034984588933</v>
      </c>
      <c r="Y2274" s="16">
        <f>('Gearing Calculator'!$U$9*9.81)*(('Gearing Calculator'!$C$7-'Gearing Calculator'!$U$16)/'Gearing Calculator'!$C$7)+(('Track Data'!W2274)*('Gearing Calculator'!$U$17/'Gearing Calculator'!$C$7))</f>
        <v>2028.0185015411066</v>
      </c>
      <c r="Z2274" s="16">
        <f>((X2274*COS('Gearing Calculator'!$C$21))/'Gearing Calculator'!$C$22)/2</f>
        <v>18.036991024287506</v>
      </c>
      <c r="AA2274" s="16">
        <f>Y2274/'Gearing Calculator'!$C$24</f>
        <v>28.317940349239702</v>
      </c>
      <c r="AB2274" s="16">
        <f t="shared" si="247"/>
        <v>243.63942704678357</v>
      </c>
      <c r="AC2274" s="16">
        <v>0</v>
      </c>
      <c r="AD2274" s="16">
        <v>0</v>
      </c>
      <c r="AE2274" s="16">
        <v>2271</v>
      </c>
      <c r="AF2274" s="16">
        <f>IF(AC2274=0,IF(O2274=6,INDEX(Acceleration!$V$4:$V$110,MATCH('Track Data'!S2274,Acceleration!$K$4:$K$110,0)),IF('Track Data'!O2274=5,INDEX(Acceleration!$U$4:$U$110,MATCH('Track Data'!S2274,Acceleration!$K$4:$K$110,0)),1)),U2274)</f>
        <v>1</v>
      </c>
      <c r="AG2274" s="16">
        <f>IF(AC2274=0,IF(O2274=4,INDEX(Acceleration!$T$4:$T$110,MATCH('Track Data'!S2274,Acceleration!$K$4:$K$110,0)),IF('Track Data'!O2274=3,INDEX(Acceleration!$S$4:$S$110,MATCH('Track Data'!S2274,Acceleration!$K$4:$K$110,0)),'Track Data'!AF2274)),'Track Data'!U2274)</f>
        <v>4.792705712495037</v>
      </c>
      <c r="AH2274" s="16">
        <f>IF(AC2274=0,IF(O2274=2,INDEX(Acceleration!$R$4:$R$110,MATCH('Track Data'!S2274,Acceleration!$K$4:$K$110,0)),IF('Track Data'!O2274=1,INDEX(Acceleration!$Q$4:$Q$110,MATCH('Track Data'!S2274,Acceleration!$K$4:$K$110,0)),'Track Data'!AG2274)),'Track Data'!U2274)</f>
        <v>4.792705712495037</v>
      </c>
    </row>
    <row r="2275" spans="2:34" x14ac:dyDescent="0.25">
      <c r="B2275" s="16">
        <v>255.14400000000001</v>
      </c>
      <c r="C2275" s="16">
        <v>9545</v>
      </c>
      <c r="D2275" s="16">
        <v>2272</v>
      </c>
      <c r="E2275" s="113">
        <v>174</v>
      </c>
      <c r="F2275" s="113">
        <v>170.5</v>
      </c>
      <c r="G2275" s="113">
        <v>170</v>
      </c>
      <c r="H2275" s="113">
        <f t="shared" si="250"/>
        <v>47.222222222222221</v>
      </c>
      <c r="I2275" s="113">
        <v>2.9</v>
      </c>
      <c r="J2275" s="113">
        <v>8.7200000000000006</v>
      </c>
      <c r="K2275" s="113">
        <v>-9.1</v>
      </c>
      <c r="L2275" s="185"/>
      <c r="M2275" s="16">
        <v>2272</v>
      </c>
      <c r="N2275" s="16">
        <f t="shared" si="252"/>
        <v>2.1665458975400346E-2</v>
      </c>
      <c r="O2275" s="16">
        <v>4</v>
      </c>
      <c r="P2275" s="16">
        <f t="shared" si="248"/>
        <v>9.1833785004516724</v>
      </c>
      <c r="Q2275" s="16">
        <f t="shared" si="253"/>
        <v>46.156418894029983</v>
      </c>
      <c r="R2275" s="113">
        <f t="shared" si="249"/>
        <v>329.49099999999999</v>
      </c>
      <c r="S2275" s="16">
        <f>IF(S2274=15800,15800,ROUND((((Q2275*60)/'Gearing Calculator'!$C$14)*'Track Data'!P2275),-2))</f>
        <v>12900</v>
      </c>
      <c r="T2275" s="16">
        <f t="shared" si="251"/>
        <v>4.7672560072758658</v>
      </c>
      <c r="U2275" s="16">
        <f>IF(AC2275=100,Braking!$AG$2354,IF(AC2275=50,Braking!$AG$1179,IF(AC2275=75,Braking!$AG$1767,0)))</f>
        <v>0</v>
      </c>
      <c r="V2275" s="16">
        <f>0.5*'Gearing Calculator'!$C$15*'Gearing Calculator'!$C$20*'Gearing Calculator'!$W$20*('Track Data'!Q2275^2)</f>
        <v>225.48312414202442</v>
      </c>
      <c r="W2275" s="16">
        <f>('Gearing Calculator'!$U$9*'Track Data'!T2275)+'Track Data'!V2275</f>
        <v>1494.52667327886</v>
      </c>
      <c r="X2275" s="16">
        <f>('Gearing Calculator'!$U$9*9.81)*('Gearing Calculator'!$U$16/'Gearing Calculator'!$C$7)-(('Track Data'!W2275)*('Gearing Calculator'!$U$17/'Gearing Calculator'!$C$7))</f>
        <v>586.54319625722678</v>
      </c>
      <c r="Y2275" s="16">
        <f>('Gearing Calculator'!$U$9*9.81)*(('Gearing Calculator'!$C$7-'Gearing Calculator'!$U$16)/'Gearing Calculator'!$C$7)+(('Track Data'!W2275)*('Gearing Calculator'!$U$17/'Gearing Calculator'!$C$7))</f>
        <v>2024.8788037427732</v>
      </c>
      <c r="Z2275" s="16">
        <f>((X2275*COS('Gearing Calculator'!$C$21))/'Gearing Calculator'!$C$22)/2</f>
        <v>18.134060550193865</v>
      </c>
      <c r="AA2275" s="16">
        <f>Y2275/'Gearing Calculator'!$C$24</f>
        <v>28.274099637283534</v>
      </c>
      <c r="AB2275" s="16">
        <f t="shared" si="247"/>
        <v>244.5521481711279</v>
      </c>
      <c r="AC2275" s="16">
        <v>0</v>
      </c>
      <c r="AD2275" s="16">
        <v>0</v>
      </c>
      <c r="AE2275" s="16">
        <v>2272</v>
      </c>
      <c r="AF2275" s="16">
        <f>IF(AC2275=0,IF(O2275=6,INDEX(Acceleration!$V$4:$V$110,MATCH('Track Data'!S2275,Acceleration!$K$4:$K$110,0)),IF('Track Data'!O2275=5,INDEX(Acceleration!$U$4:$U$110,MATCH('Track Data'!S2275,Acceleration!$K$4:$K$110,0)),1)),U2275)</f>
        <v>1</v>
      </c>
      <c r="AG2275" s="16">
        <f>IF(AC2275=0,IF(O2275=4,INDEX(Acceleration!$T$4:$T$110,MATCH('Track Data'!S2275,Acceleration!$K$4:$K$110,0)),IF('Track Data'!O2275=3,INDEX(Acceleration!$S$4:$S$110,MATCH('Track Data'!S2275,Acceleration!$K$4:$K$110,0)),'Track Data'!AF2275)),'Track Data'!U2275)</f>
        <v>4.7672560072758658</v>
      </c>
      <c r="AH2275" s="16">
        <f>IF(AC2275=0,IF(O2275=2,INDEX(Acceleration!$R$4:$R$110,MATCH('Track Data'!S2275,Acceleration!$K$4:$K$110,0)),IF('Track Data'!O2275=1,INDEX(Acceleration!$Q$4:$Q$110,MATCH('Track Data'!S2275,Acceleration!$K$4:$K$110,0)),'Track Data'!AG2275)),'Track Data'!U2275)</f>
        <v>4.7672560072758658</v>
      </c>
    </row>
    <row r="2276" spans="2:34" x14ac:dyDescent="0.25">
      <c r="B2276" s="16">
        <v>255.166</v>
      </c>
      <c r="C2276" s="16">
        <v>9546</v>
      </c>
      <c r="D2276" s="16">
        <v>2273</v>
      </c>
      <c r="E2276" s="113">
        <v>175</v>
      </c>
      <c r="F2276" s="113">
        <v>170.7</v>
      </c>
      <c r="G2276" s="113">
        <v>170.3</v>
      </c>
      <c r="H2276" s="113">
        <f t="shared" si="250"/>
        <v>47.305555555555557</v>
      </c>
      <c r="I2276" s="113">
        <v>2</v>
      </c>
      <c r="J2276" s="113">
        <v>7.9</v>
      </c>
      <c r="K2276" s="113">
        <v>-6.7</v>
      </c>
      <c r="L2276" s="185"/>
      <c r="M2276" s="16">
        <v>2273</v>
      </c>
      <c r="N2276" s="16">
        <f t="shared" si="252"/>
        <v>2.1617140035361117E-2</v>
      </c>
      <c r="O2276" s="16">
        <v>4</v>
      </c>
      <c r="P2276" s="16">
        <f t="shared" si="248"/>
        <v>9.1833785004516724</v>
      </c>
      <c r="Q2276" s="16">
        <f t="shared" si="253"/>
        <v>46.259588380526253</v>
      </c>
      <c r="R2276" s="113">
        <f t="shared" si="249"/>
        <v>329.49099999999999</v>
      </c>
      <c r="S2276" s="16">
        <f>IF(S2275=15800,15800,ROUND((((Q2276*60)/'Gearing Calculator'!$C$14)*'Track Data'!P2276),-2))</f>
        <v>12900</v>
      </c>
      <c r="T2276" s="16">
        <f t="shared" si="251"/>
        <v>4.7672560072758658</v>
      </c>
      <c r="U2276" s="16">
        <f>IF(AC2276=100,Braking!$AG$2354,IF(AC2276=50,Braking!$AG$1179,IF(AC2276=75,Braking!$AG$1767,0)))</f>
        <v>0</v>
      </c>
      <c r="V2276" s="16">
        <f>0.5*'Gearing Calculator'!$C$15*'Gearing Calculator'!$C$20*'Gearing Calculator'!$W$20*('Track Data'!Q2276^2)</f>
        <v>226.49225689364451</v>
      </c>
      <c r="W2276" s="16">
        <f>('Gearing Calculator'!$U$9*'Track Data'!T2276)+'Track Data'!V2276</f>
        <v>1495.53580603048</v>
      </c>
      <c r="X2276" s="16">
        <f>('Gearing Calculator'!$U$9*9.81)*('Gearing Calculator'!$U$16/'Gearing Calculator'!$C$7)-(('Track Data'!W2276)*('Gearing Calculator'!$U$17/'Gearing Calculator'!$C$7))</f>
        <v>585.99314999015098</v>
      </c>
      <c r="Y2276" s="16">
        <f>('Gearing Calculator'!$U$9*9.81)*(('Gearing Calculator'!$C$7-'Gearing Calculator'!$U$16)/'Gearing Calculator'!$C$7)+(('Track Data'!W2276)*('Gearing Calculator'!$U$17/'Gearing Calculator'!$C$7))</f>
        <v>2025.4288500098492</v>
      </c>
      <c r="Z2276" s="16">
        <f>((X2276*COS('Gearing Calculator'!$C$21))/'Gearing Calculator'!$C$22)/2</f>
        <v>18.117054859264009</v>
      </c>
      <c r="AA2276" s="16">
        <f>Y2276/'Gearing Calculator'!$C$24</f>
        <v>28.2817801280525</v>
      </c>
      <c r="AB2276" s="16">
        <f t="shared" si="247"/>
        <v>245.56128092274798</v>
      </c>
      <c r="AC2276" s="16">
        <v>0</v>
      </c>
      <c r="AD2276" s="16">
        <v>0</v>
      </c>
      <c r="AE2276" s="16">
        <v>2273</v>
      </c>
      <c r="AF2276" s="16">
        <f>IF(AC2276=0,IF(O2276=6,INDEX(Acceleration!$V$4:$V$110,MATCH('Track Data'!S2276,Acceleration!$K$4:$K$110,0)),IF('Track Data'!O2276=5,INDEX(Acceleration!$U$4:$U$110,MATCH('Track Data'!S2276,Acceleration!$K$4:$K$110,0)),1)),U2276)</f>
        <v>1</v>
      </c>
      <c r="AG2276" s="16">
        <f>IF(AC2276=0,IF(O2276=4,INDEX(Acceleration!$T$4:$T$110,MATCH('Track Data'!S2276,Acceleration!$K$4:$K$110,0)),IF('Track Data'!O2276=3,INDEX(Acceleration!$S$4:$S$110,MATCH('Track Data'!S2276,Acceleration!$K$4:$K$110,0)),'Track Data'!AF2276)),'Track Data'!U2276)</f>
        <v>4.7672560072758658</v>
      </c>
      <c r="AH2276" s="16">
        <f>IF(AC2276=0,IF(O2276=2,INDEX(Acceleration!$R$4:$R$110,MATCH('Track Data'!S2276,Acceleration!$K$4:$K$110,0)),IF('Track Data'!O2276=1,INDEX(Acceleration!$Q$4:$Q$110,MATCH('Track Data'!S2276,Acceleration!$K$4:$K$110,0)),'Track Data'!AG2276)),'Track Data'!U2276)</f>
        <v>4.7672560072758658</v>
      </c>
    </row>
    <row r="2277" spans="2:34" x14ac:dyDescent="0.25">
      <c r="B2277" s="16">
        <v>255.18600000000001</v>
      </c>
      <c r="C2277" s="16">
        <v>9547</v>
      </c>
      <c r="D2277" s="16">
        <v>2274</v>
      </c>
      <c r="E2277" s="113">
        <v>175</v>
      </c>
      <c r="F2277" s="113">
        <v>170.7</v>
      </c>
      <c r="G2277" s="113">
        <v>170.6</v>
      </c>
      <c r="H2277" s="113">
        <f t="shared" si="250"/>
        <v>47.388888888888886</v>
      </c>
      <c r="I2277" s="113">
        <v>1.2</v>
      </c>
      <c r="J2277" s="113">
        <v>7.33</v>
      </c>
      <c r="K2277" s="113">
        <v>-4.4000000000000004</v>
      </c>
      <c r="L2277" s="185"/>
      <c r="M2277" s="16">
        <v>2274</v>
      </c>
      <c r="N2277" s="16">
        <f t="shared" si="252"/>
        <v>2.1569142946920149E-2</v>
      </c>
      <c r="O2277" s="16">
        <v>4</v>
      </c>
      <c r="P2277" s="16">
        <f t="shared" si="248"/>
        <v>9.1833785004516724</v>
      </c>
      <c r="Q2277" s="16">
        <f t="shared" si="253"/>
        <v>46.36252828686407</v>
      </c>
      <c r="R2277" s="113">
        <f t="shared" si="249"/>
        <v>329.49099999999999</v>
      </c>
      <c r="S2277" s="16">
        <f>IF(S2276=15800,15800,ROUND((((Q2277*60)/'Gearing Calculator'!$C$14)*'Track Data'!P2277),-2))</f>
        <v>12900</v>
      </c>
      <c r="T2277" s="16">
        <f t="shared" si="251"/>
        <v>4.7672560072758658</v>
      </c>
      <c r="U2277" s="16">
        <f>IF(AC2277=100,Braking!$AG$2354,IF(AC2277=50,Braking!$AG$1179,IF(AC2277=75,Braking!$AG$1767,0)))</f>
        <v>0</v>
      </c>
      <c r="V2277" s="16">
        <f>0.5*'Gearing Calculator'!$C$15*'Gearing Calculator'!$C$20*'Gearing Calculator'!$W$20*('Track Data'!Q2277^2)</f>
        <v>227.50138964526465</v>
      </c>
      <c r="W2277" s="16">
        <f>('Gearing Calculator'!$U$9*'Track Data'!T2277)+'Track Data'!V2277</f>
        <v>1496.5449387821002</v>
      </c>
      <c r="X2277" s="16">
        <f>('Gearing Calculator'!$U$9*9.81)*('Gearing Calculator'!$U$16/'Gearing Calculator'!$C$7)-(('Track Data'!W2277)*('Gearing Calculator'!$U$17/'Gearing Calculator'!$C$7))</f>
        <v>585.44310372307518</v>
      </c>
      <c r="Y2277" s="16">
        <f>('Gearing Calculator'!$U$9*9.81)*(('Gearing Calculator'!$C$7-'Gearing Calculator'!$U$16)/'Gearing Calculator'!$C$7)+(('Track Data'!W2277)*('Gearing Calculator'!$U$17/'Gearing Calculator'!$C$7))</f>
        <v>2025.9788962769248</v>
      </c>
      <c r="Z2277" s="16">
        <f>((X2277*COS('Gearing Calculator'!$C$21))/'Gearing Calculator'!$C$22)/2</f>
        <v>18.100049168334152</v>
      </c>
      <c r="AA2277" s="16">
        <f>Y2277/'Gearing Calculator'!$C$24</f>
        <v>28.289460618821462</v>
      </c>
      <c r="AB2277" s="16">
        <f t="shared" si="247"/>
        <v>246.57041367436813</v>
      </c>
      <c r="AC2277" s="16">
        <v>0</v>
      </c>
      <c r="AD2277" s="16">
        <v>0</v>
      </c>
      <c r="AE2277" s="16">
        <v>2274</v>
      </c>
      <c r="AF2277" s="16">
        <f>IF(AC2277=0,IF(O2277=6,INDEX(Acceleration!$V$4:$V$110,MATCH('Track Data'!S2277,Acceleration!$K$4:$K$110,0)),IF('Track Data'!O2277=5,INDEX(Acceleration!$U$4:$U$110,MATCH('Track Data'!S2277,Acceleration!$K$4:$K$110,0)),1)),U2277)</f>
        <v>1</v>
      </c>
      <c r="AG2277" s="16">
        <f>IF(AC2277=0,IF(O2277=4,INDEX(Acceleration!$T$4:$T$110,MATCH('Track Data'!S2277,Acceleration!$K$4:$K$110,0)),IF('Track Data'!O2277=3,INDEX(Acceleration!$S$4:$S$110,MATCH('Track Data'!S2277,Acceleration!$K$4:$K$110,0)),'Track Data'!AF2277)),'Track Data'!U2277)</f>
        <v>4.7672560072758658</v>
      </c>
      <c r="AH2277" s="16">
        <f>IF(AC2277=0,IF(O2277=2,INDEX(Acceleration!$R$4:$R$110,MATCH('Track Data'!S2277,Acceleration!$K$4:$K$110,0)),IF('Track Data'!O2277=1,INDEX(Acceleration!$Q$4:$Q$110,MATCH('Track Data'!S2277,Acceleration!$K$4:$K$110,0)),'Track Data'!AG2277)),'Track Data'!U2277)</f>
        <v>4.7672560072758658</v>
      </c>
    </row>
    <row r="2278" spans="2:34" x14ac:dyDescent="0.25">
      <c r="B2278" s="16">
        <v>255.208</v>
      </c>
      <c r="C2278" s="16">
        <v>9548</v>
      </c>
      <c r="D2278" s="16">
        <v>2275</v>
      </c>
      <c r="E2278" s="113">
        <v>175</v>
      </c>
      <c r="F2278" s="113">
        <v>170.9</v>
      </c>
      <c r="G2278" s="113">
        <v>170.9</v>
      </c>
      <c r="H2278" s="113">
        <f t="shared" si="250"/>
        <v>47.472222222222221</v>
      </c>
      <c r="I2278" s="113">
        <v>1.2</v>
      </c>
      <c r="J2278" s="113">
        <v>4.9400000000000004</v>
      </c>
      <c r="K2278" s="113">
        <v>-2.8</v>
      </c>
      <c r="L2278" s="185"/>
      <c r="M2278" s="16">
        <v>2275</v>
      </c>
      <c r="N2278" s="16">
        <f t="shared" si="252"/>
        <v>2.152146415279161E-2</v>
      </c>
      <c r="O2278" s="16">
        <v>4</v>
      </c>
      <c r="P2278" s="16">
        <f t="shared" si="248"/>
        <v>9.1833785004516724</v>
      </c>
      <c r="Q2278" s="16">
        <f t="shared" si="253"/>
        <v>46.465240138891161</v>
      </c>
      <c r="R2278" s="113">
        <f t="shared" si="249"/>
        <v>329.49099999999999</v>
      </c>
      <c r="S2278" s="16">
        <f>IF(S2277=15800,15800,ROUND((((Q2278*60)/'Gearing Calculator'!$C$14)*'Track Data'!P2278),-2))</f>
        <v>12900</v>
      </c>
      <c r="T2278" s="16">
        <f t="shared" si="251"/>
        <v>4.7672560072758658</v>
      </c>
      <c r="U2278" s="16">
        <f>IF(AC2278=100,Braking!$AG$2354,IF(AC2278=50,Braking!$AG$1179,IF(AC2278=75,Braking!$AG$1767,0)))</f>
        <v>0</v>
      </c>
      <c r="V2278" s="16">
        <f>0.5*'Gearing Calculator'!$C$15*'Gearing Calculator'!$C$20*'Gearing Calculator'!$W$20*('Track Data'!Q2278^2)</f>
        <v>228.51052239688477</v>
      </c>
      <c r="W2278" s="16">
        <f>('Gearing Calculator'!$U$9*'Track Data'!T2278)+'Track Data'!V2278</f>
        <v>1497.5540715337202</v>
      </c>
      <c r="X2278" s="16">
        <f>('Gearing Calculator'!$U$9*9.81)*('Gearing Calculator'!$U$16/'Gearing Calculator'!$C$7)-(('Track Data'!W2278)*('Gearing Calculator'!$U$17/'Gearing Calculator'!$C$7))</f>
        <v>584.8930574559995</v>
      </c>
      <c r="Y2278" s="16">
        <f>('Gearing Calculator'!$U$9*9.81)*(('Gearing Calculator'!$C$7-'Gearing Calculator'!$U$16)/'Gearing Calculator'!$C$7)+(('Track Data'!W2278)*('Gearing Calculator'!$U$17/'Gearing Calculator'!$C$7))</f>
        <v>2026.5289425440005</v>
      </c>
      <c r="Z2278" s="16">
        <f>((X2278*COS('Gearing Calculator'!$C$21))/'Gearing Calculator'!$C$22)/2</f>
        <v>18.083043477404299</v>
      </c>
      <c r="AA2278" s="16">
        <f>Y2278/'Gearing Calculator'!$C$24</f>
        <v>28.297141109590424</v>
      </c>
      <c r="AB2278" s="16">
        <f t="shared" si="247"/>
        <v>247.57954642598824</v>
      </c>
      <c r="AC2278" s="16">
        <v>0</v>
      </c>
      <c r="AD2278" s="16">
        <v>0</v>
      </c>
      <c r="AE2278" s="16">
        <v>2275</v>
      </c>
      <c r="AF2278" s="16">
        <f>IF(AC2278=0,IF(O2278=6,INDEX(Acceleration!$V$4:$V$110,MATCH('Track Data'!S2278,Acceleration!$K$4:$K$110,0)),IF('Track Data'!O2278=5,INDEX(Acceleration!$U$4:$U$110,MATCH('Track Data'!S2278,Acceleration!$K$4:$K$110,0)),1)),U2278)</f>
        <v>1</v>
      </c>
      <c r="AG2278" s="16">
        <f>IF(AC2278=0,IF(O2278=4,INDEX(Acceleration!$T$4:$T$110,MATCH('Track Data'!S2278,Acceleration!$K$4:$K$110,0)),IF('Track Data'!O2278=3,INDEX(Acceleration!$S$4:$S$110,MATCH('Track Data'!S2278,Acceleration!$K$4:$K$110,0)),'Track Data'!AF2278)),'Track Data'!U2278)</f>
        <v>4.7672560072758658</v>
      </c>
      <c r="AH2278" s="16">
        <f>IF(AC2278=0,IF(O2278=2,INDEX(Acceleration!$R$4:$R$110,MATCH('Track Data'!S2278,Acceleration!$K$4:$K$110,0)),IF('Track Data'!O2278=1,INDEX(Acceleration!$Q$4:$Q$110,MATCH('Track Data'!S2278,Acceleration!$K$4:$K$110,0)),'Track Data'!AG2278)),'Track Data'!U2278)</f>
        <v>4.7672560072758658</v>
      </c>
    </row>
    <row r="2279" spans="2:34" x14ac:dyDescent="0.25">
      <c r="B2279" s="16">
        <v>255.22900000000001</v>
      </c>
      <c r="C2279" s="16">
        <v>9549</v>
      </c>
      <c r="D2279" s="16">
        <v>2276</v>
      </c>
      <c r="E2279" s="113">
        <v>175</v>
      </c>
      <c r="F2279" s="113">
        <v>171.9</v>
      </c>
      <c r="G2279" s="113">
        <v>171.2</v>
      </c>
      <c r="H2279" s="113">
        <f t="shared" si="250"/>
        <v>47.55555555555555</v>
      </c>
      <c r="I2279" s="113">
        <v>1.1000000000000001</v>
      </c>
      <c r="J2279" s="113">
        <v>4.7300000000000004</v>
      </c>
      <c r="K2279" s="113">
        <v>-4.4000000000000004</v>
      </c>
      <c r="L2279" s="185"/>
      <c r="M2279" s="16">
        <v>2276</v>
      </c>
      <c r="N2279" s="16">
        <f t="shared" si="252"/>
        <v>2.1474100150491428E-2</v>
      </c>
      <c r="O2279" s="16">
        <v>4</v>
      </c>
      <c r="P2279" s="16">
        <f t="shared" si="248"/>
        <v>9.1833785004516724</v>
      </c>
      <c r="Q2279" s="16">
        <f t="shared" si="253"/>
        <v>46.567725445627829</v>
      </c>
      <c r="R2279" s="113">
        <f t="shared" si="249"/>
        <v>329.49099999999999</v>
      </c>
      <c r="S2279" s="16">
        <f>IF(S2278=15800,15800,ROUND((((Q2279*60)/'Gearing Calculator'!$C$14)*'Track Data'!P2279),-2))</f>
        <v>13000</v>
      </c>
      <c r="T2279" s="16">
        <f t="shared" si="251"/>
        <v>4.7177985984598587</v>
      </c>
      <c r="U2279" s="16">
        <f>IF(AC2279=100,Braking!$AG$2354,IF(AC2279=50,Braking!$AG$1179,IF(AC2279=75,Braking!$AG$1767,0)))</f>
        <v>0</v>
      </c>
      <c r="V2279" s="16">
        <f>0.5*'Gearing Calculator'!$C$15*'Gearing Calculator'!$C$20*'Gearing Calculator'!$W$20*('Track Data'!Q2279^2)</f>
        <v>229.51965514850491</v>
      </c>
      <c r="W2279" s="16">
        <f>('Gearing Calculator'!$U$9*'Track Data'!T2279)+'Track Data'!V2279</f>
        <v>1485.3976420585193</v>
      </c>
      <c r="X2279" s="16">
        <f>('Gearing Calculator'!$U$9*9.81)*('Gearing Calculator'!$U$16/'Gearing Calculator'!$C$7)-(('Track Data'!W2279)*('Gearing Calculator'!$U$17/'Gearing Calculator'!$C$7))</f>
        <v>591.51914172793443</v>
      </c>
      <c r="Y2279" s="16">
        <f>('Gearing Calculator'!$U$9*9.81)*(('Gearing Calculator'!$C$7-'Gearing Calculator'!$U$16)/'Gearing Calculator'!$C$7)+(('Track Data'!W2279)*('Gearing Calculator'!$U$17/'Gearing Calculator'!$C$7))</f>
        <v>2019.9028582720657</v>
      </c>
      <c r="Z2279" s="16">
        <f>((X2279*COS('Gearing Calculator'!$C$21))/'Gearing Calculator'!$C$22)/2</f>
        <v>18.287901046573445</v>
      </c>
      <c r="AA2279" s="16">
        <f>Y2279/'Gearing Calculator'!$C$24</f>
        <v>28.204618748961515</v>
      </c>
      <c r="AB2279" s="16">
        <f t="shared" si="247"/>
        <v>248.39084954234434</v>
      </c>
      <c r="AC2279" s="16">
        <v>0</v>
      </c>
      <c r="AD2279" s="16">
        <v>0</v>
      </c>
      <c r="AE2279" s="16">
        <v>2276</v>
      </c>
      <c r="AF2279" s="16">
        <f>IF(AC2279=0,IF(O2279=6,INDEX(Acceleration!$V$4:$V$110,MATCH('Track Data'!S2279,Acceleration!$K$4:$K$110,0)),IF('Track Data'!O2279=5,INDEX(Acceleration!$U$4:$U$110,MATCH('Track Data'!S2279,Acceleration!$K$4:$K$110,0)),1)),U2279)</f>
        <v>1</v>
      </c>
      <c r="AG2279" s="16">
        <f>IF(AC2279=0,IF(O2279=4,INDEX(Acceleration!$T$4:$T$110,MATCH('Track Data'!S2279,Acceleration!$K$4:$K$110,0)),IF('Track Data'!O2279=3,INDEX(Acceleration!$S$4:$S$110,MATCH('Track Data'!S2279,Acceleration!$K$4:$K$110,0)),'Track Data'!AF2279)),'Track Data'!U2279)</f>
        <v>4.7177985984598587</v>
      </c>
      <c r="AH2279" s="16">
        <f>IF(AC2279=0,IF(O2279=2,INDEX(Acceleration!$R$4:$R$110,MATCH('Track Data'!S2279,Acceleration!$K$4:$K$110,0)),IF('Track Data'!O2279=1,INDEX(Acceleration!$Q$4:$Q$110,MATCH('Track Data'!S2279,Acceleration!$K$4:$K$110,0)),'Track Data'!AG2279)),'Track Data'!U2279)</f>
        <v>4.7177985984598587</v>
      </c>
    </row>
    <row r="2280" spans="2:34" x14ac:dyDescent="0.25">
      <c r="B2280" s="16">
        <v>255.249</v>
      </c>
      <c r="C2280" s="16">
        <v>9550</v>
      </c>
      <c r="D2280" s="16">
        <v>2277</v>
      </c>
      <c r="E2280" s="113">
        <v>175</v>
      </c>
      <c r="F2280" s="113">
        <v>172.9</v>
      </c>
      <c r="G2280" s="113">
        <v>171.5</v>
      </c>
      <c r="H2280" s="113">
        <f t="shared" si="250"/>
        <v>47.638888888888886</v>
      </c>
      <c r="I2280" s="113">
        <v>1.2</v>
      </c>
      <c r="J2280" s="113">
        <v>5.09</v>
      </c>
      <c r="K2280" s="113">
        <v>-5.9</v>
      </c>
      <c r="L2280" s="185"/>
      <c r="M2280" s="16">
        <v>2277</v>
      </c>
      <c r="N2280" s="16">
        <f t="shared" si="252"/>
        <v>2.1427534047610077E-2</v>
      </c>
      <c r="O2280" s="16">
        <v>4</v>
      </c>
      <c r="P2280" s="16">
        <f t="shared" si="248"/>
        <v>9.1833785004516724</v>
      </c>
      <c r="Q2280" s="16">
        <f t="shared" si="253"/>
        <v>46.668925961246352</v>
      </c>
      <c r="R2280" s="113">
        <f t="shared" si="249"/>
        <v>329.49099999999999</v>
      </c>
      <c r="S2280" s="16">
        <f>IF(S2279=15800,15800,ROUND((((Q2280*60)/'Gearing Calculator'!$C$14)*'Track Data'!P2280),-2))</f>
        <v>13000</v>
      </c>
      <c r="T2280" s="16">
        <f t="shared" si="251"/>
        <v>4.7177985984598587</v>
      </c>
      <c r="U2280" s="16">
        <f>IF(AC2280=100,Braking!$AG$2354,IF(AC2280=50,Braking!$AG$1179,IF(AC2280=75,Braking!$AG$1767,0)))</f>
        <v>0</v>
      </c>
      <c r="V2280" s="16">
        <f>0.5*'Gearing Calculator'!$C$15*'Gearing Calculator'!$C$20*'Gearing Calculator'!$W$20*('Track Data'!Q2280^2)</f>
        <v>230.5183187558269</v>
      </c>
      <c r="W2280" s="16">
        <f>('Gearing Calculator'!$U$9*'Track Data'!T2280)+'Track Data'!V2280</f>
        <v>1486.3963056658413</v>
      </c>
      <c r="X2280" s="16">
        <f>('Gearing Calculator'!$U$9*9.81)*('Gearing Calculator'!$U$16/'Gearing Calculator'!$C$7)-(('Track Data'!W2280)*('Gearing Calculator'!$U$17/'Gearing Calculator'!$C$7))</f>
        <v>590.97480185947802</v>
      </c>
      <c r="Y2280" s="16">
        <f>('Gearing Calculator'!$U$9*9.81)*(('Gearing Calculator'!$C$7-'Gearing Calculator'!$U$16)/'Gearing Calculator'!$C$7)+(('Track Data'!W2280)*('Gearing Calculator'!$U$17/'Gearing Calculator'!$C$7))</f>
        <v>2020.447198140522</v>
      </c>
      <c r="Z2280" s="16">
        <f>((X2280*COS('Gearing Calculator'!$C$21))/'Gearing Calculator'!$C$22)/2</f>
        <v>18.271071779441098</v>
      </c>
      <c r="AA2280" s="16">
        <f>Y2280/'Gearing Calculator'!$C$24</f>
        <v>28.212219559266227</v>
      </c>
      <c r="AB2280" s="16">
        <f t="shared" si="247"/>
        <v>249.38951314966633</v>
      </c>
      <c r="AC2280" s="16">
        <v>0</v>
      </c>
      <c r="AD2280" s="16">
        <v>0</v>
      </c>
      <c r="AE2280" s="16">
        <v>2277</v>
      </c>
      <c r="AF2280" s="16">
        <f>IF(AC2280=0,IF(O2280=6,INDEX(Acceleration!$V$4:$V$110,MATCH('Track Data'!S2280,Acceleration!$K$4:$K$110,0)),IF('Track Data'!O2280=5,INDEX(Acceleration!$U$4:$U$110,MATCH('Track Data'!S2280,Acceleration!$K$4:$K$110,0)),1)),U2280)</f>
        <v>1</v>
      </c>
      <c r="AG2280" s="16">
        <f>IF(AC2280=0,IF(O2280=4,INDEX(Acceleration!$T$4:$T$110,MATCH('Track Data'!S2280,Acceleration!$K$4:$K$110,0)),IF('Track Data'!O2280=3,INDEX(Acceleration!$S$4:$S$110,MATCH('Track Data'!S2280,Acceleration!$K$4:$K$110,0)),'Track Data'!AF2280)),'Track Data'!U2280)</f>
        <v>4.7177985984598587</v>
      </c>
      <c r="AH2280" s="16">
        <f>IF(AC2280=0,IF(O2280=2,INDEX(Acceleration!$R$4:$R$110,MATCH('Track Data'!S2280,Acceleration!$K$4:$K$110,0)),IF('Track Data'!O2280=1,INDEX(Acceleration!$Q$4:$Q$110,MATCH('Track Data'!S2280,Acceleration!$K$4:$K$110,0)),'Track Data'!AG2280)),'Track Data'!U2280)</f>
        <v>4.7177985984598587</v>
      </c>
    </row>
    <row r="2281" spans="2:34" x14ac:dyDescent="0.25">
      <c r="B2281" s="16">
        <v>255.27</v>
      </c>
      <c r="C2281" s="16">
        <v>9551</v>
      </c>
      <c r="D2281" s="16">
        <v>2278</v>
      </c>
      <c r="E2281" s="113">
        <v>176</v>
      </c>
      <c r="F2281" s="113">
        <v>174.3</v>
      </c>
      <c r="G2281" s="113">
        <v>172.1</v>
      </c>
      <c r="H2281" s="113">
        <f t="shared" si="250"/>
        <v>47.80555555555555</v>
      </c>
      <c r="I2281" s="113">
        <v>1.9</v>
      </c>
      <c r="J2281" s="113">
        <v>10.98</v>
      </c>
      <c r="K2281" s="113">
        <v>-8.3000000000000007</v>
      </c>
      <c r="L2281" s="185"/>
      <c r="M2281" s="16">
        <v>2278</v>
      </c>
      <c r="N2281" s="16">
        <f t="shared" si="252"/>
        <v>2.1381269569469421E-2</v>
      </c>
      <c r="O2281" s="16">
        <v>4</v>
      </c>
      <c r="P2281" s="16">
        <f t="shared" si="248"/>
        <v>9.1833785004516724</v>
      </c>
      <c r="Q2281" s="16">
        <f t="shared" si="253"/>
        <v>46.769907500156698</v>
      </c>
      <c r="R2281" s="113">
        <f t="shared" si="249"/>
        <v>329.49099999999999</v>
      </c>
      <c r="S2281" s="16">
        <f>IF(S2280=15800,15800,ROUND((((Q2281*60)/'Gearing Calculator'!$C$14)*'Track Data'!P2281),-2))</f>
        <v>13000</v>
      </c>
      <c r="T2281" s="16">
        <f t="shared" si="251"/>
        <v>4.7177985984598587</v>
      </c>
      <c r="U2281" s="16">
        <f>IF(AC2281=100,Braking!$AG$2354,IF(AC2281=50,Braking!$AG$1179,IF(AC2281=75,Braking!$AG$1767,0)))</f>
        <v>0</v>
      </c>
      <c r="V2281" s="16">
        <f>0.5*'Gearing Calculator'!$C$15*'Gearing Calculator'!$C$20*'Gearing Calculator'!$W$20*('Track Data'!Q2281^2)</f>
        <v>231.51698236314894</v>
      </c>
      <c r="W2281" s="16">
        <f>('Gearing Calculator'!$U$9*'Track Data'!T2281)+'Track Data'!V2281</f>
        <v>1487.3949692731635</v>
      </c>
      <c r="X2281" s="16">
        <f>('Gearing Calculator'!$U$9*9.81)*('Gearing Calculator'!$U$16/'Gearing Calculator'!$C$7)-(('Track Data'!W2281)*('Gearing Calculator'!$U$17/'Gearing Calculator'!$C$7))</f>
        <v>590.4304619910215</v>
      </c>
      <c r="Y2281" s="16">
        <f>('Gearing Calculator'!$U$9*9.81)*(('Gearing Calculator'!$C$7-'Gearing Calculator'!$U$16)/'Gearing Calculator'!$C$7)+(('Track Data'!W2281)*('Gearing Calculator'!$U$17/'Gearing Calculator'!$C$7))</f>
        <v>2020.9915380089785</v>
      </c>
      <c r="Z2281" s="16">
        <f>((X2281*COS('Gearing Calculator'!$C$21))/'Gearing Calculator'!$C$22)/2</f>
        <v>18.254242512308746</v>
      </c>
      <c r="AA2281" s="16">
        <f>Y2281/'Gearing Calculator'!$C$24</f>
        <v>28.21982036957094</v>
      </c>
      <c r="AB2281" s="16">
        <f t="shared" si="247"/>
        <v>250.38817675698837</v>
      </c>
      <c r="AC2281" s="16">
        <v>0</v>
      </c>
      <c r="AD2281" s="16">
        <v>0</v>
      </c>
      <c r="AE2281" s="16">
        <v>2278</v>
      </c>
      <c r="AF2281" s="16">
        <f>IF(AC2281=0,IF(O2281=6,INDEX(Acceleration!$V$4:$V$110,MATCH('Track Data'!S2281,Acceleration!$K$4:$K$110,0)),IF('Track Data'!O2281=5,INDEX(Acceleration!$U$4:$U$110,MATCH('Track Data'!S2281,Acceleration!$K$4:$K$110,0)),1)),U2281)</f>
        <v>1</v>
      </c>
      <c r="AG2281" s="16">
        <f>IF(AC2281=0,IF(O2281=4,INDEX(Acceleration!$T$4:$T$110,MATCH('Track Data'!S2281,Acceleration!$K$4:$K$110,0)),IF('Track Data'!O2281=3,INDEX(Acceleration!$S$4:$S$110,MATCH('Track Data'!S2281,Acceleration!$K$4:$K$110,0)),'Track Data'!AF2281)),'Track Data'!U2281)</f>
        <v>4.7177985984598587</v>
      </c>
      <c r="AH2281" s="16">
        <f>IF(AC2281=0,IF(O2281=2,INDEX(Acceleration!$R$4:$R$110,MATCH('Track Data'!S2281,Acceleration!$K$4:$K$110,0)),IF('Track Data'!O2281=1,INDEX(Acceleration!$Q$4:$Q$110,MATCH('Track Data'!S2281,Acceleration!$K$4:$K$110,0)),'Track Data'!AG2281)),'Track Data'!U2281)</f>
        <v>4.7177985984598587</v>
      </c>
    </row>
    <row r="2282" spans="2:34" x14ac:dyDescent="0.25">
      <c r="B2282" s="16">
        <v>255.291</v>
      </c>
      <c r="C2282" s="16">
        <v>9552</v>
      </c>
      <c r="D2282" s="16">
        <v>2279</v>
      </c>
      <c r="E2282" s="113">
        <v>176</v>
      </c>
      <c r="F2282" s="113">
        <v>174.7</v>
      </c>
      <c r="G2282" s="113">
        <v>172.4</v>
      </c>
      <c r="H2282" s="113">
        <f t="shared" si="250"/>
        <v>47.888888888888893</v>
      </c>
      <c r="I2282" s="113">
        <v>3.1</v>
      </c>
      <c r="J2282" s="113">
        <v>12.28</v>
      </c>
      <c r="K2282" s="113">
        <v>-7.9</v>
      </c>
      <c r="L2282" s="185"/>
      <c r="M2282" s="16">
        <v>2279</v>
      </c>
      <c r="N2282" s="16">
        <f t="shared" si="252"/>
        <v>2.1335303473854778E-2</v>
      </c>
      <c r="O2282" s="16">
        <v>4</v>
      </c>
      <c r="P2282" s="16">
        <f t="shared" si="248"/>
        <v>9.1833785004516724</v>
      </c>
      <c r="Q2282" s="16">
        <f t="shared" si="253"/>
        <v>46.870671477696305</v>
      </c>
      <c r="R2282" s="113">
        <f t="shared" si="249"/>
        <v>329.49099999999999</v>
      </c>
      <c r="S2282" s="16">
        <f>IF(S2281=15800,15800,ROUND((((Q2282*60)/'Gearing Calculator'!$C$14)*'Track Data'!P2282),-2))</f>
        <v>13000</v>
      </c>
      <c r="T2282" s="16">
        <f t="shared" si="251"/>
        <v>4.7177985984598587</v>
      </c>
      <c r="U2282" s="16">
        <f>IF(AC2282=100,Braking!$AG$2354,IF(AC2282=50,Braking!$AG$1179,IF(AC2282=75,Braking!$AG$1767,0)))</f>
        <v>0</v>
      </c>
      <c r="V2282" s="16">
        <f>0.5*'Gearing Calculator'!$C$15*'Gearing Calculator'!$C$20*'Gearing Calculator'!$W$20*('Track Data'!Q2282^2)</f>
        <v>232.51564597047093</v>
      </c>
      <c r="W2282" s="16">
        <f>('Gearing Calculator'!$U$9*'Track Data'!T2282)+'Track Data'!V2282</f>
        <v>1488.3936328804853</v>
      </c>
      <c r="X2282" s="16">
        <f>('Gearing Calculator'!$U$9*9.81)*('Gearing Calculator'!$U$16/'Gearing Calculator'!$C$7)-(('Track Data'!W2282)*('Gearing Calculator'!$U$17/'Gearing Calculator'!$C$7))</f>
        <v>589.88612212256533</v>
      </c>
      <c r="Y2282" s="16">
        <f>('Gearing Calculator'!$U$9*9.81)*(('Gearing Calculator'!$C$7-'Gearing Calculator'!$U$16)/'Gearing Calculator'!$C$7)+(('Track Data'!W2282)*('Gearing Calculator'!$U$17/'Gearing Calculator'!$C$7))</f>
        <v>2021.5358778774348</v>
      </c>
      <c r="Z2282" s="16">
        <f>((X2282*COS('Gearing Calculator'!$C$21))/'Gearing Calculator'!$C$22)/2</f>
        <v>18.237413245176409</v>
      </c>
      <c r="AA2282" s="16">
        <f>Y2282/'Gearing Calculator'!$C$24</f>
        <v>28.227421179875652</v>
      </c>
      <c r="AB2282" s="16">
        <f t="shared" si="247"/>
        <v>251.38684036431036</v>
      </c>
      <c r="AC2282" s="16">
        <v>0</v>
      </c>
      <c r="AD2282" s="16">
        <v>0</v>
      </c>
      <c r="AE2282" s="16">
        <v>2279</v>
      </c>
      <c r="AF2282" s="16">
        <f>IF(AC2282=0,IF(O2282=6,INDEX(Acceleration!$V$4:$V$110,MATCH('Track Data'!S2282,Acceleration!$K$4:$K$110,0)),IF('Track Data'!O2282=5,INDEX(Acceleration!$U$4:$U$110,MATCH('Track Data'!S2282,Acceleration!$K$4:$K$110,0)),1)),U2282)</f>
        <v>1</v>
      </c>
      <c r="AG2282" s="16">
        <f>IF(AC2282=0,IF(O2282=4,INDEX(Acceleration!$T$4:$T$110,MATCH('Track Data'!S2282,Acceleration!$K$4:$K$110,0)),IF('Track Data'!O2282=3,INDEX(Acceleration!$S$4:$S$110,MATCH('Track Data'!S2282,Acceleration!$K$4:$K$110,0)),'Track Data'!AF2282)),'Track Data'!U2282)</f>
        <v>4.7177985984598587</v>
      </c>
      <c r="AH2282" s="16">
        <f>IF(AC2282=0,IF(O2282=2,INDEX(Acceleration!$R$4:$R$110,MATCH('Track Data'!S2282,Acceleration!$K$4:$K$110,0)),IF('Track Data'!O2282=1,INDEX(Acceleration!$Q$4:$Q$110,MATCH('Track Data'!S2282,Acceleration!$K$4:$K$110,0)),'Track Data'!AG2282)),'Track Data'!U2282)</f>
        <v>4.7177985984598587</v>
      </c>
    </row>
    <row r="2283" spans="2:34" x14ac:dyDescent="0.25">
      <c r="B2283" s="16">
        <v>255.31100000000001</v>
      </c>
      <c r="C2283" s="16">
        <v>9553</v>
      </c>
      <c r="D2283" s="16">
        <v>2280</v>
      </c>
      <c r="E2283" s="113">
        <v>175</v>
      </c>
      <c r="F2283" s="113">
        <v>175</v>
      </c>
      <c r="G2283" s="113">
        <v>172.8</v>
      </c>
      <c r="H2283" s="113">
        <f t="shared" si="250"/>
        <v>48</v>
      </c>
      <c r="I2283" s="113">
        <v>6</v>
      </c>
      <c r="J2283" s="113">
        <v>17.059999999999999</v>
      </c>
      <c r="K2283" s="113">
        <v>-6.7</v>
      </c>
      <c r="L2283" s="185"/>
      <c r="M2283" s="16">
        <v>2280</v>
      </c>
      <c r="N2283" s="16">
        <f t="shared" si="252"/>
        <v>2.1289632567134169E-2</v>
      </c>
      <c r="O2283" s="16">
        <v>4</v>
      </c>
      <c r="P2283" s="16">
        <f t="shared" si="248"/>
        <v>9.1833785004516724</v>
      </c>
      <c r="Q2283" s="16">
        <f t="shared" si="253"/>
        <v>46.971219294021459</v>
      </c>
      <c r="R2283" s="113">
        <f t="shared" si="249"/>
        <v>329.49099999999999</v>
      </c>
      <c r="S2283" s="16">
        <f>IF(S2282=15800,15800,ROUND((((Q2283*60)/'Gearing Calculator'!$C$14)*'Track Data'!P2283),-2))</f>
        <v>13100</v>
      </c>
      <c r="T2283" s="16">
        <f t="shared" si="251"/>
        <v>4.668899545953348</v>
      </c>
      <c r="U2283" s="16">
        <f>IF(AC2283=100,Braking!$AG$2354,IF(AC2283=50,Braking!$AG$1179,IF(AC2283=75,Braking!$AG$1767,0)))</f>
        <v>0</v>
      </c>
      <c r="V2283" s="16">
        <f>0.5*'Gearing Calculator'!$C$15*'Gearing Calculator'!$C$20*'Gearing Calculator'!$W$20*('Track Data'!Q2283^2)</f>
        <v>233.51430957779294</v>
      </c>
      <c r="W2283" s="16">
        <f>('Gearing Calculator'!$U$9*'Track Data'!T2283)+'Track Data'!V2283</f>
        <v>1476.3753687105743</v>
      </c>
      <c r="X2283" s="16">
        <f>('Gearing Calculator'!$U$9*9.81)*('Gearing Calculator'!$U$16/'Gearing Calculator'!$C$7)-(('Track Data'!W2283)*('Gearing Calculator'!$U$17/'Gearing Calculator'!$C$7))</f>
        <v>596.43689686729272</v>
      </c>
      <c r="Y2283" s="16">
        <f>('Gearing Calculator'!$U$9*9.81)*(('Gearing Calculator'!$C$7-'Gearing Calculator'!$U$16)/'Gearing Calculator'!$C$7)+(('Track Data'!W2283)*('Gearing Calculator'!$U$17/'Gearing Calculator'!$C$7))</f>
        <v>2014.9851031327073</v>
      </c>
      <c r="Z2283" s="16">
        <f>((X2283*COS('Gearing Calculator'!$C$21))/'Gearing Calculator'!$C$22)/2</f>
        <v>18.439942481948037</v>
      </c>
      <c r="AA2283" s="16">
        <f>Y2283/'Gearing Calculator'!$C$24</f>
        <v>28.13595039283819</v>
      </c>
      <c r="AB2283" s="16">
        <f t="shared" si="247"/>
        <v>252.18990776160632</v>
      </c>
      <c r="AC2283" s="16">
        <v>0</v>
      </c>
      <c r="AD2283" s="16">
        <v>0</v>
      </c>
      <c r="AE2283" s="16">
        <v>2280</v>
      </c>
      <c r="AF2283" s="16">
        <f>IF(AC2283=0,IF(O2283=6,INDEX(Acceleration!$V$4:$V$110,MATCH('Track Data'!S2283,Acceleration!$K$4:$K$110,0)),IF('Track Data'!O2283=5,INDEX(Acceleration!$U$4:$U$110,MATCH('Track Data'!S2283,Acceleration!$K$4:$K$110,0)),1)),U2283)</f>
        <v>1</v>
      </c>
      <c r="AG2283" s="16">
        <f>IF(AC2283=0,IF(O2283=4,INDEX(Acceleration!$T$4:$T$110,MATCH('Track Data'!S2283,Acceleration!$K$4:$K$110,0)),IF('Track Data'!O2283=3,INDEX(Acceleration!$S$4:$S$110,MATCH('Track Data'!S2283,Acceleration!$K$4:$K$110,0)),'Track Data'!AF2283)),'Track Data'!U2283)</f>
        <v>4.668899545953348</v>
      </c>
      <c r="AH2283" s="16">
        <f>IF(AC2283=0,IF(O2283=2,INDEX(Acceleration!$R$4:$R$110,MATCH('Track Data'!S2283,Acceleration!$K$4:$K$110,0)),IF('Track Data'!O2283=1,INDEX(Acceleration!$Q$4:$Q$110,MATCH('Track Data'!S2283,Acceleration!$K$4:$K$110,0)),'Track Data'!AG2283)),'Track Data'!U2283)</f>
        <v>4.668899545953348</v>
      </c>
    </row>
    <row r="2284" spans="2:34" x14ac:dyDescent="0.25">
      <c r="B2284" s="16">
        <v>255.33199999999999</v>
      </c>
      <c r="C2284" s="16">
        <v>9554</v>
      </c>
      <c r="D2284" s="16">
        <v>2281</v>
      </c>
      <c r="E2284" s="113">
        <v>175</v>
      </c>
      <c r="F2284" s="113">
        <v>175</v>
      </c>
      <c r="G2284" s="113">
        <v>173.1</v>
      </c>
      <c r="H2284" s="113">
        <f t="shared" si="250"/>
        <v>48.083333333333329</v>
      </c>
      <c r="I2284" s="113">
        <v>8.5</v>
      </c>
      <c r="J2284" s="113">
        <v>19.5</v>
      </c>
      <c r="K2284" s="113">
        <v>-5.4</v>
      </c>
      <c r="L2284" s="185"/>
      <c r="M2284" s="16">
        <v>2281</v>
      </c>
      <c r="N2284" s="16">
        <f t="shared" si="252"/>
        <v>2.124472255908948E-2</v>
      </c>
      <c r="O2284" s="16">
        <v>4</v>
      </c>
      <c r="P2284" s="16">
        <f t="shared" si="248"/>
        <v>9.1833785004516724</v>
      </c>
      <c r="Q2284" s="16">
        <f t="shared" si="253"/>
        <v>47.070513498993826</v>
      </c>
      <c r="R2284" s="113">
        <f t="shared" si="249"/>
        <v>329.49099999999999</v>
      </c>
      <c r="S2284" s="16">
        <f>IF(S2283=15800,15800,ROUND((((Q2284*60)/'Gearing Calculator'!$C$14)*'Track Data'!P2284),-2))</f>
        <v>13100</v>
      </c>
      <c r="T2284" s="16">
        <f t="shared" si="251"/>
        <v>4.668899545953348</v>
      </c>
      <c r="U2284" s="16">
        <f>IF(AC2284=100,Braking!$AG$2354,IF(AC2284=50,Braking!$AG$1179,IF(AC2284=75,Braking!$AG$1767,0)))</f>
        <v>0</v>
      </c>
      <c r="V2284" s="16">
        <f>0.5*'Gearing Calculator'!$C$15*'Gearing Calculator'!$C$20*'Gearing Calculator'!$W$20*('Track Data'!Q2284^2)</f>
        <v>234.50262223368028</v>
      </c>
      <c r="W2284" s="16">
        <f>('Gearing Calculator'!$U$9*'Track Data'!T2284)+'Track Data'!V2284</f>
        <v>1477.3636813664616</v>
      </c>
      <c r="X2284" s="16">
        <f>('Gearing Calculator'!$U$9*9.81)*('Gearing Calculator'!$U$16/'Gearing Calculator'!$C$7)-(('Track Data'!W2284)*('Gearing Calculator'!$U$17/'Gearing Calculator'!$C$7))</f>
        <v>595.89819897427344</v>
      </c>
      <c r="Y2284" s="16">
        <f>('Gearing Calculator'!$U$9*9.81)*(('Gearing Calculator'!$C$7-'Gearing Calculator'!$U$16)/'Gearing Calculator'!$C$7)+(('Track Data'!W2284)*('Gearing Calculator'!$U$17/'Gearing Calculator'!$C$7))</f>
        <v>2015.5238010257267</v>
      </c>
      <c r="Z2284" s="16">
        <f>((X2284*COS('Gearing Calculator'!$C$21))/'Gearing Calculator'!$C$22)/2</f>
        <v>18.42328764685216</v>
      </c>
      <c r="AA2284" s="16">
        <f>Y2284/'Gearing Calculator'!$C$24</f>
        <v>28.143472422242354</v>
      </c>
      <c r="AB2284" s="16">
        <f t="shared" si="247"/>
        <v>253.17822041749366</v>
      </c>
      <c r="AC2284" s="16">
        <v>0</v>
      </c>
      <c r="AD2284" s="16">
        <v>0</v>
      </c>
      <c r="AE2284" s="16">
        <v>2281</v>
      </c>
      <c r="AF2284" s="16">
        <f>IF(AC2284=0,IF(O2284=6,INDEX(Acceleration!$V$4:$V$110,MATCH('Track Data'!S2284,Acceleration!$K$4:$K$110,0)),IF('Track Data'!O2284=5,INDEX(Acceleration!$U$4:$U$110,MATCH('Track Data'!S2284,Acceleration!$K$4:$K$110,0)),1)),U2284)</f>
        <v>1</v>
      </c>
      <c r="AG2284" s="16">
        <f>IF(AC2284=0,IF(O2284=4,INDEX(Acceleration!$T$4:$T$110,MATCH('Track Data'!S2284,Acceleration!$K$4:$K$110,0)),IF('Track Data'!O2284=3,INDEX(Acceleration!$S$4:$S$110,MATCH('Track Data'!S2284,Acceleration!$K$4:$K$110,0)),'Track Data'!AF2284)),'Track Data'!U2284)</f>
        <v>4.668899545953348</v>
      </c>
      <c r="AH2284" s="16">
        <f>IF(AC2284=0,IF(O2284=2,INDEX(Acceleration!$R$4:$R$110,MATCH('Track Data'!S2284,Acceleration!$K$4:$K$110,0)),IF('Track Data'!O2284=1,INDEX(Acceleration!$Q$4:$Q$110,MATCH('Track Data'!S2284,Acceleration!$K$4:$K$110,0)),'Track Data'!AG2284)),'Track Data'!U2284)</f>
        <v>4.668899545953348</v>
      </c>
    </row>
    <row r="2285" spans="2:34" x14ac:dyDescent="0.25">
      <c r="B2285" s="16">
        <v>255.352</v>
      </c>
      <c r="C2285" s="16">
        <v>9555</v>
      </c>
      <c r="D2285" s="16">
        <v>2282</v>
      </c>
      <c r="E2285" s="113">
        <v>175</v>
      </c>
      <c r="F2285" s="113">
        <v>174.8</v>
      </c>
      <c r="G2285" s="113">
        <v>173.5</v>
      </c>
      <c r="H2285" s="113">
        <f t="shared" si="250"/>
        <v>48.194444444444443</v>
      </c>
      <c r="I2285" s="113">
        <v>10.9</v>
      </c>
      <c r="J2285" s="113">
        <v>19.059999999999999</v>
      </c>
      <c r="K2285" s="113">
        <v>-4.0999999999999996</v>
      </c>
      <c r="L2285" s="185"/>
      <c r="M2285" s="16">
        <v>2282</v>
      </c>
      <c r="N2285" s="16">
        <f t="shared" si="252"/>
        <v>2.1200095567220908E-2</v>
      </c>
      <c r="O2285" s="16">
        <v>4</v>
      </c>
      <c r="P2285" s="16">
        <f t="shared" si="248"/>
        <v>9.1833785004516724</v>
      </c>
      <c r="Q2285" s="16">
        <f t="shared" si="253"/>
        <v>47.169598685497277</v>
      </c>
      <c r="R2285" s="113">
        <f t="shared" si="249"/>
        <v>329.49099999999999</v>
      </c>
      <c r="S2285" s="16">
        <f>IF(S2284=15800,15800,ROUND((((Q2285*60)/'Gearing Calculator'!$C$14)*'Track Data'!P2285),-2))</f>
        <v>13100</v>
      </c>
      <c r="T2285" s="16">
        <f t="shared" si="251"/>
        <v>4.668899545953348</v>
      </c>
      <c r="U2285" s="16">
        <f>IF(AC2285=100,Braking!$AG$2354,IF(AC2285=50,Braking!$AG$1179,IF(AC2285=75,Braking!$AG$1767,0)))</f>
        <v>0</v>
      </c>
      <c r="V2285" s="16">
        <f>0.5*'Gearing Calculator'!$C$15*'Gearing Calculator'!$C$20*'Gearing Calculator'!$W$20*('Track Data'!Q2285^2)</f>
        <v>235.49093488956768</v>
      </c>
      <c r="W2285" s="16">
        <f>('Gearing Calculator'!$U$9*'Track Data'!T2285)+'Track Data'!V2285</f>
        <v>1478.3519940223489</v>
      </c>
      <c r="X2285" s="16">
        <f>('Gearing Calculator'!$U$9*9.81)*('Gearing Calculator'!$U$16/'Gearing Calculator'!$C$7)-(('Track Data'!W2285)*('Gearing Calculator'!$U$17/'Gearing Calculator'!$C$7))</f>
        <v>595.35950108125405</v>
      </c>
      <c r="Y2285" s="16">
        <f>('Gearing Calculator'!$U$9*9.81)*(('Gearing Calculator'!$C$7-'Gearing Calculator'!$U$16)/'Gearing Calculator'!$C$7)+(('Track Data'!W2285)*('Gearing Calculator'!$U$17/'Gearing Calculator'!$C$7))</f>
        <v>2016.0624989187459</v>
      </c>
      <c r="Z2285" s="16">
        <f>((X2285*COS('Gearing Calculator'!$C$21))/'Gearing Calculator'!$C$22)/2</f>
        <v>18.406632811756275</v>
      </c>
      <c r="AA2285" s="16">
        <f>Y2285/'Gearing Calculator'!$C$24</f>
        <v>28.150994451646518</v>
      </c>
      <c r="AB2285" s="16">
        <f t="shared" si="247"/>
        <v>254.16653307338106</v>
      </c>
      <c r="AC2285" s="16">
        <v>0</v>
      </c>
      <c r="AD2285" s="16">
        <v>0</v>
      </c>
      <c r="AE2285" s="16">
        <v>2282</v>
      </c>
      <c r="AF2285" s="16">
        <f>IF(AC2285=0,IF(O2285=6,INDEX(Acceleration!$V$4:$V$110,MATCH('Track Data'!S2285,Acceleration!$K$4:$K$110,0)),IF('Track Data'!O2285=5,INDEX(Acceleration!$U$4:$U$110,MATCH('Track Data'!S2285,Acceleration!$K$4:$K$110,0)),1)),U2285)</f>
        <v>1</v>
      </c>
      <c r="AG2285" s="16">
        <f>IF(AC2285=0,IF(O2285=4,INDEX(Acceleration!$T$4:$T$110,MATCH('Track Data'!S2285,Acceleration!$K$4:$K$110,0)),IF('Track Data'!O2285=3,INDEX(Acceleration!$S$4:$S$110,MATCH('Track Data'!S2285,Acceleration!$K$4:$K$110,0)),'Track Data'!AF2285)),'Track Data'!U2285)</f>
        <v>4.668899545953348</v>
      </c>
      <c r="AH2285" s="16">
        <f>IF(AC2285=0,IF(O2285=2,INDEX(Acceleration!$R$4:$R$110,MATCH('Track Data'!S2285,Acceleration!$K$4:$K$110,0)),IF('Track Data'!O2285=1,INDEX(Acceleration!$Q$4:$Q$110,MATCH('Track Data'!S2285,Acceleration!$K$4:$K$110,0)),'Track Data'!AG2285)),'Track Data'!U2285)</f>
        <v>4.668899545953348</v>
      </c>
    </row>
    <row r="2286" spans="2:34" x14ac:dyDescent="0.25">
      <c r="B2286" s="16">
        <v>255.37299999999999</v>
      </c>
      <c r="C2286" s="16">
        <v>9556</v>
      </c>
      <c r="D2286" s="16">
        <v>2283</v>
      </c>
      <c r="E2286" s="113">
        <v>176</v>
      </c>
      <c r="F2286" s="113">
        <v>175</v>
      </c>
      <c r="G2286" s="113">
        <v>173.8</v>
      </c>
      <c r="H2286" s="113">
        <f t="shared" si="250"/>
        <v>48.277777777777779</v>
      </c>
      <c r="I2286" s="113">
        <v>11.6</v>
      </c>
      <c r="J2286" s="113">
        <v>17.59</v>
      </c>
      <c r="K2286" s="113">
        <v>-3.7</v>
      </c>
      <c r="L2286" s="185"/>
      <c r="M2286" s="16">
        <v>2283</v>
      </c>
      <c r="N2286" s="16">
        <f t="shared" si="252"/>
        <v>2.1155748631419474E-2</v>
      </c>
      <c r="O2286" s="16">
        <v>4</v>
      </c>
      <c r="P2286" s="16">
        <f t="shared" si="248"/>
        <v>9.1833785004516724</v>
      </c>
      <c r="Q2286" s="16">
        <f t="shared" si="253"/>
        <v>47.268476167978726</v>
      </c>
      <c r="R2286" s="113">
        <f t="shared" si="249"/>
        <v>329.49099999999999</v>
      </c>
      <c r="S2286" s="16">
        <f>IF(S2285=15800,15800,ROUND((((Q2286*60)/'Gearing Calculator'!$C$14)*'Track Data'!P2286),-2))</f>
        <v>13200</v>
      </c>
      <c r="T2286" s="16">
        <f t="shared" si="251"/>
        <v>4.6205446580837366</v>
      </c>
      <c r="U2286" s="16">
        <f>IF(AC2286=100,Braking!$AG$2354,IF(AC2286=50,Braking!$AG$1179,IF(AC2286=75,Braking!$AG$1767,0)))</f>
        <v>0</v>
      </c>
      <c r="V2286" s="16">
        <f>0.5*'Gearing Calculator'!$C$15*'Gearing Calculator'!$C$20*'Gearing Calculator'!$W$20*('Track Data'!Q2286^2)</f>
        <v>236.47924754545502</v>
      </c>
      <c r="W2286" s="16">
        <f>('Gearing Calculator'!$U$9*'Track Data'!T2286)+'Track Data'!V2286</f>
        <v>1466.4682355273458</v>
      </c>
      <c r="X2286" s="16">
        <f>('Gearing Calculator'!$U$9*9.81)*('Gearing Calculator'!$U$16/'Gearing Calculator'!$C$7)-(('Track Data'!W2286)*('Gearing Calculator'!$U$17/'Gearing Calculator'!$C$7))</f>
        <v>601.83696104726209</v>
      </c>
      <c r="Y2286" s="16">
        <f>('Gearing Calculator'!$U$9*9.81)*(('Gearing Calculator'!$C$7-'Gearing Calculator'!$U$16)/'Gearing Calculator'!$C$7)+(('Track Data'!W2286)*('Gearing Calculator'!$U$17/'Gearing Calculator'!$C$7))</f>
        <v>2009.5850389527379</v>
      </c>
      <c r="Z2286" s="16">
        <f>((X2286*COS('Gearing Calculator'!$C$21))/'Gearing Calculator'!$C$22)/2</f>
        <v>18.606895387444791</v>
      </c>
      <c r="AA2286" s="16">
        <f>Y2286/'Gearing Calculator'!$C$24</f>
        <v>28.060547384821135</v>
      </c>
      <c r="AB2286" s="16">
        <f t="shared" si="247"/>
        <v>254.96142617778997</v>
      </c>
      <c r="AC2286" s="16">
        <v>0</v>
      </c>
      <c r="AD2286" s="16">
        <v>0</v>
      </c>
      <c r="AE2286" s="16">
        <v>2283</v>
      </c>
      <c r="AF2286" s="16">
        <f>IF(AC2286=0,IF(O2286=6,INDEX(Acceleration!$V$4:$V$110,MATCH('Track Data'!S2286,Acceleration!$K$4:$K$110,0)),IF('Track Data'!O2286=5,INDEX(Acceleration!$U$4:$U$110,MATCH('Track Data'!S2286,Acceleration!$K$4:$K$110,0)),1)),U2286)</f>
        <v>1</v>
      </c>
      <c r="AG2286" s="16">
        <f>IF(AC2286=0,IF(O2286=4,INDEX(Acceleration!$T$4:$T$110,MATCH('Track Data'!S2286,Acceleration!$K$4:$K$110,0)),IF('Track Data'!O2286=3,INDEX(Acceleration!$S$4:$S$110,MATCH('Track Data'!S2286,Acceleration!$K$4:$K$110,0)),'Track Data'!AF2286)),'Track Data'!U2286)</f>
        <v>4.6205446580837366</v>
      </c>
      <c r="AH2286" s="16">
        <f>IF(AC2286=0,IF(O2286=2,INDEX(Acceleration!$R$4:$R$110,MATCH('Track Data'!S2286,Acceleration!$K$4:$K$110,0)),IF('Track Data'!O2286=1,INDEX(Acceleration!$Q$4:$Q$110,MATCH('Track Data'!S2286,Acceleration!$K$4:$K$110,0)),'Track Data'!AG2286)),'Track Data'!U2286)</f>
        <v>4.6205446580837366</v>
      </c>
    </row>
    <row r="2287" spans="2:34" x14ac:dyDescent="0.25">
      <c r="B2287" s="16">
        <v>255.39400000000001</v>
      </c>
      <c r="C2287" s="16">
        <v>9557</v>
      </c>
      <c r="D2287" s="16">
        <v>2284</v>
      </c>
      <c r="E2287" s="113">
        <v>177</v>
      </c>
      <c r="F2287" s="113">
        <v>175.5</v>
      </c>
      <c r="G2287" s="113">
        <v>174.2</v>
      </c>
      <c r="H2287" s="113">
        <f t="shared" si="250"/>
        <v>48.388888888888886</v>
      </c>
      <c r="I2287" s="113">
        <v>10.9</v>
      </c>
      <c r="J2287" s="113">
        <v>15.28</v>
      </c>
      <c r="K2287" s="113">
        <v>-3.7</v>
      </c>
      <c r="L2287" s="185"/>
      <c r="M2287" s="16">
        <v>2284</v>
      </c>
      <c r="N2287" s="16">
        <f t="shared" si="252"/>
        <v>2.1112133846615963E-2</v>
      </c>
      <c r="O2287" s="16">
        <v>4</v>
      </c>
      <c r="P2287" s="16">
        <f t="shared" si="248"/>
        <v>9.1833785004516724</v>
      </c>
      <c r="Q2287" s="16">
        <f t="shared" si="253"/>
        <v>47.366126383302024</v>
      </c>
      <c r="R2287" s="113">
        <f t="shared" si="249"/>
        <v>329.49099999999999</v>
      </c>
      <c r="S2287" s="16">
        <f>IF(S2286=15800,15800,ROUND((((Q2287*60)/'Gearing Calculator'!$C$14)*'Track Data'!P2287),-2))</f>
        <v>13200</v>
      </c>
      <c r="T2287" s="16">
        <f t="shared" si="251"/>
        <v>4.6205446580837366</v>
      </c>
      <c r="U2287" s="16">
        <f>IF(AC2287=100,Braking!$AG$2354,IF(AC2287=50,Braking!$AG$1179,IF(AC2287=75,Braking!$AG$1767,0)))</f>
        <v>0</v>
      </c>
      <c r="V2287" s="16">
        <f>0.5*'Gearing Calculator'!$C$15*'Gearing Calculator'!$C$20*'Gearing Calculator'!$W$20*('Track Data'!Q2287^2)</f>
        <v>237.45732443867817</v>
      </c>
      <c r="W2287" s="16">
        <f>('Gearing Calculator'!$U$9*'Track Data'!T2287)+'Track Data'!V2287</f>
        <v>1467.4463124205688</v>
      </c>
      <c r="X2287" s="16">
        <f>('Gearing Calculator'!$U$9*9.81)*('Gearing Calculator'!$U$16/'Gearing Calculator'!$C$7)-(('Track Data'!W2287)*('Gearing Calculator'!$U$17/'Gearing Calculator'!$C$7))</f>
        <v>601.30384234393318</v>
      </c>
      <c r="Y2287" s="16">
        <f>('Gearing Calculator'!$U$9*9.81)*(('Gearing Calculator'!$C$7-'Gearing Calculator'!$U$16)/'Gearing Calculator'!$C$7)+(('Track Data'!W2287)*('Gearing Calculator'!$U$17/'Gearing Calculator'!$C$7))</f>
        <v>2010.1181576560668</v>
      </c>
      <c r="Z2287" s="16">
        <f>((X2287*COS('Gearing Calculator'!$C$21))/'Gearing Calculator'!$C$22)/2</f>
        <v>18.590413043248667</v>
      </c>
      <c r="AA2287" s="16">
        <f>Y2287/'Gearing Calculator'!$C$24</f>
        <v>28.067991510024363</v>
      </c>
      <c r="AB2287" s="16">
        <f t="shared" si="247"/>
        <v>255.93950307101312</v>
      </c>
      <c r="AC2287" s="16">
        <v>0</v>
      </c>
      <c r="AD2287" s="16">
        <v>0</v>
      </c>
      <c r="AE2287" s="16">
        <v>2284</v>
      </c>
      <c r="AF2287" s="16">
        <f>IF(AC2287=0,IF(O2287=6,INDEX(Acceleration!$V$4:$V$110,MATCH('Track Data'!S2287,Acceleration!$K$4:$K$110,0)),IF('Track Data'!O2287=5,INDEX(Acceleration!$U$4:$U$110,MATCH('Track Data'!S2287,Acceleration!$K$4:$K$110,0)),1)),U2287)</f>
        <v>1</v>
      </c>
      <c r="AG2287" s="16">
        <f>IF(AC2287=0,IF(O2287=4,INDEX(Acceleration!$T$4:$T$110,MATCH('Track Data'!S2287,Acceleration!$K$4:$K$110,0)),IF('Track Data'!O2287=3,INDEX(Acceleration!$S$4:$S$110,MATCH('Track Data'!S2287,Acceleration!$K$4:$K$110,0)),'Track Data'!AF2287)),'Track Data'!U2287)</f>
        <v>4.6205446580837366</v>
      </c>
      <c r="AH2287" s="16">
        <f>IF(AC2287=0,IF(O2287=2,INDEX(Acceleration!$R$4:$R$110,MATCH('Track Data'!S2287,Acceleration!$K$4:$K$110,0)),IF('Track Data'!O2287=1,INDEX(Acceleration!$Q$4:$Q$110,MATCH('Track Data'!S2287,Acceleration!$K$4:$K$110,0)),'Track Data'!AG2287)),'Track Data'!U2287)</f>
        <v>4.6205446580837366</v>
      </c>
    </row>
    <row r="2288" spans="2:34" x14ac:dyDescent="0.25">
      <c r="B2288" s="16">
        <v>255.41399999999999</v>
      </c>
      <c r="C2288" s="16">
        <v>9558</v>
      </c>
      <c r="D2288" s="16">
        <v>2285</v>
      </c>
      <c r="E2288" s="113">
        <v>177</v>
      </c>
      <c r="F2288" s="113">
        <v>175.8</v>
      </c>
      <c r="G2288" s="113">
        <v>174.5</v>
      </c>
      <c r="H2288" s="113">
        <f t="shared" si="250"/>
        <v>48.472222222222221</v>
      </c>
      <c r="I2288" s="113">
        <v>8.1999999999999993</v>
      </c>
      <c r="J2288" s="113">
        <v>14.89</v>
      </c>
      <c r="K2288" s="113">
        <v>-3.7</v>
      </c>
      <c r="L2288" s="185"/>
      <c r="M2288" s="16">
        <v>2285</v>
      </c>
      <c r="N2288" s="16">
        <f t="shared" si="252"/>
        <v>2.1068787703634503E-2</v>
      </c>
      <c r="O2288" s="16">
        <v>4</v>
      </c>
      <c r="P2288" s="16">
        <f t="shared" si="248"/>
        <v>9.1833785004516724</v>
      </c>
      <c r="Q2288" s="16">
        <f t="shared" si="253"/>
        <v>47.463575696265309</v>
      </c>
      <c r="R2288" s="113">
        <f t="shared" si="249"/>
        <v>329.49099999999999</v>
      </c>
      <c r="S2288" s="16">
        <f>IF(S2287=15800,15800,ROUND((((Q2288*60)/'Gearing Calculator'!$C$14)*'Track Data'!P2288),-2))</f>
        <v>13200</v>
      </c>
      <c r="T2288" s="16">
        <f t="shared" si="251"/>
        <v>4.6205446580837366</v>
      </c>
      <c r="U2288" s="16">
        <f>IF(AC2288=100,Braking!$AG$2354,IF(AC2288=50,Braking!$AG$1179,IF(AC2288=75,Braking!$AG$1767,0)))</f>
        <v>0</v>
      </c>
      <c r="V2288" s="16">
        <f>0.5*'Gearing Calculator'!$C$15*'Gearing Calculator'!$C$20*'Gearing Calculator'!$W$20*('Track Data'!Q2288^2)</f>
        <v>238.43540133190126</v>
      </c>
      <c r="W2288" s="16">
        <f>('Gearing Calculator'!$U$9*'Track Data'!T2288)+'Track Data'!V2288</f>
        <v>1468.4243893137918</v>
      </c>
      <c r="X2288" s="16">
        <f>('Gearing Calculator'!$U$9*9.81)*('Gearing Calculator'!$U$16/'Gearing Calculator'!$C$7)-(('Track Data'!W2288)*('Gearing Calculator'!$U$17/'Gearing Calculator'!$C$7))</f>
        <v>600.77072364060439</v>
      </c>
      <c r="Y2288" s="16">
        <f>('Gearing Calculator'!$U$9*9.81)*(('Gearing Calculator'!$C$7-'Gearing Calculator'!$U$16)/'Gearing Calculator'!$C$7)+(('Track Data'!W2288)*('Gearing Calculator'!$U$17/'Gearing Calculator'!$C$7))</f>
        <v>2010.6512763593955</v>
      </c>
      <c r="Z2288" s="16">
        <f>((X2288*COS('Gearing Calculator'!$C$21))/'Gearing Calculator'!$C$22)/2</f>
        <v>18.573930699052543</v>
      </c>
      <c r="AA2288" s="16">
        <f>Y2288/'Gearing Calculator'!$C$24</f>
        <v>28.075435635227585</v>
      </c>
      <c r="AB2288" s="16">
        <f t="shared" si="247"/>
        <v>256.91757996423621</v>
      </c>
      <c r="AC2288" s="16">
        <v>0</v>
      </c>
      <c r="AD2288" s="16">
        <v>0</v>
      </c>
      <c r="AE2288" s="16">
        <v>2285</v>
      </c>
      <c r="AF2288" s="16">
        <f>IF(AC2288=0,IF(O2288=6,INDEX(Acceleration!$V$4:$V$110,MATCH('Track Data'!S2288,Acceleration!$K$4:$K$110,0)),IF('Track Data'!O2288=5,INDEX(Acceleration!$U$4:$U$110,MATCH('Track Data'!S2288,Acceleration!$K$4:$K$110,0)),1)),U2288)</f>
        <v>1</v>
      </c>
      <c r="AG2288" s="16">
        <f>IF(AC2288=0,IF(O2288=4,INDEX(Acceleration!$T$4:$T$110,MATCH('Track Data'!S2288,Acceleration!$K$4:$K$110,0)),IF('Track Data'!O2288=3,INDEX(Acceleration!$S$4:$S$110,MATCH('Track Data'!S2288,Acceleration!$K$4:$K$110,0)),'Track Data'!AF2288)),'Track Data'!U2288)</f>
        <v>4.6205446580837366</v>
      </c>
      <c r="AH2288" s="16">
        <f>IF(AC2288=0,IF(O2288=2,INDEX(Acceleration!$R$4:$R$110,MATCH('Track Data'!S2288,Acceleration!$K$4:$K$110,0)),IF('Track Data'!O2288=1,INDEX(Acceleration!$Q$4:$Q$110,MATCH('Track Data'!S2288,Acceleration!$K$4:$K$110,0)),'Track Data'!AG2288)),'Track Data'!U2288)</f>
        <v>4.6205446580837366</v>
      </c>
    </row>
    <row r="2289" spans="2:34" x14ac:dyDescent="0.25">
      <c r="B2289" s="16">
        <v>255.434</v>
      </c>
      <c r="C2289" s="16">
        <v>9559</v>
      </c>
      <c r="D2289" s="16">
        <v>2286</v>
      </c>
      <c r="E2289" s="113">
        <v>178</v>
      </c>
      <c r="F2289" s="113">
        <v>176.1</v>
      </c>
      <c r="G2289" s="113">
        <v>174.9</v>
      </c>
      <c r="H2289" s="113">
        <f t="shared" si="250"/>
        <v>48.583333333333336</v>
      </c>
      <c r="I2289" s="113">
        <v>5.9</v>
      </c>
      <c r="J2289" s="113">
        <v>15.25</v>
      </c>
      <c r="K2289" s="113">
        <v>-3.7</v>
      </c>
      <c r="L2289" s="185"/>
      <c r="M2289" s="16">
        <v>2286</v>
      </c>
      <c r="N2289" s="16">
        <f t="shared" si="252"/>
        <v>2.1025707455954352E-2</v>
      </c>
      <c r="O2289" s="16">
        <v>4</v>
      </c>
      <c r="P2289" s="16">
        <f t="shared" si="248"/>
        <v>9.1833785004516724</v>
      </c>
      <c r="Q2289" s="16">
        <f t="shared" si="253"/>
        <v>47.560825341779697</v>
      </c>
      <c r="R2289" s="113">
        <f t="shared" si="249"/>
        <v>329.49099999999999</v>
      </c>
      <c r="S2289" s="16">
        <f>IF(S2288=15800,15800,ROUND((((Q2289*60)/'Gearing Calculator'!$C$14)*'Track Data'!P2289),-2))</f>
        <v>13200</v>
      </c>
      <c r="T2289" s="16">
        <f t="shared" si="251"/>
        <v>4.6205446580837366</v>
      </c>
      <c r="U2289" s="16">
        <f>IF(AC2289=100,Braking!$AG$2354,IF(AC2289=50,Braking!$AG$1179,IF(AC2289=75,Braking!$AG$1767,0)))</f>
        <v>0</v>
      </c>
      <c r="V2289" s="16">
        <f>0.5*'Gearing Calculator'!$C$15*'Gearing Calculator'!$C$20*'Gearing Calculator'!$W$20*('Track Data'!Q2289^2)</f>
        <v>239.41347822512441</v>
      </c>
      <c r="W2289" s="16">
        <f>('Gearing Calculator'!$U$9*'Track Data'!T2289)+'Track Data'!V2289</f>
        <v>1469.4024662070151</v>
      </c>
      <c r="X2289" s="16">
        <f>('Gearing Calculator'!$U$9*9.81)*('Gearing Calculator'!$U$16/'Gearing Calculator'!$C$7)-(('Track Data'!W2289)*('Gearing Calculator'!$U$17/'Gearing Calculator'!$C$7))</f>
        <v>600.23760493727536</v>
      </c>
      <c r="Y2289" s="16">
        <f>('Gearing Calculator'!$U$9*9.81)*(('Gearing Calculator'!$C$7-'Gearing Calculator'!$U$16)/'Gearing Calculator'!$C$7)+(('Track Data'!W2289)*('Gearing Calculator'!$U$17/'Gearing Calculator'!$C$7))</f>
        <v>2011.1843950627247</v>
      </c>
      <c r="Z2289" s="16">
        <f>((X2289*COS('Gearing Calculator'!$C$21))/'Gearing Calculator'!$C$22)/2</f>
        <v>18.557448354856415</v>
      </c>
      <c r="AA2289" s="16">
        <f>Y2289/'Gearing Calculator'!$C$24</f>
        <v>28.082879760430814</v>
      </c>
      <c r="AB2289" s="16">
        <f t="shared" si="247"/>
        <v>257.89565685745936</v>
      </c>
      <c r="AC2289" s="16">
        <v>0</v>
      </c>
      <c r="AD2289" s="16">
        <v>0</v>
      </c>
      <c r="AE2289" s="16">
        <v>2286</v>
      </c>
      <c r="AF2289" s="16">
        <f>IF(AC2289=0,IF(O2289=6,INDEX(Acceleration!$V$4:$V$110,MATCH('Track Data'!S2289,Acceleration!$K$4:$K$110,0)),IF('Track Data'!O2289=5,INDEX(Acceleration!$U$4:$U$110,MATCH('Track Data'!S2289,Acceleration!$K$4:$K$110,0)),1)),U2289)</f>
        <v>1</v>
      </c>
      <c r="AG2289" s="16">
        <f>IF(AC2289=0,IF(O2289=4,INDEX(Acceleration!$T$4:$T$110,MATCH('Track Data'!S2289,Acceleration!$K$4:$K$110,0)),IF('Track Data'!O2289=3,INDEX(Acceleration!$S$4:$S$110,MATCH('Track Data'!S2289,Acceleration!$K$4:$K$110,0)),'Track Data'!AF2289)),'Track Data'!U2289)</f>
        <v>4.6205446580837366</v>
      </c>
      <c r="AH2289" s="16">
        <f>IF(AC2289=0,IF(O2289=2,INDEX(Acceleration!$R$4:$R$110,MATCH('Track Data'!S2289,Acceleration!$K$4:$K$110,0)),IF('Track Data'!O2289=1,INDEX(Acceleration!$Q$4:$Q$110,MATCH('Track Data'!S2289,Acceleration!$K$4:$K$110,0)),'Track Data'!AG2289)),'Track Data'!U2289)</f>
        <v>4.6205446580837366</v>
      </c>
    </row>
    <row r="2290" spans="2:34" x14ac:dyDescent="0.25">
      <c r="B2290" s="16">
        <v>255.45500000000001</v>
      </c>
      <c r="C2290" s="16">
        <v>9560</v>
      </c>
      <c r="D2290" s="16">
        <v>2287</v>
      </c>
      <c r="E2290" s="113">
        <v>178</v>
      </c>
      <c r="F2290" s="113">
        <v>176.2</v>
      </c>
      <c r="G2290" s="113">
        <v>175.2</v>
      </c>
      <c r="H2290" s="113">
        <f t="shared" si="250"/>
        <v>48.666666666666664</v>
      </c>
      <c r="I2290" s="113">
        <v>4.4000000000000004</v>
      </c>
      <c r="J2290" s="113">
        <v>14.9</v>
      </c>
      <c r="K2290" s="113">
        <v>-3.3</v>
      </c>
      <c r="L2290" s="185"/>
      <c r="M2290" s="16">
        <v>2287</v>
      </c>
      <c r="N2290" s="16">
        <f t="shared" si="252"/>
        <v>2.0982890396206228E-2</v>
      </c>
      <c r="O2290" s="16">
        <v>4</v>
      </c>
      <c r="P2290" s="16">
        <f t="shared" si="248"/>
        <v>9.1833785004516724</v>
      </c>
      <c r="Q2290" s="16">
        <f t="shared" si="253"/>
        <v>47.657876542156608</v>
      </c>
      <c r="R2290" s="113">
        <f t="shared" si="249"/>
        <v>329.49099999999999</v>
      </c>
      <c r="S2290" s="16">
        <f>IF(S2289=15800,15800,ROUND((((Q2290*60)/'Gearing Calculator'!$C$14)*'Track Data'!P2290),-2))</f>
        <v>13300</v>
      </c>
      <c r="T2290" s="16">
        <f t="shared" si="251"/>
        <v>4.5727201699956463</v>
      </c>
      <c r="U2290" s="16">
        <f>IF(AC2290=100,Braking!$AG$2354,IF(AC2290=50,Braking!$AG$1179,IF(AC2290=75,Braking!$AG$1767,0)))</f>
        <v>0</v>
      </c>
      <c r="V2290" s="16">
        <f>0.5*'Gearing Calculator'!$C$15*'Gearing Calculator'!$C$20*'Gearing Calculator'!$W$20*('Track Data'!Q2290^2)</f>
        <v>240.39155511834753</v>
      </c>
      <c r="W2290" s="16">
        <f>('Gearing Calculator'!$U$9*'Track Data'!T2290)+'Track Data'!V2290</f>
        <v>1457.6496643711885</v>
      </c>
      <c r="X2290" s="16">
        <f>('Gearing Calculator'!$U$9*9.81)*('Gearing Calculator'!$U$16/'Gearing Calculator'!$C$7)-(('Track Data'!W2290)*('Gearing Calculator'!$U$17/'Gearing Calculator'!$C$7))</f>
        <v>606.64368458051308</v>
      </c>
      <c r="Y2290" s="16">
        <f>('Gearing Calculator'!$U$9*9.81)*(('Gearing Calculator'!$C$7-'Gearing Calculator'!$U$16)/'Gearing Calculator'!$C$7)+(('Track Data'!W2290)*('Gearing Calculator'!$U$17/'Gearing Calculator'!$C$7))</f>
        <v>2004.7783154194869</v>
      </c>
      <c r="Z2290" s="16">
        <f>((X2290*COS('Gearing Calculator'!$C$21))/'Gearing Calculator'!$C$22)/2</f>
        <v>18.7555040767216</v>
      </c>
      <c r="AA2290" s="16">
        <f>Y2290/'Gearing Calculator'!$C$24</f>
        <v>27.993429402324203</v>
      </c>
      <c r="AB2290" s="16">
        <f t="shared" si="247"/>
        <v>258.68243579833012</v>
      </c>
      <c r="AC2290" s="16">
        <v>0</v>
      </c>
      <c r="AD2290" s="16">
        <v>0</v>
      </c>
      <c r="AE2290" s="16">
        <v>2287</v>
      </c>
      <c r="AF2290" s="16">
        <f>IF(AC2290=0,IF(O2290=6,INDEX(Acceleration!$V$4:$V$110,MATCH('Track Data'!S2290,Acceleration!$K$4:$K$110,0)),IF('Track Data'!O2290=5,INDEX(Acceleration!$U$4:$U$110,MATCH('Track Data'!S2290,Acceleration!$K$4:$K$110,0)),1)),U2290)</f>
        <v>1</v>
      </c>
      <c r="AG2290" s="16">
        <f>IF(AC2290=0,IF(O2290=4,INDEX(Acceleration!$T$4:$T$110,MATCH('Track Data'!S2290,Acceleration!$K$4:$K$110,0)),IF('Track Data'!O2290=3,INDEX(Acceleration!$S$4:$S$110,MATCH('Track Data'!S2290,Acceleration!$K$4:$K$110,0)),'Track Data'!AF2290)),'Track Data'!U2290)</f>
        <v>4.5727201699956463</v>
      </c>
      <c r="AH2290" s="16">
        <f>IF(AC2290=0,IF(O2290=2,INDEX(Acceleration!$R$4:$R$110,MATCH('Track Data'!S2290,Acceleration!$K$4:$K$110,0)),IF('Track Data'!O2290=1,INDEX(Acceleration!$Q$4:$Q$110,MATCH('Track Data'!S2290,Acceleration!$K$4:$K$110,0)),'Track Data'!AG2290)),'Track Data'!U2290)</f>
        <v>4.5727201699956463</v>
      </c>
    </row>
    <row r="2291" spans="2:34" x14ac:dyDescent="0.25">
      <c r="B2291" s="16">
        <v>255.47499999999999</v>
      </c>
      <c r="C2291" s="16">
        <v>9561</v>
      </c>
      <c r="D2291" s="16">
        <v>2288</v>
      </c>
      <c r="E2291" s="113">
        <v>178</v>
      </c>
      <c r="F2291" s="113">
        <v>176.3</v>
      </c>
      <c r="G2291" s="113">
        <v>175.5</v>
      </c>
      <c r="H2291" s="113">
        <f t="shared" si="250"/>
        <v>48.75</v>
      </c>
      <c r="I2291" s="113">
        <v>3.8</v>
      </c>
      <c r="J2291" s="113">
        <v>13.88</v>
      </c>
      <c r="K2291" s="113">
        <v>-2.7</v>
      </c>
      <c r="L2291" s="185"/>
      <c r="M2291" s="16">
        <v>2288</v>
      </c>
      <c r="N2291" s="16">
        <f t="shared" si="252"/>
        <v>2.0940773007387885E-2</v>
      </c>
      <c r="O2291" s="16">
        <v>4</v>
      </c>
      <c r="P2291" s="16">
        <f t="shared" si="248"/>
        <v>9.1833785004516724</v>
      </c>
      <c r="Q2291" s="16">
        <f t="shared" si="253"/>
        <v>47.753729036038976</v>
      </c>
      <c r="R2291" s="113">
        <f t="shared" si="249"/>
        <v>329.49099999999999</v>
      </c>
      <c r="S2291" s="16">
        <f>IF(S2290=15800,15800,ROUND((((Q2291*60)/'Gearing Calculator'!$C$14)*'Track Data'!P2291),-2))</f>
        <v>13300</v>
      </c>
      <c r="T2291" s="16">
        <f t="shared" si="251"/>
        <v>4.5727201699956463</v>
      </c>
      <c r="U2291" s="16">
        <f>IF(AC2291=100,Braking!$AG$2354,IF(AC2291=50,Braking!$AG$1179,IF(AC2291=75,Braking!$AG$1767,0)))</f>
        <v>0</v>
      </c>
      <c r="V2291" s="16">
        <f>0.5*'Gearing Calculator'!$C$15*'Gearing Calculator'!$C$20*'Gearing Calculator'!$W$20*('Track Data'!Q2291^2)</f>
        <v>241.35950852393219</v>
      </c>
      <c r="W2291" s="16">
        <f>('Gearing Calculator'!$U$9*'Track Data'!T2291)+'Track Data'!V2291</f>
        <v>1458.6176177767732</v>
      </c>
      <c r="X2291" s="16">
        <f>('Gearing Calculator'!$U$9*9.81)*('Gearing Calculator'!$U$16/'Gearing Calculator'!$C$7)-(('Track Data'!W2291)*('Gearing Calculator'!$U$17/'Gearing Calculator'!$C$7))</f>
        <v>606.11608386931778</v>
      </c>
      <c r="Y2291" s="16">
        <f>('Gearing Calculator'!$U$9*9.81)*(('Gearing Calculator'!$C$7-'Gearing Calculator'!$U$16)/'Gearing Calculator'!$C$7)+(('Track Data'!W2291)*('Gearing Calculator'!$U$17/'Gearing Calculator'!$C$7))</f>
        <v>2005.3059161306824</v>
      </c>
      <c r="Z2291" s="16">
        <f>((X2291*COS('Gearing Calculator'!$C$21))/'Gearing Calculator'!$C$22)/2</f>
        <v>18.739192331390324</v>
      </c>
      <c r="AA2291" s="16">
        <f>Y2291/'Gearing Calculator'!$C$24</f>
        <v>28.000796477849647</v>
      </c>
      <c r="AB2291" s="16">
        <f t="shared" si="247"/>
        <v>259.65038920391476</v>
      </c>
      <c r="AC2291" s="16">
        <v>0</v>
      </c>
      <c r="AD2291" s="16">
        <v>0</v>
      </c>
      <c r="AE2291" s="16">
        <v>2288</v>
      </c>
      <c r="AF2291" s="16">
        <f>IF(AC2291=0,IF(O2291=6,INDEX(Acceleration!$V$4:$V$110,MATCH('Track Data'!S2291,Acceleration!$K$4:$K$110,0)),IF('Track Data'!O2291=5,INDEX(Acceleration!$U$4:$U$110,MATCH('Track Data'!S2291,Acceleration!$K$4:$K$110,0)),1)),U2291)</f>
        <v>1</v>
      </c>
      <c r="AG2291" s="16">
        <f>IF(AC2291=0,IF(O2291=4,INDEX(Acceleration!$T$4:$T$110,MATCH('Track Data'!S2291,Acceleration!$K$4:$K$110,0)),IF('Track Data'!O2291=3,INDEX(Acceleration!$S$4:$S$110,MATCH('Track Data'!S2291,Acceleration!$K$4:$K$110,0)),'Track Data'!AF2291)),'Track Data'!U2291)</f>
        <v>4.5727201699956463</v>
      </c>
      <c r="AH2291" s="16">
        <f>IF(AC2291=0,IF(O2291=2,INDEX(Acceleration!$R$4:$R$110,MATCH('Track Data'!S2291,Acceleration!$K$4:$K$110,0)),IF('Track Data'!O2291=1,INDEX(Acceleration!$Q$4:$Q$110,MATCH('Track Data'!S2291,Acceleration!$K$4:$K$110,0)),'Track Data'!AG2291)),'Track Data'!U2291)</f>
        <v>4.5727201699956463</v>
      </c>
    </row>
    <row r="2292" spans="2:34" x14ac:dyDescent="0.25">
      <c r="B2292" s="16">
        <v>255.49600000000001</v>
      </c>
      <c r="C2292" s="16">
        <v>9562</v>
      </c>
      <c r="D2292" s="16">
        <v>2289</v>
      </c>
      <c r="E2292" s="113">
        <v>178</v>
      </c>
      <c r="F2292" s="113">
        <v>176.5</v>
      </c>
      <c r="G2292" s="113">
        <v>175.9</v>
      </c>
      <c r="H2292" s="113">
        <f t="shared" si="250"/>
        <v>48.861111111111114</v>
      </c>
      <c r="I2292" s="113">
        <v>3.2</v>
      </c>
      <c r="J2292" s="113">
        <v>12.6</v>
      </c>
      <c r="K2292" s="113">
        <v>-2</v>
      </c>
      <c r="L2292" s="185"/>
      <c r="M2292" s="16">
        <v>2289</v>
      </c>
      <c r="N2292" s="16">
        <f t="shared" si="252"/>
        <v>2.0898908221942021E-2</v>
      </c>
      <c r="O2292" s="16">
        <v>4</v>
      </c>
      <c r="P2292" s="16">
        <f t="shared" si="248"/>
        <v>9.1833785004516724</v>
      </c>
      <c r="Q2292" s="16">
        <f t="shared" si="253"/>
        <v>47.849389517395345</v>
      </c>
      <c r="R2292" s="113">
        <f t="shared" si="249"/>
        <v>329.49099999999999</v>
      </c>
      <c r="S2292" s="16">
        <f>IF(S2291=15800,15800,ROUND((((Q2292*60)/'Gearing Calculator'!$C$14)*'Track Data'!P2292),-2))</f>
        <v>13300</v>
      </c>
      <c r="T2292" s="16">
        <f t="shared" si="251"/>
        <v>4.5727201699956463</v>
      </c>
      <c r="U2292" s="16">
        <f>IF(AC2292=100,Braking!$AG$2354,IF(AC2292=50,Braking!$AG$1179,IF(AC2292=75,Braking!$AG$1767,0)))</f>
        <v>0</v>
      </c>
      <c r="V2292" s="16">
        <f>0.5*'Gearing Calculator'!$C$15*'Gearing Calculator'!$C$20*'Gearing Calculator'!$W$20*('Track Data'!Q2292^2)</f>
        <v>242.32746192951689</v>
      </c>
      <c r="W2292" s="16">
        <f>('Gearing Calculator'!$U$9*'Track Data'!T2292)+'Track Data'!V2292</f>
        <v>1459.5855711823579</v>
      </c>
      <c r="X2292" s="16">
        <f>('Gearing Calculator'!$U$9*9.81)*('Gearing Calculator'!$U$16/'Gearing Calculator'!$C$7)-(('Track Data'!W2292)*('Gearing Calculator'!$U$17/'Gearing Calculator'!$C$7))</f>
        <v>605.58848315812259</v>
      </c>
      <c r="Y2292" s="16">
        <f>('Gearing Calculator'!$U$9*9.81)*(('Gearing Calculator'!$C$7-'Gearing Calculator'!$U$16)/'Gearing Calculator'!$C$7)+(('Track Data'!W2292)*('Gearing Calculator'!$U$17/'Gearing Calculator'!$C$7))</f>
        <v>2005.8335168418776</v>
      </c>
      <c r="Z2292" s="16">
        <f>((X2292*COS('Gearing Calculator'!$C$21))/'Gearing Calculator'!$C$22)/2</f>
        <v>18.722880586059048</v>
      </c>
      <c r="AA2292" s="16">
        <f>Y2292/'Gearing Calculator'!$C$24</f>
        <v>28.008163553375088</v>
      </c>
      <c r="AB2292" s="16">
        <f t="shared" si="247"/>
        <v>260.61834260949945</v>
      </c>
      <c r="AC2292" s="16">
        <v>0</v>
      </c>
      <c r="AD2292" s="16">
        <v>0</v>
      </c>
      <c r="AE2292" s="16">
        <v>2289</v>
      </c>
      <c r="AF2292" s="16">
        <f>IF(AC2292=0,IF(O2292=6,INDEX(Acceleration!$V$4:$V$110,MATCH('Track Data'!S2292,Acceleration!$K$4:$K$110,0)),IF('Track Data'!O2292=5,INDEX(Acceleration!$U$4:$U$110,MATCH('Track Data'!S2292,Acceleration!$K$4:$K$110,0)),1)),U2292)</f>
        <v>1</v>
      </c>
      <c r="AG2292" s="16">
        <f>IF(AC2292=0,IF(O2292=4,INDEX(Acceleration!$T$4:$T$110,MATCH('Track Data'!S2292,Acceleration!$K$4:$K$110,0)),IF('Track Data'!O2292=3,INDEX(Acceleration!$S$4:$S$110,MATCH('Track Data'!S2292,Acceleration!$K$4:$K$110,0)),'Track Data'!AF2292)),'Track Data'!U2292)</f>
        <v>4.5727201699956463</v>
      </c>
      <c r="AH2292" s="16">
        <f>IF(AC2292=0,IF(O2292=2,INDEX(Acceleration!$R$4:$R$110,MATCH('Track Data'!S2292,Acceleration!$K$4:$K$110,0)),IF('Track Data'!O2292=1,INDEX(Acceleration!$Q$4:$Q$110,MATCH('Track Data'!S2292,Acceleration!$K$4:$K$110,0)),'Track Data'!AG2292)),'Track Data'!U2292)</f>
        <v>4.5727201699956463</v>
      </c>
    </row>
    <row r="2293" spans="2:34" x14ac:dyDescent="0.25">
      <c r="B2293" s="16">
        <v>255.51599999999999</v>
      </c>
      <c r="C2293" s="16">
        <v>9563</v>
      </c>
      <c r="D2293" s="16">
        <v>2290</v>
      </c>
      <c r="E2293" s="113">
        <v>179</v>
      </c>
      <c r="F2293" s="113">
        <v>176.9</v>
      </c>
      <c r="G2293" s="113">
        <v>176.2</v>
      </c>
      <c r="H2293" s="113">
        <f t="shared" si="250"/>
        <v>48.944444444444443</v>
      </c>
      <c r="I2293" s="113">
        <v>2.8</v>
      </c>
      <c r="J2293" s="113">
        <v>10.96</v>
      </c>
      <c r="K2293" s="113">
        <v>-1.4</v>
      </c>
      <c r="L2293" s="185"/>
      <c r="M2293" s="16">
        <v>2290</v>
      </c>
      <c r="N2293" s="16">
        <f t="shared" si="252"/>
        <v>2.0857293524898322E-2</v>
      </c>
      <c r="O2293" s="16">
        <v>4</v>
      </c>
      <c r="P2293" s="16">
        <f t="shared" si="248"/>
        <v>9.1833785004516724</v>
      </c>
      <c r="Q2293" s="16">
        <f t="shared" si="253"/>
        <v>47.944859135546686</v>
      </c>
      <c r="R2293" s="113">
        <f t="shared" si="249"/>
        <v>329.49099999999999</v>
      </c>
      <c r="S2293" s="16">
        <f>IF(S2292=15800,15800,ROUND((((Q2293*60)/'Gearing Calculator'!$C$14)*'Track Data'!P2293),-2))</f>
        <v>13300</v>
      </c>
      <c r="T2293" s="16">
        <f t="shared" si="251"/>
        <v>4.5727201699956463</v>
      </c>
      <c r="U2293" s="16">
        <f>IF(AC2293=100,Braking!$AG$2354,IF(AC2293=50,Braking!$AG$1179,IF(AC2293=75,Braking!$AG$1767,0)))</f>
        <v>0</v>
      </c>
      <c r="V2293" s="16">
        <f>0.5*'Gearing Calculator'!$C$15*'Gearing Calculator'!$C$20*'Gearing Calculator'!$W$20*('Track Data'!Q2293^2)</f>
        <v>243.29541533510152</v>
      </c>
      <c r="W2293" s="16">
        <f>('Gearing Calculator'!$U$9*'Track Data'!T2293)+'Track Data'!V2293</f>
        <v>1460.5535245879425</v>
      </c>
      <c r="X2293" s="16">
        <f>('Gearing Calculator'!$U$9*9.81)*('Gearing Calculator'!$U$16/'Gearing Calculator'!$C$7)-(('Track Data'!W2293)*('Gearing Calculator'!$U$17/'Gearing Calculator'!$C$7))</f>
        <v>605.06088244692739</v>
      </c>
      <c r="Y2293" s="16">
        <f>('Gearing Calculator'!$U$9*9.81)*(('Gearing Calculator'!$C$7-'Gearing Calculator'!$U$16)/'Gearing Calculator'!$C$7)+(('Track Data'!W2293)*('Gearing Calculator'!$U$17/'Gearing Calculator'!$C$7))</f>
        <v>2006.3611175530727</v>
      </c>
      <c r="Z2293" s="16">
        <f>((X2293*COS('Gearing Calculator'!$C$21))/'Gearing Calculator'!$C$22)/2</f>
        <v>18.706568840727776</v>
      </c>
      <c r="AA2293" s="16">
        <f>Y2293/'Gearing Calculator'!$C$24</f>
        <v>28.015530628900525</v>
      </c>
      <c r="AB2293" s="16">
        <f t="shared" si="247"/>
        <v>261.58629601508409</v>
      </c>
      <c r="AC2293" s="16">
        <v>0</v>
      </c>
      <c r="AD2293" s="16">
        <v>0</v>
      </c>
      <c r="AE2293" s="16">
        <v>2290</v>
      </c>
      <c r="AF2293" s="16">
        <f>IF(AC2293=0,IF(O2293=6,INDEX(Acceleration!$V$4:$V$110,MATCH('Track Data'!S2293,Acceleration!$K$4:$K$110,0)),IF('Track Data'!O2293=5,INDEX(Acceleration!$U$4:$U$110,MATCH('Track Data'!S2293,Acceleration!$K$4:$K$110,0)),1)),U2293)</f>
        <v>1</v>
      </c>
      <c r="AG2293" s="16">
        <f>IF(AC2293=0,IF(O2293=4,INDEX(Acceleration!$T$4:$T$110,MATCH('Track Data'!S2293,Acceleration!$K$4:$K$110,0)),IF('Track Data'!O2293=3,INDEX(Acceleration!$S$4:$S$110,MATCH('Track Data'!S2293,Acceleration!$K$4:$K$110,0)),'Track Data'!AF2293)),'Track Data'!U2293)</f>
        <v>4.5727201699956463</v>
      </c>
      <c r="AH2293" s="16">
        <f>IF(AC2293=0,IF(O2293=2,INDEX(Acceleration!$R$4:$R$110,MATCH('Track Data'!S2293,Acceleration!$K$4:$K$110,0)),IF('Track Data'!O2293=1,INDEX(Acceleration!$Q$4:$Q$110,MATCH('Track Data'!S2293,Acceleration!$K$4:$K$110,0)),'Track Data'!AG2293)),'Track Data'!U2293)</f>
        <v>4.5727201699956463</v>
      </c>
    </row>
    <row r="2294" spans="2:34" x14ac:dyDescent="0.25">
      <c r="B2294" s="16">
        <v>255.536</v>
      </c>
      <c r="C2294" s="16">
        <v>9564</v>
      </c>
      <c r="D2294" s="16">
        <v>2291</v>
      </c>
      <c r="E2294" s="113">
        <v>179</v>
      </c>
      <c r="F2294" s="113">
        <v>177.7</v>
      </c>
      <c r="G2294" s="113">
        <v>176.5</v>
      </c>
      <c r="H2294" s="113">
        <f t="shared" si="250"/>
        <v>49.027777777777779</v>
      </c>
      <c r="I2294" s="113">
        <v>2</v>
      </c>
      <c r="J2294" s="113">
        <v>11.94</v>
      </c>
      <c r="K2294" s="113">
        <v>-1.1000000000000001</v>
      </c>
      <c r="L2294" s="185"/>
      <c r="M2294" s="16">
        <v>2291</v>
      </c>
      <c r="N2294" s="16">
        <f t="shared" si="252"/>
        <v>2.0815926436202791E-2</v>
      </c>
      <c r="O2294" s="16">
        <v>4</v>
      </c>
      <c r="P2294" s="16">
        <f t="shared" si="248"/>
        <v>9.1833785004516724</v>
      </c>
      <c r="Q2294" s="16">
        <f t="shared" si="253"/>
        <v>48.040139028393803</v>
      </c>
      <c r="R2294" s="113">
        <f t="shared" si="249"/>
        <v>329.49099999999999</v>
      </c>
      <c r="S2294" s="16">
        <f>IF(S2293=15800,15800,ROUND((((Q2294*60)/'Gearing Calculator'!$C$14)*'Track Data'!P2294),-2))</f>
        <v>13400</v>
      </c>
      <c r="T2294" s="16">
        <f t="shared" si="251"/>
        <v>4.5254127277249072</v>
      </c>
      <c r="U2294" s="16">
        <f>IF(AC2294=100,Braking!$AG$2354,IF(AC2294=50,Braking!$AG$1179,IF(AC2294=75,Braking!$AG$1767,0)))</f>
        <v>0</v>
      </c>
      <c r="V2294" s="16">
        <f>0.5*'Gearing Calculator'!$C$15*'Gearing Calculator'!$C$20*'Gearing Calculator'!$W$20*('Track Data'!Q2294^2)</f>
        <v>244.26336874068619</v>
      </c>
      <c r="W2294" s="16">
        <f>('Gearing Calculator'!$U$9*'Track Data'!T2294)+'Track Data'!V2294</f>
        <v>1448.9282368610566</v>
      </c>
      <c r="X2294" s="16">
        <f>('Gearing Calculator'!$U$9*9.81)*('Gearing Calculator'!$U$16/'Gearing Calculator'!$C$7)-(('Track Data'!W2294)*('Gearing Calculator'!$U$17/'Gearing Calculator'!$C$7))</f>
        <v>611.39745819237794</v>
      </c>
      <c r="Y2294" s="16">
        <f>('Gearing Calculator'!$U$9*9.81)*(('Gearing Calculator'!$C$7-'Gearing Calculator'!$U$16)/'Gearing Calculator'!$C$7)+(('Track Data'!W2294)*('Gearing Calculator'!$U$17/'Gearing Calculator'!$C$7))</f>
        <v>2000.024541807622</v>
      </c>
      <c r="Z2294" s="16">
        <f>((X2294*COS('Gearing Calculator'!$C$21))/'Gearing Calculator'!$C$22)/2</f>
        <v>18.902475721895478</v>
      </c>
      <c r="AA2294" s="16">
        <f>Y2294/'Gearing Calculator'!$C$24</f>
        <v>27.927050778326304</v>
      </c>
      <c r="AB2294" s="16">
        <f t="shared" ref="AB2294:AB2357" si="254">(T2294*O2294)+V2294</f>
        <v>262.36501965158584</v>
      </c>
      <c r="AC2294" s="16">
        <v>0</v>
      </c>
      <c r="AD2294" s="16">
        <v>0</v>
      </c>
      <c r="AE2294" s="16">
        <v>2291</v>
      </c>
      <c r="AF2294" s="16">
        <f>IF(AC2294=0,IF(O2294=6,INDEX(Acceleration!$V$4:$V$110,MATCH('Track Data'!S2294,Acceleration!$K$4:$K$110,0)),IF('Track Data'!O2294=5,INDEX(Acceleration!$U$4:$U$110,MATCH('Track Data'!S2294,Acceleration!$K$4:$K$110,0)),1)),U2294)</f>
        <v>1</v>
      </c>
      <c r="AG2294" s="16">
        <f>IF(AC2294=0,IF(O2294=4,INDEX(Acceleration!$T$4:$T$110,MATCH('Track Data'!S2294,Acceleration!$K$4:$K$110,0)),IF('Track Data'!O2294=3,INDEX(Acceleration!$S$4:$S$110,MATCH('Track Data'!S2294,Acceleration!$K$4:$K$110,0)),'Track Data'!AF2294)),'Track Data'!U2294)</f>
        <v>4.5254127277249072</v>
      </c>
      <c r="AH2294" s="16">
        <f>IF(AC2294=0,IF(O2294=2,INDEX(Acceleration!$R$4:$R$110,MATCH('Track Data'!S2294,Acceleration!$K$4:$K$110,0)),IF('Track Data'!O2294=1,INDEX(Acceleration!$Q$4:$Q$110,MATCH('Track Data'!S2294,Acceleration!$K$4:$K$110,0)),'Track Data'!AG2294)),'Track Data'!U2294)</f>
        <v>4.5254127277249072</v>
      </c>
    </row>
    <row r="2295" spans="2:34" x14ac:dyDescent="0.25">
      <c r="B2295" s="16">
        <v>255.55600000000001</v>
      </c>
      <c r="C2295" s="16">
        <v>9565</v>
      </c>
      <c r="D2295" s="16">
        <v>2292</v>
      </c>
      <c r="E2295" s="113">
        <v>180</v>
      </c>
      <c r="F2295" s="113">
        <v>178.6</v>
      </c>
      <c r="G2295" s="113">
        <v>176.8</v>
      </c>
      <c r="H2295" s="113">
        <f t="shared" si="250"/>
        <v>49.111111111111114</v>
      </c>
      <c r="I2295" s="113">
        <v>1.8</v>
      </c>
      <c r="J2295" s="113">
        <v>9.89</v>
      </c>
      <c r="K2295" s="113">
        <v>-0.9</v>
      </c>
      <c r="L2295" s="185"/>
      <c r="M2295" s="16">
        <v>2292</v>
      </c>
      <c r="N2295" s="16">
        <f t="shared" si="252"/>
        <v>2.0775228693436128E-2</v>
      </c>
      <c r="O2295" s="16">
        <v>4</v>
      </c>
      <c r="P2295" s="16">
        <f t="shared" si="248"/>
        <v>9.1833785004516724</v>
      </c>
      <c r="Q2295" s="16">
        <f t="shared" si="253"/>
        <v>48.134247509677088</v>
      </c>
      <c r="R2295" s="113">
        <f t="shared" si="249"/>
        <v>329.49099999999999</v>
      </c>
      <c r="S2295" s="16">
        <f>IF(S2294=15800,15800,ROUND((((Q2295*60)/'Gearing Calculator'!$C$14)*'Track Data'!P2295),-2))</f>
        <v>13400</v>
      </c>
      <c r="T2295" s="16">
        <f t="shared" si="251"/>
        <v>4.5254127277249072</v>
      </c>
      <c r="U2295" s="16">
        <f>IF(AC2295=100,Braking!$AG$2354,IF(AC2295=50,Braking!$AG$1179,IF(AC2295=75,Braking!$AG$1767,0)))</f>
        <v>0</v>
      </c>
      <c r="V2295" s="16">
        <f>0.5*'Gearing Calculator'!$C$15*'Gearing Calculator'!$C$20*'Gearing Calculator'!$W$20*('Track Data'!Q2295^2)</f>
        <v>245.22130810689094</v>
      </c>
      <c r="W2295" s="16">
        <f>('Gearing Calculator'!$U$9*'Track Data'!T2295)+'Track Data'!V2295</f>
        <v>1449.8861762272613</v>
      </c>
      <c r="X2295" s="16">
        <f>('Gearing Calculator'!$U$9*9.81)*('Gearing Calculator'!$U$16/'Gearing Calculator'!$C$7)-(('Track Data'!W2295)*('Gearing Calculator'!$U$17/'Gearing Calculator'!$C$7))</f>
        <v>610.87531581654093</v>
      </c>
      <c r="Y2295" s="16">
        <f>('Gearing Calculator'!$U$9*9.81)*(('Gearing Calculator'!$C$7-'Gearing Calculator'!$U$16)/'Gearing Calculator'!$C$7)+(('Track Data'!W2295)*('Gearing Calculator'!$U$17/'Gearing Calculator'!$C$7))</f>
        <v>2000.5466841834591</v>
      </c>
      <c r="Z2295" s="16">
        <f>((X2295*COS('Gearing Calculator'!$C$21))/'Gearing Calculator'!$C$22)/2</f>
        <v>18.886332731030237</v>
      </c>
      <c r="AA2295" s="16">
        <f>Y2295/'Gearing Calculator'!$C$24</f>
        <v>27.934341637182637</v>
      </c>
      <c r="AB2295" s="16">
        <f t="shared" si="254"/>
        <v>263.32295901779059</v>
      </c>
      <c r="AC2295" s="16">
        <v>0</v>
      </c>
      <c r="AD2295" s="16">
        <v>0</v>
      </c>
      <c r="AE2295" s="16">
        <v>2292</v>
      </c>
      <c r="AF2295" s="16">
        <f>IF(AC2295=0,IF(O2295=6,INDEX(Acceleration!$V$4:$V$110,MATCH('Track Data'!S2295,Acceleration!$K$4:$K$110,0)),IF('Track Data'!O2295=5,INDEX(Acceleration!$U$4:$U$110,MATCH('Track Data'!S2295,Acceleration!$K$4:$K$110,0)),1)),U2295)</f>
        <v>1</v>
      </c>
      <c r="AG2295" s="16">
        <f>IF(AC2295=0,IF(O2295=4,INDEX(Acceleration!$T$4:$T$110,MATCH('Track Data'!S2295,Acceleration!$K$4:$K$110,0)),IF('Track Data'!O2295=3,INDEX(Acceleration!$S$4:$S$110,MATCH('Track Data'!S2295,Acceleration!$K$4:$K$110,0)),'Track Data'!AF2295)),'Track Data'!U2295)</f>
        <v>4.5254127277249072</v>
      </c>
      <c r="AH2295" s="16">
        <f>IF(AC2295=0,IF(O2295=2,INDEX(Acceleration!$R$4:$R$110,MATCH('Track Data'!S2295,Acceleration!$K$4:$K$110,0)),IF('Track Data'!O2295=1,INDEX(Acceleration!$Q$4:$Q$110,MATCH('Track Data'!S2295,Acceleration!$K$4:$K$110,0)),'Track Data'!AG2295)),'Track Data'!U2295)</f>
        <v>4.5254127277249072</v>
      </c>
    </row>
    <row r="2296" spans="2:34" x14ac:dyDescent="0.25">
      <c r="B2296" s="16">
        <v>255.577</v>
      </c>
      <c r="C2296" s="16">
        <v>9566</v>
      </c>
      <c r="D2296" s="16">
        <v>2293</v>
      </c>
      <c r="E2296" s="113">
        <v>180</v>
      </c>
      <c r="F2296" s="113">
        <v>179</v>
      </c>
      <c r="G2296" s="113">
        <v>177.1</v>
      </c>
      <c r="H2296" s="113">
        <f t="shared" si="250"/>
        <v>49.194444444444443</v>
      </c>
      <c r="I2296" s="113">
        <v>1.8</v>
      </c>
      <c r="J2296" s="113">
        <v>9.65</v>
      </c>
      <c r="K2296" s="113">
        <v>-0.8</v>
      </c>
      <c r="L2296" s="185"/>
      <c r="M2296" s="16">
        <v>2293</v>
      </c>
      <c r="N2296" s="16">
        <f t="shared" si="252"/>
        <v>2.0734768728599029E-2</v>
      </c>
      <c r="O2296" s="16">
        <v>4</v>
      </c>
      <c r="P2296" s="16">
        <f t="shared" si="248"/>
        <v>9.1833785004516724</v>
      </c>
      <c r="Q2296" s="16">
        <f t="shared" si="253"/>
        <v>48.228172355774632</v>
      </c>
      <c r="R2296" s="113">
        <f t="shared" si="249"/>
        <v>329.49099999999999</v>
      </c>
      <c r="S2296" s="16">
        <f>IF(S2295=15800,15800,ROUND((((Q2296*60)/'Gearing Calculator'!$C$14)*'Track Data'!P2296),-2))</f>
        <v>13400</v>
      </c>
      <c r="T2296" s="16">
        <f t="shared" si="251"/>
        <v>4.5254127277249072</v>
      </c>
      <c r="U2296" s="16">
        <f>IF(AC2296=100,Braking!$AG$2354,IF(AC2296=50,Braking!$AG$1179,IF(AC2296=75,Braking!$AG$1767,0)))</f>
        <v>0</v>
      </c>
      <c r="V2296" s="16">
        <f>0.5*'Gearing Calculator'!$C$15*'Gearing Calculator'!$C$20*'Gearing Calculator'!$W$20*('Track Data'!Q2296^2)</f>
        <v>246.17924747309573</v>
      </c>
      <c r="W2296" s="16">
        <f>('Gearing Calculator'!$U$9*'Track Data'!T2296)+'Track Data'!V2296</f>
        <v>1450.8441155934661</v>
      </c>
      <c r="X2296" s="16">
        <f>('Gearing Calculator'!$U$9*9.81)*('Gearing Calculator'!$U$16/'Gearing Calculator'!$C$7)-(('Track Data'!W2296)*('Gearing Calculator'!$U$17/'Gearing Calculator'!$C$7))</f>
        <v>610.35317344070381</v>
      </c>
      <c r="Y2296" s="16">
        <f>('Gearing Calculator'!$U$9*9.81)*(('Gearing Calculator'!$C$7-'Gearing Calculator'!$U$16)/'Gearing Calculator'!$C$7)+(('Track Data'!W2296)*('Gearing Calculator'!$U$17/'Gearing Calculator'!$C$7))</f>
        <v>2001.0688265592962</v>
      </c>
      <c r="Z2296" s="16">
        <f>((X2296*COS('Gearing Calculator'!$C$21))/'Gearing Calculator'!$C$22)/2</f>
        <v>18.870189740164989</v>
      </c>
      <c r="AA2296" s="16">
        <f>Y2296/'Gearing Calculator'!$C$24</f>
        <v>27.941632496038967</v>
      </c>
      <c r="AB2296" s="16">
        <f t="shared" si="254"/>
        <v>264.28089838399535</v>
      </c>
      <c r="AC2296" s="16">
        <v>0</v>
      </c>
      <c r="AD2296" s="16">
        <v>0</v>
      </c>
      <c r="AE2296" s="16">
        <v>2293</v>
      </c>
      <c r="AF2296" s="16">
        <f>IF(AC2296=0,IF(O2296=6,INDEX(Acceleration!$V$4:$V$110,MATCH('Track Data'!S2296,Acceleration!$K$4:$K$110,0)),IF('Track Data'!O2296=5,INDEX(Acceleration!$U$4:$U$110,MATCH('Track Data'!S2296,Acceleration!$K$4:$K$110,0)),1)),U2296)</f>
        <v>1</v>
      </c>
      <c r="AG2296" s="16">
        <f>IF(AC2296=0,IF(O2296=4,INDEX(Acceleration!$T$4:$T$110,MATCH('Track Data'!S2296,Acceleration!$K$4:$K$110,0)),IF('Track Data'!O2296=3,INDEX(Acceleration!$S$4:$S$110,MATCH('Track Data'!S2296,Acceleration!$K$4:$K$110,0)),'Track Data'!AF2296)),'Track Data'!U2296)</f>
        <v>4.5254127277249072</v>
      </c>
      <c r="AH2296" s="16">
        <f>IF(AC2296=0,IF(O2296=2,INDEX(Acceleration!$R$4:$R$110,MATCH('Track Data'!S2296,Acceleration!$K$4:$K$110,0)),IF('Track Data'!O2296=1,INDEX(Acceleration!$Q$4:$Q$110,MATCH('Track Data'!S2296,Acceleration!$K$4:$K$110,0)),'Track Data'!AG2296)),'Track Data'!U2296)</f>
        <v>4.5254127277249072</v>
      </c>
    </row>
    <row r="2297" spans="2:34" x14ac:dyDescent="0.25">
      <c r="B2297" s="16">
        <v>255.59700000000001</v>
      </c>
      <c r="C2297" s="16">
        <v>9567</v>
      </c>
      <c r="D2297" s="16">
        <v>2294</v>
      </c>
      <c r="E2297" s="113">
        <v>180</v>
      </c>
      <c r="F2297" s="113">
        <v>179.2</v>
      </c>
      <c r="G2297" s="113">
        <v>177.5</v>
      </c>
      <c r="H2297" s="113">
        <f t="shared" si="250"/>
        <v>49.305555555555557</v>
      </c>
      <c r="I2297" s="113">
        <v>2.2000000000000002</v>
      </c>
      <c r="J2297" s="113">
        <v>13.41</v>
      </c>
      <c r="K2297" s="113">
        <v>-0.7</v>
      </c>
      <c r="L2297" s="185"/>
      <c r="M2297" s="16">
        <v>2294</v>
      </c>
      <c r="N2297" s="16">
        <f t="shared" si="252"/>
        <v>2.0694544235297586E-2</v>
      </c>
      <c r="O2297" s="16">
        <v>4</v>
      </c>
      <c r="P2297" s="16">
        <f t="shared" si="248"/>
        <v>9.1833785004516724</v>
      </c>
      <c r="Q2297" s="16">
        <f t="shared" si="253"/>
        <v>48.321914637499148</v>
      </c>
      <c r="R2297" s="113">
        <f t="shared" si="249"/>
        <v>329.49099999999999</v>
      </c>
      <c r="S2297" s="16">
        <f>IF(S2296=15800,15800,ROUND((((Q2297*60)/'Gearing Calculator'!$C$14)*'Track Data'!P2297),-2))</f>
        <v>13500</v>
      </c>
      <c r="T2297" s="16">
        <f t="shared" si="251"/>
        <v>4.4786093729803564</v>
      </c>
      <c r="U2297" s="16">
        <f>IF(AC2297=100,Braking!$AG$2354,IF(AC2297=50,Braking!$AG$1179,IF(AC2297=75,Braking!$AG$1767,0)))</f>
        <v>0</v>
      </c>
      <c r="V2297" s="16">
        <f>0.5*'Gearing Calculator'!$C$15*'Gearing Calculator'!$C$20*'Gearing Calculator'!$W$20*('Track Data'!Q2297^2)</f>
        <v>247.13718683930054</v>
      </c>
      <c r="W2297" s="16">
        <f>('Gearing Calculator'!$U$9*'Track Data'!T2297)+'Track Data'!V2297</f>
        <v>1439.3430019266714</v>
      </c>
      <c r="X2297" s="16">
        <f>('Gearing Calculator'!$U$9*9.81)*('Gearing Calculator'!$U$16/'Gearing Calculator'!$C$7)-(('Track Data'!W2297)*('Gearing Calculator'!$U$17/'Gearing Calculator'!$C$7))</f>
        <v>616.62206584309456</v>
      </c>
      <c r="Y2297" s="16">
        <f>('Gearing Calculator'!$U$9*9.81)*(('Gearing Calculator'!$C$7-'Gearing Calculator'!$U$16)/'Gearing Calculator'!$C$7)+(('Track Data'!W2297)*('Gearing Calculator'!$U$17/'Gearing Calculator'!$C$7))</f>
        <v>1994.7999341569055</v>
      </c>
      <c r="Z2297" s="16">
        <f>((X2297*COS('Gearing Calculator'!$C$21))/'Gearing Calculator'!$C$22)/2</f>
        <v>19.064004066429465</v>
      </c>
      <c r="AA2297" s="16">
        <f>Y2297/'Gearing Calculator'!$C$24</f>
        <v>27.854097731946922</v>
      </c>
      <c r="AB2297" s="16">
        <f t="shared" si="254"/>
        <v>265.05162433122194</v>
      </c>
      <c r="AC2297" s="16">
        <v>0</v>
      </c>
      <c r="AD2297" s="16">
        <v>0</v>
      </c>
      <c r="AE2297" s="16">
        <v>2294</v>
      </c>
      <c r="AF2297" s="16">
        <f>IF(AC2297=0,IF(O2297=6,INDEX(Acceleration!$V$4:$V$110,MATCH('Track Data'!S2297,Acceleration!$K$4:$K$110,0)),IF('Track Data'!O2297=5,INDEX(Acceleration!$U$4:$U$110,MATCH('Track Data'!S2297,Acceleration!$K$4:$K$110,0)),1)),U2297)</f>
        <v>1</v>
      </c>
      <c r="AG2297" s="16">
        <f>IF(AC2297=0,IF(O2297=4,INDEX(Acceleration!$T$4:$T$110,MATCH('Track Data'!S2297,Acceleration!$K$4:$K$110,0)),IF('Track Data'!O2297=3,INDEX(Acceleration!$S$4:$S$110,MATCH('Track Data'!S2297,Acceleration!$K$4:$K$110,0)),'Track Data'!AF2297)),'Track Data'!U2297)</f>
        <v>4.4786093729803564</v>
      </c>
      <c r="AH2297" s="16">
        <f>IF(AC2297=0,IF(O2297=2,INDEX(Acceleration!$R$4:$R$110,MATCH('Track Data'!S2297,Acceleration!$K$4:$K$110,0)),IF('Track Data'!O2297=1,INDEX(Acceleration!$Q$4:$Q$110,MATCH('Track Data'!S2297,Acceleration!$K$4:$K$110,0)),'Track Data'!AG2297)),'Track Data'!U2297)</f>
        <v>4.4786093729803564</v>
      </c>
    </row>
    <row r="2298" spans="2:34" x14ac:dyDescent="0.25">
      <c r="B2298" s="16">
        <v>255.61699999999999</v>
      </c>
      <c r="C2298" s="16">
        <v>9568</v>
      </c>
      <c r="D2298" s="16">
        <v>2295</v>
      </c>
      <c r="E2298" s="113">
        <v>180</v>
      </c>
      <c r="F2298" s="113">
        <v>179.1</v>
      </c>
      <c r="G2298" s="113">
        <v>177.8</v>
      </c>
      <c r="H2298" s="113">
        <f t="shared" si="250"/>
        <v>49.388888888888893</v>
      </c>
      <c r="I2298" s="113">
        <v>3.7</v>
      </c>
      <c r="J2298" s="113">
        <v>18.5</v>
      </c>
      <c r="K2298" s="113">
        <v>-0.4</v>
      </c>
      <c r="L2298" s="185"/>
      <c r="M2298" s="16">
        <v>2295</v>
      </c>
      <c r="N2298" s="16">
        <f t="shared" si="252"/>
        <v>2.0654965356124891E-2</v>
      </c>
      <c r="O2298" s="16">
        <v>4</v>
      </c>
      <c r="P2298" s="16">
        <f t="shared" si="248"/>
        <v>9.1833785004516724</v>
      </c>
      <c r="Q2298" s="16">
        <f t="shared" si="253"/>
        <v>48.41450870327732</v>
      </c>
      <c r="R2298" s="113">
        <f t="shared" si="249"/>
        <v>329.49099999999999</v>
      </c>
      <c r="S2298" s="16">
        <f>IF(S2297=15800,15800,ROUND((((Q2298*60)/'Gearing Calculator'!$C$14)*'Track Data'!P2298),-2))</f>
        <v>13500</v>
      </c>
      <c r="T2298" s="16">
        <f t="shared" si="251"/>
        <v>4.4786093729803564</v>
      </c>
      <c r="U2298" s="16">
        <f>IF(AC2298=100,Braking!$AG$2354,IF(AC2298=50,Braking!$AG$1179,IF(AC2298=75,Braking!$AG$1767,0)))</f>
        <v>0</v>
      </c>
      <c r="V2298" s="16">
        <f>0.5*'Gearing Calculator'!$C$15*'Gearing Calculator'!$C$20*'Gearing Calculator'!$W$20*('Track Data'!Q2298^2)</f>
        <v>248.08521887137306</v>
      </c>
      <c r="W2298" s="16">
        <f>('Gearing Calculator'!$U$9*'Track Data'!T2298)+'Track Data'!V2298</f>
        <v>1440.2910339587438</v>
      </c>
      <c r="X2298" s="16">
        <f>('Gearing Calculator'!$U$9*9.81)*('Gearing Calculator'!$U$16/'Gearing Calculator'!$C$7)-(('Track Data'!W2298)*('Gearing Calculator'!$U$17/'Gearing Calculator'!$C$7))</f>
        <v>616.10532364096844</v>
      </c>
      <c r="Y2298" s="16">
        <f>('Gearing Calculator'!$U$9*9.81)*(('Gearing Calculator'!$C$7-'Gearing Calculator'!$U$16)/'Gearing Calculator'!$C$7)+(('Track Data'!W2298)*('Gearing Calculator'!$U$17/'Gearing Calculator'!$C$7))</f>
        <v>1995.3166763590316</v>
      </c>
      <c r="Z2298" s="16">
        <f>((X2298*COS('Gearing Calculator'!$C$21))/'Gearing Calculator'!$C$22)/2</f>
        <v>19.04802803185607</v>
      </c>
      <c r="AA2298" s="16">
        <f>Y2298/'Gearing Calculator'!$C$24</f>
        <v>27.861313186265818</v>
      </c>
      <c r="AB2298" s="16">
        <f t="shared" si="254"/>
        <v>265.99965636329449</v>
      </c>
      <c r="AC2298" s="16">
        <v>0</v>
      </c>
      <c r="AD2298" s="16">
        <v>0</v>
      </c>
      <c r="AE2298" s="16">
        <v>2295</v>
      </c>
      <c r="AF2298" s="16">
        <f>IF(AC2298=0,IF(O2298=6,INDEX(Acceleration!$V$4:$V$110,MATCH('Track Data'!S2298,Acceleration!$K$4:$K$110,0)),IF('Track Data'!O2298=5,INDEX(Acceleration!$U$4:$U$110,MATCH('Track Data'!S2298,Acceleration!$K$4:$K$110,0)),1)),U2298)</f>
        <v>1</v>
      </c>
      <c r="AG2298" s="16">
        <f>IF(AC2298=0,IF(O2298=4,INDEX(Acceleration!$T$4:$T$110,MATCH('Track Data'!S2298,Acceleration!$K$4:$K$110,0)),IF('Track Data'!O2298=3,INDEX(Acceleration!$S$4:$S$110,MATCH('Track Data'!S2298,Acceleration!$K$4:$K$110,0)),'Track Data'!AF2298)),'Track Data'!U2298)</f>
        <v>4.4786093729803564</v>
      </c>
      <c r="AH2298" s="16">
        <f>IF(AC2298=0,IF(O2298=2,INDEX(Acceleration!$R$4:$R$110,MATCH('Track Data'!S2298,Acceleration!$K$4:$K$110,0)),IF('Track Data'!O2298=1,INDEX(Acceleration!$Q$4:$Q$110,MATCH('Track Data'!S2298,Acceleration!$K$4:$K$110,0)),'Track Data'!AG2298)),'Track Data'!U2298)</f>
        <v>4.4786093729803564</v>
      </c>
    </row>
    <row r="2299" spans="2:34" x14ac:dyDescent="0.25">
      <c r="B2299" s="16">
        <v>255.637</v>
      </c>
      <c r="C2299" s="16">
        <v>9569</v>
      </c>
      <c r="D2299" s="16">
        <v>2296</v>
      </c>
      <c r="E2299" s="113">
        <v>180</v>
      </c>
      <c r="F2299" s="113">
        <v>178.8</v>
      </c>
      <c r="G2299" s="113">
        <v>178.1</v>
      </c>
      <c r="H2299" s="113">
        <f t="shared" si="250"/>
        <v>49.472222222222221</v>
      </c>
      <c r="I2299" s="113">
        <v>6.6</v>
      </c>
      <c r="J2299" s="113">
        <v>15.71</v>
      </c>
      <c r="K2299" s="113">
        <v>-0.1</v>
      </c>
      <c r="L2299" s="185"/>
      <c r="M2299" s="16">
        <v>2296</v>
      </c>
      <c r="N2299" s="16">
        <f t="shared" si="252"/>
        <v>2.0615612698829944E-2</v>
      </c>
      <c r="O2299" s="16">
        <v>4</v>
      </c>
      <c r="P2299" s="16">
        <f t="shared" si="248"/>
        <v>9.1833785004516724</v>
      </c>
      <c r="Q2299" s="16">
        <f t="shared" si="253"/>
        <v>48.506926018102575</v>
      </c>
      <c r="R2299" s="113">
        <f t="shared" si="249"/>
        <v>329.49099999999999</v>
      </c>
      <c r="S2299" s="16">
        <f>IF(S2298=15800,15800,ROUND((((Q2299*60)/'Gearing Calculator'!$C$14)*'Track Data'!P2299),-2))</f>
        <v>13500</v>
      </c>
      <c r="T2299" s="16">
        <f t="shared" si="251"/>
        <v>4.4786093729803564</v>
      </c>
      <c r="U2299" s="16">
        <f>IF(AC2299=100,Braking!$AG$2354,IF(AC2299=50,Braking!$AG$1179,IF(AC2299=75,Braking!$AG$1767,0)))</f>
        <v>0</v>
      </c>
      <c r="V2299" s="16">
        <f>0.5*'Gearing Calculator'!$C$15*'Gearing Calculator'!$C$20*'Gearing Calculator'!$W$20*('Track Data'!Q2299^2)</f>
        <v>249.03325090344561</v>
      </c>
      <c r="W2299" s="16">
        <f>('Gearing Calculator'!$U$9*'Track Data'!T2299)+'Track Data'!V2299</f>
        <v>1441.2390659908165</v>
      </c>
      <c r="X2299" s="16">
        <f>('Gearing Calculator'!$U$9*9.81)*('Gearing Calculator'!$U$16/'Gearing Calculator'!$C$7)-(('Track Data'!W2299)*('Gearing Calculator'!$U$17/'Gearing Calculator'!$C$7))</f>
        <v>615.5885814388422</v>
      </c>
      <c r="Y2299" s="16">
        <f>('Gearing Calculator'!$U$9*9.81)*(('Gearing Calculator'!$C$7-'Gearing Calculator'!$U$16)/'Gearing Calculator'!$C$7)+(('Track Data'!W2299)*('Gearing Calculator'!$U$17/'Gearing Calculator'!$C$7))</f>
        <v>1995.8334185611579</v>
      </c>
      <c r="Z2299" s="16">
        <f>((X2299*COS('Gearing Calculator'!$C$21))/'Gearing Calculator'!$C$22)/2</f>
        <v>19.032051997282668</v>
      </c>
      <c r="AA2299" s="16">
        <f>Y2299/'Gearing Calculator'!$C$24</f>
        <v>27.868528640584714</v>
      </c>
      <c r="AB2299" s="16">
        <f t="shared" si="254"/>
        <v>266.94768839536704</v>
      </c>
      <c r="AC2299" s="16">
        <v>0</v>
      </c>
      <c r="AD2299" s="16">
        <v>0</v>
      </c>
      <c r="AE2299" s="16">
        <v>2296</v>
      </c>
      <c r="AF2299" s="16">
        <f>IF(AC2299=0,IF(O2299=6,INDEX(Acceleration!$V$4:$V$110,MATCH('Track Data'!S2299,Acceleration!$K$4:$K$110,0)),IF('Track Data'!O2299=5,INDEX(Acceleration!$U$4:$U$110,MATCH('Track Data'!S2299,Acceleration!$K$4:$K$110,0)),1)),U2299)</f>
        <v>1</v>
      </c>
      <c r="AG2299" s="16">
        <f>IF(AC2299=0,IF(O2299=4,INDEX(Acceleration!$T$4:$T$110,MATCH('Track Data'!S2299,Acceleration!$K$4:$K$110,0)),IF('Track Data'!O2299=3,INDEX(Acceleration!$S$4:$S$110,MATCH('Track Data'!S2299,Acceleration!$K$4:$K$110,0)),'Track Data'!AF2299)),'Track Data'!U2299)</f>
        <v>4.4786093729803564</v>
      </c>
      <c r="AH2299" s="16">
        <f>IF(AC2299=0,IF(O2299=2,INDEX(Acceleration!$R$4:$R$110,MATCH('Track Data'!S2299,Acceleration!$K$4:$K$110,0)),IF('Track Data'!O2299=1,INDEX(Acceleration!$Q$4:$Q$110,MATCH('Track Data'!S2299,Acceleration!$K$4:$K$110,0)),'Track Data'!AG2299)),'Track Data'!U2299)</f>
        <v>4.4786093729803564</v>
      </c>
    </row>
    <row r="2300" spans="2:34" x14ac:dyDescent="0.25">
      <c r="B2300" s="16">
        <v>255.65700000000001</v>
      </c>
      <c r="C2300" s="16">
        <v>9570</v>
      </c>
      <c r="D2300" s="16">
        <v>2297</v>
      </c>
      <c r="E2300" s="113">
        <v>180</v>
      </c>
      <c r="F2300" s="113">
        <v>179.2</v>
      </c>
      <c r="G2300" s="113">
        <v>178.4</v>
      </c>
      <c r="H2300" s="113">
        <f t="shared" si="250"/>
        <v>49.555555555555557</v>
      </c>
      <c r="I2300" s="113">
        <v>8.1</v>
      </c>
      <c r="J2300" s="113">
        <v>12.14</v>
      </c>
      <c r="K2300" s="113">
        <v>0.2</v>
      </c>
      <c r="L2300" s="185"/>
      <c r="M2300" s="16">
        <v>2297</v>
      </c>
      <c r="N2300" s="16">
        <f t="shared" si="252"/>
        <v>2.0576484116556333E-2</v>
      </c>
      <c r="O2300" s="16">
        <v>4</v>
      </c>
      <c r="P2300" s="16">
        <f t="shared" si="248"/>
        <v>9.1833785004516724</v>
      </c>
      <c r="Q2300" s="16">
        <f t="shared" si="253"/>
        <v>48.599167590316171</v>
      </c>
      <c r="R2300" s="113">
        <f t="shared" si="249"/>
        <v>329.49099999999999</v>
      </c>
      <c r="S2300" s="16">
        <f>IF(S2299=15800,15800,ROUND((((Q2300*60)/'Gearing Calculator'!$C$14)*'Track Data'!P2300),-2))</f>
        <v>13500</v>
      </c>
      <c r="T2300" s="16">
        <f t="shared" si="251"/>
        <v>4.4786093729803564</v>
      </c>
      <c r="U2300" s="16">
        <f>IF(AC2300=100,Braking!$AG$2354,IF(AC2300=50,Braking!$AG$1179,IF(AC2300=75,Braking!$AG$1767,0)))</f>
        <v>0</v>
      </c>
      <c r="V2300" s="16">
        <f>0.5*'Gearing Calculator'!$C$15*'Gearing Calculator'!$C$20*'Gearing Calculator'!$W$20*('Track Data'!Q2300^2)</f>
        <v>249.9812829355181</v>
      </c>
      <c r="W2300" s="16">
        <f>('Gearing Calculator'!$U$9*'Track Data'!T2300)+'Track Data'!V2300</f>
        <v>1442.1870980228889</v>
      </c>
      <c r="X2300" s="16">
        <f>('Gearing Calculator'!$U$9*9.81)*('Gearing Calculator'!$U$16/'Gearing Calculator'!$C$7)-(('Track Data'!W2300)*('Gearing Calculator'!$U$17/'Gearing Calculator'!$C$7))</f>
        <v>615.07183923671619</v>
      </c>
      <c r="Y2300" s="16">
        <f>('Gearing Calculator'!$U$9*9.81)*(('Gearing Calculator'!$C$7-'Gearing Calculator'!$U$16)/'Gearing Calculator'!$C$7)+(('Track Data'!W2300)*('Gearing Calculator'!$U$17/'Gearing Calculator'!$C$7))</f>
        <v>1996.3501607632838</v>
      </c>
      <c r="Z2300" s="16">
        <f>((X2300*COS('Gearing Calculator'!$C$21))/'Gearing Calculator'!$C$22)/2</f>
        <v>19.016075962709273</v>
      </c>
      <c r="AA2300" s="16">
        <f>Y2300/'Gearing Calculator'!$C$24</f>
        <v>27.875744094903606</v>
      </c>
      <c r="AB2300" s="16">
        <f t="shared" si="254"/>
        <v>267.89572042743953</v>
      </c>
      <c r="AC2300" s="16">
        <v>0</v>
      </c>
      <c r="AD2300" s="16">
        <v>0</v>
      </c>
      <c r="AE2300" s="16">
        <v>2297</v>
      </c>
      <c r="AF2300" s="16">
        <f>IF(AC2300=0,IF(O2300=6,INDEX(Acceleration!$V$4:$V$110,MATCH('Track Data'!S2300,Acceleration!$K$4:$K$110,0)),IF('Track Data'!O2300=5,INDEX(Acceleration!$U$4:$U$110,MATCH('Track Data'!S2300,Acceleration!$K$4:$K$110,0)),1)),U2300)</f>
        <v>1</v>
      </c>
      <c r="AG2300" s="16">
        <f>IF(AC2300=0,IF(O2300=4,INDEX(Acceleration!$T$4:$T$110,MATCH('Track Data'!S2300,Acceleration!$K$4:$K$110,0)),IF('Track Data'!O2300=3,INDEX(Acceleration!$S$4:$S$110,MATCH('Track Data'!S2300,Acceleration!$K$4:$K$110,0)),'Track Data'!AF2300)),'Track Data'!U2300)</f>
        <v>4.4786093729803564</v>
      </c>
      <c r="AH2300" s="16">
        <f>IF(AC2300=0,IF(O2300=2,INDEX(Acceleration!$R$4:$R$110,MATCH('Track Data'!S2300,Acceleration!$K$4:$K$110,0)),IF('Track Data'!O2300=1,INDEX(Acceleration!$Q$4:$Q$110,MATCH('Track Data'!S2300,Acceleration!$K$4:$K$110,0)),'Track Data'!AG2300)),'Track Data'!U2300)</f>
        <v>4.4786093729803564</v>
      </c>
    </row>
    <row r="2301" spans="2:34" x14ac:dyDescent="0.25">
      <c r="B2301" s="16">
        <v>255.67699999999999</v>
      </c>
      <c r="C2301" s="16">
        <v>9571</v>
      </c>
      <c r="D2301" s="16">
        <v>2298</v>
      </c>
      <c r="E2301" s="113">
        <v>181</v>
      </c>
      <c r="F2301" s="113">
        <v>179.9</v>
      </c>
      <c r="G2301" s="113">
        <v>178.7</v>
      </c>
      <c r="H2301" s="113">
        <f t="shared" si="250"/>
        <v>49.638888888888886</v>
      </c>
      <c r="I2301" s="113">
        <v>7.7</v>
      </c>
      <c r="J2301" s="113">
        <v>8.91</v>
      </c>
      <c r="K2301" s="113">
        <v>0.5</v>
      </c>
      <c r="L2301" s="185"/>
      <c r="M2301" s="16">
        <v>2298</v>
      </c>
      <c r="N2301" s="16">
        <f t="shared" si="252"/>
        <v>2.0537577490863081E-2</v>
      </c>
      <c r="O2301" s="16">
        <v>4</v>
      </c>
      <c r="P2301" s="16">
        <f t="shared" si="248"/>
        <v>9.1833785004516724</v>
      </c>
      <c r="Q2301" s="16">
        <f t="shared" si="253"/>
        <v>48.691234418708241</v>
      </c>
      <c r="R2301" s="113">
        <f t="shared" si="249"/>
        <v>329.49099999999999</v>
      </c>
      <c r="S2301" s="16">
        <f>IF(S2300=15800,15800,ROUND((((Q2301*60)/'Gearing Calculator'!$C$14)*'Track Data'!P2301),-2))</f>
        <v>13600</v>
      </c>
      <c r="T2301" s="16">
        <f t="shared" si="251"/>
        <v>4.4322975285970454</v>
      </c>
      <c r="U2301" s="16">
        <f>IF(AC2301=100,Braking!$AG$2354,IF(AC2301=50,Braking!$AG$1179,IF(AC2301=75,Braking!$AG$1767,0)))</f>
        <v>0</v>
      </c>
      <c r="V2301" s="16">
        <f>0.5*'Gearing Calculator'!$C$15*'Gearing Calculator'!$C$20*'Gearing Calculator'!$W$20*('Track Data'!Q2301^2)</f>
        <v>250.92931496759059</v>
      </c>
      <c r="W2301" s="16">
        <f>('Gearing Calculator'!$U$9*'Track Data'!T2301)+'Track Data'!V2301</f>
        <v>1430.8069170801241</v>
      </c>
      <c r="X2301" s="16">
        <f>('Gearing Calculator'!$U$9*9.81)*('Gearing Calculator'!$U$16/'Gearing Calculator'!$C$7)-(('Track Data'!W2301)*('Gearing Calculator'!$U$17/'Gearing Calculator'!$C$7))</f>
        <v>621.2748150455634</v>
      </c>
      <c r="Y2301" s="16">
        <f>('Gearing Calculator'!$U$9*9.81)*(('Gearing Calculator'!$C$7-'Gearing Calculator'!$U$16)/'Gearing Calculator'!$C$7)+(('Track Data'!W2301)*('Gearing Calculator'!$U$17/'Gearing Calculator'!$C$7))</f>
        <v>1990.1471849544366</v>
      </c>
      <c r="Z2301" s="16">
        <f>((X2301*COS('Gearing Calculator'!$C$21))/'Gearing Calculator'!$C$22)/2</f>
        <v>19.207852356377803</v>
      </c>
      <c r="AA2301" s="16">
        <f>Y2301/'Gearing Calculator'!$C$24</f>
        <v>27.789129747544727</v>
      </c>
      <c r="AB2301" s="16">
        <f t="shared" si="254"/>
        <v>268.65850508197877</v>
      </c>
      <c r="AC2301" s="16">
        <v>0</v>
      </c>
      <c r="AD2301" s="16">
        <v>0</v>
      </c>
      <c r="AE2301" s="16">
        <v>2298</v>
      </c>
      <c r="AF2301" s="16">
        <f>IF(AC2301=0,IF(O2301=6,INDEX(Acceleration!$V$4:$V$110,MATCH('Track Data'!S2301,Acceleration!$K$4:$K$110,0)),IF('Track Data'!O2301=5,INDEX(Acceleration!$U$4:$U$110,MATCH('Track Data'!S2301,Acceleration!$K$4:$K$110,0)),1)),U2301)</f>
        <v>1</v>
      </c>
      <c r="AG2301" s="16">
        <f>IF(AC2301=0,IF(O2301=4,INDEX(Acceleration!$T$4:$T$110,MATCH('Track Data'!S2301,Acceleration!$K$4:$K$110,0)),IF('Track Data'!O2301=3,INDEX(Acceleration!$S$4:$S$110,MATCH('Track Data'!S2301,Acceleration!$K$4:$K$110,0)),'Track Data'!AF2301)),'Track Data'!U2301)</f>
        <v>4.4322975285970454</v>
      </c>
      <c r="AH2301" s="16">
        <f>IF(AC2301=0,IF(O2301=2,INDEX(Acceleration!$R$4:$R$110,MATCH('Track Data'!S2301,Acceleration!$K$4:$K$110,0)),IF('Track Data'!O2301=1,INDEX(Acceleration!$Q$4:$Q$110,MATCH('Track Data'!S2301,Acceleration!$K$4:$K$110,0)),'Track Data'!AG2301)),'Track Data'!U2301)</f>
        <v>4.4322975285970454</v>
      </c>
    </row>
    <row r="2302" spans="2:34" x14ac:dyDescent="0.25">
      <c r="B2302" s="16">
        <v>255.697</v>
      </c>
      <c r="C2302" s="16">
        <v>9572</v>
      </c>
      <c r="D2302" s="16">
        <v>2299</v>
      </c>
      <c r="E2302" s="113">
        <v>181</v>
      </c>
      <c r="F2302" s="113">
        <v>180.4</v>
      </c>
      <c r="G2302" s="113">
        <v>179</v>
      </c>
      <c r="H2302" s="113">
        <f t="shared" si="250"/>
        <v>49.722222222222221</v>
      </c>
      <c r="I2302" s="113">
        <v>5.9</v>
      </c>
      <c r="J2302" s="113">
        <v>11.12</v>
      </c>
      <c r="K2302" s="113">
        <v>-0.3</v>
      </c>
      <c r="L2302" s="185"/>
      <c r="M2302" s="16">
        <v>2299</v>
      </c>
      <c r="N2302" s="16">
        <f t="shared" si="252"/>
        <v>2.0499289660452176E-2</v>
      </c>
      <c r="O2302" s="16">
        <v>4</v>
      </c>
      <c r="P2302" s="16">
        <f t="shared" si="248"/>
        <v>9.1833785004516724</v>
      </c>
      <c r="Q2302" s="16">
        <f t="shared" si="253"/>
        <v>48.782178141968942</v>
      </c>
      <c r="R2302" s="113">
        <f t="shared" si="249"/>
        <v>329.49099999999999</v>
      </c>
      <c r="S2302" s="16">
        <f>IF(S2301=15800,15800,ROUND((((Q2302*60)/'Gearing Calculator'!$C$14)*'Track Data'!P2302),-2))</f>
        <v>13600</v>
      </c>
      <c r="T2302" s="16">
        <f t="shared" si="251"/>
        <v>4.4322975285970454</v>
      </c>
      <c r="U2302" s="16">
        <f>IF(AC2302=100,Braking!$AG$2354,IF(AC2302=50,Braking!$AG$1179,IF(AC2302=75,Braking!$AG$1767,0)))</f>
        <v>0</v>
      </c>
      <c r="V2302" s="16">
        <f>0.5*'Gearing Calculator'!$C$15*'Gearing Calculator'!$C$20*'Gearing Calculator'!$W$20*('Track Data'!Q2302^2)</f>
        <v>251.86754370844397</v>
      </c>
      <c r="W2302" s="16">
        <f>('Gearing Calculator'!$U$9*'Track Data'!T2302)+'Track Data'!V2302</f>
        <v>1431.7451458209773</v>
      </c>
      <c r="X2302" s="16">
        <f>('Gearing Calculator'!$U$9*9.81)*('Gearing Calculator'!$U$16/'Gearing Calculator'!$C$7)-(('Track Data'!W2302)*('Gearing Calculator'!$U$17/'Gearing Calculator'!$C$7))</f>
        <v>620.76341630665513</v>
      </c>
      <c r="Y2302" s="16">
        <f>('Gearing Calculator'!$U$9*9.81)*(('Gearing Calculator'!$C$7-'Gearing Calculator'!$U$16)/'Gearing Calculator'!$C$7)+(('Track Data'!W2302)*('Gearing Calculator'!$U$17/'Gearing Calculator'!$C$7))</f>
        <v>1990.658583693345</v>
      </c>
      <c r="Z2302" s="16">
        <f>((X2302*COS('Gearing Calculator'!$C$21))/'Gearing Calculator'!$C$22)/2</f>
        <v>19.192041524787172</v>
      </c>
      <c r="AA2302" s="16">
        <f>Y2302/'Gearing Calculator'!$C$24</f>
        <v>27.796270589194879</v>
      </c>
      <c r="AB2302" s="16">
        <f t="shared" si="254"/>
        <v>269.59673382283216</v>
      </c>
      <c r="AC2302" s="16">
        <v>0</v>
      </c>
      <c r="AD2302" s="16">
        <v>0</v>
      </c>
      <c r="AE2302" s="16">
        <v>2299</v>
      </c>
      <c r="AF2302" s="16">
        <f>IF(AC2302=0,IF(O2302=6,INDEX(Acceleration!$V$4:$V$110,MATCH('Track Data'!S2302,Acceleration!$K$4:$K$110,0)),IF('Track Data'!O2302=5,INDEX(Acceleration!$U$4:$U$110,MATCH('Track Data'!S2302,Acceleration!$K$4:$K$110,0)),1)),U2302)</f>
        <v>1</v>
      </c>
      <c r="AG2302" s="16">
        <f>IF(AC2302=0,IF(O2302=4,INDEX(Acceleration!$T$4:$T$110,MATCH('Track Data'!S2302,Acceleration!$K$4:$K$110,0)),IF('Track Data'!O2302=3,INDEX(Acceleration!$S$4:$S$110,MATCH('Track Data'!S2302,Acceleration!$K$4:$K$110,0)),'Track Data'!AF2302)),'Track Data'!U2302)</f>
        <v>4.4322975285970454</v>
      </c>
      <c r="AH2302" s="16">
        <f>IF(AC2302=0,IF(O2302=2,INDEX(Acceleration!$R$4:$R$110,MATCH('Track Data'!S2302,Acceleration!$K$4:$K$110,0)),IF('Track Data'!O2302=1,INDEX(Acceleration!$Q$4:$Q$110,MATCH('Track Data'!S2302,Acceleration!$K$4:$K$110,0)),'Track Data'!AG2302)),'Track Data'!U2302)</f>
        <v>4.4322975285970454</v>
      </c>
    </row>
    <row r="2303" spans="2:34" x14ac:dyDescent="0.25">
      <c r="B2303" s="16">
        <v>255.71700000000001</v>
      </c>
      <c r="C2303" s="16">
        <v>9573</v>
      </c>
      <c r="D2303" s="16">
        <v>2300</v>
      </c>
      <c r="E2303" s="113">
        <v>182</v>
      </c>
      <c r="F2303" s="113">
        <v>180.8</v>
      </c>
      <c r="G2303" s="113">
        <v>179.3</v>
      </c>
      <c r="H2303" s="113">
        <f t="shared" si="250"/>
        <v>49.805555555555557</v>
      </c>
      <c r="I2303" s="113">
        <v>4.9000000000000004</v>
      </c>
      <c r="J2303" s="113">
        <v>12.59</v>
      </c>
      <c r="K2303" s="113">
        <v>-1.5</v>
      </c>
      <c r="L2303" s="185"/>
      <c r="M2303" s="16">
        <v>2300</v>
      </c>
      <c r="N2303" s="16">
        <f t="shared" si="252"/>
        <v>2.0461215172610767E-2</v>
      </c>
      <c r="O2303" s="16">
        <v>4</v>
      </c>
      <c r="P2303" s="16">
        <f t="shared" si="248"/>
        <v>9.1833785004516724</v>
      </c>
      <c r="Q2303" s="16">
        <f t="shared" si="253"/>
        <v>48.872952635706248</v>
      </c>
      <c r="R2303" s="113">
        <f t="shared" si="249"/>
        <v>329.49099999999999</v>
      </c>
      <c r="S2303" s="16">
        <f>IF(S2302=15800,15800,ROUND((((Q2303*60)/'Gearing Calculator'!$C$14)*'Track Data'!P2303),-2))</f>
        <v>13600</v>
      </c>
      <c r="T2303" s="16">
        <f t="shared" si="251"/>
        <v>4.4322975285970454</v>
      </c>
      <c r="U2303" s="16">
        <f>IF(AC2303=100,Braking!$AG$2354,IF(AC2303=50,Braking!$AG$1179,IF(AC2303=75,Braking!$AG$1767,0)))</f>
        <v>0</v>
      </c>
      <c r="V2303" s="16">
        <f>0.5*'Gearing Calculator'!$C$15*'Gearing Calculator'!$C$20*'Gearing Calculator'!$W$20*('Track Data'!Q2303^2)</f>
        <v>252.80577244929739</v>
      </c>
      <c r="W2303" s="16">
        <f>('Gearing Calculator'!$U$9*'Track Data'!T2303)+'Track Data'!V2303</f>
        <v>1432.6833745618308</v>
      </c>
      <c r="X2303" s="16">
        <f>('Gearing Calculator'!$U$9*9.81)*('Gearing Calculator'!$U$16/'Gearing Calculator'!$C$7)-(('Track Data'!W2303)*('Gearing Calculator'!$U$17/'Gearing Calculator'!$C$7))</f>
        <v>620.25201756774675</v>
      </c>
      <c r="Y2303" s="16">
        <f>('Gearing Calculator'!$U$9*9.81)*(('Gearing Calculator'!$C$7-'Gearing Calculator'!$U$16)/'Gearing Calculator'!$C$7)+(('Track Data'!W2303)*('Gearing Calculator'!$U$17/'Gearing Calculator'!$C$7))</f>
        <v>1991.1699824322532</v>
      </c>
      <c r="Z2303" s="16">
        <f>((X2303*COS('Gearing Calculator'!$C$21))/'Gearing Calculator'!$C$22)/2</f>
        <v>19.17623069319653</v>
      </c>
      <c r="AA2303" s="16">
        <f>Y2303/'Gearing Calculator'!$C$24</f>
        <v>27.803411430845028</v>
      </c>
      <c r="AB2303" s="16">
        <f t="shared" si="254"/>
        <v>270.53496256368555</v>
      </c>
      <c r="AC2303" s="16">
        <v>0</v>
      </c>
      <c r="AD2303" s="16">
        <v>0</v>
      </c>
      <c r="AE2303" s="16">
        <v>2300</v>
      </c>
      <c r="AF2303" s="16">
        <f>IF(AC2303=0,IF(O2303=6,INDEX(Acceleration!$V$4:$V$110,MATCH('Track Data'!S2303,Acceleration!$K$4:$K$110,0)),IF('Track Data'!O2303=5,INDEX(Acceleration!$U$4:$U$110,MATCH('Track Data'!S2303,Acceleration!$K$4:$K$110,0)),1)),U2303)</f>
        <v>1</v>
      </c>
      <c r="AG2303" s="16">
        <f>IF(AC2303=0,IF(O2303=4,INDEX(Acceleration!$T$4:$T$110,MATCH('Track Data'!S2303,Acceleration!$K$4:$K$110,0)),IF('Track Data'!O2303=3,INDEX(Acceleration!$S$4:$S$110,MATCH('Track Data'!S2303,Acceleration!$K$4:$K$110,0)),'Track Data'!AF2303)),'Track Data'!U2303)</f>
        <v>4.4322975285970454</v>
      </c>
      <c r="AH2303" s="16">
        <f>IF(AC2303=0,IF(O2303=2,INDEX(Acceleration!$R$4:$R$110,MATCH('Track Data'!S2303,Acceleration!$K$4:$K$110,0)),IF('Track Data'!O2303=1,INDEX(Acceleration!$Q$4:$Q$110,MATCH('Track Data'!S2303,Acceleration!$K$4:$K$110,0)),'Track Data'!AG2303)),'Track Data'!U2303)</f>
        <v>4.4322975285970454</v>
      </c>
    </row>
    <row r="2304" spans="2:34" x14ac:dyDescent="0.25">
      <c r="B2304" s="16">
        <v>255.73699999999999</v>
      </c>
      <c r="C2304" s="16">
        <v>9574</v>
      </c>
      <c r="D2304" s="16">
        <v>2301</v>
      </c>
      <c r="E2304" s="113">
        <v>182</v>
      </c>
      <c r="F2304" s="113">
        <v>181.5</v>
      </c>
      <c r="G2304" s="113">
        <v>179.7</v>
      </c>
      <c r="H2304" s="113">
        <f t="shared" si="250"/>
        <v>49.916666666666664</v>
      </c>
      <c r="I2304" s="113">
        <v>4.5999999999999996</v>
      </c>
      <c r="J2304" s="113">
        <v>13.18</v>
      </c>
      <c r="K2304" s="113">
        <v>-2.7</v>
      </c>
      <c r="L2304" s="185"/>
      <c r="M2304" s="16">
        <v>2301</v>
      </c>
      <c r="N2304" s="16">
        <f t="shared" si="252"/>
        <v>2.0423352053403197E-2</v>
      </c>
      <c r="O2304" s="16">
        <v>4</v>
      </c>
      <c r="P2304" s="16">
        <f t="shared" si="248"/>
        <v>9.1833785004516724</v>
      </c>
      <c r="Q2304" s="16">
        <f t="shared" si="253"/>
        <v>48.963558841133889</v>
      </c>
      <c r="R2304" s="113">
        <f t="shared" si="249"/>
        <v>329.49099999999999</v>
      </c>
      <c r="S2304" s="16">
        <f>IF(S2303=15800,15800,ROUND((((Q2304*60)/'Gearing Calculator'!$C$14)*'Track Data'!P2304),-2))</f>
        <v>13600</v>
      </c>
      <c r="T2304" s="16">
        <f t="shared" si="251"/>
        <v>4.4322975285970454</v>
      </c>
      <c r="U2304" s="16">
        <f>IF(AC2304=100,Braking!$AG$2354,IF(AC2304=50,Braking!$AG$1179,IF(AC2304=75,Braking!$AG$1767,0)))</f>
        <v>0</v>
      </c>
      <c r="V2304" s="16">
        <f>0.5*'Gearing Calculator'!$C$15*'Gearing Calculator'!$C$20*'Gearing Calculator'!$W$20*('Track Data'!Q2304^2)</f>
        <v>253.74400119015087</v>
      </c>
      <c r="W2304" s="16">
        <f>('Gearing Calculator'!$U$9*'Track Data'!T2304)+'Track Data'!V2304</f>
        <v>1433.6216033026842</v>
      </c>
      <c r="X2304" s="16">
        <f>('Gearing Calculator'!$U$9*9.81)*('Gearing Calculator'!$U$16/'Gearing Calculator'!$C$7)-(('Track Data'!W2304)*('Gearing Calculator'!$U$17/'Gearing Calculator'!$C$7))</f>
        <v>619.74061882883836</v>
      </c>
      <c r="Y2304" s="16">
        <f>('Gearing Calculator'!$U$9*9.81)*(('Gearing Calculator'!$C$7-'Gearing Calculator'!$U$16)/'Gearing Calculator'!$C$7)+(('Track Data'!W2304)*('Gearing Calculator'!$U$17/'Gearing Calculator'!$C$7))</f>
        <v>1991.6813811711618</v>
      </c>
      <c r="Z2304" s="16">
        <f>((X2304*COS('Gearing Calculator'!$C$21))/'Gearing Calculator'!$C$22)/2</f>
        <v>19.160419861605895</v>
      </c>
      <c r="AA2304" s="16">
        <f>Y2304/'Gearing Calculator'!$C$24</f>
        <v>27.810552272495183</v>
      </c>
      <c r="AB2304" s="16">
        <f t="shared" si="254"/>
        <v>271.47319130453906</v>
      </c>
      <c r="AC2304" s="16">
        <v>0</v>
      </c>
      <c r="AD2304" s="16">
        <v>0</v>
      </c>
      <c r="AE2304" s="16">
        <v>2301</v>
      </c>
      <c r="AF2304" s="16">
        <f>IF(AC2304=0,IF(O2304=6,INDEX(Acceleration!$V$4:$V$110,MATCH('Track Data'!S2304,Acceleration!$K$4:$K$110,0)),IF('Track Data'!O2304=5,INDEX(Acceleration!$U$4:$U$110,MATCH('Track Data'!S2304,Acceleration!$K$4:$K$110,0)),1)),U2304)</f>
        <v>1</v>
      </c>
      <c r="AG2304" s="16">
        <f>IF(AC2304=0,IF(O2304=4,INDEX(Acceleration!$T$4:$T$110,MATCH('Track Data'!S2304,Acceleration!$K$4:$K$110,0)),IF('Track Data'!O2304=3,INDEX(Acceleration!$S$4:$S$110,MATCH('Track Data'!S2304,Acceleration!$K$4:$K$110,0)),'Track Data'!AF2304)),'Track Data'!U2304)</f>
        <v>4.4322975285970454</v>
      </c>
      <c r="AH2304" s="16">
        <f>IF(AC2304=0,IF(O2304=2,INDEX(Acceleration!$R$4:$R$110,MATCH('Track Data'!S2304,Acceleration!$K$4:$K$110,0)),IF('Track Data'!O2304=1,INDEX(Acceleration!$Q$4:$Q$110,MATCH('Track Data'!S2304,Acceleration!$K$4:$K$110,0)),'Track Data'!AG2304)),'Track Data'!U2304)</f>
        <v>4.4322975285970454</v>
      </c>
    </row>
    <row r="2305" spans="2:34" x14ac:dyDescent="0.25">
      <c r="B2305" s="16">
        <v>255.756</v>
      </c>
      <c r="C2305" s="16">
        <v>9575</v>
      </c>
      <c r="D2305" s="16">
        <v>2302</v>
      </c>
      <c r="E2305" s="113">
        <v>182</v>
      </c>
      <c r="F2305" s="113">
        <v>182.3</v>
      </c>
      <c r="G2305" s="113">
        <v>180</v>
      </c>
      <c r="H2305" s="113">
        <f t="shared" si="250"/>
        <v>50</v>
      </c>
      <c r="I2305" s="113">
        <v>4.5999999999999996</v>
      </c>
      <c r="J2305" s="113">
        <v>12.52</v>
      </c>
      <c r="K2305" s="113">
        <v>-4</v>
      </c>
      <c r="L2305" s="185"/>
      <c r="M2305" s="16">
        <v>2302</v>
      </c>
      <c r="N2305" s="16">
        <f t="shared" si="252"/>
        <v>2.0385698354368705E-2</v>
      </c>
      <c r="O2305" s="16">
        <v>4</v>
      </c>
      <c r="P2305" s="16">
        <f t="shared" si="248"/>
        <v>9.1833785004516724</v>
      </c>
      <c r="Q2305" s="16">
        <f t="shared" si="253"/>
        <v>49.053997690773123</v>
      </c>
      <c r="R2305" s="113">
        <f t="shared" si="249"/>
        <v>329.49099999999999</v>
      </c>
      <c r="S2305" s="16">
        <f>IF(S2304=15800,15800,ROUND((((Q2305*60)/'Gearing Calculator'!$C$14)*'Track Data'!P2305),-2))</f>
        <v>13700</v>
      </c>
      <c r="T2305" s="16">
        <f t="shared" si="251"/>
        <v>4.3864649846265227</v>
      </c>
      <c r="U2305" s="16">
        <f>IF(AC2305=100,Braking!$AG$2354,IF(AC2305=50,Braking!$AG$1179,IF(AC2305=75,Braking!$AG$1767,0)))</f>
        <v>0</v>
      </c>
      <c r="V2305" s="16">
        <f>0.5*'Gearing Calculator'!$C$15*'Gearing Calculator'!$C$20*'Gearing Calculator'!$W$20*('Track Data'!Q2305^2)</f>
        <v>254.68222993100429</v>
      </c>
      <c r="W2305" s="16">
        <f>('Gearing Calculator'!$U$9*'Track Data'!T2305)+'Track Data'!V2305</f>
        <v>1422.3592088385844</v>
      </c>
      <c r="X2305" s="16">
        <f>('Gearing Calculator'!$U$9*9.81)*('Gearing Calculator'!$U$16/'Gearing Calculator'!$C$7)-(('Track Data'!W2305)*('Gearing Calculator'!$U$17/'Gearing Calculator'!$C$7))</f>
        <v>625.87939296273476</v>
      </c>
      <c r="Y2305" s="16">
        <f>('Gearing Calculator'!$U$9*9.81)*(('Gearing Calculator'!$C$7-'Gearing Calculator'!$U$16)/'Gearing Calculator'!$C$7)+(('Track Data'!W2305)*('Gearing Calculator'!$U$17/'Gearing Calculator'!$C$7))</f>
        <v>1985.5426070372653</v>
      </c>
      <c r="Z2305" s="16">
        <f>((X2305*COS('Gearing Calculator'!$C$21))/'Gearing Calculator'!$C$22)/2</f>
        <v>19.350211342537541</v>
      </c>
      <c r="AA2305" s="16">
        <f>Y2305/'Gearing Calculator'!$C$24</f>
        <v>27.724834395854003</v>
      </c>
      <c r="AB2305" s="16">
        <f t="shared" si="254"/>
        <v>272.22808986951037</v>
      </c>
      <c r="AC2305" s="16">
        <v>0</v>
      </c>
      <c r="AD2305" s="16">
        <v>0</v>
      </c>
      <c r="AE2305" s="16">
        <v>2302</v>
      </c>
      <c r="AF2305" s="16">
        <f>IF(AC2305=0,IF(O2305=6,INDEX(Acceleration!$V$4:$V$110,MATCH('Track Data'!S2305,Acceleration!$K$4:$K$110,0)),IF('Track Data'!O2305=5,INDEX(Acceleration!$U$4:$U$110,MATCH('Track Data'!S2305,Acceleration!$K$4:$K$110,0)),1)),U2305)</f>
        <v>1</v>
      </c>
      <c r="AG2305" s="16">
        <f>IF(AC2305=0,IF(O2305=4,INDEX(Acceleration!$T$4:$T$110,MATCH('Track Data'!S2305,Acceleration!$K$4:$K$110,0)),IF('Track Data'!O2305=3,INDEX(Acceleration!$S$4:$S$110,MATCH('Track Data'!S2305,Acceleration!$K$4:$K$110,0)),'Track Data'!AF2305)),'Track Data'!U2305)</f>
        <v>4.3864649846265227</v>
      </c>
      <c r="AH2305" s="16">
        <f>IF(AC2305=0,IF(O2305=2,INDEX(Acceleration!$R$4:$R$110,MATCH('Track Data'!S2305,Acceleration!$K$4:$K$110,0)),IF('Track Data'!O2305=1,INDEX(Acceleration!$Q$4:$Q$110,MATCH('Track Data'!S2305,Acceleration!$K$4:$K$110,0)),'Track Data'!AG2305)),'Track Data'!U2305)</f>
        <v>4.3864649846265227</v>
      </c>
    </row>
    <row r="2306" spans="2:34" x14ac:dyDescent="0.25">
      <c r="B2306" s="16">
        <v>255.77600000000001</v>
      </c>
      <c r="C2306" s="16">
        <v>9576</v>
      </c>
      <c r="D2306" s="16">
        <v>2303</v>
      </c>
      <c r="E2306" s="113">
        <v>183</v>
      </c>
      <c r="F2306" s="113">
        <v>182.3</v>
      </c>
      <c r="G2306" s="113">
        <v>180.3</v>
      </c>
      <c r="H2306" s="113">
        <f t="shared" si="250"/>
        <v>50.083333333333336</v>
      </c>
      <c r="I2306" s="113">
        <v>4.2</v>
      </c>
      <c r="J2306" s="113">
        <v>20</v>
      </c>
      <c r="K2306" s="113">
        <v>-4.4000000000000004</v>
      </c>
      <c r="L2306" s="185"/>
      <c r="M2306" s="16">
        <v>2303</v>
      </c>
      <c r="N2306" s="16">
        <f t="shared" si="252"/>
        <v>2.0348638312431663E-2</v>
      </c>
      <c r="O2306" s="16">
        <v>4</v>
      </c>
      <c r="P2306" s="16">
        <f t="shared" si="248"/>
        <v>9.1833785004516724</v>
      </c>
      <c r="Q2306" s="16">
        <f t="shared" si="253"/>
        <v>49.143337487553978</v>
      </c>
      <c r="R2306" s="113">
        <f t="shared" si="249"/>
        <v>329.49099999999999</v>
      </c>
      <c r="S2306" s="16">
        <f>IF(S2305=15800,15800,ROUND((((Q2306*60)/'Gearing Calculator'!$C$14)*'Track Data'!P2306),-2))</f>
        <v>13700</v>
      </c>
      <c r="T2306" s="16">
        <f t="shared" si="251"/>
        <v>4.3864649846265227</v>
      </c>
      <c r="U2306" s="16">
        <f>IF(AC2306=100,Braking!$AG$2354,IF(AC2306=50,Braking!$AG$1179,IF(AC2306=75,Braking!$AG$1767,0)))</f>
        <v>0</v>
      </c>
      <c r="V2306" s="16">
        <f>0.5*'Gearing Calculator'!$C$15*'Gearing Calculator'!$C$20*'Gearing Calculator'!$W$20*('Track Data'!Q2306^2)</f>
        <v>255.61075683895004</v>
      </c>
      <c r="W2306" s="16">
        <f>('Gearing Calculator'!$U$9*'Track Data'!T2306)+'Track Data'!V2306</f>
        <v>1423.2877357465302</v>
      </c>
      <c r="X2306" s="16">
        <f>('Gearing Calculator'!$U$9*9.81)*('Gearing Calculator'!$U$16/'Gearing Calculator'!$C$7)-(('Track Data'!W2306)*('Gearing Calculator'!$U$17/'Gearing Calculator'!$C$7))</f>
        <v>625.37328238533553</v>
      </c>
      <c r="Y2306" s="16">
        <f>('Gearing Calculator'!$U$9*9.81)*(('Gearing Calculator'!$C$7-'Gearing Calculator'!$U$16)/'Gearing Calculator'!$C$7)+(('Track Data'!W2306)*('Gearing Calculator'!$U$17/'Gearing Calculator'!$C$7))</f>
        <v>1986.0487176146644</v>
      </c>
      <c r="Z2306" s="16">
        <f>((X2306*COS('Gearing Calculator'!$C$21))/'Gearing Calculator'!$C$22)/2</f>
        <v>19.334564004175736</v>
      </c>
      <c r="AA2306" s="16">
        <f>Y2306/'Gearing Calculator'!$C$24</f>
        <v>27.731901397032747</v>
      </c>
      <c r="AB2306" s="16">
        <f t="shared" si="254"/>
        <v>273.15661677745612</v>
      </c>
      <c r="AC2306" s="16">
        <v>0</v>
      </c>
      <c r="AD2306" s="16">
        <v>0</v>
      </c>
      <c r="AE2306" s="16">
        <v>2303</v>
      </c>
      <c r="AF2306" s="16">
        <f>IF(AC2306=0,IF(O2306=6,INDEX(Acceleration!$V$4:$V$110,MATCH('Track Data'!S2306,Acceleration!$K$4:$K$110,0)),IF('Track Data'!O2306=5,INDEX(Acceleration!$U$4:$U$110,MATCH('Track Data'!S2306,Acceleration!$K$4:$K$110,0)),1)),U2306)</f>
        <v>1</v>
      </c>
      <c r="AG2306" s="16">
        <f>IF(AC2306=0,IF(O2306=4,INDEX(Acceleration!$T$4:$T$110,MATCH('Track Data'!S2306,Acceleration!$K$4:$K$110,0)),IF('Track Data'!O2306=3,INDEX(Acceleration!$S$4:$S$110,MATCH('Track Data'!S2306,Acceleration!$K$4:$K$110,0)),'Track Data'!AF2306)),'Track Data'!U2306)</f>
        <v>4.3864649846265227</v>
      </c>
      <c r="AH2306" s="16">
        <f>IF(AC2306=0,IF(O2306=2,INDEX(Acceleration!$R$4:$R$110,MATCH('Track Data'!S2306,Acceleration!$K$4:$K$110,0)),IF('Track Data'!O2306=1,INDEX(Acceleration!$Q$4:$Q$110,MATCH('Track Data'!S2306,Acceleration!$K$4:$K$110,0)),'Track Data'!AG2306)),'Track Data'!U2306)</f>
        <v>4.3864649846265227</v>
      </c>
    </row>
    <row r="2307" spans="2:34" x14ac:dyDescent="0.25">
      <c r="B2307" s="16">
        <v>255.79599999999999</v>
      </c>
      <c r="C2307" s="16">
        <v>9577</v>
      </c>
      <c r="D2307" s="16">
        <v>2304</v>
      </c>
      <c r="E2307" s="113">
        <v>184</v>
      </c>
      <c r="F2307" s="113">
        <v>181.9</v>
      </c>
      <c r="G2307" s="113">
        <v>180.7</v>
      </c>
      <c r="H2307" s="113">
        <f t="shared" si="250"/>
        <v>50.194444444444443</v>
      </c>
      <c r="I2307" s="113">
        <v>4.8</v>
      </c>
      <c r="J2307" s="113">
        <v>21.47</v>
      </c>
      <c r="K2307" s="113">
        <v>-4.4000000000000004</v>
      </c>
      <c r="L2307" s="185"/>
      <c r="M2307" s="16">
        <v>2304</v>
      </c>
      <c r="N2307" s="16">
        <f t="shared" si="252"/>
        <v>2.0311779657539702E-2</v>
      </c>
      <c r="O2307" s="16">
        <v>4</v>
      </c>
      <c r="P2307" s="16">
        <f t="shared" si="248"/>
        <v>9.1833785004516724</v>
      </c>
      <c r="Q2307" s="16">
        <f t="shared" si="253"/>
        <v>49.232515164115689</v>
      </c>
      <c r="R2307" s="113">
        <f t="shared" si="249"/>
        <v>329.49099999999999</v>
      </c>
      <c r="S2307" s="16">
        <f>IF(S2306=15800,15800,ROUND((((Q2307*60)/'Gearing Calculator'!$C$14)*'Track Data'!P2307),-2))</f>
        <v>13700</v>
      </c>
      <c r="T2307" s="16">
        <f t="shared" si="251"/>
        <v>4.3864649846265227</v>
      </c>
      <c r="U2307" s="16">
        <f>IF(AC2307=100,Braking!$AG$2354,IF(AC2307=50,Braking!$AG$1179,IF(AC2307=75,Braking!$AG$1767,0)))</f>
        <v>0</v>
      </c>
      <c r="V2307" s="16">
        <f>0.5*'Gearing Calculator'!$C$15*'Gearing Calculator'!$C$20*'Gearing Calculator'!$W$20*('Track Data'!Q2307^2)</f>
        <v>256.53928374689582</v>
      </c>
      <c r="W2307" s="16">
        <f>('Gearing Calculator'!$U$9*'Track Data'!T2307)+'Track Data'!V2307</f>
        <v>1424.2162626544759</v>
      </c>
      <c r="X2307" s="16">
        <f>('Gearing Calculator'!$U$9*9.81)*('Gearing Calculator'!$U$16/'Gearing Calculator'!$C$7)-(('Track Data'!W2307)*('Gearing Calculator'!$U$17/'Gearing Calculator'!$C$7))</f>
        <v>624.86717180793619</v>
      </c>
      <c r="Y2307" s="16">
        <f>('Gearing Calculator'!$U$9*9.81)*(('Gearing Calculator'!$C$7-'Gearing Calculator'!$U$16)/'Gearing Calculator'!$C$7)+(('Track Data'!W2307)*('Gearing Calculator'!$U$17/'Gearing Calculator'!$C$7))</f>
        <v>1986.5548281920637</v>
      </c>
      <c r="Z2307" s="16">
        <f>((X2307*COS('Gearing Calculator'!$C$21))/'Gearing Calculator'!$C$22)/2</f>
        <v>19.31891666581393</v>
      </c>
      <c r="AA2307" s="16">
        <f>Y2307/'Gearing Calculator'!$C$24</f>
        <v>27.738968398211494</v>
      </c>
      <c r="AB2307" s="16">
        <f t="shared" si="254"/>
        <v>274.08514368540193</v>
      </c>
      <c r="AC2307" s="16">
        <v>0</v>
      </c>
      <c r="AD2307" s="16">
        <v>0</v>
      </c>
      <c r="AE2307" s="16">
        <v>2304</v>
      </c>
      <c r="AF2307" s="16">
        <f>IF(AC2307=0,IF(O2307=6,INDEX(Acceleration!$V$4:$V$110,MATCH('Track Data'!S2307,Acceleration!$K$4:$K$110,0)),IF('Track Data'!O2307=5,INDEX(Acceleration!$U$4:$U$110,MATCH('Track Data'!S2307,Acceleration!$K$4:$K$110,0)),1)),U2307)</f>
        <v>1</v>
      </c>
      <c r="AG2307" s="16">
        <f>IF(AC2307=0,IF(O2307=4,INDEX(Acceleration!$T$4:$T$110,MATCH('Track Data'!S2307,Acceleration!$K$4:$K$110,0)),IF('Track Data'!O2307=3,INDEX(Acceleration!$S$4:$S$110,MATCH('Track Data'!S2307,Acceleration!$K$4:$K$110,0)),'Track Data'!AF2307)),'Track Data'!U2307)</f>
        <v>4.3864649846265227</v>
      </c>
      <c r="AH2307" s="16">
        <f>IF(AC2307=0,IF(O2307=2,INDEX(Acceleration!$R$4:$R$110,MATCH('Track Data'!S2307,Acceleration!$K$4:$K$110,0)),IF('Track Data'!O2307=1,INDEX(Acceleration!$Q$4:$Q$110,MATCH('Track Data'!S2307,Acceleration!$K$4:$K$110,0)),'Track Data'!AG2307)),'Track Data'!U2307)</f>
        <v>4.3864649846265227</v>
      </c>
    </row>
    <row r="2308" spans="2:34" x14ac:dyDescent="0.25">
      <c r="B2308" s="16">
        <v>255.816</v>
      </c>
      <c r="C2308" s="16">
        <v>9578</v>
      </c>
      <c r="D2308" s="16">
        <v>2305</v>
      </c>
      <c r="E2308" s="113">
        <v>184</v>
      </c>
      <c r="F2308" s="113">
        <v>182.3</v>
      </c>
      <c r="G2308" s="113">
        <v>181</v>
      </c>
      <c r="H2308" s="113">
        <f t="shared" si="250"/>
        <v>50.277777777777779</v>
      </c>
      <c r="I2308" s="113">
        <v>6.1</v>
      </c>
      <c r="J2308" s="113">
        <v>17.96</v>
      </c>
      <c r="K2308" s="113">
        <v>-4.4000000000000004</v>
      </c>
      <c r="L2308" s="185"/>
      <c r="M2308" s="16">
        <v>2305</v>
      </c>
      <c r="N2308" s="16">
        <f t="shared" si="252"/>
        <v>2.0275120572355046E-2</v>
      </c>
      <c r="O2308" s="16">
        <v>4</v>
      </c>
      <c r="P2308" s="16">
        <f t="shared" ref="P2308:P2371" si="255">VLOOKUP(O2308,$AJ$5:$AK$10,2,FALSE)</f>
        <v>9.1833785004516724</v>
      </c>
      <c r="Q2308" s="16">
        <f t="shared" si="253"/>
        <v>49.321531599841208</v>
      </c>
      <c r="R2308" s="113">
        <f t="shared" ref="R2308:R2371" si="256">VLOOKUP(O2308,$AJ$5:$AL$10,3,FALSE)</f>
        <v>329.49099999999999</v>
      </c>
      <c r="S2308" s="16">
        <f>IF(S2307=15800,15800,ROUND((((Q2308*60)/'Gearing Calculator'!$C$14)*'Track Data'!P2308),-2))</f>
        <v>13700</v>
      </c>
      <c r="T2308" s="16">
        <f t="shared" si="251"/>
        <v>4.3864649846265227</v>
      </c>
      <c r="U2308" s="16">
        <f>IF(AC2308=100,Braking!$AG$2354,IF(AC2308=50,Braking!$AG$1179,IF(AC2308=75,Braking!$AG$1767,0)))</f>
        <v>0</v>
      </c>
      <c r="V2308" s="16">
        <f>0.5*'Gearing Calculator'!$C$15*'Gearing Calculator'!$C$20*'Gearing Calculator'!$W$20*('Track Data'!Q2308^2)</f>
        <v>257.46781065484163</v>
      </c>
      <c r="W2308" s="16">
        <f>('Gearing Calculator'!$U$9*'Track Data'!T2308)+'Track Data'!V2308</f>
        <v>1425.1447895624219</v>
      </c>
      <c r="X2308" s="16">
        <f>('Gearing Calculator'!$U$9*9.81)*('Gearing Calculator'!$U$16/'Gearing Calculator'!$C$7)-(('Track Data'!W2308)*('Gearing Calculator'!$U$17/'Gearing Calculator'!$C$7))</f>
        <v>624.36106123053673</v>
      </c>
      <c r="Y2308" s="16">
        <f>('Gearing Calculator'!$U$9*9.81)*(('Gearing Calculator'!$C$7-'Gearing Calculator'!$U$16)/'Gearing Calculator'!$C$7)+(('Track Data'!W2308)*('Gearing Calculator'!$U$17/'Gearing Calculator'!$C$7))</f>
        <v>1987.0609387694633</v>
      </c>
      <c r="Z2308" s="16">
        <f>((X2308*COS('Gearing Calculator'!$C$21))/'Gearing Calculator'!$C$22)/2</f>
        <v>19.303269327452117</v>
      </c>
      <c r="AA2308" s="16">
        <f>Y2308/'Gearing Calculator'!$C$24</f>
        <v>27.746035399390244</v>
      </c>
      <c r="AB2308" s="16">
        <f t="shared" si="254"/>
        <v>275.01367059334774</v>
      </c>
      <c r="AC2308" s="16">
        <v>0</v>
      </c>
      <c r="AD2308" s="16">
        <v>0</v>
      </c>
      <c r="AE2308" s="16">
        <v>2305</v>
      </c>
      <c r="AF2308" s="16">
        <f>IF(AC2308=0,IF(O2308=6,INDEX(Acceleration!$V$4:$V$110,MATCH('Track Data'!S2308,Acceleration!$K$4:$K$110,0)),IF('Track Data'!O2308=5,INDEX(Acceleration!$U$4:$U$110,MATCH('Track Data'!S2308,Acceleration!$K$4:$K$110,0)),1)),U2308)</f>
        <v>1</v>
      </c>
      <c r="AG2308" s="16">
        <f>IF(AC2308=0,IF(O2308=4,INDEX(Acceleration!$T$4:$T$110,MATCH('Track Data'!S2308,Acceleration!$K$4:$K$110,0)),IF('Track Data'!O2308=3,INDEX(Acceleration!$S$4:$S$110,MATCH('Track Data'!S2308,Acceleration!$K$4:$K$110,0)),'Track Data'!AF2308)),'Track Data'!U2308)</f>
        <v>4.3864649846265227</v>
      </c>
      <c r="AH2308" s="16">
        <f>IF(AC2308=0,IF(O2308=2,INDEX(Acceleration!$R$4:$R$110,MATCH('Track Data'!S2308,Acceleration!$K$4:$K$110,0)),IF('Track Data'!O2308=1,INDEX(Acceleration!$Q$4:$Q$110,MATCH('Track Data'!S2308,Acceleration!$K$4:$K$110,0)),'Track Data'!AG2308)),'Track Data'!U2308)</f>
        <v>4.3864649846265227</v>
      </c>
    </row>
    <row r="2309" spans="2:34" x14ac:dyDescent="0.25">
      <c r="B2309" s="16">
        <v>255.83500000000001</v>
      </c>
      <c r="C2309" s="16">
        <v>9579</v>
      </c>
      <c r="D2309" s="16">
        <v>2306</v>
      </c>
      <c r="E2309" s="113">
        <v>184</v>
      </c>
      <c r="F2309" s="113">
        <v>183</v>
      </c>
      <c r="G2309" s="113">
        <v>181.3</v>
      </c>
      <c r="H2309" s="113">
        <f t="shared" ref="H2309:H2372" si="257">G2309/3.6</f>
        <v>50.361111111111114</v>
      </c>
      <c r="I2309" s="113">
        <v>6.8</v>
      </c>
      <c r="J2309" s="113">
        <v>13.56</v>
      </c>
      <c r="K2309" s="113">
        <v>-4.4000000000000004</v>
      </c>
      <c r="L2309" s="185"/>
      <c r="M2309" s="16">
        <v>2306</v>
      </c>
      <c r="N2309" s="16">
        <f t="shared" si="252"/>
        <v>2.0238659262417132E-2</v>
      </c>
      <c r="O2309" s="16">
        <v>4</v>
      </c>
      <c r="P2309" s="16">
        <f t="shared" si="255"/>
        <v>9.1833785004516724</v>
      </c>
      <c r="Q2309" s="16">
        <f t="shared" si="253"/>
        <v>49.410387666192101</v>
      </c>
      <c r="R2309" s="113">
        <f t="shared" si="256"/>
        <v>329.49099999999999</v>
      </c>
      <c r="S2309" s="16">
        <f>IF(S2308=15800,15800,ROUND((((Q2309*60)/'Gearing Calculator'!$C$14)*'Track Data'!P2309),-2))</f>
        <v>13800</v>
      </c>
      <c r="T2309" s="16">
        <f t="shared" ref="T2309:T2372" si="258">AH2309</f>
        <v>4.3638993703129962</v>
      </c>
      <c r="U2309" s="16">
        <f>IF(AC2309=100,Braking!$AG$2354,IF(AC2309=50,Braking!$AG$1179,IF(AC2309=75,Braking!$AG$1767,0)))</f>
        <v>0</v>
      </c>
      <c r="V2309" s="16">
        <f>0.5*'Gearing Calculator'!$C$15*'Gearing Calculator'!$C$20*'Gearing Calculator'!$W$20*('Track Data'!Q2309^2)</f>
        <v>258.39633756278738</v>
      </c>
      <c r="W2309" s="16">
        <f>('Gearing Calculator'!$U$9*'Track Data'!T2309)+'Track Data'!V2309</f>
        <v>1420.0663499401071</v>
      </c>
      <c r="X2309" s="16">
        <f>('Gearing Calculator'!$U$9*9.81)*('Gearing Calculator'!$U$16/'Gearing Calculator'!$C$7)-(('Track Data'!W2309)*('Gearing Calculator'!$U$17/'Gearing Calculator'!$C$7))</f>
        <v>627.12915765029868</v>
      </c>
      <c r="Y2309" s="16">
        <f>('Gearing Calculator'!$U$9*9.81)*(('Gearing Calculator'!$C$7-'Gearing Calculator'!$U$16)/'Gearing Calculator'!$C$7)+(('Track Data'!W2309)*('Gearing Calculator'!$U$17/'Gearing Calculator'!$C$7))</f>
        <v>1984.2928423497015</v>
      </c>
      <c r="Z2309" s="16">
        <f>((X2309*COS('Gearing Calculator'!$C$21))/'Gearing Calculator'!$C$22)/2</f>
        <v>19.388850114008072</v>
      </c>
      <c r="AA2309" s="16">
        <f>Y2309/'Gearing Calculator'!$C$24</f>
        <v>27.707383489047125</v>
      </c>
      <c r="AB2309" s="16">
        <f t="shared" si="254"/>
        <v>275.85193504403935</v>
      </c>
      <c r="AC2309" s="16">
        <v>0</v>
      </c>
      <c r="AD2309" s="16">
        <v>0</v>
      </c>
      <c r="AE2309" s="16">
        <v>2306</v>
      </c>
      <c r="AF2309" s="16">
        <f>IF(AC2309=0,IF(O2309=6,INDEX(Acceleration!$V$4:$V$110,MATCH('Track Data'!S2309,Acceleration!$K$4:$K$110,0)),IF('Track Data'!O2309=5,INDEX(Acceleration!$U$4:$U$110,MATCH('Track Data'!S2309,Acceleration!$K$4:$K$110,0)),1)),U2309)</f>
        <v>1</v>
      </c>
      <c r="AG2309" s="16">
        <f>IF(AC2309=0,IF(O2309=4,INDEX(Acceleration!$T$4:$T$110,MATCH('Track Data'!S2309,Acceleration!$K$4:$K$110,0)),IF('Track Data'!O2309=3,INDEX(Acceleration!$S$4:$S$110,MATCH('Track Data'!S2309,Acceleration!$K$4:$K$110,0)),'Track Data'!AF2309)),'Track Data'!U2309)</f>
        <v>4.3638993703129962</v>
      </c>
      <c r="AH2309" s="16">
        <f>IF(AC2309=0,IF(O2309=2,INDEX(Acceleration!$R$4:$R$110,MATCH('Track Data'!S2309,Acceleration!$K$4:$K$110,0)),IF('Track Data'!O2309=1,INDEX(Acceleration!$Q$4:$Q$110,MATCH('Track Data'!S2309,Acceleration!$K$4:$K$110,0)),'Track Data'!AG2309)),'Track Data'!U2309)</f>
        <v>4.3638993703129962</v>
      </c>
    </row>
    <row r="2310" spans="2:34" x14ac:dyDescent="0.25">
      <c r="B2310" s="16">
        <v>255.85499999999999</v>
      </c>
      <c r="C2310" s="16">
        <v>9580</v>
      </c>
      <c r="D2310" s="16">
        <v>2307</v>
      </c>
      <c r="E2310" s="113">
        <v>184</v>
      </c>
      <c r="F2310" s="113">
        <v>183.7</v>
      </c>
      <c r="G2310" s="113">
        <v>181.6</v>
      </c>
      <c r="H2310" s="113">
        <f t="shared" si="257"/>
        <v>50.444444444444443</v>
      </c>
      <c r="I2310" s="113">
        <v>5.9</v>
      </c>
      <c r="J2310" s="113">
        <v>13.96</v>
      </c>
      <c r="K2310" s="113">
        <v>-3.7</v>
      </c>
      <c r="L2310" s="185"/>
      <c r="M2310" s="16">
        <v>2307</v>
      </c>
      <c r="N2310" s="16">
        <f t="shared" ref="N2310:N2373" si="259">1/Q2310</f>
        <v>2.0202580019480183E-2</v>
      </c>
      <c r="O2310" s="16">
        <v>4</v>
      </c>
      <c r="P2310" s="16">
        <f t="shared" si="255"/>
        <v>9.1833785004516724</v>
      </c>
      <c r="Q2310" s="16">
        <f t="shared" ref="Q2310:Q2373" si="260">IF(AD2309=0,SQRT(Q2309^2+(2*T2309)),Q2309)</f>
        <v>49.498628345278561</v>
      </c>
      <c r="R2310" s="113">
        <f t="shared" si="256"/>
        <v>329.49099999999999</v>
      </c>
      <c r="S2310" s="16">
        <f>IF(S2309=15800,15800,ROUND((((Q2310*60)/'Gearing Calculator'!$C$14)*'Track Data'!P2310),-2))</f>
        <v>13800</v>
      </c>
      <c r="T2310" s="16">
        <f t="shared" si="258"/>
        <v>4.3638993703129962</v>
      </c>
      <c r="U2310" s="16">
        <f>IF(AC2310=100,Braking!$AG$2354,IF(AC2310=50,Braking!$AG$1179,IF(AC2310=75,Braking!$AG$1767,0)))</f>
        <v>0</v>
      </c>
      <c r="V2310" s="16">
        <f>0.5*'Gearing Calculator'!$C$15*'Gearing Calculator'!$C$20*'Gearing Calculator'!$W$20*('Track Data'!Q2310^2)</f>
        <v>259.32008778149526</v>
      </c>
      <c r="W2310" s="16">
        <f>('Gearing Calculator'!$U$9*'Track Data'!T2310)+'Track Data'!V2310</f>
        <v>1420.9901001588148</v>
      </c>
      <c r="X2310" s="16">
        <f>('Gearing Calculator'!$U$9*9.81)*('Gearing Calculator'!$U$16/'Gearing Calculator'!$C$7)-(('Track Data'!W2310)*('Gearing Calculator'!$U$17/'Gearing Calculator'!$C$7))</f>
        <v>626.62565069475204</v>
      </c>
      <c r="Y2310" s="16">
        <f>('Gearing Calculator'!$U$9*9.81)*(('Gearing Calculator'!$C$7-'Gearing Calculator'!$U$16)/'Gearing Calculator'!$C$7)+(('Track Data'!W2310)*('Gearing Calculator'!$U$17/'Gearing Calculator'!$C$7))</f>
        <v>1984.796349305248</v>
      </c>
      <c r="Z2310" s="16">
        <f>((X2310*COS('Gearing Calculator'!$C$21))/'Gearing Calculator'!$C$22)/2</f>
        <v>19.373283271399398</v>
      </c>
      <c r="AA2310" s="16">
        <f>Y2310/'Gearing Calculator'!$C$24</f>
        <v>27.714414134932138</v>
      </c>
      <c r="AB2310" s="16">
        <f t="shared" si="254"/>
        <v>276.77568526274723</v>
      </c>
      <c r="AC2310" s="16">
        <v>0</v>
      </c>
      <c r="AD2310" s="16">
        <v>0</v>
      </c>
      <c r="AE2310" s="16">
        <v>2307</v>
      </c>
      <c r="AF2310" s="16">
        <f>IF(AC2310=0,IF(O2310=6,INDEX(Acceleration!$V$4:$V$110,MATCH('Track Data'!S2310,Acceleration!$K$4:$K$110,0)),IF('Track Data'!O2310=5,INDEX(Acceleration!$U$4:$U$110,MATCH('Track Data'!S2310,Acceleration!$K$4:$K$110,0)),1)),U2310)</f>
        <v>1</v>
      </c>
      <c r="AG2310" s="16">
        <f>IF(AC2310=0,IF(O2310=4,INDEX(Acceleration!$T$4:$T$110,MATCH('Track Data'!S2310,Acceleration!$K$4:$K$110,0)),IF('Track Data'!O2310=3,INDEX(Acceleration!$S$4:$S$110,MATCH('Track Data'!S2310,Acceleration!$K$4:$K$110,0)),'Track Data'!AF2310)),'Track Data'!U2310)</f>
        <v>4.3638993703129962</v>
      </c>
      <c r="AH2310" s="16">
        <f>IF(AC2310=0,IF(O2310=2,INDEX(Acceleration!$R$4:$R$110,MATCH('Track Data'!S2310,Acceleration!$K$4:$K$110,0)),IF('Track Data'!O2310=1,INDEX(Acceleration!$Q$4:$Q$110,MATCH('Track Data'!S2310,Acceleration!$K$4:$K$110,0)),'Track Data'!AG2310)),'Track Data'!U2310)</f>
        <v>4.3638993703129962</v>
      </c>
    </row>
    <row r="2311" spans="2:34" x14ac:dyDescent="0.25">
      <c r="B2311" s="16">
        <v>255.874</v>
      </c>
      <c r="C2311" s="16">
        <v>9581</v>
      </c>
      <c r="D2311" s="16">
        <v>2308</v>
      </c>
      <c r="E2311" s="113">
        <v>185</v>
      </c>
      <c r="F2311" s="113">
        <v>184.5</v>
      </c>
      <c r="G2311" s="113">
        <v>181.9</v>
      </c>
      <c r="H2311" s="113">
        <f t="shared" si="257"/>
        <v>50.527777777777779</v>
      </c>
      <c r="I2311" s="113">
        <v>4.8</v>
      </c>
      <c r="J2311" s="113">
        <v>13.13</v>
      </c>
      <c r="K2311" s="113">
        <v>-2.8</v>
      </c>
      <c r="L2311" s="185"/>
      <c r="M2311" s="16">
        <v>2308</v>
      </c>
      <c r="N2311" s="16">
        <f t="shared" si="259"/>
        <v>2.0166693045383155E-2</v>
      </c>
      <c r="O2311" s="16">
        <v>4</v>
      </c>
      <c r="P2311" s="16">
        <f t="shared" si="255"/>
        <v>9.1833785004516724</v>
      </c>
      <c r="Q2311" s="16">
        <f t="shared" si="260"/>
        <v>49.586711998323104</v>
      </c>
      <c r="R2311" s="113">
        <f t="shared" si="256"/>
        <v>329.49099999999999</v>
      </c>
      <c r="S2311" s="16">
        <f>IF(S2310=15800,15800,ROUND((((Q2311*60)/'Gearing Calculator'!$C$14)*'Track Data'!P2311),-2))</f>
        <v>13800</v>
      </c>
      <c r="T2311" s="16">
        <f t="shared" si="258"/>
        <v>4.3638993703129962</v>
      </c>
      <c r="U2311" s="16">
        <f>IF(AC2311=100,Braking!$AG$2354,IF(AC2311=50,Braking!$AG$1179,IF(AC2311=75,Braking!$AG$1767,0)))</f>
        <v>0</v>
      </c>
      <c r="V2311" s="16">
        <f>0.5*'Gearing Calculator'!$C$15*'Gearing Calculator'!$C$20*'Gearing Calculator'!$W$20*('Track Data'!Q2311^2)</f>
        <v>260.24383800020308</v>
      </c>
      <c r="W2311" s="16">
        <f>('Gearing Calculator'!$U$9*'Track Data'!T2311)+'Track Data'!V2311</f>
        <v>1421.9138503775227</v>
      </c>
      <c r="X2311" s="16">
        <f>('Gearing Calculator'!$U$9*9.81)*('Gearing Calculator'!$U$16/'Gearing Calculator'!$C$7)-(('Track Data'!W2311)*('Gearing Calculator'!$U$17/'Gearing Calculator'!$C$7))</f>
        <v>626.12214373920528</v>
      </c>
      <c r="Y2311" s="16">
        <f>('Gearing Calculator'!$U$9*9.81)*(('Gearing Calculator'!$C$7-'Gearing Calculator'!$U$16)/'Gearing Calculator'!$C$7)+(('Track Data'!W2311)*('Gearing Calculator'!$U$17/'Gearing Calculator'!$C$7))</f>
        <v>1985.2998562607947</v>
      </c>
      <c r="Z2311" s="16">
        <f>((X2311*COS('Gearing Calculator'!$C$21))/'Gearing Calculator'!$C$22)/2</f>
        <v>19.357716428790717</v>
      </c>
      <c r="AA2311" s="16">
        <f>Y2311/'Gearing Calculator'!$C$24</f>
        <v>27.721444780817158</v>
      </c>
      <c r="AB2311" s="16">
        <f t="shared" si="254"/>
        <v>277.69943548145505</v>
      </c>
      <c r="AC2311" s="16">
        <v>0</v>
      </c>
      <c r="AD2311" s="16">
        <v>0</v>
      </c>
      <c r="AE2311" s="16">
        <v>2308</v>
      </c>
      <c r="AF2311" s="16">
        <f>IF(AC2311=0,IF(O2311=6,INDEX(Acceleration!$V$4:$V$110,MATCH('Track Data'!S2311,Acceleration!$K$4:$K$110,0)),IF('Track Data'!O2311=5,INDEX(Acceleration!$U$4:$U$110,MATCH('Track Data'!S2311,Acceleration!$K$4:$K$110,0)),1)),U2311)</f>
        <v>1</v>
      </c>
      <c r="AG2311" s="16">
        <f>IF(AC2311=0,IF(O2311=4,INDEX(Acceleration!$T$4:$T$110,MATCH('Track Data'!S2311,Acceleration!$K$4:$K$110,0)),IF('Track Data'!O2311=3,INDEX(Acceleration!$S$4:$S$110,MATCH('Track Data'!S2311,Acceleration!$K$4:$K$110,0)),'Track Data'!AF2311)),'Track Data'!U2311)</f>
        <v>4.3638993703129962</v>
      </c>
      <c r="AH2311" s="16">
        <f>IF(AC2311=0,IF(O2311=2,INDEX(Acceleration!$R$4:$R$110,MATCH('Track Data'!S2311,Acceleration!$K$4:$K$110,0)),IF('Track Data'!O2311=1,INDEX(Acceleration!$Q$4:$Q$110,MATCH('Track Data'!S2311,Acceleration!$K$4:$K$110,0)),'Track Data'!AG2311)),'Track Data'!U2311)</f>
        <v>4.3638993703129962</v>
      </c>
    </row>
    <row r="2312" spans="2:34" x14ac:dyDescent="0.25">
      <c r="B2312" s="16">
        <v>255.89400000000001</v>
      </c>
      <c r="C2312" s="16">
        <v>9582</v>
      </c>
      <c r="D2312" s="16">
        <v>2309</v>
      </c>
      <c r="E2312" s="113">
        <v>185</v>
      </c>
      <c r="F2312" s="113">
        <v>185</v>
      </c>
      <c r="G2312" s="113">
        <v>182.2</v>
      </c>
      <c r="H2312" s="113">
        <f t="shared" si="257"/>
        <v>50.611111111111107</v>
      </c>
      <c r="I2312" s="113">
        <v>4.0999999999999996</v>
      </c>
      <c r="J2312" s="113">
        <v>16.100000000000001</v>
      </c>
      <c r="K2312" s="113">
        <v>-1.9</v>
      </c>
      <c r="L2312" s="185"/>
      <c r="M2312" s="16">
        <v>2309</v>
      </c>
      <c r="N2312" s="16">
        <f t="shared" si="259"/>
        <v>2.0130996638480194E-2</v>
      </c>
      <c r="O2312" s="16">
        <v>4</v>
      </c>
      <c r="P2312" s="16">
        <f t="shared" si="255"/>
        <v>9.1833785004516724</v>
      </c>
      <c r="Q2312" s="16">
        <f t="shared" si="260"/>
        <v>49.674639460646979</v>
      </c>
      <c r="R2312" s="113">
        <f t="shared" si="256"/>
        <v>329.49099999999999</v>
      </c>
      <c r="S2312" s="16">
        <f>IF(S2311=15800,15800,ROUND((((Q2312*60)/'Gearing Calculator'!$C$14)*'Track Data'!P2312),-2))</f>
        <v>13800</v>
      </c>
      <c r="T2312" s="16">
        <f t="shared" si="258"/>
        <v>4.3638993703129962</v>
      </c>
      <c r="U2312" s="16">
        <f>IF(AC2312=100,Braking!$AG$2354,IF(AC2312=50,Braking!$AG$1179,IF(AC2312=75,Braking!$AG$1767,0)))</f>
        <v>0</v>
      </c>
      <c r="V2312" s="16">
        <f>0.5*'Gearing Calculator'!$C$15*'Gearing Calculator'!$C$20*'Gearing Calculator'!$W$20*('Track Data'!Q2312^2)</f>
        <v>261.16758821891091</v>
      </c>
      <c r="W2312" s="16">
        <f>('Gearing Calculator'!$U$9*'Track Data'!T2312)+'Track Data'!V2312</f>
        <v>1422.8376005962305</v>
      </c>
      <c r="X2312" s="16">
        <f>('Gearing Calculator'!$U$9*9.81)*('Gearing Calculator'!$U$16/'Gearing Calculator'!$C$7)-(('Track Data'!W2312)*('Gearing Calculator'!$U$17/'Gearing Calculator'!$C$7))</f>
        <v>625.61863678365864</v>
      </c>
      <c r="Y2312" s="16">
        <f>('Gearing Calculator'!$U$9*9.81)*(('Gearing Calculator'!$C$7-'Gearing Calculator'!$U$16)/'Gearing Calculator'!$C$7)+(('Track Data'!W2312)*('Gearing Calculator'!$U$17/'Gearing Calculator'!$C$7))</f>
        <v>1985.8033632163415</v>
      </c>
      <c r="Z2312" s="16">
        <f>((X2312*COS('Gearing Calculator'!$C$21))/'Gearing Calculator'!$C$22)/2</f>
        <v>19.342149586182039</v>
      </c>
      <c r="AA2312" s="16">
        <f>Y2312/'Gearing Calculator'!$C$24</f>
        <v>27.728475426702175</v>
      </c>
      <c r="AB2312" s="16">
        <f t="shared" si="254"/>
        <v>278.62318570016288</v>
      </c>
      <c r="AC2312" s="16">
        <v>0</v>
      </c>
      <c r="AD2312" s="16">
        <v>0</v>
      </c>
      <c r="AE2312" s="16">
        <v>2309</v>
      </c>
      <c r="AF2312" s="16">
        <f>IF(AC2312=0,IF(O2312=6,INDEX(Acceleration!$V$4:$V$110,MATCH('Track Data'!S2312,Acceleration!$K$4:$K$110,0)),IF('Track Data'!O2312=5,INDEX(Acceleration!$U$4:$U$110,MATCH('Track Data'!S2312,Acceleration!$K$4:$K$110,0)),1)),U2312)</f>
        <v>1</v>
      </c>
      <c r="AG2312" s="16">
        <f>IF(AC2312=0,IF(O2312=4,INDEX(Acceleration!$T$4:$T$110,MATCH('Track Data'!S2312,Acceleration!$K$4:$K$110,0)),IF('Track Data'!O2312=3,INDEX(Acceleration!$S$4:$S$110,MATCH('Track Data'!S2312,Acceleration!$K$4:$K$110,0)),'Track Data'!AF2312)),'Track Data'!U2312)</f>
        <v>4.3638993703129962</v>
      </c>
      <c r="AH2312" s="16">
        <f>IF(AC2312=0,IF(O2312=2,INDEX(Acceleration!$R$4:$R$110,MATCH('Track Data'!S2312,Acceleration!$K$4:$K$110,0)),IF('Track Data'!O2312=1,INDEX(Acceleration!$Q$4:$Q$110,MATCH('Track Data'!S2312,Acceleration!$K$4:$K$110,0)),'Track Data'!AG2312)),'Track Data'!U2312)</f>
        <v>4.3638993703129962</v>
      </c>
    </row>
    <row r="2313" spans="2:34" x14ac:dyDescent="0.25">
      <c r="B2313" s="16">
        <v>255.91300000000001</v>
      </c>
      <c r="C2313" s="16">
        <v>9583</v>
      </c>
      <c r="D2313" s="16">
        <v>2310</v>
      </c>
      <c r="E2313" s="113">
        <v>185</v>
      </c>
      <c r="F2313" s="113">
        <v>185.3</v>
      </c>
      <c r="G2313" s="113">
        <v>182.5</v>
      </c>
      <c r="H2313" s="113">
        <f t="shared" si="257"/>
        <v>50.694444444444443</v>
      </c>
      <c r="I2313" s="113">
        <v>4.0999999999999996</v>
      </c>
      <c r="J2313" s="113">
        <v>15.03</v>
      </c>
      <c r="K2313" s="113">
        <v>-0.9</v>
      </c>
      <c r="L2313" s="185"/>
      <c r="M2313" s="16">
        <v>2310</v>
      </c>
      <c r="N2313" s="16">
        <f t="shared" si="259"/>
        <v>2.0095489118135284E-2</v>
      </c>
      <c r="O2313" s="16">
        <v>4</v>
      </c>
      <c r="P2313" s="16">
        <f t="shared" si="255"/>
        <v>9.1833785004516724</v>
      </c>
      <c r="Q2313" s="16">
        <f t="shared" si="260"/>
        <v>49.762411560191609</v>
      </c>
      <c r="R2313" s="113">
        <f t="shared" si="256"/>
        <v>329.49099999999999</v>
      </c>
      <c r="S2313" s="16">
        <f>IF(S2312=15800,15800,ROUND((((Q2313*60)/'Gearing Calculator'!$C$14)*'Track Data'!P2313),-2))</f>
        <v>13900</v>
      </c>
      <c r="T2313" s="16">
        <f t="shared" si="258"/>
        <v>4.3414616353714317</v>
      </c>
      <c r="U2313" s="16">
        <f>IF(AC2313=100,Braking!$AG$2354,IF(AC2313=50,Braking!$AG$1179,IF(AC2313=75,Braking!$AG$1767,0)))</f>
        <v>0</v>
      </c>
      <c r="V2313" s="16">
        <f>0.5*'Gearing Calculator'!$C$15*'Gearing Calculator'!$C$20*'Gearing Calculator'!$W$20*('Track Data'!Q2313^2)</f>
        <v>262.09133843761873</v>
      </c>
      <c r="W2313" s="16">
        <f>('Gearing Calculator'!$U$9*'Track Data'!T2313)+'Track Data'!V2313</f>
        <v>1417.7884257734938</v>
      </c>
      <c r="X2313" s="16">
        <f>('Gearing Calculator'!$U$9*9.81)*('Gearing Calculator'!$U$16/'Gearing Calculator'!$C$7)-(('Track Data'!W2313)*('Gearing Calculator'!$U$17/'Gearing Calculator'!$C$7))</f>
        <v>628.37078188904809</v>
      </c>
      <c r="Y2313" s="16">
        <f>('Gearing Calculator'!$U$9*9.81)*(('Gearing Calculator'!$C$7-'Gearing Calculator'!$U$16)/'Gearing Calculator'!$C$7)+(('Track Data'!W2313)*('Gearing Calculator'!$U$17/'Gearing Calculator'!$C$7))</f>
        <v>1983.051218110952</v>
      </c>
      <c r="Z2313" s="16">
        <f>((X2313*COS('Gearing Calculator'!$C$21))/'Gearing Calculator'!$C$22)/2</f>
        <v>19.427237208547304</v>
      </c>
      <c r="AA2313" s="16">
        <f>Y2313/'Gearing Calculator'!$C$24</f>
        <v>27.690046250209136</v>
      </c>
      <c r="AB2313" s="16">
        <f t="shared" si="254"/>
        <v>279.45718497910445</v>
      </c>
      <c r="AC2313" s="16">
        <v>0</v>
      </c>
      <c r="AD2313" s="16">
        <v>0</v>
      </c>
      <c r="AE2313" s="16">
        <v>2310</v>
      </c>
      <c r="AF2313" s="16">
        <f>IF(AC2313=0,IF(O2313=6,INDEX(Acceleration!$V$4:$V$110,MATCH('Track Data'!S2313,Acceleration!$K$4:$K$110,0)),IF('Track Data'!O2313=5,INDEX(Acceleration!$U$4:$U$110,MATCH('Track Data'!S2313,Acceleration!$K$4:$K$110,0)),1)),U2313)</f>
        <v>1</v>
      </c>
      <c r="AG2313" s="16">
        <f>IF(AC2313=0,IF(O2313=4,INDEX(Acceleration!$T$4:$T$110,MATCH('Track Data'!S2313,Acceleration!$K$4:$K$110,0)),IF('Track Data'!O2313=3,INDEX(Acceleration!$S$4:$S$110,MATCH('Track Data'!S2313,Acceleration!$K$4:$K$110,0)),'Track Data'!AF2313)),'Track Data'!U2313)</f>
        <v>4.3414616353714317</v>
      </c>
      <c r="AH2313" s="16">
        <f>IF(AC2313=0,IF(O2313=2,INDEX(Acceleration!$R$4:$R$110,MATCH('Track Data'!S2313,Acceleration!$K$4:$K$110,0)),IF('Track Data'!O2313=1,INDEX(Acceleration!$Q$4:$Q$110,MATCH('Track Data'!S2313,Acceleration!$K$4:$K$110,0)),'Track Data'!AG2313)),'Track Data'!U2313)</f>
        <v>4.3414616353714317</v>
      </c>
    </row>
    <row r="2314" spans="2:34" x14ac:dyDescent="0.25">
      <c r="B2314" s="16">
        <v>255.93299999999999</v>
      </c>
      <c r="C2314" s="16">
        <v>9584</v>
      </c>
      <c r="D2314" s="16">
        <v>2311</v>
      </c>
      <c r="E2314" s="113">
        <v>186</v>
      </c>
      <c r="F2314" s="113">
        <v>185.4</v>
      </c>
      <c r="G2314" s="113">
        <v>182.8</v>
      </c>
      <c r="H2314" s="113">
        <f t="shared" si="257"/>
        <v>50.777777777777779</v>
      </c>
      <c r="I2314" s="113">
        <v>4.9000000000000004</v>
      </c>
      <c r="J2314" s="113">
        <v>14.52</v>
      </c>
      <c r="K2314" s="113">
        <v>-0.5</v>
      </c>
      <c r="L2314" s="185"/>
      <c r="M2314" s="16">
        <v>2311</v>
      </c>
      <c r="N2314" s="16">
        <f t="shared" si="259"/>
        <v>2.0060349953663934E-2</v>
      </c>
      <c r="O2314" s="16">
        <v>4</v>
      </c>
      <c r="P2314" s="16">
        <f t="shared" si="255"/>
        <v>9.1833785004516724</v>
      </c>
      <c r="Q2314" s="16">
        <f t="shared" si="260"/>
        <v>49.849579010826503</v>
      </c>
      <c r="R2314" s="113">
        <f t="shared" si="256"/>
        <v>329.49099999999999</v>
      </c>
      <c r="S2314" s="16">
        <f>IF(S2313=15800,15800,ROUND((((Q2314*60)/'Gearing Calculator'!$C$14)*'Track Data'!P2314),-2))</f>
        <v>13900</v>
      </c>
      <c r="T2314" s="16">
        <f t="shared" si="258"/>
        <v>4.3414616353714317</v>
      </c>
      <c r="U2314" s="16">
        <f>IF(AC2314=100,Braking!$AG$2354,IF(AC2314=50,Braking!$AG$1179,IF(AC2314=75,Braking!$AG$1767,0)))</f>
        <v>0</v>
      </c>
      <c r="V2314" s="16">
        <f>0.5*'Gearing Calculator'!$C$15*'Gearing Calculator'!$C$20*'Gearing Calculator'!$W$20*('Track Data'!Q2314^2)</f>
        <v>263.01033903659413</v>
      </c>
      <c r="W2314" s="16">
        <f>('Gearing Calculator'!$U$9*'Track Data'!T2314)+'Track Data'!V2314</f>
        <v>1418.7074263724692</v>
      </c>
      <c r="X2314" s="16">
        <f>('Gearing Calculator'!$U$9*9.81)*('Gearing Calculator'!$U$16/'Gearing Calculator'!$C$7)-(('Track Data'!W2314)*('Gearing Calculator'!$U$17/'Gearing Calculator'!$C$7))</f>
        <v>627.86986380062478</v>
      </c>
      <c r="Y2314" s="16">
        <f>('Gearing Calculator'!$U$9*9.81)*(('Gearing Calculator'!$C$7-'Gearing Calculator'!$U$16)/'Gearing Calculator'!$C$7)+(('Track Data'!W2314)*('Gearing Calculator'!$U$17/'Gearing Calculator'!$C$7))</f>
        <v>1983.5521361993751</v>
      </c>
      <c r="Z2314" s="16">
        <f>((X2314*COS('Gearing Calculator'!$C$21))/'Gearing Calculator'!$C$22)/2</f>
        <v>19.411750405522195</v>
      </c>
      <c r="AA2314" s="16">
        <f>Y2314/'Gearing Calculator'!$C$24</f>
        <v>27.697040746825927</v>
      </c>
      <c r="AB2314" s="16">
        <f t="shared" si="254"/>
        <v>280.37618557807986</v>
      </c>
      <c r="AC2314" s="16">
        <v>0</v>
      </c>
      <c r="AD2314" s="16">
        <v>0</v>
      </c>
      <c r="AE2314" s="16">
        <v>2311</v>
      </c>
      <c r="AF2314" s="16">
        <f>IF(AC2314=0,IF(O2314=6,INDEX(Acceleration!$V$4:$V$110,MATCH('Track Data'!S2314,Acceleration!$K$4:$K$110,0)),IF('Track Data'!O2314=5,INDEX(Acceleration!$U$4:$U$110,MATCH('Track Data'!S2314,Acceleration!$K$4:$K$110,0)),1)),U2314)</f>
        <v>1</v>
      </c>
      <c r="AG2314" s="16">
        <f>IF(AC2314=0,IF(O2314=4,INDEX(Acceleration!$T$4:$T$110,MATCH('Track Data'!S2314,Acceleration!$K$4:$K$110,0)),IF('Track Data'!O2314=3,INDEX(Acceleration!$S$4:$S$110,MATCH('Track Data'!S2314,Acceleration!$K$4:$K$110,0)),'Track Data'!AF2314)),'Track Data'!U2314)</f>
        <v>4.3414616353714317</v>
      </c>
      <c r="AH2314" s="16">
        <f>IF(AC2314=0,IF(O2314=2,INDEX(Acceleration!$R$4:$R$110,MATCH('Track Data'!S2314,Acceleration!$K$4:$K$110,0)),IF('Track Data'!O2314=1,INDEX(Acceleration!$Q$4:$Q$110,MATCH('Track Data'!S2314,Acceleration!$K$4:$K$110,0)),'Track Data'!AG2314)),'Track Data'!U2314)</f>
        <v>4.3414616353714317</v>
      </c>
    </row>
    <row r="2315" spans="2:34" x14ac:dyDescent="0.25">
      <c r="B2315" s="16">
        <v>255.952</v>
      </c>
      <c r="C2315" s="16">
        <v>9585</v>
      </c>
      <c r="D2315" s="16">
        <v>2312</v>
      </c>
      <c r="E2315" s="113">
        <v>187</v>
      </c>
      <c r="F2315" s="113">
        <v>185.4</v>
      </c>
      <c r="G2315" s="113">
        <v>183.1</v>
      </c>
      <c r="H2315" s="113">
        <f t="shared" si="257"/>
        <v>50.861111111111107</v>
      </c>
      <c r="I2315" s="113">
        <v>4.8</v>
      </c>
      <c r="J2315" s="113">
        <v>18.43</v>
      </c>
      <c r="K2315" s="113">
        <v>-0.3</v>
      </c>
      <c r="L2315" s="185"/>
      <c r="M2315" s="16">
        <v>2312</v>
      </c>
      <c r="N2315" s="16">
        <f t="shared" si="259"/>
        <v>2.0025394480912895E-2</v>
      </c>
      <c r="O2315" s="16">
        <v>4</v>
      </c>
      <c r="P2315" s="16">
        <f t="shared" si="255"/>
        <v>9.1833785004516724</v>
      </c>
      <c r="Q2315" s="16">
        <f t="shared" si="260"/>
        <v>49.936594305452758</v>
      </c>
      <c r="R2315" s="113">
        <f t="shared" si="256"/>
        <v>329.49099999999999</v>
      </c>
      <c r="S2315" s="16">
        <f>IF(S2314=15800,15800,ROUND((((Q2315*60)/'Gearing Calculator'!$C$14)*'Track Data'!P2315),-2))</f>
        <v>13900</v>
      </c>
      <c r="T2315" s="16">
        <f t="shared" si="258"/>
        <v>4.3414616353714317</v>
      </c>
      <c r="U2315" s="16">
        <f>IF(AC2315=100,Braking!$AG$2354,IF(AC2315=50,Braking!$AG$1179,IF(AC2315=75,Braking!$AG$1767,0)))</f>
        <v>0</v>
      </c>
      <c r="V2315" s="16">
        <f>0.5*'Gearing Calculator'!$C$15*'Gearing Calculator'!$C$20*'Gearing Calculator'!$W$20*('Track Data'!Q2315^2)</f>
        <v>263.92933963556953</v>
      </c>
      <c r="W2315" s="16">
        <f>('Gearing Calculator'!$U$9*'Track Data'!T2315)+'Track Data'!V2315</f>
        <v>1419.6264269714445</v>
      </c>
      <c r="X2315" s="16">
        <f>('Gearing Calculator'!$U$9*9.81)*('Gearing Calculator'!$U$16/'Gearing Calculator'!$C$7)-(('Track Data'!W2315)*('Gearing Calculator'!$U$17/'Gearing Calculator'!$C$7))</f>
        <v>627.36894571220159</v>
      </c>
      <c r="Y2315" s="16">
        <f>('Gearing Calculator'!$U$9*9.81)*(('Gearing Calculator'!$C$7-'Gearing Calculator'!$U$16)/'Gearing Calculator'!$C$7)+(('Track Data'!W2315)*('Gearing Calculator'!$U$17/'Gearing Calculator'!$C$7))</f>
        <v>1984.0530542877984</v>
      </c>
      <c r="Z2315" s="16">
        <f>((X2315*COS('Gearing Calculator'!$C$21))/'Gearing Calculator'!$C$22)/2</f>
        <v>19.396263602497086</v>
      </c>
      <c r="AA2315" s="16">
        <f>Y2315/'Gearing Calculator'!$C$24</f>
        <v>27.704035243442721</v>
      </c>
      <c r="AB2315" s="16">
        <f t="shared" si="254"/>
        <v>281.29518617705526</v>
      </c>
      <c r="AC2315" s="16">
        <v>0</v>
      </c>
      <c r="AD2315" s="16">
        <v>0</v>
      </c>
      <c r="AE2315" s="16">
        <v>2312</v>
      </c>
      <c r="AF2315" s="16">
        <f>IF(AC2315=0,IF(O2315=6,INDEX(Acceleration!$V$4:$V$110,MATCH('Track Data'!S2315,Acceleration!$K$4:$K$110,0)),IF('Track Data'!O2315=5,INDEX(Acceleration!$U$4:$U$110,MATCH('Track Data'!S2315,Acceleration!$K$4:$K$110,0)),1)),U2315)</f>
        <v>1</v>
      </c>
      <c r="AG2315" s="16">
        <f>IF(AC2315=0,IF(O2315=4,INDEX(Acceleration!$T$4:$T$110,MATCH('Track Data'!S2315,Acceleration!$K$4:$K$110,0)),IF('Track Data'!O2315=3,INDEX(Acceleration!$S$4:$S$110,MATCH('Track Data'!S2315,Acceleration!$K$4:$K$110,0)),'Track Data'!AF2315)),'Track Data'!U2315)</f>
        <v>4.3414616353714317</v>
      </c>
      <c r="AH2315" s="16">
        <f>IF(AC2315=0,IF(O2315=2,INDEX(Acceleration!$R$4:$R$110,MATCH('Track Data'!S2315,Acceleration!$K$4:$K$110,0)),IF('Track Data'!O2315=1,INDEX(Acceleration!$Q$4:$Q$110,MATCH('Track Data'!S2315,Acceleration!$K$4:$K$110,0)),'Track Data'!AG2315)),'Track Data'!U2315)</f>
        <v>4.3414616353714317</v>
      </c>
    </row>
    <row r="2316" spans="2:34" x14ac:dyDescent="0.25">
      <c r="B2316" s="16">
        <v>255.971</v>
      </c>
      <c r="C2316" s="16">
        <v>9586</v>
      </c>
      <c r="D2316" s="16">
        <v>2313</v>
      </c>
      <c r="E2316" s="113">
        <v>187</v>
      </c>
      <c r="F2316" s="113">
        <v>185.6</v>
      </c>
      <c r="G2316" s="113">
        <v>183.3</v>
      </c>
      <c r="H2316" s="113">
        <f t="shared" si="257"/>
        <v>50.916666666666671</v>
      </c>
      <c r="I2316" s="113">
        <v>6.1</v>
      </c>
      <c r="J2316" s="113">
        <v>20.27</v>
      </c>
      <c r="K2316" s="113">
        <v>-0.2</v>
      </c>
      <c r="L2316" s="185"/>
      <c r="M2316" s="16">
        <v>2313</v>
      </c>
      <c r="N2316" s="16">
        <f t="shared" si="259"/>
        <v>1.9990621105010292E-2</v>
      </c>
      <c r="O2316" s="16">
        <v>4</v>
      </c>
      <c r="P2316" s="16">
        <f t="shared" si="255"/>
        <v>9.1833785004516724</v>
      </c>
      <c r="Q2316" s="16">
        <f t="shared" si="260"/>
        <v>50.023458238091855</v>
      </c>
      <c r="R2316" s="113">
        <f t="shared" si="256"/>
        <v>329.49099999999999</v>
      </c>
      <c r="S2316" s="16">
        <f>IF(S2315=15800,15800,ROUND((((Q2316*60)/'Gearing Calculator'!$C$14)*'Track Data'!P2316),-2))</f>
        <v>13900</v>
      </c>
      <c r="T2316" s="16">
        <f t="shared" si="258"/>
        <v>4.3414616353714317</v>
      </c>
      <c r="U2316" s="16">
        <f>IF(AC2316=100,Braking!$AG$2354,IF(AC2316=50,Braking!$AG$1179,IF(AC2316=75,Braking!$AG$1767,0)))</f>
        <v>0</v>
      </c>
      <c r="V2316" s="16">
        <f>0.5*'Gearing Calculator'!$C$15*'Gearing Calculator'!$C$20*'Gearing Calculator'!$W$20*('Track Data'!Q2316^2)</f>
        <v>264.84834023454499</v>
      </c>
      <c r="W2316" s="16">
        <f>('Gearing Calculator'!$U$9*'Track Data'!T2316)+'Track Data'!V2316</f>
        <v>1420.5454275704201</v>
      </c>
      <c r="X2316" s="16">
        <f>('Gearing Calculator'!$U$9*9.81)*('Gearing Calculator'!$U$16/'Gearing Calculator'!$C$7)-(('Track Data'!W2316)*('Gearing Calculator'!$U$17/'Gearing Calculator'!$C$7))</f>
        <v>626.86802762377829</v>
      </c>
      <c r="Y2316" s="16">
        <f>('Gearing Calculator'!$U$9*9.81)*(('Gearing Calculator'!$C$7-'Gearing Calculator'!$U$16)/'Gearing Calculator'!$C$7)+(('Track Data'!W2316)*('Gearing Calculator'!$U$17/'Gearing Calculator'!$C$7))</f>
        <v>1984.5539723762217</v>
      </c>
      <c r="Z2316" s="16">
        <f>((X2316*COS('Gearing Calculator'!$C$21))/'Gearing Calculator'!$C$22)/2</f>
        <v>19.380776799471974</v>
      </c>
      <c r="AA2316" s="16">
        <f>Y2316/'Gearing Calculator'!$C$24</f>
        <v>27.711029740059516</v>
      </c>
      <c r="AB2316" s="16">
        <f t="shared" si="254"/>
        <v>282.21418677603072</v>
      </c>
      <c r="AC2316" s="16">
        <v>0</v>
      </c>
      <c r="AD2316" s="16">
        <v>0</v>
      </c>
      <c r="AE2316" s="16">
        <v>2313</v>
      </c>
      <c r="AF2316" s="16">
        <f>IF(AC2316=0,IF(O2316=6,INDEX(Acceleration!$V$4:$V$110,MATCH('Track Data'!S2316,Acceleration!$K$4:$K$110,0)),IF('Track Data'!O2316=5,INDEX(Acceleration!$U$4:$U$110,MATCH('Track Data'!S2316,Acceleration!$K$4:$K$110,0)),1)),U2316)</f>
        <v>1</v>
      </c>
      <c r="AG2316" s="16">
        <f>IF(AC2316=0,IF(O2316=4,INDEX(Acceleration!$T$4:$T$110,MATCH('Track Data'!S2316,Acceleration!$K$4:$K$110,0)),IF('Track Data'!O2316=3,INDEX(Acceleration!$S$4:$S$110,MATCH('Track Data'!S2316,Acceleration!$K$4:$K$110,0)),'Track Data'!AF2316)),'Track Data'!U2316)</f>
        <v>4.3414616353714317</v>
      </c>
      <c r="AH2316" s="16">
        <f>IF(AC2316=0,IF(O2316=2,INDEX(Acceleration!$R$4:$R$110,MATCH('Track Data'!S2316,Acceleration!$K$4:$K$110,0)),IF('Track Data'!O2316=1,INDEX(Acceleration!$Q$4:$Q$110,MATCH('Track Data'!S2316,Acceleration!$K$4:$K$110,0)),'Track Data'!AG2316)),'Track Data'!U2316)</f>
        <v>4.3414616353714317</v>
      </c>
    </row>
    <row r="2317" spans="2:34" x14ac:dyDescent="0.25">
      <c r="B2317" s="16">
        <v>255.99100000000001</v>
      </c>
      <c r="C2317" s="16">
        <v>9587</v>
      </c>
      <c r="D2317" s="16">
        <v>2314</v>
      </c>
      <c r="E2317" s="113">
        <v>186</v>
      </c>
      <c r="F2317" s="113">
        <v>186</v>
      </c>
      <c r="G2317" s="113">
        <v>183.6</v>
      </c>
      <c r="H2317" s="113">
        <f t="shared" si="257"/>
        <v>51</v>
      </c>
      <c r="I2317" s="113">
        <v>7.3</v>
      </c>
      <c r="J2317" s="113">
        <v>17.600000000000001</v>
      </c>
      <c r="K2317" s="113">
        <v>-0.1</v>
      </c>
      <c r="L2317" s="185"/>
      <c r="M2317" s="16">
        <v>2314</v>
      </c>
      <c r="N2317" s="16">
        <f t="shared" si="259"/>
        <v>1.995602825040324E-2</v>
      </c>
      <c r="O2317" s="16">
        <v>4</v>
      </c>
      <c r="P2317" s="16">
        <f t="shared" si="255"/>
        <v>9.1833785004516724</v>
      </c>
      <c r="Q2317" s="16">
        <f t="shared" si="260"/>
        <v>50.110171595883237</v>
      </c>
      <c r="R2317" s="113">
        <f t="shared" si="256"/>
        <v>329.49099999999999</v>
      </c>
      <c r="S2317" s="16">
        <f>IF(S2316=15800,15800,ROUND((((Q2317*60)/'Gearing Calculator'!$C$14)*'Track Data'!P2317),-2))</f>
        <v>14000</v>
      </c>
      <c r="T2317" s="16">
        <f t="shared" si="258"/>
        <v>4.3416214019362878</v>
      </c>
      <c r="U2317" s="16">
        <f>IF(AC2317=100,Braking!$AG$2354,IF(AC2317=50,Braking!$AG$1179,IF(AC2317=75,Braking!$AG$1767,0)))</f>
        <v>0</v>
      </c>
      <c r="V2317" s="16">
        <f>0.5*'Gearing Calculator'!$C$15*'Gearing Calculator'!$C$20*'Gearing Calculator'!$W$20*('Track Data'!Q2317^2)</f>
        <v>265.76734083352045</v>
      </c>
      <c r="W2317" s="16">
        <f>('Gearing Calculator'!$U$9*'Track Data'!T2317)+'Track Data'!V2317</f>
        <v>1421.5069580289601</v>
      </c>
      <c r="X2317" s="16">
        <f>('Gearing Calculator'!$U$9*9.81)*('Gearing Calculator'!$U$16/'Gearing Calculator'!$C$7)-(('Track Data'!W2317)*('Gearing Calculator'!$U$17/'Gearing Calculator'!$C$7))</f>
        <v>626.34392785736941</v>
      </c>
      <c r="Y2317" s="16">
        <f>('Gearing Calculator'!$U$9*9.81)*(('Gearing Calculator'!$C$7-'Gearing Calculator'!$U$16)/'Gearing Calculator'!$C$7)+(('Track Data'!W2317)*('Gearing Calculator'!$U$17/'Gearing Calculator'!$C$7))</f>
        <v>1985.0780721426306</v>
      </c>
      <c r="Z2317" s="16">
        <f>((X2317*COS('Gearing Calculator'!$C$21))/'Gearing Calculator'!$C$22)/2</f>
        <v>19.364573292280948</v>
      </c>
      <c r="AA2317" s="16">
        <f>Y2317/'Gearing Calculator'!$C$24</f>
        <v>27.718347930653408</v>
      </c>
      <c r="AB2317" s="16">
        <f t="shared" si="254"/>
        <v>283.13382644126563</v>
      </c>
      <c r="AC2317" s="16">
        <v>0</v>
      </c>
      <c r="AD2317" s="16">
        <v>0</v>
      </c>
      <c r="AE2317" s="16">
        <v>2314</v>
      </c>
      <c r="AF2317" s="16">
        <f>IF(AC2317=0,IF(O2317=6,INDEX(Acceleration!$V$4:$V$110,MATCH('Track Data'!S2317,Acceleration!$K$4:$K$110,0)),IF('Track Data'!O2317=5,INDEX(Acceleration!$U$4:$U$110,MATCH('Track Data'!S2317,Acceleration!$K$4:$K$110,0)),1)),U2317)</f>
        <v>1</v>
      </c>
      <c r="AG2317" s="16">
        <f>IF(AC2317=0,IF(O2317=4,INDEX(Acceleration!$T$4:$T$110,MATCH('Track Data'!S2317,Acceleration!$K$4:$K$110,0)),IF('Track Data'!O2317=3,INDEX(Acceleration!$S$4:$S$110,MATCH('Track Data'!S2317,Acceleration!$K$4:$K$110,0)),'Track Data'!AF2317)),'Track Data'!U2317)</f>
        <v>4.3416214019362878</v>
      </c>
      <c r="AH2317" s="16">
        <f>IF(AC2317=0,IF(O2317=2,INDEX(Acceleration!$R$4:$R$110,MATCH('Track Data'!S2317,Acceleration!$K$4:$K$110,0)),IF('Track Data'!O2317=1,INDEX(Acceleration!$Q$4:$Q$110,MATCH('Track Data'!S2317,Acceleration!$K$4:$K$110,0)),'Track Data'!AG2317)),'Track Data'!U2317)</f>
        <v>4.3416214019362878</v>
      </c>
    </row>
    <row r="2318" spans="2:34" x14ac:dyDescent="0.25">
      <c r="B2318" s="16">
        <v>256.01</v>
      </c>
      <c r="C2318" s="16">
        <v>9588</v>
      </c>
      <c r="D2318" s="16">
        <v>2315</v>
      </c>
      <c r="E2318" s="113">
        <v>186</v>
      </c>
      <c r="F2318" s="113">
        <v>185.9</v>
      </c>
      <c r="G2318" s="113">
        <v>183.9</v>
      </c>
      <c r="H2318" s="113">
        <f t="shared" si="257"/>
        <v>51.083333333333336</v>
      </c>
      <c r="I2318" s="113">
        <v>8.3000000000000007</v>
      </c>
      <c r="J2318" s="113">
        <v>16.57</v>
      </c>
      <c r="K2318" s="113">
        <v>0.7</v>
      </c>
      <c r="L2318" s="185"/>
      <c r="M2318" s="16">
        <v>2315</v>
      </c>
      <c r="N2318" s="16">
        <f t="shared" si="259"/>
        <v>1.9921613097394892E-2</v>
      </c>
      <c r="O2318" s="16">
        <v>4</v>
      </c>
      <c r="P2318" s="16">
        <f t="shared" si="255"/>
        <v>9.1833785004516724</v>
      </c>
      <c r="Q2318" s="16">
        <f t="shared" si="260"/>
        <v>50.196738341975326</v>
      </c>
      <c r="R2318" s="113">
        <f t="shared" si="256"/>
        <v>329.49099999999999</v>
      </c>
      <c r="S2318" s="16">
        <f>IF(S2317=15800,15800,ROUND((((Q2318*60)/'Gearing Calculator'!$C$14)*'Track Data'!P2318),-2))</f>
        <v>14000</v>
      </c>
      <c r="T2318" s="16">
        <f t="shared" si="258"/>
        <v>4.3416214019362878</v>
      </c>
      <c r="U2318" s="16">
        <f>IF(AC2318=100,Braking!$AG$2354,IF(AC2318=50,Braking!$AG$1179,IF(AC2318=75,Braking!$AG$1767,0)))</f>
        <v>0</v>
      </c>
      <c r="V2318" s="16">
        <f>0.5*'Gearing Calculator'!$C$15*'Gearing Calculator'!$C$20*'Gearing Calculator'!$W$20*('Track Data'!Q2318^2)</f>
        <v>266.68637525188234</v>
      </c>
      <c r="W2318" s="16">
        <f>('Gearing Calculator'!$U$9*'Track Data'!T2318)+'Track Data'!V2318</f>
        <v>1422.425992447322</v>
      </c>
      <c r="X2318" s="16">
        <f>('Gearing Calculator'!$U$9*9.81)*('Gearing Calculator'!$U$16/'Gearing Calculator'!$C$7)-(('Track Data'!W2318)*('Gearing Calculator'!$U$17/'Gearing Calculator'!$C$7))</f>
        <v>625.84299133507091</v>
      </c>
      <c r="Y2318" s="16">
        <f>('Gearing Calculator'!$U$9*9.81)*(('Gearing Calculator'!$C$7-'Gearing Calculator'!$U$16)/'Gearing Calculator'!$C$7)+(('Track Data'!W2318)*('Gearing Calculator'!$U$17/'Gearing Calculator'!$C$7))</f>
        <v>1985.579008664929</v>
      </c>
      <c r="Z2318" s="16">
        <f>((X2318*COS('Gearing Calculator'!$C$21))/'Gearing Calculator'!$C$22)/2</f>
        <v>19.349085919338716</v>
      </c>
      <c r="AA2318" s="16">
        <f>Y2318/'Gearing Calculator'!$C$24</f>
        <v>27.725342684668927</v>
      </c>
      <c r="AB2318" s="16">
        <f t="shared" si="254"/>
        <v>284.05286085962751</v>
      </c>
      <c r="AC2318" s="16">
        <v>0</v>
      </c>
      <c r="AD2318" s="16">
        <v>0</v>
      </c>
      <c r="AE2318" s="16">
        <v>2315</v>
      </c>
      <c r="AF2318" s="16">
        <f>IF(AC2318=0,IF(O2318=6,INDEX(Acceleration!$V$4:$V$110,MATCH('Track Data'!S2318,Acceleration!$K$4:$K$110,0)),IF('Track Data'!O2318=5,INDEX(Acceleration!$U$4:$U$110,MATCH('Track Data'!S2318,Acceleration!$K$4:$K$110,0)),1)),U2318)</f>
        <v>1</v>
      </c>
      <c r="AG2318" s="16">
        <f>IF(AC2318=0,IF(O2318=4,INDEX(Acceleration!$T$4:$T$110,MATCH('Track Data'!S2318,Acceleration!$K$4:$K$110,0)),IF('Track Data'!O2318=3,INDEX(Acceleration!$S$4:$S$110,MATCH('Track Data'!S2318,Acceleration!$K$4:$K$110,0)),'Track Data'!AF2318)),'Track Data'!U2318)</f>
        <v>4.3416214019362878</v>
      </c>
      <c r="AH2318" s="16">
        <f>IF(AC2318=0,IF(O2318=2,INDEX(Acceleration!$R$4:$R$110,MATCH('Track Data'!S2318,Acceleration!$K$4:$K$110,0)),IF('Track Data'!O2318=1,INDEX(Acceleration!$Q$4:$Q$110,MATCH('Track Data'!S2318,Acceleration!$K$4:$K$110,0)),'Track Data'!AG2318)),'Track Data'!U2318)</f>
        <v>4.3416214019362878</v>
      </c>
    </row>
    <row r="2319" spans="2:34" x14ac:dyDescent="0.25">
      <c r="B2319" s="16">
        <v>256.029</v>
      </c>
      <c r="C2319" s="16">
        <v>9589</v>
      </c>
      <c r="D2319" s="16">
        <v>2316</v>
      </c>
      <c r="E2319" s="113">
        <v>187</v>
      </c>
      <c r="F2319" s="113">
        <v>185.8</v>
      </c>
      <c r="G2319" s="113">
        <v>184.1</v>
      </c>
      <c r="H2319" s="113">
        <f t="shared" si="257"/>
        <v>51.138888888888886</v>
      </c>
      <c r="I2319" s="113">
        <v>8.3000000000000007</v>
      </c>
      <c r="J2319" s="113">
        <v>17.89</v>
      </c>
      <c r="K2319" s="113">
        <v>1.1000000000000001</v>
      </c>
      <c r="L2319" s="185"/>
      <c r="M2319" s="16">
        <v>2316</v>
      </c>
      <c r="N2319" s="16">
        <f t="shared" si="259"/>
        <v>1.9887375384342432E-2</v>
      </c>
      <c r="O2319" s="16">
        <v>4</v>
      </c>
      <c r="P2319" s="16">
        <f t="shared" si="255"/>
        <v>9.1833785004516724</v>
      </c>
      <c r="Q2319" s="16">
        <f t="shared" si="260"/>
        <v>50.283156056244202</v>
      </c>
      <c r="R2319" s="113">
        <f t="shared" si="256"/>
        <v>329.49099999999999</v>
      </c>
      <c r="S2319" s="16">
        <f>IF(S2318=15800,15800,ROUND((((Q2319*60)/'Gearing Calculator'!$C$14)*'Track Data'!P2319),-2))</f>
        <v>14000</v>
      </c>
      <c r="T2319" s="16">
        <f t="shared" si="258"/>
        <v>4.3416214019362878</v>
      </c>
      <c r="U2319" s="16">
        <f>IF(AC2319=100,Braking!$AG$2354,IF(AC2319=50,Braking!$AG$1179,IF(AC2319=75,Braking!$AG$1767,0)))</f>
        <v>0</v>
      </c>
      <c r="V2319" s="16">
        <f>0.5*'Gearing Calculator'!$C$15*'Gearing Calculator'!$C$20*'Gearing Calculator'!$W$20*('Track Data'!Q2319^2)</f>
        <v>267.60540967024417</v>
      </c>
      <c r="W2319" s="16">
        <f>('Gearing Calculator'!$U$9*'Track Data'!T2319)+'Track Data'!V2319</f>
        <v>1423.3450268656838</v>
      </c>
      <c r="X2319" s="16">
        <f>('Gearing Calculator'!$U$9*9.81)*('Gearing Calculator'!$U$16/'Gearing Calculator'!$C$7)-(('Track Data'!W2319)*('Gearing Calculator'!$U$17/'Gearing Calculator'!$C$7))</f>
        <v>625.34205481277229</v>
      </c>
      <c r="Y2319" s="16">
        <f>('Gearing Calculator'!$U$9*9.81)*(('Gearing Calculator'!$C$7-'Gearing Calculator'!$U$16)/'Gearing Calculator'!$C$7)+(('Track Data'!W2319)*('Gearing Calculator'!$U$17/'Gearing Calculator'!$C$7))</f>
        <v>1986.0799451872276</v>
      </c>
      <c r="Z2319" s="16">
        <f>((X2319*COS('Gearing Calculator'!$C$21))/'Gearing Calculator'!$C$22)/2</f>
        <v>19.33359854639648</v>
      </c>
      <c r="AA2319" s="16">
        <f>Y2319/'Gearing Calculator'!$C$24</f>
        <v>27.73233743868445</v>
      </c>
      <c r="AB2319" s="16">
        <f t="shared" si="254"/>
        <v>284.97189527798935</v>
      </c>
      <c r="AC2319" s="16">
        <v>0</v>
      </c>
      <c r="AD2319" s="16">
        <v>0</v>
      </c>
      <c r="AE2319" s="16">
        <v>2316</v>
      </c>
      <c r="AF2319" s="16">
        <f>IF(AC2319=0,IF(O2319=6,INDEX(Acceleration!$V$4:$V$110,MATCH('Track Data'!S2319,Acceleration!$K$4:$K$110,0)),IF('Track Data'!O2319=5,INDEX(Acceleration!$U$4:$U$110,MATCH('Track Data'!S2319,Acceleration!$K$4:$K$110,0)),1)),U2319)</f>
        <v>1</v>
      </c>
      <c r="AG2319" s="16">
        <f>IF(AC2319=0,IF(O2319=4,INDEX(Acceleration!$T$4:$T$110,MATCH('Track Data'!S2319,Acceleration!$K$4:$K$110,0)),IF('Track Data'!O2319=3,INDEX(Acceleration!$S$4:$S$110,MATCH('Track Data'!S2319,Acceleration!$K$4:$K$110,0)),'Track Data'!AF2319)),'Track Data'!U2319)</f>
        <v>4.3416214019362878</v>
      </c>
      <c r="AH2319" s="16">
        <f>IF(AC2319=0,IF(O2319=2,INDEX(Acceleration!$R$4:$R$110,MATCH('Track Data'!S2319,Acceleration!$K$4:$K$110,0)),IF('Track Data'!O2319=1,INDEX(Acceleration!$Q$4:$Q$110,MATCH('Track Data'!S2319,Acceleration!$K$4:$K$110,0)),'Track Data'!AG2319)),'Track Data'!U2319)</f>
        <v>4.3416214019362878</v>
      </c>
    </row>
    <row r="2320" spans="2:34" x14ac:dyDescent="0.25">
      <c r="B2320" s="16">
        <v>256.04899999999998</v>
      </c>
      <c r="C2320" s="16">
        <v>9590</v>
      </c>
      <c r="D2320" s="16">
        <v>2317</v>
      </c>
      <c r="E2320" s="113">
        <v>187</v>
      </c>
      <c r="F2320" s="113">
        <v>185.5</v>
      </c>
      <c r="G2320" s="113">
        <v>184.4</v>
      </c>
      <c r="H2320" s="113">
        <f t="shared" si="257"/>
        <v>51.222222222222221</v>
      </c>
      <c r="I2320" s="113">
        <v>8</v>
      </c>
      <c r="J2320" s="113">
        <v>18.579999999999998</v>
      </c>
      <c r="K2320" s="113">
        <v>2.1</v>
      </c>
      <c r="L2320" s="185"/>
      <c r="M2320" s="16">
        <v>2317</v>
      </c>
      <c r="N2320" s="16">
        <f t="shared" si="259"/>
        <v>1.985331359170675E-2</v>
      </c>
      <c r="O2320" s="16">
        <v>4</v>
      </c>
      <c r="P2320" s="16">
        <f t="shared" si="255"/>
        <v>9.1833785004516724</v>
      </c>
      <c r="Q2320" s="16">
        <f t="shared" si="260"/>
        <v>50.369425505761733</v>
      </c>
      <c r="R2320" s="113">
        <f t="shared" si="256"/>
        <v>329.49099999999999</v>
      </c>
      <c r="S2320" s="16">
        <f>IF(S2319=15800,15800,ROUND((((Q2320*60)/'Gearing Calculator'!$C$14)*'Track Data'!P2320),-2))</f>
        <v>14000</v>
      </c>
      <c r="T2320" s="16">
        <f t="shared" si="258"/>
        <v>4.3416214019362878</v>
      </c>
      <c r="U2320" s="16">
        <f>IF(AC2320=100,Braking!$AG$2354,IF(AC2320=50,Braking!$AG$1179,IF(AC2320=75,Braking!$AG$1767,0)))</f>
        <v>0</v>
      </c>
      <c r="V2320" s="16">
        <f>0.5*'Gearing Calculator'!$C$15*'Gearing Calculator'!$C$20*'Gearing Calculator'!$W$20*('Track Data'!Q2320^2)</f>
        <v>268.52444408860606</v>
      </c>
      <c r="W2320" s="16">
        <f>('Gearing Calculator'!$U$9*'Track Data'!T2320)+'Track Data'!V2320</f>
        <v>1424.2640612840457</v>
      </c>
      <c r="X2320" s="16">
        <f>('Gearing Calculator'!$U$9*9.81)*('Gearing Calculator'!$U$16/'Gearing Calculator'!$C$7)-(('Track Data'!W2320)*('Gearing Calculator'!$U$17/'Gearing Calculator'!$C$7))</f>
        <v>624.84111829047379</v>
      </c>
      <c r="Y2320" s="16">
        <f>('Gearing Calculator'!$U$9*9.81)*(('Gearing Calculator'!$C$7-'Gearing Calculator'!$U$16)/'Gearing Calculator'!$C$7)+(('Track Data'!W2320)*('Gearing Calculator'!$U$17/'Gearing Calculator'!$C$7))</f>
        <v>1986.5808817095262</v>
      </c>
      <c r="Z2320" s="16">
        <f>((X2320*COS('Gearing Calculator'!$C$21))/'Gearing Calculator'!$C$22)/2</f>
        <v>19.318111173454245</v>
      </c>
      <c r="AA2320" s="16">
        <f>Y2320/'Gearing Calculator'!$C$24</f>
        <v>27.739332192699973</v>
      </c>
      <c r="AB2320" s="16">
        <f t="shared" si="254"/>
        <v>285.89092969635124</v>
      </c>
      <c r="AC2320" s="16">
        <v>0</v>
      </c>
      <c r="AD2320" s="16">
        <v>0</v>
      </c>
      <c r="AE2320" s="16">
        <v>2317</v>
      </c>
      <c r="AF2320" s="16">
        <f>IF(AC2320=0,IF(O2320=6,INDEX(Acceleration!$V$4:$V$110,MATCH('Track Data'!S2320,Acceleration!$K$4:$K$110,0)),IF('Track Data'!O2320=5,INDEX(Acceleration!$U$4:$U$110,MATCH('Track Data'!S2320,Acceleration!$K$4:$K$110,0)),1)),U2320)</f>
        <v>1</v>
      </c>
      <c r="AG2320" s="16">
        <f>IF(AC2320=0,IF(O2320=4,INDEX(Acceleration!$T$4:$T$110,MATCH('Track Data'!S2320,Acceleration!$K$4:$K$110,0)),IF('Track Data'!O2320=3,INDEX(Acceleration!$S$4:$S$110,MATCH('Track Data'!S2320,Acceleration!$K$4:$K$110,0)),'Track Data'!AF2320)),'Track Data'!U2320)</f>
        <v>4.3416214019362878</v>
      </c>
      <c r="AH2320" s="16">
        <f>IF(AC2320=0,IF(O2320=2,INDEX(Acceleration!$R$4:$R$110,MATCH('Track Data'!S2320,Acceleration!$K$4:$K$110,0)),IF('Track Data'!O2320=1,INDEX(Acceleration!$Q$4:$Q$110,MATCH('Track Data'!S2320,Acceleration!$K$4:$K$110,0)),'Track Data'!AG2320)),'Track Data'!U2320)</f>
        <v>4.3416214019362878</v>
      </c>
    </row>
    <row r="2321" spans="2:34" x14ac:dyDescent="0.25">
      <c r="B2321" s="16">
        <v>256.06799999999998</v>
      </c>
      <c r="C2321" s="16">
        <v>9591</v>
      </c>
      <c r="D2321" s="16">
        <v>2318</v>
      </c>
      <c r="E2321" s="113">
        <v>188</v>
      </c>
      <c r="F2321" s="113">
        <v>185.3</v>
      </c>
      <c r="G2321" s="113">
        <v>184.6</v>
      </c>
      <c r="H2321" s="113">
        <f t="shared" si="257"/>
        <v>51.277777777777771</v>
      </c>
      <c r="I2321" s="113">
        <v>7.3</v>
      </c>
      <c r="J2321" s="113">
        <v>14.96</v>
      </c>
      <c r="K2321" s="113">
        <v>2.9</v>
      </c>
      <c r="L2321" s="185"/>
      <c r="M2321" s="16">
        <v>2318</v>
      </c>
      <c r="N2321" s="16">
        <f t="shared" si="259"/>
        <v>1.9819426218104542E-2</v>
      </c>
      <c r="O2321" s="16">
        <v>4</v>
      </c>
      <c r="P2321" s="16">
        <f t="shared" si="255"/>
        <v>9.1833785004516724</v>
      </c>
      <c r="Q2321" s="16">
        <f t="shared" si="260"/>
        <v>50.455547451042023</v>
      </c>
      <c r="R2321" s="113">
        <f t="shared" si="256"/>
        <v>329.49099999999999</v>
      </c>
      <c r="S2321" s="16">
        <f>IF(S2320=15800,15800,ROUND((((Q2321*60)/'Gearing Calculator'!$C$14)*'Track Data'!P2321),-2))</f>
        <v>14000</v>
      </c>
      <c r="T2321" s="16">
        <f t="shared" si="258"/>
        <v>4.3416214019362878</v>
      </c>
      <c r="U2321" s="16">
        <f>IF(AC2321=100,Braking!$AG$2354,IF(AC2321=50,Braking!$AG$1179,IF(AC2321=75,Braking!$AG$1767,0)))</f>
        <v>0</v>
      </c>
      <c r="V2321" s="16">
        <f>0.5*'Gearing Calculator'!$C$15*'Gearing Calculator'!$C$20*'Gearing Calculator'!$W$20*('Track Data'!Q2321^2)</f>
        <v>269.44347850696789</v>
      </c>
      <c r="W2321" s="16">
        <f>('Gearing Calculator'!$U$9*'Track Data'!T2321)+'Track Data'!V2321</f>
        <v>1425.1830957024076</v>
      </c>
      <c r="X2321" s="16">
        <f>('Gearing Calculator'!$U$9*9.81)*('Gearing Calculator'!$U$16/'Gearing Calculator'!$C$7)-(('Track Data'!W2321)*('Gearing Calculator'!$U$17/'Gearing Calculator'!$C$7))</f>
        <v>624.34018176817528</v>
      </c>
      <c r="Y2321" s="16">
        <f>('Gearing Calculator'!$U$9*9.81)*(('Gearing Calculator'!$C$7-'Gearing Calculator'!$U$16)/'Gearing Calculator'!$C$7)+(('Track Data'!W2321)*('Gearing Calculator'!$U$17/'Gearing Calculator'!$C$7))</f>
        <v>1987.0818182318249</v>
      </c>
      <c r="Z2321" s="16">
        <f>((X2321*COS('Gearing Calculator'!$C$21))/'Gearing Calculator'!$C$22)/2</f>
        <v>19.302623800512013</v>
      </c>
      <c r="AA2321" s="16">
        <f>Y2321/'Gearing Calculator'!$C$24</f>
        <v>27.746326946715495</v>
      </c>
      <c r="AB2321" s="16">
        <f t="shared" si="254"/>
        <v>286.80996411471307</v>
      </c>
      <c r="AC2321" s="16">
        <v>0</v>
      </c>
      <c r="AD2321" s="16">
        <v>0</v>
      </c>
      <c r="AE2321" s="16">
        <v>2318</v>
      </c>
      <c r="AF2321" s="16">
        <f>IF(AC2321=0,IF(O2321=6,INDEX(Acceleration!$V$4:$V$110,MATCH('Track Data'!S2321,Acceleration!$K$4:$K$110,0)),IF('Track Data'!O2321=5,INDEX(Acceleration!$U$4:$U$110,MATCH('Track Data'!S2321,Acceleration!$K$4:$K$110,0)),1)),U2321)</f>
        <v>1</v>
      </c>
      <c r="AG2321" s="16">
        <f>IF(AC2321=0,IF(O2321=4,INDEX(Acceleration!$T$4:$T$110,MATCH('Track Data'!S2321,Acceleration!$K$4:$K$110,0)),IF('Track Data'!O2321=3,INDEX(Acceleration!$S$4:$S$110,MATCH('Track Data'!S2321,Acceleration!$K$4:$K$110,0)),'Track Data'!AF2321)),'Track Data'!U2321)</f>
        <v>4.3416214019362878</v>
      </c>
      <c r="AH2321" s="16">
        <f>IF(AC2321=0,IF(O2321=2,INDEX(Acceleration!$R$4:$R$110,MATCH('Track Data'!S2321,Acceleration!$K$4:$K$110,0)),IF('Track Data'!O2321=1,INDEX(Acceleration!$Q$4:$Q$110,MATCH('Track Data'!S2321,Acceleration!$K$4:$K$110,0)),'Track Data'!AG2321)),'Track Data'!U2321)</f>
        <v>4.3416214019362878</v>
      </c>
    </row>
    <row r="2322" spans="2:34" x14ac:dyDescent="0.25">
      <c r="B2322" s="16">
        <v>256.08699999999999</v>
      </c>
      <c r="C2322" s="16">
        <v>9592</v>
      </c>
      <c r="D2322" s="16">
        <v>2319</v>
      </c>
      <c r="E2322" s="113">
        <v>188</v>
      </c>
      <c r="F2322" s="113">
        <v>185.3</v>
      </c>
      <c r="G2322" s="113">
        <v>184.9</v>
      </c>
      <c r="H2322" s="113">
        <f t="shared" si="257"/>
        <v>51.361111111111114</v>
      </c>
      <c r="I2322" s="113">
        <v>5.8</v>
      </c>
      <c r="J2322" s="113">
        <v>10.82</v>
      </c>
      <c r="K2322" s="113">
        <v>3.5</v>
      </c>
      <c r="L2322" s="185"/>
      <c r="M2322" s="16">
        <v>2319</v>
      </c>
      <c r="N2322" s="16">
        <f t="shared" si="259"/>
        <v>1.9785711780030343E-2</v>
      </c>
      <c r="O2322" s="16">
        <v>5</v>
      </c>
      <c r="P2322" s="16">
        <f t="shared" si="255"/>
        <v>8.1742160278745661</v>
      </c>
      <c r="Q2322" s="16">
        <f t="shared" si="260"/>
        <v>50.541522646119653</v>
      </c>
      <c r="R2322" s="113">
        <f t="shared" si="256"/>
        <v>319.54399999999998</v>
      </c>
      <c r="S2322" s="16">
        <f>IF(S2321=15800,15800,ROUND((((Q2322*60)/'Gearing Calculator'!$C$14)*'Track Data'!P2322),-2))</f>
        <v>12500</v>
      </c>
      <c r="T2322" s="16">
        <f t="shared" si="258"/>
        <v>4.2257927727819711</v>
      </c>
      <c r="U2322" s="16">
        <f>IF(AC2322=100,Braking!$AG$2354,IF(AC2322=50,Braking!$AG$1179,IF(AC2322=75,Braking!$AG$1767,0)))</f>
        <v>0</v>
      </c>
      <c r="V2322" s="16">
        <f>0.5*'Gearing Calculator'!$C$15*'Gearing Calculator'!$C$20*'Gearing Calculator'!$W$20*('Track Data'!Q2322^2)</f>
        <v>270.36251292532978</v>
      </c>
      <c r="W2322" s="16">
        <f>('Gearing Calculator'!$U$9*'Track Data'!T2322)+'Track Data'!V2322</f>
        <v>1395.2685490398906</v>
      </c>
      <c r="X2322" s="16">
        <f>('Gearing Calculator'!$U$9*9.81)*('Gearing Calculator'!$U$16/'Gearing Calculator'!$C$7)-(('Track Data'!W2322)*('Gearing Calculator'!$U$17/'Gearing Calculator'!$C$7))</f>
        <v>640.64565267531384</v>
      </c>
      <c r="Y2322" s="16">
        <f>('Gearing Calculator'!$U$9*9.81)*(('Gearing Calculator'!$C$7-'Gearing Calculator'!$U$16)/'Gearing Calculator'!$C$7)+(('Track Data'!W2322)*('Gearing Calculator'!$U$17/'Gearing Calculator'!$C$7))</f>
        <v>1970.7763473246862</v>
      </c>
      <c r="Z2322" s="16">
        <f>((X2322*COS('Gearing Calculator'!$C$21))/'Gearing Calculator'!$C$22)/2</f>
        <v>19.806737391149937</v>
      </c>
      <c r="AA2322" s="16">
        <f>Y2322/'Gearing Calculator'!$C$24</f>
        <v>27.518647883549285</v>
      </c>
      <c r="AB2322" s="16">
        <f t="shared" si="254"/>
        <v>291.49147678923964</v>
      </c>
      <c r="AC2322" s="16">
        <v>0</v>
      </c>
      <c r="AD2322" s="16">
        <v>0</v>
      </c>
      <c r="AE2322" s="16">
        <v>2319</v>
      </c>
      <c r="AF2322" s="16">
        <f>IF(AC2322=0,IF(O2322=6,INDEX(Acceleration!$V$4:$V$110,MATCH('Track Data'!S2322,Acceleration!$K$4:$K$110,0)),IF('Track Data'!O2322=5,INDEX(Acceleration!$U$4:$U$110,MATCH('Track Data'!S2322,Acceleration!$K$4:$K$110,0)),1)),U2322)</f>
        <v>4.2257927727819711</v>
      </c>
      <c r="AG2322" s="16">
        <f>IF(AC2322=0,IF(O2322=4,INDEX(Acceleration!$T$4:$T$110,MATCH('Track Data'!S2322,Acceleration!$K$4:$K$110,0)),IF('Track Data'!O2322=3,INDEX(Acceleration!$S$4:$S$110,MATCH('Track Data'!S2322,Acceleration!$K$4:$K$110,0)),'Track Data'!AF2322)),'Track Data'!U2322)</f>
        <v>4.2257927727819711</v>
      </c>
      <c r="AH2322" s="16">
        <f>IF(AC2322=0,IF(O2322=2,INDEX(Acceleration!$R$4:$R$110,MATCH('Track Data'!S2322,Acceleration!$K$4:$K$110,0)),IF('Track Data'!O2322=1,INDEX(Acceleration!$Q$4:$Q$110,MATCH('Track Data'!S2322,Acceleration!$K$4:$K$110,0)),'Track Data'!AG2322)),'Track Data'!U2322)</f>
        <v>4.2257927727819711</v>
      </c>
    </row>
    <row r="2323" spans="2:34" x14ac:dyDescent="0.25">
      <c r="B2323" s="16">
        <v>256.10700000000003</v>
      </c>
      <c r="C2323" s="16">
        <v>9593</v>
      </c>
      <c r="D2323" s="16">
        <v>2320</v>
      </c>
      <c r="E2323" s="113">
        <v>189</v>
      </c>
      <c r="F2323" s="113">
        <v>185.9</v>
      </c>
      <c r="G2323" s="113">
        <v>185.2</v>
      </c>
      <c r="H2323" s="113">
        <f t="shared" si="257"/>
        <v>51.444444444444443</v>
      </c>
      <c r="I2323" s="113">
        <v>3.2</v>
      </c>
      <c r="J2323" s="113">
        <v>9.1</v>
      </c>
      <c r="K2323" s="113">
        <v>2.4</v>
      </c>
      <c r="L2323" s="185"/>
      <c r="M2323" s="16">
        <v>2320</v>
      </c>
      <c r="N2323" s="16">
        <f t="shared" si="259"/>
        <v>1.9753061479081784E-2</v>
      </c>
      <c r="O2323" s="16">
        <v>5</v>
      </c>
      <c r="P2323" s="16">
        <f t="shared" si="255"/>
        <v>8.1742160278745661</v>
      </c>
      <c r="Q2323" s="16">
        <f t="shared" si="260"/>
        <v>50.625063920293371</v>
      </c>
      <c r="R2323" s="113">
        <f t="shared" si="256"/>
        <v>319.54399999999998</v>
      </c>
      <c r="S2323" s="16">
        <f>IF(S2322=15800,15800,ROUND((((Q2323*60)/'Gearing Calculator'!$C$14)*'Track Data'!P2323),-2))</f>
        <v>12500</v>
      </c>
      <c r="T2323" s="16">
        <f t="shared" si="258"/>
        <v>4.2257927727819711</v>
      </c>
      <c r="U2323" s="16">
        <f>IF(AC2323=100,Braking!$AG$2354,IF(AC2323=50,Braking!$AG$1179,IF(AC2323=75,Braking!$AG$1767,0)))</f>
        <v>0</v>
      </c>
      <c r="V2323" s="16">
        <f>0.5*'Gearing Calculator'!$C$15*'Gearing Calculator'!$C$20*'Gearing Calculator'!$W$20*('Track Data'!Q2323^2)</f>
        <v>271.25702873947228</v>
      </c>
      <c r="W2323" s="16">
        <f>('Gearing Calculator'!$U$9*'Track Data'!T2323)+'Track Data'!V2323</f>
        <v>1396.1630648540331</v>
      </c>
      <c r="X2323" s="16">
        <f>('Gearing Calculator'!$U$9*9.81)*('Gearing Calculator'!$U$16/'Gearing Calculator'!$C$7)-(('Track Data'!W2323)*('Gearing Calculator'!$U$17/'Gearing Calculator'!$C$7))</f>
        <v>640.15808046678183</v>
      </c>
      <c r="Y2323" s="16">
        <f>('Gearing Calculator'!$U$9*9.81)*(('Gearing Calculator'!$C$7-'Gearing Calculator'!$U$16)/'Gearing Calculator'!$C$7)+(('Track Data'!W2323)*('Gearing Calculator'!$U$17/'Gearing Calculator'!$C$7))</f>
        <v>1971.2639195332181</v>
      </c>
      <c r="Z2323" s="16">
        <f>((X2323*COS('Gearing Calculator'!$C$21))/'Gearing Calculator'!$C$22)/2</f>
        <v>19.79166320052164</v>
      </c>
      <c r="AA2323" s="16">
        <f>Y2323/'Gearing Calculator'!$C$24</f>
        <v>27.5254560269201</v>
      </c>
      <c r="AB2323" s="16">
        <f t="shared" si="254"/>
        <v>292.38599260338214</v>
      </c>
      <c r="AC2323" s="16">
        <v>0</v>
      </c>
      <c r="AD2323" s="16">
        <v>0</v>
      </c>
      <c r="AE2323" s="16">
        <v>2320</v>
      </c>
      <c r="AF2323" s="16">
        <f>IF(AC2323=0,IF(O2323=6,INDEX(Acceleration!$V$4:$V$110,MATCH('Track Data'!S2323,Acceleration!$K$4:$K$110,0)),IF('Track Data'!O2323=5,INDEX(Acceleration!$U$4:$U$110,MATCH('Track Data'!S2323,Acceleration!$K$4:$K$110,0)),1)),U2323)</f>
        <v>4.2257927727819711</v>
      </c>
      <c r="AG2323" s="16">
        <f>IF(AC2323=0,IF(O2323=4,INDEX(Acceleration!$T$4:$T$110,MATCH('Track Data'!S2323,Acceleration!$K$4:$K$110,0)),IF('Track Data'!O2323=3,INDEX(Acceleration!$S$4:$S$110,MATCH('Track Data'!S2323,Acceleration!$K$4:$K$110,0)),'Track Data'!AF2323)),'Track Data'!U2323)</f>
        <v>4.2257927727819711</v>
      </c>
      <c r="AH2323" s="16">
        <f>IF(AC2323=0,IF(O2323=2,INDEX(Acceleration!$R$4:$R$110,MATCH('Track Data'!S2323,Acceleration!$K$4:$K$110,0)),IF('Track Data'!O2323=1,INDEX(Acceleration!$Q$4:$Q$110,MATCH('Track Data'!S2323,Acceleration!$K$4:$K$110,0)),'Track Data'!AG2323)),'Track Data'!U2323)</f>
        <v>4.2257927727819711</v>
      </c>
    </row>
    <row r="2324" spans="2:34" x14ac:dyDescent="0.25">
      <c r="B2324" s="16">
        <v>256.12599999999998</v>
      </c>
      <c r="C2324" s="16">
        <v>9594</v>
      </c>
      <c r="D2324" s="16">
        <v>2321</v>
      </c>
      <c r="E2324" s="113">
        <v>190</v>
      </c>
      <c r="F2324" s="113">
        <v>186.5</v>
      </c>
      <c r="G2324" s="113">
        <v>185.5</v>
      </c>
      <c r="H2324" s="113">
        <f t="shared" si="257"/>
        <v>51.527777777777779</v>
      </c>
      <c r="I2324" s="113">
        <v>0.9</v>
      </c>
      <c r="J2324" s="113">
        <v>6.95</v>
      </c>
      <c r="K2324" s="113">
        <v>1.3</v>
      </c>
      <c r="L2324" s="185"/>
      <c r="M2324" s="16">
        <v>2321</v>
      </c>
      <c r="N2324" s="16">
        <f t="shared" si="259"/>
        <v>1.9720572284672097E-2</v>
      </c>
      <c r="O2324" s="16">
        <v>5</v>
      </c>
      <c r="P2324" s="16">
        <f t="shared" si="255"/>
        <v>8.1742160278745661</v>
      </c>
      <c r="Q2324" s="16">
        <f t="shared" si="260"/>
        <v>50.708467561930462</v>
      </c>
      <c r="R2324" s="113">
        <f t="shared" si="256"/>
        <v>319.54399999999998</v>
      </c>
      <c r="S2324" s="16">
        <f>IF(S2323=15800,15800,ROUND((((Q2324*60)/'Gearing Calculator'!$C$14)*'Track Data'!P2324),-2))</f>
        <v>12600</v>
      </c>
      <c r="T2324" s="16">
        <f t="shared" si="258"/>
        <v>4.2219675720830461</v>
      </c>
      <c r="U2324" s="16">
        <f>IF(AC2324=100,Braking!$AG$2354,IF(AC2324=50,Braking!$AG$1179,IF(AC2324=75,Braking!$AG$1767,0)))</f>
        <v>0</v>
      </c>
      <c r="V2324" s="16">
        <f>0.5*'Gearing Calculator'!$C$15*'Gearing Calculator'!$C$20*'Gearing Calculator'!$W$20*('Track Data'!Q2324^2)</f>
        <v>272.15154455361483</v>
      </c>
      <c r="W2324" s="16">
        <f>('Gearing Calculator'!$U$9*'Track Data'!T2324)+'Track Data'!V2324</f>
        <v>1396.0393122421215</v>
      </c>
      <c r="X2324" s="16">
        <f>('Gearing Calculator'!$U$9*9.81)*('Gearing Calculator'!$U$16/'Gearing Calculator'!$C$7)-(('Track Data'!W2324)*('Gearing Calculator'!$U$17/'Gearing Calculator'!$C$7))</f>
        <v>640.22553409180148</v>
      </c>
      <c r="Y2324" s="16">
        <f>('Gearing Calculator'!$U$9*9.81)*(('Gearing Calculator'!$C$7-'Gearing Calculator'!$U$16)/'Gearing Calculator'!$C$7)+(('Track Data'!W2324)*('Gearing Calculator'!$U$17/'Gearing Calculator'!$C$7))</f>
        <v>1971.1964659081987</v>
      </c>
      <c r="Z2324" s="16">
        <f>((X2324*COS('Gearing Calculator'!$C$21))/'Gearing Calculator'!$C$22)/2</f>
        <v>19.79374865326961</v>
      </c>
      <c r="AA2324" s="16">
        <f>Y2324/'Gearing Calculator'!$C$24</f>
        <v>27.524514148072253</v>
      </c>
      <c r="AB2324" s="16">
        <f t="shared" si="254"/>
        <v>293.26138241403004</v>
      </c>
      <c r="AC2324" s="16">
        <v>0</v>
      </c>
      <c r="AD2324" s="16">
        <v>0</v>
      </c>
      <c r="AE2324" s="16">
        <v>2321</v>
      </c>
      <c r="AF2324" s="16">
        <f>IF(AC2324=0,IF(O2324=6,INDEX(Acceleration!$V$4:$V$110,MATCH('Track Data'!S2324,Acceleration!$K$4:$K$110,0)),IF('Track Data'!O2324=5,INDEX(Acceleration!$U$4:$U$110,MATCH('Track Data'!S2324,Acceleration!$K$4:$K$110,0)),1)),U2324)</f>
        <v>4.2219675720830461</v>
      </c>
      <c r="AG2324" s="16">
        <f>IF(AC2324=0,IF(O2324=4,INDEX(Acceleration!$T$4:$T$110,MATCH('Track Data'!S2324,Acceleration!$K$4:$K$110,0)),IF('Track Data'!O2324=3,INDEX(Acceleration!$S$4:$S$110,MATCH('Track Data'!S2324,Acceleration!$K$4:$K$110,0)),'Track Data'!AF2324)),'Track Data'!U2324)</f>
        <v>4.2219675720830461</v>
      </c>
      <c r="AH2324" s="16">
        <f>IF(AC2324=0,IF(O2324=2,INDEX(Acceleration!$R$4:$R$110,MATCH('Track Data'!S2324,Acceleration!$K$4:$K$110,0)),IF('Track Data'!O2324=1,INDEX(Acceleration!$Q$4:$Q$110,MATCH('Track Data'!S2324,Acceleration!$K$4:$K$110,0)),'Track Data'!AG2324)),'Track Data'!U2324)</f>
        <v>4.2219675720830461</v>
      </c>
    </row>
    <row r="2325" spans="2:34" x14ac:dyDescent="0.25">
      <c r="B2325" s="16">
        <v>256.14600000000002</v>
      </c>
      <c r="C2325" s="16">
        <v>9595</v>
      </c>
      <c r="D2325" s="16">
        <v>2322</v>
      </c>
      <c r="E2325" s="113">
        <v>191</v>
      </c>
      <c r="F2325" s="113">
        <v>186.7</v>
      </c>
      <c r="G2325" s="113">
        <v>185.7</v>
      </c>
      <c r="H2325" s="113">
        <f t="shared" si="257"/>
        <v>51.583333333333329</v>
      </c>
      <c r="I2325" s="113">
        <v>-0.8</v>
      </c>
      <c r="J2325" s="113">
        <v>9.11</v>
      </c>
      <c r="K2325" s="113">
        <v>0.3</v>
      </c>
      <c r="L2325" s="185"/>
      <c r="M2325" s="16">
        <v>2322</v>
      </c>
      <c r="N2325" s="16">
        <f t="shared" si="259"/>
        <v>1.9688272069051316E-2</v>
      </c>
      <c r="O2325" s="16">
        <v>5</v>
      </c>
      <c r="P2325" s="16">
        <f t="shared" si="255"/>
        <v>8.1742160278745661</v>
      </c>
      <c r="Q2325" s="16">
        <f t="shared" si="260"/>
        <v>50.791658937501936</v>
      </c>
      <c r="R2325" s="113">
        <f t="shared" si="256"/>
        <v>319.54399999999998</v>
      </c>
      <c r="S2325" s="16">
        <f>IF(S2324=15800,15800,ROUND((((Q2325*60)/'Gearing Calculator'!$C$14)*'Track Data'!P2325),-2))</f>
        <v>12600</v>
      </c>
      <c r="T2325" s="16">
        <f t="shared" si="258"/>
        <v>4.2219675720830461</v>
      </c>
      <c r="U2325" s="16">
        <f>IF(AC2325=100,Braking!$AG$2354,IF(AC2325=50,Braking!$AG$1179,IF(AC2325=75,Braking!$AG$1767,0)))</f>
        <v>0</v>
      </c>
      <c r="V2325" s="16">
        <f>0.5*'Gearing Calculator'!$C$15*'Gearing Calculator'!$C$20*'Gearing Calculator'!$W$20*('Track Data'!Q2325^2)</f>
        <v>273.04525064927333</v>
      </c>
      <c r="W2325" s="16">
        <f>('Gearing Calculator'!$U$9*'Track Data'!T2325)+'Track Data'!V2325</f>
        <v>1396.9330183377801</v>
      </c>
      <c r="X2325" s="16">
        <f>('Gearing Calculator'!$U$9*9.81)*('Gearing Calculator'!$U$16/'Gearing Calculator'!$C$7)-(('Track Data'!W2325)*('Gearing Calculator'!$U$17/'Gearing Calculator'!$C$7))</f>
        <v>639.73840323514196</v>
      </c>
      <c r="Y2325" s="16">
        <f>('Gearing Calculator'!$U$9*9.81)*(('Gearing Calculator'!$C$7-'Gearing Calculator'!$U$16)/'Gearing Calculator'!$C$7)+(('Track Data'!W2325)*('Gearing Calculator'!$U$17/'Gearing Calculator'!$C$7))</f>
        <v>1971.6835967648581</v>
      </c>
      <c r="Z2325" s="16">
        <f>((X2325*COS('Gearing Calculator'!$C$21))/'Gearing Calculator'!$C$22)/2</f>
        <v>19.778688107845337</v>
      </c>
      <c r="AA2325" s="16">
        <f>Y2325/'Gearing Calculator'!$C$24</f>
        <v>27.531316128690612</v>
      </c>
      <c r="AB2325" s="16">
        <f t="shared" si="254"/>
        <v>294.15508850968854</v>
      </c>
      <c r="AC2325" s="16">
        <v>0</v>
      </c>
      <c r="AD2325" s="16">
        <v>0</v>
      </c>
      <c r="AE2325" s="16">
        <v>2322</v>
      </c>
      <c r="AF2325" s="16">
        <f>IF(AC2325=0,IF(O2325=6,INDEX(Acceleration!$V$4:$V$110,MATCH('Track Data'!S2325,Acceleration!$K$4:$K$110,0)),IF('Track Data'!O2325=5,INDEX(Acceleration!$U$4:$U$110,MATCH('Track Data'!S2325,Acceleration!$K$4:$K$110,0)),1)),U2325)</f>
        <v>4.2219675720830461</v>
      </c>
      <c r="AG2325" s="16">
        <f>IF(AC2325=0,IF(O2325=4,INDEX(Acceleration!$T$4:$T$110,MATCH('Track Data'!S2325,Acceleration!$K$4:$K$110,0)),IF('Track Data'!O2325=3,INDEX(Acceleration!$S$4:$S$110,MATCH('Track Data'!S2325,Acceleration!$K$4:$K$110,0)),'Track Data'!AF2325)),'Track Data'!U2325)</f>
        <v>4.2219675720830461</v>
      </c>
      <c r="AH2325" s="16">
        <f>IF(AC2325=0,IF(O2325=2,INDEX(Acceleration!$R$4:$R$110,MATCH('Track Data'!S2325,Acceleration!$K$4:$K$110,0)),IF('Track Data'!O2325=1,INDEX(Acceleration!$Q$4:$Q$110,MATCH('Track Data'!S2325,Acceleration!$K$4:$K$110,0)),'Track Data'!AG2325)),'Track Data'!U2325)</f>
        <v>4.2219675720830461</v>
      </c>
    </row>
    <row r="2326" spans="2:34" x14ac:dyDescent="0.25">
      <c r="B2326" s="16">
        <v>256.16500000000002</v>
      </c>
      <c r="C2326" s="16">
        <v>9597</v>
      </c>
      <c r="D2326" s="16">
        <v>2323</v>
      </c>
      <c r="E2326" s="113">
        <v>191</v>
      </c>
      <c r="F2326" s="113">
        <v>186.9</v>
      </c>
      <c r="G2326" s="113">
        <v>186</v>
      </c>
      <c r="H2326" s="113">
        <f t="shared" si="257"/>
        <v>51.666666666666664</v>
      </c>
      <c r="I2326" s="113">
        <v>-1</v>
      </c>
      <c r="J2326" s="113">
        <v>10.26</v>
      </c>
      <c r="K2326" s="113">
        <v>-0.6</v>
      </c>
      <c r="L2326" s="185"/>
      <c r="M2326" s="16">
        <v>2323</v>
      </c>
      <c r="N2326" s="16">
        <f t="shared" si="259"/>
        <v>1.9656130048318326E-2</v>
      </c>
      <c r="O2326" s="16">
        <v>5</v>
      </c>
      <c r="P2326" s="16">
        <f t="shared" si="255"/>
        <v>8.1742160278745661</v>
      </c>
      <c r="Q2326" s="16">
        <f t="shared" si="260"/>
        <v>50.874714277012764</v>
      </c>
      <c r="R2326" s="113">
        <f t="shared" si="256"/>
        <v>319.54399999999998</v>
      </c>
      <c r="S2326" s="16">
        <f>IF(S2325=15800,15800,ROUND((((Q2326*60)/'Gearing Calculator'!$C$14)*'Track Data'!P2326),-2))</f>
        <v>12600</v>
      </c>
      <c r="T2326" s="16">
        <f t="shared" si="258"/>
        <v>4.2219675720830461</v>
      </c>
      <c r="U2326" s="16">
        <f>IF(AC2326=100,Braking!$AG$2354,IF(AC2326=50,Braking!$AG$1179,IF(AC2326=75,Braking!$AG$1767,0)))</f>
        <v>0</v>
      </c>
      <c r="V2326" s="16">
        <f>0.5*'Gearing Calculator'!$C$15*'Gearing Calculator'!$C$20*'Gearing Calculator'!$W$20*('Track Data'!Q2326^2)</f>
        <v>273.93895674493189</v>
      </c>
      <c r="W2326" s="16">
        <f>('Gearing Calculator'!$U$9*'Track Data'!T2326)+'Track Data'!V2326</f>
        <v>1397.8267244334386</v>
      </c>
      <c r="X2326" s="16">
        <f>('Gearing Calculator'!$U$9*9.81)*('Gearing Calculator'!$U$16/'Gearing Calculator'!$C$7)-(('Track Data'!W2326)*('Gearing Calculator'!$U$17/'Gearing Calculator'!$C$7))</f>
        <v>639.25127237848244</v>
      </c>
      <c r="Y2326" s="16">
        <f>('Gearing Calculator'!$U$9*9.81)*(('Gearing Calculator'!$C$7-'Gearing Calculator'!$U$16)/'Gearing Calculator'!$C$7)+(('Track Data'!W2326)*('Gearing Calculator'!$U$17/'Gearing Calculator'!$C$7))</f>
        <v>1972.1707276215175</v>
      </c>
      <c r="Z2326" s="16">
        <f>((X2326*COS('Gearing Calculator'!$C$21))/'Gearing Calculator'!$C$22)/2</f>
        <v>19.76362756242106</v>
      </c>
      <c r="AA2326" s="16">
        <f>Y2326/'Gearing Calculator'!$C$24</f>
        <v>27.538118109308972</v>
      </c>
      <c r="AB2326" s="16">
        <f t="shared" si="254"/>
        <v>295.0487946053471</v>
      </c>
      <c r="AC2326" s="16">
        <v>0</v>
      </c>
      <c r="AD2326" s="16">
        <v>0</v>
      </c>
      <c r="AE2326" s="16">
        <v>2323</v>
      </c>
      <c r="AF2326" s="16">
        <f>IF(AC2326=0,IF(O2326=6,INDEX(Acceleration!$V$4:$V$110,MATCH('Track Data'!S2326,Acceleration!$K$4:$K$110,0)),IF('Track Data'!O2326=5,INDEX(Acceleration!$U$4:$U$110,MATCH('Track Data'!S2326,Acceleration!$K$4:$K$110,0)),1)),U2326)</f>
        <v>4.2219675720830461</v>
      </c>
      <c r="AG2326" s="16">
        <f>IF(AC2326=0,IF(O2326=4,INDEX(Acceleration!$T$4:$T$110,MATCH('Track Data'!S2326,Acceleration!$K$4:$K$110,0)),IF('Track Data'!O2326=3,INDEX(Acceleration!$S$4:$S$110,MATCH('Track Data'!S2326,Acceleration!$K$4:$K$110,0)),'Track Data'!AF2326)),'Track Data'!U2326)</f>
        <v>4.2219675720830461</v>
      </c>
      <c r="AH2326" s="16">
        <f>IF(AC2326=0,IF(O2326=2,INDEX(Acceleration!$R$4:$R$110,MATCH('Track Data'!S2326,Acceleration!$K$4:$K$110,0)),IF('Track Data'!O2326=1,INDEX(Acceleration!$Q$4:$Q$110,MATCH('Track Data'!S2326,Acceleration!$K$4:$K$110,0)),'Track Data'!AG2326)),'Track Data'!U2326)</f>
        <v>4.2219675720830461</v>
      </c>
    </row>
    <row r="2327" spans="2:34" x14ac:dyDescent="0.25">
      <c r="B2327" s="16">
        <v>256.18400000000003</v>
      </c>
      <c r="C2327" s="16">
        <v>9597</v>
      </c>
      <c r="D2327" s="16">
        <v>2324</v>
      </c>
      <c r="E2327" s="113">
        <v>190</v>
      </c>
      <c r="F2327" s="113">
        <v>187.2</v>
      </c>
      <c r="G2327" s="113">
        <v>186.2</v>
      </c>
      <c r="H2327" s="113">
        <f t="shared" si="257"/>
        <v>51.722222222222214</v>
      </c>
      <c r="I2327" s="113">
        <v>-0.1</v>
      </c>
      <c r="J2327" s="113">
        <v>9.86</v>
      </c>
      <c r="K2327" s="113">
        <v>-0.6</v>
      </c>
      <c r="L2327" s="185"/>
      <c r="M2327" s="16">
        <v>2324</v>
      </c>
      <c r="N2327" s="16">
        <f t="shared" si="259"/>
        <v>1.9624144935371898E-2</v>
      </c>
      <c r="O2327" s="16">
        <v>5</v>
      </c>
      <c r="P2327" s="16">
        <f t="shared" si="255"/>
        <v>8.1742160278745661</v>
      </c>
      <c r="Q2327" s="16">
        <f t="shared" si="260"/>
        <v>50.957634245634402</v>
      </c>
      <c r="R2327" s="113">
        <f t="shared" si="256"/>
        <v>319.54399999999998</v>
      </c>
      <c r="S2327" s="16">
        <f>IF(S2326=15800,15800,ROUND((((Q2327*60)/'Gearing Calculator'!$C$14)*'Track Data'!P2327),-2))</f>
        <v>12600</v>
      </c>
      <c r="T2327" s="16">
        <f t="shared" si="258"/>
        <v>4.2219675720830461</v>
      </c>
      <c r="U2327" s="16">
        <f>IF(AC2327=100,Braking!$AG$2354,IF(AC2327=50,Braking!$AG$1179,IF(AC2327=75,Braking!$AG$1767,0)))</f>
        <v>0</v>
      </c>
      <c r="V2327" s="16">
        <f>0.5*'Gearing Calculator'!$C$15*'Gearing Calculator'!$C$20*'Gearing Calculator'!$W$20*('Track Data'!Q2327^2)</f>
        <v>274.83266284059039</v>
      </c>
      <c r="W2327" s="16">
        <f>('Gearing Calculator'!$U$9*'Track Data'!T2327)+'Track Data'!V2327</f>
        <v>1398.720430529097</v>
      </c>
      <c r="X2327" s="16">
        <f>('Gearing Calculator'!$U$9*9.81)*('Gearing Calculator'!$U$16/'Gearing Calculator'!$C$7)-(('Track Data'!W2327)*('Gearing Calculator'!$U$17/'Gearing Calculator'!$C$7))</f>
        <v>638.76414152182303</v>
      </c>
      <c r="Y2327" s="16">
        <f>('Gearing Calculator'!$U$9*9.81)*(('Gearing Calculator'!$C$7-'Gearing Calculator'!$U$16)/'Gearing Calculator'!$C$7)+(('Track Data'!W2327)*('Gearing Calculator'!$U$17/'Gearing Calculator'!$C$7))</f>
        <v>1972.6578584781769</v>
      </c>
      <c r="Z2327" s="16">
        <f>((X2327*COS('Gearing Calculator'!$C$21))/'Gearing Calculator'!$C$22)/2</f>
        <v>19.748567016996788</v>
      </c>
      <c r="AA2327" s="16">
        <f>Y2327/'Gearing Calculator'!$C$24</f>
        <v>27.544920089927331</v>
      </c>
      <c r="AB2327" s="16">
        <f t="shared" si="254"/>
        <v>295.9425007010056</v>
      </c>
      <c r="AC2327" s="16">
        <v>0</v>
      </c>
      <c r="AD2327" s="16">
        <v>0</v>
      </c>
      <c r="AE2327" s="16">
        <v>2324</v>
      </c>
      <c r="AF2327" s="16">
        <f>IF(AC2327=0,IF(O2327=6,INDEX(Acceleration!$V$4:$V$110,MATCH('Track Data'!S2327,Acceleration!$K$4:$K$110,0)),IF('Track Data'!O2327=5,INDEX(Acceleration!$U$4:$U$110,MATCH('Track Data'!S2327,Acceleration!$K$4:$K$110,0)),1)),U2327)</f>
        <v>4.2219675720830461</v>
      </c>
      <c r="AG2327" s="16">
        <f>IF(AC2327=0,IF(O2327=4,INDEX(Acceleration!$T$4:$T$110,MATCH('Track Data'!S2327,Acceleration!$K$4:$K$110,0)),IF('Track Data'!O2327=3,INDEX(Acceleration!$S$4:$S$110,MATCH('Track Data'!S2327,Acceleration!$K$4:$K$110,0)),'Track Data'!AF2327)),'Track Data'!U2327)</f>
        <v>4.2219675720830461</v>
      </c>
      <c r="AH2327" s="16">
        <f>IF(AC2327=0,IF(O2327=2,INDEX(Acceleration!$R$4:$R$110,MATCH('Track Data'!S2327,Acceleration!$K$4:$K$110,0)),IF('Track Data'!O2327=1,INDEX(Acceleration!$Q$4:$Q$110,MATCH('Track Data'!S2327,Acceleration!$K$4:$K$110,0)),'Track Data'!AG2327)),'Track Data'!U2327)</f>
        <v>4.2219675720830461</v>
      </c>
    </row>
    <row r="2328" spans="2:34" x14ac:dyDescent="0.25">
      <c r="B2328" s="16">
        <v>256.20299999999997</v>
      </c>
      <c r="C2328" s="16">
        <v>9598</v>
      </c>
      <c r="D2328" s="16">
        <v>2325</v>
      </c>
      <c r="E2328" s="113">
        <v>190</v>
      </c>
      <c r="F2328" s="113">
        <v>187.6</v>
      </c>
      <c r="G2328" s="113">
        <v>186.4</v>
      </c>
      <c r="H2328" s="113">
        <f t="shared" si="257"/>
        <v>51.777777777777779</v>
      </c>
      <c r="I2328" s="113">
        <v>1.6</v>
      </c>
      <c r="J2328" s="113">
        <v>7.28</v>
      </c>
      <c r="K2328" s="113">
        <v>-0.6</v>
      </c>
      <c r="L2328" s="185"/>
      <c r="M2328" s="16">
        <v>2325</v>
      </c>
      <c r="N2328" s="16">
        <f t="shared" si="259"/>
        <v>1.9592315457724153E-2</v>
      </c>
      <c r="O2328" s="16">
        <v>5</v>
      </c>
      <c r="P2328" s="16">
        <f t="shared" si="255"/>
        <v>8.1742160278745661</v>
      </c>
      <c r="Q2328" s="16">
        <f t="shared" si="260"/>
        <v>51.040419503135141</v>
      </c>
      <c r="R2328" s="113">
        <f t="shared" si="256"/>
        <v>319.54399999999998</v>
      </c>
      <c r="S2328" s="16">
        <f>IF(S2327=15800,15800,ROUND((((Q2328*60)/'Gearing Calculator'!$C$14)*'Track Data'!P2328),-2))</f>
        <v>12600</v>
      </c>
      <c r="T2328" s="16">
        <f t="shared" si="258"/>
        <v>4.2219675720830461</v>
      </c>
      <c r="U2328" s="16">
        <f>IF(AC2328=100,Braking!$AG$2354,IF(AC2328=50,Braking!$AG$1179,IF(AC2328=75,Braking!$AG$1767,0)))</f>
        <v>0</v>
      </c>
      <c r="V2328" s="16">
        <f>0.5*'Gearing Calculator'!$C$15*'Gearing Calculator'!$C$20*'Gearing Calculator'!$W$20*('Track Data'!Q2328^2)</f>
        <v>275.72636893624895</v>
      </c>
      <c r="W2328" s="16">
        <f>('Gearing Calculator'!$U$9*'Track Data'!T2328)+'Track Data'!V2328</f>
        <v>1399.6141366247557</v>
      </c>
      <c r="X2328" s="16">
        <f>('Gearing Calculator'!$U$9*9.81)*('Gearing Calculator'!$U$16/'Gearing Calculator'!$C$7)-(('Track Data'!W2328)*('Gearing Calculator'!$U$17/'Gearing Calculator'!$C$7))</f>
        <v>638.2770106651634</v>
      </c>
      <c r="Y2328" s="16">
        <f>('Gearing Calculator'!$U$9*9.81)*(('Gearing Calculator'!$C$7-'Gearing Calculator'!$U$16)/'Gearing Calculator'!$C$7)+(('Track Data'!W2328)*('Gearing Calculator'!$U$17/'Gearing Calculator'!$C$7))</f>
        <v>1973.1449893348367</v>
      </c>
      <c r="Z2328" s="16">
        <f>((X2328*COS('Gearing Calculator'!$C$21))/'Gearing Calculator'!$C$22)/2</f>
        <v>19.733506471572511</v>
      </c>
      <c r="AA2328" s="16">
        <f>Y2328/'Gearing Calculator'!$C$24</f>
        <v>27.551722070545694</v>
      </c>
      <c r="AB2328" s="16">
        <f t="shared" si="254"/>
        <v>296.83620679666416</v>
      </c>
      <c r="AC2328" s="16">
        <v>0</v>
      </c>
      <c r="AD2328" s="16">
        <v>0</v>
      </c>
      <c r="AE2328" s="16">
        <v>2325</v>
      </c>
      <c r="AF2328" s="16">
        <f>IF(AC2328=0,IF(O2328=6,INDEX(Acceleration!$V$4:$V$110,MATCH('Track Data'!S2328,Acceleration!$K$4:$K$110,0)),IF('Track Data'!O2328=5,INDEX(Acceleration!$U$4:$U$110,MATCH('Track Data'!S2328,Acceleration!$K$4:$K$110,0)),1)),U2328)</f>
        <v>4.2219675720830461</v>
      </c>
      <c r="AG2328" s="16">
        <f>IF(AC2328=0,IF(O2328=4,INDEX(Acceleration!$T$4:$T$110,MATCH('Track Data'!S2328,Acceleration!$K$4:$K$110,0)),IF('Track Data'!O2328=3,INDEX(Acceleration!$S$4:$S$110,MATCH('Track Data'!S2328,Acceleration!$K$4:$K$110,0)),'Track Data'!AF2328)),'Track Data'!U2328)</f>
        <v>4.2219675720830461</v>
      </c>
      <c r="AH2328" s="16">
        <f>IF(AC2328=0,IF(O2328=2,INDEX(Acceleration!$R$4:$R$110,MATCH('Track Data'!S2328,Acceleration!$K$4:$K$110,0)),IF('Track Data'!O2328=1,INDEX(Acceleration!$Q$4:$Q$110,MATCH('Track Data'!S2328,Acceleration!$K$4:$K$110,0)),'Track Data'!AG2328)),'Track Data'!U2328)</f>
        <v>4.2219675720830461</v>
      </c>
    </row>
    <row r="2329" spans="2:34" x14ac:dyDescent="0.25">
      <c r="B2329" s="16">
        <v>256.22300000000001</v>
      </c>
      <c r="C2329" s="16">
        <v>9599</v>
      </c>
      <c r="D2329" s="16">
        <v>2326</v>
      </c>
      <c r="E2329" s="113">
        <v>188</v>
      </c>
      <c r="F2329" s="113">
        <v>188.3</v>
      </c>
      <c r="G2329" s="113">
        <v>186.7</v>
      </c>
      <c r="H2329" s="113">
        <f t="shared" si="257"/>
        <v>51.861111111111107</v>
      </c>
      <c r="I2329" s="113">
        <v>2.2999999999999998</v>
      </c>
      <c r="J2329" s="113">
        <v>8.44</v>
      </c>
      <c r="K2329" s="113">
        <v>-0.6</v>
      </c>
      <c r="L2329" s="185"/>
      <c r="M2329" s="16">
        <v>2326</v>
      </c>
      <c r="N2329" s="16">
        <f t="shared" si="259"/>
        <v>1.956064035728795E-2</v>
      </c>
      <c r="O2329" s="16">
        <v>5</v>
      </c>
      <c r="P2329" s="16">
        <f t="shared" si="255"/>
        <v>8.1742160278745661</v>
      </c>
      <c r="Q2329" s="16">
        <f t="shared" si="260"/>
        <v>51.12307070394133</v>
      </c>
      <c r="R2329" s="113">
        <f t="shared" si="256"/>
        <v>319.54399999999998</v>
      </c>
      <c r="S2329" s="16">
        <f>IF(S2328=15800,15800,ROUND((((Q2329*60)/'Gearing Calculator'!$C$14)*'Track Data'!P2329),-2))</f>
        <v>12700</v>
      </c>
      <c r="T2329" s="16">
        <f t="shared" si="258"/>
        <v>4.2179466544177524</v>
      </c>
      <c r="U2329" s="16">
        <f>IF(AC2329=100,Braking!$AG$2354,IF(AC2329=50,Braking!$AG$1179,IF(AC2329=75,Braking!$AG$1767,0)))</f>
        <v>0</v>
      </c>
      <c r="V2329" s="16">
        <f>0.5*'Gearing Calculator'!$C$15*'Gearing Calculator'!$C$20*'Gearing Calculator'!$W$20*('Track Data'!Q2329^2)</f>
        <v>276.6200750319075</v>
      </c>
      <c r="W2329" s="16">
        <f>('Gearing Calculator'!$U$9*'Track Data'!T2329)+'Track Data'!V2329</f>
        <v>1399.4374744379134</v>
      </c>
      <c r="X2329" s="16">
        <f>('Gearing Calculator'!$U$9*9.81)*('Gearing Calculator'!$U$16/'Gearing Calculator'!$C$7)-(('Track Data'!W2329)*('Gearing Calculator'!$U$17/'Gearing Calculator'!$C$7))</f>
        <v>638.37330362191278</v>
      </c>
      <c r="Y2329" s="16">
        <f>('Gearing Calculator'!$U$9*9.81)*(('Gearing Calculator'!$C$7-'Gearing Calculator'!$U$16)/'Gearing Calculator'!$C$7)+(('Track Data'!W2329)*('Gearing Calculator'!$U$17/'Gearing Calculator'!$C$7))</f>
        <v>1973.0486963780872</v>
      </c>
      <c r="Z2329" s="16">
        <f>((X2329*COS('Gearing Calculator'!$C$21))/'Gearing Calculator'!$C$22)/2</f>
        <v>19.736483545246529</v>
      </c>
      <c r="AA2329" s="16">
        <f>Y2329/'Gearing Calculator'!$C$24</f>
        <v>27.550377497898449</v>
      </c>
      <c r="AB2329" s="16">
        <f t="shared" si="254"/>
        <v>297.70980830399628</v>
      </c>
      <c r="AC2329" s="16">
        <v>0</v>
      </c>
      <c r="AD2329" s="16">
        <v>0</v>
      </c>
      <c r="AE2329" s="16">
        <v>2326</v>
      </c>
      <c r="AF2329" s="16">
        <f>IF(AC2329=0,IF(O2329=6,INDEX(Acceleration!$V$4:$V$110,MATCH('Track Data'!S2329,Acceleration!$K$4:$K$110,0)),IF('Track Data'!O2329=5,INDEX(Acceleration!$U$4:$U$110,MATCH('Track Data'!S2329,Acceleration!$K$4:$K$110,0)),1)),U2329)</f>
        <v>4.2179466544177524</v>
      </c>
      <c r="AG2329" s="16">
        <f>IF(AC2329=0,IF(O2329=4,INDEX(Acceleration!$T$4:$T$110,MATCH('Track Data'!S2329,Acceleration!$K$4:$K$110,0)),IF('Track Data'!O2329=3,INDEX(Acceleration!$S$4:$S$110,MATCH('Track Data'!S2329,Acceleration!$K$4:$K$110,0)),'Track Data'!AF2329)),'Track Data'!U2329)</f>
        <v>4.2179466544177524</v>
      </c>
      <c r="AH2329" s="16">
        <f>IF(AC2329=0,IF(O2329=2,INDEX(Acceleration!$R$4:$R$110,MATCH('Track Data'!S2329,Acceleration!$K$4:$K$110,0)),IF('Track Data'!O2329=1,INDEX(Acceleration!$Q$4:$Q$110,MATCH('Track Data'!S2329,Acceleration!$K$4:$K$110,0)),'Track Data'!AG2329)),'Track Data'!U2329)</f>
        <v>4.2179466544177524</v>
      </c>
    </row>
    <row r="2330" spans="2:34" x14ac:dyDescent="0.25">
      <c r="B2330" s="16">
        <v>256.24099999999999</v>
      </c>
      <c r="C2330" s="16">
        <v>9600</v>
      </c>
      <c r="D2330" s="16">
        <v>2327</v>
      </c>
      <c r="E2330" s="113">
        <v>187</v>
      </c>
      <c r="F2330" s="113">
        <v>189.1</v>
      </c>
      <c r="G2330" s="113">
        <v>186.9</v>
      </c>
      <c r="H2330" s="113">
        <f t="shared" si="257"/>
        <v>51.916666666666664</v>
      </c>
      <c r="I2330" s="113">
        <v>3.4</v>
      </c>
      <c r="J2330" s="113">
        <v>12.65</v>
      </c>
      <c r="K2330" s="113">
        <v>-0.5</v>
      </c>
      <c r="L2330" s="185"/>
      <c r="M2330" s="16">
        <v>2327</v>
      </c>
      <c r="N2330" s="16">
        <f t="shared" si="259"/>
        <v>1.9529148338600345E-2</v>
      </c>
      <c r="O2330" s="16">
        <v>5</v>
      </c>
      <c r="P2330" s="16">
        <f t="shared" si="255"/>
        <v>8.1742160278745661</v>
      </c>
      <c r="Q2330" s="16">
        <f t="shared" si="260"/>
        <v>51.205509972160414</v>
      </c>
      <c r="R2330" s="113">
        <f t="shared" si="256"/>
        <v>319.54399999999998</v>
      </c>
      <c r="S2330" s="16">
        <f>IF(S2329=15800,15800,ROUND((((Q2330*60)/'Gearing Calculator'!$C$14)*'Track Data'!P2330),-2))</f>
        <v>12700</v>
      </c>
      <c r="T2330" s="16">
        <f t="shared" si="258"/>
        <v>4.2179466544177524</v>
      </c>
      <c r="U2330" s="16">
        <f>IF(AC2330=100,Braking!$AG$2354,IF(AC2330=50,Braking!$AG$1179,IF(AC2330=75,Braking!$AG$1767,0)))</f>
        <v>0</v>
      </c>
      <c r="V2330" s="16">
        <f>0.5*'Gearing Calculator'!$C$15*'Gearing Calculator'!$C$20*'Gearing Calculator'!$W$20*('Track Data'!Q2330^2)</f>
        <v>277.51292997971461</v>
      </c>
      <c r="W2330" s="16">
        <f>('Gearing Calculator'!$U$9*'Track Data'!T2330)+'Track Data'!V2330</f>
        <v>1400.3303293857202</v>
      </c>
      <c r="X2330" s="16">
        <f>('Gearing Calculator'!$U$9*9.81)*('Gearing Calculator'!$U$16/'Gearing Calculator'!$C$7)-(('Track Data'!W2330)*('Gearing Calculator'!$U$17/'Gearing Calculator'!$C$7))</f>
        <v>637.8866366989605</v>
      </c>
      <c r="Y2330" s="16">
        <f>('Gearing Calculator'!$U$9*9.81)*(('Gearing Calculator'!$C$7-'Gearing Calculator'!$U$16)/'Gearing Calculator'!$C$7)+(('Track Data'!W2330)*('Gearing Calculator'!$U$17/'Gearing Calculator'!$C$7))</f>
        <v>1973.5353633010395</v>
      </c>
      <c r="Z2330" s="16">
        <f>((X2330*COS('Gearing Calculator'!$C$21))/'Gearing Calculator'!$C$22)/2</f>
        <v>19.721437343185183</v>
      </c>
      <c r="AA2330" s="16">
        <f>Y2330/'Gearing Calculator'!$C$24</f>
        <v>27.557173000446198</v>
      </c>
      <c r="AB2330" s="16">
        <f t="shared" si="254"/>
        <v>298.60266325180339</v>
      </c>
      <c r="AC2330" s="16">
        <v>0</v>
      </c>
      <c r="AD2330" s="16">
        <v>0</v>
      </c>
      <c r="AE2330" s="16">
        <v>2327</v>
      </c>
      <c r="AF2330" s="16">
        <f>IF(AC2330=0,IF(O2330=6,INDEX(Acceleration!$V$4:$V$110,MATCH('Track Data'!S2330,Acceleration!$K$4:$K$110,0)),IF('Track Data'!O2330=5,INDEX(Acceleration!$U$4:$U$110,MATCH('Track Data'!S2330,Acceleration!$K$4:$K$110,0)),1)),U2330)</f>
        <v>4.2179466544177524</v>
      </c>
      <c r="AG2330" s="16">
        <f>IF(AC2330=0,IF(O2330=4,INDEX(Acceleration!$T$4:$T$110,MATCH('Track Data'!S2330,Acceleration!$K$4:$K$110,0)),IF('Track Data'!O2330=3,INDEX(Acceleration!$S$4:$S$110,MATCH('Track Data'!S2330,Acceleration!$K$4:$K$110,0)),'Track Data'!AF2330)),'Track Data'!U2330)</f>
        <v>4.2179466544177524</v>
      </c>
      <c r="AH2330" s="16">
        <f>IF(AC2330=0,IF(O2330=2,INDEX(Acceleration!$R$4:$R$110,MATCH('Track Data'!S2330,Acceleration!$K$4:$K$110,0)),IF('Track Data'!O2330=1,INDEX(Acceleration!$Q$4:$Q$110,MATCH('Track Data'!S2330,Acceleration!$K$4:$K$110,0)),'Track Data'!AG2330)),'Track Data'!U2330)</f>
        <v>4.2179466544177524</v>
      </c>
    </row>
    <row r="2331" spans="2:34" x14ac:dyDescent="0.25">
      <c r="B2331" s="16">
        <v>256.26100000000002</v>
      </c>
      <c r="C2331" s="16">
        <v>9601</v>
      </c>
      <c r="D2331" s="16">
        <v>2328</v>
      </c>
      <c r="E2331" s="113">
        <v>189</v>
      </c>
      <c r="F2331" s="113">
        <v>190</v>
      </c>
      <c r="G2331" s="113">
        <v>187.2</v>
      </c>
      <c r="H2331" s="113">
        <f t="shared" si="257"/>
        <v>51.999999999999993</v>
      </c>
      <c r="I2331" s="113">
        <v>3.9</v>
      </c>
      <c r="J2331" s="113">
        <v>20.28</v>
      </c>
      <c r="K2331" s="113">
        <v>0.1</v>
      </c>
      <c r="L2331" s="185"/>
      <c r="M2331" s="16">
        <v>2328</v>
      </c>
      <c r="N2331" s="16">
        <f t="shared" si="259"/>
        <v>1.9497807935279009E-2</v>
      </c>
      <c r="O2331" s="16">
        <v>5</v>
      </c>
      <c r="P2331" s="16">
        <f t="shared" si="255"/>
        <v>8.1742160278745661</v>
      </c>
      <c r="Q2331" s="16">
        <f t="shared" si="260"/>
        <v>51.287816728906051</v>
      </c>
      <c r="R2331" s="113">
        <f t="shared" si="256"/>
        <v>319.54399999999998</v>
      </c>
      <c r="S2331" s="16">
        <f>IF(S2330=15800,15800,ROUND((((Q2331*60)/'Gearing Calculator'!$C$14)*'Track Data'!P2331),-2))</f>
        <v>12700</v>
      </c>
      <c r="T2331" s="16">
        <f t="shared" si="258"/>
        <v>4.2179466544177524</v>
      </c>
      <c r="U2331" s="16">
        <f>IF(AC2331=100,Braking!$AG$2354,IF(AC2331=50,Braking!$AG$1179,IF(AC2331=75,Braking!$AG$1767,0)))</f>
        <v>0</v>
      </c>
      <c r="V2331" s="16">
        <f>0.5*'Gearing Calculator'!$C$15*'Gearing Calculator'!$C$20*'Gearing Calculator'!$W$20*('Track Data'!Q2331^2)</f>
        <v>278.40578492752178</v>
      </c>
      <c r="W2331" s="16">
        <f>('Gearing Calculator'!$U$9*'Track Data'!T2331)+'Track Data'!V2331</f>
        <v>1401.2231843335276</v>
      </c>
      <c r="X2331" s="16">
        <f>('Gearing Calculator'!$U$9*9.81)*('Gearing Calculator'!$U$16/'Gearing Calculator'!$C$7)-(('Track Data'!W2331)*('Gearing Calculator'!$U$17/'Gearing Calculator'!$C$7))</f>
        <v>637.39996977600799</v>
      </c>
      <c r="Y2331" s="16">
        <f>('Gearing Calculator'!$U$9*9.81)*(('Gearing Calculator'!$C$7-'Gearing Calculator'!$U$16)/'Gearing Calculator'!$C$7)+(('Track Data'!W2331)*('Gearing Calculator'!$U$17/'Gearing Calculator'!$C$7))</f>
        <v>1974.022030223992</v>
      </c>
      <c r="Z2331" s="16">
        <f>((X2331*COS('Gearing Calculator'!$C$21))/'Gearing Calculator'!$C$22)/2</f>
        <v>19.706391141123827</v>
      </c>
      <c r="AA2331" s="16">
        <f>Y2331/'Gearing Calculator'!$C$24</f>
        <v>27.563968502993955</v>
      </c>
      <c r="AB2331" s="16">
        <f t="shared" si="254"/>
        <v>299.49551819961056</v>
      </c>
      <c r="AC2331" s="16">
        <v>0</v>
      </c>
      <c r="AD2331" s="16">
        <v>0</v>
      </c>
      <c r="AE2331" s="16">
        <v>2328</v>
      </c>
      <c r="AF2331" s="16">
        <f>IF(AC2331=0,IF(O2331=6,INDEX(Acceleration!$V$4:$V$110,MATCH('Track Data'!S2331,Acceleration!$K$4:$K$110,0)),IF('Track Data'!O2331=5,INDEX(Acceleration!$U$4:$U$110,MATCH('Track Data'!S2331,Acceleration!$K$4:$K$110,0)),1)),U2331)</f>
        <v>4.2179466544177524</v>
      </c>
      <c r="AG2331" s="16">
        <f>IF(AC2331=0,IF(O2331=4,INDEX(Acceleration!$T$4:$T$110,MATCH('Track Data'!S2331,Acceleration!$K$4:$K$110,0)),IF('Track Data'!O2331=3,INDEX(Acceleration!$S$4:$S$110,MATCH('Track Data'!S2331,Acceleration!$K$4:$K$110,0)),'Track Data'!AF2331)),'Track Data'!U2331)</f>
        <v>4.2179466544177524</v>
      </c>
      <c r="AH2331" s="16">
        <f>IF(AC2331=0,IF(O2331=2,INDEX(Acceleration!$R$4:$R$110,MATCH('Track Data'!S2331,Acceleration!$K$4:$K$110,0)),IF('Track Data'!O2331=1,INDEX(Acceleration!$Q$4:$Q$110,MATCH('Track Data'!S2331,Acceleration!$K$4:$K$110,0)),'Track Data'!AG2331)),'Track Data'!U2331)</f>
        <v>4.2179466544177524</v>
      </c>
    </row>
    <row r="2332" spans="2:34" x14ac:dyDescent="0.25">
      <c r="B2332" s="16">
        <v>256.279</v>
      </c>
      <c r="C2332" s="16">
        <v>9602</v>
      </c>
      <c r="D2332" s="16">
        <v>2329</v>
      </c>
      <c r="E2332" s="113">
        <v>190</v>
      </c>
      <c r="F2332" s="113">
        <v>190.5</v>
      </c>
      <c r="G2332" s="113">
        <v>187.3</v>
      </c>
      <c r="H2332" s="113">
        <f t="shared" si="257"/>
        <v>52.027777777777779</v>
      </c>
      <c r="I2332" s="113">
        <v>4.0999999999999996</v>
      </c>
      <c r="J2332" s="113">
        <v>22.85</v>
      </c>
      <c r="K2332" s="113">
        <v>0.4</v>
      </c>
      <c r="L2332" s="185"/>
      <c r="M2332" s="16">
        <v>2329</v>
      </c>
      <c r="N2332" s="16">
        <f t="shared" si="259"/>
        <v>1.9466617934652385E-2</v>
      </c>
      <c r="O2332" s="16">
        <v>5</v>
      </c>
      <c r="P2332" s="16">
        <f t="shared" si="255"/>
        <v>8.1742160278745661</v>
      </c>
      <c r="Q2332" s="16">
        <f t="shared" si="260"/>
        <v>51.369991611121478</v>
      </c>
      <c r="R2332" s="113">
        <f t="shared" si="256"/>
        <v>319.54399999999998</v>
      </c>
      <c r="S2332" s="16">
        <f>IF(S2331=15800,15800,ROUND((((Q2332*60)/'Gearing Calculator'!$C$14)*'Track Data'!P2332),-2))</f>
        <v>12700</v>
      </c>
      <c r="T2332" s="16">
        <f t="shared" si="258"/>
        <v>4.2179466544177524</v>
      </c>
      <c r="U2332" s="16">
        <f>IF(AC2332=100,Braking!$AG$2354,IF(AC2332=50,Braking!$AG$1179,IF(AC2332=75,Braking!$AG$1767,0)))</f>
        <v>0</v>
      </c>
      <c r="V2332" s="16">
        <f>0.5*'Gearing Calculator'!$C$15*'Gearing Calculator'!$C$20*'Gearing Calculator'!$W$20*('Track Data'!Q2332^2)</f>
        <v>279.29863987532894</v>
      </c>
      <c r="W2332" s="16">
        <f>('Gearing Calculator'!$U$9*'Track Data'!T2332)+'Track Data'!V2332</f>
        <v>1402.1160392813347</v>
      </c>
      <c r="X2332" s="16">
        <f>('Gearing Calculator'!$U$9*9.81)*('Gearing Calculator'!$U$16/'Gearing Calculator'!$C$7)-(('Track Data'!W2332)*('Gearing Calculator'!$U$17/'Gearing Calculator'!$C$7))</f>
        <v>636.91330285305548</v>
      </c>
      <c r="Y2332" s="16">
        <f>('Gearing Calculator'!$U$9*9.81)*(('Gearing Calculator'!$C$7-'Gearing Calculator'!$U$16)/'Gearing Calculator'!$C$7)+(('Track Data'!W2332)*('Gearing Calculator'!$U$17/'Gearing Calculator'!$C$7))</f>
        <v>1974.5086971469445</v>
      </c>
      <c r="Z2332" s="16">
        <f>((X2332*COS('Gearing Calculator'!$C$21))/'Gearing Calculator'!$C$22)/2</f>
        <v>19.691344939062478</v>
      </c>
      <c r="AA2332" s="16">
        <f>Y2332/'Gearing Calculator'!$C$24</f>
        <v>27.570764005541708</v>
      </c>
      <c r="AB2332" s="16">
        <f t="shared" si="254"/>
        <v>300.38837314741772</v>
      </c>
      <c r="AC2332" s="16">
        <v>0</v>
      </c>
      <c r="AD2332" s="16">
        <v>0</v>
      </c>
      <c r="AE2332" s="16">
        <v>2329</v>
      </c>
      <c r="AF2332" s="16">
        <f>IF(AC2332=0,IF(O2332=6,INDEX(Acceleration!$V$4:$V$110,MATCH('Track Data'!S2332,Acceleration!$K$4:$K$110,0)),IF('Track Data'!O2332=5,INDEX(Acceleration!$U$4:$U$110,MATCH('Track Data'!S2332,Acceleration!$K$4:$K$110,0)),1)),U2332)</f>
        <v>4.2179466544177524</v>
      </c>
      <c r="AG2332" s="16">
        <f>IF(AC2332=0,IF(O2332=4,INDEX(Acceleration!$T$4:$T$110,MATCH('Track Data'!S2332,Acceleration!$K$4:$K$110,0)),IF('Track Data'!O2332=3,INDEX(Acceleration!$S$4:$S$110,MATCH('Track Data'!S2332,Acceleration!$K$4:$K$110,0)),'Track Data'!AF2332)),'Track Data'!U2332)</f>
        <v>4.2179466544177524</v>
      </c>
      <c r="AH2332" s="16">
        <f>IF(AC2332=0,IF(O2332=2,INDEX(Acceleration!$R$4:$R$110,MATCH('Track Data'!S2332,Acceleration!$K$4:$K$110,0)),IF('Track Data'!O2332=1,INDEX(Acceleration!$Q$4:$Q$110,MATCH('Track Data'!S2332,Acceleration!$K$4:$K$110,0)),'Track Data'!AG2332)),'Track Data'!U2332)</f>
        <v>4.2179466544177524</v>
      </c>
    </row>
    <row r="2333" spans="2:34" x14ac:dyDescent="0.25">
      <c r="B2333" s="16">
        <v>256.298</v>
      </c>
      <c r="C2333" s="16">
        <v>9603</v>
      </c>
      <c r="D2333" s="16">
        <v>2330</v>
      </c>
      <c r="E2333" s="113">
        <v>189</v>
      </c>
      <c r="F2333" s="113">
        <v>190.4</v>
      </c>
      <c r="G2333" s="113">
        <v>187.6</v>
      </c>
      <c r="H2333" s="113">
        <f t="shared" si="257"/>
        <v>52.111111111111107</v>
      </c>
      <c r="I2333" s="113">
        <v>3.8</v>
      </c>
      <c r="J2333" s="113">
        <v>31.65</v>
      </c>
      <c r="K2333" s="113">
        <v>1</v>
      </c>
      <c r="L2333" s="185"/>
      <c r="M2333" s="16">
        <v>2330</v>
      </c>
      <c r="N2333" s="16">
        <f t="shared" si="259"/>
        <v>1.943557713758472E-2</v>
      </c>
      <c r="O2333" s="16">
        <v>5</v>
      </c>
      <c r="P2333" s="16">
        <f t="shared" si="255"/>
        <v>8.1742160278745661</v>
      </c>
      <c r="Q2333" s="16">
        <f t="shared" si="260"/>
        <v>51.45203525066357</v>
      </c>
      <c r="R2333" s="113">
        <f t="shared" si="256"/>
        <v>319.54399999999998</v>
      </c>
      <c r="S2333" s="16">
        <f>IF(S2332=15800,15800,ROUND((((Q2333*60)/'Gearing Calculator'!$C$14)*'Track Data'!P2333),-2))</f>
        <v>12800</v>
      </c>
      <c r="T2333" s="16">
        <f t="shared" si="258"/>
        <v>4.1911719898474455</v>
      </c>
      <c r="U2333" s="16">
        <f>IF(AC2333=100,Braking!$AG$2354,IF(AC2333=50,Braking!$AG$1179,IF(AC2333=75,Braking!$AG$1767,0)))</f>
        <v>0</v>
      </c>
      <c r="V2333" s="16">
        <f>0.5*'Gearing Calculator'!$C$15*'Gearing Calculator'!$C$20*'Gearing Calculator'!$W$20*('Track Data'!Q2333^2)</f>
        <v>280.19149482313611</v>
      </c>
      <c r="W2333" s="16">
        <f>('Gearing Calculator'!$U$9*'Track Data'!T2333)+'Track Data'!V2333</f>
        <v>1395.8814785205261</v>
      </c>
      <c r="X2333" s="16">
        <f>('Gearing Calculator'!$U$9*9.81)*('Gearing Calculator'!$U$16/'Gearing Calculator'!$C$7)-(('Track Data'!W2333)*('Gearing Calculator'!$U$17/'Gearing Calculator'!$C$7))</f>
        <v>640.31156424912501</v>
      </c>
      <c r="Y2333" s="16">
        <f>('Gearing Calculator'!$U$9*9.81)*(('Gearing Calculator'!$C$7-'Gearing Calculator'!$U$16)/'Gearing Calculator'!$C$7)+(('Track Data'!W2333)*('Gearing Calculator'!$U$17/'Gearing Calculator'!$C$7))</f>
        <v>1971.110435750875</v>
      </c>
      <c r="Z2333" s="16">
        <f>((X2333*COS('Gearing Calculator'!$C$21))/'Gearing Calculator'!$C$22)/2</f>
        <v>19.796408433643848</v>
      </c>
      <c r="AA2333" s="16">
        <f>Y2333/'Gearing Calculator'!$C$24</f>
        <v>27.523312878526895</v>
      </c>
      <c r="AB2333" s="16">
        <f t="shared" si="254"/>
        <v>301.14735477237332</v>
      </c>
      <c r="AC2333" s="16">
        <v>0</v>
      </c>
      <c r="AD2333" s="16">
        <v>0</v>
      </c>
      <c r="AE2333" s="16">
        <v>2330</v>
      </c>
      <c r="AF2333" s="16">
        <f>IF(AC2333=0,IF(O2333=6,INDEX(Acceleration!$V$4:$V$110,MATCH('Track Data'!S2333,Acceleration!$K$4:$K$110,0)),IF('Track Data'!O2333=5,INDEX(Acceleration!$U$4:$U$110,MATCH('Track Data'!S2333,Acceleration!$K$4:$K$110,0)),1)),U2333)</f>
        <v>4.1911719898474455</v>
      </c>
      <c r="AG2333" s="16">
        <f>IF(AC2333=0,IF(O2333=4,INDEX(Acceleration!$T$4:$T$110,MATCH('Track Data'!S2333,Acceleration!$K$4:$K$110,0)),IF('Track Data'!O2333=3,INDEX(Acceleration!$S$4:$S$110,MATCH('Track Data'!S2333,Acceleration!$K$4:$K$110,0)),'Track Data'!AF2333)),'Track Data'!U2333)</f>
        <v>4.1911719898474455</v>
      </c>
      <c r="AH2333" s="16">
        <f>IF(AC2333=0,IF(O2333=2,INDEX(Acceleration!$R$4:$R$110,MATCH('Track Data'!S2333,Acceleration!$K$4:$K$110,0)),IF('Track Data'!O2333=1,INDEX(Acceleration!$Q$4:$Q$110,MATCH('Track Data'!S2333,Acceleration!$K$4:$K$110,0)),'Track Data'!AG2333)),'Track Data'!U2333)</f>
        <v>4.1911719898474455</v>
      </c>
    </row>
    <row r="2334" spans="2:34" x14ac:dyDescent="0.25">
      <c r="B2334" s="16">
        <v>256.31700000000001</v>
      </c>
      <c r="C2334" s="16">
        <v>9604</v>
      </c>
      <c r="D2334" s="16">
        <v>2331</v>
      </c>
      <c r="E2334" s="113">
        <v>188</v>
      </c>
      <c r="F2334" s="113">
        <v>190</v>
      </c>
      <c r="G2334" s="113">
        <v>187.9</v>
      </c>
      <c r="H2334" s="113">
        <f t="shared" si="257"/>
        <v>52.194444444444443</v>
      </c>
      <c r="I2334" s="113">
        <v>8</v>
      </c>
      <c r="J2334" s="113">
        <v>33.18</v>
      </c>
      <c r="K2334" s="113">
        <v>1.6</v>
      </c>
      <c r="L2334" s="185"/>
      <c r="M2334" s="16">
        <v>2331</v>
      </c>
      <c r="N2334" s="16">
        <f t="shared" si="259"/>
        <v>1.9404879994994292E-2</v>
      </c>
      <c r="O2334" s="16">
        <v>5</v>
      </c>
      <c r="P2334" s="16">
        <f t="shared" si="255"/>
        <v>8.1742160278745661</v>
      </c>
      <c r="Q2334" s="16">
        <f t="shared" si="260"/>
        <v>51.533428717825686</v>
      </c>
      <c r="R2334" s="113">
        <f t="shared" si="256"/>
        <v>319.54399999999998</v>
      </c>
      <c r="S2334" s="16">
        <f>IF(S2333=15800,15800,ROUND((((Q2334*60)/'Gearing Calculator'!$C$14)*'Track Data'!P2334),-2))</f>
        <v>12800</v>
      </c>
      <c r="T2334" s="16">
        <f t="shared" si="258"/>
        <v>4.1911719898474455</v>
      </c>
      <c r="U2334" s="16">
        <f>IF(AC2334=100,Braking!$AG$2354,IF(AC2334=50,Braking!$AG$1179,IF(AC2334=75,Braking!$AG$1767,0)))</f>
        <v>0</v>
      </c>
      <c r="V2334" s="16">
        <f>0.5*'Gearing Calculator'!$C$15*'Gearing Calculator'!$C$20*'Gearing Calculator'!$W$20*('Track Data'!Q2334^2)</f>
        <v>281.07868210994695</v>
      </c>
      <c r="W2334" s="16">
        <f>('Gearing Calculator'!$U$9*'Track Data'!T2334)+'Track Data'!V2334</f>
        <v>1396.7686658073371</v>
      </c>
      <c r="X2334" s="16">
        <f>('Gearing Calculator'!$U$9*9.81)*('Gearing Calculator'!$U$16/'Gearing Calculator'!$C$7)-(('Track Data'!W2334)*('Gearing Calculator'!$U$17/'Gearing Calculator'!$C$7))</f>
        <v>639.82798658848128</v>
      </c>
      <c r="Y2334" s="16">
        <f>('Gearing Calculator'!$U$9*9.81)*(('Gearing Calculator'!$C$7-'Gearing Calculator'!$U$16)/'Gearing Calculator'!$C$7)+(('Track Data'!W2334)*('Gearing Calculator'!$U$17/'Gearing Calculator'!$C$7))</f>
        <v>1971.5940134115187</v>
      </c>
      <c r="Z2334" s="16">
        <f>((X2334*COS('Gearing Calculator'!$C$21))/'Gearing Calculator'!$C$22)/2</f>
        <v>19.781457741802576</v>
      </c>
      <c r="AA2334" s="16">
        <f>Y2334/'Gearing Calculator'!$C$24</f>
        <v>27.53006524461129</v>
      </c>
      <c r="AB2334" s="16">
        <f t="shared" si="254"/>
        <v>302.03454205918416</v>
      </c>
      <c r="AC2334" s="16">
        <v>0</v>
      </c>
      <c r="AD2334" s="16">
        <v>0</v>
      </c>
      <c r="AE2334" s="16">
        <v>2331</v>
      </c>
      <c r="AF2334" s="16">
        <f>IF(AC2334=0,IF(O2334=6,INDEX(Acceleration!$V$4:$V$110,MATCH('Track Data'!S2334,Acceleration!$K$4:$K$110,0)),IF('Track Data'!O2334=5,INDEX(Acceleration!$U$4:$U$110,MATCH('Track Data'!S2334,Acceleration!$K$4:$K$110,0)),1)),U2334)</f>
        <v>4.1911719898474455</v>
      </c>
      <c r="AG2334" s="16">
        <f>IF(AC2334=0,IF(O2334=4,INDEX(Acceleration!$T$4:$T$110,MATCH('Track Data'!S2334,Acceleration!$K$4:$K$110,0)),IF('Track Data'!O2334=3,INDEX(Acceleration!$S$4:$S$110,MATCH('Track Data'!S2334,Acceleration!$K$4:$K$110,0)),'Track Data'!AF2334)),'Track Data'!U2334)</f>
        <v>4.1911719898474455</v>
      </c>
      <c r="AH2334" s="16">
        <f>IF(AC2334=0,IF(O2334=2,INDEX(Acceleration!$R$4:$R$110,MATCH('Track Data'!S2334,Acceleration!$K$4:$K$110,0)),IF('Track Data'!O2334=1,INDEX(Acceleration!$Q$4:$Q$110,MATCH('Track Data'!S2334,Acceleration!$K$4:$K$110,0)),'Track Data'!AG2334)),'Track Data'!U2334)</f>
        <v>4.1911719898474455</v>
      </c>
    </row>
    <row r="2335" spans="2:34" x14ac:dyDescent="0.25">
      <c r="B2335" s="16">
        <v>256.33600000000001</v>
      </c>
      <c r="C2335" s="16">
        <v>9605</v>
      </c>
      <c r="D2335" s="16">
        <v>2332</v>
      </c>
      <c r="E2335" s="113">
        <v>189</v>
      </c>
      <c r="F2335" s="113">
        <v>190.4</v>
      </c>
      <c r="G2335" s="113">
        <v>188.1</v>
      </c>
      <c r="H2335" s="113">
        <f t="shared" si="257"/>
        <v>52.25</v>
      </c>
      <c r="I2335" s="113">
        <v>13.1</v>
      </c>
      <c r="J2335" s="113">
        <v>31.31</v>
      </c>
      <c r="K2335" s="113">
        <v>2.5</v>
      </c>
      <c r="L2335" s="185"/>
      <c r="M2335" s="16">
        <v>2332</v>
      </c>
      <c r="N2335" s="16">
        <f t="shared" si="259"/>
        <v>1.9374327846454289E-2</v>
      </c>
      <c r="O2335" s="16">
        <v>5</v>
      </c>
      <c r="P2335" s="16">
        <f t="shared" si="255"/>
        <v>8.1742160278745661</v>
      </c>
      <c r="Q2335" s="16">
        <f t="shared" si="260"/>
        <v>51.614693832230721</v>
      </c>
      <c r="R2335" s="113">
        <f t="shared" si="256"/>
        <v>319.54399999999998</v>
      </c>
      <c r="S2335" s="16">
        <f>IF(S2334=15800,15800,ROUND((((Q2335*60)/'Gearing Calculator'!$C$14)*'Track Data'!P2335),-2))</f>
        <v>12800</v>
      </c>
      <c r="T2335" s="16">
        <f t="shared" si="258"/>
        <v>4.1911719898474455</v>
      </c>
      <c r="U2335" s="16">
        <f>IF(AC2335=100,Braking!$AG$2354,IF(AC2335=50,Braking!$AG$1179,IF(AC2335=75,Braking!$AG$1767,0)))</f>
        <v>0</v>
      </c>
      <c r="V2335" s="16">
        <f>0.5*'Gearing Calculator'!$C$15*'Gearing Calculator'!$C$20*'Gearing Calculator'!$W$20*('Track Data'!Q2335^2)</f>
        <v>281.96586939675791</v>
      </c>
      <c r="W2335" s="16">
        <f>('Gearing Calculator'!$U$9*'Track Data'!T2335)+'Track Data'!V2335</f>
        <v>1397.6558530941479</v>
      </c>
      <c r="X2335" s="16">
        <f>('Gearing Calculator'!$U$9*9.81)*('Gearing Calculator'!$U$16/'Gearing Calculator'!$C$7)-(('Track Data'!W2335)*('Gearing Calculator'!$U$17/'Gearing Calculator'!$C$7))</f>
        <v>639.34440892783755</v>
      </c>
      <c r="Y2335" s="16">
        <f>('Gearing Calculator'!$U$9*9.81)*(('Gearing Calculator'!$C$7-'Gearing Calculator'!$U$16)/'Gearing Calculator'!$C$7)+(('Track Data'!W2335)*('Gearing Calculator'!$U$17/'Gearing Calculator'!$C$7))</f>
        <v>1972.0775910721625</v>
      </c>
      <c r="Z2335" s="16">
        <f>((X2335*COS('Gearing Calculator'!$C$21))/'Gearing Calculator'!$C$22)/2</f>
        <v>19.766507049961312</v>
      </c>
      <c r="AA2335" s="16">
        <f>Y2335/'Gearing Calculator'!$C$24</f>
        <v>27.536817610695689</v>
      </c>
      <c r="AB2335" s="16">
        <f t="shared" si="254"/>
        <v>302.92172934599512</v>
      </c>
      <c r="AC2335" s="16">
        <v>0</v>
      </c>
      <c r="AD2335" s="16">
        <v>0</v>
      </c>
      <c r="AE2335" s="16">
        <v>2332</v>
      </c>
      <c r="AF2335" s="16">
        <f>IF(AC2335=0,IF(O2335=6,INDEX(Acceleration!$V$4:$V$110,MATCH('Track Data'!S2335,Acceleration!$K$4:$K$110,0)),IF('Track Data'!O2335=5,INDEX(Acceleration!$U$4:$U$110,MATCH('Track Data'!S2335,Acceleration!$K$4:$K$110,0)),1)),U2335)</f>
        <v>4.1911719898474455</v>
      </c>
      <c r="AG2335" s="16">
        <f>IF(AC2335=0,IF(O2335=4,INDEX(Acceleration!$T$4:$T$110,MATCH('Track Data'!S2335,Acceleration!$K$4:$K$110,0)),IF('Track Data'!O2335=3,INDEX(Acceleration!$S$4:$S$110,MATCH('Track Data'!S2335,Acceleration!$K$4:$K$110,0)),'Track Data'!AF2335)),'Track Data'!U2335)</f>
        <v>4.1911719898474455</v>
      </c>
      <c r="AH2335" s="16">
        <f>IF(AC2335=0,IF(O2335=2,INDEX(Acceleration!$R$4:$R$110,MATCH('Track Data'!S2335,Acceleration!$K$4:$K$110,0)),IF('Track Data'!O2335=1,INDEX(Acceleration!$Q$4:$Q$110,MATCH('Track Data'!S2335,Acceleration!$K$4:$K$110,0)),'Track Data'!AG2335)),'Track Data'!U2335)</f>
        <v>4.1911719898474455</v>
      </c>
    </row>
    <row r="2336" spans="2:34" x14ac:dyDescent="0.25">
      <c r="B2336" s="16">
        <v>256.35500000000002</v>
      </c>
      <c r="C2336" s="16">
        <v>9606</v>
      </c>
      <c r="D2336" s="16">
        <v>2333</v>
      </c>
      <c r="E2336" s="113">
        <v>190</v>
      </c>
      <c r="F2336" s="113">
        <v>191.2</v>
      </c>
      <c r="G2336" s="113">
        <v>188.4</v>
      </c>
      <c r="H2336" s="113">
        <f t="shared" si="257"/>
        <v>52.333333333333336</v>
      </c>
      <c r="I2336" s="113">
        <v>13.5</v>
      </c>
      <c r="J2336" s="113">
        <v>29.73</v>
      </c>
      <c r="K2336" s="113">
        <v>3.4</v>
      </c>
      <c r="L2336" s="185"/>
      <c r="M2336" s="16">
        <v>2333</v>
      </c>
      <c r="N2336" s="16">
        <f t="shared" si="259"/>
        <v>1.9343919554112299E-2</v>
      </c>
      <c r="O2336" s="16">
        <v>5</v>
      </c>
      <c r="P2336" s="16">
        <f t="shared" si="255"/>
        <v>8.1742160278745661</v>
      </c>
      <c r="Q2336" s="16">
        <f t="shared" si="260"/>
        <v>51.695831199184823</v>
      </c>
      <c r="R2336" s="113">
        <f t="shared" si="256"/>
        <v>319.54399999999998</v>
      </c>
      <c r="S2336" s="16">
        <f>IF(S2335=15800,15800,ROUND((((Q2336*60)/'Gearing Calculator'!$C$14)*'Track Data'!P2336),-2))</f>
        <v>12800</v>
      </c>
      <c r="T2336" s="16">
        <f t="shared" si="258"/>
        <v>4.1911719898474455</v>
      </c>
      <c r="U2336" s="16">
        <f>IF(AC2336=100,Braking!$AG$2354,IF(AC2336=50,Braking!$AG$1179,IF(AC2336=75,Braking!$AG$1767,0)))</f>
        <v>0</v>
      </c>
      <c r="V2336" s="16">
        <f>0.5*'Gearing Calculator'!$C$15*'Gearing Calculator'!$C$20*'Gearing Calculator'!$W$20*('Track Data'!Q2336^2)</f>
        <v>282.85305668356881</v>
      </c>
      <c r="W2336" s="16">
        <f>('Gearing Calculator'!$U$9*'Track Data'!T2336)+'Track Data'!V2336</f>
        <v>1398.5430403809589</v>
      </c>
      <c r="X2336" s="16">
        <f>('Gearing Calculator'!$U$9*9.81)*('Gearing Calculator'!$U$16/'Gearing Calculator'!$C$7)-(('Track Data'!W2336)*('Gearing Calculator'!$U$17/'Gearing Calculator'!$C$7))</f>
        <v>638.8608312671937</v>
      </c>
      <c r="Y2336" s="16">
        <f>('Gearing Calculator'!$U$9*9.81)*(('Gearing Calculator'!$C$7-'Gearing Calculator'!$U$16)/'Gearing Calculator'!$C$7)+(('Track Data'!W2336)*('Gearing Calculator'!$U$17/'Gearing Calculator'!$C$7))</f>
        <v>1972.5611687328064</v>
      </c>
      <c r="Z2336" s="16">
        <f>((X2336*COS('Gearing Calculator'!$C$21))/'Gearing Calculator'!$C$22)/2</f>
        <v>19.751556358120038</v>
      </c>
      <c r="AA2336" s="16">
        <f>Y2336/'Gearing Calculator'!$C$24</f>
        <v>27.543569976780088</v>
      </c>
      <c r="AB2336" s="16">
        <f t="shared" si="254"/>
        <v>303.80891663280602</v>
      </c>
      <c r="AC2336" s="16">
        <v>0</v>
      </c>
      <c r="AD2336" s="16">
        <v>0</v>
      </c>
      <c r="AE2336" s="16">
        <v>2333</v>
      </c>
      <c r="AF2336" s="16">
        <f>IF(AC2336=0,IF(O2336=6,INDEX(Acceleration!$V$4:$V$110,MATCH('Track Data'!S2336,Acceleration!$K$4:$K$110,0)),IF('Track Data'!O2336=5,INDEX(Acceleration!$U$4:$U$110,MATCH('Track Data'!S2336,Acceleration!$K$4:$K$110,0)),1)),U2336)</f>
        <v>4.1911719898474455</v>
      </c>
      <c r="AG2336" s="16">
        <f>IF(AC2336=0,IF(O2336=4,INDEX(Acceleration!$T$4:$T$110,MATCH('Track Data'!S2336,Acceleration!$K$4:$K$110,0)),IF('Track Data'!O2336=3,INDEX(Acceleration!$S$4:$S$110,MATCH('Track Data'!S2336,Acceleration!$K$4:$K$110,0)),'Track Data'!AF2336)),'Track Data'!U2336)</f>
        <v>4.1911719898474455</v>
      </c>
      <c r="AH2336" s="16">
        <f>IF(AC2336=0,IF(O2336=2,INDEX(Acceleration!$R$4:$R$110,MATCH('Track Data'!S2336,Acceleration!$K$4:$K$110,0)),IF('Track Data'!O2336=1,INDEX(Acceleration!$Q$4:$Q$110,MATCH('Track Data'!S2336,Acceleration!$K$4:$K$110,0)),'Track Data'!AG2336)),'Track Data'!U2336)</f>
        <v>4.1911719898474455</v>
      </c>
    </row>
    <row r="2337" spans="2:34" x14ac:dyDescent="0.25">
      <c r="B2337" s="16">
        <v>256.37400000000002</v>
      </c>
      <c r="C2337" s="16">
        <v>9607</v>
      </c>
      <c r="D2337" s="16">
        <v>2334</v>
      </c>
      <c r="E2337" s="113">
        <v>191</v>
      </c>
      <c r="F2337" s="113">
        <v>191.3</v>
      </c>
      <c r="G2337" s="113">
        <v>188.6</v>
      </c>
      <c r="H2337" s="113">
        <f t="shared" si="257"/>
        <v>52.388888888888886</v>
      </c>
      <c r="I2337" s="113">
        <v>9.6999999999999993</v>
      </c>
      <c r="J2337" s="113">
        <v>32.909999999999997</v>
      </c>
      <c r="K2337" s="113">
        <v>4.3</v>
      </c>
      <c r="L2337" s="185"/>
      <c r="M2337" s="16">
        <v>2334</v>
      </c>
      <c r="N2337" s="16">
        <f t="shared" si="259"/>
        <v>1.9313653992577954E-2</v>
      </c>
      <c r="O2337" s="16">
        <v>5</v>
      </c>
      <c r="P2337" s="16">
        <f t="shared" si="255"/>
        <v>8.1742160278745661</v>
      </c>
      <c r="Q2337" s="16">
        <f t="shared" si="260"/>
        <v>51.776841419251383</v>
      </c>
      <c r="R2337" s="113">
        <f t="shared" si="256"/>
        <v>319.54399999999998</v>
      </c>
      <c r="S2337" s="16">
        <f>IF(S2336=15800,15800,ROUND((((Q2337*60)/'Gearing Calculator'!$C$14)*'Track Data'!P2337),-2))</f>
        <v>12800</v>
      </c>
      <c r="T2337" s="16">
        <f t="shared" si="258"/>
        <v>4.1911719898474455</v>
      </c>
      <c r="U2337" s="16">
        <f>IF(AC2337=100,Braking!$AG$2354,IF(AC2337=50,Braking!$AG$1179,IF(AC2337=75,Braking!$AG$1767,0)))</f>
        <v>0</v>
      </c>
      <c r="V2337" s="16">
        <f>0.5*'Gearing Calculator'!$C$15*'Gearing Calculator'!$C$20*'Gearing Calculator'!$W$20*('Track Data'!Q2337^2)</f>
        <v>283.74024397037965</v>
      </c>
      <c r="W2337" s="16">
        <f>('Gearing Calculator'!$U$9*'Track Data'!T2337)+'Track Data'!V2337</f>
        <v>1399.4302276677697</v>
      </c>
      <c r="X2337" s="16">
        <f>('Gearing Calculator'!$U$9*9.81)*('Gearing Calculator'!$U$16/'Gearing Calculator'!$C$7)-(('Track Data'!W2337)*('Gearing Calculator'!$U$17/'Gearing Calculator'!$C$7))</f>
        <v>638.37725360655008</v>
      </c>
      <c r="Y2337" s="16">
        <f>('Gearing Calculator'!$U$9*9.81)*(('Gearing Calculator'!$C$7-'Gearing Calculator'!$U$16)/'Gearing Calculator'!$C$7)+(('Track Data'!W2337)*('Gearing Calculator'!$U$17/'Gearing Calculator'!$C$7))</f>
        <v>1973.0447463934499</v>
      </c>
      <c r="Z2337" s="16">
        <f>((X2337*COS('Gearing Calculator'!$C$21))/'Gearing Calculator'!$C$22)/2</f>
        <v>19.736605666278777</v>
      </c>
      <c r="AA2337" s="16">
        <f>Y2337/'Gearing Calculator'!$C$24</f>
        <v>27.550322342864479</v>
      </c>
      <c r="AB2337" s="16">
        <f t="shared" si="254"/>
        <v>304.69610391961686</v>
      </c>
      <c r="AC2337" s="16">
        <v>0</v>
      </c>
      <c r="AD2337" s="16">
        <v>0</v>
      </c>
      <c r="AE2337" s="16">
        <v>2334</v>
      </c>
      <c r="AF2337" s="16">
        <f>IF(AC2337=0,IF(O2337=6,INDEX(Acceleration!$V$4:$V$110,MATCH('Track Data'!S2337,Acceleration!$K$4:$K$110,0)),IF('Track Data'!O2337=5,INDEX(Acceleration!$U$4:$U$110,MATCH('Track Data'!S2337,Acceleration!$K$4:$K$110,0)),1)),U2337)</f>
        <v>4.1911719898474455</v>
      </c>
      <c r="AG2337" s="16">
        <f>IF(AC2337=0,IF(O2337=4,INDEX(Acceleration!$T$4:$T$110,MATCH('Track Data'!S2337,Acceleration!$K$4:$K$110,0)),IF('Track Data'!O2337=3,INDEX(Acceleration!$S$4:$S$110,MATCH('Track Data'!S2337,Acceleration!$K$4:$K$110,0)),'Track Data'!AF2337)),'Track Data'!U2337)</f>
        <v>4.1911719898474455</v>
      </c>
      <c r="AH2337" s="16">
        <f>IF(AC2337=0,IF(O2337=2,INDEX(Acceleration!$R$4:$R$110,MATCH('Track Data'!S2337,Acceleration!$K$4:$K$110,0)),IF('Track Data'!O2337=1,INDEX(Acceleration!$Q$4:$Q$110,MATCH('Track Data'!S2337,Acceleration!$K$4:$K$110,0)),'Track Data'!AG2337)),'Track Data'!U2337)</f>
        <v>4.1911719898474455</v>
      </c>
    </row>
    <row r="2338" spans="2:34" x14ac:dyDescent="0.25">
      <c r="B2338" s="16">
        <v>256.392</v>
      </c>
      <c r="C2338" s="16">
        <v>9608</v>
      </c>
      <c r="D2338" s="16">
        <v>2335</v>
      </c>
      <c r="E2338" s="113">
        <v>192</v>
      </c>
      <c r="F2338" s="113">
        <v>190.9</v>
      </c>
      <c r="G2338" s="113">
        <v>188.8</v>
      </c>
      <c r="H2338" s="113">
        <f t="shared" si="257"/>
        <v>52.444444444444443</v>
      </c>
      <c r="I2338" s="113">
        <v>8.1999999999999993</v>
      </c>
      <c r="J2338" s="113">
        <v>32.770000000000003</v>
      </c>
      <c r="K2338" s="113">
        <v>5.3</v>
      </c>
      <c r="L2338" s="185"/>
      <c r="M2338" s="16">
        <v>2335</v>
      </c>
      <c r="N2338" s="16">
        <f t="shared" si="259"/>
        <v>1.9283530048747957E-2</v>
      </c>
      <c r="O2338" s="16">
        <v>5</v>
      </c>
      <c r="P2338" s="16">
        <f t="shared" si="255"/>
        <v>8.1742160278745661</v>
      </c>
      <c r="Q2338" s="16">
        <f t="shared" si="260"/>
        <v>51.857725088302907</v>
      </c>
      <c r="R2338" s="113">
        <f t="shared" si="256"/>
        <v>319.54399999999998</v>
      </c>
      <c r="S2338" s="16">
        <f>IF(S2337=15800,15800,ROUND((((Q2338*60)/'Gearing Calculator'!$C$14)*'Track Data'!P2338),-2))</f>
        <v>12900</v>
      </c>
      <c r="T2338" s="16">
        <f t="shared" si="258"/>
        <v>4.1645564485137276</v>
      </c>
      <c r="U2338" s="16">
        <f>IF(AC2338=100,Braking!$AG$2354,IF(AC2338=50,Braking!$AG$1179,IF(AC2338=75,Braking!$AG$1767,0)))</f>
        <v>0</v>
      </c>
      <c r="V2338" s="16">
        <f>0.5*'Gearing Calculator'!$C$15*'Gearing Calculator'!$C$20*'Gearing Calculator'!$W$20*('Track Data'!Q2338^2)</f>
        <v>284.62743125719061</v>
      </c>
      <c r="W2338" s="16">
        <f>('Gearing Calculator'!$U$9*'Track Data'!T2338)+'Track Data'!V2338</f>
        <v>1393.232357851545</v>
      </c>
      <c r="X2338" s="16">
        <f>('Gearing Calculator'!$U$9*9.81)*('Gearing Calculator'!$U$16/'Gearing Calculator'!$C$7)-(('Track Data'!W2338)*('Gearing Calculator'!$U$17/'Gearing Calculator'!$C$7))</f>
        <v>641.75551593205978</v>
      </c>
      <c r="Y2338" s="16">
        <f>('Gearing Calculator'!$U$9*9.81)*(('Gearing Calculator'!$C$7-'Gearing Calculator'!$U$16)/'Gearing Calculator'!$C$7)+(('Track Data'!W2338)*('Gearing Calculator'!$U$17/'Gearing Calculator'!$C$7))</f>
        <v>1969.6664840679402</v>
      </c>
      <c r="Z2338" s="16">
        <f>((X2338*COS('Gearing Calculator'!$C$21))/'Gearing Calculator'!$C$22)/2</f>
        <v>19.841050852850106</v>
      </c>
      <c r="AA2338" s="16">
        <f>Y2338/'Gearing Calculator'!$C$24</f>
        <v>27.503150469952487</v>
      </c>
      <c r="AB2338" s="16">
        <f t="shared" si="254"/>
        <v>305.45021349975923</v>
      </c>
      <c r="AC2338" s="16">
        <v>0</v>
      </c>
      <c r="AD2338" s="16">
        <v>0</v>
      </c>
      <c r="AE2338" s="16">
        <v>2335</v>
      </c>
      <c r="AF2338" s="16">
        <f>IF(AC2338=0,IF(O2338=6,INDEX(Acceleration!$V$4:$V$110,MATCH('Track Data'!S2338,Acceleration!$K$4:$K$110,0)),IF('Track Data'!O2338=5,INDEX(Acceleration!$U$4:$U$110,MATCH('Track Data'!S2338,Acceleration!$K$4:$K$110,0)),1)),U2338)</f>
        <v>4.1645564485137276</v>
      </c>
      <c r="AG2338" s="16">
        <f>IF(AC2338=0,IF(O2338=4,INDEX(Acceleration!$T$4:$T$110,MATCH('Track Data'!S2338,Acceleration!$K$4:$K$110,0)),IF('Track Data'!O2338=3,INDEX(Acceleration!$S$4:$S$110,MATCH('Track Data'!S2338,Acceleration!$K$4:$K$110,0)),'Track Data'!AF2338)),'Track Data'!U2338)</f>
        <v>4.1645564485137276</v>
      </c>
      <c r="AH2338" s="16">
        <f>IF(AC2338=0,IF(O2338=2,INDEX(Acceleration!$R$4:$R$110,MATCH('Track Data'!S2338,Acceleration!$K$4:$K$110,0)),IF('Track Data'!O2338=1,INDEX(Acceleration!$Q$4:$Q$110,MATCH('Track Data'!S2338,Acceleration!$K$4:$K$110,0)),'Track Data'!AG2338)),'Track Data'!U2338)</f>
        <v>4.1645564485137276</v>
      </c>
    </row>
    <row r="2339" spans="2:34" x14ac:dyDescent="0.25">
      <c r="B2339" s="16">
        <v>256.411</v>
      </c>
      <c r="C2339" s="16">
        <v>9609</v>
      </c>
      <c r="D2339" s="16">
        <v>2336</v>
      </c>
      <c r="E2339" s="113">
        <v>191</v>
      </c>
      <c r="F2339" s="113">
        <v>191.3</v>
      </c>
      <c r="G2339" s="113">
        <v>189.1</v>
      </c>
      <c r="H2339" s="113">
        <f t="shared" si="257"/>
        <v>52.527777777777771</v>
      </c>
      <c r="I2339" s="113">
        <v>9.6999999999999993</v>
      </c>
      <c r="J2339" s="113">
        <v>27.62</v>
      </c>
      <c r="K2339" s="113">
        <v>4.5999999999999996</v>
      </c>
      <c r="L2339" s="185"/>
      <c r="M2339" s="16">
        <v>2336</v>
      </c>
      <c r="N2339" s="16">
        <f t="shared" si="259"/>
        <v>1.9253736586792504E-2</v>
      </c>
      <c r="O2339" s="16">
        <v>5</v>
      </c>
      <c r="P2339" s="16">
        <f t="shared" si="255"/>
        <v>8.1742160278745661</v>
      </c>
      <c r="Q2339" s="16">
        <f t="shared" si="260"/>
        <v>51.937970351478192</v>
      </c>
      <c r="R2339" s="113">
        <f t="shared" si="256"/>
        <v>319.54399999999998</v>
      </c>
      <c r="S2339" s="16">
        <f>IF(S2338=15800,15800,ROUND((((Q2339*60)/'Gearing Calculator'!$C$14)*'Track Data'!P2339),-2))</f>
        <v>12900</v>
      </c>
      <c r="T2339" s="16">
        <f t="shared" si="258"/>
        <v>4.1645564485137276</v>
      </c>
      <c r="U2339" s="16">
        <f>IF(AC2339=100,Braking!$AG$2354,IF(AC2339=50,Braking!$AG$1179,IF(AC2339=75,Braking!$AG$1767,0)))</f>
        <v>0</v>
      </c>
      <c r="V2339" s="16">
        <f>0.5*'Gearing Calculator'!$C$15*'Gearing Calculator'!$C$20*'Gearing Calculator'!$W$20*('Track Data'!Q2339^2)</f>
        <v>285.50898456621195</v>
      </c>
      <c r="W2339" s="16">
        <f>('Gearing Calculator'!$U$9*'Track Data'!T2339)+'Track Data'!V2339</f>
        <v>1394.1139111605662</v>
      </c>
      <c r="X2339" s="16">
        <f>('Gearing Calculator'!$U$9*9.81)*('Gearing Calculator'!$U$16/'Gearing Calculator'!$C$7)-(('Track Data'!W2339)*('Gearing Calculator'!$U$17/'Gearing Calculator'!$C$7))</f>
        <v>641.27500917407679</v>
      </c>
      <c r="Y2339" s="16">
        <f>('Gearing Calculator'!$U$9*9.81)*(('Gearing Calculator'!$C$7-'Gearing Calculator'!$U$16)/'Gearing Calculator'!$C$7)+(('Track Data'!W2339)*('Gearing Calculator'!$U$17/'Gearing Calculator'!$C$7))</f>
        <v>1970.1469908259232</v>
      </c>
      <c r="Z2339" s="16">
        <f>((X2339*COS('Gearing Calculator'!$C$21))/'Gearing Calculator'!$C$22)/2</f>
        <v>19.826195103606672</v>
      </c>
      <c r="AA2339" s="16">
        <f>Y2339/'Gearing Calculator'!$C$24</f>
        <v>27.509859955935791</v>
      </c>
      <c r="AB2339" s="16">
        <f t="shared" si="254"/>
        <v>306.33176680878057</v>
      </c>
      <c r="AC2339" s="16">
        <v>0</v>
      </c>
      <c r="AD2339" s="16">
        <v>0</v>
      </c>
      <c r="AE2339" s="16">
        <v>2336</v>
      </c>
      <c r="AF2339" s="16">
        <f>IF(AC2339=0,IF(O2339=6,INDEX(Acceleration!$V$4:$V$110,MATCH('Track Data'!S2339,Acceleration!$K$4:$K$110,0)),IF('Track Data'!O2339=5,INDEX(Acceleration!$U$4:$U$110,MATCH('Track Data'!S2339,Acceleration!$K$4:$K$110,0)),1)),U2339)</f>
        <v>4.1645564485137276</v>
      </c>
      <c r="AG2339" s="16">
        <f>IF(AC2339=0,IF(O2339=4,INDEX(Acceleration!$T$4:$T$110,MATCH('Track Data'!S2339,Acceleration!$K$4:$K$110,0)),IF('Track Data'!O2339=3,INDEX(Acceleration!$S$4:$S$110,MATCH('Track Data'!S2339,Acceleration!$K$4:$K$110,0)),'Track Data'!AF2339)),'Track Data'!U2339)</f>
        <v>4.1645564485137276</v>
      </c>
      <c r="AH2339" s="16">
        <f>IF(AC2339=0,IF(O2339=2,INDEX(Acceleration!$R$4:$R$110,MATCH('Track Data'!S2339,Acceleration!$K$4:$K$110,0)),IF('Track Data'!O2339=1,INDEX(Acceleration!$Q$4:$Q$110,MATCH('Track Data'!S2339,Acceleration!$K$4:$K$110,0)),'Track Data'!AG2339)),'Track Data'!U2339)</f>
        <v>4.1645564485137276</v>
      </c>
    </row>
    <row r="2340" spans="2:34" x14ac:dyDescent="0.25">
      <c r="B2340" s="16">
        <v>256.43</v>
      </c>
      <c r="C2340" s="16">
        <v>9610</v>
      </c>
      <c r="D2340" s="16">
        <v>2337</v>
      </c>
      <c r="E2340" s="113">
        <v>190</v>
      </c>
      <c r="F2340" s="113">
        <v>191.9</v>
      </c>
      <c r="G2340" s="113">
        <v>189.3</v>
      </c>
      <c r="H2340" s="113">
        <f t="shared" si="257"/>
        <v>52.583333333333336</v>
      </c>
      <c r="I2340" s="113">
        <v>11.1</v>
      </c>
      <c r="J2340" s="113">
        <v>25.16</v>
      </c>
      <c r="K2340" s="113">
        <v>3.2</v>
      </c>
      <c r="L2340" s="185"/>
      <c r="M2340" s="16">
        <v>2337</v>
      </c>
      <c r="N2340" s="16">
        <f t="shared" si="259"/>
        <v>1.9224080794075289E-2</v>
      </c>
      <c r="O2340" s="16">
        <v>5</v>
      </c>
      <c r="P2340" s="16">
        <f t="shared" si="255"/>
        <v>8.1742160278745661</v>
      </c>
      <c r="Q2340" s="16">
        <f t="shared" si="260"/>
        <v>52.01809182513383</v>
      </c>
      <c r="R2340" s="113">
        <f t="shared" si="256"/>
        <v>319.54399999999998</v>
      </c>
      <c r="S2340" s="16">
        <f>IF(S2339=15800,15800,ROUND((((Q2340*60)/'Gearing Calculator'!$C$14)*'Track Data'!P2340),-2))</f>
        <v>12900</v>
      </c>
      <c r="T2340" s="16">
        <f t="shared" si="258"/>
        <v>4.1645564485137276</v>
      </c>
      <c r="U2340" s="16">
        <f>IF(AC2340=100,Braking!$AG$2354,IF(AC2340=50,Braking!$AG$1179,IF(AC2340=75,Braking!$AG$1767,0)))</f>
        <v>0</v>
      </c>
      <c r="V2340" s="16">
        <f>0.5*'Gearing Calculator'!$C$15*'Gearing Calculator'!$C$20*'Gearing Calculator'!$W$20*('Track Data'!Q2340^2)</f>
        <v>286.39053787523329</v>
      </c>
      <c r="W2340" s="16">
        <f>('Gearing Calculator'!$U$9*'Track Data'!T2340)+'Track Data'!V2340</f>
        <v>1394.9954644695877</v>
      </c>
      <c r="X2340" s="16">
        <f>('Gearing Calculator'!$U$9*9.81)*('Gearing Calculator'!$U$16/'Gearing Calculator'!$C$7)-(('Track Data'!W2340)*('Gearing Calculator'!$U$17/'Gearing Calculator'!$C$7))</f>
        <v>640.79450241609368</v>
      </c>
      <c r="Y2340" s="16">
        <f>('Gearing Calculator'!$U$9*9.81)*(('Gearing Calculator'!$C$7-'Gearing Calculator'!$U$16)/'Gearing Calculator'!$C$7)+(('Track Data'!W2340)*('Gearing Calculator'!$U$17/'Gearing Calculator'!$C$7))</f>
        <v>1970.6274975839065</v>
      </c>
      <c r="Z2340" s="16">
        <f>((X2340*COS('Gearing Calculator'!$C$21))/'Gearing Calculator'!$C$22)/2</f>
        <v>19.811339354363227</v>
      </c>
      <c r="AA2340" s="16">
        <f>Y2340/'Gearing Calculator'!$C$24</f>
        <v>27.516569441919096</v>
      </c>
      <c r="AB2340" s="16">
        <f t="shared" si="254"/>
        <v>307.21332011780191</v>
      </c>
      <c r="AC2340" s="16">
        <v>0</v>
      </c>
      <c r="AD2340" s="16">
        <v>0</v>
      </c>
      <c r="AE2340" s="16">
        <v>2337</v>
      </c>
      <c r="AF2340" s="16">
        <f>IF(AC2340=0,IF(O2340=6,INDEX(Acceleration!$V$4:$V$110,MATCH('Track Data'!S2340,Acceleration!$K$4:$K$110,0)),IF('Track Data'!O2340=5,INDEX(Acceleration!$U$4:$U$110,MATCH('Track Data'!S2340,Acceleration!$K$4:$K$110,0)),1)),U2340)</f>
        <v>4.1645564485137276</v>
      </c>
      <c r="AG2340" s="16">
        <f>IF(AC2340=0,IF(O2340=4,INDEX(Acceleration!$T$4:$T$110,MATCH('Track Data'!S2340,Acceleration!$K$4:$K$110,0)),IF('Track Data'!O2340=3,INDEX(Acceleration!$S$4:$S$110,MATCH('Track Data'!S2340,Acceleration!$K$4:$K$110,0)),'Track Data'!AF2340)),'Track Data'!U2340)</f>
        <v>4.1645564485137276</v>
      </c>
      <c r="AH2340" s="16">
        <f>IF(AC2340=0,IF(O2340=2,INDEX(Acceleration!$R$4:$R$110,MATCH('Track Data'!S2340,Acceleration!$K$4:$K$110,0)),IF('Track Data'!O2340=1,INDEX(Acceleration!$Q$4:$Q$110,MATCH('Track Data'!S2340,Acceleration!$K$4:$K$110,0)),'Track Data'!AG2340)),'Track Data'!U2340)</f>
        <v>4.1645564485137276</v>
      </c>
    </row>
    <row r="2341" spans="2:34" x14ac:dyDescent="0.25">
      <c r="B2341" s="16">
        <v>256.44900000000001</v>
      </c>
      <c r="C2341" s="16">
        <v>9611</v>
      </c>
      <c r="D2341" s="16">
        <v>2338</v>
      </c>
      <c r="E2341" s="113">
        <v>190</v>
      </c>
      <c r="F2341" s="113">
        <v>192</v>
      </c>
      <c r="G2341" s="113">
        <v>189.4</v>
      </c>
      <c r="H2341" s="113">
        <f t="shared" si="257"/>
        <v>52.611111111111114</v>
      </c>
      <c r="I2341" s="113">
        <v>11</v>
      </c>
      <c r="J2341" s="113">
        <v>24.64</v>
      </c>
      <c r="K2341" s="113">
        <v>2.5</v>
      </c>
      <c r="L2341" s="185"/>
      <c r="M2341" s="16">
        <v>2338</v>
      </c>
      <c r="N2341" s="16">
        <f t="shared" si="259"/>
        <v>1.9194561613618259E-2</v>
      </c>
      <c r="O2341" s="16">
        <v>5</v>
      </c>
      <c r="P2341" s="16">
        <f t="shared" si="255"/>
        <v>8.1742160278745661</v>
      </c>
      <c r="Q2341" s="16">
        <f t="shared" si="260"/>
        <v>52.098090080396247</v>
      </c>
      <c r="R2341" s="113">
        <f t="shared" si="256"/>
        <v>319.54399999999998</v>
      </c>
      <c r="S2341" s="16">
        <f>IF(S2340=15800,15800,ROUND((((Q2341*60)/'Gearing Calculator'!$C$14)*'Track Data'!P2341),-2))</f>
        <v>12900</v>
      </c>
      <c r="T2341" s="16">
        <f t="shared" si="258"/>
        <v>4.1645564485137276</v>
      </c>
      <c r="U2341" s="16">
        <f>IF(AC2341=100,Braking!$AG$2354,IF(AC2341=50,Braking!$AG$1179,IF(AC2341=75,Braking!$AG$1767,0)))</f>
        <v>0</v>
      </c>
      <c r="V2341" s="16">
        <f>0.5*'Gearing Calculator'!$C$15*'Gearing Calculator'!$C$20*'Gearing Calculator'!$W$20*('Track Data'!Q2341^2)</f>
        <v>287.27209118425463</v>
      </c>
      <c r="W2341" s="16">
        <f>('Gearing Calculator'!$U$9*'Track Data'!T2341)+'Track Data'!V2341</f>
        <v>1395.8770177786089</v>
      </c>
      <c r="X2341" s="16">
        <f>('Gearing Calculator'!$U$9*9.81)*('Gearing Calculator'!$U$16/'Gearing Calculator'!$C$7)-(('Track Data'!W2341)*('Gearing Calculator'!$U$17/'Gearing Calculator'!$C$7))</f>
        <v>640.31399565811068</v>
      </c>
      <c r="Y2341" s="16">
        <f>('Gearing Calculator'!$U$9*9.81)*(('Gearing Calculator'!$C$7-'Gearing Calculator'!$U$16)/'Gearing Calculator'!$C$7)+(('Track Data'!W2341)*('Gearing Calculator'!$U$17/'Gearing Calculator'!$C$7))</f>
        <v>1971.1080043418892</v>
      </c>
      <c r="Z2341" s="16">
        <f>((X2341*COS('Gearing Calculator'!$C$21))/'Gearing Calculator'!$C$22)/2</f>
        <v>19.796483605119796</v>
      </c>
      <c r="AA2341" s="16">
        <f>Y2341/'Gearing Calculator'!$C$24</f>
        <v>27.523278927902396</v>
      </c>
      <c r="AB2341" s="16">
        <f t="shared" si="254"/>
        <v>308.09487342682326</v>
      </c>
      <c r="AC2341" s="16">
        <v>0</v>
      </c>
      <c r="AD2341" s="16">
        <v>0</v>
      </c>
      <c r="AE2341" s="16">
        <v>2338</v>
      </c>
      <c r="AF2341" s="16">
        <f>IF(AC2341=0,IF(O2341=6,INDEX(Acceleration!$V$4:$V$110,MATCH('Track Data'!S2341,Acceleration!$K$4:$K$110,0)),IF('Track Data'!O2341=5,INDEX(Acceleration!$U$4:$U$110,MATCH('Track Data'!S2341,Acceleration!$K$4:$K$110,0)),1)),U2341)</f>
        <v>4.1645564485137276</v>
      </c>
      <c r="AG2341" s="16">
        <f>IF(AC2341=0,IF(O2341=4,INDEX(Acceleration!$T$4:$T$110,MATCH('Track Data'!S2341,Acceleration!$K$4:$K$110,0)),IF('Track Data'!O2341=3,INDEX(Acceleration!$S$4:$S$110,MATCH('Track Data'!S2341,Acceleration!$K$4:$K$110,0)),'Track Data'!AF2341)),'Track Data'!U2341)</f>
        <v>4.1645564485137276</v>
      </c>
      <c r="AH2341" s="16">
        <f>IF(AC2341=0,IF(O2341=2,INDEX(Acceleration!$R$4:$R$110,MATCH('Track Data'!S2341,Acceleration!$K$4:$K$110,0)),IF('Track Data'!O2341=1,INDEX(Acceleration!$Q$4:$Q$110,MATCH('Track Data'!S2341,Acceleration!$K$4:$K$110,0)),'Track Data'!AG2341)),'Track Data'!U2341)</f>
        <v>4.1645564485137276</v>
      </c>
    </row>
    <row r="2342" spans="2:34" x14ac:dyDescent="0.25">
      <c r="B2342" s="16">
        <v>256.46699999999998</v>
      </c>
      <c r="C2342" s="16">
        <v>9612</v>
      </c>
      <c r="D2342" s="16">
        <v>2339</v>
      </c>
      <c r="E2342" s="113">
        <v>192</v>
      </c>
      <c r="F2342" s="113">
        <v>191.7</v>
      </c>
      <c r="G2342" s="113">
        <v>189.7</v>
      </c>
      <c r="H2342" s="113">
        <f t="shared" si="257"/>
        <v>52.694444444444443</v>
      </c>
      <c r="I2342" s="113">
        <v>9.8000000000000007</v>
      </c>
      <c r="J2342" s="113">
        <v>25.91</v>
      </c>
      <c r="K2342" s="113">
        <v>1.1000000000000001</v>
      </c>
      <c r="L2342" s="185"/>
      <c r="M2342" s="16">
        <v>2339</v>
      </c>
      <c r="N2342" s="16">
        <f t="shared" si="259"/>
        <v>1.9165177999769752E-2</v>
      </c>
      <c r="O2342" s="16">
        <v>5</v>
      </c>
      <c r="P2342" s="16">
        <f t="shared" si="255"/>
        <v>8.1742160278745661</v>
      </c>
      <c r="Q2342" s="16">
        <f t="shared" si="260"/>
        <v>52.177965684013678</v>
      </c>
      <c r="R2342" s="113">
        <f t="shared" si="256"/>
        <v>319.54399999999998</v>
      </c>
      <c r="S2342" s="16">
        <f>IF(S2341=15800,15800,ROUND((((Q2342*60)/'Gearing Calculator'!$C$14)*'Track Data'!P2342),-2))</f>
        <v>12900</v>
      </c>
      <c r="T2342" s="16">
        <f t="shared" si="258"/>
        <v>4.1645564485137276</v>
      </c>
      <c r="U2342" s="16">
        <f>IF(AC2342=100,Braking!$AG$2354,IF(AC2342=50,Braking!$AG$1179,IF(AC2342=75,Braking!$AG$1767,0)))</f>
        <v>0</v>
      </c>
      <c r="V2342" s="16">
        <f>0.5*'Gearing Calculator'!$C$15*'Gearing Calculator'!$C$20*'Gearing Calculator'!$W$20*('Track Data'!Q2342^2)</f>
        <v>288.15364449327598</v>
      </c>
      <c r="W2342" s="16">
        <f>('Gearing Calculator'!$U$9*'Track Data'!T2342)+'Track Data'!V2342</f>
        <v>1396.7585710876303</v>
      </c>
      <c r="X2342" s="16">
        <f>('Gearing Calculator'!$U$9*9.81)*('Gearing Calculator'!$U$16/'Gearing Calculator'!$C$7)-(('Track Data'!W2342)*('Gearing Calculator'!$U$17/'Gearing Calculator'!$C$7))</f>
        <v>639.83348890012746</v>
      </c>
      <c r="Y2342" s="16">
        <f>('Gearing Calculator'!$U$9*9.81)*(('Gearing Calculator'!$C$7-'Gearing Calculator'!$U$16)/'Gearing Calculator'!$C$7)+(('Track Data'!W2342)*('Gearing Calculator'!$U$17/'Gearing Calculator'!$C$7))</f>
        <v>1971.5885110998724</v>
      </c>
      <c r="Z2342" s="16">
        <f>((X2342*COS('Gearing Calculator'!$C$21))/'Gearing Calculator'!$C$22)/2</f>
        <v>19.781627855876351</v>
      </c>
      <c r="AA2342" s="16">
        <f>Y2342/'Gearing Calculator'!$C$24</f>
        <v>27.5299884138857</v>
      </c>
      <c r="AB2342" s="16">
        <f t="shared" si="254"/>
        <v>308.9764267358446</v>
      </c>
      <c r="AC2342" s="16">
        <v>0</v>
      </c>
      <c r="AD2342" s="16">
        <v>0</v>
      </c>
      <c r="AE2342" s="16">
        <v>2339</v>
      </c>
      <c r="AF2342" s="16">
        <f>IF(AC2342=0,IF(O2342=6,INDEX(Acceleration!$V$4:$V$110,MATCH('Track Data'!S2342,Acceleration!$K$4:$K$110,0)),IF('Track Data'!O2342=5,INDEX(Acceleration!$U$4:$U$110,MATCH('Track Data'!S2342,Acceleration!$K$4:$K$110,0)),1)),U2342)</f>
        <v>4.1645564485137276</v>
      </c>
      <c r="AG2342" s="16">
        <f>IF(AC2342=0,IF(O2342=4,INDEX(Acceleration!$T$4:$T$110,MATCH('Track Data'!S2342,Acceleration!$K$4:$K$110,0)),IF('Track Data'!O2342=3,INDEX(Acceleration!$S$4:$S$110,MATCH('Track Data'!S2342,Acceleration!$K$4:$K$110,0)),'Track Data'!AF2342)),'Track Data'!U2342)</f>
        <v>4.1645564485137276</v>
      </c>
      <c r="AH2342" s="16">
        <f>IF(AC2342=0,IF(O2342=2,INDEX(Acceleration!$R$4:$R$110,MATCH('Track Data'!S2342,Acceleration!$K$4:$K$110,0)),IF('Track Data'!O2342=1,INDEX(Acceleration!$Q$4:$Q$110,MATCH('Track Data'!S2342,Acceleration!$K$4:$K$110,0)),'Track Data'!AG2342)),'Track Data'!U2342)</f>
        <v>4.1645564485137276</v>
      </c>
    </row>
    <row r="2343" spans="2:34" x14ac:dyDescent="0.25">
      <c r="B2343" s="16">
        <v>256.48599999999999</v>
      </c>
      <c r="C2343" s="16">
        <v>9613</v>
      </c>
      <c r="D2343" s="16">
        <v>2340</v>
      </c>
      <c r="E2343" s="113">
        <v>193</v>
      </c>
      <c r="F2343" s="113">
        <v>191.5</v>
      </c>
      <c r="G2343" s="113">
        <v>189.9</v>
      </c>
      <c r="H2343" s="113">
        <f t="shared" si="257"/>
        <v>52.75</v>
      </c>
      <c r="I2343" s="113">
        <v>8.3000000000000007</v>
      </c>
      <c r="J2343" s="113">
        <v>28.57</v>
      </c>
      <c r="K2343" s="113">
        <v>0.1</v>
      </c>
      <c r="L2343" s="185"/>
      <c r="M2343" s="16">
        <v>2340</v>
      </c>
      <c r="N2343" s="16">
        <f t="shared" si="259"/>
        <v>1.9135928918048922E-2</v>
      </c>
      <c r="O2343" s="16">
        <v>5</v>
      </c>
      <c r="P2343" s="16">
        <f t="shared" si="255"/>
        <v>8.1742160278745661</v>
      </c>
      <c r="Q2343" s="16">
        <f t="shared" si="260"/>
        <v>52.257719198402988</v>
      </c>
      <c r="R2343" s="113">
        <f t="shared" si="256"/>
        <v>319.54399999999998</v>
      </c>
      <c r="S2343" s="16">
        <f>IF(S2342=15800,15800,ROUND((((Q2343*60)/'Gearing Calculator'!$C$14)*'Track Data'!P2343),-2))</f>
        <v>13000</v>
      </c>
      <c r="T2343" s="16">
        <f t="shared" si="258"/>
        <v>4.1158808584723294</v>
      </c>
      <c r="U2343" s="16">
        <f>IF(AC2343=100,Braking!$AG$2354,IF(AC2343=50,Braking!$AG$1179,IF(AC2343=75,Braking!$AG$1767,0)))</f>
        <v>0</v>
      </c>
      <c r="V2343" s="16">
        <f>0.5*'Gearing Calculator'!$C$15*'Gearing Calculator'!$C$20*'Gearing Calculator'!$W$20*('Track Data'!Q2343^2)</f>
        <v>289.03519780229732</v>
      </c>
      <c r="W2343" s="16">
        <f>('Gearing Calculator'!$U$9*'Track Data'!T2343)+'Track Data'!V2343</f>
        <v>1384.6826823276313</v>
      </c>
      <c r="X2343" s="16">
        <f>('Gearing Calculator'!$U$9*9.81)*('Gearing Calculator'!$U$16/'Gearing Calculator'!$C$7)-(('Track Data'!W2343)*('Gearing Calculator'!$U$17/'Gearing Calculator'!$C$7))</f>
        <v>646.41567298185146</v>
      </c>
      <c r="Y2343" s="16">
        <f>('Gearing Calculator'!$U$9*9.81)*(('Gearing Calculator'!$C$7-'Gearing Calculator'!$U$16)/'Gearing Calculator'!$C$7)+(('Track Data'!W2343)*('Gearing Calculator'!$U$17/'Gearing Calculator'!$C$7))</f>
        <v>1965.0063270181486</v>
      </c>
      <c r="Z2343" s="16">
        <f>((X2343*COS('Gearing Calculator'!$C$21))/'Gearing Calculator'!$C$22)/2</f>
        <v>19.985128170008647</v>
      </c>
      <c r="AA2343" s="16">
        <f>Y2343/'Gearing Calculator'!$C$24</f>
        <v>27.438079047155401</v>
      </c>
      <c r="AB2343" s="16">
        <f t="shared" si="254"/>
        <v>309.61460209465895</v>
      </c>
      <c r="AC2343" s="16">
        <v>0</v>
      </c>
      <c r="AD2343" s="16">
        <v>0</v>
      </c>
      <c r="AE2343" s="16">
        <v>2340</v>
      </c>
      <c r="AF2343" s="16">
        <f>IF(AC2343=0,IF(O2343=6,INDEX(Acceleration!$V$4:$V$110,MATCH('Track Data'!S2343,Acceleration!$K$4:$K$110,0)),IF('Track Data'!O2343=5,INDEX(Acceleration!$U$4:$U$110,MATCH('Track Data'!S2343,Acceleration!$K$4:$K$110,0)),1)),U2343)</f>
        <v>4.1158808584723294</v>
      </c>
      <c r="AG2343" s="16">
        <f>IF(AC2343=0,IF(O2343=4,INDEX(Acceleration!$T$4:$T$110,MATCH('Track Data'!S2343,Acceleration!$K$4:$K$110,0)),IF('Track Data'!O2343=3,INDEX(Acceleration!$S$4:$S$110,MATCH('Track Data'!S2343,Acceleration!$K$4:$K$110,0)),'Track Data'!AF2343)),'Track Data'!U2343)</f>
        <v>4.1158808584723294</v>
      </c>
      <c r="AH2343" s="16">
        <f>IF(AC2343=0,IF(O2343=2,INDEX(Acceleration!$R$4:$R$110,MATCH('Track Data'!S2343,Acceleration!$K$4:$K$110,0)),IF('Track Data'!O2343=1,INDEX(Acceleration!$Q$4:$Q$110,MATCH('Track Data'!S2343,Acceleration!$K$4:$K$110,0)),'Track Data'!AG2343)),'Track Data'!U2343)</f>
        <v>4.1158808584723294</v>
      </c>
    </row>
    <row r="2344" spans="2:34" x14ac:dyDescent="0.25">
      <c r="B2344" s="16">
        <v>256.505</v>
      </c>
      <c r="C2344" s="16">
        <v>9614</v>
      </c>
      <c r="D2344" s="16">
        <v>2341</v>
      </c>
      <c r="E2344" s="113">
        <v>192</v>
      </c>
      <c r="F2344" s="113">
        <v>191.6</v>
      </c>
      <c r="G2344" s="113">
        <v>190.1</v>
      </c>
      <c r="H2344" s="113">
        <f t="shared" si="257"/>
        <v>52.80555555555555</v>
      </c>
      <c r="I2344" s="113">
        <v>8.6</v>
      </c>
      <c r="J2344" s="113">
        <v>25.05</v>
      </c>
      <c r="K2344" s="113">
        <v>0.7</v>
      </c>
      <c r="L2344" s="185"/>
      <c r="M2344" s="16">
        <v>2341</v>
      </c>
      <c r="N2344" s="16">
        <f t="shared" si="259"/>
        <v>1.910715288236561E-2</v>
      </c>
      <c r="O2344" s="16">
        <v>5</v>
      </c>
      <c r="P2344" s="16">
        <f t="shared" si="255"/>
        <v>8.1742160278745661</v>
      </c>
      <c r="Q2344" s="16">
        <f t="shared" si="260"/>
        <v>52.336421138018991</v>
      </c>
      <c r="R2344" s="113">
        <f t="shared" si="256"/>
        <v>319.54399999999998</v>
      </c>
      <c r="S2344" s="16">
        <f>IF(S2343=15800,15800,ROUND((((Q2344*60)/'Gearing Calculator'!$C$14)*'Track Data'!P2344),-2))</f>
        <v>13000</v>
      </c>
      <c r="T2344" s="16">
        <f t="shared" si="258"/>
        <v>4.1158808584723294</v>
      </c>
      <c r="U2344" s="16">
        <f>IF(AC2344=100,Braking!$AG$2354,IF(AC2344=50,Braking!$AG$1179,IF(AC2344=75,Braking!$AG$1767,0)))</f>
        <v>0</v>
      </c>
      <c r="V2344" s="16">
        <f>0.5*'Gearing Calculator'!$C$15*'Gearing Calculator'!$C$20*'Gearing Calculator'!$W$20*('Track Data'!Q2344^2)</f>
        <v>289.90644746241878</v>
      </c>
      <c r="W2344" s="16">
        <f>('Gearing Calculator'!$U$9*'Track Data'!T2344)+'Track Data'!V2344</f>
        <v>1385.5539319877528</v>
      </c>
      <c r="X2344" s="16">
        <f>('Gearing Calculator'!$U$9*9.81)*('Gearing Calculator'!$U$16/'Gearing Calculator'!$C$7)-(('Track Data'!W2344)*('Gearing Calculator'!$U$17/'Gearing Calculator'!$C$7))</f>
        <v>645.94078241619343</v>
      </c>
      <c r="Y2344" s="16">
        <f>('Gearing Calculator'!$U$9*9.81)*(('Gearing Calculator'!$C$7-'Gearing Calculator'!$U$16)/'Gearing Calculator'!$C$7)+(('Track Data'!W2344)*('Gearing Calculator'!$U$17/'Gearing Calculator'!$C$7))</f>
        <v>1965.4812175838065</v>
      </c>
      <c r="Z2344" s="16">
        <f>((X2344*COS('Gearing Calculator'!$C$21))/'Gearing Calculator'!$C$22)/2</f>
        <v>19.970446055669395</v>
      </c>
      <c r="AA2344" s="16">
        <f>Y2344/'Gearing Calculator'!$C$24</f>
        <v>27.444710112256878</v>
      </c>
      <c r="AB2344" s="16">
        <f t="shared" si="254"/>
        <v>310.48585175478041</v>
      </c>
      <c r="AC2344" s="16">
        <v>0</v>
      </c>
      <c r="AD2344" s="16">
        <v>0</v>
      </c>
      <c r="AE2344" s="16">
        <v>2341</v>
      </c>
      <c r="AF2344" s="16">
        <f>IF(AC2344=0,IF(O2344=6,INDEX(Acceleration!$V$4:$V$110,MATCH('Track Data'!S2344,Acceleration!$K$4:$K$110,0)),IF('Track Data'!O2344=5,INDEX(Acceleration!$U$4:$U$110,MATCH('Track Data'!S2344,Acceleration!$K$4:$K$110,0)),1)),U2344)</f>
        <v>4.1158808584723294</v>
      </c>
      <c r="AG2344" s="16">
        <f>IF(AC2344=0,IF(O2344=4,INDEX(Acceleration!$T$4:$T$110,MATCH('Track Data'!S2344,Acceleration!$K$4:$K$110,0)),IF('Track Data'!O2344=3,INDEX(Acceleration!$S$4:$S$110,MATCH('Track Data'!S2344,Acceleration!$K$4:$K$110,0)),'Track Data'!AF2344)),'Track Data'!U2344)</f>
        <v>4.1158808584723294</v>
      </c>
      <c r="AH2344" s="16">
        <f>IF(AC2344=0,IF(O2344=2,INDEX(Acceleration!$R$4:$R$110,MATCH('Track Data'!S2344,Acceleration!$K$4:$K$110,0)),IF('Track Data'!O2344=1,INDEX(Acceleration!$Q$4:$Q$110,MATCH('Track Data'!S2344,Acceleration!$K$4:$K$110,0)),'Track Data'!AG2344)),'Track Data'!U2344)</f>
        <v>4.1158808584723294</v>
      </c>
    </row>
    <row r="2345" spans="2:34" x14ac:dyDescent="0.25">
      <c r="B2345" s="16">
        <v>256.524</v>
      </c>
      <c r="C2345" s="16">
        <v>9616</v>
      </c>
      <c r="D2345" s="16">
        <v>2342</v>
      </c>
      <c r="E2345" s="113">
        <v>192</v>
      </c>
      <c r="F2345" s="113">
        <v>191.6</v>
      </c>
      <c r="G2345" s="113">
        <v>190.3</v>
      </c>
      <c r="H2345" s="113">
        <f t="shared" si="257"/>
        <v>52.861111111111114</v>
      </c>
      <c r="I2345" s="113">
        <v>9.1999999999999993</v>
      </c>
      <c r="J2345" s="113">
        <v>20.25</v>
      </c>
      <c r="K2345" s="113">
        <v>1.4</v>
      </c>
      <c r="L2345" s="185"/>
      <c r="M2345" s="16">
        <v>2342</v>
      </c>
      <c r="N2345" s="16">
        <f t="shared" si="259"/>
        <v>1.9078506275086712E-2</v>
      </c>
      <c r="O2345" s="16">
        <v>5</v>
      </c>
      <c r="P2345" s="16">
        <f t="shared" si="255"/>
        <v>8.1742160278745661</v>
      </c>
      <c r="Q2345" s="16">
        <f t="shared" si="260"/>
        <v>52.415004905590024</v>
      </c>
      <c r="R2345" s="113">
        <f t="shared" si="256"/>
        <v>319.54399999999998</v>
      </c>
      <c r="S2345" s="16">
        <f>IF(S2344=15800,15800,ROUND((((Q2345*60)/'Gearing Calculator'!$C$14)*'Track Data'!P2345),-2))</f>
        <v>13000</v>
      </c>
      <c r="T2345" s="16">
        <f t="shared" si="258"/>
        <v>4.1158808584723294</v>
      </c>
      <c r="U2345" s="16">
        <f>IF(AC2345=100,Braking!$AG$2354,IF(AC2345=50,Braking!$AG$1179,IF(AC2345=75,Braking!$AG$1767,0)))</f>
        <v>0</v>
      </c>
      <c r="V2345" s="16">
        <f>0.5*'Gearing Calculator'!$C$15*'Gearing Calculator'!$C$20*'Gearing Calculator'!$W$20*('Track Data'!Q2345^2)</f>
        <v>290.7776971225403</v>
      </c>
      <c r="W2345" s="16">
        <f>('Gearing Calculator'!$U$9*'Track Data'!T2345)+'Track Data'!V2345</f>
        <v>1386.4251816478743</v>
      </c>
      <c r="X2345" s="16">
        <f>('Gearing Calculator'!$U$9*9.81)*('Gearing Calculator'!$U$16/'Gearing Calculator'!$C$7)-(('Track Data'!W2345)*('Gearing Calculator'!$U$17/'Gearing Calculator'!$C$7))</f>
        <v>645.4658918505354</v>
      </c>
      <c r="Y2345" s="16">
        <f>('Gearing Calculator'!$U$9*9.81)*(('Gearing Calculator'!$C$7-'Gearing Calculator'!$U$16)/'Gearing Calculator'!$C$7)+(('Track Data'!W2345)*('Gearing Calculator'!$U$17/'Gearing Calculator'!$C$7))</f>
        <v>1965.9561081494646</v>
      </c>
      <c r="Z2345" s="16">
        <f>((X2345*COS('Gearing Calculator'!$C$21))/'Gearing Calculator'!$C$22)/2</f>
        <v>19.95576394133014</v>
      </c>
      <c r="AA2345" s="16">
        <f>Y2345/'Gearing Calculator'!$C$24</f>
        <v>27.451341177358358</v>
      </c>
      <c r="AB2345" s="16">
        <f t="shared" si="254"/>
        <v>311.35710141490193</v>
      </c>
      <c r="AC2345" s="16">
        <v>0</v>
      </c>
      <c r="AD2345" s="16">
        <v>0</v>
      </c>
      <c r="AE2345" s="16">
        <v>2342</v>
      </c>
      <c r="AF2345" s="16">
        <f>IF(AC2345=0,IF(O2345=6,INDEX(Acceleration!$V$4:$V$110,MATCH('Track Data'!S2345,Acceleration!$K$4:$K$110,0)),IF('Track Data'!O2345=5,INDEX(Acceleration!$U$4:$U$110,MATCH('Track Data'!S2345,Acceleration!$K$4:$K$110,0)),1)),U2345)</f>
        <v>4.1158808584723294</v>
      </c>
      <c r="AG2345" s="16">
        <f>IF(AC2345=0,IF(O2345=4,INDEX(Acceleration!$T$4:$T$110,MATCH('Track Data'!S2345,Acceleration!$K$4:$K$110,0)),IF('Track Data'!O2345=3,INDEX(Acceleration!$S$4:$S$110,MATCH('Track Data'!S2345,Acceleration!$K$4:$K$110,0)),'Track Data'!AF2345)),'Track Data'!U2345)</f>
        <v>4.1158808584723294</v>
      </c>
      <c r="AH2345" s="16">
        <f>IF(AC2345=0,IF(O2345=2,INDEX(Acceleration!$R$4:$R$110,MATCH('Track Data'!S2345,Acceleration!$K$4:$K$110,0)),IF('Track Data'!O2345=1,INDEX(Acceleration!$Q$4:$Q$110,MATCH('Track Data'!S2345,Acceleration!$K$4:$K$110,0)),'Track Data'!AG2345)),'Track Data'!U2345)</f>
        <v>4.1158808584723294</v>
      </c>
    </row>
    <row r="2346" spans="2:34" x14ac:dyDescent="0.25">
      <c r="B2346" s="16">
        <v>256.54300000000001</v>
      </c>
      <c r="C2346" s="16">
        <v>9616</v>
      </c>
      <c r="D2346" s="16">
        <v>2343</v>
      </c>
      <c r="E2346" s="113">
        <v>193</v>
      </c>
      <c r="F2346" s="113">
        <v>191.7</v>
      </c>
      <c r="G2346" s="113">
        <v>190.6</v>
      </c>
      <c r="H2346" s="113">
        <f t="shared" si="257"/>
        <v>52.944444444444443</v>
      </c>
      <c r="I2346" s="113">
        <v>8.1999999999999993</v>
      </c>
      <c r="J2346" s="113">
        <v>21.32</v>
      </c>
      <c r="K2346" s="113">
        <v>2</v>
      </c>
      <c r="L2346" s="185"/>
      <c r="M2346" s="16">
        <v>2343</v>
      </c>
      <c r="N2346" s="16">
        <f t="shared" si="259"/>
        <v>1.9049988128877343E-2</v>
      </c>
      <c r="O2346" s="16">
        <v>5</v>
      </c>
      <c r="P2346" s="16">
        <f t="shared" si="255"/>
        <v>8.1742160278745661</v>
      </c>
      <c r="Q2346" s="16">
        <f t="shared" si="260"/>
        <v>52.493471031833771</v>
      </c>
      <c r="R2346" s="113">
        <f t="shared" si="256"/>
        <v>319.54399999999998</v>
      </c>
      <c r="S2346" s="16">
        <f>IF(S2345=15800,15800,ROUND((((Q2346*60)/'Gearing Calculator'!$C$14)*'Track Data'!P2346),-2))</f>
        <v>13000</v>
      </c>
      <c r="T2346" s="16">
        <f t="shared" si="258"/>
        <v>4.1158808584723294</v>
      </c>
      <c r="U2346" s="16">
        <f>IF(AC2346=100,Braking!$AG$2354,IF(AC2346=50,Braking!$AG$1179,IF(AC2346=75,Braking!$AG$1767,0)))</f>
        <v>0</v>
      </c>
      <c r="V2346" s="16">
        <f>0.5*'Gearing Calculator'!$C$15*'Gearing Calculator'!$C$20*'Gearing Calculator'!$W$20*('Track Data'!Q2346^2)</f>
        <v>291.64894678266171</v>
      </c>
      <c r="W2346" s="16">
        <f>('Gearing Calculator'!$U$9*'Track Data'!T2346)+'Track Data'!V2346</f>
        <v>1387.2964313079956</v>
      </c>
      <c r="X2346" s="16">
        <f>('Gearing Calculator'!$U$9*9.81)*('Gearing Calculator'!$U$16/'Gearing Calculator'!$C$7)-(('Track Data'!W2346)*('Gearing Calculator'!$U$17/'Gearing Calculator'!$C$7))</f>
        <v>644.99100128487748</v>
      </c>
      <c r="Y2346" s="16">
        <f>('Gearing Calculator'!$U$9*9.81)*(('Gearing Calculator'!$C$7-'Gearing Calculator'!$U$16)/'Gearing Calculator'!$C$7)+(('Track Data'!W2346)*('Gearing Calculator'!$U$17/'Gearing Calculator'!$C$7))</f>
        <v>1966.4309987151225</v>
      </c>
      <c r="Z2346" s="16">
        <f>((X2346*COS('Gearing Calculator'!$C$21))/'Gearing Calculator'!$C$22)/2</f>
        <v>19.941081826990892</v>
      </c>
      <c r="AA2346" s="16">
        <f>Y2346/'Gearing Calculator'!$C$24</f>
        <v>27.457972242459835</v>
      </c>
      <c r="AB2346" s="16">
        <f t="shared" si="254"/>
        <v>312.22835107502334</v>
      </c>
      <c r="AC2346" s="16">
        <v>0</v>
      </c>
      <c r="AD2346" s="16">
        <v>0</v>
      </c>
      <c r="AE2346" s="16">
        <v>2343</v>
      </c>
      <c r="AF2346" s="16">
        <f>IF(AC2346=0,IF(O2346=6,INDEX(Acceleration!$V$4:$V$110,MATCH('Track Data'!S2346,Acceleration!$K$4:$K$110,0)),IF('Track Data'!O2346=5,INDEX(Acceleration!$U$4:$U$110,MATCH('Track Data'!S2346,Acceleration!$K$4:$K$110,0)),1)),U2346)</f>
        <v>4.1158808584723294</v>
      </c>
      <c r="AG2346" s="16">
        <f>IF(AC2346=0,IF(O2346=4,INDEX(Acceleration!$T$4:$T$110,MATCH('Track Data'!S2346,Acceleration!$K$4:$K$110,0)),IF('Track Data'!O2346=3,INDEX(Acceleration!$S$4:$S$110,MATCH('Track Data'!S2346,Acceleration!$K$4:$K$110,0)),'Track Data'!AF2346)),'Track Data'!U2346)</f>
        <v>4.1158808584723294</v>
      </c>
      <c r="AH2346" s="16">
        <f>IF(AC2346=0,IF(O2346=2,INDEX(Acceleration!$R$4:$R$110,MATCH('Track Data'!S2346,Acceleration!$K$4:$K$110,0)),IF('Track Data'!O2346=1,INDEX(Acceleration!$Q$4:$Q$110,MATCH('Track Data'!S2346,Acceleration!$K$4:$K$110,0)),'Track Data'!AG2346)),'Track Data'!U2346)</f>
        <v>4.1158808584723294</v>
      </c>
    </row>
    <row r="2347" spans="2:34" x14ac:dyDescent="0.25">
      <c r="B2347" s="16">
        <v>256.56099999999998</v>
      </c>
      <c r="C2347" s="16">
        <v>9617</v>
      </c>
      <c r="D2347" s="16">
        <v>2344</v>
      </c>
      <c r="E2347" s="113">
        <v>194</v>
      </c>
      <c r="F2347" s="113">
        <v>191.9</v>
      </c>
      <c r="G2347" s="113">
        <v>190.8</v>
      </c>
      <c r="H2347" s="113">
        <f t="shared" si="257"/>
        <v>53</v>
      </c>
      <c r="I2347" s="113">
        <v>6</v>
      </c>
      <c r="J2347" s="113">
        <v>18.77</v>
      </c>
      <c r="K2347" s="113">
        <v>2.5</v>
      </c>
      <c r="L2347" s="185"/>
      <c r="M2347" s="16">
        <v>2344</v>
      </c>
      <c r="N2347" s="16">
        <f t="shared" si="259"/>
        <v>1.9021597486494127E-2</v>
      </c>
      <c r="O2347" s="16">
        <v>5</v>
      </c>
      <c r="P2347" s="16">
        <f t="shared" si="255"/>
        <v>8.1742160278745661</v>
      </c>
      <c r="Q2347" s="16">
        <f t="shared" si="260"/>
        <v>52.571820043507302</v>
      </c>
      <c r="R2347" s="113">
        <f t="shared" si="256"/>
        <v>319.54399999999998</v>
      </c>
      <c r="S2347" s="16">
        <f>IF(S2346=15800,15800,ROUND((((Q2347*60)/'Gearing Calculator'!$C$14)*'Track Data'!P2347),-2))</f>
        <v>13000</v>
      </c>
      <c r="T2347" s="16">
        <f t="shared" si="258"/>
        <v>4.1158808584723294</v>
      </c>
      <c r="U2347" s="16">
        <f>IF(AC2347=100,Braking!$AG$2354,IF(AC2347=50,Braking!$AG$1179,IF(AC2347=75,Braking!$AG$1767,0)))</f>
        <v>0</v>
      </c>
      <c r="V2347" s="16">
        <f>0.5*'Gearing Calculator'!$C$15*'Gearing Calculator'!$C$20*'Gearing Calculator'!$W$20*('Track Data'!Q2347^2)</f>
        <v>292.52019644278317</v>
      </c>
      <c r="W2347" s="16">
        <f>('Gearing Calculator'!$U$9*'Track Data'!T2347)+'Track Data'!V2347</f>
        <v>1388.1676809681171</v>
      </c>
      <c r="X2347" s="16">
        <f>('Gearing Calculator'!$U$9*9.81)*('Gearing Calculator'!$U$16/'Gearing Calculator'!$C$7)-(('Track Data'!W2347)*('Gearing Calculator'!$U$17/'Gearing Calculator'!$C$7))</f>
        <v>644.51611071921945</v>
      </c>
      <c r="Y2347" s="16">
        <f>('Gearing Calculator'!$U$9*9.81)*(('Gearing Calculator'!$C$7-'Gearing Calculator'!$U$16)/'Gearing Calculator'!$C$7)+(('Track Data'!W2347)*('Gearing Calculator'!$U$17/'Gearing Calculator'!$C$7))</f>
        <v>1966.9058892807807</v>
      </c>
      <c r="Z2347" s="16">
        <f>((X2347*COS('Gearing Calculator'!$C$21))/'Gearing Calculator'!$C$22)/2</f>
        <v>19.926399712651641</v>
      </c>
      <c r="AA2347" s="16">
        <f>Y2347/'Gearing Calculator'!$C$24</f>
        <v>27.464603307561315</v>
      </c>
      <c r="AB2347" s="16">
        <f t="shared" si="254"/>
        <v>313.0996007351448</v>
      </c>
      <c r="AC2347" s="16">
        <v>0</v>
      </c>
      <c r="AD2347" s="16">
        <v>0</v>
      </c>
      <c r="AE2347" s="16">
        <v>2344</v>
      </c>
      <c r="AF2347" s="16">
        <f>IF(AC2347=0,IF(O2347=6,INDEX(Acceleration!$V$4:$V$110,MATCH('Track Data'!S2347,Acceleration!$K$4:$K$110,0)),IF('Track Data'!O2347=5,INDEX(Acceleration!$U$4:$U$110,MATCH('Track Data'!S2347,Acceleration!$K$4:$K$110,0)),1)),U2347)</f>
        <v>4.1158808584723294</v>
      </c>
      <c r="AG2347" s="16">
        <f>IF(AC2347=0,IF(O2347=4,INDEX(Acceleration!$T$4:$T$110,MATCH('Track Data'!S2347,Acceleration!$K$4:$K$110,0)),IF('Track Data'!O2347=3,INDEX(Acceleration!$S$4:$S$110,MATCH('Track Data'!S2347,Acceleration!$K$4:$K$110,0)),'Track Data'!AF2347)),'Track Data'!U2347)</f>
        <v>4.1158808584723294</v>
      </c>
      <c r="AH2347" s="16">
        <f>IF(AC2347=0,IF(O2347=2,INDEX(Acceleration!$R$4:$R$110,MATCH('Track Data'!S2347,Acceleration!$K$4:$K$110,0)),IF('Track Data'!O2347=1,INDEX(Acceleration!$Q$4:$Q$110,MATCH('Track Data'!S2347,Acceleration!$K$4:$K$110,0)),'Track Data'!AG2347)),'Track Data'!U2347)</f>
        <v>4.1158808584723294</v>
      </c>
    </row>
    <row r="2348" spans="2:34" x14ac:dyDescent="0.25">
      <c r="B2348" s="16">
        <v>256.58</v>
      </c>
      <c r="C2348" s="16">
        <v>9618</v>
      </c>
      <c r="D2348" s="16">
        <v>2345</v>
      </c>
      <c r="E2348" s="113">
        <v>195</v>
      </c>
      <c r="F2348" s="113">
        <v>192.7</v>
      </c>
      <c r="G2348" s="113">
        <v>191.1</v>
      </c>
      <c r="H2348" s="113">
        <f t="shared" si="257"/>
        <v>53.083333333333329</v>
      </c>
      <c r="I2348" s="113">
        <v>3.1</v>
      </c>
      <c r="J2348" s="113">
        <v>15.51</v>
      </c>
      <c r="K2348" s="113">
        <v>2.5</v>
      </c>
      <c r="L2348" s="185"/>
      <c r="M2348" s="16">
        <v>2345</v>
      </c>
      <c r="N2348" s="16">
        <f t="shared" si="259"/>
        <v>1.8993333400650229E-2</v>
      </c>
      <c r="O2348" s="16">
        <v>5</v>
      </c>
      <c r="P2348" s="16">
        <f t="shared" si="255"/>
        <v>8.1742160278745661</v>
      </c>
      <c r="Q2348" s="16">
        <f t="shared" si="260"/>
        <v>52.650052463448326</v>
      </c>
      <c r="R2348" s="113">
        <f t="shared" si="256"/>
        <v>319.54399999999998</v>
      </c>
      <c r="S2348" s="16">
        <f>IF(S2347=15800,15800,ROUND((((Q2348*60)/'Gearing Calculator'!$C$14)*'Track Data'!P2348),-2))</f>
        <v>13000</v>
      </c>
      <c r="T2348" s="16">
        <f t="shared" si="258"/>
        <v>4.1158808584723294</v>
      </c>
      <c r="U2348" s="16">
        <f>IF(AC2348=100,Braking!$AG$2354,IF(AC2348=50,Braking!$AG$1179,IF(AC2348=75,Braking!$AG$1767,0)))</f>
        <v>0</v>
      </c>
      <c r="V2348" s="16">
        <f>0.5*'Gearing Calculator'!$C$15*'Gearing Calculator'!$C$20*'Gearing Calculator'!$W$20*('Track Data'!Q2348^2)</f>
        <v>293.39144610290464</v>
      </c>
      <c r="W2348" s="16">
        <f>('Gearing Calculator'!$U$9*'Track Data'!T2348)+'Track Data'!V2348</f>
        <v>1389.0389306282386</v>
      </c>
      <c r="X2348" s="16">
        <f>('Gearing Calculator'!$U$9*9.81)*('Gearing Calculator'!$U$16/'Gearing Calculator'!$C$7)-(('Track Data'!W2348)*('Gearing Calculator'!$U$17/'Gearing Calculator'!$C$7))</f>
        <v>644.04122015356143</v>
      </c>
      <c r="Y2348" s="16">
        <f>('Gearing Calculator'!$U$9*9.81)*(('Gearing Calculator'!$C$7-'Gearing Calculator'!$U$16)/'Gearing Calculator'!$C$7)+(('Track Data'!W2348)*('Gearing Calculator'!$U$17/'Gearing Calculator'!$C$7))</f>
        <v>1967.3807798464386</v>
      </c>
      <c r="Z2348" s="16">
        <f>((X2348*COS('Gearing Calculator'!$C$21))/'Gearing Calculator'!$C$22)/2</f>
        <v>19.911717598312393</v>
      </c>
      <c r="AA2348" s="16">
        <f>Y2348/'Gearing Calculator'!$C$24</f>
        <v>27.471234372662792</v>
      </c>
      <c r="AB2348" s="16">
        <f t="shared" si="254"/>
        <v>313.97085039526627</v>
      </c>
      <c r="AC2348" s="16">
        <v>0</v>
      </c>
      <c r="AD2348" s="16">
        <v>0</v>
      </c>
      <c r="AE2348" s="16">
        <v>2345</v>
      </c>
      <c r="AF2348" s="16">
        <f>IF(AC2348=0,IF(O2348=6,INDEX(Acceleration!$V$4:$V$110,MATCH('Track Data'!S2348,Acceleration!$K$4:$K$110,0)),IF('Track Data'!O2348=5,INDEX(Acceleration!$U$4:$U$110,MATCH('Track Data'!S2348,Acceleration!$K$4:$K$110,0)),1)),U2348)</f>
        <v>4.1158808584723294</v>
      </c>
      <c r="AG2348" s="16">
        <f>IF(AC2348=0,IF(O2348=4,INDEX(Acceleration!$T$4:$T$110,MATCH('Track Data'!S2348,Acceleration!$K$4:$K$110,0)),IF('Track Data'!O2348=3,INDEX(Acceleration!$S$4:$S$110,MATCH('Track Data'!S2348,Acceleration!$K$4:$K$110,0)),'Track Data'!AF2348)),'Track Data'!U2348)</f>
        <v>4.1158808584723294</v>
      </c>
      <c r="AH2348" s="16">
        <f>IF(AC2348=0,IF(O2348=2,INDEX(Acceleration!$R$4:$R$110,MATCH('Track Data'!S2348,Acceleration!$K$4:$K$110,0)),IF('Track Data'!O2348=1,INDEX(Acceleration!$Q$4:$Q$110,MATCH('Track Data'!S2348,Acceleration!$K$4:$K$110,0)),'Track Data'!AG2348)),'Track Data'!U2348)</f>
        <v>4.1158808584723294</v>
      </c>
    </row>
    <row r="2349" spans="2:34" x14ac:dyDescent="0.25">
      <c r="B2349" s="16">
        <v>256.59899999999999</v>
      </c>
      <c r="C2349" s="16">
        <v>9619</v>
      </c>
      <c r="D2349" s="16">
        <v>2346</v>
      </c>
      <c r="E2349" s="113">
        <v>195</v>
      </c>
      <c r="F2349" s="113">
        <v>193.1</v>
      </c>
      <c r="G2349" s="113">
        <v>191.2</v>
      </c>
      <c r="H2349" s="113">
        <f t="shared" si="257"/>
        <v>53.111111111111107</v>
      </c>
      <c r="I2349" s="113">
        <v>2.2000000000000002</v>
      </c>
      <c r="J2349" s="113">
        <v>13.25</v>
      </c>
      <c r="K2349" s="113">
        <v>2.5</v>
      </c>
      <c r="L2349" s="185"/>
      <c r="M2349" s="16">
        <v>2346</v>
      </c>
      <c r="N2349" s="16">
        <f t="shared" si="259"/>
        <v>1.8965194933882622E-2</v>
      </c>
      <c r="O2349" s="16">
        <v>5</v>
      </c>
      <c r="P2349" s="16">
        <f t="shared" si="255"/>
        <v>8.1742160278745661</v>
      </c>
      <c r="Q2349" s="16">
        <f t="shared" si="260"/>
        <v>52.728168810615884</v>
      </c>
      <c r="R2349" s="113">
        <f t="shared" si="256"/>
        <v>319.54399999999998</v>
      </c>
      <c r="S2349" s="16">
        <f>IF(S2348=15800,15800,ROUND((((Q2349*60)/'Gearing Calculator'!$C$14)*'Track Data'!P2349),-2))</f>
        <v>13100</v>
      </c>
      <c r="T2349" s="16">
        <f t="shared" si="258"/>
        <v>4.0676923888352654</v>
      </c>
      <c r="U2349" s="16">
        <f>IF(AC2349=100,Braking!$AG$2354,IF(AC2349=50,Braking!$AG$1179,IF(AC2349=75,Braking!$AG$1767,0)))</f>
        <v>0</v>
      </c>
      <c r="V2349" s="16">
        <f>0.5*'Gearing Calculator'!$C$15*'Gearing Calculator'!$C$20*'Gearing Calculator'!$W$20*('Track Data'!Q2349^2)</f>
        <v>294.26269576302604</v>
      </c>
      <c r="W2349" s="16">
        <f>('Gearing Calculator'!$U$9*'Track Data'!T2349)+'Track Data'!V2349</f>
        <v>1377.0824096709734</v>
      </c>
      <c r="X2349" s="16">
        <f>('Gearing Calculator'!$U$9*9.81)*('Gearing Calculator'!$U$16/'Gearing Calculator'!$C$7)-(('Track Data'!W2349)*('Gearing Calculator'!$U$17/'Gearing Calculator'!$C$7))</f>
        <v>650.55834063072257</v>
      </c>
      <c r="Y2349" s="16">
        <f>('Gearing Calculator'!$U$9*9.81)*(('Gearing Calculator'!$C$7-'Gearing Calculator'!$U$16)/'Gearing Calculator'!$C$7)+(('Track Data'!W2349)*('Gearing Calculator'!$U$17/'Gearing Calculator'!$C$7))</f>
        <v>1960.8636593692775</v>
      </c>
      <c r="Z2349" s="16">
        <f>((X2349*COS('Gearing Calculator'!$C$21))/'Gearing Calculator'!$C$22)/2</f>
        <v>20.113206351570252</v>
      </c>
      <c r="AA2349" s="16">
        <f>Y2349/'Gearing Calculator'!$C$24</f>
        <v>27.380233512078522</v>
      </c>
      <c r="AB2349" s="16">
        <f t="shared" si="254"/>
        <v>314.60115770720239</v>
      </c>
      <c r="AC2349" s="16">
        <v>0</v>
      </c>
      <c r="AD2349" s="16">
        <v>0</v>
      </c>
      <c r="AE2349" s="16">
        <v>2346</v>
      </c>
      <c r="AF2349" s="16">
        <f>IF(AC2349=0,IF(O2349=6,INDEX(Acceleration!$V$4:$V$110,MATCH('Track Data'!S2349,Acceleration!$K$4:$K$110,0)),IF('Track Data'!O2349=5,INDEX(Acceleration!$U$4:$U$110,MATCH('Track Data'!S2349,Acceleration!$K$4:$K$110,0)),1)),U2349)</f>
        <v>4.0676923888352654</v>
      </c>
      <c r="AG2349" s="16">
        <f>IF(AC2349=0,IF(O2349=4,INDEX(Acceleration!$T$4:$T$110,MATCH('Track Data'!S2349,Acceleration!$K$4:$K$110,0)),IF('Track Data'!O2349=3,INDEX(Acceleration!$S$4:$S$110,MATCH('Track Data'!S2349,Acceleration!$K$4:$K$110,0)),'Track Data'!AF2349)),'Track Data'!U2349)</f>
        <v>4.0676923888352654</v>
      </c>
      <c r="AH2349" s="16">
        <f>IF(AC2349=0,IF(O2349=2,INDEX(Acceleration!$R$4:$R$110,MATCH('Track Data'!S2349,Acceleration!$K$4:$K$110,0)),IF('Track Data'!O2349=1,INDEX(Acceleration!$Q$4:$Q$110,MATCH('Track Data'!S2349,Acceleration!$K$4:$K$110,0)),'Track Data'!AG2349)),'Track Data'!U2349)</f>
        <v>4.0676923888352654</v>
      </c>
    </row>
    <row r="2350" spans="2:34" x14ac:dyDescent="0.25">
      <c r="B2350" s="16">
        <v>256.61700000000002</v>
      </c>
      <c r="C2350" s="16">
        <v>9620</v>
      </c>
      <c r="D2350" s="16">
        <v>2347</v>
      </c>
      <c r="E2350" s="113">
        <v>195</v>
      </c>
      <c r="F2350" s="113">
        <v>193.2</v>
      </c>
      <c r="G2350" s="113">
        <v>191.4</v>
      </c>
      <c r="H2350" s="113">
        <f t="shared" si="257"/>
        <v>53.166666666666664</v>
      </c>
      <c r="I2350" s="113">
        <v>1.5</v>
      </c>
      <c r="J2350" s="113">
        <v>15.91</v>
      </c>
      <c r="K2350" s="113">
        <v>2.5</v>
      </c>
      <c r="L2350" s="185"/>
      <c r="M2350" s="16">
        <v>2347</v>
      </c>
      <c r="N2350" s="16">
        <f t="shared" si="259"/>
        <v>1.8937508424048528E-2</v>
      </c>
      <c r="O2350" s="16">
        <v>5</v>
      </c>
      <c r="P2350" s="16">
        <f t="shared" si="255"/>
        <v>8.1742160278745661</v>
      </c>
      <c r="Q2350" s="16">
        <f t="shared" si="260"/>
        <v>52.805257038466124</v>
      </c>
      <c r="R2350" s="113">
        <f t="shared" si="256"/>
        <v>319.54399999999998</v>
      </c>
      <c r="S2350" s="16">
        <f>IF(S2349=15800,15800,ROUND((((Q2350*60)/'Gearing Calculator'!$C$14)*'Track Data'!P2350),-2))</f>
        <v>13100</v>
      </c>
      <c r="T2350" s="16">
        <f t="shared" si="258"/>
        <v>4.0676923888352654</v>
      </c>
      <c r="U2350" s="16">
        <f>IF(AC2350=100,Braking!$AG$2354,IF(AC2350=50,Braking!$AG$1179,IF(AC2350=75,Braking!$AG$1767,0)))</f>
        <v>0</v>
      </c>
      <c r="V2350" s="16">
        <f>0.5*'Gearing Calculator'!$C$15*'Gearing Calculator'!$C$20*'Gearing Calculator'!$W$20*('Track Data'!Q2350^2)</f>
        <v>295.12374488789465</v>
      </c>
      <c r="W2350" s="16">
        <f>('Gearing Calculator'!$U$9*'Track Data'!T2350)+'Track Data'!V2350</f>
        <v>1377.9434587958422</v>
      </c>
      <c r="X2350" s="16">
        <f>('Gearing Calculator'!$U$9*9.81)*('Gearing Calculator'!$U$16/'Gearing Calculator'!$C$7)-(('Track Data'!W2350)*('Gearing Calculator'!$U$17/'Gearing Calculator'!$C$7))</f>
        <v>650.08901005340988</v>
      </c>
      <c r="Y2350" s="16">
        <f>('Gearing Calculator'!$U$9*9.81)*(('Gearing Calculator'!$C$7-'Gearing Calculator'!$U$16)/'Gearing Calculator'!$C$7)+(('Track Data'!W2350)*('Gearing Calculator'!$U$17/'Gearing Calculator'!$C$7))</f>
        <v>1961.3329899465903</v>
      </c>
      <c r="Z2350" s="16">
        <f>((X2350*COS('Gearing Calculator'!$C$21))/'Gearing Calculator'!$C$22)/2</f>
        <v>20.098696134485895</v>
      </c>
      <c r="AA2350" s="16">
        <f>Y2350/'Gearing Calculator'!$C$24</f>
        <v>27.386786941094243</v>
      </c>
      <c r="AB2350" s="16">
        <f t="shared" si="254"/>
        <v>315.46220683207099</v>
      </c>
      <c r="AC2350" s="16">
        <v>0</v>
      </c>
      <c r="AD2350" s="16">
        <v>0</v>
      </c>
      <c r="AE2350" s="16">
        <v>2347</v>
      </c>
      <c r="AF2350" s="16">
        <f>IF(AC2350=0,IF(O2350=6,INDEX(Acceleration!$V$4:$V$110,MATCH('Track Data'!S2350,Acceleration!$K$4:$K$110,0)),IF('Track Data'!O2350=5,INDEX(Acceleration!$U$4:$U$110,MATCH('Track Data'!S2350,Acceleration!$K$4:$K$110,0)),1)),U2350)</f>
        <v>4.0676923888352654</v>
      </c>
      <c r="AG2350" s="16">
        <f>IF(AC2350=0,IF(O2350=4,INDEX(Acceleration!$T$4:$T$110,MATCH('Track Data'!S2350,Acceleration!$K$4:$K$110,0)),IF('Track Data'!O2350=3,INDEX(Acceleration!$S$4:$S$110,MATCH('Track Data'!S2350,Acceleration!$K$4:$K$110,0)),'Track Data'!AF2350)),'Track Data'!U2350)</f>
        <v>4.0676923888352654</v>
      </c>
      <c r="AH2350" s="16">
        <f>IF(AC2350=0,IF(O2350=2,INDEX(Acceleration!$R$4:$R$110,MATCH('Track Data'!S2350,Acceleration!$K$4:$K$110,0)),IF('Track Data'!O2350=1,INDEX(Acceleration!$Q$4:$Q$110,MATCH('Track Data'!S2350,Acceleration!$K$4:$K$110,0)),'Track Data'!AG2350)),'Track Data'!U2350)</f>
        <v>4.0676923888352654</v>
      </c>
    </row>
    <row r="2351" spans="2:34" x14ac:dyDescent="0.25">
      <c r="B2351" s="16">
        <v>256.63600000000002</v>
      </c>
      <c r="C2351" s="16">
        <v>9621</v>
      </c>
      <c r="D2351" s="16">
        <v>2348</v>
      </c>
      <c r="E2351" s="113">
        <v>195</v>
      </c>
      <c r="F2351" s="113">
        <v>192.8</v>
      </c>
      <c r="G2351" s="113">
        <v>191.7</v>
      </c>
      <c r="H2351" s="113">
        <f t="shared" si="257"/>
        <v>53.249999999999993</v>
      </c>
      <c r="I2351" s="113">
        <v>1.6</v>
      </c>
      <c r="J2351" s="113">
        <v>18.09</v>
      </c>
      <c r="K2351" s="113">
        <v>2.5</v>
      </c>
      <c r="L2351" s="185"/>
      <c r="M2351" s="16">
        <v>2348</v>
      </c>
      <c r="N2351" s="16">
        <f t="shared" si="259"/>
        <v>1.8909942816455527E-2</v>
      </c>
      <c r="O2351" s="16">
        <v>5</v>
      </c>
      <c r="P2351" s="16">
        <f t="shared" si="255"/>
        <v>8.1742160278745661</v>
      </c>
      <c r="Q2351" s="16">
        <f t="shared" si="260"/>
        <v>52.882232892306526</v>
      </c>
      <c r="R2351" s="113">
        <f t="shared" si="256"/>
        <v>319.54399999999998</v>
      </c>
      <c r="S2351" s="16">
        <f>IF(S2350=15800,15800,ROUND((((Q2351*60)/'Gearing Calculator'!$C$14)*'Track Data'!P2351),-2))</f>
        <v>13100</v>
      </c>
      <c r="T2351" s="16">
        <f t="shared" si="258"/>
        <v>4.0676923888352654</v>
      </c>
      <c r="U2351" s="16">
        <f>IF(AC2351=100,Braking!$AG$2354,IF(AC2351=50,Braking!$AG$1179,IF(AC2351=75,Braking!$AG$1767,0)))</f>
        <v>0</v>
      </c>
      <c r="V2351" s="16">
        <f>0.5*'Gearing Calculator'!$C$15*'Gearing Calculator'!$C$20*'Gearing Calculator'!$W$20*('Track Data'!Q2351^2)</f>
        <v>295.9847940127633</v>
      </c>
      <c r="W2351" s="16">
        <f>('Gearing Calculator'!$U$9*'Track Data'!T2351)+'Track Data'!V2351</f>
        <v>1378.8045079207109</v>
      </c>
      <c r="X2351" s="16">
        <f>('Gearing Calculator'!$U$9*9.81)*('Gearing Calculator'!$U$16/'Gearing Calculator'!$C$7)-(('Track Data'!W2351)*('Gearing Calculator'!$U$17/'Gearing Calculator'!$C$7))</f>
        <v>649.6196794760973</v>
      </c>
      <c r="Y2351" s="16">
        <f>('Gearing Calculator'!$U$9*9.81)*(('Gearing Calculator'!$C$7-'Gearing Calculator'!$U$16)/'Gearing Calculator'!$C$7)+(('Track Data'!W2351)*('Gearing Calculator'!$U$17/'Gearing Calculator'!$C$7))</f>
        <v>1961.8023205239028</v>
      </c>
      <c r="Z2351" s="16">
        <f>((X2351*COS('Gearing Calculator'!$C$21))/'Gearing Calculator'!$C$22)/2</f>
        <v>20.084185917401538</v>
      </c>
      <c r="AA2351" s="16">
        <f>Y2351/'Gearing Calculator'!$C$24</f>
        <v>27.393340370109961</v>
      </c>
      <c r="AB2351" s="16">
        <f t="shared" si="254"/>
        <v>316.32325595693965</v>
      </c>
      <c r="AC2351" s="16">
        <v>0</v>
      </c>
      <c r="AD2351" s="16">
        <v>0</v>
      </c>
      <c r="AE2351" s="16">
        <v>2348</v>
      </c>
      <c r="AF2351" s="16">
        <f>IF(AC2351=0,IF(O2351=6,INDEX(Acceleration!$V$4:$V$110,MATCH('Track Data'!S2351,Acceleration!$K$4:$K$110,0)),IF('Track Data'!O2351=5,INDEX(Acceleration!$U$4:$U$110,MATCH('Track Data'!S2351,Acceleration!$K$4:$K$110,0)),1)),U2351)</f>
        <v>4.0676923888352654</v>
      </c>
      <c r="AG2351" s="16">
        <f>IF(AC2351=0,IF(O2351=4,INDEX(Acceleration!$T$4:$T$110,MATCH('Track Data'!S2351,Acceleration!$K$4:$K$110,0)),IF('Track Data'!O2351=3,INDEX(Acceleration!$S$4:$S$110,MATCH('Track Data'!S2351,Acceleration!$K$4:$K$110,0)),'Track Data'!AF2351)),'Track Data'!U2351)</f>
        <v>4.0676923888352654</v>
      </c>
      <c r="AH2351" s="16">
        <f>IF(AC2351=0,IF(O2351=2,INDEX(Acceleration!$R$4:$R$110,MATCH('Track Data'!S2351,Acceleration!$K$4:$K$110,0)),IF('Track Data'!O2351=1,INDEX(Acceleration!$Q$4:$Q$110,MATCH('Track Data'!S2351,Acceleration!$K$4:$K$110,0)),'Track Data'!AG2351)),'Track Data'!U2351)</f>
        <v>4.0676923888352654</v>
      </c>
    </row>
    <row r="2352" spans="2:34" x14ac:dyDescent="0.25">
      <c r="B2352" s="16">
        <v>256.654</v>
      </c>
      <c r="C2352" s="16">
        <v>9622</v>
      </c>
      <c r="D2352" s="16">
        <v>2349</v>
      </c>
      <c r="E2352" s="113">
        <v>195</v>
      </c>
      <c r="F2352" s="113">
        <v>193.2</v>
      </c>
      <c r="G2352" s="113">
        <v>191.9</v>
      </c>
      <c r="H2352" s="113">
        <f t="shared" si="257"/>
        <v>53.305555555555557</v>
      </c>
      <c r="I2352" s="113">
        <v>2.7</v>
      </c>
      <c r="J2352" s="113">
        <v>17.03</v>
      </c>
      <c r="K2352" s="113">
        <v>1.9</v>
      </c>
      <c r="L2352" s="185"/>
      <c r="M2352" s="16">
        <v>2349</v>
      </c>
      <c r="N2352" s="16">
        <f t="shared" si="259"/>
        <v>1.8882497233725291E-2</v>
      </c>
      <c r="O2352" s="16">
        <v>5</v>
      </c>
      <c r="P2352" s="16">
        <f t="shared" si="255"/>
        <v>8.1742160278745661</v>
      </c>
      <c r="Q2352" s="16">
        <f t="shared" si="260"/>
        <v>52.959096862142736</v>
      </c>
      <c r="R2352" s="113">
        <f t="shared" si="256"/>
        <v>319.54399999999998</v>
      </c>
      <c r="S2352" s="16">
        <f>IF(S2351=15800,15800,ROUND((((Q2352*60)/'Gearing Calculator'!$C$14)*'Track Data'!P2352),-2))</f>
        <v>13100</v>
      </c>
      <c r="T2352" s="16">
        <f t="shared" si="258"/>
        <v>4.0676923888352654</v>
      </c>
      <c r="U2352" s="16">
        <f>IF(AC2352=100,Braking!$AG$2354,IF(AC2352=50,Braking!$AG$1179,IF(AC2352=75,Braking!$AG$1767,0)))</f>
        <v>0</v>
      </c>
      <c r="V2352" s="16">
        <f>0.5*'Gearing Calculator'!$C$15*'Gearing Calculator'!$C$20*'Gearing Calculator'!$W$20*('Track Data'!Q2352^2)</f>
        <v>296.84584313763196</v>
      </c>
      <c r="W2352" s="16">
        <f>('Gearing Calculator'!$U$9*'Track Data'!T2352)+'Track Data'!V2352</f>
        <v>1379.6655570455796</v>
      </c>
      <c r="X2352" s="16">
        <f>('Gearing Calculator'!$U$9*9.81)*('Gearing Calculator'!$U$16/'Gearing Calculator'!$C$7)-(('Track Data'!W2352)*('Gearing Calculator'!$U$17/'Gearing Calculator'!$C$7))</f>
        <v>649.15034889878473</v>
      </c>
      <c r="Y2352" s="16">
        <f>('Gearing Calculator'!$U$9*9.81)*(('Gearing Calculator'!$C$7-'Gearing Calculator'!$U$16)/'Gearing Calculator'!$C$7)+(('Track Data'!W2352)*('Gearing Calculator'!$U$17/'Gearing Calculator'!$C$7))</f>
        <v>1962.2716511012154</v>
      </c>
      <c r="Z2352" s="16">
        <f>((X2352*COS('Gearing Calculator'!$C$21))/'Gearing Calculator'!$C$22)/2</f>
        <v>20.06967570031718</v>
      </c>
      <c r="AA2352" s="16">
        <f>Y2352/'Gearing Calculator'!$C$24</f>
        <v>27.399893799125678</v>
      </c>
      <c r="AB2352" s="16">
        <f t="shared" si="254"/>
        <v>317.1843050818083</v>
      </c>
      <c r="AC2352" s="16">
        <v>0</v>
      </c>
      <c r="AD2352" s="16">
        <v>0</v>
      </c>
      <c r="AE2352" s="16">
        <v>2349</v>
      </c>
      <c r="AF2352" s="16">
        <f>IF(AC2352=0,IF(O2352=6,INDEX(Acceleration!$V$4:$V$110,MATCH('Track Data'!S2352,Acceleration!$K$4:$K$110,0)),IF('Track Data'!O2352=5,INDEX(Acceleration!$U$4:$U$110,MATCH('Track Data'!S2352,Acceleration!$K$4:$K$110,0)),1)),U2352)</f>
        <v>4.0676923888352654</v>
      </c>
      <c r="AG2352" s="16">
        <f>IF(AC2352=0,IF(O2352=4,INDEX(Acceleration!$T$4:$T$110,MATCH('Track Data'!S2352,Acceleration!$K$4:$K$110,0)),IF('Track Data'!O2352=3,INDEX(Acceleration!$S$4:$S$110,MATCH('Track Data'!S2352,Acceleration!$K$4:$K$110,0)),'Track Data'!AF2352)),'Track Data'!U2352)</f>
        <v>4.0676923888352654</v>
      </c>
      <c r="AH2352" s="16">
        <f>IF(AC2352=0,IF(O2352=2,INDEX(Acceleration!$R$4:$R$110,MATCH('Track Data'!S2352,Acceleration!$K$4:$K$110,0)),IF('Track Data'!O2352=1,INDEX(Acceleration!$Q$4:$Q$110,MATCH('Track Data'!S2352,Acceleration!$K$4:$K$110,0)),'Track Data'!AG2352)),'Track Data'!U2352)</f>
        <v>4.0676923888352654</v>
      </c>
    </row>
    <row r="2353" spans="2:34" x14ac:dyDescent="0.25">
      <c r="B2353" s="16">
        <v>256.673</v>
      </c>
      <c r="C2353" s="16">
        <v>9623</v>
      </c>
      <c r="D2353" s="16">
        <v>2350</v>
      </c>
      <c r="E2353" s="113">
        <v>194</v>
      </c>
      <c r="F2353" s="113">
        <v>194</v>
      </c>
      <c r="G2353" s="113">
        <v>192.1</v>
      </c>
      <c r="H2353" s="113">
        <f t="shared" si="257"/>
        <v>53.361111111111107</v>
      </c>
      <c r="I2353" s="113">
        <v>3.5</v>
      </c>
      <c r="J2353" s="113">
        <v>13.89</v>
      </c>
      <c r="K2353" s="113">
        <v>1.1000000000000001</v>
      </c>
      <c r="L2353" s="185"/>
      <c r="M2353" s="16">
        <v>2350</v>
      </c>
      <c r="N2353" s="16">
        <f t="shared" si="259"/>
        <v>1.885517080736759E-2</v>
      </c>
      <c r="O2353" s="16">
        <v>5</v>
      </c>
      <c r="P2353" s="16">
        <f t="shared" si="255"/>
        <v>8.1742160278745661</v>
      </c>
      <c r="Q2353" s="16">
        <f t="shared" si="260"/>
        <v>53.035849434429608</v>
      </c>
      <c r="R2353" s="113">
        <f t="shared" si="256"/>
        <v>319.54399999999998</v>
      </c>
      <c r="S2353" s="16">
        <f>IF(S2352=15800,15800,ROUND((((Q2353*60)/'Gearing Calculator'!$C$14)*'Track Data'!P2353),-2))</f>
        <v>13100</v>
      </c>
      <c r="T2353" s="16">
        <f t="shared" si="258"/>
        <v>4.0676923888352654</v>
      </c>
      <c r="U2353" s="16">
        <f>IF(AC2353=100,Braking!$AG$2354,IF(AC2353=50,Braking!$AG$1179,IF(AC2353=75,Braking!$AG$1767,0)))</f>
        <v>0</v>
      </c>
      <c r="V2353" s="16">
        <f>0.5*'Gearing Calculator'!$C$15*'Gearing Calculator'!$C$20*'Gearing Calculator'!$W$20*('Track Data'!Q2353^2)</f>
        <v>297.70689226250056</v>
      </c>
      <c r="W2353" s="16">
        <f>('Gearing Calculator'!$U$9*'Track Data'!T2353)+'Track Data'!V2353</f>
        <v>1380.5266061704481</v>
      </c>
      <c r="X2353" s="16">
        <f>('Gearing Calculator'!$U$9*9.81)*('Gearing Calculator'!$U$16/'Gearing Calculator'!$C$7)-(('Track Data'!W2353)*('Gearing Calculator'!$U$17/'Gearing Calculator'!$C$7))</f>
        <v>648.68101832147227</v>
      </c>
      <c r="Y2353" s="16">
        <f>('Gearing Calculator'!$U$9*9.81)*(('Gearing Calculator'!$C$7-'Gearing Calculator'!$U$16)/'Gearing Calculator'!$C$7)+(('Track Data'!W2353)*('Gearing Calculator'!$U$17/'Gearing Calculator'!$C$7))</f>
        <v>1962.7409816785278</v>
      </c>
      <c r="Z2353" s="16">
        <f>((X2353*COS('Gearing Calculator'!$C$21))/'Gearing Calculator'!$C$22)/2</f>
        <v>20.05516548323283</v>
      </c>
      <c r="AA2353" s="16">
        <f>Y2353/'Gearing Calculator'!$C$24</f>
        <v>27.406447228141396</v>
      </c>
      <c r="AB2353" s="16">
        <f t="shared" si="254"/>
        <v>318.0453542066769</v>
      </c>
      <c r="AC2353" s="16">
        <v>0</v>
      </c>
      <c r="AD2353" s="16">
        <v>0</v>
      </c>
      <c r="AE2353" s="16">
        <v>2350</v>
      </c>
      <c r="AF2353" s="16">
        <f>IF(AC2353=0,IF(O2353=6,INDEX(Acceleration!$V$4:$V$110,MATCH('Track Data'!S2353,Acceleration!$K$4:$K$110,0)),IF('Track Data'!O2353=5,INDEX(Acceleration!$U$4:$U$110,MATCH('Track Data'!S2353,Acceleration!$K$4:$K$110,0)),1)),U2353)</f>
        <v>4.0676923888352654</v>
      </c>
      <c r="AG2353" s="16">
        <f>IF(AC2353=0,IF(O2353=4,INDEX(Acceleration!$T$4:$T$110,MATCH('Track Data'!S2353,Acceleration!$K$4:$K$110,0)),IF('Track Data'!O2353=3,INDEX(Acceleration!$S$4:$S$110,MATCH('Track Data'!S2353,Acceleration!$K$4:$K$110,0)),'Track Data'!AF2353)),'Track Data'!U2353)</f>
        <v>4.0676923888352654</v>
      </c>
      <c r="AH2353" s="16">
        <f>IF(AC2353=0,IF(O2353=2,INDEX(Acceleration!$R$4:$R$110,MATCH('Track Data'!S2353,Acceleration!$K$4:$K$110,0)),IF('Track Data'!O2353=1,INDEX(Acceleration!$Q$4:$Q$110,MATCH('Track Data'!S2353,Acceleration!$K$4:$K$110,0)),'Track Data'!AG2353)),'Track Data'!U2353)</f>
        <v>4.0676923888352654</v>
      </c>
    </row>
    <row r="2354" spans="2:34" x14ac:dyDescent="0.25">
      <c r="B2354" s="16">
        <v>256.69099999999997</v>
      </c>
      <c r="C2354" s="16">
        <v>9624</v>
      </c>
      <c r="D2354" s="16">
        <v>2351</v>
      </c>
      <c r="E2354" s="113">
        <v>195</v>
      </c>
      <c r="F2354" s="113">
        <v>194</v>
      </c>
      <c r="G2354" s="113">
        <v>192.4</v>
      </c>
      <c r="H2354" s="113">
        <f t="shared" si="257"/>
        <v>53.444444444444443</v>
      </c>
      <c r="I2354" s="113">
        <v>3.6</v>
      </c>
      <c r="J2354" s="113">
        <v>16.16</v>
      </c>
      <c r="K2354" s="113">
        <v>0.5</v>
      </c>
      <c r="L2354" s="185"/>
      <c r="M2354" s="16">
        <v>2351</v>
      </c>
      <c r="N2354" s="16">
        <f t="shared" si="259"/>
        <v>1.8827962677664858E-2</v>
      </c>
      <c r="O2354" s="16">
        <v>5</v>
      </c>
      <c r="P2354" s="16">
        <f t="shared" si="255"/>
        <v>8.1742160278745661</v>
      </c>
      <c r="Q2354" s="16">
        <f t="shared" si="260"/>
        <v>53.112491092107113</v>
      </c>
      <c r="R2354" s="113">
        <f t="shared" si="256"/>
        <v>319.54399999999998</v>
      </c>
      <c r="S2354" s="16">
        <f>IF(S2353=15800,15800,ROUND((((Q2354*60)/'Gearing Calculator'!$C$14)*'Track Data'!P2354),-2))</f>
        <v>13200</v>
      </c>
      <c r="T2354" s="16">
        <f t="shared" si="258"/>
        <v>4.0199780142316275</v>
      </c>
      <c r="U2354" s="16">
        <f>IF(AC2354=100,Braking!$AG$2354,IF(AC2354=50,Braking!$AG$1179,IF(AC2354=75,Braking!$AG$1767,0)))</f>
        <v>0</v>
      </c>
      <c r="V2354" s="16">
        <f>0.5*'Gearing Calculator'!$C$15*'Gearing Calculator'!$C$20*'Gearing Calculator'!$W$20*('Track Data'!Q2354^2)</f>
        <v>298.56794138736922</v>
      </c>
      <c r="W2354" s="16">
        <f>('Gearing Calculator'!$U$9*'Track Data'!T2354)+'Track Data'!V2354</f>
        <v>1368.6860887758285</v>
      </c>
      <c r="X2354" s="16">
        <f>('Gearing Calculator'!$U$9*9.81)*('Gearing Calculator'!$U$16/'Gearing Calculator'!$C$7)-(('Track Data'!W2354)*('Gearing Calculator'!$U$17/'Gearing Calculator'!$C$7))</f>
        <v>655.13490893467508</v>
      </c>
      <c r="Y2354" s="16">
        <f>('Gearing Calculator'!$U$9*9.81)*(('Gearing Calculator'!$C$7-'Gearing Calculator'!$U$16)/'Gearing Calculator'!$C$7)+(('Track Data'!W2354)*('Gearing Calculator'!$U$17/'Gearing Calculator'!$C$7))</f>
        <v>1956.2870910653251</v>
      </c>
      <c r="Z2354" s="16">
        <f>((X2354*COS('Gearing Calculator'!$C$21))/'Gearing Calculator'!$C$22)/2</f>
        <v>20.254699369076118</v>
      </c>
      <c r="AA2354" s="16">
        <f>Y2354/'Gearing Calculator'!$C$24</f>
        <v>27.31632926853387</v>
      </c>
      <c r="AB2354" s="16">
        <f t="shared" si="254"/>
        <v>318.66783145852736</v>
      </c>
      <c r="AC2354" s="16">
        <v>0</v>
      </c>
      <c r="AD2354" s="16">
        <v>0</v>
      </c>
      <c r="AE2354" s="16">
        <v>2351</v>
      </c>
      <c r="AF2354" s="16">
        <f>IF(AC2354=0,IF(O2354=6,INDEX(Acceleration!$V$4:$V$110,MATCH('Track Data'!S2354,Acceleration!$K$4:$K$110,0)),IF('Track Data'!O2354=5,INDEX(Acceleration!$U$4:$U$110,MATCH('Track Data'!S2354,Acceleration!$K$4:$K$110,0)),1)),U2354)</f>
        <v>4.0199780142316275</v>
      </c>
      <c r="AG2354" s="16">
        <f>IF(AC2354=0,IF(O2354=4,INDEX(Acceleration!$T$4:$T$110,MATCH('Track Data'!S2354,Acceleration!$K$4:$K$110,0)),IF('Track Data'!O2354=3,INDEX(Acceleration!$S$4:$S$110,MATCH('Track Data'!S2354,Acceleration!$K$4:$K$110,0)),'Track Data'!AF2354)),'Track Data'!U2354)</f>
        <v>4.0199780142316275</v>
      </c>
      <c r="AH2354" s="16">
        <f>IF(AC2354=0,IF(O2354=2,INDEX(Acceleration!$R$4:$R$110,MATCH('Track Data'!S2354,Acceleration!$K$4:$K$110,0)),IF('Track Data'!O2354=1,INDEX(Acceleration!$Q$4:$Q$110,MATCH('Track Data'!S2354,Acceleration!$K$4:$K$110,0)),'Track Data'!AG2354)),'Track Data'!U2354)</f>
        <v>4.0199780142316275</v>
      </c>
    </row>
    <row r="2355" spans="2:34" x14ac:dyDescent="0.25">
      <c r="B2355" s="16">
        <v>256.70999999999998</v>
      </c>
      <c r="C2355" s="16">
        <v>9625</v>
      </c>
      <c r="D2355" s="16">
        <v>2352</v>
      </c>
      <c r="E2355" s="113">
        <v>196</v>
      </c>
      <c r="F2355" s="113">
        <v>193.5</v>
      </c>
      <c r="G2355" s="113">
        <v>192.6</v>
      </c>
      <c r="H2355" s="113">
        <f t="shared" si="257"/>
        <v>53.5</v>
      </c>
      <c r="I2355" s="113">
        <v>3.7</v>
      </c>
      <c r="J2355" s="113">
        <v>17.559999999999999</v>
      </c>
      <c r="K2355" s="113">
        <v>-0.3</v>
      </c>
      <c r="L2355" s="185"/>
      <c r="M2355" s="16">
        <v>2352</v>
      </c>
      <c r="N2355" s="16">
        <f t="shared" si="259"/>
        <v>1.8801189092068078E-2</v>
      </c>
      <c r="O2355" s="16">
        <v>5</v>
      </c>
      <c r="P2355" s="16">
        <f t="shared" si="255"/>
        <v>8.1742160278745661</v>
      </c>
      <c r="Q2355" s="16">
        <f t="shared" si="260"/>
        <v>53.188125235221641</v>
      </c>
      <c r="R2355" s="113">
        <f t="shared" si="256"/>
        <v>319.54399999999998</v>
      </c>
      <c r="S2355" s="16">
        <f>IF(S2354=15800,15800,ROUND((((Q2355*60)/'Gearing Calculator'!$C$14)*'Track Data'!P2355),-2))</f>
        <v>13200</v>
      </c>
      <c r="T2355" s="16">
        <f t="shared" si="258"/>
        <v>4.0199780142316275</v>
      </c>
      <c r="U2355" s="16">
        <f>IF(AC2355=100,Braking!$AG$2354,IF(AC2355=50,Braking!$AG$1179,IF(AC2355=75,Braking!$AG$1767,0)))</f>
        <v>0</v>
      </c>
      <c r="V2355" s="16">
        <f>0.5*'Gearing Calculator'!$C$15*'Gearing Calculator'!$C$20*'Gearing Calculator'!$W$20*('Track Data'!Q2355^2)</f>
        <v>299.41889033342181</v>
      </c>
      <c r="W2355" s="16">
        <f>('Gearing Calculator'!$U$9*'Track Data'!T2355)+'Track Data'!V2355</f>
        <v>1369.537037721881</v>
      </c>
      <c r="X2355" s="16">
        <f>('Gearing Calculator'!$U$9*9.81)*('Gearing Calculator'!$U$16/'Gearing Calculator'!$C$7)-(('Track Data'!W2355)*('Gearing Calculator'!$U$17/'Gearing Calculator'!$C$7))</f>
        <v>654.67108364459625</v>
      </c>
      <c r="Y2355" s="16">
        <f>('Gearing Calculator'!$U$9*9.81)*(('Gearing Calculator'!$C$7-'Gearing Calculator'!$U$16)/'Gearing Calculator'!$C$7)+(('Track Data'!W2355)*('Gearing Calculator'!$U$17/'Gearing Calculator'!$C$7))</f>
        <v>1956.7509163554037</v>
      </c>
      <c r="Z2355" s="16">
        <f>((X2355*COS('Gearing Calculator'!$C$21))/'Gearing Calculator'!$C$22)/2</f>
        <v>20.240359358061291</v>
      </c>
      <c r="AA2355" s="16">
        <f>Y2355/'Gearing Calculator'!$C$24</f>
        <v>27.322805825274813</v>
      </c>
      <c r="AB2355" s="16">
        <f t="shared" si="254"/>
        <v>319.51878040457996</v>
      </c>
      <c r="AC2355" s="16">
        <v>0</v>
      </c>
      <c r="AD2355" s="16">
        <v>0</v>
      </c>
      <c r="AE2355" s="16">
        <v>2352</v>
      </c>
      <c r="AF2355" s="16">
        <f>IF(AC2355=0,IF(O2355=6,INDEX(Acceleration!$V$4:$V$110,MATCH('Track Data'!S2355,Acceleration!$K$4:$K$110,0)),IF('Track Data'!O2355=5,INDEX(Acceleration!$U$4:$U$110,MATCH('Track Data'!S2355,Acceleration!$K$4:$K$110,0)),1)),U2355)</f>
        <v>4.0199780142316275</v>
      </c>
      <c r="AG2355" s="16">
        <f>IF(AC2355=0,IF(O2355=4,INDEX(Acceleration!$T$4:$T$110,MATCH('Track Data'!S2355,Acceleration!$K$4:$K$110,0)),IF('Track Data'!O2355=3,INDEX(Acceleration!$S$4:$S$110,MATCH('Track Data'!S2355,Acceleration!$K$4:$K$110,0)),'Track Data'!AF2355)),'Track Data'!U2355)</f>
        <v>4.0199780142316275</v>
      </c>
      <c r="AH2355" s="16">
        <f>IF(AC2355=0,IF(O2355=2,INDEX(Acceleration!$R$4:$R$110,MATCH('Track Data'!S2355,Acceleration!$K$4:$K$110,0)),IF('Track Data'!O2355=1,INDEX(Acceleration!$Q$4:$Q$110,MATCH('Track Data'!S2355,Acceleration!$K$4:$K$110,0)),'Track Data'!AG2355)),'Track Data'!U2355)</f>
        <v>4.0199780142316275</v>
      </c>
    </row>
    <row r="2356" spans="2:34" x14ac:dyDescent="0.25">
      <c r="B2356" s="16">
        <v>256.72800000000001</v>
      </c>
      <c r="C2356" s="16">
        <v>9626</v>
      </c>
      <c r="D2356" s="16">
        <v>2353</v>
      </c>
      <c r="E2356" s="113">
        <v>196</v>
      </c>
      <c r="F2356" s="113">
        <v>193.5</v>
      </c>
      <c r="G2356" s="113">
        <v>192.7</v>
      </c>
      <c r="H2356" s="113">
        <f t="shared" si="257"/>
        <v>53.527777777777771</v>
      </c>
      <c r="I2356" s="113">
        <v>4</v>
      </c>
      <c r="J2356" s="113">
        <v>16.98</v>
      </c>
      <c r="K2356" s="113">
        <v>-0.5</v>
      </c>
      <c r="L2356" s="185"/>
      <c r="M2356" s="16">
        <v>2353</v>
      </c>
      <c r="N2356" s="16">
        <f t="shared" si="259"/>
        <v>1.8774529399660719E-2</v>
      </c>
      <c r="O2356" s="16">
        <v>5</v>
      </c>
      <c r="P2356" s="16">
        <f t="shared" si="255"/>
        <v>8.1742160278745661</v>
      </c>
      <c r="Q2356" s="16">
        <f t="shared" si="260"/>
        <v>53.263651978305845</v>
      </c>
      <c r="R2356" s="113">
        <f t="shared" si="256"/>
        <v>319.54399999999998</v>
      </c>
      <c r="S2356" s="16">
        <f>IF(S2355=15800,15800,ROUND((((Q2356*60)/'Gearing Calculator'!$C$14)*'Track Data'!P2356),-2))</f>
        <v>13200</v>
      </c>
      <c r="T2356" s="16">
        <f t="shared" si="258"/>
        <v>4.0199780142316275</v>
      </c>
      <c r="U2356" s="16">
        <f>IF(AC2356=100,Braking!$AG$2354,IF(AC2356=50,Braking!$AG$1179,IF(AC2356=75,Braking!$AG$1767,0)))</f>
        <v>0</v>
      </c>
      <c r="V2356" s="16">
        <f>0.5*'Gearing Calculator'!$C$15*'Gearing Calculator'!$C$20*'Gearing Calculator'!$W$20*('Track Data'!Q2356^2)</f>
        <v>300.2698392794743</v>
      </c>
      <c r="W2356" s="16">
        <f>('Gearing Calculator'!$U$9*'Track Data'!T2356)+'Track Data'!V2356</f>
        <v>1370.3879866679335</v>
      </c>
      <c r="X2356" s="16">
        <f>('Gearing Calculator'!$U$9*9.81)*('Gearing Calculator'!$U$16/'Gearing Calculator'!$C$7)-(('Track Data'!W2356)*('Gearing Calculator'!$U$17/'Gearing Calculator'!$C$7))</f>
        <v>654.20725835451731</v>
      </c>
      <c r="Y2356" s="16">
        <f>('Gearing Calculator'!$U$9*9.81)*(('Gearing Calculator'!$C$7-'Gearing Calculator'!$U$16)/'Gearing Calculator'!$C$7)+(('Track Data'!W2356)*('Gearing Calculator'!$U$17/'Gearing Calculator'!$C$7))</f>
        <v>1957.2147416454827</v>
      </c>
      <c r="Z2356" s="16">
        <f>((X2356*COS('Gearing Calculator'!$C$21))/'Gearing Calculator'!$C$22)/2</f>
        <v>20.226019347046464</v>
      </c>
      <c r="AA2356" s="16">
        <f>Y2356/'Gearing Calculator'!$C$24</f>
        <v>27.329282382015766</v>
      </c>
      <c r="AB2356" s="16">
        <f t="shared" si="254"/>
        <v>320.36972935063244</v>
      </c>
      <c r="AC2356" s="16">
        <v>0</v>
      </c>
      <c r="AD2356" s="16">
        <v>0</v>
      </c>
      <c r="AE2356" s="16">
        <v>2353</v>
      </c>
      <c r="AF2356" s="16">
        <f>IF(AC2356=0,IF(O2356=6,INDEX(Acceleration!$V$4:$V$110,MATCH('Track Data'!S2356,Acceleration!$K$4:$K$110,0)),IF('Track Data'!O2356=5,INDEX(Acceleration!$U$4:$U$110,MATCH('Track Data'!S2356,Acceleration!$K$4:$K$110,0)),1)),U2356)</f>
        <v>4.0199780142316275</v>
      </c>
      <c r="AG2356" s="16">
        <f>IF(AC2356=0,IF(O2356=4,INDEX(Acceleration!$T$4:$T$110,MATCH('Track Data'!S2356,Acceleration!$K$4:$K$110,0)),IF('Track Data'!O2356=3,INDEX(Acceleration!$S$4:$S$110,MATCH('Track Data'!S2356,Acceleration!$K$4:$K$110,0)),'Track Data'!AF2356)),'Track Data'!U2356)</f>
        <v>4.0199780142316275</v>
      </c>
      <c r="AH2356" s="16">
        <f>IF(AC2356=0,IF(O2356=2,INDEX(Acceleration!$R$4:$R$110,MATCH('Track Data'!S2356,Acceleration!$K$4:$K$110,0)),IF('Track Data'!O2356=1,INDEX(Acceleration!$Q$4:$Q$110,MATCH('Track Data'!S2356,Acceleration!$K$4:$K$110,0)),'Track Data'!AG2356)),'Track Data'!U2356)</f>
        <v>4.0199780142316275</v>
      </c>
    </row>
    <row r="2357" spans="2:34" x14ac:dyDescent="0.25">
      <c r="B2357" s="16">
        <v>256.74700000000001</v>
      </c>
      <c r="C2357" s="16">
        <v>9627</v>
      </c>
      <c r="D2357" s="16">
        <v>2354</v>
      </c>
      <c r="E2357" s="113">
        <v>195</v>
      </c>
      <c r="F2357" s="113">
        <v>193.7</v>
      </c>
      <c r="G2357" s="113">
        <v>192.9</v>
      </c>
      <c r="H2357" s="113">
        <f t="shared" si="257"/>
        <v>53.583333333333336</v>
      </c>
      <c r="I2357" s="113">
        <v>4.3</v>
      </c>
      <c r="J2357" s="113">
        <v>12.92</v>
      </c>
      <c r="K2357" s="113">
        <v>0.3</v>
      </c>
      <c r="L2357" s="185"/>
      <c r="M2357" s="16">
        <v>2354</v>
      </c>
      <c r="N2357" s="16">
        <f t="shared" si="259"/>
        <v>1.8747982795234992E-2</v>
      </c>
      <c r="O2357" s="16">
        <v>5</v>
      </c>
      <c r="P2357" s="16">
        <f t="shared" si="255"/>
        <v>8.1742160278745661</v>
      </c>
      <c r="Q2357" s="16">
        <f t="shared" si="260"/>
        <v>53.33907177758671</v>
      </c>
      <c r="R2357" s="113">
        <f t="shared" si="256"/>
        <v>319.54399999999998</v>
      </c>
      <c r="S2357" s="16">
        <f>IF(S2356=15800,15800,ROUND((((Q2357*60)/'Gearing Calculator'!$C$14)*'Track Data'!P2357),-2))</f>
        <v>13200</v>
      </c>
      <c r="T2357" s="16">
        <f t="shared" si="258"/>
        <v>4.0199780142316275</v>
      </c>
      <c r="U2357" s="16">
        <f>IF(AC2357=100,Braking!$AG$2354,IF(AC2357=50,Braking!$AG$1179,IF(AC2357=75,Braking!$AG$1767,0)))</f>
        <v>0</v>
      </c>
      <c r="V2357" s="16">
        <f>0.5*'Gearing Calculator'!$C$15*'Gearing Calculator'!$C$20*'Gearing Calculator'!$W$20*('Track Data'!Q2357^2)</f>
        <v>301.12078822552684</v>
      </c>
      <c r="W2357" s="16">
        <f>('Gearing Calculator'!$U$9*'Track Data'!T2357)+'Track Data'!V2357</f>
        <v>1371.2389356139861</v>
      </c>
      <c r="X2357" s="16">
        <f>('Gearing Calculator'!$U$9*9.81)*('Gearing Calculator'!$U$16/'Gearing Calculator'!$C$7)-(('Track Data'!W2357)*('Gearing Calculator'!$U$17/'Gearing Calculator'!$C$7))</f>
        <v>653.74343306443848</v>
      </c>
      <c r="Y2357" s="16">
        <f>('Gearing Calculator'!$U$9*9.81)*(('Gearing Calculator'!$C$7-'Gearing Calculator'!$U$16)/'Gearing Calculator'!$C$7)+(('Track Data'!W2357)*('Gearing Calculator'!$U$17/'Gearing Calculator'!$C$7))</f>
        <v>1957.6785669355615</v>
      </c>
      <c r="Z2357" s="16">
        <f>((X2357*COS('Gearing Calculator'!$C$21))/'Gearing Calculator'!$C$22)/2</f>
        <v>20.211679336031636</v>
      </c>
      <c r="AA2357" s="16">
        <f>Y2357/'Gearing Calculator'!$C$24</f>
        <v>27.335758938756712</v>
      </c>
      <c r="AB2357" s="16">
        <f t="shared" si="254"/>
        <v>321.22067829668498</v>
      </c>
      <c r="AC2357" s="16">
        <v>0</v>
      </c>
      <c r="AD2357" s="16">
        <v>0</v>
      </c>
      <c r="AE2357" s="16">
        <v>2354</v>
      </c>
      <c r="AF2357" s="16">
        <f>IF(AC2357=0,IF(O2357=6,INDEX(Acceleration!$V$4:$V$110,MATCH('Track Data'!S2357,Acceleration!$K$4:$K$110,0)),IF('Track Data'!O2357=5,INDEX(Acceleration!$U$4:$U$110,MATCH('Track Data'!S2357,Acceleration!$K$4:$K$110,0)),1)),U2357)</f>
        <v>4.0199780142316275</v>
      </c>
      <c r="AG2357" s="16">
        <f>IF(AC2357=0,IF(O2357=4,INDEX(Acceleration!$T$4:$T$110,MATCH('Track Data'!S2357,Acceleration!$K$4:$K$110,0)),IF('Track Data'!O2357=3,INDEX(Acceleration!$S$4:$S$110,MATCH('Track Data'!S2357,Acceleration!$K$4:$K$110,0)),'Track Data'!AF2357)),'Track Data'!U2357)</f>
        <v>4.0199780142316275</v>
      </c>
      <c r="AH2357" s="16">
        <f>IF(AC2357=0,IF(O2357=2,INDEX(Acceleration!$R$4:$R$110,MATCH('Track Data'!S2357,Acceleration!$K$4:$K$110,0)),IF('Track Data'!O2357=1,INDEX(Acceleration!$Q$4:$Q$110,MATCH('Track Data'!S2357,Acceleration!$K$4:$K$110,0)),'Track Data'!AG2357)),'Track Data'!U2357)</f>
        <v>4.0199780142316275</v>
      </c>
    </row>
    <row r="2358" spans="2:34" x14ac:dyDescent="0.25">
      <c r="B2358" s="16">
        <v>256.76600000000002</v>
      </c>
      <c r="C2358" s="16">
        <v>9628</v>
      </c>
      <c r="D2358" s="16">
        <v>2355</v>
      </c>
      <c r="E2358" s="113">
        <v>195</v>
      </c>
      <c r="F2358" s="113">
        <v>194.1</v>
      </c>
      <c r="G2358" s="113">
        <v>193.1</v>
      </c>
      <c r="H2358" s="113">
        <f t="shared" si="257"/>
        <v>53.638888888888886</v>
      </c>
      <c r="I2358" s="113">
        <v>4.2</v>
      </c>
      <c r="J2358" s="113">
        <v>11.13</v>
      </c>
      <c r="K2358" s="113">
        <v>1.1000000000000001</v>
      </c>
      <c r="L2358" s="185"/>
      <c r="M2358" s="16">
        <v>2355</v>
      </c>
      <c r="N2358" s="16">
        <f t="shared" si="259"/>
        <v>1.8721548481530407E-2</v>
      </c>
      <c r="O2358" s="16">
        <v>5</v>
      </c>
      <c r="P2358" s="16">
        <f t="shared" si="255"/>
        <v>8.1742160278745661</v>
      </c>
      <c r="Q2358" s="16">
        <f t="shared" si="260"/>
        <v>53.414385086070311</v>
      </c>
      <c r="R2358" s="113">
        <f t="shared" si="256"/>
        <v>319.54399999999998</v>
      </c>
      <c r="S2358" s="16">
        <f>IF(S2357=15800,15800,ROUND((((Q2358*60)/'Gearing Calculator'!$C$14)*'Track Data'!P2358),-2))</f>
        <v>13200</v>
      </c>
      <c r="T2358" s="16">
        <f t="shared" si="258"/>
        <v>4.0199780142316275</v>
      </c>
      <c r="U2358" s="16">
        <f>IF(AC2358=100,Braking!$AG$2354,IF(AC2358=50,Braking!$AG$1179,IF(AC2358=75,Braking!$AG$1767,0)))</f>
        <v>0</v>
      </c>
      <c r="V2358" s="16">
        <f>0.5*'Gearing Calculator'!$C$15*'Gearing Calculator'!$C$20*'Gearing Calculator'!$W$20*('Track Data'!Q2358^2)</f>
        <v>301.97173717157938</v>
      </c>
      <c r="W2358" s="16">
        <f>('Gearing Calculator'!$U$9*'Track Data'!T2358)+'Track Data'!V2358</f>
        <v>1372.0898845600386</v>
      </c>
      <c r="X2358" s="16">
        <f>('Gearing Calculator'!$U$9*9.81)*('Gearing Calculator'!$U$16/'Gearing Calculator'!$C$7)-(('Track Data'!W2358)*('Gearing Calculator'!$U$17/'Gearing Calculator'!$C$7))</f>
        <v>653.27960777435965</v>
      </c>
      <c r="Y2358" s="16">
        <f>('Gearing Calculator'!$U$9*9.81)*(('Gearing Calculator'!$C$7-'Gearing Calculator'!$U$16)/'Gearing Calculator'!$C$7)+(('Track Data'!W2358)*('Gearing Calculator'!$U$17/'Gearing Calculator'!$C$7))</f>
        <v>1958.1423922256404</v>
      </c>
      <c r="Z2358" s="16">
        <f>((X2358*COS('Gearing Calculator'!$C$21))/'Gearing Calculator'!$C$22)/2</f>
        <v>20.197339325016809</v>
      </c>
      <c r="AA2358" s="16">
        <f>Y2358/'Gearing Calculator'!$C$24</f>
        <v>27.342235495497658</v>
      </c>
      <c r="AB2358" s="16">
        <f t="shared" ref="AB2358:AB2403" si="261">(T2358*O2358)+V2358</f>
        <v>322.07162724273752</v>
      </c>
      <c r="AC2358" s="16">
        <v>0</v>
      </c>
      <c r="AD2358" s="16">
        <v>0</v>
      </c>
      <c r="AE2358" s="16">
        <v>2355</v>
      </c>
      <c r="AF2358" s="16">
        <f>IF(AC2358=0,IF(O2358=6,INDEX(Acceleration!$V$4:$V$110,MATCH('Track Data'!S2358,Acceleration!$K$4:$K$110,0)),IF('Track Data'!O2358=5,INDEX(Acceleration!$U$4:$U$110,MATCH('Track Data'!S2358,Acceleration!$K$4:$K$110,0)),1)),U2358)</f>
        <v>4.0199780142316275</v>
      </c>
      <c r="AG2358" s="16">
        <f>IF(AC2358=0,IF(O2358=4,INDEX(Acceleration!$T$4:$T$110,MATCH('Track Data'!S2358,Acceleration!$K$4:$K$110,0)),IF('Track Data'!O2358=3,INDEX(Acceleration!$S$4:$S$110,MATCH('Track Data'!S2358,Acceleration!$K$4:$K$110,0)),'Track Data'!AF2358)),'Track Data'!U2358)</f>
        <v>4.0199780142316275</v>
      </c>
      <c r="AH2358" s="16">
        <f>IF(AC2358=0,IF(O2358=2,INDEX(Acceleration!$R$4:$R$110,MATCH('Track Data'!S2358,Acceleration!$K$4:$K$110,0)),IF('Track Data'!O2358=1,INDEX(Acceleration!$Q$4:$Q$110,MATCH('Track Data'!S2358,Acceleration!$K$4:$K$110,0)),'Track Data'!AG2358)),'Track Data'!U2358)</f>
        <v>4.0199780142316275</v>
      </c>
    </row>
    <row r="2359" spans="2:34" x14ac:dyDescent="0.25">
      <c r="B2359" s="16">
        <v>256.78399999999999</v>
      </c>
      <c r="C2359" s="16">
        <v>9629</v>
      </c>
      <c r="D2359" s="16">
        <v>2356</v>
      </c>
      <c r="E2359" s="113">
        <v>196</v>
      </c>
      <c r="F2359" s="113">
        <v>195</v>
      </c>
      <c r="G2359" s="113">
        <v>193.4</v>
      </c>
      <c r="H2359" s="113">
        <f t="shared" si="257"/>
        <v>53.722222222222221</v>
      </c>
      <c r="I2359" s="113">
        <v>3.1</v>
      </c>
      <c r="J2359" s="113">
        <v>11.04</v>
      </c>
      <c r="K2359" s="113">
        <v>1.9</v>
      </c>
      <c r="L2359" s="185"/>
      <c r="M2359" s="16">
        <v>2356</v>
      </c>
      <c r="N2359" s="16">
        <f t="shared" si="259"/>
        <v>1.8695225669133217E-2</v>
      </c>
      <c r="O2359" s="16">
        <v>5</v>
      </c>
      <c r="P2359" s="16">
        <f t="shared" si="255"/>
        <v>8.1742160278745661</v>
      </c>
      <c r="Q2359" s="16">
        <f t="shared" si="260"/>
        <v>53.489592353573542</v>
      </c>
      <c r="R2359" s="113">
        <f t="shared" si="256"/>
        <v>319.54399999999998</v>
      </c>
      <c r="S2359" s="16">
        <f>IF(S2358=15800,15800,ROUND((((Q2359*60)/'Gearing Calculator'!$C$14)*'Track Data'!P2359),-2))</f>
        <v>13300</v>
      </c>
      <c r="T2359" s="16">
        <f t="shared" si="258"/>
        <v>3.9727251010309819</v>
      </c>
      <c r="U2359" s="16">
        <f>IF(AC2359=100,Braking!$AG$2354,IF(AC2359=50,Braking!$AG$1179,IF(AC2359=75,Braking!$AG$1767,0)))</f>
        <v>0</v>
      </c>
      <c r="V2359" s="16">
        <f>0.5*'Gearing Calculator'!$C$15*'Gearing Calculator'!$C$20*'Gearing Calculator'!$W$20*('Track Data'!Q2359^2)</f>
        <v>302.82268611763186</v>
      </c>
      <c r="W2359" s="16">
        <f>('Gearing Calculator'!$U$9*'Track Data'!T2359)+'Track Data'!V2359</f>
        <v>1360.3621080120793</v>
      </c>
      <c r="X2359" s="16">
        <f>('Gearing Calculator'!$U$9*9.81)*('Gearing Calculator'!$U$16/'Gearing Calculator'!$C$7)-(('Track Data'!W2359)*('Gearing Calculator'!$U$17/'Gearing Calculator'!$C$7))</f>
        <v>659.67204692663938</v>
      </c>
      <c r="Y2359" s="16">
        <f>('Gearing Calculator'!$U$9*9.81)*(('Gearing Calculator'!$C$7-'Gearing Calculator'!$U$16)/'Gearing Calculator'!$C$7)+(('Track Data'!W2359)*('Gearing Calculator'!$U$17/'Gearing Calculator'!$C$7))</f>
        <v>1951.7499530733608</v>
      </c>
      <c r="Z2359" s="16">
        <f>((X2359*COS('Gearing Calculator'!$C$21))/'Gearing Calculator'!$C$22)/2</f>
        <v>20.394973326042766</v>
      </c>
      <c r="AA2359" s="16">
        <f>Y2359/'Gearing Calculator'!$C$24</f>
        <v>27.252975604395658</v>
      </c>
      <c r="AB2359" s="16">
        <f t="shared" si="261"/>
        <v>322.68631162278677</v>
      </c>
      <c r="AC2359" s="16">
        <v>0</v>
      </c>
      <c r="AD2359" s="16">
        <v>0</v>
      </c>
      <c r="AE2359" s="16">
        <v>2356</v>
      </c>
      <c r="AF2359" s="16">
        <f>IF(AC2359=0,IF(O2359=6,INDEX(Acceleration!$V$4:$V$110,MATCH('Track Data'!S2359,Acceleration!$K$4:$K$110,0)),IF('Track Data'!O2359=5,INDEX(Acceleration!$U$4:$U$110,MATCH('Track Data'!S2359,Acceleration!$K$4:$K$110,0)),1)),U2359)</f>
        <v>3.9727251010309819</v>
      </c>
      <c r="AG2359" s="16">
        <f>IF(AC2359=0,IF(O2359=4,INDEX(Acceleration!$T$4:$T$110,MATCH('Track Data'!S2359,Acceleration!$K$4:$K$110,0)),IF('Track Data'!O2359=3,INDEX(Acceleration!$S$4:$S$110,MATCH('Track Data'!S2359,Acceleration!$K$4:$K$110,0)),'Track Data'!AF2359)),'Track Data'!U2359)</f>
        <v>3.9727251010309819</v>
      </c>
      <c r="AH2359" s="16">
        <f>IF(AC2359=0,IF(O2359=2,INDEX(Acceleration!$R$4:$R$110,MATCH('Track Data'!S2359,Acceleration!$K$4:$K$110,0)),IF('Track Data'!O2359=1,INDEX(Acceleration!$Q$4:$Q$110,MATCH('Track Data'!S2359,Acceleration!$K$4:$K$110,0)),'Track Data'!AG2359)),'Track Data'!U2359)</f>
        <v>3.9727251010309819</v>
      </c>
    </row>
    <row r="2360" spans="2:34" x14ac:dyDescent="0.25">
      <c r="B2360" s="16">
        <v>256.803</v>
      </c>
      <c r="C2360" s="16">
        <v>9630</v>
      </c>
      <c r="D2360" s="16">
        <v>2357</v>
      </c>
      <c r="E2360" s="113">
        <v>197</v>
      </c>
      <c r="F2360" s="113">
        <v>195.8</v>
      </c>
      <c r="G2360" s="113">
        <v>193.6</v>
      </c>
      <c r="H2360" s="113">
        <f t="shared" si="257"/>
        <v>53.777777777777771</v>
      </c>
      <c r="I2360" s="113">
        <v>2</v>
      </c>
      <c r="J2360" s="113">
        <v>14.24</v>
      </c>
      <c r="K2360" s="113">
        <v>2.5</v>
      </c>
      <c r="L2360" s="185"/>
      <c r="M2360" s="16">
        <v>2357</v>
      </c>
      <c r="N2360" s="16">
        <f t="shared" si="259"/>
        <v>1.8669321046861698E-2</v>
      </c>
      <c r="O2360" s="16">
        <v>5</v>
      </c>
      <c r="P2360" s="16">
        <f t="shared" si="255"/>
        <v>8.1742160278745661</v>
      </c>
      <c r="Q2360" s="16">
        <f t="shared" si="260"/>
        <v>53.563811854213057</v>
      </c>
      <c r="R2360" s="113">
        <f t="shared" si="256"/>
        <v>319.54399999999998</v>
      </c>
      <c r="S2360" s="16">
        <f>IF(S2359=15800,15800,ROUND((((Q2360*60)/'Gearing Calculator'!$C$14)*'Track Data'!P2360),-2))</f>
        <v>13300</v>
      </c>
      <c r="T2360" s="16">
        <f t="shared" si="258"/>
        <v>3.9727251010309819</v>
      </c>
      <c r="U2360" s="16">
        <f>IF(AC2360=100,Braking!$AG$2354,IF(AC2360=50,Braking!$AG$1179,IF(AC2360=75,Braking!$AG$1767,0)))</f>
        <v>0</v>
      </c>
      <c r="V2360" s="16">
        <f>0.5*'Gearing Calculator'!$C$15*'Gearing Calculator'!$C$20*'Gearing Calculator'!$W$20*('Track Data'!Q2360^2)</f>
        <v>303.66363256701811</v>
      </c>
      <c r="W2360" s="16">
        <f>('Gearing Calculator'!$U$9*'Track Data'!T2360)+'Track Data'!V2360</f>
        <v>1361.2030544614654</v>
      </c>
      <c r="X2360" s="16">
        <f>('Gearing Calculator'!$U$9*9.81)*('Gearing Calculator'!$U$16/'Gearing Calculator'!$C$7)-(('Track Data'!W2360)*('Gearing Calculator'!$U$17/'Gearing Calculator'!$C$7))</f>
        <v>659.21367368035146</v>
      </c>
      <c r="Y2360" s="16">
        <f>('Gearing Calculator'!$U$9*9.81)*(('Gearing Calculator'!$C$7-'Gearing Calculator'!$U$16)/'Gearing Calculator'!$C$7)+(('Track Data'!W2360)*('Gearing Calculator'!$U$17/'Gearing Calculator'!$C$7))</f>
        <v>1952.2083263196487</v>
      </c>
      <c r="Z2360" s="16">
        <f>((X2360*COS('Gearing Calculator'!$C$21))/'Gearing Calculator'!$C$22)/2</f>
        <v>20.380801874978612</v>
      </c>
      <c r="AA2360" s="16">
        <f>Y2360/'Gearing Calculator'!$C$24</f>
        <v>27.25937603231888</v>
      </c>
      <c r="AB2360" s="16">
        <f t="shared" si="261"/>
        <v>323.52725807217303</v>
      </c>
      <c r="AC2360" s="16">
        <v>0</v>
      </c>
      <c r="AD2360" s="16">
        <v>0</v>
      </c>
      <c r="AE2360" s="16">
        <v>2357</v>
      </c>
      <c r="AF2360" s="16">
        <f>IF(AC2360=0,IF(O2360=6,INDEX(Acceleration!$V$4:$V$110,MATCH('Track Data'!S2360,Acceleration!$K$4:$K$110,0)),IF('Track Data'!O2360=5,INDEX(Acceleration!$U$4:$U$110,MATCH('Track Data'!S2360,Acceleration!$K$4:$K$110,0)),1)),U2360)</f>
        <v>3.9727251010309819</v>
      </c>
      <c r="AG2360" s="16">
        <f>IF(AC2360=0,IF(O2360=4,INDEX(Acceleration!$T$4:$T$110,MATCH('Track Data'!S2360,Acceleration!$K$4:$K$110,0)),IF('Track Data'!O2360=3,INDEX(Acceleration!$S$4:$S$110,MATCH('Track Data'!S2360,Acceleration!$K$4:$K$110,0)),'Track Data'!AF2360)),'Track Data'!U2360)</f>
        <v>3.9727251010309819</v>
      </c>
      <c r="AH2360" s="16">
        <f>IF(AC2360=0,IF(O2360=2,INDEX(Acceleration!$R$4:$R$110,MATCH('Track Data'!S2360,Acceleration!$K$4:$K$110,0)),IF('Track Data'!O2360=1,INDEX(Acceleration!$Q$4:$Q$110,MATCH('Track Data'!S2360,Acceleration!$K$4:$K$110,0)),'Track Data'!AG2360)),'Track Data'!U2360)</f>
        <v>3.9727251010309819</v>
      </c>
    </row>
    <row r="2361" spans="2:34" x14ac:dyDescent="0.25">
      <c r="B2361" s="16">
        <v>256.82100000000003</v>
      </c>
      <c r="C2361" s="16">
        <v>9631</v>
      </c>
      <c r="D2361" s="16">
        <v>2358</v>
      </c>
      <c r="E2361" s="113">
        <v>197</v>
      </c>
      <c r="F2361" s="113">
        <v>195.9</v>
      </c>
      <c r="G2361" s="113">
        <v>193.8</v>
      </c>
      <c r="H2361" s="113">
        <f t="shared" si="257"/>
        <v>53.833333333333336</v>
      </c>
      <c r="I2361" s="113">
        <v>1.7</v>
      </c>
      <c r="J2361" s="113">
        <v>16.25</v>
      </c>
      <c r="K2361" s="113">
        <v>2.1</v>
      </c>
      <c r="L2361" s="185"/>
      <c r="M2361" s="16">
        <v>2358</v>
      </c>
      <c r="N2361" s="16">
        <f t="shared" si="259"/>
        <v>1.8643523809518784E-2</v>
      </c>
      <c r="O2361" s="16">
        <v>5</v>
      </c>
      <c r="P2361" s="16">
        <f t="shared" si="255"/>
        <v>8.1742160278745661</v>
      </c>
      <c r="Q2361" s="16">
        <f t="shared" si="260"/>
        <v>53.637928656460971</v>
      </c>
      <c r="R2361" s="113">
        <f t="shared" si="256"/>
        <v>319.54399999999998</v>
      </c>
      <c r="S2361" s="16">
        <f>IF(S2360=15800,15800,ROUND((((Q2361*60)/'Gearing Calculator'!$C$14)*'Track Data'!P2361),-2))</f>
        <v>13300</v>
      </c>
      <c r="T2361" s="16">
        <f t="shared" si="258"/>
        <v>3.9727251010309819</v>
      </c>
      <c r="U2361" s="16">
        <f>IF(AC2361=100,Braking!$AG$2354,IF(AC2361=50,Braking!$AG$1179,IF(AC2361=75,Braking!$AG$1767,0)))</f>
        <v>0</v>
      </c>
      <c r="V2361" s="16">
        <f>0.5*'Gearing Calculator'!$C$15*'Gearing Calculator'!$C$20*'Gearing Calculator'!$W$20*('Track Data'!Q2361^2)</f>
        <v>304.50457901640436</v>
      </c>
      <c r="W2361" s="16">
        <f>('Gearing Calculator'!$U$9*'Track Data'!T2361)+'Track Data'!V2361</f>
        <v>1362.0440009108515</v>
      </c>
      <c r="X2361" s="16">
        <f>('Gearing Calculator'!$U$9*9.81)*('Gearing Calculator'!$U$16/'Gearing Calculator'!$C$7)-(('Track Data'!W2361)*('Gearing Calculator'!$U$17/'Gearing Calculator'!$C$7))</f>
        <v>658.75530043406366</v>
      </c>
      <c r="Y2361" s="16">
        <f>('Gearing Calculator'!$U$9*9.81)*(('Gearing Calculator'!$C$7-'Gearing Calculator'!$U$16)/'Gearing Calculator'!$C$7)+(('Track Data'!W2361)*('Gearing Calculator'!$U$17/'Gearing Calculator'!$C$7))</f>
        <v>1952.6666995659364</v>
      </c>
      <c r="Z2361" s="16">
        <f>((X2361*COS('Gearing Calculator'!$C$21))/'Gearing Calculator'!$C$22)/2</f>
        <v>20.366630423914458</v>
      </c>
      <c r="AA2361" s="16">
        <f>Y2361/'Gearing Calculator'!$C$24</f>
        <v>27.265776460242094</v>
      </c>
      <c r="AB2361" s="16">
        <f t="shared" si="261"/>
        <v>324.36820452155928</v>
      </c>
      <c r="AC2361" s="16">
        <v>0</v>
      </c>
      <c r="AD2361" s="16">
        <v>0</v>
      </c>
      <c r="AE2361" s="16">
        <v>2358</v>
      </c>
      <c r="AF2361" s="16">
        <f>IF(AC2361=0,IF(O2361=6,INDEX(Acceleration!$V$4:$V$110,MATCH('Track Data'!S2361,Acceleration!$K$4:$K$110,0)),IF('Track Data'!O2361=5,INDEX(Acceleration!$U$4:$U$110,MATCH('Track Data'!S2361,Acceleration!$K$4:$K$110,0)),1)),U2361)</f>
        <v>3.9727251010309819</v>
      </c>
      <c r="AG2361" s="16">
        <f>IF(AC2361=0,IF(O2361=4,INDEX(Acceleration!$T$4:$T$110,MATCH('Track Data'!S2361,Acceleration!$K$4:$K$110,0)),IF('Track Data'!O2361=3,INDEX(Acceleration!$S$4:$S$110,MATCH('Track Data'!S2361,Acceleration!$K$4:$K$110,0)),'Track Data'!AF2361)),'Track Data'!U2361)</f>
        <v>3.9727251010309819</v>
      </c>
      <c r="AH2361" s="16">
        <f>IF(AC2361=0,IF(O2361=2,INDEX(Acceleration!$R$4:$R$110,MATCH('Track Data'!S2361,Acceleration!$K$4:$K$110,0)),IF('Track Data'!O2361=1,INDEX(Acceleration!$Q$4:$Q$110,MATCH('Track Data'!S2361,Acceleration!$K$4:$K$110,0)),'Track Data'!AG2361)),'Track Data'!U2361)</f>
        <v>3.9727251010309819</v>
      </c>
    </row>
    <row r="2362" spans="2:34" x14ac:dyDescent="0.25">
      <c r="B2362" s="16">
        <v>256.839</v>
      </c>
      <c r="C2362" s="16">
        <v>9632</v>
      </c>
      <c r="D2362" s="16">
        <v>2359</v>
      </c>
      <c r="E2362" s="113">
        <v>197</v>
      </c>
      <c r="F2362" s="113">
        <v>195.9</v>
      </c>
      <c r="G2362" s="113">
        <v>193.9</v>
      </c>
      <c r="H2362" s="113">
        <f t="shared" si="257"/>
        <v>53.861111111111114</v>
      </c>
      <c r="I2362" s="113">
        <v>2.1</v>
      </c>
      <c r="J2362" s="113">
        <v>18.66</v>
      </c>
      <c r="K2362" s="113">
        <v>1.9</v>
      </c>
      <c r="L2362" s="185"/>
      <c r="M2362" s="16">
        <v>2359</v>
      </c>
      <c r="N2362" s="16">
        <f t="shared" si="259"/>
        <v>1.8617833217227129E-2</v>
      </c>
      <c r="O2362" s="16">
        <v>5</v>
      </c>
      <c r="P2362" s="16">
        <f t="shared" si="255"/>
        <v>8.1742160278745661</v>
      </c>
      <c r="Q2362" s="16">
        <f t="shared" si="260"/>
        <v>53.71194318545605</v>
      </c>
      <c r="R2362" s="113">
        <f t="shared" si="256"/>
        <v>319.54399999999998</v>
      </c>
      <c r="S2362" s="16">
        <f>IF(S2361=15800,15800,ROUND((((Q2362*60)/'Gearing Calculator'!$C$14)*'Track Data'!P2362),-2))</f>
        <v>13300</v>
      </c>
      <c r="T2362" s="16">
        <f t="shared" si="258"/>
        <v>3.9727251010309819</v>
      </c>
      <c r="U2362" s="16">
        <f>IF(AC2362=100,Braking!$AG$2354,IF(AC2362=50,Braking!$AG$1179,IF(AC2362=75,Braking!$AG$1767,0)))</f>
        <v>0</v>
      </c>
      <c r="V2362" s="16">
        <f>0.5*'Gearing Calculator'!$C$15*'Gearing Calculator'!$C$20*'Gearing Calculator'!$W$20*('Track Data'!Q2362^2)</f>
        <v>305.34552546579056</v>
      </c>
      <c r="W2362" s="16">
        <f>('Gearing Calculator'!$U$9*'Track Data'!T2362)+'Track Data'!V2362</f>
        <v>1362.8849473602379</v>
      </c>
      <c r="X2362" s="16">
        <f>('Gearing Calculator'!$U$9*9.81)*('Gearing Calculator'!$U$16/'Gearing Calculator'!$C$7)-(('Track Data'!W2362)*('Gearing Calculator'!$U$17/'Gearing Calculator'!$C$7))</f>
        <v>658.29692718777574</v>
      </c>
      <c r="Y2362" s="16">
        <f>('Gearing Calculator'!$U$9*9.81)*(('Gearing Calculator'!$C$7-'Gearing Calculator'!$U$16)/'Gearing Calculator'!$C$7)+(('Track Data'!W2362)*('Gearing Calculator'!$U$17/'Gearing Calculator'!$C$7))</f>
        <v>1953.1250728122243</v>
      </c>
      <c r="Z2362" s="16">
        <f>((X2362*COS('Gearing Calculator'!$C$21))/'Gearing Calculator'!$C$22)/2</f>
        <v>20.3524589728503</v>
      </c>
      <c r="AA2362" s="16">
        <f>Y2362/'Gearing Calculator'!$C$24</f>
        <v>27.272176888165312</v>
      </c>
      <c r="AB2362" s="16">
        <f t="shared" si="261"/>
        <v>325.20915097094547</v>
      </c>
      <c r="AC2362" s="16">
        <v>0</v>
      </c>
      <c r="AD2362" s="16">
        <v>0</v>
      </c>
      <c r="AE2362" s="16">
        <v>2359</v>
      </c>
      <c r="AF2362" s="16">
        <f>IF(AC2362=0,IF(O2362=6,INDEX(Acceleration!$V$4:$V$110,MATCH('Track Data'!S2362,Acceleration!$K$4:$K$110,0)),IF('Track Data'!O2362=5,INDEX(Acceleration!$U$4:$U$110,MATCH('Track Data'!S2362,Acceleration!$K$4:$K$110,0)),1)),U2362)</f>
        <v>3.9727251010309819</v>
      </c>
      <c r="AG2362" s="16">
        <f>IF(AC2362=0,IF(O2362=4,INDEX(Acceleration!$T$4:$T$110,MATCH('Track Data'!S2362,Acceleration!$K$4:$K$110,0)),IF('Track Data'!O2362=3,INDEX(Acceleration!$S$4:$S$110,MATCH('Track Data'!S2362,Acceleration!$K$4:$K$110,0)),'Track Data'!AF2362)),'Track Data'!U2362)</f>
        <v>3.9727251010309819</v>
      </c>
      <c r="AH2362" s="16">
        <f>IF(AC2362=0,IF(O2362=2,INDEX(Acceleration!$R$4:$R$110,MATCH('Track Data'!S2362,Acceleration!$K$4:$K$110,0)),IF('Track Data'!O2362=1,INDEX(Acceleration!$Q$4:$Q$110,MATCH('Track Data'!S2362,Acceleration!$K$4:$K$110,0)),'Track Data'!AG2362)),'Track Data'!U2362)</f>
        <v>3.9727251010309819</v>
      </c>
    </row>
    <row r="2363" spans="2:34" x14ac:dyDescent="0.25">
      <c r="B2363" s="16">
        <v>256.858</v>
      </c>
      <c r="C2363" s="16">
        <v>9633</v>
      </c>
      <c r="D2363" s="16">
        <v>2360</v>
      </c>
      <c r="E2363" s="113">
        <v>197</v>
      </c>
      <c r="F2363" s="113">
        <v>195.8</v>
      </c>
      <c r="G2363" s="113">
        <v>194.1</v>
      </c>
      <c r="H2363" s="113">
        <f t="shared" si="257"/>
        <v>53.916666666666664</v>
      </c>
      <c r="I2363" s="113">
        <v>4.9000000000000004</v>
      </c>
      <c r="J2363" s="113">
        <v>20.88</v>
      </c>
      <c r="K2363" s="113">
        <v>1.6</v>
      </c>
      <c r="L2363" s="185"/>
      <c r="M2363" s="16">
        <v>2360</v>
      </c>
      <c r="N2363" s="16">
        <f t="shared" si="259"/>
        <v>1.8592248537226588E-2</v>
      </c>
      <c r="O2363" s="16">
        <v>5</v>
      </c>
      <c r="P2363" s="16">
        <f t="shared" si="255"/>
        <v>8.1742160278745661</v>
      </c>
      <c r="Q2363" s="16">
        <f t="shared" si="260"/>
        <v>53.785855863411903</v>
      </c>
      <c r="R2363" s="113">
        <f t="shared" si="256"/>
        <v>319.54399999999998</v>
      </c>
      <c r="S2363" s="16">
        <f>IF(S2362=15800,15800,ROUND((((Q2363*60)/'Gearing Calculator'!$C$14)*'Track Data'!P2363),-2))</f>
        <v>13300</v>
      </c>
      <c r="T2363" s="16">
        <f t="shared" si="258"/>
        <v>3.9727251010309819</v>
      </c>
      <c r="U2363" s="16">
        <f>IF(AC2363=100,Braking!$AG$2354,IF(AC2363=50,Braking!$AG$1179,IF(AC2363=75,Braking!$AG$1767,0)))</f>
        <v>0</v>
      </c>
      <c r="V2363" s="16">
        <f>0.5*'Gearing Calculator'!$C$15*'Gearing Calculator'!$C$20*'Gearing Calculator'!$W$20*('Track Data'!Q2363^2)</f>
        <v>306.18647191517681</v>
      </c>
      <c r="W2363" s="16">
        <f>('Gearing Calculator'!$U$9*'Track Data'!T2363)+'Track Data'!V2363</f>
        <v>1363.725893809624</v>
      </c>
      <c r="X2363" s="16">
        <f>('Gearing Calculator'!$U$9*9.81)*('Gearing Calculator'!$U$16/'Gearing Calculator'!$C$7)-(('Track Data'!W2363)*('Gearing Calculator'!$U$17/'Gearing Calculator'!$C$7))</f>
        <v>657.83855394148782</v>
      </c>
      <c r="Y2363" s="16">
        <f>('Gearing Calculator'!$U$9*9.81)*(('Gearing Calculator'!$C$7-'Gearing Calculator'!$U$16)/'Gearing Calculator'!$C$7)+(('Track Data'!W2363)*('Gearing Calculator'!$U$17/'Gearing Calculator'!$C$7))</f>
        <v>1953.5834460585122</v>
      </c>
      <c r="Z2363" s="16">
        <f>((X2363*COS('Gearing Calculator'!$C$21))/'Gearing Calculator'!$C$22)/2</f>
        <v>20.338287521786139</v>
      </c>
      <c r="AA2363" s="16">
        <f>Y2363/'Gearing Calculator'!$C$24</f>
        <v>27.278577316088533</v>
      </c>
      <c r="AB2363" s="16">
        <f t="shared" si="261"/>
        <v>326.05009742033172</v>
      </c>
      <c r="AC2363" s="16">
        <v>0</v>
      </c>
      <c r="AD2363" s="16">
        <v>0</v>
      </c>
      <c r="AE2363" s="16">
        <v>2360</v>
      </c>
      <c r="AF2363" s="16">
        <f>IF(AC2363=0,IF(O2363=6,INDEX(Acceleration!$V$4:$V$110,MATCH('Track Data'!S2363,Acceleration!$K$4:$K$110,0)),IF('Track Data'!O2363=5,INDEX(Acceleration!$U$4:$U$110,MATCH('Track Data'!S2363,Acceleration!$K$4:$K$110,0)),1)),U2363)</f>
        <v>3.9727251010309819</v>
      </c>
      <c r="AG2363" s="16">
        <f>IF(AC2363=0,IF(O2363=4,INDEX(Acceleration!$T$4:$T$110,MATCH('Track Data'!S2363,Acceleration!$K$4:$K$110,0)),IF('Track Data'!O2363=3,INDEX(Acceleration!$S$4:$S$110,MATCH('Track Data'!S2363,Acceleration!$K$4:$K$110,0)),'Track Data'!AF2363)),'Track Data'!U2363)</f>
        <v>3.9727251010309819</v>
      </c>
      <c r="AH2363" s="16">
        <f>IF(AC2363=0,IF(O2363=2,INDEX(Acceleration!$R$4:$R$110,MATCH('Track Data'!S2363,Acceleration!$K$4:$K$110,0)),IF('Track Data'!O2363=1,INDEX(Acceleration!$Q$4:$Q$110,MATCH('Track Data'!S2363,Acceleration!$K$4:$K$110,0)),'Track Data'!AG2363)),'Track Data'!U2363)</f>
        <v>3.9727251010309819</v>
      </c>
    </row>
    <row r="2364" spans="2:34" x14ac:dyDescent="0.25">
      <c r="B2364" s="16">
        <v>256.87599999999998</v>
      </c>
      <c r="C2364" s="16">
        <v>9634</v>
      </c>
      <c r="D2364" s="16">
        <v>2361</v>
      </c>
      <c r="E2364" s="113">
        <v>196</v>
      </c>
      <c r="F2364" s="113">
        <v>195.6</v>
      </c>
      <c r="G2364" s="113">
        <v>194.3</v>
      </c>
      <c r="H2364" s="113">
        <f t="shared" si="257"/>
        <v>53.972222222222221</v>
      </c>
      <c r="I2364" s="113">
        <v>7.8</v>
      </c>
      <c r="J2364" s="113">
        <v>20.36</v>
      </c>
      <c r="K2364" s="113">
        <v>1.3</v>
      </c>
      <c r="L2364" s="185"/>
      <c r="M2364" s="16">
        <v>2361</v>
      </c>
      <c r="N2364" s="16">
        <f t="shared" si="259"/>
        <v>1.8566769043786426E-2</v>
      </c>
      <c r="O2364" s="16">
        <v>5</v>
      </c>
      <c r="P2364" s="16">
        <f t="shared" si="255"/>
        <v>8.1742160278745661</v>
      </c>
      <c r="Q2364" s="16">
        <f t="shared" si="260"/>
        <v>53.859667109645066</v>
      </c>
      <c r="R2364" s="113">
        <f t="shared" si="256"/>
        <v>319.54399999999998</v>
      </c>
      <c r="S2364" s="16">
        <f>IF(S2363=15800,15800,ROUND((((Q2364*60)/'Gearing Calculator'!$C$14)*'Track Data'!P2364),-2))</f>
        <v>13300</v>
      </c>
      <c r="T2364" s="16">
        <f t="shared" si="258"/>
        <v>3.9727251010309819</v>
      </c>
      <c r="U2364" s="16">
        <f>IF(AC2364=100,Braking!$AG$2354,IF(AC2364=50,Braking!$AG$1179,IF(AC2364=75,Braking!$AG$1767,0)))</f>
        <v>0</v>
      </c>
      <c r="V2364" s="16">
        <f>0.5*'Gearing Calculator'!$C$15*'Gearing Calculator'!$C$20*'Gearing Calculator'!$W$20*('Track Data'!Q2364^2)</f>
        <v>307.027418364563</v>
      </c>
      <c r="W2364" s="16">
        <f>('Gearing Calculator'!$U$9*'Track Data'!T2364)+'Track Data'!V2364</f>
        <v>1364.5668402590104</v>
      </c>
      <c r="X2364" s="16">
        <f>('Gearing Calculator'!$U$9*9.81)*('Gearing Calculator'!$U$16/'Gearing Calculator'!$C$7)-(('Track Data'!W2364)*('Gearing Calculator'!$U$17/'Gearing Calculator'!$C$7))</f>
        <v>657.3801806951999</v>
      </c>
      <c r="Y2364" s="16">
        <f>('Gearing Calculator'!$U$9*9.81)*(('Gearing Calculator'!$C$7-'Gearing Calculator'!$U$16)/'Gearing Calculator'!$C$7)+(('Track Data'!W2364)*('Gearing Calculator'!$U$17/'Gearing Calculator'!$C$7))</f>
        <v>1954.0418193048001</v>
      </c>
      <c r="Z2364" s="16">
        <f>((X2364*COS('Gearing Calculator'!$C$21))/'Gearing Calculator'!$C$22)/2</f>
        <v>20.324116070721981</v>
      </c>
      <c r="AA2364" s="16">
        <f>Y2364/'Gearing Calculator'!$C$24</f>
        <v>27.284977744011751</v>
      </c>
      <c r="AB2364" s="16">
        <f t="shared" si="261"/>
        <v>326.89104386971792</v>
      </c>
      <c r="AC2364" s="16">
        <v>0</v>
      </c>
      <c r="AD2364" s="16">
        <v>0</v>
      </c>
      <c r="AE2364" s="16">
        <v>2361</v>
      </c>
      <c r="AF2364" s="16">
        <f>IF(AC2364=0,IF(O2364=6,INDEX(Acceleration!$V$4:$V$110,MATCH('Track Data'!S2364,Acceleration!$K$4:$K$110,0)),IF('Track Data'!O2364=5,INDEX(Acceleration!$U$4:$U$110,MATCH('Track Data'!S2364,Acceleration!$K$4:$K$110,0)),1)),U2364)</f>
        <v>3.9727251010309819</v>
      </c>
      <c r="AG2364" s="16">
        <f>IF(AC2364=0,IF(O2364=4,INDEX(Acceleration!$T$4:$T$110,MATCH('Track Data'!S2364,Acceleration!$K$4:$K$110,0)),IF('Track Data'!O2364=3,INDEX(Acceleration!$S$4:$S$110,MATCH('Track Data'!S2364,Acceleration!$K$4:$K$110,0)),'Track Data'!AF2364)),'Track Data'!U2364)</f>
        <v>3.9727251010309819</v>
      </c>
      <c r="AH2364" s="16">
        <f>IF(AC2364=0,IF(O2364=2,INDEX(Acceleration!$R$4:$R$110,MATCH('Track Data'!S2364,Acceleration!$K$4:$K$110,0)),IF('Track Data'!O2364=1,INDEX(Acceleration!$Q$4:$Q$110,MATCH('Track Data'!S2364,Acceleration!$K$4:$K$110,0)),'Track Data'!AG2364)),'Track Data'!U2364)</f>
        <v>3.9727251010309819</v>
      </c>
    </row>
    <row r="2365" spans="2:34" x14ac:dyDescent="0.25">
      <c r="B2365" s="16">
        <v>256.89400000000001</v>
      </c>
      <c r="C2365" s="16">
        <v>9635</v>
      </c>
      <c r="D2365" s="16">
        <v>2362</v>
      </c>
      <c r="E2365" s="113">
        <v>197</v>
      </c>
      <c r="F2365" s="113">
        <v>195.8</v>
      </c>
      <c r="G2365" s="113">
        <v>194.4</v>
      </c>
      <c r="H2365" s="113">
        <f t="shared" si="257"/>
        <v>54</v>
      </c>
      <c r="I2365" s="113">
        <v>8.6999999999999993</v>
      </c>
      <c r="J2365" s="113">
        <v>18.14</v>
      </c>
      <c r="K2365" s="113">
        <v>1.7</v>
      </c>
      <c r="L2365" s="185"/>
      <c r="M2365" s="16">
        <v>2362</v>
      </c>
      <c r="N2365" s="16">
        <f t="shared" si="259"/>
        <v>1.8541394018118867E-2</v>
      </c>
      <c r="O2365" s="16">
        <v>5</v>
      </c>
      <c r="P2365" s="16">
        <f t="shared" si="255"/>
        <v>8.1742160278745661</v>
      </c>
      <c r="Q2365" s="16">
        <f t="shared" si="260"/>
        <v>53.933377340602775</v>
      </c>
      <c r="R2365" s="113">
        <f t="shared" si="256"/>
        <v>319.54399999999998</v>
      </c>
      <c r="S2365" s="16">
        <f>IF(S2364=15800,15800,ROUND((((Q2365*60)/'Gearing Calculator'!$C$14)*'Track Data'!P2365),-2))</f>
        <v>13400</v>
      </c>
      <c r="T2365" s="16">
        <f t="shared" si="258"/>
        <v>3.9259213927261993</v>
      </c>
      <c r="U2365" s="16">
        <f>IF(AC2365=100,Braking!$AG$2354,IF(AC2365=50,Braking!$AG$1179,IF(AC2365=75,Braking!$AG$1767,0)))</f>
        <v>0</v>
      </c>
      <c r="V2365" s="16">
        <f>0.5*'Gearing Calculator'!$C$15*'Gearing Calculator'!$C$20*'Gearing Calculator'!$W$20*('Track Data'!Q2365^2)</f>
        <v>307.86836481394931</v>
      </c>
      <c r="W2365" s="16">
        <f>('Gearing Calculator'!$U$9*'Track Data'!T2365)+'Track Data'!V2365</f>
        <v>1352.9486395576635</v>
      </c>
      <c r="X2365" s="16">
        <f>('Gearing Calculator'!$U$9*9.81)*('Gearing Calculator'!$U$16/'Gearing Calculator'!$C$7)-(('Track Data'!W2365)*('Gearing Calculator'!$U$17/'Gearing Calculator'!$C$7))</f>
        <v>663.71289352773226</v>
      </c>
      <c r="Y2365" s="16">
        <f>('Gearing Calculator'!$U$9*9.81)*(('Gearing Calculator'!$C$7-'Gearing Calculator'!$U$16)/'Gearing Calculator'!$C$7)+(('Track Data'!W2365)*('Gearing Calculator'!$U$17/'Gearing Calculator'!$C$7))</f>
        <v>1947.7091064722676</v>
      </c>
      <c r="Z2365" s="16">
        <f>((X2365*COS('Gearing Calculator'!$C$21))/'Gearing Calculator'!$C$22)/2</f>
        <v>20.519903522839606</v>
      </c>
      <c r="AA2365" s="16">
        <f>Y2365/'Gearing Calculator'!$C$24</f>
        <v>27.196551832658258</v>
      </c>
      <c r="AB2365" s="16">
        <f t="shared" si="261"/>
        <v>327.49797177758029</v>
      </c>
      <c r="AC2365" s="16">
        <v>0</v>
      </c>
      <c r="AD2365" s="16">
        <v>0</v>
      </c>
      <c r="AE2365" s="16">
        <v>2362</v>
      </c>
      <c r="AF2365" s="16">
        <f>IF(AC2365=0,IF(O2365=6,INDEX(Acceleration!$V$4:$V$110,MATCH('Track Data'!S2365,Acceleration!$K$4:$K$110,0)),IF('Track Data'!O2365=5,INDEX(Acceleration!$U$4:$U$110,MATCH('Track Data'!S2365,Acceleration!$K$4:$K$110,0)),1)),U2365)</f>
        <v>3.9259213927261993</v>
      </c>
      <c r="AG2365" s="16">
        <f>IF(AC2365=0,IF(O2365=4,INDEX(Acceleration!$T$4:$T$110,MATCH('Track Data'!S2365,Acceleration!$K$4:$K$110,0)),IF('Track Data'!O2365=3,INDEX(Acceleration!$S$4:$S$110,MATCH('Track Data'!S2365,Acceleration!$K$4:$K$110,0)),'Track Data'!AF2365)),'Track Data'!U2365)</f>
        <v>3.9259213927261993</v>
      </c>
      <c r="AH2365" s="16">
        <f>IF(AC2365=0,IF(O2365=2,INDEX(Acceleration!$R$4:$R$110,MATCH('Track Data'!S2365,Acceleration!$K$4:$K$110,0)),IF('Track Data'!O2365=1,INDEX(Acceleration!$Q$4:$Q$110,MATCH('Track Data'!S2365,Acceleration!$K$4:$K$110,0)),'Track Data'!AG2365)),'Track Data'!U2365)</f>
        <v>3.9259213927261993</v>
      </c>
    </row>
    <row r="2366" spans="2:34" x14ac:dyDescent="0.25">
      <c r="B2366" s="16">
        <v>256.91300000000001</v>
      </c>
      <c r="C2366" s="16">
        <v>9636</v>
      </c>
      <c r="D2366" s="16">
        <v>2363</v>
      </c>
      <c r="E2366" s="113">
        <v>198</v>
      </c>
      <c r="F2366" s="113">
        <v>196.3</v>
      </c>
      <c r="G2366" s="113">
        <v>194.6</v>
      </c>
      <c r="H2366" s="113">
        <f t="shared" si="257"/>
        <v>54.05555555555555</v>
      </c>
      <c r="I2366" s="113">
        <v>8</v>
      </c>
      <c r="J2366" s="113">
        <v>15.93</v>
      </c>
      <c r="K2366" s="113">
        <v>2.5</v>
      </c>
      <c r="L2366" s="185"/>
      <c r="M2366" s="16">
        <v>2363</v>
      </c>
      <c r="N2366" s="16">
        <f t="shared" si="259"/>
        <v>1.8516419874440786E-2</v>
      </c>
      <c r="O2366" s="16">
        <v>5</v>
      </c>
      <c r="P2366" s="16">
        <f t="shared" si="255"/>
        <v>8.1742160278745661</v>
      </c>
      <c r="Q2366" s="16">
        <f t="shared" si="260"/>
        <v>54.006120339729065</v>
      </c>
      <c r="R2366" s="113">
        <f t="shared" si="256"/>
        <v>319.54399999999998</v>
      </c>
      <c r="S2366" s="16">
        <f>IF(S2365=15800,15800,ROUND((((Q2366*60)/'Gearing Calculator'!$C$14)*'Track Data'!P2366),-2))</f>
        <v>13400</v>
      </c>
      <c r="T2366" s="16">
        <f t="shared" si="258"/>
        <v>3.9259213927261993</v>
      </c>
      <c r="U2366" s="16">
        <f>IF(AC2366=100,Braking!$AG$2354,IF(AC2366=50,Braking!$AG$1179,IF(AC2366=75,Braking!$AG$1767,0)))</f>
        <v>0</v>
      </c>
      <c r="V2366" s="16">
        <f>0.5*'Gearing Calculator'!$C$15*'Gearing Calculator'!$C$20*'Gearing Calculator'!$W$20*('Track Data'!Q2366^2)</f>
        <v>308.69940385436161</v>
      </c>
      <c r="W2366" s="16">
        <f>('Gearing Calculator'!$U$9*'Track Data'!T2366)+'Track Data'!V2366</f>
        <v>1353.7796785980759</v>
      </c>
      <c r="X2366" s="16">
        <f>('Gearing Calculator'!$U$9*9.81)*('Gearing Calculator'!$U$16/'Gearing Calculator'!$C$7)-(('Track Data'!W2366)*('Gearing Calculator'!$U$17/'Gearing Calculator'!$C$7))</f>
        <v>663.25992049594902</v>
      </c>
      <c r="Y2366" s="16">
        <f>('Gearing Calculator'!$U$9*9.81)*(('Gearing Calculator'!$C$7-'Gearing Calculator'!$U$16)/'Gearing Calculator'!$C$7)+(('Track Data'!W2366)*('Gearing Calculator'!$U$17/'Gearing Calculator'!$C$7))</f>
        <v>1948.162079504051</v>
      </c>
      <c r="Z2366" s="16">
        <f>((X2366*COS('Gearing Calculator'!$C$21))/'Gearing Calculator'!$C$22)/2</f>
        <v>20.505899029328511</v>
      </c>
      <c r="AA2366" s="16">
        <f>Y2366/'Gearing Calculator'!$C$24</f>
        <v>27.202876855474425</v>
      </c>
      <c r="AB2366" s="16">
        <f t="shared" si="261"/>
        <v>328.32901081799258</v>
      </c>
      <c r="AC2366" s="16">
        <v>0</v>
      </c>
      <c r="AD2366" s="16">
        <v>0</v>
      </c>
      <c r="AE2366" s="16">
        <v>2363</v>
      </c>
      <c r="AF2366" s="16">
        <f>IF(AC2366=0,IF(O2366=6,INDEX(Acceleration!$V$4:$V$110,MATCH('Track Data'!S2366,Acceleration!$K$4:$K$110,0)),IF('Track Data'!O2366=5,INDEX(Acceleration!$U$4:$U$110,MATCH('Track Data'!S2366,Acceleration!$K$4:$K$110,0)),1)),U2366)</f>
        <v>3.9259213927261993</v>
      </c>
      <c r="AG2366" s="16">
        <f>IF(AC2366=0,IF(O2366=4,INDEX(Acceleration!$T$4:$T$110,MATCH('Track Data'!S2366,Acceleration!$K$4:$K$110,0)),IF('Track Data'!O2366=3,INDEX(Acceleration!$S$4:$S$110,MATCH('Track Data'!S2366,Acceleration!$K$4:$K$110,0)),'Track Data'!AF2366)),'Track Data'!U2366)</f>
        <v>3.9259213927261993</v>
      </c>
      <c r="AH2366" s="16">
        <f>IF(AC2366=0,IF(O2366=2,INDEX(Acceleration!$R$4:$R$110,MATCH('Track Data'!S2366,Acceleration!$K$4:$K$110,0)),IF('Track Data'!O2366=1,INDEX(Acceleration!$Q$4:$Q$110,MATCH('Track Data'!S2366,Acceleration!$K$4:$K$110,0)),'Track Data'!AG2366)),'Track Data'!U2366)</f>
        <v>3.9259213927261993</v>
      </c>
    </row>
    <row r="2367" spans="2:34" x14ac:dyDescent="0.25">
      <c r="B2367" s="16">
        <v>256.93099999999998</v>
      </c>
      <c r="C2367" s="16">
        <v>9637</v>
      </c>
      <c r="D2367" s="16">
        <v>2364</v>
      </c>
      <c r="E2367" s="113">
        <v>198</v>
      </c>
      <c r="F2367" s="113">
        <v>196.8</v>
      </c>
      <c r="G2367" s="113">
        <v>194.8</v>
      </c>
      <c r="H2367" s="113">
        <f t="shared" si="257"/>
        <v>54.111111111111114</v>
      </c>
      <c r="I2367" s="113">
        <v>5.7</v>
      </c>
      <c r="J2367" s="113">
        <v>15.1</v>
      </c>
      <c r="K2367" s="113">
        <v>3.3</v>
      </c>
      <c r="L2367" s="185"/>
      <c r="M2367" s="16">
        <v>2364</v>
      </c>
      <c r="N2367" s="16">
        <f t="shared" si="259"/>
        <v>1.8491546375680609E-2</v>
      </c>
      <c r="O2367" s="16">
        <v>5</v>
      </c>
      <c r="P2367" s="16">
        <f t="shared" si="255"/>
        <v>8.1742160278745661</v>
      </c>
      <c r="Q2367" s="16">
        <f t="shared" si="260"/>
        <v>54.078765490114044</v>
      </c>
      <c r="R2367" s="113">
        <f t="shared" si="256"/>
        <v>319.54399999999998</v>
      </c>
      <c r="S2367" s="16">
        <f>IF(S2366=15800,15800,ROUND((((Q2367*60)/'Gearing Calculator'!$C$14)*'Track Data'!P2367),-2))</f>
        <v>13400</v>
      </c>
      <c r="T2367" s="16">
        <f t="shared" si="258"/>
        <v>3.9259213927261993</v>
      </c>
      <c r="U2367" s="16">
        <f>IF(AC2367=100,Braking!$AG$2354,IF(AC2367=50,Braking!$AG$1179,IF(AC2367=75,Braking!$AG$1767,0)))</f>
        <v>0</v>
      </c>
      <c r="V2367" s="16">
        <f>0.5*'Gearing Calculator'!$C$15*'Gearing Calculator'!$C$20*'Gearing Calculator'!$W$20*('Track Data'!Q2367^2)</f>
        <v>309.5304428947739</v>
      </c>
      <c r="W2367" s="16">
        <f>('Gearing Calculator'!$U$9*'Track Data'!T2367)+'Track Data'!V2367</f>
        <v>1354.610717638488</v>
      </c>
      <c r="X2367" s="16">
        <f>('Gearing Calculator'!$U$9*9.81)*('Gearing Calculator'!$U$16/'Gearing Calculator'!$C$7)-(('Track Data'!W2367)*('Gearing Calculator'!$U$17/'Gearing Calculator'!$C$7))</f>
        <v>662.80694746416589</v>
      </c>
      <c r="Y2367" s="16">
        <f>('Gearing Calculator'!$U$9*9.81)*(('Gearing Calculator'!$C$7-'Gearing Calculator'!$U$16)/'Gearing Calculator'!$C$7)+(('Track Data'!W2367)*('Gearing Calculator'!$U$17/'Gearing Calculator'!$C$7))</f>
        <v>1948.6150525358341</v>
      </c>
      <c r="Z2367" s="16">
        <f>((X2367*COS('Gearing Calculator'!$C$21))/'Gearing Calculator'!$C$22)/2</f>
        <v>20.491894535817419</v>
      </c>
      <c r="AA2367" s="16">
        <f>Y2367/'Gearing Calculator'!$C$24</f>
        <v>27.209201878290589</v>
      </c>
      <c r="AB2367" s="16">
        <f t="shared" si="261"/>
        <v>329.16004985840488</v>
      </c>
      <c r="AC2367" s="16">
        <v>0</v>
      </c>
      <c r="AD2367" s="16">
        <v>0</v>
      </c>
      <c r="AE2367" s="16">
        <v>2364</v>
      </c>
      <c r="AF2367" s="16">
        <f>IF(AC2367=0,IF(O2367=6,INDEX(Acceleration!$V$4:$V$110,MATCH('Track Data'!S2367,Acceleration!$K$4:$K$110,0)),IF('Track Data'!O2367=5,INDEX(Acceleration!$U$4:$U$110,MATCH('Track Data'!S2367,Acceleration!$K$4:$K$110,0)),1)),U2367)</f>
        <v>3.9259213927261993</v>
      </c>
      <c r="AG2367" s="16">
        <f>IF(AC2367=0,IF(O2367=4,INDEX(Acceleration!$T$4:$T$110,MATCH('Track Data'!S2367,Acceleration!$K$4:$K$110,0)),IF('Track Data'!O2367=3,INDEX(Acceleration!$S$4:$S$110,MATCH('Track Data'!S2367,Acceleration!$K$4:$K$110,0)),'Track Data'!AF2367)),'Track Data'!U2367)</f>
        <v>3.9259213927261993</v>
      </c>
      <c r="AH2367" s="16">
        <f>IF(AC2367=0,IF(O2367=2,INDEX(Acceleration!$R$4:$R$110,MATCH('Track Data'!S2367,Acceleration!$K$4:$K$110,0)),IF('Track Data'!O2367=1,INDEX(Acceleration!$Q$4:$Q$110,MATCH('Track Data'!S2367,Acceleration!$K$4:$K$110,0)),'Track Data'!AG2367)),'Track Data'!U2367)</f>
        <v>3.9259213927261993</v>
      </c>
    </row>
    <row r="2368" spans="2:34" x14ac:dyDescent="0.25">
      <c r="B2368" s="16">
        <v>256.94900000000001</v>
      </c>
      <c r="C2368" s="16">
        <v>9638</v>
      </c>
      <c r="D2368" s="16">
        <v>2365</v>
      </c>
      <c r="E2368" s="113">
        <v>198</v>
      </c>
      <c r="F2368" s="113">
        <v>197.1</v>
      </c>
      <c r="G2368" s="113">
        <v>194.9</v>
      </c>
      <c r="H2368" s="113">
        <f t="shared" si="257"/>
        <v>54.138888888888886</v>
      </c>
      <c r="I2368" s="113">
        <v>5.0999999999999996</v>
      </c>
      <c r="J2368" s="113">
        <v>14.46</v>
      </c>
      <c r="K2368" s="113">
        <v>3.7</v>
      </c>
      <c r="L2368" s="185"/>
      <c r="M2368" s="16">
        <v>2365</v>
      </c>
      <c r="N2368" s="16">
        <f t="shared" si="259"/>
        <v>1.8466772847656975E-2</v>
      </c>
      <c r="O2368" s="16">
        <v>5</v>
      </c>
      <c r="P2368" s="16">
        <f t="shared" si="255"/>
        <v>8.1742160278745661</v>
      </c>
      <c r="Q2368" s="16">
        <f t="shared" si="260"/>
        <v>54.15131318555629</v>
      </c>
      <c r="R2368" s="113">
        <f t="shared" si="256"/>
        <v>319.54399999999998</v>
      </c>
      <c r="S2368" s="16">
        <f>IF(S2367=15800,15800,ROUND((((Q2368*60)/'Gearing Calculator'!$C$14)*'Track Data'!P2368),-2))</f>
        <v>13400</v>
      </c>
      <c r="T2368" s="16">
        <f t="shared" si="258"/>
        <v>3.9259213927261993</v>
      </c>
      <c r="U2368" s="16">
        <f>IF(AC2368=100,Braking!$AG$2354,IF(AC2368=50,Braking!$AG$1179,IF(AC2368=75,Braking!$AG$1767,0)))</f>
        <v>0</v>
      </c>
      <c r="V2368" s="16">
        <f>0.5*'Gearing Calculator'!$C$15*'Gearing Calculator'!$C$20*'Gearing Calculator'!$W$20*('Track Data'!Q2368^2)</f>
        <v>310.36148193518619</v>
      </c>
      <c r="W2368" s="16">
        <f>('Gearing Calculator'!$U$9*'Track Data'!T2368)+'Track Data'!V2368</f>
        <v>1355.4417566789004</v>
      </c>
      <c r="X2368" s="16">
        <f>('Gearing Calculator'!$U$9*9.81)*('Gearing Calculator'!$U$16/'Gearing Calculator'!$C$7)-(('Track Data'!W2368)*('Gearing Calculator'!$U$17/'Gearing Calculator'!$C$7))</f>
        <v>662.35397443238276</v>
      </c>
      <c r="Y2368" s="16">
        <f>('Gearing Calculator'!$U$9*9.81)*(('Gearing Calculator'!$C$7-'Gearing Calculator'!$U$16)/'Gearing Calculator'!$C$7)+(('Track Data'!W2368)*('Gearing Calculator'!$U$17/'Gearing Calculator'!$C$7))</f>
        <v>1949.0680255676173</v>
      </c>
      <c r="Z2368" s="16">
        <f>((X2368*COS('Gearing Calculator'!$C$21))/'Gearing Calculator'!$C$22)/2</f>
        <v>20.477890042306324</v>
      </c>
      <c r="AA2368" s="16">
        <f>Y2368/'Gearing Calculator'!$C$24</f>
        <v>27.215526901106749</v>
      </c>
      <c r="AB2368" s="16">
        <f t="shared" si="261"/>
        <v>329.99108889881717</v>
      </c>
      <c r="AC2368" s="16">
        <v>0</v>
      </c>
      <c r="AD2368" s="16">
        <v>0</v>
      </c>
      <c r="AE2368" s="16">
        <v>2365</v>
      </c>
      <c r="AF2368" s="16">
        <f>IF(AC2368=0,IF(O2368=6,INDEX(Acceleration!$V$4:$V$110,MATCH('Track Data'!S2368,Acceleration!$K$4:$K$110,0)),IF('Track Data'!O2368=5,INDEX(Acceleration!$U$4:$U$110,MATCH('Track Data'!S2368,Acceleration!$K$4:$K$110,0)),1)),U2368)</f>
        <v>3.9259213927261993</v>
      </c>
      <c r="AG2368" s="16">
        <f>IF(AC2368=0,IF(O2368=4,INDEX(Acceleration!$T$4:$T$110,MATCH('Track Data'!S2368,Acceleration!$K$4:$K$110,0)),IF('Track Data'!O2368=3,INDEX(Acceleration!$S$4:$S$110,MATCH('Track Data'!S2368,Acceleration!$K$4:$K$110,0)),'Track Data'!AF2368)),'Track Data'!U2368)</f>
        <v>3.9259213927261993</v>
      </c>
      <c r="AH2368" s="16">
        <f>IF(AC2368=0,IF(O2368=2,INDEX(Acceleration!$R$4:$R$110,MATCH('Track Data'!S2368,Acceleration!$K$4:$K$110,0)),IF('Track Data'!O2368=1,INDEX(Acceleration!$Q$4:$Q$110,MATCH('Track Data'!S2368,Acceleration!$K$4:$K$110,0)),'Track Data'!AG2368)),'Track Data'!U2368)</f>
        <v>3.9259213927261993</v>
      </c>
    </row>
    <row r="2369" spans="2:34" x14ac:dyDescent="0.25">
      <c r="B2369" s="16">
        <v>256.96699999999998</v>
      </c>
      <c r="C2369" s="16">
        <v>9639</v>
      </c>
      <c r="D2369" s="16">
        <v>2366</v>
      </c>
      <c r="E2369" s="113">
        <v>198</v>
      </c>
      <c r="F2369" s="113">
        <v>197.7</v>
      </c>
      <c r="G2369" s="113">
        <v>195</v>
      </c>
      <c r="H2369" s="113">
        <f t="shared" si="257"/>
        <v>54.166666666666664</v>
      </c>
      <c r="I2369" s="113">
        <v>4.4000000000000004</v>
      </c>
      <c r="J2369" s="113">
        <v>16.739999999999998</v>
      </c>
      <c r="K2369" s="113">
        <v>4.4000000000000004</v>
      </c>
      <c r="L2369" s="185"/>
      <c r="M2369" s="16">
        <v>2366</v>
      </c>
      <c r="N2369" s="16">
        <f t="shared" si="259"/>
        <v>1.8442098622494137E-2</v>
      </c>
      <c r="O2369" s="16">
        <v>5</v>
      </c>
      <c r="P2369" s="16">
        <f t="shared" si="255"/>
        <v>8.1742160278745661</v>
      </c>
      <c r="Q2369" s="16">
        <f t="shared" si="260"/>
        <v>54.223763817219982</v>
      </c>
      <c r="R2369" s="113">
        <f t="shared" si="256"/>
        <v>319.54399999999998</v>
      </c>
      <c r="S2369" s="16">
        <f>IF(S2368=15800,15800,ROUND((((Q2369*60)/'Gearing Calculator'!$C$14)*'Track Data'!P2369),-2))</f>
        <v>13400</v>
      </c>
      <c r="T2369" s="16">
        <f t="shared" si="258"/>
        <v>3.9259213927261993</v>
      </c>
      <c r="U2369" s="16">
        <f>IF(AC2369=100,Braking!$AG$2354,IF(AC2369=50,Braking!$AG$1179,IF(AC2369=75,Braking!$AG$1767,0)))</f>
        <v>0</v>
      </c>
      <c r="V2369" s="16">
        <f>0.5*'Gearing Calculator'!$C$15*'Gearing Calculator'!$C$20*'Gearing Calculator'!$W$20*('Track Data'!Q2369^2)</f>
        <v>311.19252097559848</v>
      </c>
      <c r="W2369" s="16">
        <f>('Gearing Calculator'!$U$9*'Track Data'!T2369)+'Track Data'!V2369</f>
        <v>1356.2727957193126</v>
      </c>
      <c r="X2369" s="16">
        <f>('Gearing Calculator'!$U$9*9.81)*('Gearing Calculator'!$U$16/'Gearing Calculator'!$C$7)-(('Track Data'!W2369)*('Gearing Calculator'!$U$17/'Gearing Calculator'!$C$7))</f>
        <v>661.90100140059963</v>
      </c>
      <c r="Y2369" s="16">
        <f>('Gearing Calculator'!$U$9*9.81)*(('Gearing Calculator'!$C$7-'Gearing Calculator'!$U$16)/'Gearing Calculator'!$C$7)+(('Track Data'!W2369)*('Gearing Calculator'!$U$17/'Gearing Calculator'!$C$7))</f>
        <v>1949.5209985994004</v>
      </c>
      <c r="Z2369" s="16">
        <f>((X2369*COS('Gearing Calculator'!$C$21))/'Gearing Calculator'!$C$22)/2</f>
        <v>20.463885548795233</v>
      </c>
      <c r="AA2369" s="16">
        <f>Y2369/'Gearing Calculator'!$C$24</f>
        <v>27.221851923922912</v>
      </c>
      <c r="AB2369" s="16">
        <f t="shared" si="261"/>
        <v>330.82212793922946</v>
      </c>
      <c r="AC2369" s="16">
        <v>0</v>
      </c>
      <c r="AD2369" s="16">
        <v>0</v>
      </c>
      <c r="AE2369" s="16">
        <v>2366</v>
      </c>
      <c r="AF2369" s="16">
        <f>IF(AC2369=0,IF(O2369=6,INDEX(Acceleration!$V$4:$V$110,MATCH('Track Data'!S2369,Acceleration!$K$4:$K$110,0)),IF('Track Data'!O2369=5,INDEX(Acceleration!$U$4:$U$110,MATCH('Track Data'!S2369,Acceleration!$K$4:$K$110,0)),1)),U2369)</f>
        <v>3.9259213927261993</v>
      </c>
      <c r="AG2369" s="16">
        <f>IF(AC2369=0,IF(O2369=4,INDEX(Acceleration!$T$4:$T$110,MATCH('Track Data'!S2369,Acceleration!$K$4:$K$110,0)),IF('Track Data'!O2369=3,INDEX(Acceleration!$S$4:$S$110,MATCH('Track Data'!S2369,Acceleration!$K$4:$K$110,0)),'Track Data'!AF2369)),'Track Data'!U2369)</f>
        <v>3.9259213927261993</v>
      </c>
      <c r="AH2369" s="16">
        <f>IF(AC2369=0,IF(O2369=2,INDEX(Acceleration!$R$4:$R$110,MATCH('Track Data'!S2369,Acceleration!$K$4:$K$110,0)),IF('Track Data'!O2369=1,INDEX(Acceleration!$Q$4:$Q$110,MATCH('Track Data'!S2369,Acceleration!$K$4:$K$110,0)),'Track Data'!AG2369)),'Track Data'!U2369)</f>
        <v>3.9259213927261993</v>
      </c>
    </row>
    <row r="2370" spans="2:34" x14ac:dyDescent="0.25">
      <c r="B2370" s="16">
        <v>256.98599999999999</v>
      </c>
      <c r="C2370" s="16">
        <v>9640</v>
      </c>
      <c r="D2370" s="16">
        <v>2367</v>
      </c>
      <c r="E2370" s="113">
        <v>198</v>
      </c>
      <c r="F2370" s="113">
        <v>198.3</v>
      </c>
      <c r="G2370" s="113">
        <v>195.2</v>
      </c>
      <c r="H2370" s="113">
        <f t="shared" si="257"/>
        <v>54.222222222222214</v>
      </c>
      <c r="I2370" s="113">
        <v>5.2</v>
      </c>
      <c r="J2370" s="113">
        <v>19.25</v>
      </c>
      <c r="K2370" s="113">
        <v>4.4000000000000004</v>
      </c>
      <c r="L2370" s="185"/>
      <c r="M2370" s="16">
        <v>2367</v>
      </c>
      <c r="N2370" s="16">
        <f t="shared" si="259"/>
        <v>1.8417523038546341E-2</v>
      </c>
      <c r="O2370" s="16">
        <v>5</v>
      </c>
      <c r="P2370" s="16">
        <f t="shared" si="255"/>
        <v>8.1742160278745661</v>
      </c>
      <c r="Q2370" s="16">
        <f t="shared" si="260"/>
        <v>54.296117773659539</v>
      </c>
      <c r="R2370" s="113">
        <f t="shared" si="256"/>
        <v>319.54399999999998</v>
      </c>
      <c r="S2370" s="16">
        <f>IF(S2369=15800,15800,ROUND((((Q2370*60)/'Gearing Calculator'!$C$14)*'Track Data'!P2370),-2))</f>
        <v>13500</v>
      </c>
      <c r="T2370" s="16">
        <f t="shared" si="258"/>
        <v>3.879554995965909</v>
      </c>
      <c r="U2370" s="16">
        <f>IF(AC2370=100,Braking!$AG$2354,IF(AC2370=50,Braking!$AG$1179,IF(AC2370=75,Braking!$AG$1767,0)))</f>
        <v>0</v>
      </c>
      <c r="V2370" s="16">
        <f>0.5*'Gearing Calculator'!$C$15*'Gearing Calculator'!$C$20*'Gearing Calculator'!$W$20*('Track Data'!Q2370^2)</f>
        <v>312.02356001601078</v>
      </c>
      <c r="W2370" s="16">
        <f>('Gearing Calculator'!$U$9*'Track Data'!T2370)+'Track Data'!V2370</f>
        <v>1344.7610999421358</v>
      </c>
      <c r="X2370" s="16">
        <f>('Gearing Calculator'!$U$9*9.81)*('Gearing Calculator'!$U$16/'Gearing Calculator'!$C$7)-(('Track Data'!W2370)*('Gearing Calculator'!$U$17/'Gearing Calculator'!$C$7))</f>
        <v>668.17566177584035</v>
      </c>
      <c r="Y2370" s="16">
        <f>('Gearing Calculator'!$U$9*9.81)*(('Gearing Calculator'!$C$7-'Gearing Calculator'!$U$16)/'Gearing Calculator'!$C$7)+(('Track Data'!W2370)*('Gearing Calculator'!$U$17/'Gearing Calculator'!$C$7))</f>
        <v>1943.2463382241597</v>
      </c>
      <c r="Z2370" s="16">
        <f>((X2370*COS('Gearing Calculator'!$C$21))/'Gearing Calculator'!$C$22)/2</f>
        <v>20.657878202537681</v>
      </c>
      <c r="AA2370" s="16">
        <f>Y2370/'Gearing Calculator'!$C$24</f>
        <v>27.134236619583834</v>
      </c>
      <c r="AB2370" s="16">
        <f t="shared" si="261"/>
        <v>331.42133499584031</v>
      </c>
      <c r="AC2370" s="16">
        <v>0</v>
      </c>
      <c r="AD2370" s="16">
        <v>0</v>
      </c>
      <c r="AE2370" s="16">
        <v>2367</v>
      </c>
      <c r="AF2370" s="16">
        <f>IF(AC2370=0,IF(O2370=6,INDEX(Acceleration!$V$4:$V$110,MATCH('Track Data'!S2370,Acceleration!$K$4:$K$110,0)),IF('Track Data'!O2370=5,INDEX(Acceleration!$U$4:$U$110,MATCH('Track Data'!S2370,Acceleration!$K$4:$K$110,0)),1)),U2370)</f>
        <v>3.879554995965909</v>
      </c>
      <c r="AG2370" s="16">
        <f>IF(AC2370=0,IF(O2370=4,INDEX(Acceleration!$T$4:$T$110,MATCH('Track Data'!S2370,Acceleration!$K$4:$K$110,0)),IF('Track Data'!O2370=3,INDEX(Acceleration!$S$4:$S$110,MATCH('Track Data'!S2370,Acceleration!$K$4:$K$110,0)),'Track Data'!AF2370)),'Track Data'!U2370)</f>
        <v>3.879554995965909</v>
      </c>
      <c r="AH2370" s="16">
        <f>IF(AC2370=0,IF(O2370=2,INDEX(Acceleration!$R$4:$R$110,MATCH('Track Data'!S2370,Acceleration!$K$4:$K$110,0)),IF('Track Data'!O2370=1,INDEX(Acceleration!$Q$4:$Q$110,MATCH('Track Data'!S2370,Acceleration!$K$4:$K$110,0)),'Track Data'!AG2370)),'Track Data'!U2370)</f>
        <v>3.879554995965909</v>
      </c>
    </row>
    <row r="2371" spans="2:34" x14ac:dyDescent="0.25">
      <c r="B2371" s="16">
        <v>257.00400000000002</v>
      </c>
      <c r="C2371" s="16">
        <v>9642</v>
      </c>
      <c r="D2371" s="16">
        <v>2368</v>
      </c>
      <c r="E2371" s="113">
        <v>198</v>
      </c>
      <c r="F2371" s="113">
        <v>198.7</v>
      </c>
      <c r="G2371" s="113">
        <v>195.4</v>
      </c>
      <c r="H2371" s="113">
        <f t="shared" si="257"/>
        <v>54.277777777777779</v>
      </c>
      <c r="I2371" s="113">
        <v>6.1</v>
      </c>
      <c r="J2371" s="113">
        <v>18.88</v>
      </c>
      <c r="K2371" s="113">
        <v>4.4000000000000004</v>
      </c>
      <c r="L2371" s="185"/>
      <c r="M2371" s="16">
        <v>2368</v>
      </c>
      <c r="N2371" s="16">
        <f t="shared" si="259"/>
        <v>1.8393333959375712E-2</v>
      </c>
      <c r="O2371" s="16">
        <v>5</v>
      </c>
      <c r="P2371" s="16">
        <f t="shared" si="255"/>
        <v>8.1742160278745661</v>
      </c>
      <c r="Q2371" s="16">
        <f t="shared" si="260"/>
        <v>54.367522614912659</v>
      </c>
      <c r="R2371" s="113">
        <f t="shared" si="256"/>
        <v>319.54399999999998</v>
      </c>
      <c r="S2371" s="16">
        <f>IF(S2370=15800,15800,ROUND((((Q2371*60)/'Gearing Calculator'!$C$14)*'Track Data'!P2371),-2))</f>
        <v>13500</v>
      </c>
      <c r="T2371" s="16">
        <f t="shared" si="258"/>
        <v>3.879554995965909</v>
      </c>
      <c r="U2371" s="16">
        <f>IF(AC2371=100,Braking!$AG$2354,IF(AC2371=50,Braking!$AG$1179,IF(AC2371=75,Braking!$AG$1767,0)))</f>
        <v>0</v>
      </c>
      <c r="V2371" s="16">
        <f>0.5*'Gearing Calculator'!$C$15*'Gearing Calculator'!$C$20*'Gearing Calculator'!$W$20*('Track Data'!Q2371^2)</f>
        <v>312.84478421755682</v>
      </c>
      <c r="W2371" s="16">
        <f>('Gearing Calculator'!$U$9*'Track Data'!T2371)+'Track Data'!V2371</f>
        <v>1345.5823241436819</v>
      </c>
      <c r="X2371" s="16">
        <f>('Gearing Calculator'!$U$9*9.81)*('Gearing Calculator'!$U$16/'Gearing Calculator'!$C$7)-(('Track Data'!W2371)*('Gearing Calculator'!$U$17/'Gearing Calculator'!$C$7))</f>
        <v>667.72803850153127</v>
      </c>
      <c r="Y2371" s="16">
        <f>('Gearing Calculator'!$U$9*9.81)*(('Gearing Calculator'!$C$7-'Gearing Calculator'!$U$16)/'Gearing Calculator'!$C$7)+(('Track Data'!W2371)*('Gearing Calculator'!$U$17/'Gearing Calculator'!$C$7))</f>
        <v>1943.6939614984688</v>
      </c>
      <c r="Z2371" s="16">
        <f>((X2371*COS('Gearing Calculator'!$C$21))/'Gearing Calculator'!$C$22)/2</f>
        <v>20.644039106607845</v>
      </c>
      <c r="AA2371" s="16">
        <f>Y2371/'Gearing Calculator'!$C$24</f>
        <v>27.14048694184233</v>
      </c>
      <c r="AB2371" s="16">
        <f t="shared" si="261"/>
        <v>332.24255919738636</v>
      </c>
      <c r="AC2371" s="16">
        <v>0</v>
      </c>
      <c r="AD2371" s="16">
        <v>0</v>
      </c>
      <c r="AE2371" s="16">
        <v>2368</v>
      </c>
      <c r="AF2371" s="16">
        <f>IF(AC2371=0,IF(O2371=6,INDEX(Acceleration!$V$4:$V$110,MATCH('Track Data'!S2371,Acceleration!$K$4:$K$110,0)),IF('Track Data'!O2371=5,INDEX(Acceleration!$U$4:$U$110,MATCH('Track Data'!S2371,Acceleration!$K$4:$K$110,0)),1)),U2371)</f>
        <v>3.879554995965909</v>
      </c>
      <c r="AG2371" s="16">
        <f>IF(AC2371=0,IF(O2371=4,INDEX(Acceleration!$T$4:$T$110,MATCH('Track Data'!S2371,Acceleration!$K$4:$K$110,0)),IF('Track Data'!O2371=3,INDEX(Acceleration!$S$4:$S$110,MATCH('Track Data'!S2371,Acceleration!$K$4:$K$110,0)),'Track Data'!AF2371)),'Track Data'!U2371)</f>
        <v>3.879554995965909</v>
      </c>
      <c r="AH2371" s="16">
        <f>IF(AC2371=0,IF(O2371=2,INDEX(Acceleration!$R$4:$R$110,MATCH('Track Data'!S2371,Acceleration!$K$4:$K$110,0)),IF('Track Data'!O2371=1,INDEX(Acceleration!$Q$4:$Q$110,MATCH('Track Data'!S2371,Acceleration!$K$4:$K$110,0)),'Track Data'!AG2371)),'Track Data'!U2371)</f>
        <v>3.879554995965909</v>
      </c>
    </row>
    <row r="2372" spans="2:34" x14ac:dyDescent="0.25">
      <c r="B2372" s="16">
        <v>257.02199999999999</v>
      </c>
      <c r="C2372" s="16">
        <v>9642</v>
      </c>
      <c r="D2372" s="16">
        <v>2369</v>
      </c>
      <c r="E2372" s="113">
        <v>199</v>
      </c>
      <c r="F2372" s="113">
        <v>198.6</v>
      </c>
      <c r="G2372" s="113">
        <v>195.5</v>
      </c>
      <c r="H2372" s="113">
        <f t="shared" si="257"/>
        <v>54.305555555555557</v>
      </c>
      <c r="I2372" s="113">
        <v>6.6</v>
      </c>
      <c r="J2372" s="113">
        <v>20.99</v>
      </c>
      <c r="K2372" s="113">
        <v>4.4000000000000004</v>
      </c>
      <c r="L2372" s="185"/>
      <c r="M2372" s="16">
        <v>2369</v>
      </c>
      <c r="N2372" s="16">
        <f t="shared" si="259"/>
        <v>1.8369239938395673E-2</v>
      </c>
      <c r="O2372" s="16">
        <v>5</v>
      </c>
      <c r="P2372" s="16">
        <f t="shared" ref="P2372:P2403" si="262">VLOOKUP(O2372,$AJ$5:$AK$10,2,FALSE)</f>
        <v>8.1742160278745661</v>
      </c>
      <c r="Q2372" s="16">
        <f t="shared" si="260"/>
        <v>54.438833797896251</v>
      </c>
      <c r="R2372" s="113">
        <f t="shared" ref="R2372:R2403" si="263">VLOOKUP(O2372,$AJ$5:$AL$10,3,FALSE)</f>
        <v>319.54399999999998</v>
      </c>
      <c r="S2372" s="16">
        <f>IF(S2371=15800,15800,ROUND((((Q2372*60)/'Gearing Calculator'!$C$14)*'Track Data'!P2372),-2))</f>
        <v>13500</v>
      </c>
      <c r="T2372" s="16">
        <f t="shared" si="258"/>
        <v>3.879554995965909</v>
      </c>
      <c r="U2372" s="16">
        <f>IF(AC2372=100,Braking!$AG$2354,IF(AC2372=50,Braking!$AG$1179,IF(AC2372=75,Braking!$AG$1767,0)))</f>
        <v>0</v>
      </c>
      <c r="V2372" s="16">
        <f>0.5*'Gearing Calculator'!$C$15*'Gearing Calculator'!$C$20*'Gearing Calculator'!$W$20*('Track Data'!Q2372^2)</f>
        <v>313.66600841910292</v>
      </c>
      <c r="W2372" s="16">
        <f>('Gearing Calculator'!$U$9*'Track Data'!T2372)+'Track Data'!V2372</f>
        <v>1346.403548345228</v>
      </c>
      <c r="X2372" s="16">
        <f>('Gearing Calculator'!$U$9*9.81)*('Gearing Calculator'!$U$16/'Gearing Calculator'!$C$7)-(('Track Data'!W2372)*('Gearing Calculator'!$U$17/'Gearing Calculator'!$C$7))</f>
        <v>667.28041522722219</v>
      </c>
      <c r="Y2372" s="16">
        <f>('Gearing Calculator'!$U$9*9.81)*(('Gearing Calculator'!$C$7-'Gearing Calculator'!$U$16)/'Gearing Calculator'!$C$7)+(('Track Data'!W2372)*('Gearing Calculator'!$U$17/'Gearing Calculator'!$C$7))</f>
        <v>1944.1415847727778</v>
      </c>
      <c r="Z2372" s="16">
        <f>((X2372*COS('Gearing Calculator'!$C$21))/'Gearing Calculator'!$C$22)/2</f>
        <v>20.63020001067801</v>
      </c>
      <c r="AA2372" s="16">
        <f>Y2372/'Gearing Calculator'!$C$24</f>
        <v>27.146737264100821</v>
      </c>
      <c r="AB2372" s="16">
        <f t="shared" si="261"/>
        <v>333.06378339893246</v>
      </c>
      <c r="AC2372" s="16">
        <v>0</v>
      </c>
      <c r="AD2372" s="16">
        <v>0</v>
      </c>
      <c r="AE2372" s="16">
        <v>2369</v>
      </c>
      <c r="AF2372" s="16">
        <f>IF(AC2372=0,IF(O2372=6,INDEX(Acceleration!$V$4:$V$110,MATCH('Track Data'!S2372,Acceleration!$K$4:$K$110,0)),IF('Track Data'!O2372=5,INDEX(Acceleration!$U$4:$U$110,MATCH('Track Data'!S2372,Acceleration!$K$4:$K$110,0)),1)),U2372)</f>
        <v>3.879554995965909</v>
      </c>
      <c r="AG2372" s="16">
        <f>IF(AC2372=0,IF(O2372=4,INDEX(Acceleration!$T$4:$T$110,MATCH('Track Data'!S2372,Acceleration!$K$4:$K$110,0)),IF('Track Data'!O2372=3,INDEX(Acceleration!$S$4:$S$110,MATCH('Track Data'!S2372,Acceleration!$K$4:$K$110,0)),'Track Data'!AF2372)),'Track Data'!U2372)</f>
        <v>3.879554995965909</v>
      </c>
      <c r="AH2372" s="16">
        <f>IF(AC2372=0,IF(O2372=2,INDEX(Acceleration!$R$4:$R$110,MATCH('Track Data'!S2372,Acceleration!$K$4:$K$110,0)),IF('Track Data'!O2372=1,INDEX(Acceleration!$Q$4:$Q$110,MATCH('Track Data'!S2372,Acceleration!$K$4:$K$110,0)),'Track Data'!AG2372)),'Track Data'!U2372)</f>
        <v>3.879554995965909</v>
      </c>
    </row>
    <row r="2373" spans="2:34" x14ac:dyDescent="0.25">
      <c r="B2373" s="16">
        <v>257.04000000000002</v>
      </c>
      <c r="C2373" s="16">
        <v>9643</v>
      </c>
      <c r="D2373" s="16">
        <v>2370</v>
      </c>
      <c r="E2373" s="113">
        <v>199</v>
      </c>
      <c r="F2373" s="113">
        <v>198.6</v>
      </c>
      <c r="G2373" s="113">
        <v>195.7</v>
      </c>
      <c r="H2373" s="113">
        <f t="shared" ref="H2373:H2403" si="264">G2373/3.6</f>
        <v>54.361111111111107</v>
      </c>
      <c r="I2373" s="113">
        <v>6.9</v>
      </c>
      <c r="J2373" s="113">
        <v>25.23</v>
      </c>
      <c r="K2373" s="113">
        <v>4.5</v>
      </c>
      <c r="L2373" s="185"/>
      <c r="M2373" s="16">
        <v>2370</v>
      </c>
      <c r="N2373" s="16">
        <f t="shared" si="259"/>
        <v>1.8345240354633793E-2</v>
      </c>
      <c r="O2373" s="16">
        <v>5</v>
      </c>
      <c r="P2373" s="16">
        <f t="shared" si="262"/>
        <v>8.1742160278745661</v>
      </c>
      <c r="Q2373" s="16">
        <f t="shared" si="260"/>
        <v>54.510051690187403</v>
      </c>
      <c r="R2373" s="113">
        <f t="shared" si="263"/>
        <v>319.54399999999998</v>
      </c>
      <c r="S2373" s="16">
        <f>IF(S2372=15800,15800,ROUND((((Q2373*60)/'Gearing Calculator'!$C$14)*'Track Data'!P2373),-2))</f>
        <v>13500</v>
      </c>
      <c r="T2373" s="16">
        <f t="shared" ref="T2373:T2403" si="265">AH2373</f>
        <v>3.879554995965909</v>
      </c>
      <c r="U2373" s="16">
        <f>IF(AC2373=100,Braking!$AG$2354,IF(AC2373=50,Braking!$AG$1179,IF(AC2373=75,Braking!$AG$1767,0)))</f>
        <v>0</v>
      </c>
      <c r="V2373" s="16">
        <f>0.5*'Gearing Calculator'!$C$15*'Gearing Calculator'!$C$20*'Gearing Calculator'!$W$20*('Track Data'!Q2373^2)</f>
        <v>314.48723262064891</v>
      </c>
      <c r="W2373" s="16">
        <f>('Gearing Calculator'!$U$9*'Track Data'!T2373)+'Track Data'!V2373</f>
        <v>1347.2247725467739</v>
      </c>
      <c r="X2373" s="16">
        <f>('Gearing Calculator'!$U$9*9.81)*('Gearing Calculator'!$U$16/'Gearing Calculator'!$C$7)-(('Track Data'!W2373)*('Gearing Calculator'!$U$17/'Gearing Calculator'!$C$7))</f>
        <v>666.83279195291323</v>
      </c>
      <c r="Y2373" s="16">
        <f>('Gearing Calculator'!$U$9*9.81)*(('Gearing Calculator'!$C$7-'Gearing Calculator'!$U$16)/'Gearing Calculator'!$C$7)+(('Track Data'!W2373)*('Gearing Calculator'!$U$17/'Gearing Calculator'!$C$7))</f>
        <v>1944.5892080470867</v>
      </c>
      <c r="Z2373" s="16">
        <f>((X2373*COS('Gearing Calculator'!$C$21))/'Gearing Calculator'!$C$22)/2</f>
        <v>20.616360914748174</v>
      </c>
      <c r="AA2373" s="16">
        <f>Y2373/'Gearing Calculator'!$C$24</f>
        <v>27.152987586359309</v>
      </c>
      <c r="AB2373" s="16">
        <f t="shared" si="261"/>
        <v>333.88500760047845</v>
      </c>
      <c r="AC2373" s="16">
        <v>0</v>
      </c>
      <c r="AD2373" s="16">
        <v>0</v>
      </c>
      <c r="AE2373" s="16">
        <v>2370</v>
      </c>
      <c r="AF2373" s="16">
        <f>IF(AC2373=0,IF(O2373=6,INDEX(Acceleration!$V$4:$V$110,MATCH('Track Data'!S2373,Acceleration!$K$4:$K$110,0)),IF('Track Data'!O2373=5,INDEX(Acceleration!$U$4:$U$110,MATCH('Track Data'!S2373,Acceleration!$K$4:$K$110,0)),1)),U2373)</f>
        <v>3.879554995965909</v>
      </c>
      <c r="AG2373" s="16">
        <f>IF(AC2373=0,IF(O2373=4,INDEX(Acceleration!$T$4:$T$110,MATCH('Track Data'!S2373,Acceleration!$K$4:$K$110,0)),IF('Track Data'!O2373=3,INDEX(Acceleration!$S$4:$S$110,MATCH('Track Data'!S2373,Acceleration!$K$4:$K$110,0)),'Track Data'!AF2373)),'Track Data'!U2373)</f>
        <v>3.879554995965909</v>
      </c>
      <c r="AH2373" s="16">
        <f>IF(AC2373=0,IF(O2373=2,INDEX(Acceleration!$R$4:$R$110,MATCH('Track Data'!S2373,Acceleration!$K$4:$K$110,0)),IF('Track Data'!O2373=1,INDEX(Acceleration!$Q$4:$Q$110,MATCH('Track Data'!S2373,Acceleration!$K$4:$K$110,0)),'Track Data'!AG2373)),'Track Data'!U2373)</f>
        <v>3.879554995965909</v>
      </c>
    </row>
    <row r="2374" spans="2:34" x14ac:dyDescent="0.25">
      <c r="B2374" s="16">
        <v>257.05799999999999</v>
      </c>
      <c r="C2374" s="16">
        <v>9644</v>
      </c>
      <c r="D2374" s="16">
        <v>2371</v>
      </c>
      <c r="E2374" s="113">
        <v>199</v>
      </c>
      <c r="F2374" s="113">
        <v>198.7</v>
      </c>
      <c r="G2374" s="113">
        <v>195.8</v>
      </c>
      <c r="H2374" s="113">
        <f t="shared" si="264"/>
        <v>54.388888888888893</v>
      </c>
      <c r="I2374" s="113">
        <v>7.3</v>
      </c>
      <c r="J2374" s="113">
        <v>24.35</v>
      </c>
      <c r="K2374" s="113">
        <v>4.9000000000000004</v>
      </c>
      <c r="L2374" s="185"/>
      <c r="M2374" s="16">
        <v>2371</v>
      </c>
      <c r="N2374" s="16">
        <f t="shared" ref="N2374:N2403" si="266">1/Q2374</f>
        <v>1.8321334592781992E-2</v>
      </c>
      <c r="O2374" s="16">
        <v>5</v>
      </c>
      <c r="P2374" s="16">
        <f t="shared" si="262"/>
        <v>8.1742160278745661</v>
      </c>
      <c r="Q2374" s="16">
        <f t="shared" ref="Q2374:Q2403" si="267">IF(AD2373=0,SQRT(Q2373^2+(2*T2373)),Q2373)</f>
        <v>54.58117665696512</v>
      </c>
      <c r="R2374" s="113">
        <f t="shared" si="263"/>
        <v>319.54399999999998</v>
      </c>
      <c r="S2374" s="16">
        <f>IF(S2373=15800,15800,ROUND((((Q2374*60)/'Gearing Calculator'!$C$14)*'Track Data'!P2374),-2))</f>
        <v>13500</v>
      </c>
      <c r="T2374" s="16">
        <f t="shared" si="265"/>
        <v>3.879554995965909</v>
      </c>
      <c r="U2374" s="16">
        <f>IF(AC2374=100,Braking!$AG$2354,IF(AC2374=50,Braking!$AG$1179,IF(AC2374=75,Braking!$AG$1767,0)))</f>
        <v>0</v>
      </c>
      <c r="V2374" s="16">
        <f>0.5*'Gearing Calculator'!$C$15*'Gearing Calculator'!$C$20*'Gearing Calculator'!$W$20*('Track Data'!Q2374^2)</f>
        <v>315.30845682219501</v>
      </c>
      <c r="W2374" s="16">
        <f>('Gearing Calculator'!$U$9*'Track Data'!T2374)+'Track Data'!V2374</f>
        <v>1348.04599674832</v>
      </c>
      <c r="X2374" s="16">
        <f>('Gearing Calculator'!$U$9*9.81)*('Gearing Calculator'!$U$16/'Gearing Calculator'!$C$7)-(('Track Data'!W2374)*('Gearing Calculator'!$U$17/'Gearing Calculator'!$C$7))</f>
        <v>666.38516867860415</v>
      </c>
      <c r="Y2374" s="16">
        <f>('Gearing Calculator'!$U$9*9.81)*(('Gearing Calculator'!$C$7-'Gearing Calculator'!$U$16)/'Gearing Calculator'!$C$7)+(('Track Data'!W2374)*('Gearing Calculator'!$U$17/'Gearing Calculator'!$C$7))</f>
        <v>1945.0368313213958</v>
      </c>
      <c r="Z2374" s="16">
        <f>((X2374*COS('Gearing Calculator'!$C$21))/'Gearing Calculator'!$C$22)/2</f>
        <v>20.602521818818339</v>
      </c>
      <c r="AA2374" s="16">
        <f>Y2374/'Gearing Calculator'!$C$24</f>
        <v>27.159237908617801</v>
      </c>
      <c r="AB2374" s="16">
        <f t="shared" si="261"/>
        <v>334.70623180202455</v>
      </c>
      <c r="AC2374" s="16">
        <v>0</v>
      </c>
      <c r="AD2374" s="16">
        <v>0</v>
      </c>
      <c r="AE2374" s="16">
        <v>2371</v>
      </c>
      <c r="AF2374" s="16">
        <f>IF(AC2374=0,IF(O2374=6,INDEX(Acceleration!$V$4:$V$110,MATCH('Track Data'!S2374,Acceleration!$K$4:$K$110,0)),IF('Track Data'!O2374=5,INDEX(Acceleration!$U$4:$U$110,MATCH('Track Data'!S2374,Acceleration!$K$4:$K$110,0)),1)),U2374)</f>
        <v>3.879554995965909</v>
      </c>
      <c r="AG2374" s="16">
        <f>IF(AC2374=0,IF(O2374=4,INDEX(Acceleration!$T$4:$T$110,MATCH('Track Data'!S2374,Acceleration!$K$4:$K$110,0)),IF('Track Data'!O2374=3,INDEX(Acceleration!$S$4:$S$110,MATCH('Track Data'!S2374,Acceleration!$K$4:$K$110,0)),'Track Data'!AF2374)),'Track Data'!U2374)</f>
        <v>3.879554995965909</v>
      </c>
      <c r="AH2374" s="16">
        <f>IF(AC2374=0,IF(O2374=2,INDEX(Acceleration!$R$4:$R$110,MATCH('Track Data'!S2374,Acceleration!$K$4:$K$110,0)),IF('Track Data'!O2374=1,INDEX(Acceleration!$Q$4:$Q$110,MATCH('Track Data'!S2374,Acceleration!$K$4:$K$110,0)),'Track Data'!AG2374)),'Track Data'!U2374)</f>
        <v>3.879554995965909</v>
      </c>
    </row>
    <row r="2375" spans="2:34" x14ac:dyDescent="0.25">
      <c r="B2375" s="16">
        <v>257.07600000000002</v>
      </c>
      <c r="C2375" s="16">
        <v>9645</v>
      </c>
      <c r="D2375" s="16">
        <v>2372</v>
      </c>
      <c r="E2375" s="113">
        <v>199</v>
      </c>
      <c r="F2375" s="113">
        <v>198.9</v>
      </c>
      <c r="G2375" s="113">
        <v>196.1</v>
      </c>
      <c r="H2375" s="113">
        <f t="shared" si="264"/>
        <v>54.472222222222221</v>
      </c>
      <c r="I2375" s="113">
        <v>7.4</v>
      </c>
      <c r="J2375" s="113">
        <v>23.41</v>
      </c>
      <c r="K2375" s="113">
        <v>5.7</v>
      </c>
      <c r="L2375" s="185"/>
      <c r="M2375" s="16">
        <v>2372</v>
      </c>
      <c r="N2375" s="16">
        <f t="shared" si="266"/>
        <v>1.829752204313027E-2</v>
      </c>
      <c r="O2375" s="16">
        <v>5</v>
      </c>
      <c r="P2375" s="16">
        <f t="shared" si="262"/>
        <v>8.1742160278745661</v>
      </c>
      <c r="Q2375" s="16">
        <f t="shared" si="267"/>
        <v>54.652209061032167</v>
      </c>
      <c r="R2375" s="113">
        <f t="shared" si="263"/>
        <v>319.54399999999998</v>
      </c>
      <c r="S2375" s="16">
        <f>IF(S2374=15800,15800,ROUND((((Q2375*60)/'Gearing Calculator'!$C$14)*'Track Data'!P2375),-2))</f>
        <v>13500</v>
      </c>
      <c r="T2375" s="16">
        <f t="shared" si="265"/>
        <v>3.879554995965909</v>
      </c>
      <c r="U2375" s="16">
        <f>IF(AC2375=100,Braking!$AG$2354,IF(AC2375=50,Braking!$AG$1179,IF(AC2375=75,Braking!$AG$1767,0)))</f>
        <v>0</v>
      </c>
      <c r="V2375" s="16">
        <f>0.5*'Gearing Calculator'!$C$15*'Gearing Calculator'!$C$20*'Gearing Calculator'!$W$20*('Track Data'!Q2375^2)</f>
        <v>316.12968102374111</v>
      </c>
      <c r="W2375" s="16">
        <f>('Gearing Calculator'!$U$9*'Track Data'!T2375)+'Track Data'!V2375</f>
        <v>1348.8672209498661</v>
      </c>
      <c r="X2375" s="16">
        <f>('Gearing Calculator'!$U$9*9.81)*('Gearing Calculator'!$U$16/'Gearing Calculator'!$C$7)-(('Track Data'!W2375)*('Gearing Calculator'!$U$17/'Gearing Calculator'!$C$7))</f>
        <v>665.93754540429507</v>
      </c>
      <c r="Y2375" s="16">
        <f>('Gearing Calculator'!$U$9*9.81)*(('Gearing Calculator'!$C$7-'Gearing Calculator'!$U$16)/'Gearing Calculator'!$C$7)+(('Track Data'!W2375)*('Gearing Calculator'!$U$17/'Gearing Calculator'!$C$7))</f>
        <v>1945.4844545957048</v>
      </c>
      <c r="Z2375" s="16">
        <f>((X2375*COS('Gearing Calculator'!$C$21))/'Gearing Calculator'!$C$22)/2</f>
        <v>20.5886827228885</v>
      </c>
      <c r="AA2375" s="16">
        <f>Y2375/'Gearing Calculator'!$C$24</f>
        <v>27.165488230876292</v>
      </c>
      <c r="AB2375" s="16">
        <f t="shared" si="261"/>
        <v>335.52745600357065</v>
      </c>
      <c r="AC2375" s="16">
        <v>0</v>
      </c>
      <c r="AD2375" s="16">
        <v>0</v>
      </c>
      <c r="AE2375" s="16">
        <v>2372</v>
      </c>
      <c r="AF2375" s="16">
        <f>IF(AC2375=0,IF(O2375=6,INDEX(Acceleration!$V$4:$V$110,MATCH('Track Data'!S2375,Acceleration!$K$4:$K$110,0)),IF('Track Data'!O2375=5,INDEX(Acceleration!$U$4:$U$110,MATCH('Track Data'!S2375,Acceleration!$K$4:$K$110,0)),1)),U2375)</f>
        <v>3.879554995965909</v>
      </c>
      <c r="AG2375" s="16">
        <f>IF(AC2375=0,IF(O2375=4,INDEX(Acceleration!$T$4:$T$110,MATCH('Track Data'!S2375,Acceleration!$K$4:$K$110,0)),IF('Track Data'!O2375=3,INDEX(Acceleration!$S$4:$S$110,MATCH('Track Data'!S2375,Acceleration!$K$4:$K$110,0)),'Track Data'!AF2375)),'Track Data'!U2375)</f>
        <v>3.879554995965909</v>
      </c>
      <c r="AH2375" s="16">
        <f>IF(AC2375=0,IF(O2375=2,INDEX(Acceleration!$R$4:$R$110,MATCH('Track Data'!S2375,Acceleration!$K$4:$K$110,0)),IF('Track Data'!O2375=1,INDEX(Acceleration!$Q$4:$Q$110,MATCH('Track Data'!S2375,Acceleration!$K$4:$K$110,0)),'Track Data'!AG2375)),'Track Data'!U2375)</f>
        <v>3.879554995965909</v>
      </c>
    </row>
    <row r="2376" spans="2:34" x14ac:dyDescent="0.25">
      <c r="B2376" s="16">
        <v>257.09399999999999</v>
      </c>
      <c r="C2376" s="16">
        <v>9646</v>
      </c>
      <c r="D2376" s="16">
        <v>2373</v>
      </c>
      <c r="E2376" s="113">
        <v>199</v>
      </c>
      <c r="F2376" s="113">
        <v>198.6</v>
      </c>
      <c r="G2376" s="113">
        <v>196.4</v>
      </c>
      <c r="H2376" s="113">
        <f t="shared" si="264"/>
        <v>54.555555555555557</v>
      </c>
      <c r="I2376" s="113">
        <v>7</v>
      </c>
      <c r="J2376" s="113">
        <v>23.26</v>
      </c>
      <c r="K2376" s="113">
        <v>6.5</v>
      </c>
      <c r="L2376" s="185"/>
      <c r="M2376" s="16">
        <v>2373</v>
      </c>
      <c r="N2376" s="16">
        <f t="shared" si="266"/>
        <v>1.8273802101501417E-2</v>
      </c>
      <c r="O2376" s="16">
        <v>5</v>
      </c>
      <c r="P2376" s="16">
        <f t="shared" si="262"/>
        <v>8.1742160278745661</v>
      </c>
      <c r="Q2376" s="16">
        <f t="shared" si="267"/>
        <v>54.723149262836642</v>
      </c>
      <c r="R2376" s="113">
        <f t="shared" si="263"/>
        <v>319.54399999999998</v>
      </c>
      <c r="S2376" s="16">
        <f>IF(S2375=15800,15800,ROUND((((Q2376*60)/'Gearing Calculator'!$C$14)*'Track Data'!P2376),-2))</f>
        <v>13600</v>
      </c>
      <c r="T2376" s="16">
        <f t="shared" si="265"/>
        <v>3.8336143672031953</v>
      </c>
      <c r="U2376" s="16">
        <f>IF(AC2376=100,Braking!$AG$2354,IF(AC2376=50,Braking!$AG$1179,IF(AC2376=75,Braking!$AG$1767,0)))</f>
        <v>0</v>
      </c>
      <c r="V2376" s="16">
        <f>0.5*'Gearing Calculator'!$C$15*'Gearing Calculator'!$C$20*'Gearing Calculator'!$W$20*('Track Data'!Q2376^2)</f>
        <v>316.95090522528716</v>
      </c>
      <c r="W2376" s="16">
        <f>('Gearing Calculator'!$U$9*'Track Data'!T2376)+'Track Data'!V2376</f>
        <v>1337.4590497747777</v>
      </c>
      <c r="X2376" s="16">
        <f>('Gearing Calculator'!$U$9*9.81)*('Gearing Calculator'!$U$16/'Gearing Calculator'!$C$7)-(('Track Data'!W2376)*('Gearing Calculator'!$U$17/'Gearing Calculator'!$C$7))</f>
        <v>672.15577780131605</v>
      </c>
      <c r="Y2376" s="16">
        <f>('Gearing Calculator'!$U$9*9.81)*(('Gearing Calculator'!$C$7-'Gearing Calculator'!$U$16)/'Gearing Calculator'!$C$7)+(('Track Data'!W2376)*('Gearing Calculator'!$U$17/'Gearing Calculator'!$C$7))</f>
        <v>1939.2662221986839</v>
      </c>
      <c r="Z2376" s="16">
        <f>((X2376*COS('Gearing Calculator'!$C$21))/'Gearing Calculator'!$C$22)/2</f>
        <v>20.780930802010886</v>
      </c>
      <c r="AA2376" s="16">
        <f>Y2376/'Gearing Calculator'!$C$24</f>
        <v>27.078660850375208</v>
      </c>
      <c r="AB2376" s="16">
        <f t="shared" si="261"/>
        <v>336.11897706130316</v>
      </c>
      <c r="AC2376" s="16">
        <v>0</v>
      </c>
      <c r="AD2376" s="16">
        <v>0</v>
      </c>
      <c r="AE2376" s="16">
        <v>2373</v>
      </c>
      <c r="AF2376" s="16">
        <f>IF(AC2376=0,IF(O2376=6,INDEX(Acceleration!$V$4:$V$110,MATCH('Track Data'!S2376,Acceleration!$K$4:$K$110,0)),IF('Track Data'!O2376=5,INDEX(Acceleration!$U$4:$U$110,MATCH('Track Data'!S2376,Acceleration!$K$4:$K$110,0)),1)),U2376)</f>
        <v>3.8336143672031953</v>
      </c>
      <c r="AG2376" s="16">
        <f>IF(AC2376=0,IF(O2376=4,INDEX(Acceleration!$T$4:$T$110,MATCH('Track Data'!S2376,Acceleration!$K$4:$K$110,0)),IF('Track Data'!O2376=3,INDEX(Acceleration!$S$4:$S$110,MATCH('Track Data'!S2376,Acceleration!$K$4:$K$110,0)),'Track Data'!AF2376)),'Track Data'!U2376)</f>
        <v>3.8336143672031953</v>
      </c>
      <c r="AH2376" s="16">
        <f>IF(AC2376=0,IF(O2376=2,INDEX(Acceleration!$R$4:$R$110,MATCH('Track Data'!S2376,Acceleration!$K$4:$K$110,0)),IF('Track Data'!O2376=1,INDEX(Acceleration!$Q$4:$Q$110,MATCH('Track Data'!S2376,Acceleration!$K$4:$K$110,0)),'Track Data'!AG2376)),'Track Data'!U2376)</f>
        <v>3.8336143672031953</v>
      </c>
    </row>
    <row r="2377" spans="2:34" x14ac:dyDescent="0.25">
      <c r="B2377" s="16">
        <v>257.11200000000002</v>
      </c>
      <c r="C2377" s="16">
        <v>9647</v>
      </c>
      <c r="D2377" s="16">
        <v>2374</v>
      </c>
      <c r="E2377" s="113">
        <v>200</v>
      </c>
      <c r="F2377" s="113">
        <v>198.1</v>
      </c>
      <c r="G2377" s="113">
        <v>196.6</v>
      </c>
      <c r="H2377" s="113">
        <f t="shared" si="264"/>
        <v>54.611111111111107</v>
      </c>
      <c r="I2377" s="113">
        <v>6.4</v>
      </c>
      <c r="J2377" s="113">
        <v>21.65</v>
      </c>
      <c r="K2377" s="113">
        <v>7.1</v>
      </c>
      <c r="L2377" s="185"/>
      <c r="M2377" s="16">
        <v>2374</v>
      </c>
      <c r="N2377" s="16">
        <f t="shared" si="266"/>
        <v>1.8250453428678409E-2</v>
      </c>
      <c r="O2377" s="16">
        <v>5</v>
      </c>
      <c r="P2377" s="16">
        <f t="shared" si="262"/>
        <v>8.1742160278745661</v>
      </c>
      <c r="Q2377" s="16">
        <f t="shared" si="267"/>
        <v>54.793159189602349</v>
      </c>
      <c r="R2377" s="113">
        <f t="shared" si="263"/>
        <v>319.54399999999998</v>
      </c>
      <c r="S2377" s="16">
        <f>IF(S2376=15800,15800,ROUND((((Q2377*60)/'Gearing Calculator'!$C$14)*'Track Data'!P2377),-2))</f>
        <v>13600</v>
      </c>
      <c r="T2377" s="16">
        <f t="shared" si="265"/>
        <v>3.8336143672031953</v>
      </c>
      <c r="U2377" s="16">
        <f>IF(AC2377=100,Braking!$AG$2354,IF(AC2377=50,Braking!$AG$1179,IF(AC2377=75,Braking!$AG$1767,0)))</f>
        <v>0</v>
      </c>
      <c r="V2377" s="16">
        <f>0.5*'Gearing Calculator'!$C$15*'Gearing Calculator'!$C$20*'Gearing Calculator'!$W$20*('Track Data'!Q2377^2)</f>
        <v>317.76240471453667</v>
      </c>
      <c r="W2377" s="16">
        <f>('Gearing Calculator'!$U$9*'Track Data'!T2377)+'Track Data'!V2377</f>
        <v>1338.2705492640273</v>
      </c>
      <c r="X2377" s="16">
        <f>('Gearing Calculator'!$U$9*9.81)*('Gearing Calculator'!$U$16/'Gearing Calculator'!$C$7)-(('Track Data'!W2377)*('Gearing Calculator'!$U$17/'Gearing Calculator'!$C$7))</f>
        <v>671.71345515934547</v>
      </c>
      <c r="Y2377" s="16">
        <f>('Gearing Calculator'!$U$9*9.81)*(('Gearing Calculator'!$C$7-'Gearing Calculator'!$U$16)/'Gearing Calculator'!$C$7)+(('Track Data'!W2377)*('Gearing Calculator'!$U$17/'Gearing Calculator'!$C$7))</f>
        <v>1939.7085448406547</v>
      </c>
      <c r="Z2377" s="16">
        <f>((X2377*COS('Gearing Calculator'!$C$21))/'Gearing Calculator'!$C$22)/2</f>
        <v>20.767255584868483</v>
      </c>
      <c r="AA2377" s="16">
        <f>Y2377/'Gearing Calculator'!$C$24</f>
        <v>27.084837158027693</v>
      </c>
      <c r="AB2377" s="16">
        <f t="shared" si="261"/>
        <v>336.93047655055267</v>
      </c>
      <c r="AC2377" s="16">
        <v>0</v>
      </c>
      <c r="AD2377" s="16">
        <v>0</v>
      </c>
      <c r="AE2377" s="16">
        <v>2374</v>
      </c>
      <c r="AF2377" s="16">
        <f>IF(AC2377=0,IF(O2377=6,INDEX(Acceleration!$V$4:$V$110,MATCH('Track Data'!S2377,Acceleration!$K$4:$K$110,0)),IF('Track Data'!O2377=5,INDEX(Acceleration!$U$4:$U$110,MATCH('Track Data'!S2377,Acceleration!$K$4:$K$110,0)),1)),U2377)</f>
        <v>3.8336143672031953</v>
      </c>
      <c r="AG2377" s="16">
        <f>IF(AC2377=0,IF(O2377=4,INDEX(Acceleration!$T$4:$T$110,MATCH('Track Data'!S2377,Acceleration!$K$4:$K$110,0)),IF('Track Data'!O2377=3,INDEX(Acceleration!$S$4:$S$110,MATCH('Track Data'!S2377,Acceleration!$K$4:$K$110,0)),'Track Data'!AF2377)),'Track Data'!U2377)</f>
        <v>3.8336143672031953</v>
      </c>
      <c r="AH2377" s="16">
        <f>IF(AC2377=0,IF(O2377=2,INDEX(Acceleration!$R$4:$R$110,MATCH('Track Data'!S2377,Acceleration!$K$4:$K$110,0)),IF('Track Data'!O2377=1,INDEX(Acceleration!$Q$4:$Q$110,MATCH('Track Data'!S2377,Acceleration!$K$4:$K$110,0)),'Track Data'!AG2377)),'Track Data'!U2377)</f>
        <v>3.8336143672031953</v>
      </c>
    </row>
    <row r="2378" spans="2:34" x14ac:dyDescent="0.25">
      <c r="B2378" s="16">
        <v>257.13</v>
      </c>
      <c r="C2378" s="16">
        <v>9648</v>
      </c>
      <c r="D2378" s="16">
        <v>2375</v>
      </c>
      <c r="E2378" s="113">
        <v>201</v>
      </c>
      <c r="F2378" s="113">
        <v>198.1</v>
      </c>
      <c r="G2378" s="113">
        <v>196.9</v>
      </c>
      <c r="H2378" s="113">
        <f t="shared" si="264"/>
        <v>54.694444444444443</v>
      </c>
      <c r="I2378" s="113">
        <v>5.3</v>
      </c>
      <c r="J2378" s="113">
        <v>16.13</v>
      </c>
      <c r="K2378" s="113">
        <v>6.1</v>
      </c>
      <c r="L2378" s="185"/>
      <c r="M2378" s="16">
        <v>2375</v>
      </c>
      <c r="N2378" s="16">
        <f t="shared" si="266"/>
        <v>1.8227194026457175E-2</v>
      </c>
      <c r="O2378" s="16">
        <v>5</v>
      </c>
      <c r="P2378" s="16">
        <f t="shared" si="262"/>
        <v>8.1742160278745661</v>
      </c>
      <c r="Q2378" s="16">
        <f t="shared" si="267"/>
        <v>54.863079777857081</v>
      </c>
      <c r="R2378" s="113">
        <f t="shared" si="263"/>
        <v>319.54399999999998</v>
      </c>
      <c r="S2378" s="16">
        <f>IF(S2377=15800,15800,ROUND((((Q2378*60)/'Gearing Calculator'!$C$14)*'Track Data'!P2378),-2))</f>
        <v>13600</v>
      </c>
      <c r="T2378" s="16">
        <f t="shared" si="265"/>
        <v>3.8336143672031953</v>
      </c>
      <c r="U2378" s="16">
        <f>IF(AC2378=100,Braking!$AG$2354,IF(AC2378=50,Braking!$AG$1179,IF(AC2378=75,Braking!$AG$1767,0)))</f>
        <v>0</v>
      </c>
      <c r="V2378" s="16">
        <f>0.5*'Gearing Calculator'!$C$15*'Gearing Calculator'!$C$20*'Gearing Calculator'!$W$20*('Track Data'!Q2378^2)</f>
        <v>318.57390420378624</v>
      </c>
      <c r="W2378" s="16">
        <f>('Gearing Calculator'!$U$9*'Track Data'!T2378)+'Track Data'!V2378</f>
        <v>1339.0820487532769</v>
      </c>
      <c r="X2378" s="16">
        <f>('Gearing Calculator'!$U$9*9.81)*('Gearing Calculator'!$U$16/'Gearing Calculator'!$C$7)-(('Track Data'!W2378)*('Gearing Calculator'!$U$17/'Gearing Calculator'!$C$7))</f>
        <v>671.27113251737489</v>
      </c>
      <c r="Y2378" s="16">
        <f>('Gearing Calculator'!$U$9*9.81)*(('Gearing Calculator'!$C$7-'Gearing Calculator'!$U$16)/'Gearing Calculator'!$C$7)+(('Track Data'!W2378)*('Gearing Calculator'!$U$17/'Gearing Calculator'!$C$7))</f>
        <v>1940.150867482625</v>
      </c>
      <c r="Z2378" s="16">
        <f>((X2378*COS('Gearing Calculator'!$C$21))/'Gearing Calculator'!$C$22)/2</f>
        <v>20.753580367726084</v>
      </c>
      <c r="AA2378" s="16">
        <f>Y2378/'Gearing Calculator'!$C$24</f>
        <v>27.09101346568017</v>
      </c>
      <c r="AB2378" s="16">
        <f t="shared" si="261"/>
        <v>337.74197603980224</v>
      </c>
      <c r="AC2378" s="16">
        <v>0</v>
      </c>
      <c r="AD2378" s="16">
        <v>0</v>
      </c>
      <c r="AE2378" s="16">
        <v>2375</v>
      </c>
      <c r="AF2378" s="16">
        <f>IF(AC2378=0,IF(O2378=6,INDEX(Acceleration!$V$4:$V$110,MATCH('Track Data'!S2378,Acceleration!$K$4:$K$110,0)),IF('Track Data'!O2378=5,INDEX(Acceleration!$U$4:$U$110,MATCH('Track Data'!S2378,Acceleration!$K$4:$K$110,0)),1)),U2378)</f>
        <v>3.8336143672031953</v>
      </c>
      <c r="AG2378" s="16">
        <f>IF(AC2378=0,IF(O2378=4,INDEX(Acceleration!$T$4:$T$110,MATCH('Track Data'!S2378,Acceleration!$K$4:$K$110,0)),IF('Track Data'!O2378=3,INDEX(Acceleration!$S$4:$S$110,MATCH('Track Data'!S2378,Acceleration!$K$4:$K$110,0)),'Track Data'!AF2378)),'Track Data'!U2378)</f>
        <v>3.8336143672031953</v>
      </c>
      <c r="AH2378" s="16">
        <f>IF(AC2378=0,IF(O2378=2,INDEX(Acceleration!$R$4:$R$110,MATCH('Track Data'!S2378,Acceleration!$K$4:$K$110,0)),IF('Track Data'!O2378=1,INDEX(Acceleration!$Q$4:$Q$110,MATCH('Track Data'!S2378,Acceleration!$K$4:$K$110,0)),'Track Data'!AG2378)),'Track Data'!U2378)</f>
        <v>3.8336143672031953</v>
      </c>
    </row>
    <row r="2379" spans="2:34" x14ac:dyDescent="0.25">
      <c r="B2379" s="16">
        <v>257.14800000000002</v>
      </c>
      <c r="C2379" s="16">
        <v>9649</v>
      </c>
      <c r="D2379" s="16">
        <v>2376</v>
      </c>
      <c r="E2379" s="113">
        <v>201</v>
      </c>
      <c r="F2379" s="113">
        <v>198.4</v>
      </c>
      <c r="G2379" s="113">
        <v>197</v>
      </c>
      <c r="H2379" s="113">
        <f t="shared" si="264"/>
        <v>54.722222222222221</v>
      </c>
      <c r="I2379" s="113">
        <v>3.8</v>
      </c>
      <c r="J2379" s="113">
        <v>13.93</v>
      </c>
      <c r="K2379" s="113">
        <v>5.2</v>
      </c>
      <c r="L2379" s="185"/>
      <c r="M2379" s="16">
        <v>2376</v>
      </c>
      <c r="N2379" s="16">
        <f t="shared" si="266"/>
        <v>1.8204023327426367E-2</v>
      </c>
      <c r="O2379" s="16">
        <v>5</v>
      </c>
      <c r="P2379" s="16">
        <f t="shared" si="262"/>
        <v>8.1742160278745661</v>
      </c>
      <c r="Q2379" s="16">
        <f t="shared" si="267"/>
        <v>54.932911368740662</v>
      </c>
      <c r="R2379" s="113">
        <f t="shared" si="263"/>
        <v>319.54399999999998</v>
      </c>
      <c r="S2379" s="16">
        <f>IF(S2378=15800,15800,ROUND((((Q2379*60)/'Gearing Calculator'!$C$14)*'Track Data'!P2379),-2))</f>
        <v>13600</v>
      </c>
      <c r="T2379" s="16">
        <f t="shared" si="265"/>
        <v>3.8336143672031953</v>
      </c>
      <c r="U2379" s="16">
        <f>IF(AC2379=100,Braking!$AG$2354,IF(AC2379=50,Braking!$AG$1179,IF(AC2379=75,Braking!$AG$1767,0)))</f>
        <v>0</v>
      </c>
      <c r="V2379" s="16">
        <f>0.5*'Gearing Calculator'!$C$15*'Gearing Calculator'!$C$20*'Gearing Calculator'!$W$20*('Track Data'!Q2379^2)</f>
        <v>319.38540369303581</v>
      </c>
      <c r="W2379" s="16">
        <f>('Gearing Calculator'!$U$9*'Track Data'!T2379)+'Track Data'!V2379</f>
        <v>1339.8935482425263</v>
      </c>
      <c r="X2379" s="16">
        <f>('Gearing Calculator'!$U$9*9.81)*('Gearing Calculator'!$U$16/'Gearing Calculator'!$C$7)-(('Track Data'!W2379)*('Gearing Calculator'!$U$17/'Gearing Calculator'!$C$7))</f>
        <v>670.82880987540432</v>
      </c>
      <c r="Y2379" s="16">
        <f>('Gearing Calculator'!$U$9*9.81)*(('Gearing Calculator'!$C$7-'Gearing Calculator'!$U$16)/'Gearing Calculator'!$C$7)+(('Track Data'!W2379)*('Gearing Calculator'!$U$17/'Gearing Calculator'!$C$7))</f>
        <v>1940.5931901245958</v>
      </c>
      <c r="Z2379" s="16">
        <f>((X2379*COS('Gearing Calculator'!$C$21))/'Gearing Calculator'!$C$22)/2</f>
        <v>20.739905150583677</v>
      </c>
      <c r="AA2379" s="16">
        <f>Y2379/'Gearing Calculator'!$C$24</f>
        <v>27.097189773332651</v>
      </c>
      <c r="AB2379" s="16">
        <f t="shared" si="261"/>
        <v>338.55347552905181</v>
      </c>
      <c r="AC2379" s="16">
        <v>0</v>
      </c>
      <c r="AD2379" s="16">
        <v>0</v>
      </c>
      <c r="AE2379" s="16">
        <v>2376</v>
      </c>
      <c r="AF2379" s="16">
        <f>IF(AC2379=0,IF(O2379=6,INDEX(Acceleration!$V$4:$V$110,MATCH('Track Data'!S2379,Acceleration!$K$4:$K$110,0)),IF('Track Data'!O2379=5,INDEX(Acceleration!$U$4:$U$110,MATCH('Track Data'!S2379,Acceleration!$K$4:$K$110,0)),1)),U2379)</f>
        <v>3.8336143672031953</v>
      </c>
      <c r="AG2379" s="16">
        <f>IF(AC2379=0,IF(O2379=4,INDEX(Acceleration!$T$4:$T$110,MATCH('Track Data'!S2379,Acceleration!$K$4:$K$110,0)),IF('Track Data'!O2379=3,INDEX(Acceleration!$S$4:$S$110,MATCH('Track Data'!S2379,Acceleration!$K$4:$K$110,0)),'Track Data'!AF2379)),'Track Data'!U2379)</f>
        <v>3.8336143672031953</v>
      </c>
      <c r="AH2379" s="16">
        <f>IF(AC2379=0,IF(O2379=2,INDEX(Acceleration!$R$4:$R$110,MATCH('Track Data'!S2379,Acceleration!$K$4:$K$110,0)),IF('Track Data'!O2379=1,INDEX(Acceleration!$Q$4:$Q$110,MATCH('Track Data'!S2379,Acceleration!$K$4:$K$110,0)),'Track Data'!AG2379)),'Track Data'!U2379)</f>
        <v>3.8336143672031953</v>
      </c>
    </row>
    <row r="2380" spans="2:34" x14ac:dyDescent="0.25">
      <c r="B2380" s="16">
        <v>257.166</v>
      </c>
      <c r="C2380" s="16">
        <v>9650</v>
      </c>
      <c r="D2380" s="16">
        <v>2377</v>
      </c>
      <c r="E2380" s="113">
        <v>202</v>
      </c>
      <c r="F2380" s="113">
        <v>198.6</v>
      </c>
      <c r="G2380" s="113">
        <v>197.2</v>
      </c>
      <c r="H2380" s="113">
        <f t="shared" si="264"/>
        <v>54.777777777777771</v>
      </c>
      <c r="I2380" s="113">
        <v>1.3</v>
      </c>
      <c r="J2380" s="113">
        <v>9.18</v>
      </c>
      <c r="K2380" s="113">
        <v>3.3</v>
      </c>
      <c r="L2380" s="185"/>
      <c r="M2380" s="16">
        <v>2377</v>
      </c>
      <c r="N2380" s="16">
        <f t="shared" si="266"/>
        <v>1.8180940769210945E-2</v>
      </c>
      <c r="O2380" s="16">
        <v>5</v>
      </c>
      <c r="P2380" s="16">
        <f t="shared" si="262"/>
        <v>8.1742160278745661</v>
      </c>
      <c r="Q2380" s="16">
        <f t="shared" si="267"/>
        <v>55.002654301227345</v>
      </c>
      <c r="R2380" s="113">
        <f t="shared" si="263"/>
        <v>319.54399999999998</v>
      </c>
      <c r="S2380" s="16">
        <f>IF(S2379=15800,15800,ROUND((((Q2380*60)/'Gearing Calculator'!$C$14)*'Track Data'!P2380),-2))</f>
        <v>13600</v>
      </c>
      <c r="T2380" s="16">
        <f t="shared" si="265"/>
        <v>3.8336143672031953</v>
      </c>
      <c r="U2380" s="16">
        <f>IF(AC2380=100,Braking!$AG$2354,IF(AC2380=50,Braking!$AG$1179,IF(AC2380=75,Braking!$AG$1767,0)))</f>
        <v>0</v>
      </c>
      <c r="V2380" s="16">
        <f>0.5*'Gearing Calculator'!$C$15*'Gearing Calculator'!$C$20*'Gearing Calculator'!$W$20*('Track Data'!Q2380^2)</f>
        <v>320.19690318228533</v>
      </c>
      <c r="W2380" s="16">
        <f>('Gearing Calculator'!$U$9*'Track Data'!T2380)+'Track Data'!V2380</f>
        <v>1340.7050477317759</v>
      </c>
      <c r="X2380" s="16">
        <f>('Gearing Calculator'!$U$9*9.81)*('Gearing Calculator'!$U$16/'Gearing Calculator'!$C$7)-(('Track Data'!W2380)*('Gearing Calculator'!$U$17/'Gearing Calculator'!$C$7))</f>
        <v>670.38648723343374</v>
      </c>
      <c r="Y2380" s="16">
        <f>('Gearing Calculator'!$U$9*9.81)*(('Gearing Calculator'!$C$7-'Gearing Calculator'!$U$16)/'Gearing Calculator'!$C$7)+(('Track Data'!W2380)*('Gearing Calculator'!$U$17/'Gearing Calculator'!$C$7))</f>
        <v>1941.0355127665662</v>
      </c>
      <c r="Z2380" s="16">
        <f>((X2380*COS('Gearing Calculator'!$C$21))/'Gearing Calculator'!$C$22)/2</f>
        <v>20.726229933441275</v>
      </c>
      <c r="AA2380" s="16">
        <f>Y2380/'Gearing Calculator'!$C$24</f>
        <v>27.103366080985129</v>
      </c>
      <c r="AB2380" s="16">
        <f t="shared" si="261"/>
        <v>339.36497501830132</v>
      </c>
      <c r="AC2380" s="16">
        <v>0</v>
      </c>
      <c r="AD2380" s="16">
        <v>0</v>
      </c>
      <c r="AE2380" s="16">
        <v>2377</v>
      </c>
      <c r="AF2380" s="16">
        <f>IF(AC2380=0,IF(O2380=6,INDEX(Acceleration!$V$4:$V$110,MATCH('Track Data'!S2380,Acceleration!$K$4:$K$110,0)),IF('Track Data'!O2380=5,INDEX(Acceleration!$U$4:$U$110,MATCH('Track Data'!S2380,Acceleration!$K$4:$K$110,0)),1)),U2380)</f>
        <v>3.8336143672031953</v>
      </c>
      <c r="AG2380" s="16">
        <f>IF(AC2380=0,IF(O2380=4,INDEX(Acceleration!$T$4:$T$110,MATCH('Track Data'!S2380,Acceleration!$K$4:$K$110,0)),IF('Track Data'!O2380=3,INDEX(Acceleration!$S$4:$S$110,MATCH('Track Data'!S2380,Acceleration!$K$4:$K$110,0)),'Track Data'!AF2380)),'Track Data'!U2380)</f>
        <v>3.8336143672031953</v>
      </c>
      <c r="AH2380" s="16">
        <f>IF(AC2380=0,IF(O2380=2,INDEX(Acceleration!$R$4:$R$110,MATCH('Track Data'!S2380,Acceleration!$K$4:$K$110,0)),IF('Track Data'!O2380=1,INDEX(Acceleration!$Q$4:$Q$110,MATCH('Track Data'!S2380,Acceleration!$K$4:$K$110,0)),'Track Data'!AG2380)),'Track Data'!U2380)</f>
        <v>3.8336143672031953</v>
      </c>
    </row>
    <row r="2381" spans="2:34" x14ac:dyDescent="0.25">
      <c r="B2381" s="16">
        <v>257.18400000000003</v>
      </c>
      <c r="C2381" s="16">
        <v>9651</v>
      </c>
      <c r="D2381" s="16">
        <v>2378</v>
      </c>
      <c r="E2381" s="113">
        <v>203</v>
      </c>
      <c r="F2381" s="113">
        <v>198.5</v>
      </c>
      <c r="G2381" s="113">
        <v>197.4</v>
      </c>
      <c r="H2381" s="113">
        <f t="shared" si="264"/>
        <v>54.833333333333336</v>
      </c>
      <c r="I2381" s="113">
        <v>-0.8</v>
      </c>
      <c r="J2381" s="113">
        <v>9.0399999999999991</v>
      </c>
      <c r="K2381" s="113">
        <v>1.5</v>
      </c>
      <c r="L2381" s="185"/>
      <c r="M2381" s="16">
        <v>2378</v>
      </c>
      <c r="N2381" s="16">
        <f t="shared" si="266"/>
        <v>1.8157945794414862E-2</v>
      </c>
      <c r="O2381" s="16">
        <v>5</v>
      </c>
      <c r="P2381" s="16">
        <f t="shared" si="262"/>
        <v>8.1742160278745661</v>
      </c>
      <c r="Q2381" s="16">
        <f t="shared" si="267"/>
        <v>55.072308912145033</v>
      </c>
      <c r="R2381" s="113">
        <f t="shared" si="263"/>
        <v>319.54399999999998</v>
      </c>
      <c r="S2381" s="16">
        <f>IF(S2380=15800,15800,ROUND((((Q2381*60)/'Gearing Calculator'!$C$14)*'Track Data'!P2381),-2))</f>
        <v>13600</v>
      </c>
      <c r="T2381" s="16">
        <f t="shared" si="265"/>
        <v>3.8336143672031953</v>
      </c>
      <c r="U2381" s="16">
        <f>IF(AC2381=100,Braking!$AG$2354,IF(AC2381=50,Braking!$AG$1179,IF(AC2381=75,Braking!$AG$1767,0)))</f>
        <v>0</v>
      </c>
      <c r="V2381" s="16">
        <f>0.5*'Gearing Calculator'!$C$15*'Gearing Calculator'!$C$20*'Gearing Calculator'!$W$20*('Track Data'!Q2381^2)</f>
        <v>321.0084026715349</v>
      </c>
      <c r="W2381" s="16">
        <f>('Gearing Calculator'!$U$9*'Track Data'!T2381)+'Track Data'!V2381</f>
        <v>1341.5165472210256</v>
      </c>
      <c r="X2381" s="16">
        <f>('Gearing Calculator'!$U$9*9.81)*('Gearing Calculator'!$U$16/'Gearing Calculator'!$C$7)-(('Track Data'!W2381)*('Gearing Calculator'!$U$17/'Gearing Calculator'!$C$7))</f>
        <v>669.94416459146316</v>
      </c>
      <c r="Y2381" s="16">
        <f>('Gearing Calculator'!$U$9*9.81)*(('Gearing Calculator'!$C$7-'Gearing Calculator'!$U$16)/'Gearing Calculator'!$C$7)+(('Track Data'!W2381)*('Gearing Calculator'!$U$17/'Gearing Calculator'!$C$7))</f>
        <v>1941.477835408537</v>
      </c>
      <c r="Z2381" s="16">
        <f>((X2381*COS('Gearing Calculator'!$C$21))/'Gearing Calculator'!$C$22)/2</f>
        <v>20.712554716298875</v>
      </c>
      <c r="AA2381" s="16">
        <f>Y2381/'Gearing Calculator'!$C$24</f>
        <v>27.109542388637614</v>
      </c>
      <c r="AB2381" s="16">
        <f t="shared" si="261"/>
        <v>340.17647450755089</v>
      </c>
      <c r="AC2381" s="16">
        <v>0</v>
      </c>
      <c r="AD2381" s="16">
        <v>0</v>
      </c>
      <c r="AE2381" s="16">
        <v>2378</v>
      </c>
      <c r="AF2381" s="16">
        <f>IF(AC2381=0,IF(O2381=6,INDEX(Acceleration!$V$4:$V$110,MATCH('Track Data'!S2381,Acceleration!$K$4:$K$110,0)),IF('Track Data'!O2381=5,INDEX(Acceleration!$U$4:$U$110,MATCH('Track Data'!S2381,Acceleration!$K$4:$K$110,0)),1)),U2381)</f>
        <v>3.8336143672031953</v>
      </c>
      <c r="AG2381" s="16">
        <f>IF(AC2381=0,IF(O2381=4,INDEX(Acceleration!$T$4:$T$110,MATCH('Track Data'!S2381,Acceleration!$K$4:$K$110,0)),IF('Track Data'!O2381=3,INDEX(Acceleration!$S$4:$S$110,MATCH('Track Data'!S2381,Acceleration!$K$4:$K$110,0)),'Track Data'!AF2381)),'Track Data'!U2381)</f>
        <v>3.8336143672031953</v>
      </c>
      <c r="AH2381" s="16">
        <f>IF(AC2381=0,IF(O2381=2,INDEX(Acceleration!$R$4:$R$110,MATCH('Track Data'!S2381,Acceleration!$K$4:$K$110,0)),IF('Track Data'!O2381=1,INDEX(Acceleration!$Q$4:$Q$110,MATCH('Track Data'!S2381,Acceleration!$K$4:$K$110,0)),'Track Data'!AG2381)),'Track Data'!U2381)</f>
        <v>3.8336143672031953</v>
      </c>
    </row>
    <row r="2382" spans="2:34" x14ac:dyDescent="0.25">
      <c r="B2382" s="16">
        <v>257.202</v>
      </c>
      <c r="C2382" s="16">
        <v>9653</v>
      </c>
      <c r="D2382" s="16">
        <v>2379</v>
      </c>
      <c r="E2382" s="113">
        <v>204</v>
      </c>
      <c r="F2382" s="113">
        <v>198.6</v>
      </c>
      <c r="G2382" s="113">
        <v>197.6</v>
      </c>
      <c r="H2382" s="113">
        <f t="shared" si="264"/>
        <v>54.888888888888886</v>
      </c>
      <c r="I2382" s="113">
        <v>-0.9</v>
      </c>
      <c r="J2382" s="113">
        <v>8.08</v>
      </c>
      <c r="K2382" s="113">
        <v>0.3</v>
      </c>
      <c r="L2382" s="185"/>
      <c r="M2382" s="16">
        <v>2379</v>
      </c>
      <c r="N2382" s="16">
        <f t="shared" si="266"/>
        <v>1.8135037850564518E-2</v>
      </c>
      <c r="O2382" s="16">
        <v>5</v>
      </c>
      <c r="P2382" s="16">
        <f t="shared" si="262"/>
        <v>8.1742160278745661</v>
      </c>
      <c r="Q2382" s="16">
        <f t="shared" si="267"/>
        <v>55.141875536194227</v>
      </c>
      <c r="R2382" s="113">
        <f t="shared" si="263"/>
        <v>319.54399999999998</v>
      </c>
      <c r="S2382" s="16">
        <f>IF(S2381=15800,15800,ROUND((((Q2382*60)/'Gearing Calculator'!$C$14)*'Track Data'!P2382),-2))</f>
        <v>13700</v>
      </c>
      <c r="T2382" s="16">
        <f t="shared" si="265"/>
        <v>3.7880882999290102</v>
      </c>
      <c r="U2382" s="16">
        <f>IF(AC2382=100,Braking!$AG$2354,IF(AC2382=50,Braking!$AG$1179,IF(AC2382=75,Braking!$AG$1767,0)))</f>
        <v>0</v>
      </c>
      <c r="V2382" s="16">
        <f>0.5*'Gearing Calculator'!$C$15*'Gearing Calculator'!$C$20*'Gearing Calculator'!$W$20*('Track Data'!Q2382^2)</f>
        <v>321.81990216078447</v>
      </c>
      <c r="W2382" s="16">
        <f>('Gearing Calculator'!$U$9*'Track Data'!T2382)+'Track Data'!V2382</f>
        <v>1330.2090076018869</v>
      </c>
      <c r="X2382" s="16">
        <f>('Gearing Calculator'!$U$9*9.81)*('Gearing Calculator'!$U$16/'Gearing Calculator'!$C$7)-(('Track Data'!W2382)*('Gearing Calculator'!$U$17/'Gearing Calculator'!$C$7))</f>
        <v>676.10754591798695</v>
      </c>
      <c r="Y2382" s="16">
        <f>('Gearing Calculator'!$U$9*9.81)*(('Gearing Calculator'!$C$7-'Gearing Calculator'!$U$16)/'Gearing Calculator'!$C$7)+(('Track Data'!W2382)*('Gearing Calculator'!$U$17/'Gearing Calculator'!$C$7))</f>
        <v>1935.3144540820131</v>
      </c>
      <c r="Z2382" s="16">
        <f>((X2382*COS('Gearing Calculator'!$C$21))/'Gearing Calculator'!$C$22)/2</f>
        <v>20.903106973800639</v>
      </c>
      <c r="AA2382" s="16">
        <f>Y2382/'Gearing Calculator'!$C$24</f>
        <v>27.023480913053692</v>
      </c>
      <c r="AB2382" s="16">
        <f t="shared" si="261"/>
        <v>340.7603436604295</v>
      </c>
      <c r="AC2382" s="16">
        <v>0</v>
      </c>
      <c r="AD2382" s="16">
        <v>0</v>
      </c>
      <c r="AE2382" s="16">
        <v>2379</v>
      </c>
      <c r="AF2382" s="16">
        <f>IF(AC2382=0,IF(O2382=6,INDEX(Acceleration!$V$4:$V$110,MATCH('Track Data'!S2382,Acceleration!$K$4:$K$110,0)),IF('Track Data'!O2382=5,INDEX(Acceleration!$U$4:$U$110,MATCH('Track Data'!S2382,Acceleration!$K$4:$K$110,0)),1)),U2382)</f>
        <v>3.7880882999290102</v>
      </c>
      <c r="AG2382" s="16">
        <f>IF(AC2382=0,IF(O2382=4,INDEX(Acceleration!$T$4:$T$110,MATCH('Track Data'!S2382,Acceleration!$K$4:$K$110,0)),IF('Track Data'!O2382=3,INDEX(Acceleration!$S$4:$S$110,MATCH('Track Data'!S2382,Acceleration!$K$4:$K$110,0)),'Track Data'!AF2382)),'Track Data'!U2382)</f>
        <v>3.7880882999290102</v>
      </c>
      <c r="AH2382" s="16">
        <f>IF(AC2382=0,IF(O2382=2,INDEX(Acceleration!$R$4:$R$110,MATCH('Track Data'!S2382,Acceleration!$K$4:$K$110,0)),IF('Track Data'!O2382=1,INDEX(Acceleration!$Q$4:$Q$110,MATCH('Track Data'!S2382,Acceleration!$K$4:$K$110,0)),'Track Data'!AG2382)),'Track Data'!U2382)</f>
        <v>3.7880882999290102</v>
      </c>
    </row>
    <row r="2383" spans="2:34" x14ac:dyDescent="0.25">
      <c r="B2383" s="16">
        <v>257.221</v>
      </c>
      <c r="C2383" s="16">
        <v>9653</v>
      </c>
      <c r="D2383" s="16">
        <v>2380</v>
      </c>
      <c r="E2383" s="113">
        <v>202</v>
      </c>
      <c r="F2383" s="113">
        <v>199.3</v>
      </c>
      <c r="G2383" s="113">
        <v>197.9</v>
      </c>
      <c r="H2383" s="113">
        <f t="shared" si="264"/>
        <v>54.972222222222221</v>
      </c>
      <c r="I2383" s="113">
        <v>0.7</v>
      </c>
      <c r="J2383" s="113">
        <v>6.48</v>
      </c>
      <c r="K2383" s="113">
        <v>1.5</v>
      </c>
      <c r="L2383" s="185"/>
      <c r="M2383" s="16">
        <v>2380</v>
      </c>
      <c r="N2383" s="16">
        <f t="shared" si="266"/>
        <v>1.8112486900884687E-2</v>
      </c>
      <c r="O2383" s="16">
        <v>5</v>
      </c>
      <c r="P2383" s="16">
        <f t="shared" si="262"/>
        <v>8.1742160278745661</v>
      </c>
      <c r="Q2383" s="16">
        <f t="shared" si="267"/>
        <v>55.210529921827352</v>
      </c>
      <c r="R2383" s="113">
        <f t="shared" si="263"/>
        <v>319.54399999999998</v>
      </c>
      <c r="S2383" s="16">
        <f>IF(S2382=15800,15800,ROUND((((Q2383*60)/'Gearing Calculator'!$C$14)*'Track Data'!P2383),-2))</f>
        <v>13700</v>
      </c>
      <c r="T2383" s="16">
        <f t="shared" si="265"/>
        <v>3.7880882999290102</v>
      </c>
      <c r="U2383" s="16">
        <f>IF(AC2383=100,Braking!$AG$2354,IF(AC2383=50,Braking!$AG$1179,IF(AC2383=75,Braking!$AG$1767,0)))</f>
        <v>0</v>
      </c>
      <c r="V2383" s="16">
        <f>0.5*'Gearing Calculator'!$C$15*'Gearing Calculator'!$C$20*'Gearing Calculator'!$W$20*('Track Data'!Q2383^2)</f>
        <v>322.6217646921134</v>
      </c>
      <c r="W2383" s="16">
        <f>('Gearing Calculator'!$U$9*'Track Data'!T2383)+'Track Data'!V2383</f>
        <v>1331.010870133216</v>
      </c>
      <c r="X2383" s="16">
        <f>('Gearing Calculator'!$U$9*9.81)*('Gearing Calculator'!$U$16/'Gearing Calculator'!$C$7)-(('Track Data'!W2383)*('Gearing Calculator'!$U$17/'Gearing Calculator'!$C$7))</f>
        <v>675.67047607622681</v>
      </c>
      <c r="Y2383" s="16">
        <f>('Gearing Calculator'!$U$9*9.81)*(('Gearing Calculator'!$C$7-'Gearing Calculator'!$U$16)/'Gearing Calculator'!$C$7)+(('Track Data'!W2383)*('Gearing Calculator'!$U$17/'Gearing Calculator'!$C$7))</f>
        <v>1935.7515239237732</v>
      </c>
      <c r="Z2383" s="16">
        <f>((X2383*COS('Gearing Calculator'!$C$21))/'Gearing Calculator'!$C$22)/2</f>
        <v>20.889594156627556</v>
      </c>
      <c r="AA2383" s="16">
        <f>Y2383/'Gearing Calculator'!$C$24</f>
        <v>27.029583873997101</v>
      </c>
      <c r="AB2383" s="16">
        <f t="shared" si="261"/>
        <v>341.56220619175843</v>
      </c>
      <c r="AC2383" s="16">
        <v>0</v>
      </c>
      <c r="AD2383" s="16">
        <v>0</v>
      </c>
      <c r="AE2383" s="16">
        <v>2380</v>
      </c>
      <c r="AF2383" s="16">
        <f>IF(AC2383=0,IF(O2383=6,INDEX(Acceleration!$V$4:$V$110,MATCH('Track Data'!S2383,Acceleration!$K$4:$K$110,0)),IF('Track Data'!O2383=5,INDEX(Acceleration!$U$4:$U$110,MATCH('Track Data'!S2383,Acceleration!$K$4:$K$110,0)),1)),U2383)</f>
        <v>3.7880882999290102</v>
      </c>
      <c r="AG2383" s="16">
        <f>IF(AC2383=0,IF(O2383=4,INDEX(Acceleration!$T$4:$T$110,MATCH('Track Data'!S2383,Acceleration!$K$4:$K$110,0)),IF('Track Data'!O2383=3,INDEX(Acceleration!$S$4:$S$110,MATCH('Track Data'!S2383,Acceleration!$K$4:$K$110,0)),'Track Data'!AF2383)),'Track Data'!U2383)</f>
        <v>3.7880882999290102</v>
      </c>
      <c r="AH2383" s="16">
        <f>IF(AC2383=0,IF(O2383=2,INDEX(Acceleration!$R$4:$R$110,MATCH('Track Data'!S2383,Acceleration!$K$4:$K$110,0)),IF('Track Data'!O2383=1,INDEX(Acceleration!$Q$4:$Q$110,MATCH('Track Data'!S2383,Acceleration!$K$4:$K$110,0)),'Track Data'!AG2383)),'Track Data'!U2383)</f>
        <v>3.7880882999290102</v>
      </c>
    </row>
    <row r="2384" spans="2:34" x14ac:dyDescent="0.25">
      <c r="B2384" s="16">
        <v>257.23899999999998</v>
      </c>
      <c r="C2384" s="16">
        <v>9654</v>
      </c>
      <c r="D2384" s="16">
        <v>2381</v>
      </c>
      <c r="E2384" s="113">
        <v>202</v>
      </c>
      <c r="F2384" s="113">
        <v>199.7</v>
      </c>
      <c r="G2384" s="113">
        <v>198</v>
      </c>
      <c r="H2384" s="113">
        <f t="shared" si="264"/>
        <v>55</v>
      </c>
      <c r="I2384" s="113">
        <v>2.2000000000000002</v>
      </c>
      <c r="J2384" s="113">
        <v>5.61</v>
      </c>
      <c r="K2384" s="113">
        <v>2.1</v>
      </c>
      <c r="L2384" s="185"/>
      <c r="M2384" s="16">
        <v>2381</v>
      </c>
      <c r="N2384" s="16">
        <f t="shared" si="266"/>
        <v>1.8090019868952829E-2</v>
      </c>
      <c r="O2384" s="16">
        <v>5</v>
      </c>
      <c r="P2384" s="16">
        <f t="shared" si="262"/>
        <v>8.1742160278745661</v>
      </c>
      <c r="Q2384" s="16">
        <f t="shared" si="267"/>
        <v>55.279099041580366</v>
      </c>
      <c r="R2384" s="113">
        <f t="shared" si="263"/>
        <v>319.54399999999998</v>
      </c>
      <c r="S2384" s="16">
        <f>IF(S2383=15800,15800,ROUND((((Q2384*60)/'Gearing Calculator'!$C$14)*'Track Data'!P2384),-2))</f>
        <v>13700</v>
      </c>
      <c r="T2384" s="16">
        <f t="shared" si="265"/>
        <v>3.7880882999290102</v>
      </c>
      <c r="U2384" s="16">
        <f>IF(AC2384=100,Braking!$AG$2354,IF(AC2384=50,Braking!$AG$1179,IF(AC2384=75,Braking!$AG$1767,0)))</f>
        <v>0</v>
      </c>
      <c r="V2384" s="16">
        <f>0.5*'Gearing Calculator'!$C$15*'Gearing Calculator'!$C$20*'Gearing Calculator'!$W$20*('Track Data'!Q2384^2)</f>
        <v>323.4236272234424</v>
      </c>
      <c r="W2384" s="16">
        <f>('Gearing Calculator'!$U$9*'Track Data'!T2384)+'Track Data'!V2384</f>
        <v>1331.8127326645449</v>
      </c>
      <c r="X2384" s="16">
        <f>('Gearing Calculator'!$U$9*9.81)*('Gearing Calculator'!$U$16/'Gearing Calculator'!$C$7)-(('Track Data'!W2384)*('Gearing Calculator'!$U$17/'Gearing Calculator'!$C$7))</f>
        <v>675.23340623446688</v>
      </c>
      <c r="Y2384" s="16">
        <f>('Gearing Calculator'!$U$9*9.81)*(('Gearing Calculator'!$C$7-'Gearing Calculator'!$U$16)/'Gearing Calculator'!$C$7)+(('Track Data'!W2384)*('Gearing Calculator'!$U$17/'Gearing Calculator'!$C$7))</f>
        <v>1936.1885937655331</v>
      </c>
      <c r="Z2384" s="16">
        <f>((X2384*COS('Gearing Calculator'!$C$21))/'Gearing Calculator'!$C$22)/2</f>
        <v>20.876081339454476</v>
      </c>
      <c r="AA2384" s="16">
        <f>Y2384/'Gearing Calculator'!$C$24</f>
        <v>27.035686834940506</v>
      </c>
      <c r="AB2384" s="16">
        <f t="shared" si="261"/>
        <v>342.36406872308743</v>
      </c>
      <c r="AC2384" s="16">
        <v>0</v>
      </c>
      <c r="AD2384" s="16">
        <v>0</v>
      </c>
      <c r="AE2384" s="16">
        <v>2381</v>
      </c>
      <c r="AF2384" s="16">
        <f>IF(AC2384=0,IF(O2384=6,INDEX(Acceleration!$V$4:$V$110,MATCH('Track Data'!S2384,Acceleration!$K$4:$K$110,0)),IF('Track Data'!O2384=5,INDEX(Acceleration!$U$4:$U$110,MATCH('Track Data'!S2384,Acceleration!$K$4:$K$110,0)),1)),U2384)</f>
        <v>3.7880882999290102</v>
      </c>
      <c r="AG2384" s="16">
        <f>IF(AC2384=0,IF(O2384=4,INDEX(Acceleration!$T$4:$T$110,MATCH('Track Data'!S2384,Acceleration!$K$4:$K$110,0)),IF('Track Data'!O2384=3,INDEX(Acceleration!$S$4:$S$110,MATCH('Track Data'!S2384,Acceleration!$K$4:$K$110,0)),'Track Data'!AF2384)),'Track Data'!U2384)</f>
        <v>3.7880882999290102</v>
      </c>
      <c r="AH2384" s="16">
        <f>IF(AC2384=0,IF(O2384=2,INDEX(Acceleration!$R$4:$R$110,MATCH('Track Data'!S2384,Acceleration!$K$4:$K$110,0)),IF('Track Data'!O2384=1,INDEX(Acceleration!$Q$4:$Q$110,MATCH('Track Data'!S2384,Acceleration!$K$4:$K$110,0)),'Track Data'!AG2384)),'Track Data'!U2384)</f>
        <v>3.7880882999290102</v>
      </c>
    </row>
    <row r="2385" spans="2:34" x14ac:dyDescent="0.25">
      <c r="B2385" s="16">
        <v>257.25700000000001</v>
      </c>
      <c r="C2385" s="16">
        <v>9655</v>
      </c>
      <c r="D2385" s="16">
        <v>2382</v>
      </c>
      <c r="E2385" s="113">
        <v>201</v>
      </c>
      <c r="F2385" s="113">
        <v>200.3</v>
      </c>
      <c r="G2385" s="113">
        <v>198.2</v>
      </c>
      <c r="H2385" s="113">
        <f t="shared" si="264"/>
        <v>55.05555555555555</v>
      </c>
      <c r="I2385" s="113">
        <v>3.5</v>
      </c>
      <c r="J2385" s="113">
        <v>6.96</v>
      </c>
      <c r="K2385" s="113">
        <v>3.3</v>
      </c>
      <c r="L2385" s="185"/>
      <c r="M2385" s="16">
        <v>2382</v>
      </c>
      <c r="N2385" s="16">
        <f t="shared" si="266"/>
        <v>1.8067636235591766E-2</v>
      </c>
      <c r="O2385" s="16">
        <v>5</v>
      </c>
      <c r="P2385" s="16">
        <f t="shared" si="262"/>
        <v>8.1742160278745661</v>
      </c>
      <c r="Q2385" s="16">
        <f t="shared" si="267"/>
        <v>55.347583212356341</v>
      </c>
      <c r="R2385" s="113">
        <f t="shared" si="263"/>
        <v>319.54399999999998</v>
      </c>
      <c r="S2385" s="16">
        <f>IF(S2384=15800,15800,ROUND((((Q2385*60)/'Gearing Calculator'!$C$14)*'Track Data'!P2385),-2))</f>
        <v>13700</v>
      </c>
      <c r="T2385" s="16">
        <f t="shared" si="265"/>
        <v>3.7880882999290102</v>
      </c>
      <c r="U2385" s="16">
        <f>IF(AC2385=100,Braking!$AG$2354,IF(AC2385=50,Braking!$AG$1179,IF(AC2385=75,Braking!$AG$1767,0)))</f>
        <v>0</v>
      </c>
      <c r="V2385" s="16">
        <f>0.5*'Gearing Calculator'!$C$15*'Gearing Calculator'!$C$20*'Gearing Calculator'!$W$20*('Track Data'!Q2385^2)</f>
        <v>324.22548975477139</v>
      </c>
      <c r="W2385" s="16">
        <f>('Gearing Calculator'!$U$9*'Track Data'!T2385)+'Track Data'!V2385</f>
        <v>1332.6145951958738</v>
      </c>
      <c r="X2385" s="16">
        <f>('Gearing Calculator'!$U$9*9.81)*('Gearing Calculator'!$U$16/'Gearing Calculator'!$C$7)-(('Track Data'!W2385)*('Gearing Calculator'!$U$17/'Gearing Calculator'!$C$7))</f>
        <v>674.79633639270685</v>
      </c>
      <c r="Y2385" s="16">
        <f>('Gearing Calculator'!$U$9*9.81)*(('Gearing Calculator'!$C$7-'Gearing Calculator'!$U$16)/'Gearing Calculator'!$C$7)+(('Track Data'!W2385)*('Gearing Calculator'!$U$17/'Gearing Calculator'!$C$7))</f>
        <v>1936.6256636072931</v>
      </c>
      <c r="Z2385" s="16">
        <f>((X2385*COS('Gearing Calculator'!$C$21))/'Gearing Calculator'!$C$22)/2</f>
        <v>20.862568522281393</v>
      </c>
      <c r="AA2385" s="16">
        <f>Y2385/'Gearing Calculator'!$C$24</f>
        <v>27.041789795883911</v>
      </c>
      <c r="AB2385" s="16">
        <f t="shared" si="261"/>
        <v>343.16593125441642</v>
      </c>
      <c r="AC2385" s="16">
        <v>0</v>
      </c>
      <c r="AD2385" s="16">
        <v>0</v>
      </c>
      <c r="AE2385" s="16">
        <v>2382</v>
      </c>
      <c r="AF2385" s="16">
        <f>IF(AC2385=0,IF(O2385=6,INDEX(Acceleration!$V$4:$V$110,MATCH('Track Data'!S2385,Acceleration!$K$4:$K$110,0)),IF('Track Data'!O2385=5,INDEX(Acceleration!$U$4:$U$110,MATCH('Track Data'!S2385,Acceleration!$K$4:$K$110,0)),1)),U2385)</f>
        <v>3.7880882999290102</v>
      </c>
      <c r="AG2385" s="16">
        <f>IF(AC2385=0,IF(O2385=4,INDEX(Acceleration!$T$4:$T$110,MATCH('Track Data'!S2385,Acceleration!$K$4:$K$110,0)),IF('Track Data'!O2385=3,INDEX(Acceleration!$S$4:$S$110,MATCH('Track Data'!S2385,Acceleration!$K$4:$K$110,0)),'Track Data'!AF2385)),'Track Data'!U2385)</f>
        <v>3.7880882999290102</v>
      </c>
      <c r="AH2385" s="16">
        <f>IF(AC2385=0,IF(O2385=2,INDEX(Acceleration!$R$4:$R$110,MATCH('Track Data'!S2385,Acceleration!$K$4:$K$110,0)),IF('Track Data'!O2385=1,INDEX(Acceleration!$Q$4:$Q$110,MATCH('Track Data'!S2385,Acceleration!$K$4:$K$110,0)),'Track Data'!AG2385)),'Track Data'!U2385)</f>
        <v>3.7880882999290102</v>
      </c>
    </row>
    <row r="2386" spans="2:34" x14ac:dyDescent="0.25">
      <c r="B2386" s="16">
        <v>257.274</v>
      </c>
      <c r="C2386" s="16">
        <v>9656</v>
      </c>
      <c r="D2386" s="16">
        <v>2383</v>
      </c>
      <c r="E2386" s="113">
        <v>202</v>
      </c>
      <c r="F2386" s="113">
        <v>200.9</v>
      </c>
      <c r="G2386" s="113">
        <v>198.5</v>
      </c>
      <c r="H2386" s="113">
        <f t="shared" si="264"/>
        <v>55.138888888888886</v>
      </c>
      <c r="I2386" s="113">
        <v>3.9</v>
      </c>
      <c r="J2386" s="113">
        <v>14.74</v>
      </c>
      <c r="K2386" s="113">
        <v>4.5999999999999996</v>
      </c>
      <c r="L2386" s="185"/>
      <c r="M2386" s="16">
        <v>2383</v>
      </c>
      <c r="N2386" s="16">
        <f t="shared" si="266"/>
        <v>1.8045335486110058E-2</v>
      </c>
      <c r="O2386" s="16">
        <v>5</v>
      </c>
      <c r="P2386" s="16">
        <f t="shared" si="262"/>
        <v>8.1742160278745661</v>
      </c>
      <c r="Q2386" s="16">
        <f t="shared" si="267"/>
        <v>55.415982749100166</v>
      </c>
      <c r="R2386" s="113">
        <f t="shared" si="263"/>
        <v>319.54399999999998</v>
      </c>
      <c r="S2386" s="16">
        <f>IF(S2385=15800,15800,ROUND((((Q2386*60)/'Gearing Calculator'!$C$14)*'Track Data'!P2386),-2))</f>
        <v>13700</v>
      </c>
      <c r="T2386" s="16">
        <f t="shared" si="265"/>
        <v>3.7880882999290102</v>
      </c>
      <c r="U2386" s="16">
        <f>IF(AC2386=100,Braking!$AG$2354,IF(AC2386=50,Braking!$AG$1179,IF(AC2386=75,Braking!$AG$1767,0)))</f>
        <v>0</v>
      </c>
      <c r="V2386" s="16">
        <f>0.5*'Gearing Calculator'!$C$15*'Gearing Calculator'!$C$20*'Gearing Calculator'!$W$20*('Track Data'!Q2386^2)</f>
        <v>325.02735228610032</v>
      </c>
      <c r="W2386" s="16">
        <f>('Gearing Calculator'!$U$9*'Track Data'!T2386)+'Track Data'!V2386</f>
        <v>1333.4164577272029</v>
      </c>
      <c r="X2386" s="16">
        <f>('Gearing Calculator'!$U$9*9.81)*('Gearing Calculator'!$U$16/'Gearing Calculator'!$C$7)-(('Track Data'!W2386)*('Gearing Calculator'!$U$17/'Gearing Calculator'!$C$7))</f>
        <v>674.35926655094681</v>
      </c>
      <c r="Y2386" s="16">
        <f>('Gearing Calculator'!$U$9*9.81)*(('Gearing Calculator'!$C$7-'Gearing Calculator'!$U$16)/'Gearing Calculator'!$C$7)+(('Track Data'!W2386)*('Gearing Calculator'!$U$17/'Gearing Calculator'!$C$7))</f>
        <v>1937.0627334490532</v>
      </c>
      <c r="Z2386" s="16">
        <f>((X2386*COS('Gearing Calculator'!$C$21))/'Gearing Calculator'!$C$22)/2</f>
        <v>20.849055705108306</v>
      </c>
      <c r="AA2386" s="16">
        <f>Y2386/'Gearing Calculator'!$C$24</f>
        <v>27.04789275682732</v>
      </c>
      <c r="AB2386" s="16">
        <f t="shared" si="261"/>
        <v>343.96779378574536</v>
      </c>
      <c r="AC2386" s="16">
        <v>0</v>
      </c>
      <c r="AD2386" s="16">
        <v>0</v>
      </c>
      <c r="AE2386" s="16">
        <v>2383</v>
      </c>
      <c r="AF2386" s="16">
        <f>IF(AC2386=0,IF(O2386=6,INDEX(Acceleration!$V$4:$V$110,MATCH('Track Data'!S2386,Acceleration!$K$4:$K$110,0)),IF('Track Data'!O2386=5,INDEX(Acceleration!$U$4:$U$110,MATCH('Track Data'!S2386,Acceleration!$K$4:$K$110,0)),1)),U2386)</f>
        <v>3.7880882999290102</v>
      </c>
      <c r="AG2386" s="16">
        <f>IF(AC2386=0,IF(O2386=4,INDEX(Acceleration!$T$4:$T$110,MATCH('Track Data'!S2386,Acceleration!$K$4:$K$110,0)),IF('Track Data'!O2386=3,INDEX(Acceleration!$S$4:$S$110,MATCH('Track Data'!S2386,Acceleration!$K$4:$K$110,0)),'Track Data'!AF2386)),'Track Data'!U2386)</f>
        <v>3.7880882999290102</v>
      </c>
      <c r="AH2386" s="16">
        <f>IF(AC2386=0,IF(O2386=2,INDEX(Acceleration!$R$4:$R$110,MATCH('Track Data'!S2386,Acceleration!$K$4:$K$110,0)),IF('Track Data'!O2386=1,INDEX(Acceleration!$Q$4:$Q$110,MATCH('Track Data'!S2386,Acceleration!$K$4:$K$110,0)),'Track Data'!AG2386)),'Track Data'!U2386)</f>
        <v>3.7880882999290102</v>
      </c>
    </row>
    <row r="2387" spans="2:34" x14ac:dyDescent="0.25">
      <c r="B2387" s="16">
        <v>257.29300000000001</v>
      </c>
      <c r="C2387" s="16">
        <v>9657</v>
      </c>
      <c r="D2387" s="16">
        <v>2384</v>
      </c>
      <c r="E2387" s="113">
        <v>202</v>
      </c>
      <c r="F2387" s="113">
        <v>201.1</v>
      </c>
      <c r="G2387" s="113">
        <v>198.8</v>
      </c>
      <c r="H2387" s="113">
        <f t="shared" si="264"/>
        <v>55.222222222222221</v>
      </c>
      <c r="I2387" s="113">
        <v>4.0999999999999996</v>
      </c>
      <c r="J2387" s="113">
        <v>22.32</v>
      </c>
      <c r="K2387" s="113">
        <v>0.6</v>
      </c>
      <c r="L2387" s="185"/>
      <c r="M2387" s="16">
        <v>2384</v>
      </c>
      <c r="N2387" s="16">
        <f t="shared" si="266"/>
        <v>1.8023117110252257E-2</v>
      </c>
      <c r="O2387" s="16">
        <v>5</v>
      </c>
      <c r="P2387" s="16">
        <f t="shared" si="262"/>
        <v>8.1742160278745661</v>
      </c>
      <c r="Q2387" s="16">
        <f t="shared" si="267"/>
        <v>55.484297964815461</v>
      </c>
      <c r="R2387" s="113">
        <f t="shared" si="263"/>
        <v>319.54399999999998</v>
      </c>
      <c r="S2387" s="16">
        <f>IF(S2386=15800,15800,ROUND((((Q2387*60)/'Gearing Calculator'!$C$14)*'Track Data'!P2387),-2))</f>
        <v>13800</v>
      </c>
      <c r="T2387" s="16">
        <f t="shared" si="265"/>
        <v>3.7638916877888997</v>
      </c>
      <c r="U2387" s="16">
        <f>IF(AC2387=100,Braking!$AG$2354,IF(AC2387=50,Braking!$AG$1179,IF(AC2387=75,Braking!$AG$1767,0)))</f>
        <v>0</v>
      </c>
      <c r="V2387" s="16">
        <f>0.5*'Gearing Calculator'!$C$15*'Gearing Calculator'!$C$20*'Gearing Calculator'!$W$20*('Track Data'!Q2387^2)</f>
        <v>325.82921481742932</v>
      </c>
      <c r="W2387" s="16">
        <f>('Gearing Calculator'!$U$9*'Track Data'!T2387)+'Track Data'!V2387</f>
        <v>1327.7771821068343</v>
      </c>
      <c r="X2387" s="16">
        <f>('Gearing Calculator'!$U$9*9.81)*('Gearing Calculator'!$U$16/'Gearing Calculator'!$C$7)-(('Track Data'!W2387)*('Gearing Calculator'!$U$17/'Gearing Calculator'!$C$7))</f>
        <v>677.43305689123201</v>
      </c>
      <c r="Y2387" s="16">
        <f>('Gearing Calculator'!$U$9*9.81)*(('Gearing Calculator'!$C$7-'Gearing Calculator'!$U$16)/'Gearing Calculator'!$C$7)+(('Track Data'!W2387)*('Gearing Calculator'!$U$17/'Gearing Calculator'!$C$7))</f>
        <v>1933.9889431087681</v>
      </c>
      <c r="Z2387" s="16">
        <f>((X2387*COS('Gearing Calculator'!$C$21))/'Gearing Calculator'!$C$22)/2</f>
        <v>20.944087580859343</v>
      </c>
      <c r="AA2387" s="16">
        <f>Y2387/'Gearing Calculator'!$C$24</f>
        <v>27.004972334042165</v>
      </c>
      <c r="AB2387" s="16">
        <f t="shared" si="261"/>
        <v>344.6486732563738</v>
      </c>
      <c r="AC2387" s="16">
        <v>0</v>
      </c>
      <c r="AD2387" s="16">
        <v>0</v>
      </c>
      <c r="AE2387" s="16">
        <v>2384</v>
      </c>
      <c r="AF2387" s="16">
        <f>IF(AC2387=0,IF(O2387=6,INDEX(Acceleration!$V$4:$V$110,MATCH('Track Data'!S2387,Acceleration!$K$4:$K$110,0)),IF('Track Data'!O2387=5,INDEX(Acceleration!$U$4:$U$110,MATCH('Track Data'!S2387,Acceleration!$K$4:$K$110,0)),1)),U2387)</f>
        <v>3.7638916877888997</v>
      </c>
      <c r="AG2387" s="16">
        <f>IF(AC2387=0,IF(O2387=4,INDEX(Acceleration!$T$4:$T$110,MATCH('Track Data'!S2387,Acceleration!$K$4:$K$110,0)),IF('Track Data'!O2387=3,INDEX(Acceleration!$S$4:$S$110,MATCH('Track Data'!S2387,Acceleration!$K$4:$K$110,0)),'Track Data'!AF2387)),'Track Data'!U2387)</f>
        <v>3.7638916877888997</v>
      </c>
      <c r="AH2387" s="16">
        <f>IF(AC2387=0,IF(O2387=2,INDEX(Acceleration!$R$4:$R$110,MATCH('Track Data'!S2387,Acceleration!$K$4:$K$110,0)),IF('Track Data'!O2387=1,INDEX(Acceleration!$Q$4:$Q$110,MATCH('Track Data'!S2387,Acceleration!$K$4:$K$110,0)),'Track Data'!AG2387)),'Track Data'!U2387)</f>
        <v>3.7638916877888997</v>
      </c>
    </row>
    <row r="2388" spans="2:34" x14ac:dyDescent="0.25">
      <c r="B2388" s="16">
        <v>257.31099999999998</v>
      </c>
      <c r="C2388" s="16">
        <v>9658</v>
      </c>
      <c r="D2388" s="16">
        <v>2385</v>
      </c>
      <c r="E2388" s="113">
        <v>202</v>
      </c>
      <c r="F2388" s="113">
        <v>201.2</v>
      </c>
      <c r="G2388" s="113">
        <v>199</v>
      </c>
      <c r="H2388" s="113">
        <f t="shared" si="264"/>
        <v>55.277777777777779</v>
      </c>
      <c r="I2388" s="113">
        <v>4.8</v>
      </c>
      <c r="J2388" s="113">
        <v>21.9</v>
      </c>
      <c r="K2388" s="113">
        <v>-5.8</v>
      </c>
      <c r="L2388" s="185"/>
      <c r="M2388" s="16">
        <v>2385</v>
      </c>
      <c r="N2388" s="16">
        <f t="shared" si="266"/>
        <v>1.8001121741515965E-2</v>
      </c>
      <c r="O2388" s="16">
        <v>5</v>
      </c>
      <c r="P2388" s="16">
        <f t="shared" si="262"/>
        <v>8.1742160278745661</v>
      </c>
      <c r="Q2388" s="16">
        <f t="shared" si="267"/>
        <v>55.552093606127961</v>
      </c>
      <c r="R2388" s="113">
        <f t="shared" si="263"/>
        <v>319.54399999999998</v>
      </c>
      <c r="S2388" s="16">
        <f>IF(S2387=15800,15800,ROUND((((Q2388*60)/'Gearing Calculator'!$C$14)*'Track Data'!P2388),-2))</f>
        <v>13800</v>
      </c>
      <c r="T2388" s="16">
        <f t="shared" si="265"/>
        <v>3.7638916877888997</v>
      </c>
      <c r="U2388" s="16">
        <f>IF(AC2388=100,Braking!$AG$2354,IF(AC2388=50,Braking!$AG$1179,IF(AC2388=75,Braking!$AG$1767,0)))</f>
        <v>0</v>
      </c>
      <c r="V2388" s="16">
        <f>0.5*'Gearing Calculator'!$C$15*'Gearing Calculator'!$C$20*'Gearing Calculator'!$W$20*('Track Data'!Q2388^2)</f>
        <v>326.62595540990043</v>
      </c>
      <c r="W2388" s="16">
        <f>('Gearing Calculator'!$U$9*'Track Data'!T2388)+'Track Data'!V2388</f>
        <v>1328.5739226993055</v>
      </c>
      <c r="X2388" s="16">
        <f>('Gearing Calculator'!$U$9*9.81)*('Gearing Calculator'!$U$16/'Gearing Calculator'!$C$7)-(('Track Data'!W2388)*('Gearing Calculator'!$U$17/'Gearing Calculator'!$C$7))</f>
        <v>676.99877885594583</v>
      </c>
      <c r="Y2388" s="16">
        <f>('Gearing Calculator'!$U$9*9.81)*(('Gearing Calculator'!$C$7-'Gearing Calculator'!$U$16)/'Gearing Calculator'!$C$7)+(('Track Data'!W2388)*('Gearing Calculator'!$U$17/'Gearing Calculator'!$C$7))</f>
        <v>1934.4232211440542</v>
      </c>
      <c r="Z2388" s="16">
        <f>((X2388*COS('Gearing Calculator'!$C$21))/'Gearing Calculator'!$C$22)/2</f>
        <v>20.930661077512696</v>
      </c>
      <c r="AA2388" s="16">
        <f>Y2388/'Gearing Calculator'!$C$24</f>
        <v>27.011036312003348</v>
      </c>
      <c r="AB2388" s="16">
        <f t="shared" si="261"/>
        <v>345.44541384884491</v>
      </c>
      <c r="AC2388" s="16">
        <v>0</v>
      </c>
      <c r="AD2388" s="16">
        <v>0</v>
      </c>
      <c r="AE2388" s="16">
        <v>2385</v>
      </c>
      <c r="AF2388" s="16">
        <f>IF(AC2388=0,IF(O2388=6,INDEX(Acceleration!$V$4:$V$110,MATCH('Track Data'!S2388,Acceleration!$K$4:$K$110,0)),IF('Track Data'!O2388=5,INDEX(Acceleration!$U$4:$U$110,MATCH('Track Data'!S2388,Acceleration!$K$4:$K$110,0)),1)),U2388)</f>
        <v>3.7638916877888997</v>
      </c>
      <c r="AG2388" s="16">
        <f>IF(AC2388=0,IF(O2388=4,INDEX(Acceleration!$T$4:$T$110,MATCH('Track Data'!S2388,Acceleration!$K$4:$K$110,0)),IF('Track Data'!O2388=3,INDEX(Acceleration!$S$4:$S$110,MATCH('Track Data'!S2388,Acceleration!$K$4:$K$110,0)),'Track Data'!AF2388)),'Track Data'!U2388)</f>
        <v>3.7638916877888997</v>
      </c>
      <c r="AH2388" s="16">
        <f>IF(AC2388=0,IF(O2388=2,INDEX(Acceleration!$R$4:$R$110,MATCH('Track Data'!S2388,Acceleration!$K$4:$K$110,0)),IF('Track Data'!O2388=1,INDEX(Acceleration!$Q$4:$Q$110,MATCH('Track Data'!S2388,Acceleration!$K$4:$K$110,0)),'Track Data'!AG2388)),'Track Data'!U2388)</f>
        <v>3.7638916877888997</v>
      </c>
    </row>
    <row r="2389" spans="2:34" x14ac:dyDescent="0.25">
      <c r="B2389" s="16">
        <v>257.32799999999997</v>
      </c>
      <c r="C2389" s="16">
        <v>9659</v>
      </c>
      <c r="D2389" s="16">
        <v>2386</v>
      </c>
      <c r="E2389" s="113">
        <v>202</v>
      </c>
      <c r="F2389" s="113">
        <v>201.3</v>
      </c>
      <c r="G2389" s="113">
        <v>199.1</v>
      </c>
      <c r="H2389" s="113">
        <f t="shared" si="264"/>
        <v>55.30555555555555</v>
      </c>
      <c r="I2389" s="113">
        <v>4.8</v>
      </c>
      <c r="J2389" s="113">
        <v>20.87</v>
      </c>
      <c r="K2389" s="113">
        <v>-9</v>
      </c>
      <c r="L2389" s="185"/>
      <c r="M2389" s="16">
        <v>2386</v>
      </c>
      <c r="N2389" s="16">
        <f t="shared" si="266"/>
        <v>1.7979206706007785E-2</v>
      </c>
      <c r="O2389" s="16">
        <v>5</v>
      </c>
      <c r="P2389" s="16">
        <f t="shared" si="262"/>
        <v>8.1742160278745661</v>
      </c>
      <c r="Q2389" s="16">
        <f t="shared" si="267"/>
        <v>55.619806610591347</v>
      </c>
      <c r="R2389" s="113">
        <f t="shared" si="263"/>
        <v>319.54399999999998</v>
      </c>
      <c r="S2389" s="16">
        <f>IF(S2388=15800,15800,ROUND((((Q2389*60)/'Gearing Calculator'!$C$14)*'Track Data'!P2389),-2))</f>
        <v>13800</v>
      </c>
      <c r="T2389" s="16">
        <f t="shared" si="265"/>
        <v>3.7638916877888997</v>
      </c>
      <c r="U2389" s="16">
        <f>IF(AC2389=100,Braking!$AG$2354,IF(AC2389=50,Braking!$AG$1179,IF(AC2389=75,Braking!$AG$1767,0)))</f>
        <v>0</v>
      </c>
      <c r="V2389" s="16">
        <f>0.5*'Gearing Calculator'!$C$15*'Gearing Calculator'!$C$20*'Gearing Calculator'!$W$20*('Track Data'!Q2389^2)</f>
        <v>327.42269600237165</v>
      </c>
      <c r="W2389" s="16">
        <f>('Gearing Calculator'!$U$9*'Track Data'!T2389)+'Track Data'!V2389</f>
        <v>1329.3706632917767</v>
      </c>
      <c r="X2389" s="16">
        <f>('Gearing Calculator'!$U$9*9.81)*('Gearing Calculator'!$U$16/'Gearing Calculator'!$C$7)-(('Track Data'!W2389)*('Gearing Calculator'!$U$17/'Gearing Calculator'!$C$7))</f>
        <v>676.56450082065953</v>
      </c>
      <c r="Y2389" s="16">
        <f>('Gearing Calculator'!$U$9*9.81)*(('Gearing Calculator'!$C$7-'Gearing Calculator'!$U$16)/'Gearing Calculator'!$C$7)+(('Track Data'!W2389)*('Gearing Calculator'!$U$17/'Gearing Calculator'!$C$7))</f>
        <v>1934.8574991793405</v>
      </c>
      <c r="Z2389" s="16">
        <f>((X2389*COS('Gearing Calculator'!$C$21))/'Gearing Calculator'!$C$22)/2</f>
        <v>20.917234574166052</v>
      </c>
      <c r="AA2389" s="16">
        <f>Y2389/'Gearing Calculator'!$C$24</f>
        <v>27.017100289964535</v>
      </c>
      <c r="AB2389" s="16">
        <f t="shared" si="261"/>
        <v>346.24215444131613</v>
      </c>
      <c r="AC2389" s="16">
        <v>0</v>
      </c>
      <c r="AD2389" s="16">
        <v>0</v>
      </c>
      <c r="AE2389" s="16">
        <v>2386</v>
      </c>
      <c r="AF2389" s="16">
        <f>IF(AC2389=0,IF(O2389=6,INDEX(Acceleration!$V$4:$V$110,MATCH('Track Data'!S2389,Acceleration!$K$4:$K$110,0)),IF('Track Data'!O2389=5,INDEX(Acceleration!$U$4:$U$110,MATCH('Track Data'!S2389,Acceleration!$K$4:$K$110,0)),1)),U2389)</f>
        <v>3.7638916877888997</v>
      </c>
      <c r="AG2389" s="16">
        <f>IF(AC2389=0,IF(O2389=4,INDEX(Acceleration!$T$4:$T$110,MATCH('Track Data'!S2389,Acceleration!$K$4:$K$110,0)),IF('Track Data'!O2389=3,INDEX(Acceleration!$S$4:$S$110,MATCH('Track Data'!S2389,Acceleration!$K$4:$K$110,0)),'Track Data'!AF2389)),'Track Data'!U2389)</f>
        <v>3.7638916877888997</v>
      </c>
      <c r="AH2389" s="16">
        <f>IF(AC2389=0,IF(O2389=2,INDEX(Acceleration!$R$4:$R$110,MATCH('Track Data'!S2389,Acceleration!$K$4:$K$110,0)),IF('Track Data'!O2389=1,INDEX(Acceleration!$Q$4:$Q$110,MATCH('Track Data'!S2389,Acceleration!$K$4:$K$110,0)),'Track Data'!AG2389)),'Track Data'!U2389)</f>
        <v>3.7638916877888997</v>
      </c>
    </row>
    <row r="2390" spans="2:34" x14ac:dyDescent="0.25">
      <c r="B2390" s="16">
        <v>257.346</v>
      </c>
      <c r="C2390" s="16">
        <v>9660</v>
      </c>
      <c r="D2390" s="16">
        <v>2387</v>
      </c>
      <c r="E2390" s="113">
        <v>203</v>
      </c>
      <c r="F2390" s="113">
        <v>201.7</v>
      </c>
      <c r="G2390" s="113">
        <v>199.4</v>
      </c>
      <c r="H2390" s="113">
        <f t="shared" si="264"/>
        <v>55.388888888888886</v>
      </c>
      <c r="I2390" s="113">
        <v>4.5</v>
      </c>
      <c r="J2390" s="113">
        <v>19.22</v>
      </c>
      <c r="K2390" s="113">
        <v>-15.4</v>
      </c>
      <c r="L2390" s="185"/>
      <c r="M2390" s="16">
        <v>2387</v>
      </c>
      <c r="N2390" s="16">
        <f t="shared" si="266"/>
        <v>1.7957371515916379E-2</v>
      </c>
      <c r="O2390" s="16">
        <v>5</v>
      </c>
      <c r="P2390" s="16">
        <f t="shared" si="262"/>
        <v>8.1742160278745661</v>
      </c>
      <c r="Q2390" s="16">
        <f t="shared" si="267"/>
        <v>55.687437279651853</v>
      </c>
      <c r="R2390" s="113">
        <f t="shared" si="263"/>
        <v>319.54399999999998</v>
      </c>
      <c r="S2390" s="16">
        <f>IF(S2389=15800,15800,ROUND((((Q2390*60)/'Gearing Calculator'!$C$14)*'Track Data'!P2390),-2))</f>
        <v>13800</v>
      </c>
      <c r="T2390" s="16">
        <f t="shared" si="265"/>
        <v>3.7638916877888997</v>
      </c>
      <c r="U2390" s="16">
        <f>IF(AC2390=100,Braking!$AG$2354,IF(AC2390=50,Braking!$AG$1179,IF(AC2390=75,Braking!$AG$1767,0)))</f>
        <v>0</v>
      </c>
      <c r="V2390" s="16">
        <f>0.5*'Gearing Calculator'!$C$15*'Gearing Calculator'!$C$20*'Gearing Calculator'!$W$20*('Track Data'!Q2390^2)</f>
        <v>328.21943659484276</v>
      </c>
      <c r="W2390" s="16">
        <f>('Gearing Calculator'!$U$9*'Track Data'!T2390)+'Track Data'!V2390</f>
        <v>1330.1674038842477</v>
      </c>
      <c r="X2390" s="16">
        <f>('Gearing Calculator'!$U$9*9.81)*('Gearing Calculator'!$U$16/'Gearing Calculator'!$C$7)-(('Track Data'!W2390)*('Gearing Calculator'!$U$17/'Gearing Calculator'!$C$7))</f>
        <v>676.13022278537346</v>
      </c>
      <c r="Y2390" s="16">
        <f>('Gearing Calculator'!$U$9*9.81)*(('Gearing Calculator'!$C$7-'Gearing Calculator'!$U$16)/'Gearing Calculator'!$C$7)+(('Track Data'!W2390)*('Gearing Calculator'!$U$17/'Gearing Calculator'!$C$7))</f>
        <v>1935.2917772146266</v>
      </c>
      <c r="Z2390" s="16">
        <f>((X2390*COS('Gearing Calculator'!$C$21))/'Gearing Calculator'!$C$22)/2</f>
        <v>20.903808070819412</v>
      </c>
      <c r="AA2390" s="16">
        <f>Y2390/'Gearing Calculator'!$C$24</f>
        <v>27.023164267925715</v>
      </c>
      <c r="AB2390" s="16">
        <f t="shared" si="261"/>
        <v>347.03889503378724</v>
      </c>
      <c r="AC2390" s="16">
        <v>0</v>
      </c>
      <c r="AD2390" s="16">
        <v>0</v>
      </c>
      <c r="AE2390" s="16">
        <v>2387</v>
      </c>
      <c r="AF2390" s="16">
        <f>IF(AC2390=0,IF(O2390=6,INDEX(Acceleration!$V$4:$V$110,MATCH('Track Data'!S2390,Acceleration!$K$4:$K$110,0)),IF('Track Data'!O2390=5,INDEX(Acceleration!$U$4:$U$110,MATCH('Track Data'!S2390,Acceleration!$K$4:$K$110,0)),1)),U2390)</f>
        <v>3.7638916877888997</v>
      </c>
      <c r="AG2390" s="16">
        <f>IF(AC2390=0,IF(O2390=4,INDEX(Acceleration!$T$4:$T$110,MATCH('Track Data'!S2390,Acceleration!$K$4:$K$110,0)),IF('Track Data'!O2390=3,INDEX(Acceleration!$S$4:$S$110,MATCH('Track Data'!S2390,Acceleration!$K$4:$K$110,0)),'Track Data'!AF2390)),'Track Data'!U2390)</f>
        <v>3.7638916877888997</v>
      </c>
      <c r="AH2390" s="16">
        <f>IF(AC2390=0,IF(O2390=2,INDEX(Acceleration!$R$4:$R$110,MATCH('Track Data'!S2390,Acceleration!$K$4:$K$110,0)),IF('Track Data'!O2390=1,INDEX(Acceleration!$Q$4:$Q$110,MATCH('Track Data'!S2390,Acceleration!$K$4:$K$110,0)),'Track Data'!AG2390)),'Track Data'!U2390)</f>
        <v>3.7638916877888997</v>
      </c>
    </row>
    <row r="2391" spans="2:34" x14ac:dyDescent="0.25">
      <c r="B2391" s="16">
        <v>257.36399999999998</v>
      </c>
      <c r="C2391" s="16">
        <v>9662</v>
      </c>
      <c r="D2391" s="16">
        <v>2388</v>
      </c>
      <c r="E2391" s="113">
        <v>204</v>
      </c>
      <c r="F2391" s="113">
        <v>202.1</v>
      </c>
      <c r="G2391" s="113">
        <v>199.7</v>
      </c>
      <c r="H2391" s="113">
        <f t="shared" si="264"/>
        <v>55.472222222222214</v>
      </c>
      <c r="I2391" s="113">
        <v>3.1</v>
      </c>
      <c r="J2391" s="113">
        <v>17.13</v>
      </c>
      <c r="K2391" s="113">
        <v>-20.6</v>
      </c>
      <c r="L2391" s="185"/>
      <c r="M2391" s="16">
        <v>2388</v>
      </c>
      <c r="N2391" s="16">
        <f t="shared" si="266"/>
        <v>1.793561568756739E-2</v>
      </c>
      <c r="O2391" s="16">
        <v>5</v>
      </c>
      <c r="P2391" s="16">
        <f t="shared" si="262"/>
        <v>8.1742160278745661</v>
      </c>
      <c r="Q2391" s="16">
        <f t="shared" si="267"/>
        <v>55.754985912927431</v>
      </c>
      <c r="R2391" s="113">
        <f t="shared" si="263"/>
        <v>319.54399999999998</v>
      </c>
      <c r="S2391" s="16">
        <f>IF(S2390=15800,15800,ROUND((((Q2391*60)/'Gearing Calculator'!$C$14)*'Track Data'!P2391),-2))</f>
        <v>13800</v>
      </c>
      <c r="T2391" s="16">
        <f t="shared" si="265"/>
        <v>3.7638916877888997</v>
      </c>
      <c r="U2391" s="16">
        <f>IF(AC2391=100,Braking!$AG$2354,IF(AC2391=50,Braking!$AG$1179,IF(AC2391=75,Braking!$AG$1767,0)))</f>
        <v>0</v>
      </c>
      <c r="V2391" s="16">
        <f>0.5*'Gearing Calculator'!$C$15*'Gearing Calculator'!$C$20*'Gearing Calculator'!$W$20*('Track Data'!Q2391^2)</f>
        <v>329.01617718731393</v>
      </c>
      <c r="W2391" s="16">
        <f>('Gearing Calculator'!$U$9*'Track Data'!T2391)+'Track Data'!V2391</f>
        <v>1330.964144476719</v>
      </c>
      <c r="X2391" s="16">
        <f>('Gearing Calculator'!$U$9*9.81)*('Gearing Calculator'!$U$16/'Gearing Calculator'!$C$7)-(('Track Data'!W2391)*('Gearing Calculator'!$U$17/'Gearing Calculator'!$C$7))</f>
        <v>675.69594475008728</v>
      </c>
      <c r="Y2391" s="16">
        <f>('Gearing Calculator'!$U$9*9.81)*(('Gearing Calculator'!$C$7-'Gearing Calculator'!$U$16)/'Gearing Calculator'!$C$7)+(('Track Data'!W2391)*('Gearing Calculator'!$U$17/'Gearing Calculator'!$C$7))</f>
        <v>1935.7260552499129</v>
      </c>
      <c r="Z2391" s="16">
        <f>((X2391*COS('Gearing Calculator'!$C$21))/'Gearing Calculator'!$C$22)/2</f>
        <v>20.890381567472769</v>
      </c>
      <c r="AA2391" s="16">
        <f>Y2391/'Gearing Calculator'!$C$24</f>
        <v>27.029228245886902</v>
      </c>
      <c r="AB2391" s="16">
        <f t="shared" si="261"/>
        <v>347.83563562625841</v>
      </c>
      <c r="AC2391" s="16">
        <v>0</v>
      </c>
      <c r="AD2391" s="16">
        <v>0</v>
      </c>
      <c r="AE2391" s="16">
        <v>2388</v>
      </c>
      <c r="AF2391" s="16">
        <f>IF(AC2391=0,IF(O2391=6,INDEX(Acceleration!$V$4:$V$110,MATCH('Track Data'!S2391,Acceleration!$K$4:$K$110,0)),IF('Track Data'!O2391=5,INDEX(Acceleration!$U$4:$U$110,MATCH('Track Data'!S2391,Acceleration!$K$4:$K$110,0)),1)),U2391)</f>
        <v>3.7638916877888997</v>
      </c>
      <c r="AG2391" s="16">
        <f>IF(AC2391=0,IF(O2391=4,INDEX(Acceleration!$T$4:$T$110,MATCH('Track Data'!S2391,Acceleration!$K$4:$K$110,0)),IF('Track Data'!O2391=3,INDEX(Acceleration!$S$4:$S$110,MATCH('Track Data'!S2391,Acceleration!$K$4:$K$110,0)),'Track Data'!AF2391)),'Track Data'!U2391)</f>
        <v>3.7638916877888997</v>
      </c>
      <c r="AH2391" s="16">
        <f>IF(AC2391=0,IF(O2391=2,INDEX(Acceleration!$R$4:$R$110,MATCH('Track Data'!S2391,Acceleration!$K$4:$K$110,0)),IF('Track Data'!O2391=1,INDEX(Acceleration!$Q$4:$Q$110,MATCH('Track Data'!S2391,Acceleration!$K$4:$K$110,0)),'Track Data'!AG2391)),'Track Data'!U2391)</f>
        <v>3.7638916877888997</v>
      </c>
    </row>
    <row r="2392" spans="2:34" x14ac:dyDescent="0.25">
      <c r="B2392" s="16">
        <v>257.38200000000001</v>
      </c>
      <c r="C2392" s="16">
        <v>9663</v>
      </c>
      <c r="D2392" s="16">
        <v>2389</v>
      </c>
      <c r="E2392" s="113">
        <v>205</v>
      </c>
      <c r="F2392" s="113">
        <v>202.4</v>
      </c>
      <c r="G2392" s="113">
        <v>200.1</v>
      </c>
      <c r="H2392" s="113">
        <f t="shared" si="264"/>
        <v>55.583333333333329</v>
      </c>
      <c r="I2392" s="113">
        <v>2.2999999999999998</v>
      </c>
      <c r="J2392" s="113">
        <v>16.489999999999998</v>
      </c>
      <c r="K2392" s="113">
        <v>-20.6</v>
      </c>
      <c r="L2392" s="185"/>
      <c r="M2392" s="16">
        <v>2389</v>
      </c>
      <c r="N2392" s="16">
        <f t="shared" si="266"/>
        <v>1.7913938741378432E-2</v>
      </c>
      <c r="O2392" s="16">
        <v>5</v>
      </c>
      <c r="P2392" s="16">
        <f t="shared" si="262"/>
        <v>8.1742160278745661</v>
      </c>
      <c r="Q2392" s="16">
        <f t="shared" si="267"/>
        <v>55.822452808223268</v>
      </c>
      <c r="R2392" s="113">
        <f t="shared" si="263"/>
        <v>319.54399999999998</v>
      </c>
      <c r="S2392" s="16">
        <f>IF(S2391=15800,15800,ROUND((((Q2392*60)/'Gearing Calculator'!$C$14)*'Track Data'!P2392),-2))</f>
        <v>13800</v>
      </c>
      <c r="T2392" s="16">
        <f t="shared" si="265"/>
        <v>3.7638916877888997</v>
      </c>
      <c r="U2392" s="16">
        <f>IF(AC2392=100,Braking!$AG$2354,IF(AC2392=50,Braking!$AG$1179,IF(AC2392=75,Braking!$AG$1767,0)))</f>
        <v>0</v>
      </c>
      <c r="V2392" s="16">
        <f>0.5*'Gearing Calculator'!$C$15*'Gearing Calculator'!$C$20*'Gearing Calculator'!$W$20*('Track Data'!Q2392^2)</f>
        <v>329.81291777978498</v>
      </c>
      <c r="W2392" s="16">
        <f>('Gearing Calculator'!$U$9*'Track Data'!T2392)+'Track Data'!V2392</f>
        <v>1331.76088506919</v>
      </c>
      <c r="X2392" s="16">
        <f>('Gearing Calculator'!$U$9*9.81)*('Gearing Calculator'!$U$16/'Gearing Calculator'!$C$7)-(('Track Data'!W2392)*('Gearing Calculator'!$U$17/'Gearing Calculator'!$C$7))</f>
        <v>675.26166671480121</v>
      </c>
      <c r="Y2392" s="16">
        <f>('Gearing Calculator'!$U$9*9.81)*(('Gearing Calculator'!$C$7-'Gearing Calculator'!$U$16)/'Gearing Calculator'!$C$7)+(('Track Data'!W2392)*('Gearing Calculator'!$U$17/'Gearing Calculator'!$C$7))</f>
        <v>1936.1603332851987</v>
      </c>
      <c r="Z2392" s="16">
        <f>((X2392*COS('Gearing Calculator'!$C$21))/'Gearing Calculator'!$C$22)/2</f>
        <v>20.876955064126125</v>
      </c>
      <c r="AA2392" s="16">
        <f>Y2392/'Gearing Calculator'!$C$24</f>
        <v>27.035292223848082</v>
      </c>
      <c r="AB2392" s="16">
        <f t="shared" si="261"/>
        <v>348.63237621872946</v>
      </c>
      <c r="AC2392" s="16">
        <v>0</v>
      </c>
      <c r="AD2392" s="16">
        <v>0</v>
      </c>
      <c r="AE2392" s="16">
        <v>2389</v>
      </c>
      <c r="AF2392" s="16">
        <f>IF(AC2392=0,IF(O2392=6,INDEX(Acceleration!$V$4:$V$110,MATCH('Track Data'!S2392,Acceleration!$K$4:$K$110,0)),IF('Track Data'!O2392=5,INDEX(Acceleration!$U$4:$U$110,MATCH('Track Data'!S2392,Acceleration!$K$4:$K$110,0)),1)),U2392)</f>
        <v>3.7638916877888997</v>
      </c>
      <c r="AG2392" s="16">
        <f>IF(AC2392=0,IF(O2392=4,INDEX(Acceleration!$T$4:$T$110,MATCH('Track Data'!S2392,Acceleration!$K$4:$K$110,0)),IF('Track Data'!O2392=3,INDEX(Acceleration!$S$4:$S$110,MATCH('Track Data'!S2392,Acceleration!$K$4:$K$110,0)),'Track Data'!AF2392)),'Track Data'!U2392)</f>
        <v>3.7638916877888997</v>
      </c>
      <c r="AH2392" s="16">
        <f>IF(AC2392=0,IF(O2392=2,INDEX(Acceleration!$R$4:$R$110,MATCH('Track Data'!S2392,Acceleration!$K$4:$K$110,0)),IF('Track Data'!O2392=1,INDEX(Acceleration!$Q$4:$Q$110,MATCH('Track Data'!S2392,Acceleration!$K$4:$K$110,0)),'Track Data'!AG2392)),'Track Data'!U2392)</f>
        <v>3.7638916877888997</v>
      </c>
    </row>
    <row r="2393" spans="2:34" x14ac:dyDescent="0.25">
      <c r="B2393" s="16">
        <v>257.399</v>
      </c>
      <c r="C2393" s="16">
        <v>9663</v>
      </c>
      <c r="D2393" s="16">
        <v>2390</v>
      </c>
      <c r="E2393" s="113">
        <v>205</v>
      </c>
      <c r="F2393" s="113">
        <v>202.4</v>
      </c>
      <c r="G2393" s="113">
        <v>200.2</v>
      </c>
      <c r="H2393" s="113">
        <f t="shared" si="264"/>
        <v>55.611111111111107</v>
      </c>
      <c r="I2393" s="113">
        <v>2</v>
      </c>
      <c r="J2393" s="113">
        <v>15.82</v>
      </c>
      <c r="K2393" s="113">
        <v>-20.6</v>
      </c>
      <c r="L2393" s="185"/>
      <c r="M2393" s="16">
        <v>2390</v>
      </c>
      <c r="N2393" s="16">
        <f t="shared" si="266"/>
        <v>1.7892340201814697E-2</v>
      </c>
      <c r="O2393" s="16">
        <v>5</v>
      </c>
      <c r="P2393" s="16">
        <f t="shared" si="262"/>
        <v>8.1742160278745661</v>
      </c>
      <c r="Q2393" s="16">
        <f t="shared" si="267"/>
        <v>55.889838261547077</v>
      </c>
      <c r="R2393" s="113">
        <f t="shared" si="263"/>
        <v>319.54399999999998</v>
      </c>
      <c r="S2393" s="16">
        <f>IF(S2392=15800,15800,ROUND((((Q2393*60)/'Gearing Calculator'!$C$14)*'Track Data'!P2393),-2))</f>
        <v>13900</v>
      </c>
      <c r="T2393" s="16">
        <f t="shared" si="265"/>
        <v>3.7397870966213724</v>
      </c>
      <c r="U2393" s="16">
        <f>IF(AC2393=100,Braking!$AG$2354,IF(AC2393=50,Braking!$AG$1179,IF(AC2393=75,Braking!$AG$1767,0)))</f>
        <v>0</v>
      </c>
      <c r="V2393" s="16">
        <f>0.5*'Gearing Calculator'!$C$15*'Gearing Calculator'!$C$20*'Gearing Calculator'!$W$20*('Track Data'!Q2393^2)</f>
        <v>330.60965837225621</v>
      </c>
      <c r="W2393" s="16">
        <f>('Gearing Calculator'!$U$9*'Track Data'!T2393)+'Track Data'!V2393</f>
        <v>1326.1409834928654</v>
      </c>
      <c r="X2393" s="16">
        <f>('Gearing Calculator'!$U$9*9.81)*('Gearing Calculator'!$U$16/'Gearing Calculator'!$C$7)-(('Track Data'!W2393)*('Gearing Calculator'!$U$17/'Gearing Calculator'!$C$7))</f>
        <v>678.32489687795658</v>
      </c>
      <c r="Y2393" s="16">
        <f>('Gearing Calculator'!$U$9*9.81)*(('Gearing Calculator'!$C$7-'Gearing Calculator'!$U$16)/'Gearing Calculator'!$C$7)+(('Track Data'!W2393)*('Gearing Calculator'!$U$17/'Gearing Calculator'!$C$7))</f>
        <v>1933.0971031220433</v>
      </c>
      <c r="Z2393" s="16">
        <f>((X2393*COS('Gearing Calculator'!$C$21))/'Gearing Calculator'!$C$22)/2</f>
        <v>20.971660452599302</v>
      </c>
      <c r="AA2393" s="16">
        <f>Y2393/'Gearing Calculator'!$C$24</f>
        <v>26.992519256554978</v>
      </c>
      <c r="AB2393" s="16">
        <f t="shared" si="261"/>
        <v>349.30859385536309</v>
      </c>
      <c r="AC2393" s="16">
        <v>0</v>
      </c>
      <c r="AD2393" s="16">
        <v>0</v>
      </c>
      <c r="AE2393" s="16">
        <v>2390</v>
      </c>
      <c r="AF2393" s="16">
        <f>IF(AC2393=0,IF(O2393=6,INDEX(Acceleration!$V$4:$V$110,MATCH('Track Data'!S2393,Acceleration!$K$4:$K$110,0)),IF('Track Data'!O2393=5,INDEX(Acceleration!$U$4:$U$110,MATCH('Track Data'!S2393,Acceleration!$K$4:$K$110,0)),1)),U2393)</f>
        <v>3.7397870966213724</v>
      </c>
      <c r="AG2393" s="16">
        <f>IF(AC2393=0,IF(O2393=4,INDEX(Acceleration!$T$4:$T$110,MATCH('Track Data'!S2393,Acceleration!$K$4:$K$110,0)),IF('Track Data'!O2393=3,INDEX(Acceleration!$S$4:$S$110,MATCH('Track Data'!S2393,Acceleration!$K$4:$K$110,0)),'Track Data'!AF2393)),'Track Data'!U2393)</f>
        <v>3.7397870966213724</v>
      </c>
      <c r="AH2393" s="16">
        <f>IF(AC2393=0,IF(O2393=2,INDEX(Acceleration!$R$4:$R$110,MATCH('Track Data'!S2393,Acceleration!$K$4:$K$110,0)),IF('Track Data'!O2393=1,INDEX(Acceleration!$Q$4:$Q$110,MATCH('Track Data'!S2393,Acceleration!$K$4:$K$110,0)),'Track Data'!AG2393)),'Track Data'!U2393)</f>
        <v>3.7397870966213724</v>
      </c>
    </row>
    <row r="2394" spans="2:34" x14ac:dyDescent="0.25">
      <c r="B2394" s="16">
        <v>257.41699999999997</v>
      </c>
      <c r="C2394" s="16">
        <v>9664</v>
      </c>
      <c r="D2394" s="16">
        <v>2391</v>
      </c>
      <c r="E2394" s="113">
        <v>205</v>
      </c>
      <c r="F2394" s="113">
        <v>202.9</v>
      </c>
      <c r="G2394" s="113">
        <v>200.5</v>
      </c>
      <c r="H2394" s="113">
        <f t="shared" si="264"/>
        <v>55.694444444444443</v>
      </c>
      <c r="I2394" s="113">
        <v>2.8</v>
      </c>
      <c r="J2394" s="113">
        <v>15.04</v>
      </c>
      <c r="K2394" s="113">
        <v>-20.6</v>
      </c>
      <c r="L2394" s="185"/>
      <c r="M2394" s="16">
        <v>2391</v>
      </c>
      <c r="N2394" s="16">
        <f t="shared" si="266"/>
        <v>1.7870957171925578E-2</v>
      </c>
      <c r="O2394" s="16">
        <v>5</v>
      </c>
      <c r="P2394" s="16">
        <f t="shared" si="262"/>
        <v>8.1742160278745661</v>
      </c>
      <c r="Q2394" s="16">
        <f t="shared" si="267"/>
        <v>55.95671179666595</v>
      </c>
      <c r="R2394" s="113">
        <f t="shared" si="263"/>
        <v>319.54399999999998</v>
      </c>
      <c r="S2394" s="16">
        <f>IF(S2393=15800,15800,ROUND((((Q2394*60)/'Gearing Calculator'!$C$14)*'Track Data'!P2394),-2))</f>
        <v>13900</v>
      </c>
      <c r="T2394" s="16">
        <f t="shared" si="265"/>
        <v>3.7397870966213724</v>
      </c>
      <c r="U2394" s="16">
        <f>IF(AC2394=100,Braking!$AG$2354,IF(AC2394=50,Braking!$AG$1179,IF(AC2394=75,Braking!$AG$1767,0)))</f>
        <v>0</v>
      </c>
      <c r="V2394" s="16">
        <f>0.5*'Gearing Calculator'!$C$15*'Gearing Calculator'!$C$20*'Gearing Calculator'!$W$20*('Track Data'!Q2394^2)</f>
        <v>331.40129650486898</v>
      </c>
      <c r="W2394" s="16">
        <f>('Gearing Calculator'!$U$9*'Track Data'!T2394)+'Track Data'!V2394</f>
        <v>1326.9326216254783</v>
      </c>
      <c r="X2394" s="16">
        <f>('Gearing Calculator'!$U$9*9.81)*('Gearing Calculator'!$U$16/'Gearing Calculator'!$C$7)-(('Track Data'!W2394)*('Gearing Calculator'!$U$17/'Gearing Calculator'!$C$7))</f>
        <v>677.89340003175914</v>
      </c>
      <c r="Y2394" s="16">
        <f>('Gearing Calculator'!$U$9*9.81)*(('Gearing Calculator'!$C$7-'Gearing Calculator'!$U$16)/'Gearing Calculator'!$C$7)+(('Track Data'!W2394)*('Gearing Calculator'!$U$17/'Gearing Calculator'!$C$7))</f>
        <v>1933.528599968241</v>
      </c>
      <c r="Z2394" s="16">
        <f>((X2394*COS('Gearing Calculator'!$C$21))/'Gearing Calculator'!$C$22)/2</f>
        <v>20.95831993482313</v>
      </c>
      <c r="AA2394" s="16">
        <f>Y2394/'Gearing Calculator'!$C$24</f>
        <v>26.998544399788251</v>
      </c>
      <c r="AB2394" s="16">
        <f t="shared" si="261"/>
        <v>350.10023198797586</v>
      </c>
      <c r="AC2394" s="16">
        <v>0</v>
      </c>
      <c r="AD2394" s="16">
        <v>0</v>
      </c>
      <c r="AE2394" s="16">
        <v>2391</v>
      </c>
      <c r="AF2394" s="16">
        <f>IF(AC2394=0,IF(O2394=6,INDEX(Acceleration!$V$4:$V$110,MATCH('Track Data'!S2394,Acceleration!$K$4:$K$110,0)),IF('Track Data'!O2394=5,INDEX(Acceleration!$U$4:$U$110,MATCH('Track Data'!S2394,Acceleration!$K$4:$K$110,0)),1)),U2394)</f>
        <v>3.7397870966213724</v>
      </c>
      <c r="AG2394" s="16">
        <f>IF(AC2394=0,IF(O2394=4,INDEX(Acceleration!$T$4:$T$110,MATCH('Track Data'!S2394,Acceleration!$K$4:$K$110,0)),IF('Track Data'!O2394=3,INDEX(Acceleration!$S$4:$S$110,MATCH('Track Data'!S2394,Acceleration!$K$4:$K$110,0)),'Track Data'!AF2394)),'Track Data'!U2394)</f>
        <v>3.7397870966213724</v>
      </c>
      <c r="AH2394" s="16">
        <f>IF(AC2394=0,IF(O2394=2,INDEX(Acceleration!$R$4:$R$110,MATCH('Track Data'!S2394,Acceleration!$K$4:$K$110,0)),IF('Track Data'!O2394=1,INDEX(Acceleration!$Q$4:$Q$110,MATCH('Track Data'!S2394,Acceleration!$K$4:$K$110,0)),'Track Data'!AG2394)),'Track Data'!U2394)</f>
        <v>3.7397870966213724</v>
      </c>
    </row>
    <row r="2395" spans="2:34" x14ac:dyDescent="0.25">
      <c r="B2395" s="16">
        <v>257.435</v>
      </c>
      <c r="C2395" s="16">
        <v>9665</v>
      </c>
      <c r="D2395" s="16">
        <v>2392</v>
      </c>
      <c r="E2395" s="113">
        <v>204</v>
      </c>
      <c r="F2395" s="113">
        <v>203.5</v>
      </c>
      <c r="G2395" s="113">
        <v>200.8</v>
      </c>
      <c r="H2395" s="113">
        <f t="shared" si="264"/>
        <v>55.777777777777779</v>
      </c>
      <c r="I2395" s="113">
        <v>4.5999999999999996</v>
      </c>
      <c r="J2395" s="113">
        <v>13.81</v>
      </c>
      <c r="K2395" s="113">
        <v>-20.6</v>
      </c>
      <c r="L2395" s="185"/>
      <c r="M2395" s="16">
        <v>2392</v>
      </c>
      <c r="N2395" s="16">
        <f t="shared" si="266"/>
        <v>1.7849650623447091E-2</v>
      </c>
      <c r="O2395" s="16">
        <v>5</v>
      </c>
      <c r="P2395" s="16">
        <f t="shared" si="262"/>
        <v>8.1742160278745661</v>
      </c>
      <c r="Q2395" s="16">
        <f t="shared" si="267"/>
        <v>56.023505506959992</v>
      </c>
      <c r="R2395" s="113">
        <f t="shared" si="263"/>
        <v>319.54399999999998</v>
      </c>
      <c r="S2395" s="16">
        <f>IF(S2394=15800,15800,ROUND((((Q2395*60)/'Gearing Calculator'!$C$14)*'Track Data'!P2395),-2))</f>
        <v>13900</v>
      </c>
      <c r="T2395" s="16">
        <f t="shared" si="265"/>
        <v>3.7397870966213724</v>
      </c>
      <c r="U2395" s="16">
        <f>IF(AC2395=100,Braking!$AG$2354,IF(AC2395=50,Braking!$AG$1179,IF(AC2395=75,Braking!$AG$1767,0)))</f>
        <v>0</v>
      </c>
      <c r="V2395" s="16">
        <f>0.5*'Gearing Calculator'!$C$15*'Gearing Calculator'!$C$20*'Gearing Calculator'!$W$20*('Track Data'!Q2395^2)</f>
        <v>332.1929346374817</v>
      </c>
      <c r="W2395" s="16">
        <f>('Gearing Calculator'!$U$9*'Track Data'!T2395)+'Track Data'!V2395</f>
        <v>1327.724259758091</v>
      </c>
      <c r="X2395" s="16">
        <f>('Gearing Calculator'!$U$9*9.81)*('Gearing Calculator'!$U$16/'Gearing Calculator'!$C$7)-(('Track Data'!W2395)*('Gearing Calculator'!$U$17/'Gearing Calculator'!$C$7))</f>
        <v>677.46190318556194</v>
      </c>
      <c r="Y2395" s="16">
        <f>('Gearing Calculator'!$U$9*9.81)*(('Gearing Calculator'!$C$7-'Gearing Calculator'!$U$16)/'Gearing Calculator'!$C$7)+(('Track Data'!W2395)*('Gearing Calculator'!$U$17/'Gearing Calculator'!$C$7))</f>
        <v>1933.9600968144382</v>
      </c>
      <c r="Z2395" s="16">
        <f>((X2395*COS('Gearing Calculator'!$C$21))/'Gearing Calculator'!$C$22)/2</f>
        <v>20.944979417046969</v>
      </c>
      <c r="AA2395" s="16">
        <f>Y2395/'Gearing Calculator'!$C$24</f>
        <v>27.004569543021518</v>
      </c>
      <c r="AB2395" s="16">
        <f t="shared" si="261"/>
        <v>350.89187012058858</v>
      </c>
      <c r="AC2395" s="16">
        <v>0</v>
      </c>
      <c r="AD2395" s="16">
        <v>0</v>
      </c>
      <c r="AE2395" s="16">
        <v>2392</v>
      </c>
      <c r="AF2395" s="16">
        <f>IF(AC2395=0,IF(O2395=6,INDEX(Acceleration!$V$4:$V$110,MATCH('Track Data'!S2395,Acceleration!$K$4:$K$110,0)),IF('Track Data'!O2395=5,INDEX(Acceleration!$U$4:$U$110,MATCH('Track Data'!S2395,Acceleration!$K$4:$K$110,0)),1)),U2395)</f>
        <v>3.7397870966213724</v>
      </c>
      <c r="AG2395" s="16">
        <f>IF(AC2395=0,IF(O2395=4,INDEX(Acceleration!$T$4:$T$110,MATCH('Track Data'!S2395,Acceleration!$K$4:$K$110,0)),IF('Track Data'!O2395=3,INDEX(Acceleration!$S$4:$S$110,MATCH('Track Data'!S2395,Acceleration!$K$4:$K$110,0)),'Track Data'!AF2395)),'Track Data'!U2395)</f>
        <v>3.7397870966213724</v>
      </c>
      <c r="AH2395" s="16">
        <f>IF(AC2395=0,IF(O2395=2,INDEX(Acceleration!$R$4:$R$110,MATCH('Track Data'!S2395,Acceleration!$K$4:$K$110,0)),IF('Track Data'!O2395=1,INDEX(Acceleration!$Q$4:$Q$110,MATCH('Track Data'!S2395,Acceleration!$K$4:$K$110,0)),'Track Data'!AG2395)),'Track Data'!U2395)</f>
        <v>3.7397870966213724</v>
      </c>
    </row>
    <row r="2396" spans="2:34" x14ac:dyDescent="0.25">
      <c r="B2396" s="16">
        <v>257.452</v>
      </c>
      <c r="C2396" s="16">
        <v>9666</v>
      </c>
      <c r="D2396" s="16">
        <v>2393</v>
      </c>
      <c r="E2396" s="113">
        <v>204</v>
      </c>
      <c r="F2396" s="113">
        <v>203.7</v>
      </c>
      <c r="G2396" s="113">
        <v>201</v>
      </c>
      <c r="H2396" s="113">
        <f t="shared" si="264"/>
        <v>55.833333333333329</v>
      </c>
      <c r="I2396" s="113">
        <v>6.4</v>
      </c>
      <c r="J2396" s="113">
        <v>18.920000000000002</v>
      </c>
      <c r="K2396" s="113">
        <v>-14.4</v>
      </c>
      <c r="L2396" s="185"/>
      <c r="M2396" s="16">
        <v>2393</v>
      </c>
      <c r="N2396" s="16">
        <f t="shared" si="266"/>
        <v>1.7828420101540912E-2</v>
      </c>
      <c r="O2396" s="16">
        <v>5</v>
      </c>
      <c r="P2396" s="16">
        <f t="shared" si="262"/>
        <v>8.1742160278745661</v>
      </c>
      <c r="Q2396" s="16">
        <f t="shared" si="267"/>
        <v>56.090219677601716</v>
      </c>
      <c r="R2396" s="113">
        <f t="shared" si="263"/>
        <v>319.54399999999998</v>
      </c>
      <c r="S2396" s="16">
        <f>IF(S2395=15800,15800,ROUND((((Q2396*60)/'Gearing Calculator'!$C$14)*'Track Data'!P2396),-2))</f>
        <v>13900</v>
      </c>
      <c r="T2396" s="16">
        <f t="shared" si="265"/>
        <v>3.7397870966213724</v>
      </c>
      <c r="U2396" s="16">
        <f>IF(AC2396=100,Braking!$AG$2354,IF(AC2396=50,Braking!$AG$1179,IF(AC2396=75,Braking!$AG$1767,0)))</f>
        <v>0</v>
      </c>
      <c r="V2396" s="16">
        <f>0.5*'Gearing Calculator'!$C$15*'Gearing Calculator'!$C$20*'Gearing Calculator'!$W$20*('Track Data'!Q2396^2)</f>
        <v>332.98457277009453</v>
      </c>
      <c r="W2396" s="16">
        <f>('Gearing Calculator'!$U$9*'Track Data'!T2396)+'Track Data'!V2396</f>
        <v>1328.5158978907039</v>
      </c>
      <c r="X2396" s="16">
        <f>('Gearing Calculator'!$U$9*9.81)*('Gearing Calculator'!$U$16/'Gearing Calculator'!$C$7)-(('Track Data'!W2396)*('Gearing Calculator'!$U$17/'Gearing Calculator'!$C$7))</f>
        <v>677.0304063393645</v>
      </c>
      <c r="Y2396" s="16">
        <f>('Gearing Calculator'!$U$9*9.81)*(('Gearing Calculator'!$C$7-'Gearing Calculator'!$U$16)/'Gearing Calculator'!$C$7)+(('Track Data'!W2396)*('Gearing Calculator'!$U$17/'Gearing Calculator'!$C$7))</f>
        <v>1934.3915936606354</v>
      </c>
      <c r="Z2396" s="16">
        <f>((X2396*COS('Gearing Calculator'!$C$21))/'Gearing Calculator'!$C$22)/2</f>
        <v>20.931638899270794</v>
      </c>
      <c r="AA2396" s="16">
        <f>Y2396/'Gearing Calculator'!$C$24</f>
        <v>27.01059468625478</v>
      </c>
      <c r="AB2396" s="16">
        <f t="shared" si="261"/>
        <v>351.68350825320141</v>
      </c>
      <c r="AC2396" s="16">
        <v>0</v>
      </c>
      <c r="AD2396" s="16">
        <v>0</v>
      </c>
      <c r="AE2396" s="16">
        <v>2393</v>
      </c>
      <c r="AF2396" s="16">
        <f>IF(AC2396=0,IF(O2396=6,INDEX(Acceleration!$V$4:$V$110,MATCH('Track Data'!S2396,Acceleration!$K$4:$K$110,0)),IF('Track Data'!O2396=5,INDEX(Acceleration!$U$4:$U$110,MATCH('Track Data'!S2396,Acceleration!$K$4:$K$110,0)),1)),U2396)</f>
        <v>3.7397870966213724</v>
      </c>
      <c r="AG2396" s="16">
        <f>IF(AC2396=0,IF(O2396=4,INDEX(Acceleration!$T$4:$T$110,MATCH('Track Data'!S2396,Acceleration!$K$4:$K$110,0)),IF('Track Data'!O2396=3,INDEX(Acceleration!$S$4:$S$110,MATCH('Track Data'!S2396,Acceleration!$K$4:$K$110,0)),'Track Data'!AF2396)),'Track Data'!U2396)</f>
        <v>3.7397870966213724</v>
      </c>
      <c r="AH2396" s="16">
        <f>IF(AC2396=0,IF(O2396=2,INDEX(Acceleration!$R$4:$R$110,MATCH('Track Data'!S2396,Acceleration!$K$4:$K$110,0)),IF('Track Data'!O2396=1,INDEX(Acceleration!$Q$4:$Q$110,MATCH('Track Data'!S2396,Acceleration!$K$4:$K$110,0)),'Track Data'!AG2396)),'Track Data'!U2396)</f>
        <v>3.7397870966213724</v>
      </c>
    </row>
    <row r="2397" spans="2:34" x14ac:dyDescent="0.25">
      <c r="B2397" s="16">
        <v>257.47000000000003</v>
      </c>
      <c r="C2397" s="16">
        <v>9667</v>
      </c>
      <c r="D2397" s="16">
        <v>2394</v>
      </c>
      <c r="E2397" s="113">
        <v>204</v>
      </c>
      <c r="F2397" s="113">
        <v>203.5</v>
      </c>
      <c r="G2397" s="113">
        <v>201.2</v>
      </c>
      <c r="H2397" s="113">
        <f t="shared" si="264"/>
        <v>55.888888888888886</v>
      </c>
      <c r="I2397" s="113">
        <v>8.1999999999999993</v>
      </c>
      <c r="J2397" s="113">
        <v>22.73</v>
      </c>
      <c r="K2397" s="113">
        <v>-5.4</v>
      </c>
      <c r="L2397" s="185"/>
      <c r="M2397" s="16">
        <v>2394</v>
      </c>
      <c r="N2397" s="16">
        <f t="shared" si="266"/>
        <v>1.7807265155146648E-2</v>
      </c>
      <c r="O2397" s="16">
        <v>5</v>
      </c>
      <c r="P2397" s="16">
        <f t="shared" si="262"/>
        <v>8.1742160278745661</v>
      </c>
      <c r="Q2397" s="16">
        <f t="shared" si="267"/>
        <v>56.156854592069713</v>
      </c>
      <c r="R2397" s="113">
        <f t="shared" si="263"/>
        <v>319.54399999999998</v>
      </c>
      <c r="S2397" s="16">
        <f>IF(S2396=15800,15800,ROUND((((Q2397*60)/'Gearing Calculator'!$C$14)*'Track Data'!P2397),-2))</f>
        <v>13900</v>
      </c>
      <c r="T2397" s="16">
        <f t="shared" si="265"/>
        <v>3.7397870966213724</v>
      </c>
      <c r="U2397" s="16">
        <f>IF(AC2397=100,Braking!$AG$2354,IF(AC2397=50,Braking!$AG$1179,IF(AC2397=75,Braking!$AG$1767,0)))</f>
        <v>0</v>
      </c>
      <c r="V2397" s="16">
        <f>0.5*'Gearing Calculator'!$C$15*'Gearing Calculator'!$C$20*'Gearing Calculator'!$W$20*('Track Data'!Q2397^2)</f>
        <v>333.77621090270725</v>
      </c>
      <c r="W2397" s="16">
        <f>('Gearing Calculator'!$U$9*'Track Data'!T2397)+'Track Data'!V2397</f>
        <v>1329.3075360233165</v>
      </c>
      <c r="X2397" s="16">
        <f>('Gearing Calculator'!$U$9*9.81)*('Gearing Calculator'!$U$16/'Gearing Calculator'!$C$7)-(('Track Data'!W2397)*('Gearing Calculator'!$U$17/'Gearing Calculator'!$C$7))</f>
        <v>676.59890949316718</v>
      </c>
      <c r="Y2397" s="16">
        <f>('Gearing Calculator'!$U$9*9.81)*(('Gearing Calculator'!$C$7-'Gearing Calculator'!$U$16)/'Gearing Calculator'!$C$7)+(('Track Data'!W2397)*('Gearing Calculator'!$U$17/'Gearing Calculator'!$C$7))</f>
        <v>1934.8230905068328</v>
      </c>
      <c r="Z2397" s="16">
        <f>((X2397*COS('Gearing Calculator'!$C$21))/'Gearing Calculator'!$C$22)/2</f>
        <v>20.91829838149463</v>
      </c>
      <c r="AA2397" s="16">
        <f>Y2397/'Gearing Calculator'!$C$24</f>
        <v>27.01661982948805</v>
      </c>
      <c r="AB2397" s="16">
        <f t="shared" si="261"/>
        <v>352.47514638581413</v>
      </c>
      <c r="AC2397" s="16">
        <v>0</v>
      </c>
      <c r="AD2397" s="16">
        <v>0</v>
      </c>
      <c r="AE2397" s="16">
        <v>2394</v>
      </c>
      <c r="AF2397" s="16">
        <f>IF(AC2397=0,IF(O2397=6,INDEX(Acceleration!$V$4:$V$110,MATCH('Track Data'!S2397,Acceleration!$K$4:$K$110,0)),IF('Track Data'!O2397=5,INDEX(Acceleration!$U$4:$U$110,MATCH('Track Data'!S2397,Acceleration!$K$4:$K$110,0)),1)),U2397)</f>
        <v>3.7397870966213724</v>
      </c>
      <c r="AG2397" s="16">
        <f>IF(AC2397=0,IF(O2397=4,INDEX(Acceleration!$T$4:$T$110,MATCH('Track Data'!S2397,Acceleration!$K$4:$K$110,0)),IF('Track Data'!O2397=3,INDEX(Acceleration!$S$4:$S$110,MATCH('Track Data'!S2397,Acceleration!$K$4:$K$110,0)),'Track Data'!AF2397)),'Track Data'!U2397)</f>
        <v>3.7397870966213724</v>
      </c>
      <c r="AH2397" s="16">
        <f>IF(AC2397=0,IF(O2397=2,INDEX(Acceleration!$R$4:$R$110,MATCH('Track Data'!S2397,Acceleration!$K$4:$K$110,0)),IF('Track Data'!O2397=1,INDEX(Acceleration!$Q$4:$Q$110,MATCH('Track Data'!S2397,Acceleration!$K$4:$K$110,0)),'Track Data'!AG2397)),'Track Data'!U2397)</f>
        <v>3.7397870966213724</v>
      </c>
    </row>
    <row r="2398" spans="2:34" x14ac:dyDescent="0.25">
      <c r="B2398" s="16">
        <v>257.488</v>
      </c>
      <c r="C2398" s="16">
        <v>9668</v>
      </c>
      <c r="D2398" s="16">
        <v>2395</v>
      </c>
      <c r="E2398" s="113">
        <v>204</v>
      </c>
      <c r="F2398" s="113">
        <v>203.5</v>
      </c>
      <c r="G2398" s="113">
        <v>201.3</v>
      </c>
      <c r="H2398" s="113">
        <f t="shared" si="264"/>
        <v>55.916666666666671</v>
      </c>
      <c r="I2398" s="113">
        <v>9.1999999999999993</v>
      </c>
      <c r="J2398" s="113">
        <v>22.57</v>
      </c>
      <c r="K2398" s="113">
        <v>-0.9</v>
      </c>
      <c r="L2398" s="185"/>
      <c r="M2398" s="16">
        <v>2395</v>
      </c>
      <c r="N2398" s="16">
        <f t="shared" si="266"/>
        <v>1.7786185336941596E-2</v>
      </c>
      <c r="O2398" s="16">
        <v>5</v>
      </c>
      <c r="P2398" s="16">
        <f t="shared" si="262"/>
        <v>8.1742160278745661</v>
      </c>
      <c r="Q2398" s="16">
        <f t="shared" si="267"/>
        <v>56.223410532162703</v>
      </c>
      <c r="R2398" s="113">
        <f t="shared" si="263"/>
        <v>319.54399999999998</v>
      </c>
      <c r="S2398" s="16">
        <f>IF(S2397=15800,15800,ROUND((((Q2398*60)/'Gearing Calculator'!$C$14)*'Track Data'!P2398),-2))</f>
        <v>13900</v>
      </c>
      <c r="T2398" s="16">
        <f t="shared" si="265"/>
        <v>3.7397870966213724</v>
      </c>
      <c r="U2398" s="16">
        <f>IF(AC2398=100,Braking!$AG$2354,IF(AC2398=50,Braking!$AG$1179,IF(AC2398=75,Braking!$AG$1767,0)))</f>
        <v>0</v>
      </c>
      <c r="V2398" s="16">
        <f>0.5*'Gearing Calculator'!$C$15*'Gearing Calculator'!$C$20*'Gearing Calculator'!$W$20*('Track Data'!Q2398^2)</f>
        <v>334.56784903532008</v>
      </c>
      <c r="W2398" s="16">
        <f>('Gearing Calculator'!$U$9*'Track Data'!T2398)+'Track Data'!V2398</f>
        <v>1330.0991741559294</v>
      </c>
      <c r="X2398" s="16">
        <f>('Gearing Calculator'!$U$9*9.81)*('Gearing Calculator'!$U$16/'Gearing Calculator'!$C$7)-(('Track Data'!W2398)*('Gearing Calculator'!$U$17/'Gearing Calculator'!$C$7))</f>
        <v>676.16741264696986</v>
      </c>
      <c r="Y2398" s="16">
        <f>('Gearing Calculator'!$U$9*9.81)*(('Gearing Calculator'!$C$7-'Gearing Calculator'!$U$16)/'Gearing Calculator'!$C$7)+(('Track Data'!W2398)*('Gearing Calculator'!$U$17/'Gearing Calculator'!$C$7))</f>
        <v>1935.2545873530303</v>
      </c>
      <c r="Z2398" s="16">
        <f>((X2398*COS('Gearing Calculator'!$C$21))/'Gearing Calculator'!$C$22)/2</f>
        <v>20.904957863718462</v>
      </c>
      <c r="AA2398" s="16">
        <f>Y2398/'Gearing Calculator'!$C$24</f>
        <v>27.02264497272132</v>
      </c>
      <c r="AB2398" s="16">
        <f t="shared" si="261"/>
        <v>353.26678451842696</v>
      </c>
      <c r="AC2398" s="16">
        <v>0</v>
      </c>
      <c r="AD2398" s="16">
        <v>0</v>
      </c>
      <c r="AE2398" s="16">
        <v>2395</v>
      </c>
      <c r="AF2398" s="16">
        <f>IF(AC2398=0,IF(O2398=6,INDEX(Acceleration!$V$4:$V$110,MATCH('Track Data'!S2398,Acceleration!$K$4:$K$110,0)),IF('Track Data'!O2398=5,INDEX(Acceleration!$U$4:$U$110,MATCH('Track Data'!S2398,Acceleration!$K$4:$K$110,0)),1)),U2398)</f>
        <v>3.7397870966213724</v>
      </c>
      <c r="AG2398" s="16">
        <f>IF(AC2398=0,IF(O2398=4,INDEX(Acceleration!$T$4:$T$110,MATCH('Track Data'!S2398,Acceleration!$K$4:$K$110,0)),IF('Track Data'!O2398=3,INDEX(Acceleration!$S$4:$S$110,MATCH('Track Data'!S2398,Acceleration!$K$4:$K$110,0)),'Track Data'!AF2398)),'Track Data'!U2398)</f>
        <v>3.7397870966213724</v>
      </c>
      <c r="AH2398" s="16">
        <f>IF(AC2398=0,IF(O2398=2,INDEX(Acceleration!$R$4:$R$110,MATCH('Track Data'!S2398,Acceleration!$K$4:$K$110,0)),IF('Track Data'!O2398=1,INDEX(Acceleration!$Q$4:$Q$110,MATCH('Track Data'!S2398,Acceleration!$K$4:$K$110,0)),'Track Data'!AG2398)),'Track Data'!U2398)</f>
        <v>3.7397870966213724</v>
      </c>
    </row>
    <row r="2399" spans="2:34" x14ac:dyDescent="0.25">
      <c r="B2399" s="16">
        <v>257.50599999999997</v>
      </c>
      <c r="C2399" s="16">
        <v>9669</v>
      </c>
      <c r="D2399" s="16">
        <v>2396</v>
      </c>
      <c r="E2399" s="113">
        <v>205</v>
      </c>
      <c r="F2399" s="113">
        <v>203.9</v>
      </c>
      <c r="G2399" s="113">
        <v>201.5</v>
      </c>
      <c r="H2399" s="113">
        <f t="shared" si="264"/>
        <v>55.972222222222221</v>
      </c>
      <c r="I2399" s="113">
        <v>9.8000000000000007</v>
      </c>
      <c r="J2399" s="113">
        <v>19.82</v>
      </c>
      <c r="K2399" s="113">
        <v>8.1</v>
      </c>
      <c r="L2399" s="185"/>
      <c r="M2399" s="16">
        <v>2396</v>
      </c>
      <c r="N2399" s="16">
        <f t="shared" si="266"/>
        <v>1.7765180203301013E-2</v>
      </c>
      <c r="O2399" s="16">
        <v>5</v>
      </c>
      <c r="P2399" s="16">
        <f t="shared" si="262"/>
        <v>8.1742160278745661</v>
      </c>
      <c r="Q2399" s="16">
        <f t="shared" si="267"/>
        <v>56.289887778013437</v>
      </c>
      <c r="R2399" s="113">
        <f t="shared" si="263"/>
        <v>319.54399999999998</v>
      </c>
      <c r="S2399" s="16">
        <f>IF(S2398=15800,15800,ROUND((((Q2399*60)/'Gearing Calculator'!$C$14)*'Track Data'!P2399),-2))</f>
        <v>14000</v>
      </c>
      <c r="T2399" s="16">
        <f t="shared" si="265"/>
        <v>3.7363975474595237</v>
      </c>
      <c r="U2399" s="16">
        <f>IF(AC2399=100,Braking!$AG$2354,IF(AC2399=50,Braking!$AG$1179,IF(AC2399=75,Braking!$AG$1767,0)))</f>
        <v>0</v>
      </c>
      <c r="V2399" s="16">
        <f>0.5*'Gearing Calculator'!$C$15*'Gearing Calculator'!$C$20*'Gearing Calculator'!$W$20*('Track Data'!Q2399^2)</f>
        <v>335.35948716793291</v>
      </c>
      <c r="W2399" s="16">
        <f>('Gearing Calculator'!$U$9*'Track Data'!T2399)+'Track Data'!V2399</f>
        <v>1329.9885143016581</v>
      </c>
      <c r="X2399" s="16">
        <f>('Gearing Calculator'!$U$9*9.81)*('Gearing Calculator'!$U$16/'Gearing Calculator'!$C$7)-(('Track Data'!W2399)*('Gearing Calculator'!$U$17/'Gearing Calculator'!$C$7))</f>
        <v>676.22772982492222</v>
      </c>
      <c r="Y2399" s="16">
        <f>('Gearing Calculator'!$U$9*9.81)*(('Gearing Calculator'!$C$7-'Gearing Calculator'!$U$16)/'Gearing Calculator'!$C$7)+(('Track Data'!W2399)*('Gearing Calculator'!$U$17/'Gearing Calculator'!$C$7))</f>
        <v>1935.1942701750777</v>
      </c>
      <c r="Z2399" s="16">
        <f>((X2399*COS('Gearing Calculator'!$C$21))/'Gearing Calculator'!$C$22)/2</f>
        <v>20.906822680093768</v>
      </c>
      <c r="AA2399" s="16">
        <f>Y2399/'Gearing Calculator'!$C$24</f>
        <v>27.0218027426105</v>
      </c>
      <c r="AB2399" s="16">
        <f t="shared" si="261"/>
        <v>354.04147490523053</v>
      </c>
      <c r="AC2399" s="16">
        <v>0</v>
      </c>
      <c r="AD2399" s="16">
        <v>0</v>
      </c>
      <c r="AE2399" s="16">
        <v>2396</v>
      </c>
      <c r="AF2399" s="16">
        <f>IF(AC2399=0,IF(O2399=6,INDEX(Acceleration!$V$4:$V$110,MATCH('Track Data'!S2399,Acceleration!$K$4:$K$110,0)),IF('Track Data'!O2399=5,INDEX(Acceleration!$U$4:$U$110,MATCH('Track Data'!S2399,Acceleration!$K$4:$K$110,0)),1)),U2399)</f>
        <v>3.7363975474595237</v>
      </c>
      <c r="AG2399" s="16">
        <f>IF(AC2399=0,IF(O2399=4,INDEX(Acceleration!$T$4:$T$110,MATCH('Track Data'!S2399,Acceleration!$K$4:$K$110,0)),IF('Track Data'!O2399=3,INDEX(Acceleration!$S$4:$S$110,MATCH('Track Data'!S2399,Acceleration!$K$4:$K$110,0)),'Track Data'!AF2399)),'Track Data'!U2399)</f>
        <v>3.7363975474595237</v>
      </c>
      <c r="AH2399" s="16">
        <f>IF(AC2399=0,IF(O2399=2,INDEX(Acceleration!$R$4:$R$110,MATCH('Track Data'!S2399,Acceleration!$K$4:$K$110,0)),IF('Track Data'!O2399=1,INDEX(Acceleration!$Q$4:$Q$110,MATCH('Track Data'!S2399,Acceleration!$K$4:$K$110,0)),'Track Data'!AG2399)),'Track Data'!U2399)</f>
        <v>3.7363975474595237</v>
      </c>
    </row>
    <row r="2400" spans="2:34" x14ac:dyDescent="0.25">
      <c r="B2400" s="16">
        <v>257.52300000000002</v>
      </c>
      <c r="C2400" s="16">
        <v>9671</v>
      </c>
      <c r="D2400" s="16">
        <v>2397</v>
      </c>
      <c r="E2400" s="113">
        <v>205</v>
      </c>
      <c r="F2400" s="113">
        <v>204.1</v>
      </c>
      <c r="G2400" s="113">
        <v>201.6</v>
      </c>
      <c r="H2400" s="113">
        <f t="shared" si="264"/>
        <v>56</v>
      </c>
      <c r="I2400" s="113">
        <v>9.5</v>
      </c>
      <c r="J2400" s="113">
        <v>19.170000000000002</v>
      </c>
      <c r="K2400" s="113">
        <v>13.6</v>
      </c>
      <c r="L2400" s="185"/>
      <c r="M2400" s="16">
        <v>2397</v>
      </c>
      <c r="N2400" s="16">
        <f t="shared" si="266"/>
        <v>1.7744268251448397E-2</v>
      </c>
      <c r="O2400" s="16">
        <v>5</v>
      </c>
      <c r="P2400" s="16">
        <f t="shared" si="262"/>
        <v>8.1742160278745661</v>
      </c>
      <c r="Q2400" s="16">
        <f t="shared" si="267"/>
        <v>56.356226463064985</v>
      </c>
      <c r="R2400" s="113">
        <f t="shared" si="263"/>
        <v>319.54399999999998</v>
      </c>
      <c r="S2400" s="16">
        <f>IF(S2399=15800,15800,ROUND((((Q2400*60)/'Gearing Calculator'!$C$14)*'Track Data'!P2400),-2))</f>
        <v>14000</v>
      </c>
      <c r="T2400" s="16">
        <f t="shared" si="265"/>
        <v>3.7363975474595237</v>
      </c>
      <c r="U2400" s="16">
        <f>IF(AC2400=100,Braking!$AG$2354,IF(AC2400=50,Braking!$AG$1179,IF(AC2400=75,Braking!$AG$1767,0)))</f>
        <v>0</v>
      </c>
      <c r="V2400" s="16">
        <f>0.5*'Gearing Calculator'!$C$15*'Gearing Calculator'!$C$20*'Gearing Calculator'!$W$20*('Track Data'!Q2400^2)</f>
        <v>336.15040780077919</v>
      </c>
      <c r="W2400" s="16">
        <f>('Gearing Calculator'!$U$9*'Track Data'!T2400)+'Track Data'!V2400</f>
        <v>1330.7794349345043</v>
      </c>
      <c r="X2400" s="16">
        <f>('Gearing Calculator'!$U$9*9.81)*('Gearing Calculator'!$U$16/'Gearing Calculator'!$C$7)-(('Track Data'!W2400)*('Gearing Calculator'!$U$17/'Gearing Calculator'!$C$7))</f>
        <v>675.7966240650984</v>
      </c>
      <c r="Y2400" s="16">
        <f>('Gearing Calculator'!$U$9*9.81)*(('Gearing Calculator'!$C$7-'Gearing Calculator'!$U$16)/'Gearing Calculator'!$C$7)+(('Track Data'!W2400)*('Gearing Calculator'!$U$17/'Gearing Calculator'!$C$7))</f>
        <v>1935.6253759349015</v>
      </c>
      <c r="Z2400" s="16">
        <f>((X2400*COS('Gearing Calculator'!$C$21))/'Gearing Calculator'!$C$22)/2</f>
        <v>20.893494253471367</v>
      </c>
      <c r="AA2400" s="16">
        <f>Y2400/'Gearing Calculator'!$C$24</f>
        <v>27.027822424966271</v>
      </c>
      <c r="AB2400" s="16">
        <f t="shared" si="261"/>
        <v>354.83239553807681</v>
      </c>
      <c r="AC2400" s="16">
        <v>0</v>
      </c>
      <c r="AD2400" s="16">
        <v>0</v>
      </c>
      <c r="AE2400" s="16">
        <v>2397</v>
      </c>
      <c r="AF2400" s="16">
        <f>IF(AC2400=0,IF(O2400=6,INDEX(Acceleration!$V$4:$V$110,MATCH('Track Data'!S2400,Acceleration!$K$4:$K$110,0)),IF('Track Data'!O2400=5,INDEX(Acceleration!$U$4:$U$110,MATCH('Track Data'!S2400,Acceleration!$K$4:$K$110,0)),1)),U2400)</f>
        <v>3.7363975474595237</v>
      </c>
      <c r="AG2400" s="16">
        <f>IF(AC2400=0,IF(O2400=4,INDEX(Acceleration!$T$4:$T$110,MATCH('Track Data'!S2400,Acceleration!$K$4:$K$110,0)),IF('Track Data'!O2400=3,INDEX(Acceleration!$S$4:$S$110,MATCH('Track Data'!S2400,Acceleration!$K$4:$K$110,0)),'Track Data'!AF2400)),'Track Data'!U2400)</f>
        <v>3.7363975474595237</v>
      </c>
      <c r="AH2400" s="16">
        <f>IF(AC2400=0,IF(O2400=2,INDEX(Acceleration!$R$4:$R$110,MATCH('Track Data'!S2400,Acceleration!$K$4:$K$110,0)),IF('Track Data'!O2400=1,INDEX(Acceleration!$Q$4:$Q$110,MATCH('Track Data'!S2400,Acceleration!$K$4:$K$110,0)),'Track Data'!AG2400)),'Track Data'!U2400)</f>
        <v>3.7363975474595237</v>
      </c>
    </row>
    <row r="2401" spans="2:34" x14ac:dyDescent="0.25">
      <c r="B2401" s="16">
        <v>257.541</v>
      </c>
      <c r="C2401" s="16">
        <v>9672</v>
      </c>
      <c r="D2401" s="16">
        <v>2398</v>
      </c>
      <c r="E2401" s="113">
        <v>206</v>
      </c>
      <c r="F2401" s="113">
        <v>204.2</v>
      </c>
      <c r="G2401" s="113">
        <v>201.8</v>
      </c>
      <c r="H2401" s="113">
        <f t="shared" si="264"/>
        <v>56.055555555555557</v>
      </c>
      <c r="I2401" s="113">
        <v>8.1</v>
      </c>
      <c r="J2401" s="113">
        <v>17.8</v>
      </c>
      <c r="K2401" s="113">
        <v>4.2</v>
      </c>
      <c r="L2401" s="185"/>
      <c r="M2401" s="16">
        <v>2398</v>
      </c>
      <c r="N2401" s="16">
        <f t="shared" si="266"/>
        <v>1.7723429974509569E-2</v>
      </c>
      <c r="O2401" s="16">
        <v>5</v>
      </c>
      <c r="P2401" s="16">
        <f t="shared" si="262"/>
        <v>8.1742160278745661</v>
      </c>
      <c r="Q2401" s="16">
        <f t="shared" si="267"/>
        <v>56.422487150525235</v>
      </c>
      <c r="R2401" s="113">
        <f t="shared" si="263"/>
        <v>319.54399999999998</v>
      </c>
      <c r="S2401" s="16">
        <f>IF(S2400=15800,15800,ROUND((((Q2401*60)/'Gearing Calculator'!$C$14)*'Track Data'!P2401),-2))</f>
        <v>14000</v>
      </c>
      <c r="T2401" s="16">
        <f t="shared" si="265"/>
        <v>3.7363975474595237</v>
      </c>
      <c r="U2401" s="16">
        <f>IF(AC2401=100,Braking!$AG$2354,IF(AC2401=50,Braking!$AG$1179,IF(AC2401=75,Braking!$AG$1767,0)))</f>
        <v>0</v>
      </c>
      <c r="V2401" s="16">
        <f>0.5*'Gearing Calculator'!$C$15*'Gearing Calculator'!$C$20*'Gearing Calculator'!$W$20*('Track Data'!Q2401^2)</f>
        <v>336.94132843362542</v>
      </c>
      <c r="W2401" s="16">
        <f>('Gearing Calculator'!$U$9*'Track Data'!T2401)+'Track Data'!V2401</f>
        <v>1331.5703555673506</v>
      </c>
      <c r="X2401" s="16">
        <f>('Gearing Calculator'!$U$9*9.81)*('Gearing Calculator'!$U$16/'Gearing Calculator'!$C$7)-(('Track Data'!W2401)*('Gearing Calculator'!$U$17/'Gearing Calculator'!$C$7))</f>
        <v>675.36551830527458</v>
      </c>
      <c r="Y2401" s="16">
        <f>('Gearing Calculator'!$U$9*9.81)*(('Gearing Calculator'!$C$7-'Gearing Calculator'!$U$16)/'Gearing Calculator'!$C$7)+(('Track Data'!W2401)*('Gearing Calculator'!$U$17/'Gearing Calculator'!$C$7))</f>
        <v>1936.0564816947253</v>
      </c>
      <c r="Z2401" s="16">
        <f>((X2401*COS('Gearing Calculator'!$C$21))/'Gearing Calculator'!$C$22)/2</f>
        <v>20.880165826848966</v>
      </c>
      <c r="AA2401" s="16">
        <f>Y2401/'Gearing Calculator'!$C$24</f>
        <v>27.033842107322041</v>
      </c>
      <c r="AB2401" s="16">
        <f t="shared" si="261"/>
        <v>355.62331617092303</v>
      </c>
      <c r="AC2401" s="16">
        <v>0</v>
      </c>
      <c r="AD2401" s="16">
        <v>0</v>
      </c>
      <c r="AE2401" s="16">
        <v>2398</v>
      </c>
      <c r="AF2401" s="16">
        <f>IF(AC2401=0,IF(O2401=6,INDEX(Acceleration!$V$4:$V$110,MATCH('Track Data'!S2401,Acceleration!$K$4:$K$110,0)),IF('Track Data'!O2401=5,INDEX(Acceleration!$U$4:$U$110,MATCH('Track Data'!S2401,Acceleration!$K$4:$K$110,0)),1)),U2401)</f>
        <v>3.7363975474595237</v>
      </c>
      <c r="AG2401" s="16">
        <f>IF(AC2401=0,IF(O2401=4,INDEX(Acceleration!$T$4:$T$110,MATCH('Track Data'!S2401,Acceleration!$K$4:$K$110,0)),IF('Track Data'!O2401=3,INDEX(Acceleration!$S$4:$S$110,MATCH('Track Data'!S2401,Acceleration!$K$4:$K$110,0)),'Track Data'!AF2401)),'Track Data'!U2401)</f>
        <v>3.7363975474595237</v>
      </c>
      <c r="AH2401" s="16">
        <f>IF(AC2401=0,IF(O2401=2,INDEX(Acceleration!$R$4:$R$110,MATCH('Track Data'!S2401,Acceleration!$K$4:$K$110,0)),IF('Track Data'!O2401=1,INDEX(Acceleration!$Q$4:$Q$110,MATCH('Track Data'!S2401,Acceleration!$K$4:$K$110,0)),'Track Data'!AG2401)),'Track Data'!U2401)</f>
        <v>3.7363975474595237</v>
      </c>
    </row>
    <row r="2402" spans="2:34" x14ac:dyDescent="0.25">
      <c r="B2402" s="16">
        <v>257.55799999999999</v>
      </c>
      <c r="C2402" s="16">
        <v>9672</v>
      </c>
      <c r="D2402" s="16">
        <v>2399</v>
      </c>
      <c r="E2402" s="113">
        <v>206</v>
      </c>
      <c r="F2402" s="113">
        <v>204.2</v>
      </c>
      <c r="G2402" s="113">
        <v>202</v>
      </c>
      <c r="H2402" s="113">
        <f t="shared" si="264"/>
        <v>56.111111111111107</v>
      </c>
      <c r="I2402" s="113">
        <v>7.5</v>
      </c>
      <c r="J2402" s="113">
        <v>18.13</v>
      </c>
      <c r="K2402" s="113">
        <v>-0.5</v>
      </c>
      <c r="L2402" s="185"/>
      <c r="M2402" s="16">
        <v>2399</v>
      </c>
      <c r="N2402" s="16">
        <f t="shared" si="266"/>
        <v>1.7702664940891219E-2</v>
      </c>
      <c r="O2402" s="16">
        <v>5</v>
      </c>
      <c r="P2402" s="16">
        <f t="shared" si="262"/>
        <v>8.1742160278745661</v>
      </c>
      <c r="Q2402" s="16">
        <f t="shared" si="267"/>
        <v>56.488670114865549</v>
      </c>
      <c r="R2402" s="113">
        <f t="shared" si="263"/>
        <v>319.54399999999998</v>
      </c>
      <c r="S2402" s="16">
        <f>IF(S2401=15800,15800,ROUND((((Q2402*60)/'Gearing Calculator'!$C$14)*'Track Data'!P2402),-2))</f>
        <v>14000</v>
      </c>
      <c r="T2402" s="16">
        <f t="shared" si="265"/>
        <v>3.7363975474595237</v>
      </c>
      <c r="U2402" s="16">
        <f>IF(AC2402=100,Braking!$AG$2354,IF(AC2402=50,Braking!$AG$1179,IF(AC2402=75,Braking!$AG$1767,0)))</f>
        <v>0</v>
      </c>
      <c r="V2402" s="16">
        <f>0.5*'Gearing Calculator'!$C$15*'Gearing Calculator'!$C$20*'Gearing Calculator'!$W$20*('Track Data'!Q2402^2)</f>
        <v>337.73224906647164</v>
      </c>
      <c r="W2402" s="16">
        <f>('Gearing Calculator'!$U$9*'Track Data'!T2402)+'Track Data'!V2402</f>
        <v>1332.3612762001967</v>
      </c>
      <c r="X2402" s="16">
        <f>('Gearing Calculator'!$U$9*9.81)*('Gearing Calculator'!$U$16/'Gearing Calculator'!$C$7)-(('Track Data'!W2402)*('Gearing Calculator'!$U$17/'Gearing Calculator'!$C$7))</f>
        <v>674.93441254545075</v>
      </c>
      <c r="Y2402" s="16">
        <f>('Gearing Calculator'!$U$9*9.81)*(('Gearing Calculator'!$C$7-'Gearing Calculator'!$U$16)/'Gearing Calculator'!$C$7)+(('Track Data'!W2402)*('Gearing Calculator'!$U$17/'Gearing Calculator'!$C$7))</f>
        <v>1936.4875874545492</v>
      </c>
      <c r="Z2402" s="16">
        <f>((X2402*COS('Gearing Calculator'!$C$21))/'Gearing Calculator'!$C$22)/2</f>
        <v>20.866837400226565</v>
      </c>
      <c r="AA2402" s="16">
        <f>Y2402/'Gearing Calculator'!$C$24</f>
        <v>27.039861789677815</v>
      </c>
      <c r="AB2402" s="16">
        <f t="shared" si="261"/>
        <v>356.41423680376926</v>
      </c>
      <c r="AC2402" s="16">
        <v>0</v>
      </c>
      <c r="AD2402" s="16">
        <v>0</v>
      </c>
      <c r="AE2402" s="16">
        <v>2399</v>
      </c>
      <c r="AF2402" s="16">
        <f>IF(AC2402=0,IF(O2402=6,INDEX(Acceleration!$V$4:$V$110,MATCH('Track Data'!S2402,Acceleration!$K$4:$K$110,0)),IF('Track Data'!O2402=5,INDEX(Acceleration!$U$4:$U$110,MATCH('Track Data'!S2402,Acceleration!$K$4:$K$110,0)),1)),U2402)</f>
        <v>3.7363975474595237</v>
      </c>
      <c r="AG2402" s="16">
        <f>IF(AC2402=0,IF(O2402=4,INDEX(Acceleration!$T$4:$T$110,MATCH('Track Data'!S2402,Acceleration!$K$4:$K$110,0)),IF('Track Data'!O2402=3,INDEX(Acceleration!$S$4:$S$110,MATCH('Track Data'!S2402,Acceleration!$K$4:$K$110,0)),'Track Data'!AF2402)),'Track Data'!U2402)</f>
        <v>3.7363975474595237</v>
      </c>
      <c r="AH2402" s="16">
        <f>IF(AC2402=0,IF(O2402=2,INDEX(Acceleration!$R$4:$R$110,MATCH('Track Data'!S2402,Acceleration!$K$4:$K$110,0)),IF('Track Data'!O2402=1,INDEX(Acceleration!$Q$4:$Q$110,MATCH('Track Data'!S2402,Acceleration!$K$4:$K$110,0)),'Track Data'!AG2402)),'Track Data'!U2402)</f>
        <v>3.7363975474595237</v>
      </c>
    </row>
    <row r="2403" spans="2:34" ht="15.75" thickBot="1" x14ac:dyDescent="0.3">
      <c r="B2403" s="18">
        <v>257.57600000000002</v>
      </c>
      <c r="C2403" s="18">
        <v>9673</v>
      </c>
      <c r="D2403" s="18">
        <v>2400</v>
      </c>
      <c r="E2403" s="115">
        <v>206</v>
      </c>
      <c r="F2403" s="115">
        <v>204.4</v>
      </c>
      <c r="G2403" s="115">
        <v>202.2</v>
      </c>
      <c r="H2403" s="115">
        <f t="shared" si="264"/>
        <v>56.166666666666664</v>
      </c>
      <c r="I2403" s="115">
        <v>6.5</v>
      </c>
      <c r="J2403" s="115">
        <v>16.8</v>
      </c>
      <c r="K2403" s="115">
        <v>-9.9</v>
      </c>
      <c r="L2403" s="186"/>
      <c r="M2403" s="18">
        <v>2400</v>
      </c>
      <c r="N2403" s="18">
        <f t="shared" si="266"/>
        <v>1.7681972722531393E-2</v>
      </c>
      <c r="O2403" s="18">
        <v>5</v>
      </c>
      <c r="P2403" s="18">
        <f t="shared" si="262"/>
        <v>8.1742160278745661</v>
      </c>
      <c r="Q2403" s="18">
        <f t="shared" si="267"/>
        <v>56.554775628951298</v>
      </c>
      <c r="R2403" s="115">
        <f t="shared" si="263"/>
        <v>319.54399999999998</v>
      </c>
      <c r="S2403" s="18">
        <f>IF(S2402=15800,15800,ROUND((((Q2403*60)/'Gearing Calculator'!$C$14)*'Track Data'!P2403),-2))</f>
        <v>14000</v>
      </c>
      <c r="T2403" s="18">
        <f t="shared" si="265"/>
        <v>3.7363975474595237</v>
      </c>
      <c r="U2403" s="18">
        <f>IF(AC2403=100,Braking!$AG$2354,IF(AC2403=50,Braking!$AG$1179,IF(AC2403=75,Braking!$AG$1767,0)))</f>
        <v>0</v>
      </c>
      <c r="V2403" s="18">
        <f>0.5*'Gearing Calculator'!$C$15*'Gearing Calculator'!$C$20*'Gearing Calculator'!$W$20*('Track Data'!Q2403^2)</f>
        <v>338.52316969931792</v>
      </c>
      <c r="W2403" s="18">
        <f>('Gearing Calculator'!$U$9*'Track Data'!T2403)+'Track Data'!V2403</f>
        <v>1333.152196833043</v>
      </c>
      <c r="X2403" s="18">
        <f>('Gearing Calculator'!$U$9*9.81)*('Gearing Calculator'!$U$16/'Gearing Calculator'!$C$7)-(('Track Data'!W2403)*('Gearing Calculator'!$U$17/'Gearing Calculator'!$C$7))</f>
        <v>674.50330678562693</v>
      </c>
      <c r="Y2403" s="18">
        <f>('Gearing Calculator'!$U$9*9.81)*(('Gearing Calculator'!$C$7-'Gearing Calculator'!$U$16)/'Gearing Calculator'!$C$7)+(('Track Data'!W2403)*('Gearing Calculator'!$U$17/'Gearing Calculator'!$C$7))</f>
        <v>1936.918693214373</v>
      </c>
      <c r="Z2403" s="18">
        <f>((X2403*COS('Gearing Calculator'!$C$21))/'Gearing Calculator'!$C$22)/2</f>
        <v>20.853508973604168</v>
      </c>
      <c r="AA2403" s="18">
        <f>Y2403/'Gearing Calculator'!$C$24</f>
        <v>27.045881472033585</v>
      </c>
      <c r="AB2403" s="18">
        <f t="shared" si="261"/>
        <v>357.20515743661554</v>
      </c>
      <c r="AC2403" s="18">
        <v>0</v>
      </c>
      <c r="AD2403" s="18">
        <v>0</v>
      </c>
      <c r="AE2403" s="18">
        <v>2400</v>
      </c>
      <c r="AF2403" s="18">
        <f>IF(AC2403=0,IF(O2403=6,INDEX(Acceleration!$V$4:$V$110,MATCH('Track Data'!S2403,Acceleration!$K$4:$K$110,0)),IF('Track Data'!O2403=5,INDEX(Acceleration!$U$4:$U$110,MATCH('Track Data'!S2403,Acceleration!$K$4:$K$110,0)),1)),U2403)</f>
        <v>3.7363975474595237</v>
      </c>
      <c r="AG2403" s="18">
        <f>IF(AC2403=0,IF(O2403=4,INDEX(Acceleration!$T$4:$T$110,MATCH('Track Data'!S2403,Acceleration!$K$4:$K$110,0)),IF('Track Data'!O2403=3,INDEX(Acceleration!$S$4:$S$110,MATCH('Track Data'!S2403,Acceleration!$K$4:$K$110,0)),'Track Data'!AF2403)),'Track Data'!U2403)</f>
        <v>3.7363975474595237</v>
      </c>
      <c r="AH2403" s="18">
        <f>IF(AC2403=0,IF(O2403=2,INDEX(Acceleration!$R$4:$R$110,MATCH('Track Data'!S2403,Acceleration!$K$4:$K$110,0)),IF('Track Data'!O2403=1,INDEX(Acceleration!$Q$4:$Q$110,MATCH('Track Data'!S2403,Acceleration!$K$4:$K$110,0)),'Track Data'!AG2403)),'Track Data'!U2403)</f>
        <v>3.7363975474595237</v>
      </c>
    </row>
    <row r="2404" spans="2:34" ht="15.75" thickBot="1" x14ac:dyDescent="0.3">
      <c r="B2404" s="1"/>
      <c r="C2404" s="1"/>
      <c r="D2404" s="1"/>
      <c r="E2404" s="1"/>
      <c r="F2404" s="1"/>
      <c r="G2404" s="1"/>
      <c r="I2404" s="1"/>
      <c r="J2404" s="1"/>
      <c r="K2404" s="99"/>
    </row>
    <row r="2405" spans="2:34" x14ac:dyDescent="0.25">
      <c r="B2405" s="195"/>
      <c r="C2405" s="196"/>
      <c r="D2405" s="141"/>
      <c r="E2405" s="139">
        <f>MIN(E4:E2403)</f>
        <v>38</v>
      </c>
      <c r="F2405" s="139">
        <f>MIN(F4:F2403)</f>
        <v>38.4</v>
      </c>
      <c r="G2405" s="139">
        <f>MIN(G4:G2403)</f>
        <v>31.7</v>
      </c>
      <c r="H2405" s="139">
        <f>MIN(H4:H2403)</f>
        <v>8.8055555555555554</v>
      </c>
      <c r="I2405" s="139">
        <f t="shared" ref="I2405:AA2405" si="268">MIN(I4:I2403)</f>
        <v>-3.8</v>
      </c>
      <c r="J2405" s="139">
        <f t="shared" si="268"/>
        <v>-0.1</v>
      </c>
      <c r="K2405" s="139">
        <f t="shared" si="268"/>
        <v>-78.400000000000006</v>
      </c>
      <c r="L2405" s="199" t="s">
        <v>249</v>
      </c>
      <c r="M2405" s="199"/>
      <c r="N2405" s="199"/>
      <c r="O2405" s="199"/>
      <c r="P2405" s="199"/>
      <c r="Q2405" s="139">
        <f t="shared" si="268"/>
        <v>17.867681854878814</v>
      </c>
      <c r="R2405" s="112">
        <f t="shared" si="268"/>
        <v>311.95699999999999</v>
      </c>
      <c r="S2405" s="15"/>
      <c r="T2405" s="139">
        <f t="shared" si="268"/>
        <v>-14.71670186282954</v>
      </c>
      <c r="U2405" s="199" t="s">
        <v>249</v>
      </c>
      <c r="V2405" s="199"/>
      <c r="W2405" s="199"/>
      <c r="X2405" s="139">
        <f t="shared" si="268"/>
        <v>308.63547709616</v>
      </c>
      <c r="Y2405" s="139">
        <f t="shared" si="268"/>
        <v>-904.976446810487</v>
      </c>
      <c r="Z2405" s="139">
        <f t="shared" si="268"/>
        <v>9.5420328209642573</v>
      </c>
      <c r="AA2405" s="139">
        <f t="shared" si="268"/>
        <v>-12.636506530276753</v>
      </c>
      <c r="AB2405" s="195"/>
      <c r="AC2405" s="196"/>
      <c r="AD2405" s="196"/>
      <c r="AE2405" s="196"/>
      <c r="AF2405" s="196"/>
      <c r="AG2405" s="196"/>
      <c r="AH2405" s="141"/>
    </row>
    <row r="2406" spans="2:34" ht="15.75" thickBot="1" x14ac:dyDescent="0.3">
      <c r="B2406" s="197"/>
      <c r="C2406" s="198"/>
      <c r="D2406" s="142"/>
      <c r="E2406" s="123">
        <f>MAX(E4:E2403)</f>
        <v>219</v>
      </c>
      <c r="F2406" s="123">
        <f>MAX(F4:F2403)</f>
        <v>219</v>
      </c>
      <c r="G2406" s="123">
        <f>MAX(G4:G2403)</f>
        <v>215.4</v>
      </c>
      <c r="H2406" s="123">
        <f>MAX(H4:H2403)</f>
        <v>59.833333333333336</v>
      </c>
      <c r="I2406" s="123">
        <f t="shared" ref="I2406:AA2406" si="269">MAX(I4:I2403)</f>
        <v>26.7</v>
      </c>
      <c r="J2406" s="123">
        <f t="shared" si="269"/>
        <v>103.3</v>
      </c>
      <c r="K2406" s="123">
        <f t="shared" si="269"/>
        <v>70.7</v>
      </c>
      <c r="L2406" s="200" t="s">
        <v>250</v>
      </c>
      <c r="M2406" s="200"/>
      <c r="N2406" s="200"/>
      <c r="O2406" s="200"/>
      <c r="P2406" s="200"/>
      <c r="Q2406" s="123">
        <f t="shared" si="269"/>
        <v>65.049550979160827</v>
      </c>
      <c r="R2406" s="115">
        <f t="shared" si="269"/>
        <v>434.78</v>
      </c>
      <c r="S2406" s="18"/>
      <c r="T2406" s="123">
        <f t="shared" si="269"/>
        <v>7.3403528244792531</v>
      </c>
      <c r="U2406" s="200" t="s">
        <v>250</v>
      </c>
      <c r="V2406" s="200"/>
      <c r="W2406" s="200"/>
      <c r="X2406" s="123">
        <f t="shared" si="269"/>
        <v>3516.3984468104873</v>
      </c>
      <c r="Y2406" s="123">
        <f t="shared" si="269"/>
        <v>2302.7865229038398</v>
      </c>
      <c r="Z2406" s="123">
        <f t="shared" si="269"/>
        <v>108.71591855462322</v>
      </c>
      <c r="AA2406" s="123">
        <f t="shared" si="269"/>
        <v>32.154623512098304</v>
      </c>
      <c r="AB2406" s="197"/>
      <c r="AC2406" s="198"/>
      <c r="AD2406" s="198"/>
      <c r="AE2406" s="198"/>
      <c r="AF2406" s="198"/>
      <c r="AG2406" s="198"/>
      <c r="AH2406" s="142"/>
    </row>
  </sheetData>
  <mergeCells count="26">
    <mergeCell ref="AB2405:AH2406"/>
    <mergeCell ref="B2405:D2406"/>
    <mergeCell ref="L2405:P2405"/>
    <mergeCell ref="L2406:P2406"/>
    <mergeCell ref="U2405:W2405"/>
    <mergeCell ref="U2406:W2406"/>
    <mergeCell ref="AJ36:AQ36"/>
    <mergeCell ref="AJ37:AJ38"/>
    <mergeCell ref="L1349:L1485"/>
    <mergeCell ref="L4:L309"/>
    <mergeCell ref="L310:L367"/>
    <mergeCell ref="L368:L424"/>
    <mergeCell ref="L425:L524"/>
    <mergeCell ref="L525:L567"/>
    <mergeCell ref="L568:L695"/>
    <mergeCell ref="L696:L829"/>
    <mergeCell ref="L830:L973"/>
    <mergeCell ref="L974:L1079"/>
    <mergeCell ref="L1080:L1231"/>
    <mergeCell ref="L1232:L1348"/>
    <mergeCell ref="AF2:AH2"/>
    <mergeCell ref="L2062:L2231"/>
    <mergeCell ref="L2232:L2403"/>
    <mergeCell ref="L1486:L1785"/>
    <mergeCell ref="L1786:L1885"/>
    <mergeCell ref="L1886:L2061"/>
  </mergeCells>
  <conditionalFormatting sqref="G4:G2403">
    <cfRule type="colorScale" priority="12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K4:K2403">
    <cfRule type="colorScale" priority="16">
      <colorScale>
        <cfvo type="min"/>
        <cfvo type="num" val="0"/>
        <cfvo type="max"/>
        <color rgb="FFFF0000"/>
        <color rgb="FF00B050"/>
        <color rgb="FFFF0000"/>
      </colorScale>
    </cfRule>
  </conditionalFormatting>
  <conditionalFormatting sqref="E4:E2403">
    <cfRule type="colorScale" priority="14">
      <colorScale>
        <cfvo type="min"/>
        <cfvo type="percentile" val="50"/>
        <cfvo type="max"/>
        <color rgb="FF00B050"/>
        <color rgb="FFFFFF00"/>
        <color rgb="FFFF0000"/>
      </colorScale>
    </cfRule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:F2403">
    <cfRule type="colorScale" priority="13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H4:H2403">
    <cfRule type="colorScale" priority="10">
      <colorScale>
        <cfvo type="min"/>
        <cfvo type="percentile" val="50"/>
        <cfvo type="max"/>
        <color rgb="FFFF0000"/>
        <color rgb="FFFFFF00"/>
        <color rgb="FF00B050"/>
      </colorScale>
    </cfRule>
    <cfRule type="colorScale" priority="11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E4:G2403">
    <cfRule type="colorScale" priority="9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I4:J2403">
    <cfRule type="colorScale" priority="8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Q4:Q2403">
    <cfRule type="colorScale" priority="7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T4:T2403">
    <cfRule type="colorScale" priority="6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Z4:Z2403">
    <cfRule type="colorScale" priority="5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AA4:AA2403">
    <cfRule type="colorScale" priority="4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AC4:AC2403">
    <cfRule type="colorScale" priority="3">
      <colorScale>
        <cfvo type="min"/>
        <cfvo type="percentile" val="25"/>
        <cfvo type="max"/>
        <color rgb="FF00B050"/>
        <color rgb="FFFFFF00"/>
        <color rgb="FFFF0000"/>
      </colorScale>
    </cfRule>
  </conditionalFormatting>
  <conditionalFormatting sqref="X4:X2403">
    <cfRule type="colorScale" priority="2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Y4:Y2403">
    <cfRule type="colorScale" priority="1">
      <colorScale>
        <cfvo type="min"/>
        <cfvo type="percentile" val="50"/>
        <cfvo type="max"/>
        <color rgb="FF00B050"/>
        <color rgb="FFFFFF00"/>
        <color rgb="FFFF0000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E7B43-9F9F-4F87-BD21-BD2AC62DC49D}">
  <sheetPr>
    <tabColor rgb="FF00B0F0"/>
  </sheetPr>
  <dimension ref="B1:K2406"/>
  <sheetViews>
    <sheetView zoomScale="80" zoomScaleNormal="80" workbookViewId="0">
      <pane ySplit="3" topLeftCell="A7" activePane="bottomLeft" state="frozen"/>
      <selection pane="bottomLeft" activeCell="AB24" sqref="AB24"/>
    </sheetView>
  </sheetViews>
  <sheetFormatPr defaultRowHeight="15" x14ac:dyDescent="0.25"/>
  <cols>
    <col min="4" max="4" width="19.85546875" bestFit="1" customWidth="1"/>
    <col min="5" max="5" width="16.5703125" bestFit="1" customWidth="1"/>
  </cols>
  <sheetData>
    <row r="1" spans="2:11" ht="15.75" thickBot="1" x14ac:dyDescent="0.3"/>
    <row r="2" spans="2:11" x14ac:dyDescent="0.25">
      <c r="B2" s="98"/>
      <c r="C2" s="112" t="s">
        <v>174</v>
      </c>
      <c r="D2" s="112" t="s">
        <v>203</v>
      </c>
      <c r="E2" s="112" t="s">
        <v>204</v>
      </c>
      <c r="F2" s="112" t="s">
        <v>175</v>
      </c>
      <c r="G2" s="112" t="s">
        <v>176</v>
      </c>
      <c r="H2" s="112" t="s">
        <v>177</v>
      </c>
      <c r="I2" s="112" t="s">
        <v>178</v>
      </c>
      <c r="J2" s="112" t="s">
        <v>179</v>
      </c>
      <c r="K2" s="112" t="s">
        <v>180</v>
      </c>
    </row>
    <row r="3" spans="2:11" ht="15.75" thickBot="1" x14ac:dyDescent="0.3">
      <c r="B3" s="101"/>
      <c r="C3" s="113" t="s">
        <v>77</v>
      </c>
      <c r="D3" s="113" t="s">
        <v>27</v>
      </c>
      <c r="E3" s="113" t="s">
        <v>27</v>
      </c>
      <c r="F3" s="113" t="s">
        <v>181</v>
      </c>
      <c r="G3" s="113" t="s">
        <v>181</v>
      </c>
      <c r="H3" s="113" t="s">
        <v>181</v>
      </c>
      <c r="I3" s="113" t="s">
        <v>182</v>
      </c>
      <c r="J3" s="113" t="s">
        <v>182</v>
      </c>
      <c r="K3" s="113" t="s">
        <v>46</v>
      </c>
    </row>
    <row r="4" spans="2:11" x14ac:dyDescent="0.25">
      <c r="B4" s="188" t="s">
        <v>183</v>
      </c>
      <c r="C4" s="113">
        <v>195.76900000000001</v>
      </c>
      <c r="D4" s="113">
        <v>7274</v>
      </c>
      <c r="E4" s="113">
        <v>1</v>
      </c>
      <c r="F4" s="113">
        <v>207</v>
      </c>
      <c r="G4" s="113">
        <v>205.3</v>
      </c>
      <c r="H4" s="113">
        <v>201.8</v>
      </c>
      <c r="I4" s="113">
        <v>4.5999999999999996</v>
      </c>
      <c r="J4" s="113">
        <v>15.8</v>
      </c>
      <c r="K4" s="113">
        <v>-5</v>
      </c>
    </row>
    <row r="5" spans="2:11" x14ac:dyDescent="0.25">
      <c r="B5" s="189"/>
      <c r="C5" s="113">
        <v>195.786</v>
      </c>
      <c r="D5" s="113">
        <v>7275</v>
      </c>
      <c r="E5" s="113">
        <v>2</v>
      </c>
      <c r="F5" s="113">
        <v>207</v>
      </c>
      <c r="G5" s="113">
        <v>205.6</v>
      </c>
      <c r="H5" s="113">
        <v>202</v>
      </c>
      <c r="I5" s="113">
        <v>4.5</v>
      </c>
      <c r="J5" s="113">
        <v>15.26</v>
      </c>
      <c r="K5" s="113">
        <v>-5</v>
      </c>
    </row>
    <row r="6" spans="2:11" x14ac:dyDescent="0.25">
      <c r="B6" s="189"/>
      <c r="C6" s="113">
        <v>195.804</v>
      </c>
      <c r="D6" s="113">
        <v>7277</v>
      </c>
      <c r="E6" s="113">
        <v>3</v>
      </c>
      <c r="F6" s="113">
        <v>207</v>
      </c>
      <c r="G6" s="113">
        <v>205.8</v>
      </c>
      <c r="H6" s="113">
        <v>202.2</v>
      </c>
      <c r="I6" s="113">
        <v>4.3</v>
      </c>
      <c r="J6" s="113">
        <v>15.74</v>
      </c>
      <c r="K6" s="113">
        <v>-5</v>
      </c>
    </row>
    <row r="7" spans="2:11" x14ac:dyDescent="0.25">
      <c r="B7" s="189"/>
      <c r="C7" s="113">
        <v>195.821</v>
      </c>
      <c r="D7" s="113">
        <v>7278</v>
      </c>
      <c r="E7" s="113">
        <v>4</v>
      </c>
      <c r="F7" s="113">
        <v>208</v>
      </c>
      <c r="G7" s="113">
        <v>205.8</v>
      </c>
      <c r="H7" s="113">
        <v>202.4</v>
      </c>
      <c r="I7" s="113">
        <v>4.3</v>
      </c>
      <c r="J7" s="113">
        <v>16.149999999999999</v>
      </c>
      <c r="K7" s="113">
        <v>-5</v>
      </c>
    </row>
    <row r="8" spans="2:11" x14ac:dyDescent="0.25">
      <c r="B8" s="189"/>
      <c r="C8" s="113">
        <v>195.839</v>
      </c>
      <c r="D8" s="113">
        <v>7278</v>
      </c>
      <c r="E8" s="113">
        <v>5</v>
      </c>
      <c r="F8" s="113">
        <v>208</v>
      </c>
      <c r="G8" s="113">
        <v>205.9</v>
      </c>
      <c r="H8" s="113">
        <v>202.5</v>
      </c>
      <c r="I8" s="113">
        <v>4.3</v>
      </c>
      <c r="J8" s="113">
        <v>15.54</v>
      </c>
      <c r="K8" s="113">
        <v>-5</v>
      </c>
    </row>
    <row r="9" spans="2:11" x14ac:dyDescent="0.25">
      <c r="B9" s="189"/>
      <c r="C9" s="113">
        <v>195.85599999999999</v>
      </c>
      <c r="D9" s="113">
        <v>7279</v>
      </c>
      <c r="E9" s="113">
        <v>6</v>
      </c>
      <c r="F9" s="113">
        <v>208</v>
      </c>
      <c r="G9" s="113">
        <v>206.1</v>
      </c>
      <c r="H9" s="113">
        <v>202.7</v>
      </c>
      <c r="I9" s="113">
        <v>4.7</v>
      </c>
      <c r="J9" s="113">
        <v>15.06</v>
      </c>
      <c r="K9" s="113">
        <v>-6</v>
      </c>
    </row>
    <row r="10" spans="2:11" x14ac:dyDescent="0.25">
      <c r="B10" s="189"/>
      <c r="C10" s="113">
        <v>195.874</v>
      </c>
      <c r="D10" s="113">
        <v>7280</v>
      </c>
      <c r="E10" s="113">
        <v>7</v>
      </c>
      <c r="F10" s="113">
        <v>208</v>
      </c>
      <c r="G10" s="113">
        <v>206.4</v>
      </c>
      <c r="H10" s="113">
        <v>202.9</v>
      </c>
      <c r="I10" s="113">
        <v>4.9000000000000004</v>
      </c>
      <c r="J10" s="113">
        <v>14.22</v>
      </c>
      <c r="K10" s="113">
        <v>-7.4</v>
      </c>
    </row>
    <row r="11" spans="2:11" x14ac:dyDescent="0.25">
      <c r="B11" s="189"/>
      <c r="C11" s="113">
        <v>195.89099999999999</v>
      </c>
      <c r="D11" s="113">
        <v>7281</v>
      </c>
      <c r="E11" s="113">
        <v>8</v>
      </c>
      <c r="F11" s="113">
        <v>208</v>
      </c>
      <c r="G11" s="113">
        <v>206.5</v>
      </c>
      <c r="H11" s="113">
        <v>203.2</v>
      </c>
      <c r="I11" s="113">
        <v>4.9000000000000004</v>
      </c>
      <c r="J11" s="113">
        <v>15.09</v>
      </c>
      <c r="K11" s="113">
        <v>-8.8000000000000007</v>
      </c>
    </row>
    <row r="12" spans="2:11" x14ac:dyDescent="0.25">
      <c r="B12" s="189"/>
      <c r="C12" s="113">
        <v>195.90899999999999</v>
      </c>
      <c r="D12" s="113">
        <v>7282</v>
      </c>
      <c r="E12" s="113">
        <v>9</v>
      </c>
      <c r="F12" s="113">
        <v>208</v>
      </c>
      <c r="G12" s="113">
        <v>206.5</v>
      </c>
      <c r="H12" s="113">
        <v>203.3</v>
      </c>
      <c r="I12" s="113">
        <v>4.9000000000000004</v>
      </c>
      <c r="J12" s="113">
        <v>14.64</v>
      </c>
      <c r="K12" s="113">
        <v>-9.5</v>
      </c>
    </row>
    <row r="13" spans="2:11" x14ac:dyDescent="0.25">
      <c r="B13" s="189"/>
      <c r="C13" s="113">
        <v>195.92599999999999</v>
      </c>
      <c r="D13" s="113">
        <v>7283</v>
      </c>
      <c r="E13" s="113">
        <v>10</v>
      </c>
      <c r="F13" s="113">
        <v>208</v>
      </c>
      <c r="G13" s="113">
        <v>206.5</v>
      </c>
      <c r="H13" s="113">
        <v>203.5</v>
      </c>
      <c r="I13" s="113">
        <v>4.8</v>
      </c>
      <c r="J13" s="113">
        <v>14.53</v>
      </c>
      <c r="K13" s="113">
        <v>-10</v>
      </c>
    </row>
    <row r="14" spans="2:11" x14ac:dyDescent="0.25">
      <c r="B14" s="189"/>
      <c r="C14" s="113">
        <v>195.94300000000001</v>
      </c>
      <c r="D14" s="113">
        <v>7284</v>
      </c>
      <c r="E14" s="113">
        <v>11</v>
      </c>
      <c r="F14" s="113">
        <v>209</v>
      </c>
      <c r="G14" s="113">
        <v>206.7</v>
      </c>
      <c r="H14" s="113">
        <v>203.7</v>
      </c>
      <c r="I14" s="113">
        <v>4.8</v>
      </c>
      <c r="J14" s="113">
        <v>13</v>
      </c>
      <c r="K14" s="113">
        <v>-6.9</v>
      </c>
    </row>
    <row r="15" spans="2:11" x14ac:dyDescent="0.25">
      <c r="B15" s="189"/>
      <c r="C15" s="113">
        <v>195.96100000000001</v>
      </c>
      <c r="D15" s="113">
        <v>7286</v>
      </c>
      <c r="E15" s="113">
        <v>12</v>
      </c>
      <c r="F15" s="113">
        <v>209</v>
      </c>
      <c r="G15" s="113">
        <v>206.9</v>
      </c>
      <c r="H15" s="113">
        <v>203.9</v>
      </c>
      <c r="I15" s="113">
        <v>4.3</v>
      </c>
      <c r="J15" s="113">
        <v>12.56</v>
      </c>
      <c r="K15" s="113">
        <v>-3.8</v>
      </c>
    </row>
    <row r="16" spans="2:11" x14ac:dyDescent="0.25">
      <c r="B16" s="189"/>
      <c r="C16" s="113">
        <v>195.97800000000001</v>
      </c>
      <c r="D16" s="113">
        <v>7286</v>
      </c>
      <c r="E16" s="113">
        <v>13</v>
      </c>
      <c r="F16" s="113">
        <v>209</v>
      </c>
      <c r="G16" s="113">
        <v>207</v>
      </c>
      <c r="H16" s="113">
        <v>204.1</v>
      </c>
      <c r="I16" s="113">
        <v>4</v>
      </c>
      <c r="J16" s="113">
        <v>12.16</v>
      </c>
      <c r="K16" s="113">
        <v>-2.2999999999999998</v>
      </c>
    </row>
    <row r="17" spans="2:11" x14ac:dyDescent="0.25">
      <c r="B17" s="189"/>
      <c r="C17" s="113">
        <v>195.99600000000001</v>
      </c>
      <c r="D17" s="113">
        <v>7287</v>
      </c>
      <c r="E17" s="113">
        <v>14</v>
      </c>
      <c r="F17" s="113">
        <v>210</v>
      </c>
      <c r="G17" s="113">
        <v>207.1</v>
      </c>
      <c r="H17" s="113">
        <v>204.3</v>
      </c>
      <c r="I17" s="113">
        <v>3.4</v>
      </c>
      <c r="J17" s="113">
        <v>12.99</v>
      </c>
      <c r="K17" s="113">
        <v>0.8</v>
      </c>
    </row>
    <row r="18" spans="2:11" x14ac:dyDescent="0.25">
      <c r="B18" s="189"/>
      <c r="C18" s="113">
        <v>196.012</v>
      </c>
      <c r="D18" s="113">
        <v>7288</v>
      </c>
      <c r="E18" s="113">
        <v>15</v>
      </c>
      <c r="F18" s="113">
        <v>210</v>
      </c>
      <c r="G18" s="113">
        <v>207.5</v>
      </c>
      <c r="H18" s="113">
        <v>204.5</v>
      </c>
      <c r="I18" s="113">
        <v>3</v>
      </c>
      <c r="J18" s="113">
        <v>12.16</v>
      </c>
      <c r="K18" s="113">
        <v>0</v>
      </c>
    </row>
    <row r="19" spans="2:11" x14ac:dyDescent="0.25">
      <c r="B19" s="189"/>
      <c r="C19" s="113">
        <v>196.03</v>
      </c>
      <c r="D19" s="113">
        <v>7289</v>
      </c>
      <c r="E19" s="113">
        <v>16</v>
      </c>
      <c r="F19" s="113">
        <v>210</v>
      </c>
      <c r="G19" s="113">
        <v>208.2</v>
      </c>
      <c r="H19" s="113">
        <v>204.7</v>
      </c>
      <c r="I19" s="113">
        <v>2.8</v>
      </c>
      <c r="J19" s="113">
        <v>11.6</v>
      </c>
      <c r="K19" s="113">
        <v>-2.7</v>
      </c>
    </row>
    <row r="20" spans="2:11" x14ac:dyDescent="0.25">
      <c r="B20" s="189"/>
      <c r="C20" s="113">
        <v>196.048</v>
      </c>
      <c r="D20" s="113">
        <v>7290</v>
      </c>
      <c r="E20" s="113">
        <v>17</v>
      </c>
      <c r="F20" s="113">
        <v>210</v>
      </c>
      <c r="G20" s="113">
        <v>208.4</v>
      </c>
      <c r="H20" s="113">
        <v>204.8</v>
      </c>
      <c r="I20" s="113">
        <v>2.7</v>
      </c>
      <c r="J20" s="113">
        <v>11.45</v>
      </c>
      <c r="K20" s="113">
        <v>-4</v>
      </c>
    </row>
    <row r="21" spans="2:11" x14ac:dyDescent="0.25">
      <c r="B21" s="189"/>
      <c r="C21" s="113">
        <v>196.06399999999999</v>
      </c>
      <c r="D21" s="113">
        <v>7291</v>
      </c>
      <c r="E21" s="113">
        <v>18</v>
      </c>
      <c r="F21" s="113">
        <v>211</v>
      </c>
      <c r="G21" s="113">
        <v>208.9</v>
      </c>
      <c r="H21" s="113">
        <v>205</v>
      </c>
      <c r="I21" s="113">
        <v>2.7</v>
      </c>
      <c r="J21" s="113">
        <v>14.3</v>
      </c>
      <c r="K21" s="113">
        <v>-6.6</v>
      </c>
    </row>
    <row r="22" spans="2:11" x14ac:dyDescent="0.25">
      <c r="B22" s="189"/>
      <c r="C22" s="113">
        <v>196.08199999999999</v>
      </c>
      <c r="D22" s="113">
        <v>7293</v>
      </c>
      <c r="E22" s="113">
        <v>19</v>
      </c>
      <c r="F22" s="113">
        <v>211</v>
      </c>
      <c r="G22" s="113">
        <v>209.4</v>
      </c>
      <c r="H22" s="113">
        <v>205.2</v>
      </c>
      <c r="I22" s="113">
        <v>3.3</v>
      </c>
      <c r="J22" s="113">
        <v>16.309999999999999</v>
      </c>
      <c r="K22" s="113">
        <v>-8.3000000000000007</v>
      </c>
    </row>
    <row r="23" spans="2:11" x14ac:dyDescent="0.25">
      <c r="B23" s="189"/>
      <c r="C23" s="113">
        <v>196.09899999999999</v>
      </c>
      <c r="D23" s="113">
        <v>7293</v>
      </c>
      <c r="E23" s="113">
        <v>20</v>
      </c>
      <c r="F23" s="113">
        <v>210</v>
      </c>
      <c r="G23" s="113">
        <v>209.5</v>
      </c>
      <c r="H23" s="113">
        <v>205.3</v>
      </c>
      <c r="I23" s="113">
        <v>3.8</v>
      </c>
      <c r="J23" s="113">
        <v>17.600000000000001</v>
      </c>
      <c r="K23" s="113">
        <v>-7</v>
      </c>
    </row>
    <row r="24" spans="2:11" x14ac:dyDescent="0.25">
      <c r="B24" s="189"/>
      <c r="C24" s="113">
        <v>196.11600000000001</v>
      </c>
      <c r="D24" s="113">
        <v>7294</v>
      </c>
      <c r="E24" s="113">
        <v>21</v>
      </c>
      <c r="F24" s="113">
        <v>209</v>
      </c>
      <c r="G24" s="113">
        <v>209.8</v>
      </c>
      <c r="H24" s="113">
        <v>205.5</v>
      </c>
      <c r="I24" s="113">
        <v>5.7</v>
      </c>
      <c r="J24" s="113">
        <v>17.73</v>
      </c>
      <c r="K24" s="113">
        <v>-4.3</v>
      </c>
    </row>
    <row r="25" spans="2:11" x14ac:dyDescent="0.25">
      <c r="B25" s="189"/>
      <c r="C25" s="113">
        <v>196.13300000000001</v>
      </c>
      <c r="D25" s="113">
        <v>7295</v>
      </c>
      <c r="E25" s="113">
        <v>22</v>
      </c>
      <c r="F25" s="113">
        <v>208</v>
      </c>
      <c r="G25" s="113">
        <v>209.7</v>
      </c>
      <c r="H25" s="113">
        <v>205.7</v>
      </c>
      <c r="I25" s="113">
        <v>8</v>
      </c>
      <c r="J25" s="113">
        <v>19.399999999999999</v>
      </c>
      <c r="K25" s="113">
        <v>-1.7</v>
      </c>
    </row>
    <row r="26" spans="2:11" x14ac:dyDescent="0.25">
      <c r="B26" s="189"/>
      <c r="C26" s="113">
        <v>196.15</v>
      </c>
      <c r="D26" s="113">
        <v>7296</v>
      </c>
      <c r="E26" s="113">
        <v>23</v>
      </c>
      <c r="F26" s="113">
        <v>207</v>
      </c>
      <c r="G26" s="113">
        <v>209.6</v>
      </c>
      <c r="H26" s="113">
        <v>205.9</v>
      </c>
      <c r="I26" s="113">
        <v>10</v>
      </c>
      <c r="J26" s="113">
        <v>23.82</v>
      </c>
      <c r="K26" s="113">
        <v>1</v>
      </c>
    </row>
    <row r="27" spans="2:11" x14ac:dyDescent="0.25">
      <c r="B27" s="189"/>
      <c r="C27" s="113">
        <v>196.167</v>
      </c>
      <c r="D27" s="113">
        <v>7297</v>
      </c>
      <c r="E27" s="113">
        <v>24</v>
      </c>
      <c r="F27" s="113">
        <v>207</v>
      </c>
      <c r="G27" s="113">
        <v>209.6</v>
      </c>
      <c r="H27" s="113">
        <v>206</v>
      </c>
      <c r="I27" s="113">
        <v>10.199999999999999</v>
      </c>
      <c r="J27" s="113">
        <v>26.49</v>
      </c>
      <c r="K27" s="113">
        <v>1.8</v>
      </c>
    </row>
    <row r="28" spans="2:11" x14ac:dyDescent="0.25">
      <c r="B28" s="189"/>
      <c r="C28" s="113">
        <v>196.184</v>
      </c>
      <c r="D28" s="113">
        <v>7298</v>
      </c>
      <c r="E28" s="113">
        <v>25</v>
      </c>
      <c r="F28" s="113">
        <v>209</v>
      </c>
      <c r="G28" s="113">
        <v>209.7</v>
      </c>
      <c r="H28" s="113">
        <v>206.1</v>
      </c>
      <c r="I28" s="113">
        <v>9.1</v>
      </c>
      <c r="J28" s="113">
        <v>28.24</v>
      </c>
      <c r="K28" s="113">
        <v>1.8</v>
      </c>
    </row>
    <row r="29" spans="2:11" x14ac:dyDescent="0.25">
      <c r="B29" s="189"/>
      <c r="C29" s="113">
        <v>196.202</v>
      </c>
      <c r="D29" s="113">
        <v>7300</v>
      </c>
      <c r="E29" s="113">
        <v>26</v>
      </c>
      <c r="F29" s="113">
        <v>210</v>
      </c>
      <c r="G29" s="113">
        <v>209.7</v>
      </c>
      <c r="H29" s="113">
        <v>206.3</v>
      </c>
      <c r="I29" s="113">
        <v>7.5</v>
      </c>
      <c r="J29" s="113">
        <v>28.2</v>
      </c>
      <c r="K29" s="113">
        <v>1.8</v>
      </c>
    </row>
    <row r="30" spans="2:11" x14ac:dyDescent="0.25">
      <c r="B30" s="189"/>
      <c r="C30" s="113">
        <v>196.21899999999999</v>
      </c>
      <c r="D30" s="113">
        <v>7300</v>
      </c>
      <c r="E30" s="113">
        <v>27</v>
      </c>
      <c r="F30" s="113">
        <v>210</v>
      </c>
      <c r="G30" s="113">
        <v>209.8</v>
      </c>
      <c r="H30" s="113">
        <v>206.4</v>
      </c>
      <c r="I30" s="113">
        <v>7.5</v>
      </c>
      <c r="J30" s="113">
        <v>27.87</v>
      </c>
      <c r="K30" s="113">
        <v>1.8</v>
      </c>
    </row>
    <row r="31" spans="2:11" x14ac:dyDescent="0.25">
      <c r="B31" s="189"/>
      <c r="C31" s="113">
        <v>196.23599999999999</v>
      </c>
      <c r="D31" s="113">
        <v>7301</v>
      </c>
      <c r="E31" s="113">
        <v>28</v>
      </c>
      <c r="F31" s="113">
        <v>210</v>
      </c>
      <c r="G31" s="113">
        <v>210</v>
      </c>
      <c r="H31" s="113">
        <v>206.6</v>
      </c>
      <c r="I31" s="113">
        <v>6.9</v>
      </c>
      <c r="J31" s="113">
        <v>26.97</v>
      </c>
      <c r="K31" s="113">
        <v>1.8</v>
      </c>
    </row>
    <row r="32" spans="2:11" x14ac:dyDescent="0.25">
      <c r="B32" s="189"/>
      <c r="C32" s="113">
        <v>196.25299999999999</v>
      </c>
      <c r="D32" s="113">
        <v>7302</v>
      </c>
      <c r="E32" s="113">
        <v>29</v>
      </c>
      <c r="F32" s="113">
        <v>210</v>
      </c>
      <c r="G32" s="113">
        <v>210.1</v>
      </c>
      <c r="H32" s="113">
        <v>206.7</v>
      </c>
      <c r="I32" s="113">
        <v>6.2</v>
      </c>
      <c r="J32" s="113">
        <v>26.4</v>
      </c>
      <c r="K32" s="113">
        <v>-0.2</v>
      </c>
    </row>
    <row r="33" spans="2:11" x14ac:dyDescent="0.25">
      <c r="B33" s="189"/>
      <c r="C33" s="113">
        <v>196.27</v>
      </c>
      <c r="D33" s="113">
        <v>7303</v>
      </c>
      <c r="E33" s="113">
        <v>30</v>
      </c>
      <c r="F33" s="113">
        <v>211</v>
      </c>
      <c r="G33" s="113">
        <v>210.2</v>
      </c>
      <c r="H33" s="113">
        <v>206.8</v>
      </c>
      <c r="I33" s="113">
        <v>5.4</v>
      </c>
      <c r="J33" s="113">
        <v>24.78</v>
      </c>
      <c r="K33" s="113">
        <v>-3.2</v>
      </c>
    </row>
    <row r="34" spans="2:11" x14ac:dyDescent="0.25">
      <c r="B34" s="189"/>
      <c r="C34" s="113">
        <v>196.28700000000001</v>
      </c>
      <c r="D34" s="113">
        <v>7304</v>
      </c>
      <c r="E34" s="113">
        <v>31</v>
      </c>
      <c r="F34" s="113">
        <v>211</v>
      </c>
      <c r="G34" s="113">
        <v>210.2</v>
      </c>
      <c r="H34" s="113">
        <v>206.9</v>
      </c>
      <c r="I34" s="113">
        <v>4.8</v>
      </c>
      <c r="J34" s="113">
        <v>24.63</v>
      </c>
      <c r="K34" s="113">
        <v>-4.7</v>
      </c>
    </row>
    <row r="35" spans="2:11" x14ac:dyDescent="0.25">
      <c r="B35" s="189"/>
      <c r="C35" s="113">
        <v>196.304</v>
      </c>
      <c r="D35" s="113">
        <v>7305</v>
      </c>
      <c r="E35" s="113">
        <v>32</v>
      </c>
      <c r="F35" s="113">
        <v>211</v>
      </c>
      <c r="G35" s="113">
        <v>209.8</v>
      </c>
      <c r="H35" s="113">
        <v>207</v>
      </c>
      <c r="I35" s="113">
        <v>4.2</v>
      </c>
      <c r="J35" s="113">
        <v>22.48</v>
      </c>
      <c r="K35" s="113">
        <v>-7.6</v>
      </c>
    </row>
    <row r="36" spans="2:11" x14ac:dyDescent="0.25">
      <c r="B36" s="189"/>
      <c r="C36" s="113">
        <v>196.321</v>
      </c>
      <c r="D36" s="113">
        <v>7307</v>
      </c>
      <c r="E36" s="113">
        <v>33</v>
      </c>
      <c r="F36" s="113">
        <v>211</v>
      </c>
      <c r="G36" s="113">
        <v>209.7</v>
      </c>
      <c r="H36" s="113">
        <v>207.1</v>
      </c>
      <c r="I36" s="113">
        <v>4.2</v>
      </c>
      <c r="J36" s="113">
        <v>20.2</v>
      </c>
      <c r="K36" s="113">
        <v>-9.1</v>
      </c>
    </row>
    <row r="37" spans="2:11" x14ac:dyDescent="0.25">
      <c r="B37" s="189"/>
      <c r="C37" s="113">
        <v>196.33799999999999</v>
      </c>
      <c r="D37" s="113">
        <v>7307</v>
      </c>
      <c r="E37" s="113">
        <v>34</v>
      </c>
      <c r="F37" s="113">
        <v>211</v>
      </c>
      <c r="G37" s="113">
        <v>210</v>
      </c>
      <c r="H37" s="113">
        <v>207.2</v>
      </c>
      <c r="I37" s="113">
        <v>4.4000000000000004</v>
      </c>
      <c r="J37" s="113">
        <v>17.899999999999999</v>
      </c>
      <c r="K37" s="113">
        <v>-6.5</v>
      </c>
    </row>
    <row r="38" spans="2:11" x14ac:dyDescent="0.25">
      <c r="B38" s="189"/>
      <c r="C38" s="113">
        <v>196.35599999999999</v>
      </c>
      <c r="D38" s="113">
        <v>7308</v>
      </c>
      <c r="E38" s="113">
        <v>35</v>
      </c>
      <c r="F38" s="113">
        <v>212</v>
      </c>
      <c r="G38" s="113">
        <v>210.6</v>
      </c>
      <c r="H38" s="113">
        <v>207.3</v>
      </c>
      <c r="I38" s="113">
        <v>4.5</v>
      </c>
      <c r="J38" s="113">
        <v>15.99</v>
      </c>
      <c r="K38" s="113">
        <v>-1.3</v>
      </c>
    </row>
    <row r="39" spans="2:11" x14ac:dyDescent="0.25">
      <c r="B39" s="189"/>
      <c r="C39" s="113">
        <v>196.37299999999999</v>
      </c>
      <c r="D39" s="113">
        <v>7309</v>
      </c>
      <c r="E39" s="113">
        <v>36</v>
      </c>
      <c r="F39" s="113">
        <v>212</v>
      </c>
      <c r="G39" s="113">
        <v>211</v>
      </c>
      <c r="H39" s="113">
        <v>207.4</v>
      </c>
      <c r="I39" s="113">
        <v>3.6</v>
      </c>
      <c r="J39" s="113">
        <v>16.13</v>
      </c>
      <c r="K39" s="113">
        <v>3.9</v>
      </c>
    </row>
    <row r="40" spans="2:11" x14ac:dyDescent="0.25">
      <c r="B40" s="189"/>
      <c r="C40" s="113">
        <v>196.38900000000001</v>
      </c>
      <c r="D40" s="113">
        <v>7310</v>
      </c>
      <c r="E40" s="113">
        <v>37</v>
      </c>
      <c r="F40" s="113">
        <v>213</v>
      </c>
      <c r="G40" s="113">
        <v>211</v>
      </c>
      <c r="H40" s="113">
        <v>207.5</v>
      </c>
      <c r="I40" s="113">
        <v>3.3</v>
      </c>
      <c r="J40" s="113">
        <v>17.350000000000001</v>
      </c>
      <c r="K40" s="113">
        <v>6.4</v>
      </c>
    </row>
    <row r="41" spans="2:11" x14ac:dyDescent="0.25">
      <c r="B41" s="189"/>
      <c r="C41" s="113">
        <v>196.40700000000001</v>
      </c>
      <c r="D41" s="113">
        <v>7311</v>
      </c>
      <c r="E41" s="113">
        <v>38</v>
      </c>
      <c r="F41" s="113">
        <v>213</v>
      </c>
      <c r="G41" s="113">
        <v>211.1</v>
      </c>
      <c r="H41" s="113">
        <v>207.6</v>
      </c>
      <c r="I41" s="113">
        <v>3.1</v>
      </c>
      <c r="J41" s="113">
        <v>17.93</v>
      </c>
      <c r="K41" s="113">
        <v>10.1</v>
      </c>
    </row>
    <row r="42" spans="2:11" x14ac:dyDescent="0.25">
      <c r="B42" s="189"/>
      <c r="C42" s="113">
        <v>196.42400000000001</v>
      </c>
      <c r="D42" s="113">
        <v>7312</v>
      </c>
      <c r="E42" s="113">
        <v>39</v>
      </c>
      <c r="F42" s="113">
        <v>212</v>
      </c>
      <c r="G42" s="113">
        <v>211</v>
      </c>
      <c r="H42" s="113">
        <v>207.7</v>
      </c>
      <c r="I42" s="113">
        <v>4.5</v>
      </c>
      <c r="J42" s="113">
        <v>17.63</v>
      </c>
      <c r="K42" s="113">
        <v>7.7</v>
      </c>
    </row>
    <row r="43" spans="2:11" x14ac:dyDescent="0.25">
      <c r="B43" s="189"/>
      <c r="C43" s="113">
        <v>196.441</v>
      </c>
      <c r="D43" s="113">
        <v>7314</v>
      </c>
      <c r="E43" s="113">
        <v>40</v>
      </c>
      <c r="F43" s="113">
        <v>211</v>
      </c>
      <c r="G43" s="113">
        <v>210.9</v>
      </c>
      <c r="H43" s="113">
        <v>207.8</v>
      </c>
      <c r="I43" s="113">
        <v>6.4</v>
      </c>
      <c r="J43" s="113">
        <v>16.940000000000001</v>
      </c>
      <c r="K43" s="113">
        <v>5.0999999999999996</v>
      </c>
    </row>
    <row r="44" spans="2:11" x14ac:dyDescent="0.25">
      <c r="B44" s="189"/>
      <c r="C44" s="113">
        <v>196.458</v>
      </c>
      <c r="D44" s="113">
        <v>7314</v>
      </c>
      <c r="E44" s="113">
        <v>41</v>
      </c>
      <c r="F44" s="113">
        <v>211</v>
      </c>
      <c r="G44" s="113">
        <v>211</v>
      </c>
      <c r="H44" s="113">
        <v>207.9</v>
      </c>
      <c r="I44" s="113">
        <v>7</v>
      </c>
      <c r="J44" s="113">
        <v>17.170000000000002</v>
      </c>
      <c r="K44" s="113">
        <v>3.9</v>
      </c>
    </row>
    <row r="45" spans="2:11" x14ac:dyDescent="0.25">
      <c r="B45" s="189"/>
      <c r="C45" s="113">
        <v>196.47499999999999</v>
      </c>
      <c r="D45" s="113">
        <v>7315</v>
      </c>
      <c r="E45" s="113">
        <v>42</v>
      </c>
      <c r="F45" s="113">
        <v>212</v>
      </c>
      <c r="G45" s="113">
        <v>211.2</v>
      </c>
      <c r="H45" s="113">
        <v>208.1</v>
      </c>
      <c r="I45" s="113">
        <v>7</v>
      </c>
      <c r="J45" s="113">
        <v>16.52</v>
      </c>
      <c r="K45" s="113">
        <v>1.4</v>
      </c>
    </row>
    <row r="46" spans="2:11" x14ac:dyDescent="0.25">
      <c r="B46" s="189"/>
      <c r="C46" s="113">
        <v>196.49199999999999</v>
      </c>
      <c r="D46" s="113">
        <v>7316</v>
      </c>
      <c r="E46" s="113">
        <v>43</v>
      </c>
      <c r="F46" s="113">
        <v>212</v>
      </c>
      <c r="G46" s="113">
        <v>211.1</v>
      </c>
      <c r="H46" s="113">
        <v>208.2</v>
      </c>
      <c r="I46" s="113">
        <v>5.7</v>
      </c>
      <c r="J46" s="113">
        <v>17.48</v>
      </c>
      <c r="K46" s="113">
        <v>5</v>
      </c>
    </row>
    <row r="47" spans="2:11" x14ac:dyDescent="0.25">
      <c r="B47" s="189"/>
      <c r="C47" s="113">
        <v>196.50899999999999</v>
      </c>
      <c r="D47" s="113">
        <v>7317</v>
      </c>
      <c r="E47" s="113">
        <v>44</v>
      </c>
      <c r="F47" s="113">
        <v>213</v>
      </c>
      <c r="G47" s="113">
        <v>211</v>
      </c>
      <c r="H47" s="113">
        <v>208.3</v>
      </c>
      <c r="I47" s="113">
        <v>5</v>
      </c>
      <c r="J47" s="113">
        <v>17.12</v>
      </c>
      <c r="K47" s="113">
        <v>8.1999999999999993</v>
      </c>
    </row>
    <row r="48" spans="2:11" x14ac:dyDescent="0.25">
      <c r="B48" s="189"/>
      <c r="C48" s="113">
        <v>196.52600000000001</v>
      </c>
      <c r="D48" s="113">
        <v>7318</v>
      </c>
      <c r="E48" s="113">
        <v>45</v>
      </c>
      <c r="F48" s="113">
        <v>213</v>
      </c>
      <c r="G48" s="113">
        <v>210.8</v>
      </c>
      <c r="H48" s="113">
        <v>208.5</v>
      </c>
      <c r="I48" s="113">
        <v>4.0999999999999996</v>
      </c>
      <c r="J48" s="113">
        <v>15.87</v>
      </c>
      <c r="K48" s="113">
        <v>14.5</v>
      </c>
    </row>
    <row r="49" spans="2:11" x14ac:dyDescent="0.25">
      <c r="B49" s="189"/>
      <c r="C49" s="113">
        <v>196.542</v>
      </c>
      <c r="D49" s="113">
        <v>7319</v>
      </c>
      <c r="E49" s="113">
        <v>46</v>
      </c>
      <c r="F49" s="113">
        <v>214</v>
      </c>
      <c r="G49" s="113">
        <v>211.1</v>
      </c>
      <c r="H49" s="113">
        <v>208.6</v>
      </c>
      <c r="I49" s="113">
        <v>3.5</v>
      </c>
      <c r="J49" s="113">
        <v>12.75</v>
      </c>
      <c r="K49" s="113">
        <v>20.9</v>
      </c>
    </row>
    <row r="50" spans="2:11" x14ac:dyDescent="0.25">
      <c r="B50" s="189"/>
      <c r="C50" s="113">
        <v>196.56</v>
      </c>
      <c r="D50" s="113">
        <v>7320</v>
      </c>
      <c r="E50" s="113">
        <v>47</v>
      </c>
      <c r="F50" s="113">
        <v>214</v>
      </c>
      <c r="G50" s="113">
        <v>211.3</v>
      </c>
      <c r="H50" s="113">
        <v>208.8</v>
      </c>
      <c r="I50" s="113">
        <v>2.9</v>
      </c>
      <c r="J50" s="113">
        <v>11.29</v>
      </c>
      <c r="K50" s="113">
        <v>26.1</v>
      </c>
    </row>
    <row r="51" spans="2:11" x14ac:dyDescent="0.25">
      <c r="B51" s="189"/>
      <c r="C51" s="113">
        <v>196.577</v>
      </c>
      <c r="D51" s="113">
        <v>7321</v>
      </c>
      <c r="E51" s="113">
        <v>48</v>
      </c>
      <c r="F51" s="113">
        <v>214</v>
      </c>
      <c r="G51" s="113">
        <v>211.3</v>
      </c>
      <c r="H51" s="113">
        <v>208.8</v>
      </c>
      <c r="I51" s="113">
        <v>2.8</v>
      </c>
      <c r="J51" s="113">
        <v>11.72</v>
      </c>
      <c r="K51" s="113">
        <v>26.1</v>
      </c>
    </row>
    <row r="52" spans="2:11" x14ac:dyDescent="0.25">
      <c r="B52" s="189"/>
      <c r="C52" s="113">
        <v>196.59399999999999</v>
      </c>
      <c r="D52" s="113">
        <v>7322</v>
      </c>
      <c r="E52" s="113">
        <v>49</v>
      </c>
      <c r="F52" s="113">
        <v>214</v>
      </c>
      <c r="G52" s="113">
        <v>211.2</v>
      </c>
      <c r="H52" s="113">
        <v>209</v>
      </c>
      <c r="I52" s="113">
        <v>2.8</v>
      </c>
      <c r="J52" s="113">
        <v>13.36</v>
      </c>
      <c r="K52" s="113">
        <v>26.1</v>
      </c>
    </row>
    <row r="53" spans="2:11" x14ac:dyDescent="0.25">
      <c r="B53" s="189"/>
      <c r="C53" s="113">
        <v>196.61099999999999</v>
      </c>
      <c r="D53" s="113">
        <v>7323</v>
      </c>
      <c r="E53" s="113">
        <v>50</v>
      </c>
      <c r="F53" s="113">
        <v>214</v>
      </c>
      <c r="G53" s="113">
        <v>211.5</v>
      </c>
      <c r="H53" s="113">
        <v>209.1</v>
      </c>
      <c r="I53" s="113">
        <v>3.3</v>
      </c>
      <c r="J53" s="113">
        <v>12.76</v>
      </c>
      <c r="K53" s="113">
        <v>26.1</v>
      </c>
    </row>
    <row r="54" spans="2:11" x14ac:dyDescent="0.25">
      <c r="B54" s="189"/>
      <c r="C54" s="113">
        <v>196.62700000000001</v>
      </c>
      <c r="D54" s="113">
        <v>7324</v>
      </c>
      <c r="E54" s="113">
        <v>51</v>
      </c>
      <c r="F54" s="113">
        <v>214</v>
      </c>
      <c r="G54" s="113">
        <v>211.6</v>
      </c>
      <c r="H54" s="113">
        <v>209.2</v>
      </c>
      <c r="I54" s="113">
        <v>3.6</v>
      </c>
      <c r="J54" s="113">
        <v>11.86</v>
      </c>
      <c r="K54" s="113">
        <v>26.1</v>
      </c>
    </row>
    <row r="55" spans="2:11" x14ac:dyDescent="0.25">
      <c r="B55" s="189"/>
      <c r="C55" s="113">
        <v>196.64500000000001</v>
      </c>
      <c r="D55" s="113">
        <v>7325</v>
      </c>
      <c r="E55" s="113">
        <v>52</v>
      </c>
      <c r="F55" s="113">
        <v>214</v>
      </c>
      <c r="G55" s="113">
        <v>212.2</v>
      </c>
      <c r="H55" s="113">
        <v>209.3</v>
      </c>
      <c r="I55" s="113">
        <v>3.6</v>
      </c>
      <c r="J55" s="113">
        <v>10.57</v>
      </c>
      <c r="K55" s="113">
        <v>23.4</v>
      </c>
    </row>
    <row r="56" spans="2:11" x14ac:dyDescent="0.25">
      <c r="B56" s="189"/>
      <c r="C56" s="113">
        <v>196.66200000000001</v>
      </c>
      <c r="D56" s="113">
        <v>7326</v>
      </c>
      <c r="E56" s="113">
        <v>53</v>
      </c>
      <c r="F56" s="113">
        <v>215</v>
      </c>
      <c r="G56" s="113">
        <v>213.3</v>
      </c>
      <c r="H56" s="113">
        <v>209.5</v>
      </c>
      <c r="I56" s="113">
        <v>2.7</v>
      </c>
      <c r="J56" s="113">
        <v>9.19</v>
      </c>
      <c r="K56" s="113">
        <v>9.1</v>
      </c>
    </row>
    <row r="57" spans="2:11" x14ac:dyDescent="0.25">
      <c r="B57" s="189"/>
      <c r="C57" s="113">
        <v>196.679</v>
      </c>
      <c r="D57" s="113">
        <v>7327</v>
      </c>
      <c r="E57" s="113">
        <v>54</v>
      </c>
      <c r="F57" s="113">
        <v>216</v>
      </c>
      <c r="G57" s="113">
        <v>213.8</v>
      </c>
      <c r="H57" s="113">
        <v>209.5</v>
      </c>
      <c r="I57" s="113">
        <v>2</v>
      </c>
      <c r="J57" s="113">
        <v>11.06</v>
      </c>
      <c r="K57" s="113">
        <v>1.9</v>
      </c>
    </row>
    <row r="58" spans="2:11" x14ac:dyDescent="0.25">
      <c r="B58" s="189"/>
      <c r="C58" s="113">
        <v>196.696</v>
      </c>
      <c r="D58" s="113">
        <v>7328</v>
      </c>
      <c r="E58" s="113">
        <v>55</v>
      </c>
      <c r="F58" s="113">
        <v>216</v>
      </c>
      <c r="G58" s="113">
        <v>214.1</v>
      </c>
      <c r="H58" s="113">
        <v>209.7</v>
      </c>
      <c r="I58" s="113">
        <v>1.3</v>
      </c>
      <c r="J58" s="113">
        <v>17.48</v>
      </c>
      <c r="K58" s="113">
        <v>-12.4</v>
      </c>
    </row>
    <row r="59" spans="2:11" x14ac:dyDescent="0.25">
      <c r="B59" s="189"/>
      <c r="C59" s="113">
        <v>196.71199999999999</v>
      </c>
      <c r="D59" s="113">
        <v>7329</v>
      </c>
      <c r="E59" s="113">
        <v>56</v>
      </c>
      <c r="F59" s="113">
        <v>215</v>
      </c>
      <c r="G59" s="113">
        <v>214.1</v>
      </c>
      <c r="H59" s="113">
        <v>209.8</v>
      </c>
      <c r="I59" s="113">
        <v>2.5</v>
      </c>
      <c r="J59" s="113">
        <v>21.73</v>
      </c>
      <c r="K59" s="113">
        <v>-26.7</v>
      </c>
    </row>
    <row r="60" spans="2:11" x14ac:dyDescent="0.25">
      <c r="B60" s="189"/>
      <c r="C60" s="113">
        <v>196.72900000000001</v>
      </c>
      <c r="D60" s="113">
        <v>7330</v>
      </c>
      <c r="E60" s="113">
        <v>57</v>
      </c>
      <c r="F60" s="113">
        <v>215</v>
      </c>
      <c r="G60" s="113">
        <v>214.1</v>
      </c>
      <c r="H60" s="113">
        <v>209.9</v>
      </c>
      <c r="I60" s="113">
        <v>4.5</v>
      </c>
      <c r="J60" s="113">
        <v>22.6</v>
      </c>
      <c r="K60" s="113">
        <v>-29.6</v>
      </c>
    </row>
    <row r="61" spans="2:11" x14ac:dyDescent="0.25">
      <c r="B61" s="189"/>
      <c r="C61" s="113">
        <v>196.74600000000001</v>
      </c>
      <c r="D61" s="113">
        <v>7331</v>
      </c>
      <c r="E61" s="113">
        <v>58</v>
      </c>
      <c r="F61" s="113">
        <v>214</v>
      </c>
      <c r="G61" s="113">
        <v>214.6</v>
      </c>
      <c r="H61" s="113">
        <v>210</v>
      </c>
      <c r="I61" s="113">
        <v>8.8000000000000007</v>
      </c>
      <c r="J61" s="113">
        <v>22.82</v>
      </c>
      <c r="K61" s="113">
        <v>-21.2</v>
      </c>
    </row>
    <row r="62" spans="2:11" x14ac:dyDescent="0.25">
      <c r="B62" s="189"/>
      <c r="C62" s="113">
        <v>196.762</v>
      </c>
      <c r="D62" s="113">
        <v>7333</v>
      </c>
      <c r="E62" s="113">
        <v>59</v>
      </c>
      <c r="F62" s="113">
        <v>213</v>
      </c>
      <c r="G62" s="113">
        <v>214.9</v>
      </c>
      <c r="H62" s="113">
        <v>210.2</v>
      </c>
      <c r="I62" s="113">
        <v>10.8</v>
      </c>
      <c r="J62" s="113">
        <v>22.91</v>
      </c>
      <c r="K62" s="113">
        <v>-12.7</v>
      </c>
    </row>
    <row r="63" spans="2:11" x14ac:dyDescent="0.25">
      <c r="B63" s="189"/>
      <c r="C63" s="113">
        <v>196.779</v>
      </c>
      <c r="D63" s="113">
        <v>7334</v>
      </c>
      <c r="E63" s="113">
        <v>60</v>
      </c>
      <c r="F63" s="113">
        <v>214</v>
      </c>
      <c r="G63" s="113">
        <v>214.6</v>
      </c>
      <c r="H63" s="113">
        <v>210.3</v>
      </c>
      <c r="I63" s="113">
        <v>10.5</v>
      </c>
      <c r="J63" s="113">
        <v>26.8</v>
      </c>
      <c r="K63" s="113">
        <v>-8.5</v>
      </c>
    </row>
    <row r="64" spans="2:11" x14ac:dyDescent="0.25">
      <c r="B64" s="189"/>
      <c r="C64" s="113">
        <v>196.79599999999999</v>
      </c>
      <c r="D64" s="113">
        <v>7334</v>
      </c>
      <c r="E64" s="113">
        <v>61</v>
      </c>
      <c r="F64" s="113">
        <v>215</v>
      </c>
      <c r="G64" s="113">
        <v>214.1</v>
      </c>
      <c r="H64" s="113">
        <v>210.4</v>
      </c>
      <c r="I64" s="113">
        <v>9.6</v>
      </c>
      <c r="J64" s="113">
        <v>37.57</v>
      </c>
      <c r="K64" s="113">
        <v>-0.1</v>
      </c>
    </row>
    <row r="65" spans="2:11" x14ac:dyDescent="0.25">
      <c r="B65" s="189"/>
      <c r="C65" s="113">
        <v>196.81299999999999</v>
      </c>
      <c r="D65" s="113">
        <v>7335</v>
      </c>
      <c r="E65" s="113">
        <v>62</v>
      </c>
      <c r="F65" s="113">
        <v>215</v>
      </c>
      <c r="G65" s="113">
        <v>214.2</v>
      </c>
      <c r="H65" s="113">
        <v>210.6</v>
      </c>
      <c r="I65" s="113">
        <v>11.3</v>
      </c>
      <c r="J65" s="113">
        <v>37.74</v>
      </c>
      <c r="K65" s="113">
        <v>-2.6</v>
      </c>
    </row>
    <row r="66" spans="2:11" x14ac:dyDescent="0.25">
      <c r="B66" s="189"/>
      <c r="C66" s="113">
        <v>196.82900000000001</v>
      </c>
      <c r="D66" s="113">
        <v>7336</v>
      </c>
      <c r="E66" s="113">
        <v>63</v>
      </c>
      <c r="F66" s="113">
        <v>214</v>
      </c>
      <c r="G66" s="113">
        <v>214.3</v>
      </c>
      <c r="H66" s="113">
        <v>210.7</v>
      </c>
      <c r="I66" s="113">
        <v>13</v>
      </c>
      <c r="J66" s="113">
        <v>33.31</v>
      </c>
      <c r="K66" s="113">
        <v>-6.3</v>
      </c>
    </row>
    <row r="67" spans="2:11" x14ac:dyDescent="0.25">
      <c r="B67" s="189"/>
      <c r="C67" s="113">
        <v>196.846</v>
      </c>
      <c r="D67" s="113">
        <v>7337</v>
      </c>
      <c r="E67" s="113">
        <v>64</v>
      </c>
      <c r="F67" s="113">
        <v>214</v>
      </c>
      <c r="G67" s="113">
        <v>214.6</v>
      </c>
      <c r="H67" s="113">
        <v>210.9</v>
      </c>
      <c r="I67" s="113">
        <v>13.5</v>
      </c>
      <c r="J67" s="113">
        <v>24.7</v>
      </c>
      <c r="K67" s="113">
        <v>-13.7</v>
      </c>
    </row>
    <row r="68" spans="2:11" x14ac:dyDescent="0.25">
      <c r="B68" s="189"/>
      <c r="C68" s="113">
        <v>196.863</v>
      </c>
      <c r="D68" s="113">
        <v>7338</v>
      </c>
      <c r="E68" s="113">
        <v>65</v>
      </c>
      <c r="F68" s="113">
        <v>216</v>
      </c>
      <c r="G68" s="113">
        <v>214.8</v>
      </c>
      <c r="H68" s="113">
        <v>211</v>
      </c>
      <c r="I68" s="113">
        <v>10.5</v>
      </c>
      <c r="J68" s="113">
        <v>20.75</v>
      </c>
      <c r="K68" s="113">
        <v>-21.1</v>
      </c>
    </row>
    <row r="69" spans="2:11" x14ac:dyDescent="0.25">
      <c r="B69" s="189"/>
      <c r="C69" s="113">
        <v>196.87899999999999</v>
      </c>
      <c r="D69" s="113">
        <v>7339</v>
      </c>
      <c r="E69" s="113">
        <v>66</v>
      </c>
      <c r="F69" s="113">
        <v>216</v>
      </c>
      <c r="G69" s="113">
        <v>214.9</v>
      </c>
      <c r="H69" s="113">
        <v>211.1</v>
      </c>
      <c r="I69" s="113">
        <v>8.5</v>
      </c>
      <c r="J69" s="113">
        <v>21.27</v>
      </c>
      <c r="K69" s="113">
        <v>-24.8</v>
      </c>
    </row>
    <row r="70" spans="2:11" x14ac:dyDescent="0.25">
      <c r="B70" s="189"/>
      <c r="C70" s="113">
        <v>196.89599999999999</v>
      </c>
      <c r="D70" s="113">
        <v>7340</v>
      </c>
      <c r="E70" s="113">
        <v>67</v>
      </c>
      <c r="F70" s="113">
        <v>216</v>
      </c>
      <c r="G70" s="113">
        <v>215</v>
      </c>
      <c r="H70" s="113">
        <v>211.2</v>
      </c>
      <c r="I70" s="113">
        <v>6.5</v>
      </c>
      <c r="J70" s="113">
        <v>20.52</v>
      </c>
      <c r="K70" s="113">
        <v>-18.2</v>
      </c>
    </row>
    <row r="71" spans="2:11" x14ac:dyDescent="0.25">
      <c r="B71" s="189"/>
      <c r="C71" s="113">
        <v>196.91300000000001</v>
      </c>
      <c r="D71" s="113">
        <v>7341</v>
      </c>
      <c r="E71" s="113">
        <v>68</v>
      </c>
      <c r="F71" s="113">
        <v>215</v>
      </c>
      <c r="G71" s="113">
        <v>215</v>
      </c>
      <c r="H71" s="113">
        <v>211.3</v>
      </c>
      <c r="I71" s="113">
        <v>6.3</v>
      </c>
      <c r="J71" s="113">
        <v>19.46</v>
      </c>
      <c r="K71" s="113">
        <v>-5.3</v>
      </c>
    </row>
    <row r="72" spans="2:11" x14ac:dyDescent="0.25">
      <c r="B72" s="189"/>
      <c r="C72" s="113">
        <v>196.929</v>
      </c>
      <c r="D72" s="113">
        <v>7342</v>
      </c>
      <c r="E72" s="113">
        <v>69</v>
      </c>
      <c r="F72" s="113">
        <v>215</v>
      </c>
      <c r="G72" s="113">
        <v>215</v>
      </c>
      <c r="H72" s="113">
        <v>211.4</v>
      </c>
      <c r="I72" s="113">
        <v>6.7</v>
      </c>
      <c r="J72" s="113">
        <v>18.63</v>
      </c>
      <c r="K72" s="113">
        <v>1.1000000000000001</v>
      </c>
    </row>
    <row r="73" spans="2:11" x14ac:dyDescent="0.25">
      <c r="B73" s="189"/>
      <c r="C73" s="113">
        <v>196.946</v>
      </c>
      <c r="D73" s="113">
        <v>7343</v>
      </c>
      <c r="E73" s="113">
        <v>70</v>
      </c>
      <c r="F73" s="113">
        <v>216</v>
      </c>
      <c r="G73" s="113">
        <v>215.3</v>
      </c>
      <c r="H73" s="113">
        <v>211.5</v>
      </c>
      <c r="I73" s="113">
        <v>6.7</v>
      </c>
      <c r="J73" s="113">
        <v>20.170000000000002</v>
      </c>
      <c r="K73" s="113">
        <v>14</v>
      </c>
    </row>
    <row r="74" spans="2:11" x14ac:dyDescent="0.25">
      <c r="B74" s="189"/>
      <c r="C74" s="113">
        <v>196.96299999999999</v>
      </c>
      <c r="D74" s="113">
        <v>7345</v>
      </c>
      <c r="E74" s="113">
        <v>71</v>
      </c>
      <c r="F74" s="113">
        <v>216</v>
      </c>
      <c r="G74" s="113">
        <v>215.6</v>
      </c>
      <c r="H74" s="113">
        <v>211.7</v>
      </c>
      <c r="I74" s="113">
        <v>5.4</v>
      </c>
      <c r="J74" s="113">
        <v>23.61</v>
      </c>
      <c r="K74" s="113">
        <v>24.5</v>
      </c>
    </row>
    <row r="75" spans="2:11" x14ac:dyDescent="0.25">
      <c r="B75" s="189"/>
      <c r="C75" s="113">
        <v>196.97900000000001</v>
      </c>
      <c r="D75" s="113">
        <v>7346</v>
      </c>
      <c r="E75" s="113">
        <v>72</v>
      </c>
      <c r="F75" s="113">
        <v>216</v>
      </c>
      <c r="G75" s="113">
        <v>215.6</v>
      </c>
      <c r="H75" s="113">
        <v>211.8</v>
      </c>
      <c r="I75" s="113">
        <v>4.5999999999999996</v>
      </c>
      <c r="J75" s="113">
        <v>24.77</v>
      </c>
      <c r="K75" s="113">
        <v>24.5</v>
      </c>
    </row>
    <row r="76" spans="2:11" x14ac:dyDescent="0.25">
      <c r="B76" s="189"/>
      <c r="C76" s="113">
        <v>196.99600000000001</v>
      </c>
      <c r="D76" s="113">
        <v>7347</v>
      </c>
      <c r="E76" s="113">
        <v>73</v>
      </c>
      <c r="F76" s="113">
        <v>217</v>
      </c>
      <c r="G76" s="113">
        <v>215.6</v>
      </c>
      <c r="H76" s="113">
        <v>212</v>
      </c>
      <c r="I76" s="113">
        <v>3.6</v>
      </c>
      <c r="J76" s="113">
        <v>22.87</v>
      </c>
      <c r="K76" s="113">
        <v>24.5</v>
      </c>
    </row>
    <row r="77" spans="2:11" x14ac:dyDescent="0.25">
      <c r="B77" s="189"/>
      <c r="C77" s="113">
        <v>197.01300000000001</v>
      </c>
      <c r="D77" s="113">
        <v>7347</v>
      </c>
      <c r="E77" s="113">
        <v>74</v>
      </c>
      <c r="F77" s="113">
        <v>217</v>
      </c>
      <c r="G77" s="113">
        <v>215.7</v>
      </c>
      <c r="H77" s="113">
        <v>212.2</v>
      </c>
      <c r="I77" s="113">
        <v>3</v>
      </c>
      <c r="J77" s="113">
        <v>19.28</v>
      </c>
      <c r="K77" s="113">
        <v>24.5</v>
      </c>
    </row>
    <row r="78" spans="2:11" x14ac:dyDescent="0.25">
      <c r="B78" s="189"/>
      <c r="C78" s="113">
        <v>197.029</v>
      </c>
      <c r="D78" s="113">
        <v>7348</v>
      </c>
      <c r="E78" s="113">
        <v>75</v>
      </c>
      <c r="F78" s="113">
        <v>218</v>
      </c>
      <c r="G78" s="113">
        <v>215.6</v>
      </c>
      <c r="H78" s="113">
        <v>212.3</v>
      </c>
      <c r="I78" s="113">
        <v>3</v>
      </c>
      <c r="J78" s="113">
        <v>18.170000000000002</v>
      </c>
      <c r="K78" s="113">
        <v>24.5</v>
      </c>
    </row>
    <row r="79" spans="2:11" x14ac:dyDescent="0.25">
      <c r="B79" s="189"/>
      <c r="C79" s="113">
        <v>197.04599999999999</v>
      </c>
      <c r="D79" s="113">
        <v>7349</v>
      </c>
      <c r="E79" s="113">
        <v>76</v>
      </c>
      <c r="F79" s="113">
        <v>218</v>
      </c>
      <c r="G79" s="113">
        <v>215.7</v>
      </c>
      <c r="H79" s="113">
        <v>212.5</v>
      </c>
      <c r="I79" s="113">
        <v>2.9</v>
      </c>
      <c r="J79" s="113">
        <v>17.170000000000002</v>
      </c>
      <c r="K79" s="113">
        <v>21.9</v>
      </c>
    </row>
    <row r="80" spans="2:11" x14ac:dyDescent="0.25">
      <c r="B80" s="189"/>
      <c r="C80" s="113">
        <v>197.06299999999999</v>
      </c>
      <c r="D80" s="113">
        <v>7350</v>
      </c>
      <c r="E80" s="113">
        <v>77</v>
      </c>
      <c r="F80" s="113">
        <v>218</v>
      </c>
      <c r="G80" s="113">
        <v>215.8</v>
      </c>
      <c r="H80" s="113">
        <v>212.7</v>
      </c>
      <c r="I80" s="113">
        <v>3.3</v>
      </c>
      <c r="J80" s="113">
        <v>16.399999999999999</v>
      </c>
      <c r="K80" s="113">
        <v>8.3000000000000007</v>
      </c>
    </row>
    <row r="81" spans="2:11" x14ac:dyDescent="0.25">
      <c r="B81" s="189"/>
      <c r="C81" s="113">
        <v>197.07900000000001</v>
      </c>
      <c r="D81" s="113">
        <v>7351</v>
      </c>
      <c r="E81" s="113">
        <v>78</v>
      </c>
      <c r="F81" s="113">
        <v>218</v>
      </c>
      <c r="G81" s="113">
        <v>215.9</v>
      </c>
      <c r="H81" s="113">
        <v>212.8</v>
      </c>
      <c r="I81" s="113">
        <v>3.4</v>
      </c>
      <c r="J81" s="113">
        <v>15.34</v>
      </c>
      <c r="K81" s="113">
        <v>1.5</v>
      </c>
    </row>
    <row r="82" spans="2:11" x14ac:dyDescent="0.25">
      <c r="B82" s="189"/>
      <c r="C82" s="113">
        <v>197.096</v>
      </c>
      <c r="D82" s="113">
        <v>7353</v>
      </c>
      <c r="E82" s="113">
        <v>79</v>
      </c>
      <c r="F82" s="113">
        <v>218</v>
      </c>
      <c r="G82" s="113">
        <v>216.1</v>
      </c>
      <c r="H82" s="113">
        <v>213</v>
      </c>
      <c r="I82" s="113">
        <v>3.7</v>
      </c>
      <c r="J82" s="113">
        <v>14.54</v>
      </c>
      <c r="K82" s="113">
        <v>-12.3</v>
      </c>
    </row>
    <row r="83" spans="2:11" x14ac:dyDescent="0.25">
      <c r="B83" s="189"/>
      <c r="C83" s="113">
        <v>197.113</v>
      </c>
      <c r="D83" s="113">
        <v>7353</v>
      </c>
      <c r="E83" s="113">
        <v>80</v>
      </c>
      <c r="F83" s="113">
        <v>218</v>
      </c>
      <c r="G83" s="113">
        <v>216.4</v>
      </c>
      <c r="H83" s="113">
        <v>213.3</v>
      </c>
      <c r="I83" s="113">
        <v>3.6</v>
      </c>
      <c r="J83" s="113">
        <v>14.57</v>
      </c>
      <c r="K83" s="113">
        <v>-25.9</v>
      </c>
    </row>
    <row r="84" spans="2:11" x14ac:dyDescent="0.25">
      <c r="B84" s="189"/>
      <c r="C84" s="113">
        <v>197.12899999999999</v>
      </c>
      <c r="D84" s="113">
        <v>7354</v>
      </c>
      <c r="E84" s="113">
        <v>81</v>
      </c>
      <c r="F84" s="113">
        <v>218</v>
      </c>
      <c r="G84" s="113">
        <v>216.5</v>
      </c>
      <c r="H84" s="113">
        <v>213.4</v>
      </c>
      <c r="I84" s="113">
        <v>3.6</v>
      </c>
      <c r="J84" s="113">
        <v>15.19</v>
      </c>
      <c r="K84" s="113">
        <v>-28</v>
      </c>
    </row>
    <row r="85" spans="2:11" x14ac:dyDescent="0.25">
      <c r="B85" s="189"/>
      <c r="C85" s="113">
        <v>197.14599999999999</v>
      </c>
      <c r="D85" s="113">
        <v>7355</v>
      </c>
      <c r="E85" s="113">
        <v>82</v>
      </c>
      <c r="F85" s="113">
        <v>218</v>
      </c>
      <c r="G85" s="113">
        <v>216.8</v>
      </c>
      <c r="H85" s="113">
        <v>213.6</v>
      </c>
      <c r="I85" s="113">
        <v>3.4</v>
      </c>
      <c r="J85" s="113">
        <v>14.44</v>
      </c>
      <c r="K85" s="113">
        <v>-16.100000000000001</v>
      </c>
    </row>
    <row r="86" spans="2:11" x14ac:dyDescent="0.25">
      <c r="B86" s="189"/>
      <c r="C86" s="113">
        <v>197.16200000000001</v>
      </c>
      <c r="D86" s="113">
        <v>7357</v>
      </c>
      <c r="E86" s="113">
        <v>83</v>
      </c>
      <c r="F86" s="113">
        <v>218</v>
      </c>
      <c r="G86" s="113">
        <v>217</v>
      </c>
      <c r="H86" s="113">
        <v>213.7</v>
      </c>
      <c r="I86" s="113">
        <v>3.4</v>
      </c>
      <c r="J86" s="113">
        <v>14.29</v>
      </c>
      <c r="K86" s="113">
        <v>-4.3</v>
      </c>
    </row>
    <row r="87" spans="2:11" x14ac:dyDescent="0.25">
      <c r="B87" s="189"/>
      <c r="C87" s="113">
        <v>197.179</v>
      </c>
      <c r="D87" s="113">
        <v>7358</v>
      </c>
      <c r="E87" s="113">
        <v>84</v>
      </c>
      <c r="F87" s="113">
        <v>218</v>
      </c>
      <c r="G87" s="113">
        <v>217.2</v>
      </c>
      <c r="H87" s="113">
        <v>213.8</v>
      </c>
      <c r="I87" s="113">
        <v>3.4</v>
      </c>
      <c r="J87" s="113">
        <v>14.03</v>
      </c>
      <c r="K87" s="113">
        <v>1.7</v>
      </c>
    </row>
    <row r="88" spans="2:11" x14ac:dyDescent="0.25">
      <c r="B88" s="189"/>
      <c r="C88" s="113">
        <v>197.196</v>
      </c>
      <c r="D88" s="113">
        <v>7359</v>
      </c>
      <c r="E88" s="113">
        <v>85</v>
      </c>
      <c r="F88" s="113">
        <v>218</v>
      </c>
      <c r="G88" s="113">
        <v>217.4</v>
      </c>
      <c r="H88" s="113">
        <v>213.9</v>
      </c>
      <c r="I88" s="113">
        <v>3.7</v>
      </c>
      <c r="J88" s="113">
        <v>15.1</v>
      </c>
      <c r="K88" s="113">
        <v>13.5</v>
      </c>
    </row>
    <row r="89" spans="2:11" x14ac:dyDescent="0.25">
      <c r="B89" s="189"/>
      <c r="C89" s="113">
        <v>197.21199999999999</v>
      </c>
      <c r="D89" s="113">
        <v>7359</v>
      </c>
      <c r="E89" s="113">
        <v>86</v>
      </c>
      <c r="F89" s="113">
        <v>218</v>
      </c>
      <c r="G89" s="113">
        <v>217.6</v>
      </c>
      <c r="H89" s="113">
        <v>214.1</v>
      </c>
      <c r="I89" s="113">
        <v>3.9</v>
      </c>
      <c r="J89" s="113">
        <v>15.68</v>
      </c>
      <c r="K89" s="113">
        <v>13</v>
      </c>
    </row>
    <row r="90" spans="2:11" x14ac:dyDescent="0.25">
      <c r="B90" s="189"/>
      <c r="C90" s="113">
        <v>197.22900000000001</v>
      </c>
      <c r="D90" s="113">
        <v>7360</v>
      </c>
      <c r="E90" s="113">
        <v>87</v>
      </c>
      <c r="F90" s="113">
        <v>218</v>
      </c>
      <c r="G90" s="113">
        <v>217.7</v>
      </c>
      <c r="H90" s="113">
        <v>214.2</v>
      </c>
      <c r="I90" s="113">
        <v>4.2</v>
      </c>
      <c r="J90" s="113">
        <v>17.39</v>
      </c>
      <c r="K90" s="113">
        <v>9.9</v>
      </c>
    </row>
    <row r="91" spans="2:11" x14ac:dyDescent="0.25">
      <c r="B91" s="189"/>
      <c r="C91" s="113">
        <v>197.245</v>
      </c>
      <c r="D91" s="113">
        <v>7361</v>
      </c>
      <c r="E91" s="113">
        <v>88</v>
      </c>
      <c r="F91" s="113">
        <v>218</v>
      </c>
      <c r="G91" s="113">
        <v>217.9</v>
      </c>
      <c r="H91" s="113">
        <v>214.3</v>
      </c>
      <c r="I91" s="113">
        <v>4.8</v>
      </c>
      <c r="J91" s="113">
        <v>19.329999999999998</v>
      </c>
      <c r="K91" s="113">
        <v>3.7</v>
      </c>
    </row>
    <row r="92" spans="2:11" x14ac:dyDescent="0.25">
      <c r="B92" s="189"/>
      <c r="C92" s="113">
        <v>197.262</v>
      </c>
      <c r="D92" s="113">
        <v>7362</v>
      </c>
      <c r="E92" s="113">
        <v>89</v>
      </c>
      <c r="F92" s="113">
        <v>217</v>
      </c>
      <c r="G92" s="113">
        <v>218.4</v>
      </c>
      <c r="H92" s="113">
        <v>214.4</v>
      </c>
      <c r="I92" s="113">
        <v>5.8</v>
      </c>
      <c r="J92" s="113">
        <v>21.4</v>
      </c>
      <c r="K92" s="113">
        <v>-2.4</v>
      </c>
    </row>
    <row r="93" spans="2:11" x14ac:dyDescent="0.25">
      <c r="B93" s="189"/>
      <c r="C93" s="113">
        <v>197.27799999999999</v>
      </c>
      <c r="D93" s="113">
        <v>7363</v>
      </c>
      <c r="E93" s="113">
        <v>90</v>
      </c>
      <c r="F93" s="113">
        <v>217</v>
      </c>
      <c r="G93" s="113">
        <v>218.7</v>
      </c>
      <c r="H93" s="113">
        <v>214.5</v>
      </c>
      <c r="I93" s="113">
        <v>6.1</v>
      </c>
      <c r="J93" s="113">
        <v>21.32</v>
      </c>
      <c r="K93" s="113">
        <v>-5.5</v>
      </c>
    </row>
    <row r="94" spans="2:11" x14ac:dyDescent="0.25">
      <c r="B94" s="189"/>
      <c r="C94" s="113">
        <v>197.29400000000001</v>
      </c>
      <c r="D94" s="113">
        <v>7364</v>
      </c>
      <c r="E94" s="113">
        <v>91</v>
      </c>
      <c r="F94" s="113">
        <v>217</v>
      </c>
      <c r="G94" s="113">
        <v>218.9</v>
      </c>
      <c r="H94" s="113">
        <v>214.6</v>
      </c>
      <c r="I94" s="113">
        <v>6.1</v>
      </c>
      <c r="J94" s="113">
        <v>24.44</v>
      </c>
      <c r="K94" s="113">
        <v>-7.7</v>
      </c>
    </row>
    <row r="95" spans="2:11" x14ac:dyDescent="0.25">
      <c r="B95" s="189"/>
      <c r="C95" s="113">
        <v>197.31100000000001</v>
      </c>
      <c r="D95" s="113">
        <v>7365</v>
      </c>
      <c r="E95" s="113">
        <v>92</v>
      </c>
      <c r="F95" s="113">
        <v>218</v>
      </c>
      <c r="G95" s="113">
        <v>219</v>
      </c>
      <c r="H95" s="113">
        <v>214.7</v>
      </c>
      <c r="I95" s="113">
        <v>6</v>
      </c>
      <c r="J95" s="113">
        <v>29.22</v>
      </c>
      <c r="K95" s="113">
        <v>-8.1999999999999993</v>
      </c>
    </row>
    <row r="96" spans="2:11" x14ac:dyDescent="0.25">
      <c r="B96" s="189"/>
      <c r="C96" s="113">
        <v>197.327</v>
      </c>
      <c r="D96" s="113">
        <v>7366</v>
      </c>
      <c r="E96" s="113">
        <v>93</v>
      </c>
      <c r="F96" s="113">
        <v>218</v>
      </c>
      <c r="G96" s="113">
        <v>219</v>
      </c>
      <c r="H96" s="113">
        <v>214.8</v>
      </c>
      <c r="I96" s="113">
        <v>6.2</v>
      </c>
      <c r="J96" s="113">
        <v>32.32</v>
      </c>
      <c r="K96" s="113">
        <v>-8.4</v>
      </c>
    </row>
    <row r="97" spans="2:11" x14ac:dyDescent="0.25">
      <c r="B97" s="189"/>
      <c r="C97" s="113">
        <v>197.34399999999999</v>
      </c>
      <c r="D97" s="113">
        <v>7367</v>
      </c>
      <c r="E97" s="113">
        <v>94</v>
      </c>
      <c r="F97" s="113">
        <v>217</v>
      </c>
      <c r="G97" s="113">
        <v>218.8</v>
      </c>
      <c r="H97" s="113">
        <v>214.9</v>
      </c>
      <c r="I97" s="113">
        <v>7.8</v>
      </c>
      <c r="J97" s="113">
        <v>34.6</v>
      </c>
      <c r="K97" s="113">
        <v>-8.9</v>
      </c>
    </row>
    <row r="98" spans="2:11" x14ac:dyDescent="0.25">
      <c r="B98" s="189"/>
      <c r="C98" s="113">
        <v>197.36</v>
      </c>
      <c r="D98" s="113">
        <v>7368</v>
      </c>
      <c r="E98" s="113">
        <v>95</v>
      </c>
      <c r="F98" s="113">
        <v>217</v>
      </c>
      <c r="G98" s="113">
        <v>218.7</v>
      </c>
      <c r="H98" s="113">
        <v>214.9</v>
      </c>
      <c r="I98" s="113">
        <v>9.6999999999999993</v>
      </c>
      <c r="J98" s="113">
        <v>34.65</v>
      </c>
      <c r="K98" s="113">
        <v>-9.3000000000000007</v>
      </c>
    </row>
    <row r="99" spans="2:11" x14ac:dyDescent="0.25">
      <c r="B99" s="189"/>
      <c r="C99" s="113">
        <v>197.376</v>
      </c>
      <c r="D99" s="113">
        <v>7370</v>
      </c>
      <c r="E99" s="113">
        <v>96</v>
      </c>
      <c r="F99" s="113">
        <v>217</v>
      </c>
      <c r="G99" s="113">
        <v>218.7</v>
      </c>
      <c r="H99" s="113">
        <v>215</v>
      </c>
      <c r="I99" s="113">
        <v>10.1</v>
      </c>
      <c r="J99" s="113">
        <v>34.19</v>
      </c>
      <c r="K99" s="113">
        <v>-9.3000000000000007</v>
      </c>
    </row>
    <row r="100" spans="2:11" x14ac:dyDescent="0.25">
      <c r="B100" s="189"/>
      <c r="C100" s="113">
        <v>197.393</v>
      </c>
      <c r="D100" s="113">
        <v>7370</v>
      </c>
      <c r="E100" s="113">
        <v>97</v>
      </c>
      <c r="F100" s="113">
        <v>218</v>
      </c>
      <c r="G100" s="113">
        <v>218.7</v>
      </c>
      <c r="H100" s="113">
        <v>215.1</v>
      </c>
      <c r="I100" s="113">
        <v>10.1</v>
      </c>
      <c r="J100" s="113">
        <v>33.51</v>
      </c>
      <c r="K100" s="113">
        <v>-9.3000000000000007</v>
      </c>
    </row>
    <row r="101" spans="2:11" x14ac:dyDescent="0.25">
      <c r="B101" s="189"/>
      <c r="C101" s="113">
        <v>197.40899999999999</v>
      </c>
      <c r="D101" s="113">
        <v>7371</v>
      </c>
      <c r="E101" s="113">
        <v>98</v>
      </c>
      <c r="F101" s="113">
        <v>218</v>
      </c>
      <c r="G101" s="113">
        <v>218.6</v>
      </c>
      <c r="H101" s="113">
        <v>215.1</v>
      </c>
      <c r="I101" s="113">
        <v>9.6</v>
      </c>
      <c r="J101" s="113">
        <v>32.770000000000003</v>
      </c>
      <c r="K101" s="113">
        <v>-9.3000000000000007</v>
      </c>
    </row>
    <row r="102" spans="2:11" x14ac:dyDescent="0.25">
      <c r="B102" s="189"/>
      <c r="C102" s="113">
        <v>197.42599999999999</v>
      </c>
      <c r="D102" s="113">
        <v>7372</v>
      </c>
      <c r="E102" s="113">
        <v>99</v>
      </c>
      <c r="F102" s="113">
        <v>219</v>
      </c>
      <c r="G102" s="113">
        <v>218.2</v>
      </c>
      <c r="H102" s="113">
        <v>215.2</v>
      </c>
      <c r="I102" s="113">
        <v>8.3000000000000007</v>
      </c>
      <c r="J102" s="113">
        <v>31.01</v>
      </c>
      <c r="K102" s="113">
        <v>-9.3000000000000007</v>
      </c>
    </row>
    <row r="103" spans="2:11" x14ac:dyDescent="0.25">
      <c r="B103" s="189"/>
      <c r="C103" s="113">
        <v>197.44200000000001</v>
      </c>
      <c r="D103" s="113">
        <v>7373</v>
      </c>
      <c r="E103" s="113">
        <v>100</v>
      </c>
      <c r="F103" s="113">
        <v>219</v>
      </c>
      <c r="G103" s="113">
        <v>217.9</v>
      </c>
      <c r="H103" s="113">
        <v>215.3</v>
      </c>
      <c r="I103" s="113">
        <v>6.8</v>
      </c>
      <c r="J103" s="113">
        <v>28.6</v>
      </c>
      <c r="K103" s="113">
        <v>-8.9</v>
      </c>
    </row>
    <row r="104" spans="2:11" x14ac:dyDescent="0.25">
      <c r="B104" s="189"/>
      <c r="C104" s="113">
        <v>197.459</v>
      </c>
      <c r="D104" s="113">
        <v>7374</v>
      </c>
      <c r="E104" s="113">
        <v>101</v>
      </c>
      <c r="F104" s="113">
        <v>219</v>
      </c>
      <c r="G104" s="113">
        <v>218</v>
      </c>
      <c r="H104" s="113">
        <v>215.3</v>
      </c>
      <c r="I104" s="113">
        <v>6.1</v>
      </c>
      <c r="J104" s="113">
        <v>26.02</v>
      </c>
      <c r="K104" s="113">
        <v>-7.9</v>
      </c>
    </row>
    <row r="105" spans="2:11" x14ac:dyDescent="0.25">
      <c r="B105" s="189"/>
      <c r="C105" s="113">
        <v>197.47499999999999</v>
      </c>
      <c r="D105" s="113">
        <v>7375</v>
      </c>
      <c r="E105" s="113">
        <v>102</v>
      </c>
      <c r="F105" s="113">
        <v>219</v>
      </c>
      <c r="G105" s="113">
        <v>218.2</v>
      </c>
      <c r="H105" s="113">
        <v>215.3</v>
      </c>
      <c r="I105" s="113">
        <v>4.0999999999999996</v>
      </c>
      <c r="J105" s="113">
        <v>22.03</v>
      </c>
      <c r="K105" s="113">
        <v>-5.9</v>
      </c>
    </row>
    <row r="106" spans="2:11" x14ac:dyDescent="0.25">
      <c r="B106" s="189"/>
      <c r="C106" s="113">
        <v>197.49199999999999</v>
      </c>
      <c r="D106" s="113">
        <v>7376</v>
      </c>
      <c r="E106" s="113">
        <v>103</v>
      </c>
      <c r="F106" s="113">
        <v>219</v>
      </c>
      <c r="G106" s="113">
        <v>218.4</v>
      </c>
      <c r="H106" s="113">
        <v>215.4</v>
      </c>
      <c r="I106" s="113">
        <v>2.2000000000000002</v>
      </c>
      <c r="J106" s="113">
        <v>19.34</v>
      </c>
      <c r="K106" s="113">
        <v>-3.9</v>
      </c>
    </row>
    <row r="107" spans="2:11" x14ac:dyDescent="0.25">
      <c r="B107" s="189"/>
      <c r="C107" s="113">
        <v>197.50800000000001</v>
      </c>
      <c r="D107" s="113">
        <v>7377</v>
      </c>
      <c r="E107" s="113">
        <v>104</v>
      </c>
      <c r="F107" s="113">
        <v>218</v>
      </c>
      <c r="G107" s="113">
        <v>218.4</v>
      </c>
      <c r="H107" s="113">
        <v>215.4</v>
      </c>
      <c r="I107" s="113">
        <v>1.5</v>
      </c>
      <c r="J107" s="113">
        <v>19.97</v>
      </c>
      <c r="K107" s="113">
        <v>-2.9</v>
      </c>
    </row>
    <row r="108" spans="2:11" x14ac:dyDescent="0.25">
      <c r="B108" s="189"/>
      <c r="C108" s="113">
        <v>197.524</v>
      </c>
      <c r="D108" s="113">
        <v>7378</v>
      </c>
      <c r="E108" s="113">
        <v>105</v>
      </c>
      <c r="F108" s="113">
        <v>218</v>
      </c>
      <c r="G108" s="113">
        <v>218.4</v>
      </c>
      <c r="H108" s="113">
        <v>215.4</v>
      </c>
      <c r="I108" s="113">
        <v>0.9</v>
      </c>
      <c r="J108" s="113">
        <v>20.29</v>
      </c>
      <c r="K108" s="113">
        <v>-1.1000000000000001</v>
      </c>
    </row>
    <row r="109" spans="2:11" x14ac:dyDescent="0.25">
      <c r="B109" s="189"/>
      <c r="C109" s="113">
        <v>197.541</v>
      </c>
      <c r="D109" s="113">
        <v>7379</v>
      </c>
      <c r="E109" s="113">
        <v>106</v>
      </c>
      <c r="F109" s="113">
        <v>216</v>
      </c>
      <c r="G109" s="113">
        <v>218.5</v>
      </c>
      <c r="H109" s="113">
        <v>215.4</v>
      </c>
      <c r="I109" s="113">
        <v>1.2</v>
      </c>
      <c r="J109" s="113">
        <v>20.13</v>
      </c>
      <c r="K109" s="113">
        <v>-0.5</v>
      </c>
    </row>
    <row r="110" spans="2:11" x14ac:dyDescent="0.25">
      <c r="B110" s="189"/>
      <c r="C110" s="113">
        <v>197.55799999999999</v>
      </c>
      <c r="D110" s="113">
        <v>7380</v>
      </c>
      <c r="E110" s="113">
        <v>107</v>
      </c>
      <c r="F110" s="113">
        <v>216</v>
      </c>
      <c r="G110" s="113">
        <v>218.5</v>
      </c>
      <c r="H110" s="113">
        <v>215.4</v>
      </c>
      <c r="I110" s="113">
        <v>1.8</v>
      </c>
      <c r="J110" s="113">
        <v>20.22</v>
      </c>
      <c r="K110" s="113">
        <v>-0.2</v>
      </c>
    </row>
    <row r="111" spans="2:11" x14ac:dyDescent="0.25">
      <c r="B111" s="189"/>
      <c r="C111" s="113">
        <v>197.57400000000001</v>
      </c>
      <c r="D111" s="113">
        <v>7381</v>
      </c>
      <c r="E111" s="113">
        <v>108</v>
      </c>
      <c r="F111" s="113">
        <v>214</v>
      </c>
      <c r="G111" s="113">
        <v>218.3</v>
      </c>
      <c r="H111" s="113">
        <v>215.3</v>
      </c>
      <c r="I111" s="113">
        <v>2.5</v>
      </c>
      <c r="J111" s="113">
        <v>26.44</v>
      </c>
      <c r="K111" s="113">
        <v>0.4</v>
      </c>
    </row>
    <row r="112" spans="2:11" x14ac:dyDescent="0.25">
      <c r="B112" s="189"/>
      <c r="C112" s="113">
        <v>197.59</v>
      </c>
      <c r="D112" s="113">
        <v>7382</v>
      </c>
      <c r="E112" s="113">
        <v>109</v>
      </c>
      <c r="F112" s="113">
        <v>212</v>
      </c>
      <c r="G112" s="113">
        <v>217.9</v>
      </c>
      <c r="H112" s="113">
        <v>215.3</v>
      </c>
      <c r="I112" s="113">
        <v>4.2</v>
      </c>
      <c r="J112" s="113">
        <v>33.049999999999997</v>
      </c>
      <c r="K112" s="113">
        <v>1</v>
      </c>
    </row>
    <row r="113" spans="2:11" x14ac:dyDescent="0.25">
      <c r="B113" s="189"/>
      <c r="C113" s="113">
        <v>197.607</v>
      </c>
      <c r="D113" s="113">
        <v>7383</v>
      </c>
      <c r="E113" s="113">
        <v>110</v>
      </c>
      <c r="F113" s="113">
        <v>212</v>
      </c>
      <c r="G113" s="113">
        <v>217.6</v>
      </c>
      <c r="H113" s="113">
        <v>215.2</v>
      </c>
      <c r="I113" s="113">
        <v>5</v>
      </c>
      <c r="J113" s="113">
        <v>35.79</v>
      </c>
      <c r="K113" s="113">
        <v>1.1000000000000001</v>
      </c>
    </row>
    <row r="114" spans="2:11" x14ac:dyDescent="0.25">
      <c r="B114" s="189"/>
      <c r="C114" s="113">
        <v>197.62299999999999</v>
      </c>
      <c r="D114" s="113">
        <v>7384</v>
      </c>
      <c r="E114" s="113">
        <v>111</v>
      </c>
      <c r="F114" s="113">
        <v>211</v>
      </c>
      <c r="G114" s="113">
        <v>216.9</v>
      </c>
      <c r="H114" s="113">
        <v>215.2</v>
      </c>
      <c r="I114" s="113">
        <v>5.8</v>
      </c>
      <c r="J114" s="113">
        <v>37.659999999999997</v>
      </c>
      <c r="K114" s="113">
        <v>0.5</v>
      </c>
    </row>
    <row r="115" spans="2:11" x14ac:dyDescent="0.25">
      <c r="B115" s="189"/>
      <c r="C115" s="113">
        <v>197.63900000000001</v>
      </c>
      <c r="D115" s="113">
        <v>7385</v>
      </c>
      <c r="E115" s="113">
        <v>112</v>
      </c>
      <c r="F115" s="113">
        <v>210</v>
      </c>
      <c r="G115" s="113">
        <v>216.6</v>
      </c>
      <c r="H115" s="113">
        <v>215.1</v>
      </c>
      <c r="I115" s="113">
        <v>5.7</v>
      </c>
      <c r="J115" s="113">
        <v>39.950000000000003</v>
      </c>
      <c r="K115" s="113">
        <v>0.2</v>
      </c>
    </row>
    <row r="116" spans="2:11" x14ac:dyDescent="0.25">
      <c r="B116" s="189"/>
      <c r="C116" s="113">
        <v>197.65600000000001</v>
      </c>
      <c r="D116" s="113">
        <v>7387</v>
      </c>
      <c r="E116" s="113">
        <v>113</v>
      </c>
      <c r="F116" s="113">
        <v>210</v>
      </c>
      <c r="G116" s="113">
        <v>215.8</v>
      </c>
      <c r="H116" s="113">
        <v>214.9</v>
      </c>
      <c r="I116" s="113">
        <v>5.0999999999999996</v>
      </c>
      <c r="J116" s="113">
        <v>45.77</v>
      </c>
      <c r="K116" s="113">
        <v>-0.4</v>
      </c>
    </row>
    <row r="117" spans="2:11" x14ac:dyDescent="0.25">
      <c r="B117" s="189"/>
      <c r="C117" s="113">
        <v>197.673</v>
      </c>
      <c r="D117" s="113">
        <v>7387</v>
      </c>
      <c r="E117" s="113">
        <v>114</v>
      </c>
      <c r="F117" s="113">
        <v>210</v>
      </c>
      <c r="G117" s="113">
        <v>214.9</v>
      </c>
      <c r="H117" s="113">
        <v>214.7</v>
      </c>
      <c r="I117" s="113">
        <v>5.0999999999999996</v>
      </c>
      <c r="J117" s="113">
        <v>51.34</v>
      </c>
      <c r="K117" s="113">
        <v>-1</v>
      </c>
    </row>
    <row r="118" spans="2:11" x14ac:dyDescent="0.25">
      <c r="B118" s="189"/>
      <c r="C118" s="113">
        <v>197.68899999999999</v>
      </c>
      <c r="D118" s="113">
        <v>7388</v>
      </c>
      <c r="E118" s="113">
        <v>115</v>
      </c>
      <c r="F118" s="113">
        <v>210</v>
      </c>
      <c r="G118" s="113">
        <v>214.6</v>
      </c>
      <c r="H118" s="113">
        <v>214.6</v>
      </c>
      <c r="I118" s="113">
        <v>5.4</v>
      </c>
      <c r="J118" s="113">
        <v>51.52</v>
      </c>
      <c r="K118" s="113">
        <v>-1.2</v>
      </c>
    </row>
    <row r="119" spans="2:11" x14ac:dyDescent="0.25">
      <c r="B119" s="189"/>
      <c r="C119" s="113">
        <v>197.70599999999999</v>
      </c>
      <c r="D119" s="113">
        <v>7389</v>
      </c>
      <c r="E119" s="113">
        <v>116</v>
      </c>
      <c r="F119" s="113">
        <v>210</v>
      </c>
      <c r="G119" s="113">
        <v>214.6</v>
      </c>
      <c r="H119" s="113">
        <v>214.4</v>
      </c>
      <c r="I119" s="113">
        <v>5.9</v>
      </c>
      <c r="J119" s="113">
        <v>54.51</v>
      </c>
      <c r="K119" s="113">
        <v>-1.2</v>
      </c>
    </row>
    <row r="120" spans="2:11" x14ac:dyDescent="0.25">
      <c r="B120" s="189"/>
      <c r="C120" s="113">
        <v>197.72300000000001</v>
      </c>
      <c r="D120" s="113">
        <v>7390</v>
      </c>
      <c r="E120" s="113">
        <v>117</v>
      </c>
      <c r="F120" s="113">
        <v>210</v>
      </c>
      <c r="G120" s="113">
        <v>214.5</v>
      </c>
      <c r="H120" s="113">
        <v>214.2</v>
      </c>
      <c r="I120" s="113">
        <v>5.2</v>
      </c>
      <c r="J120" s="113">
        <v>59.76</v>
      </c>
      <c r="K120" s="113">
        <v>-1.2</v>
      </c>
    </row>
    <row r="121" spans="2:11" x14ac:dyDescent="0.25">
      <c r="B121" s="189"/>
      <c r="C121" s="113">
        <v>197.739</v>
      </c>
      <c r="D121" s="113">
        <v>7391</v>
      </c>
      <c r="E121" s="113">
        <v>118</v>
      </c>
      <c r="F121" s="113">
        <v>210</v>
      </c>
      <c r="G121" s="113">
        <v>214.3</v>
      </c>
      <c r="H121" s="113">
        <v>214.1</v>
      </c>
      <c r="I121" s="113">
        <v>4.8</v>
      </c>
      <c r="J121" s="113">
        <v>63.1</v>
      </c>
      <c r="K121" s="113">
        <v>-1.2</v>
      </c>
    </row>
    <row r="122" spans="2:11" x14ac:dyDescent="0.25">
      <c r="B122" s="189"/>
      <c r="C122" s="113">
        <v>197.756</v>
      </c>
      <c r="D122" s="113">
        <v>7392</v>
      </c>
      <c r="E122" s="113">
        <v>119</v>
      </c>
      <c r="F122" s="113">
        <v>209</v>
      </c>
      <c r="G122" s="113">
        <v>214</v>
      </c>
      <c r="H122" s="113">
        <v>213.8</v>
      </c>
      <c r="I122" s="113">
        <v>4.4000000000000004</v>
      </c>
      <c r="J122" s="113">
        <v>66.400000000000006</v>
      </c>
      <c r="K122" s="113">
        <v>-1.2</v>
      </c>
    </row>
    <row r="123" spans="2:11" x14ac:dyDescent="0.25">
      <c r="B123" s="189"/>
      <c r="C123" s="113">
        <v>197.773</v>
      </c>
      <c r="D123" s="113">
        <v>7393</v>
      </c>
      <c r="E123" s="113">
        <v>120</v>
      </c>
      <c r="F123" s="113">
        <v>209</v>
      </c>
      <c r="G123" s="113">
        <v>213.3</v>
      </c>
      <c r="H123" s="113">
        <v>213.4</v>
      </c>
      <c r="I123" s="113">
        <v>4.3</v>
      </c>
      <c r="J123" s="113">
        <v>69.05</v>
      </c>
      <c r="K123" s="113">
        <v>-1.2</v>
      </c>
    </row>
    <row r="124" spans="2:11" x14ac:dyDescent="0.25">
      <c r="B124" s="189"/>
      <c r="C124" s="113">
        <v>197.79</v>
      </c>
      <c r="D124" s="113">
        <v>7394</v>
      </c>
      <c r="E124" s="113">
        <v>121</v>
      </c>
      <c r="F124" s="113">
        <v>209</v>
      </c>
      <c r="G124" s="113">
        <v>212.4</v>
      </c>
      <c r="H124" s="113">
        <v>213.1</v>
      </c>
      <c r="I124" s="113">
        <v>4.5999999999999996</v>
      </c>
      <c r="J124" s="113">
        <v>71.13</v>
      </c>
      <c r="K124" s="113">
        <v>-1.2</v>
      </c>
    </row>
    <row r="125" spans="2:11" x14ac:dyDescent="0.25">
      <c r="B125" s="189"/>
      <c r="C125" s="113">
        <v>197.80699999999999</v>
      </c>
      <c r="D125" s="113">
        <v>7395</v>
      </c>
      <c r="E125" s="113">
        <v>122</v>
      </c>
      <c r="F125" s="113">
        <v>209</v>
      </c>
      <c r="G125" s="113">
        <v>212</v>
      </c>
      <c r="H125" s="113">
        <v>212.9</v>
      </c>
      <c r="I125" s="113">
        <v>4.8</v>
      </c>
      <c r="J125" s="113">
        <v>72.489999999999995</v>
      </c>
      <c r="K125" s="113">
        <v>-1.2</v>
      </c>
    </row>
    <row r="126" spans="2:11" x14ac:dyDescent="0.25">
      <c r="B126" s="189"/>
      <c r="C126" s="113">
        <v>197.82400000000001</v>
      </c>
      <c r="D126" s="113">
        <v>7396</v>
      </c>
      <c r="E126" s="113">
        <v>123</v>
      </c>
      <c r="F126" s="113">
        <v>208</v>
      </c>
      <c r="G126" s="113">
        <v>211.3</v>
      </c>
      <c r="H126" s="113">
        <v>212.5</v>
      </c>
      <c r="I126" s="113">
        <v>4.8</v>
      </c>
      <c r="J126" s="113">
        <v>73.31</v>
      </c>
      <c r="K126" s="113">
        <v>-1.2</v>
      </c>
    </row>
    <row r="127" spans="2:11" x14ac:dyDescent="0.25">
      <c r="B127" s="189"/>
      <c r="C127" s="113">
        <v>197.84100000000001</v>
      </c>
      <c r="D127" s="113">
        <v>7397</v>
      </c>
      <c r="E127" s="113">
        <v>124</v>
      </c>
      <c r="F127" s="113">
        <v>208</v>
      </c>
      <c r="G127" s="113">
        <v>210.6</v>
      </c>
      <c r="H127" s="113">
        <v>212.2</v>
      </c>
      <c r="I127" s="113">
        <v>4.8</v>
      </c>
      <c r="J127" s="113">
        <v>72.42</v>
      </c>
      <c r="K127" s="113">
        <v>-1.3</v>
      </c>
    </row>
    <row r="128" spans="2:11" x14ac:dyDescent="0.25">
      <c r="B128" s="189"/>
      <c r="C128" s="113">
        <v>197.857</v>
      </c>
      <c r="D128" s="113">
        <v>7398</v>
      </c>
      <c r="E128" s="113">
        <v>125</v>
      </c>
      <c r="F128" s="113">
        <v>207</v>
      </c>
      <c r="G128" s="113">
        <v>210.2</v>
      </c>
      <c r="H128" s="113">
        <v>211.9</v>
      </c>
      <c r="I128" s="113">
        <v>4.3</v>
      </c>
      <c r="J128" s="113">
        <v>72.42</v>
      </c>
      <c r="K128" s="113">
        <v>-1.5</v>
      </c>
    </row>
    <row r="129" spans="2:11" x14ac:dyDescent="0.25">
      <c r="B129" s="189"/>
      <c r="C129" s="113">
        <v>197.874</v>
      </c>
      <c r="D129" s="113">
        <v>7399</v>
      </c>
      <c r="E129" s="113">
        <v>126</v>
      </c>
      <c r="F129" s="113">
        <v>206</v>
      </c>
      <c r="G129" s="113">
        <v>209.4</v>
      </c>
      <c r="H129" s="113">
        <v>211.5</v>
      </c>
      <c r="I129" s="113">
        <v>3.2</v>
      </c>
      <c r="J129" s="113">
        <v>71.39</v>
      </c>
      <c r="K129" s="113">
        <v>-2</v>
      </c>
    </row>
    <row r="130" spans="2:11" x14ac:dyDescent="0.25">
      <c r="B130" s="189"/>
      <c r="C130" s="113">
        <v>197.892</v>
      </c>
      <c r="D130" s="113">
        <v>7400</v>
      </c>
      <c r="E130" s="113">
        <v>127</v>
      </c>
      <c r="F130" s="113">
        <v>206</v>
      </c>
      <c r="G130" s="113">
        <v>208.8</v>
      </c>
      <c r="H130" s="113">
        <v>211.1</v>
      </c>
      <c r="I130" s="113">
        <v>2.1</v>
      </c>
      <c r="J130" s="113">
        <v>71</v>
      </c>
      <c r="K130" s="113">
        <v>-2.5</v>
      </c>
    </row>
    <row r="131" spans="2:11" x14ac:dyDescent="0.25">
      <c r="B131" s="189"/>
      <c r="C131" s="113">
        <v>197.90899999999999</v>
      </c>
      <c r="D131" s="113">
        <v>7401</v>
      </c>
      <c r="E131" s="113">
        <v>128</v>
      </c>
      <c r="F131" s="113">
        <v>205</v>
      </c>
      <c r="G131" s="113">
        <v>208.5</v>
      </c>
      <c r="H131" s="113">
        <v>210.8</v>
      </c>
      <c r="I131" s="113">
        <v>2</v>
      </c>
      <c r="J131" s="113">
        <v>69.930000000000007</v>
      </c>
      <c r="K131" s="113">
        <v>-2.7</v>
      </c>
    </row>
    <row r="132" spans="2:11" x14ac:dyDescent="0.25">
      <c r="B132" s="189"/>
      <c r="C132" s="113">
        <v>197.92599999999999</v>
      </c>
      <c r="D132" s="113">
        <v>7402</v>
      </c>
      <c r="E132" s="113">
        <v>129</v>
      </c>
      <c r="F132" s="113">
        <v>205</v>
      </c>
      <c r="G132" s="113">
        <v>207.8</v>
      </c>
      <c r="H132" s="113">
        <v>210.4</v>
      </c>
      <c r="I132" s="113">
        <v>1.5</v>
      </c>
      <c r="J132" s="113">
        <v>69.239999999999995</v>
      </c>
      <c r="K132" s="113">
        <v>-3.6</v>
      </c>
    </row>
    <row r="133" spans="2:11" x14ac:dyDescent="0.25">
      <c r="B133" s="189"/>
      <c r="C133" s="113">
        <v>197.94300000000001</v>
      </c>
      <c r="D133" s="113">
        <v>7403</v>
      </c>
      <c r="E133" s="113">
        <v>130</v>
      </c>
      <c r="F133" s="113">
        <v>204</v>
      </c>
      <c r="G133" s="113">
        <v>206.6</v>
      </c>
      <c r="H133" s="113">
        <v>209.9</v>
      </c>
      <c r="I133" s="113">
        <v>1.3</v>
      </c>
      <c r="J133" s="113">
        <v>67.78</v>
      </c>
      <c r="K133" s="113">
        <v>-6.2</v>
      </c>
    </row>
    <row r="134" spans="2:11" x14ac:dyDescent="0.25">
      <c r="B134" s="189"/>
      <c r="C134" s="113">
        <v>197.96100000000001</v>
      </c>
      <c r="D134" s="113">
        <v>7404</v>
      </c>
      <c r="E134" s="113">
        <v>131</v>
      </c>
      <c r="F134" s="113">
        <v>203</v>
      </c>
      <c r="G134" s="113">
        <v>205.6</v>
      </c>
      <c r="H134" s="113">
        <v>209.4</v>
      </c>
      <c r="I134" s="113">
        <v>0.4</v>
      </c>
      <c r="J134" s="113">
        <v>67.069999999999993</v>
      </c>
      <c r="K134" s="113">
        <v>-8.8000000000000007</v>
      </c>
    </row>
    <row r="135" spans="2:11" x14ac:dyDescent="0.25">
      <c r="B135" s="189"/>
      <c r="C135" s="113">
        <v>197.97800000000001</v>
      </c>
      <c r="D135" s="113">
        <v>7405</v>
      </c>
      <c r="E135" s="113">
        <v>132</v>
      </c>
      <c r="F135" s="113">
        <v>202</v>
      </c>
      <c r="G135" s="113">
        <v>205.1</v>
      </c>
      <c r="H135" s="113">
        <v>209.1</v>
      </c>
      <c r="I135" s="113">
        <v>0.2</v>
      </c>
      <c r="J135" s="113">
        <v>66.040000000000006</v>
      </c>
      <c r="K135" s="113">
        <v>-10.1</v>
      </c>
    </row>
    <row r="136" spans="2:11" x14ac:dyDescent="0.25">
      <c r="B136" s="189"/>
      <c r="C136" s="113">
        <v>197.99600000000001</v>
      </c>
      <c r="D136" s="113">
        <v>7406</v>
      </c>
      <c r="E136" s="113">
        <v>133</v>
      </c>
      <c r="F136" s="113">
        <v>201</v>
      </c>
      <c r="G136" s="113">
        <v>204.3</v>
      </c>
      <c r="H136" s="113">
        <v>208.6</v>
      </c>
      <c r="I136" s="113">
        <v>-1.2</v>
      </c>
      <c r="J136" s="113">
        <v>67.73</v>
      </c>
      <c r="K136" s="113">
        <v>-12.8</v>
      </c>
    </row>
    <row r="137" spans="2:11" x14ac:dyDescent="0.25">
      <c r="B137" s="189"/>
      <c r="C137" s="113">
        <v>198.01300000000001</v>
      </c>
      <c r="D137" s="113">
        <v>7408</v>
      </c>
      <c r="E137" s="113">
        <v>134</v>
      </c>
      <c r="F137" s="113">
        <v>200</v>
      </c>
      <c r="G137" s="113">
        <v>203.4</v>
      </c>
      <c r="H137" s="113">
        <v>208.1</v>
      </c>
      <c r="I137" s="113">
        <v>-1.9</v>
      </c>
      <c r="J137" s="113">
        <v>71.64</v>
      </c>
      <c r="K137" s="113">
        <v>-9.6999999999999993</v>
      </c>
    </row>
    <row r="138" spans="2:11" x14ac:dyDescent="0.25">
      <c r="B138" s="189"/>
      <c r="C138" s="113">
        <v>198.03100000000001</v>
      </c>
      <c r="D138" s="113">
        <v>7408</v>
      </c>
      <c r="E138" s="113">
        <v>135</v>
      </c>
      <c r="F138" s="113">
        <v>199</v>
      </c>
      <c r="G138" s="113">
        <v>202.6</v>
      </c>
      <c r="H138" s="113">
        <v>207.6</v>
      </c>
      <c r="I138" s="113">
        <v>-2</v>
      </c>
      <c r="J138" s="113">
        <v>73.33</v>
      </c>
      <c r="K138" s="113">
        <v>-4.0999999999999996</v>
      </c>
    </row>
    <row r="139" spans="2:11" x14ac:dyDescent="0.25">
      <c r="B139" s="189"/>
      <c r="C139" s="113">
        <v>198.048</v>
      </c>
      <c r="D139" s="113">
        <v>7409</v>
      </c>
      <c r="E139" s="113">
        <v>136</v>
      </c>
      <c r="F139" s="113">
        <v>199</v>
      </c>
      <c r="G139" s="113">
        <v>202.4</v>
      </c>
      <c r="H139" s="113">
        <v>207.3</v>
      </c>
      <c r="I139" s="113">
        <v>-1.5</v>
      </c>
      <c r="J139" s="113">
        <v>72.900000000000006</v>
      </c>
      <c r="K139" s="113">
        <v>-1.3</v>
      </c>
    </row>
    <row r="140" spans="2:11" x14ac:dyDescent="0.25">
      <c r="B140" s="189"/>
      <c r="C140" s="113">
        <v>198.066</v>
      </c>
      <c r="D140" s="113">
        <v>7410</v>
      </c>
      <c r="E140" s="113">
        <v>137</v>
      </c>
      <c r="F140" s="113">
        <v>198</v>
      </c>
      <c r="G140" s="113">
        <v>203.1</v>
      </c>
      <c r="H140" s="113">
        <v>206.8</v>
      </c>
      <c r="I140" s="113">
        <v>-1.7</v>
      </c>
      <c r="J140" s="113">
        <v>74.05</v>
      </c>
      <c r="K140" s="113">
        <v>4.3</v>
      </c>
    </row>
    <row r="141" spans="2:11" x14ac:dyDescent="0.25">
      <c r="B141" s="189"/>
      <c r="C141" s="113">
        <v>198.084</v>
      </c>
      <c r="D141" s="113">
        <v>7411</v>
      </c>
      <c r="E141" s="113">
        <v>138</v>
      </c>
      <c r="F141" s="113">
        <v>197</v>
      </c>
      <c r="G141" s="113">
        <v>203</v>
      </c>
      <c r="H141" s="113">
        <v>206.3</v>
      </c>
      <c r="I141" s="113">
        <v>-2.9</v>
      </c>
      <c r="J141" s="113">
        <v>79.81</v>
      </c>
      <c r="K141" s="113">
        <v>8.1</v>
      </c>
    </row>
    <row r="142" spans="2:11" x14ac:dyDescent="0.25">
      <c r="B142" s="189"/>
      <c r="C142" s="113">
        <v>198.101</v>
      </c>
      <c r="D142" s="113">
        <v>7412</v>
      </c>
      <c r="E142" s="113">
        <v>139</v>
      </c>
      <c r="F142" s="113">
        <v>196</v>
      </c>
      <c r="G142" s="113">
        <v>199.7</v>
      </c>
      <c r="H142" s="113">
        <v>205.8</v>
      </c>
      <c r="I142" s="113">
        <v>-3.5</v>
      </c>
      <c r="J142" s="113">
        <v>85.81</v>
      </c>
      <c r="K142" s="113">
        <v>4.0999999999999996</v>
      </c>
    </row>
    <row r="143" spans="2:11" x14ac:dyDescent="0.25">
      <c r="B143" s="189"/>
      <c r="C143" s="113">
        <v>198.119</v>
      </c>
      <c r="D143" s="113">
        <v>7413</v>
      </c>
      <c r="E143" s="113">
        <v>140</v>
      </c>
      <c r="F143" s="113">
        <v>195</v>
      </c>
      <c r="G143" s="113">
        <v>198.1</v>
      </c>
      <c r="H143" s="113">
        <v>205.5</v>
      </c>
      <c r="I143" s="113">
        <v>-3.2</v>
      </c>
      <c r="J143" s="113">
        <v>85.99</v>
      </c>
      <c r="K143" s="113">
        <v>2.1</v>
      </c>
    </row>
    <row r="144" spans="2:11" x14ac:dyDescent="0.25">
      <c r="B144" s="189"/>
      <c r="C144" s="113">
        <v>198.137</v>
      </c>
      <c r="D144" s="113">
        <v>7414</v>
      </c>
      <c r="E144" s="113">
        <v>141</v>
      </c>
      <c r="F144" s="113">
        <v>195</v>
      </c>
      <c r="G144" s="113">
        <v>198.4</v>
      </c>
      <c r="H144" s="113">
        <v>205</v>
      </c>
      <c r="I144" s="113">
        <v>-1.5</v>
      </c>
      <c r="J144" s="113">
        <v>83.8</v>
      </c>
      <c r="K144" s="113">
        <v>-1.7</v>
      </c>
    </row>
    <row r="145" spans="2:11" x14ac:dyDescent="0.25">
      <c r="B145" s="189"/>
      <c r="C145" s="113">
        <v>198.15600000000001</v>
      </c>
      <c r="D145" s="113">
        <v>7415</v>
      </c>
      <c r="E145" s="113">
        <v>142</v>
      </c>
      <c r="F145" s="113">
        <v>195</v>
      </c>
      <c r="G145" s="113">
        <v>200.3</v>
      </c>
      <c r="H145" s="113">
        <v>204.4</v>
      </c>
      <c r="I145" s="113">
        <v>-1.3</v>
      </c>
      <c r="J145" s="113">
        <v>81.67</v>
      </c>
      <c r="K145" s="113">
        <v>-5.7</v>
      </c>
    </row>
    <row r="146" spans="2:11" x14ac:dyDescent="0.25">
      <c r="B146" s="189"/>
      <c r="C146" s="113">
        <v>198.17400000000001</v>
      </c>
      <c r="D146" s="113">
        <v>7417</v>
      </c>
      <c r="E146" s="113">
        <v>143</v>
      </c>
      <c r="F146" s="113">
        <v>194</v>
      </c>
      <c r="G146" s="113">
        <v>200.7</v>
      </c>
      <c r="H146" s="113">
        <v>203.8</v>
      </c>
      <c r="I146" s="113">
        <v>-3.3</v>
      </c>
      <c r="J146" s="113">
        <v>81.849999999999994</v>
      </c>
      <c r="K146" s="113">
        <v>-6.9</v>
      </c>
    </row>
    <row r="147" spans="2:11" x14ac:dyDescent="0.25">
      <c r="B147" s="189"/>
      <c r="C147" s="113">
        <v>198.191</v>
      </c>
      <c r="D147" s="113">
        <v>7417</v>
      </c>
      <c r="E147" s="113">
        <v>144</v>
      </c>
      <c r="F147" s="113">
        <v>192</v>
      </c>
      <c r="G147" s="113">
        <v>200.6</v>
      </c>
      <c r="H147" s="113">
        <v>203.2</v>
      </c>
      <c r="I147" s="113">
        <v>-3.7</v>
      </c>
      <c r="J147" s="113">
        <v>86.51</v>
      </c>
      <c r="K147" s="113">
        <v>-6.9</v>
      </c>
    </row>
    <row r="148" spans="2:11" x14ac:dyDescent="0.25">
      <c r="B148" s="189"/>
      <c r="C148" s="113">
        <v>198.209</v>
      </c>
      <c r="D148" s="113">
        <v>7418</v>
      </c>
      <c r="E148" s="113">
        <v>145</v>
      </c>
      <c r="F148" s="113">
        <v>191</v>
      </c>
      <c r="G148" s="113">
        <v>200.3</v>
      </c>
      <c r="H148" s="113">
        <v>202.9</v>
      </c>
      <c r="I148" s="113">
        <v>-3.7</v>
      </c>
      <c r="J148" s="113">
        <v>87.99</v>
      </c>
      <c r="K148" s="113">
        <v>-6.9</v>
      </c>
    </row>
    <row r="149" spans="2:11" x14ac:dyDescent="0.25">
      <c r="B149" s="189"/>
      <c r="C149" s="113">
        <v>198.227</v>
      </c>
      <c r="D149" s="113">
        <v>7419</v>
      </c>
      <c r="E149" s="113">
        <v>146</v>
      </c>
      <c r="F149" s="113">
        <v>189</v>
      </c>
      <c r="G149" s="113">
        <v>199.3</v>
      </c>
      <c r="H149" s="113">
        <v>202.3</v>
      </c>
      <c r="I149" s="113">
        <v>-3.4</v>
      </c>
      <c r="J149" s="113">
        <v>88.87</v>
      </c>
      <c r="K149" s="113">
        <v>-6.9</v>
      </c>
    </row>
    <row r="150" spans="2:11" x14ac:dyDescent="0.25">
      <c r="B150" s="189"/>
      <c r="C150" s="113">
        <v>198.245</v>
      </c>
      <c r="D150" s="113">
        <v>7420</v>
      </c>
      <c r="E150" s="113">
        <v>147</v>
      </c>
      <c r="F150" s="113">
        <v>188</v>
      </c>
      <c r="G150" s="113">
        <v>198.3</v>
      </c>
      <c r="H150" s="113">
        <v>201.6</v>
      </c>
      <c r="I150" s="113">
        <v>-3.5</v>
      </c>
      <c r="J150" s="113">
        <v>89.15</v>
      </c>
      <c r="K150" s="113">
        <v>-7.2</v>
      </c>
    </row>
    <row r="151" spans="2:11" x14ac:dyDescent="0.25">
      <c r="B151" s="189"/>
      <c r="C151" s="113">
        <v>198.26300000000001</v>
      </c>
      <c r="D151" s="113">
        <v>7421</v>
      </c>
      <c r="E151" s="113">
        <v>148</v>
      </c>
      <c r="F151" s="113">
        <v>190</v>
      </c>
      <c r="G151" s="113">
        <v>197.6</v>
      </c>
      <c r="H151" s="113">
        <v>201</v>
      </c>
      <c r="I151" s="113">
        <v>0.2</v>
      </c>
      <c r="J151" s="113">
        <v>91.64</v>
      </c>
      <c r="K151" s="113">
        <v>-8.6999999999999993</v>
      </c>
    </row>
    <row r="152" spans="2:11" x14ac:dyDescent="0.25">
      <c r="B152" s="189"/>
      <c r="C152" s="113">
        <v>198.28100000000001</v>
      </c>
      <c r="D152" s="113">
        <v>7422</v>
      </c>
      <c r="E152" s="113">
        <v>149</v>
      </c>
      <c r="F152" s="113">
        <v>192</v>
      </c>
      <c r="G152" s="113">
        <v>196.9</v>
      </c>
      <c r="H152" s="113">
        <v>200.3</v>
      </c>
      <c r="I152" s="113">
        <v>4.4000000000000004</v>
      </c>
      <c r="J152" s="113">
        <v>92.74</v>
      </c>
      <c r="K152" s="113">
        <v>-10.199999999999999</v>
      </c>
    </row>
    <row r="153" spans="2:11" x14ac:dyDescent="0.25">
      <c r="B153" s="189"/>
      <c r="C153" s="113">
        <v>198.29900000000001</v>
      </c>
      <c r="D153" s="113">
        <v>7423</v>
      </c>
      <c r="E153" s="113">
        <v>150</v>
      </c>
      <c r="F153" s="113">
        <v>192</v>
      </c>
      <c r="G153" s="113">
        <v>196.7</v>
      </c>
      <c r="H153" s="113">
        <v>200</v>
      </c>
      <c r="I153" s="113">
        <v>4.5</v>
      </c>
      <c r="J153" s="113">
        <v>95.2</v>
      </c>
      <c r="K153" s="113">
        <v>-11</v>
      </c>
    </row>
    <row r="154" spans="2:11" x14ac:dyDescent="0.25">
      <c r="B154" s="189"/>
      <c r="C154" s="113">
        <v>198.31700000000001</v>
      </c>
      <c r="D154" s="113">
        <v>7424</v>
      </c>
      <c r="E154" s="113">
        <v>151</v>
      </c>
      <c r="F154" s="113">
        <v>192</v>
      </c>
      <c r="G154" s="113">
        <v>196.2</v>
      </c>
      <c r="H154" s="113">
        <v>199.3</v>
      </c>
      <c r="I154" s="113">
        <v>2.9</v>
      </c>
      <c r="J154" s="113">
        <v>96.12</v>
      </c>
      <c r="K154" s="113">
        <v>-12.5</v>
      </c>
    </row>
    <row r="155" spans="2:11" x14ac:dyDescent="0.25">
      <c r="B155" s="189"/>
      <c r="C155" s="113">
        <v>198.33600000000001</v>
      </c>
      <c r="D155" s="113">
        <v>7425</v>
      </c>
      <c r="E155" s="113">
        <v>152</v>
      </c>
      <c r="F155" s="113">
        <v>191</v>
      </c>
      <c r="G155" s="113">
        <v>195.7</v>
      </c>
      <c r="H155" s="113">
        <v>198.6</v>
      </c>
      <c r="I155" s="113">
        <v>0.6</v>
      </c>
      <c r="J155" s="113">
        <v>96.05</v>
      </c>
      <c r="K155" s="113">
        <v>-15.3</v>
      </c>
    </row>
    <row r="156" spans="2:11" x14ac:dyDescent="0.25">
      <c r="B156" s="189"/>
      <c r="C156" s="113">
        <v>198.35400000000001</v>
      </c>
      <c r="D156" s="113">
        <v>7426</v>
      </c>
      <c r="E156" s="113">
        <v>153</v>
      </c>
      <c r="F156" s="113">
        <v>190</v>
      </c>
      <c r="G156" s="113">
        <v>195</v>
      </c>
      <c r="H156" s="113">
        <v>198</v>
      </c>
      <c r="I156" s="113">
        <v>-0.5</v>
      </c>
      <c r="J156" s="113">
        <v>94.6</v>
      </c>
      <c r="K156" s="113">
        <v>-18.7</v>
      </c>
    </row>
    <row r="157" spans="2:11" x14ac:dyDescent="0.25">
      <c r="B157" s="189"/>
      <c r="C157" s="113">
        <v>198.37299999999999</v>
      </c>
      <c r="D157" s="113">
        <v>7428</v>
      </c>
      <c r="E157" s="113">
        <v>154</v>
      </c>
      <c r="F157" s="113">
        <v>190</v>
      </c>
      <c r="G157" s="113">
        <v>193.3</v>
      </c>
      <c r="H157" s="113">
        <v>197.4</v>
      </c>
      <c r="I157" s="113">
        <v>-1.4</v>
      </c>
      <c r="J157" s="113">
        <v>94.65</v>
      </c>
      <c r="K157" s="113">
        <v>-22.1</v>
      </c>
    </row>
    <row r="158" spans="2:11" x14ac:dyDescent="0.25">
      <c r="B158" s="189"/>
      <c r="C158" s="113">
        <v>198.39099999999999</v>
      </c>
      <c r="D158" s="113">
        <v>7428</v>
      </c>
      <c r="E158" s="113">
        <v>155</v>
      </c>
      <c r="F158" s="113">
        <v>189</v>
      </c>
      <c r="G158" s="113">
        <v>191.1</v>
      </c>
      <c r="H158" s="113">
        <v>196.7</v>
      </c>
      <c r="I158" s="113">
        <v>-0.2</v>
      </c>
      <c r="J158" s="113">
        <v>94.65</v>
      </c>
      <c r="K158" s="113">
        <v>-25.5</v>
      </c>
    </row>
    <row r="159" spans="2:11" x14ac:dyDescent="0.25">
      <c r="B159" s="189"/>
      <c r="C159" s="113">
        <v>198.41</v>
      </c>
      <c r="D159" s="113">
        <v>7429</v>
      </c>
      <c r="E159" s="113">
        <v>156</v>
      </c>
      <c r="F159" s="113">
        <v>189</v>
      </c>
      <c r="G159" s="113">
        <v>190.4</v>
      </c>
      <c r="H159" s="113">
        <v>196.1</v>
      </c>
      <c r="I159" s="113">
        <v>1.2</v>
      </c>
      <c r="J159" s="113">
        <v>92.8</v>
      </c>
      <c r="K159" s="113">
        <v>-23.9</v>
      </c>
    </row>
    <row r="160" spans="2:11" x14ac:dyDescent="0.25">
      <c r="B160" s="189"/>
      <c r="C160" s="113">
        <v>198.429</v>
      </c>
      <c r="D160" s="113">
        <v>7430</v>
      </c>
      <c r="E160" s="113">
        <v>157</v>
      </c>
      <c r="F160" s="113">
        <v>189</v>
      </c>
      <c r="G160" s="113">
        <v>190.4</v>
      </c>
      <c r="H160" s="113">
        <v>195.8</v>
      </c>
      <c r="I160" s="113">
        <v>1.4</v>
      </c>
      <c r="J160" s="113">
        <v>91.76</v>
      </c>
      <c r="K160" s="113">
        <v>-21.9</v>
      </c>
    </row>
    <row r="161" spans="2:11" x14ac:dyDescent="0.25">
      <c r="B161" s="189"/>
      <c r="C161" s="113">
        <v>198.447</v>
      </c>
      <c r="D161" s="113">
        <v>7431</v>
      </c>
      <c r="E161" s="113">
        <v>158</v>
      </c>
      <c r="F161" s="113">
        <v>189</v>
      </c>
      <c r="G161" s="113">
        <v>190.1</v>
      </c>
      <c r="H161" s="113">
        <v>195.2</v>
      </c>
      <c r="I161" s="113">
        <v>-0.3</v>
      </c>
      <c r="J161" s="113">
        <v>91.38</v>
      </c>
      <c r="K161" s="113">
        <v>-17.899999999999999</v>
      </c>
    </row>
    <row r="162" spans="2:11" x14ac:dyDescent="0.25">
      <c r="B162" s="189"/>
      <c r="C162" s="113">
        <v>198.46600000000001</v>
      </c>
      <c r="D162" s="113">
        <v>7432</v>
      </c>
      <c r="E162" s="113">
        <v>159</v>
      </c>
      <c r="F162" s="113">
        <v>187</v>
      </c>
      <c r="G162" s="113">
        <v>188.8</v>
      </c>
      <c r="H162" s="113">
        <v>194.6</v>
      </c>
      <c r="I162" s="113">
        <v>-2.4</v>
      </c>
      <c r="J162" s="113">
        <v>91.38</v>
      </c>
      <c r="K162" s="113">
        <v>-13.9</v>
      </c>
    </row>
    <row r="163" spans="2:11" x14ac:dyDescent="0.25">
      <c r="B163" s="189"/>
      <c r="C163" s="113">
        <v>198.48500000000001</v>
      </c>
      <c r="D163" s="113">
        <v>7433</v>
      </c>
      <c r="E163" s="113">
        <v>160</v>
      </c>
      <c r="F163" s="113">
        <v>186</v>
      </c>
      <c r="G163" s="113">
        <v>187.8</v>
      </c>
      <c r="H163" s="113">
        <v>194.1</v>
      </c>
      <c r="I163" s="113">
        <v>-3.7</v>
      </c>
      <c r="J163" s="113">
        <v>90.46</v>
      </c>
      <c r="K163" s="113">
        <v>-9.9</v>
      </c>
    </row>
    <row r="164" spans="2:11" x14ac:dyDescent="0.25">
      <c r="B164" s="189"/>
      <c r="C164" s="113">
        <v>198.50399999999999</v>
      </c>
      <c r="D164" s="113">
        <v>7434</v>
      </c>
      <c r="E164" s="113">
        <v>161</v>
      </c>
      <c r="F164" s="113">
        <v>185</v>
      </c>
      <c r="G164" s="113">
        <v>188.1</v>
      </c>
      <c r="H164" s="113">
        <v>193.5</v>
      </c>
      <c r="I164" s="113">
        <v>-3.7</v>
      </c>
      <c r="J164" s="113">
        <v>87.86</v>
      </c>
      <c r="K164" s="113">
        <v>-6.1</v>
      </c>
    </row>
    <row r="165" spans="2:11" x14ac:dyDescent="0.25">
      <c r="B165" s="189"/>
      <c r="C165" s="113">
        <v>198.524</v>
      </c>
      <c r="D165" s="113">
        <v>7435</v>
      </c>
      <c r="E165" s="113">
        <v>162</v>
      </c>
      <c r="F165" s="113">
        <v>184</v>
      </c>
      <c r="G165" s="113">
        <v>188.1</v>
      </c>
      <c r="H165" s="113">
        <v>192.9</v>
      </c>
      <c r="I165" s="113">
        <v>-3.7</v>
      </c>
      <c r="J165" s="113">
        <v>85.53</v>
      </c>
      <c r="K165" s="113">
        <v>-2.4</v>
      </c>
    </row>
    <row r="166" spans="2:11" x14ac:dyDescent="0.25">
      <c r="B166" s="189"/>
      <c r="C166" s="113">
        <v>198.542</v>
      </c>
      <c r="D166" s="113">
        <v>7436</v>
      </c>
      <c r="E166" s="113">
        <v>163</v>
      </c>
      <c r="F166" s="113">
        <v>185</v>
      </c>
      <c r="G166" s="113">
        <v>186.9</v>
      </c>
      <c r="H166" s="113">
        <v>192.4</v>
      </c>
      <c r="I166" s="113">
        <v>-3.7</v>
      </c>
      <c r="J166" s="113">
        <v>85.81</v>
      </c>
      <c r="K166" s="113">
        <v>1.4</v>
      </c>
    </row>
    <row r="167" spans="2:11" x14ac:dyDescent="0.25">
      <c r="B167" s="189"/>
      <c r="C167" s="113">
        <v>198.56200000000001</v>
      </c>
      <c r="D167" s="113">
        <v>7437</v>
      </c>
      <c r="E167" s="113">
        <v>164</v>
      </c>
      <c r="F167" s="113">
        <v>186</v>
      </c>
      <c r="G167" s="113">
        <v>185.9</v>
      </c>
      <c r="H167" s="113">
        <v>191.9</v>
      </c>
      <c r="I167" s="113">
        <v>-3</v>
      </c>
      <c r="J167" s="113">
        <v>86.04</v>
      </c>
      <c r="K167" s="113">
        <v>4.4000000000000004</v>
      </c>
    </row>
    <row r="168" spans="2:11" x14ac:dyDescent="0.25">
      <c r="B168" s="189"/>
      <c r="C168" s="113">
        <v>198.58099999999999</v>
      </c>
      <c r="D168" s="113">
        <v>7438</v>
      </c>
      <c r="E168" s="113">
        <v>165</v>
      </c>
      <c r="F168" s="113">
        <v>186</v>
      </c>
      <c r="G168" s="113">
        <v>185.6</v>
      </c>
      <c r="H168" s="113">
        <v>191.4</v>
      </c>
      <c r="I168" s="113">
        <v>-2.6</v>
      </c>
      <c r="J168" s="113">
        <v>85.96</v>
      </c>
      <c r="K168" s="113">
        <v>4.4000000000000004</v>
      </c>
    </row>
    <row r="169" spans="2:11" x14ac:dyDescent="0.25">
      <c r="B169" s="189"/>
      <c r="C169" s="113">
        <v>198.6</v>
      </c>
      <c r="D169" s="113">
        <v>7439</v>
      </c>
      <c r="E169" s="113">
        <v>166</v>
      </c>
      <c r="F169" s="113">
        <v>186</v>
      </c>
      <c r="G169" s="113">
        <v>185.2</v>
      </c>
      <c r="H169" s="113">
        <v>191</v>
      </c>
      <c r="I169" s="113">
        <v>-2.6</v>
      </c>
      <c r="J169" s="113">
        <v>86.03</v>
      </c>
      <c r="K169" s="113">
        <v>4.4000000000000004</v>
      </c>
    </row>
    <row r="170" spans="2:11" x14ac:dyDescent="0.25">
      <c r="B170" s="189"/>
      <c r="C170" s="113">
        <v>198.619</v>
      </c>
      <c r="D170" s="113">
        <v>7440</v>
      </c>
      <c r="E170" s="113">
        <v>167</v>
      </c>
      <c r="F170" s="113">
        <v>185</v>
      </c>
      <c r="G170" s="113">
        <v>184.8</v>
      </c>
      <c r="H170" s="113">
        <v>190.7</v>
      </c>
      <c r="I170" s="113">
        <v>-2.9</v>
      </c>
      <c r="J170" s="113">
        <v>87.13</v>
      </c>
      <c r="K170" s="113">
        <v>4.4000000000000004</v>
      </c>
    </row>
    <row r="171" spans="2:11" x14ac:dyDescent="0.25">
      <c r="B171" s="189"/>
      <c r="C171" s="113">
        <v>198.63900000000001</v>
      </c>
      <c r="D171" s="113">
        <v>7441</v>
      </c>
      <c r="E171" s="113">
        <v>168</v>
      </c>
      <c r="F171" s="113">
        <v>184</v>
      </c>
      <c r="G171" s="113">
        <v>184</v>
      </c>
      <c r="H171" s="113">
        <v>190.3</v>
      </c>
      <c r="I171" s="113">
        <v>-3.3</v>
      </c>
      <c r="J171" s="113">
        <v>88.64</v>
      </c>
      <c r="K171" s="113">
        <v>4.4000000000000004</v>
      </c>
    </row>
    <row r="172" spans="2:11" x14ac:dyDescent="0.25">
      <c r="B172" s="189"/>
      <c r="C172" s="113">
        <v>198.65899999999999</v>
      </c>
      <c r="D172" s="113">
        <v>7442</v>
      </c>
      <c r="E172" s="113">
        <v>169</v>
      </c>
      <c r="F172" s="113">
        <v>182</v>
      </c>
      <c r="G172" s="113">
        <v>183.6</v>
      </c>
      <c r="H172" s="113">
        <v>189.8</v>
      </c>
      <c r="I172" s="113">
        <v>-3.7</v>
      </c>
      <c r="J172" s="113">
        <v>89.07</v>
      </c>
      <c r="K172" s="113">
        <v>2.1</v>
      </c>
    </row>
    <row r="173" spans="2:11" x14ac:dyDescent="0.25">
      <c r="B173" s="189"/>
      <c r="C173" s="113">
        <v>198.678</v>
      </c>
      <c r="D173" s="113">
        <v>7443</v>
      </c>
      <c r="E173" s="113">
        <v>170</v>
      </c>
      <c r="F173" s="113">
        <v>181</v>
      </c>
      <c r="G173" s="113">
        <v>183.4</v>
      </c>
      <c r="H173" s="113">
        <v>189.3</v>
      </c>
      <c r="I173" s="113">
        <v>-3</v>
      </c>
      <c r="J173" s="113">
        <v>88.19</v>
      </c>
      <c r="K173" s="113">
        <v>-1.2</v>
      </c>
    </row>
    <row r="174" spans="2:11" x14ac:dyDescent="0.25">
      <c r="B174" s="189"/>
      <c r="C174" s="113">
        <v>198.697</v>
      </c>
      <c r="D174" s="113">
        <v>7444</v>
      </c>
      <c r="E174" s="113">
        <v>171</v>
      </c>
      <c r="F174" s="113">
        <v>179</v>
      </c>
      <c r="G174" s="113">
        <v>183.1</v>
      </c>
      <c r="H174" s="113">
        <v>188.8</v>
      </c>
      <c r="I174" s="113">
        <v>-2.2999999999999998</v>
      </c>
      <c r="J174" s="113">
        <v>90.69</v>
      </c>
      <c r="K174" s="113">
        <v>-4.5</v>
      </c>
    </row>
    <row r="175" spans="2:11" x14ac:dyDescent="0.25">
      <c r="B175" s="189"/>
      <c r="C175" s="113">
        <v>198.71700000000001</v>
      </c>
      <c r="D175" s="113">
        <v>7445</v>
      </c>
      <c r="E175" s="113">
        <v>172</v>
      </c>
      <c r="F175" s="113">
        <v>176</v>
      </c>
      <c r="G175" s="113">
        <v>182.9</v>
      </c>
      <c r="H175" s="113">
        <v>188.3</v>
      </c>
      <c r="I175" s="113">
        <v>-1.4</v>
      </c>
      <c r="J175" s="113">
        <v>92.26</v>
      </c>
      <c r="K175" s="113">
        <v>-7.8</v>
      </c>
    </row>
    <row r="176" spans="2:11" x14ac:dyDescent="0.25">
      <c r="B176" s="189"/>
      <c r="C176" s="113">
        <v>198.73699999999999</v>
      </c>
      <c r="D176" s="113">
        <v>7446</v>
      </c>
      <c r="E176" s="113">
        <v>173</v>
      </c>
      <c r="F176" s="113">
        <v>175</v>
      </c>
      <c r="G176" s="113">
        <v>181.9</v>
      </c>
      <c r="H176" s="113">
        <v>187.8</v>
      </c>
      <c r="I176" s="113">
        <v>-1.4</v>
      </c>
      <c r="J176" s="113">
        <v>96.68</v>
      </c>
      <c r="K176" s="113">
        <v>-10.7</v>
      </c>
    </row>
    <row r="177" spans="2:11" x14ac:dyDescent="0.25">
      <c r="B177" s="189"/>
      <c r="C177" s="113">
        <v>198.756</v>
      </c>
      <c r="D177" s="113">
        <v>7447</v>
      </c>
      <c r="E177" s="113">
        <v>174</v>
      </c>
      <c r="F177" s="113">
        <v>174</v>
      </c>
      <c r="G177" s="113">
        <v>180.6</v>
      </c>
      <c r="H177" s="113">
        <v>187.3</v>
      </c>
      <c r="I177" s="113">
        <v>-1.4</v>
      </c>
      <c r="J177" s="113">
        <v>98.13</v>
      </c>
      <c r="K177" s="113">
        <v>-13.5</v>
      </c>
    </row>
    <row r="178" spans="2:11" x14ac:dyDescent="0.25">
      <c r="B178" s="189"/>
      <c r="C178" s="113">
        <v>198.77600000000001</v>
      </c>
      <c r="D178" s="113">
        <v>7448</v>
      </c>
      <c r="E178" s="113">
        <v>175</v>
      </c>
      <c r="F178" s="113">
        <v>174</v>
      </c>
      <c r="G178" s="113">
        <v>179.7</v>
      </c>
      <c r="H178" s="113">
        <v>186.7</v>
      </c>
      <c r="I178" s="113">
        <v>-1.4</v>
      </c>
      <c r="J178" s="113">
        <v>98.1</v>
      </c>
      <c r="K178" s="113">
        <v>-16.399999999999999</v>
      </c>
    </row>
    <row r="179" spans="2:11" x14ac:dyDescent="0.25">
      <c r="B179" s="189"/>
      <c r="C179" s="113">
        <v>198.79599999999999</v>
      </c>
      <c r="D179" s="113">
        <v>7449</v>
      </c>
      <c r="E179" s="113">
        <v>176</v>
      </c>
      <c r="F179" s="113">
        <v>173</v>
      </c>
      <c r="G179" s="113">
        <v>178.9</v>
      </c>
      <c r="H179" s="113">
        <v>186.2</v>
      </c>
      <c r="I179" s="113">
        <v>-1.3</v>
      </c>
      <c r="J179" s="113">
        <v>98.07</v>
      </c>
      <c r="K179" s="113">
        <v>-19.2</v>
      </c>
    </row>
    <row r="180" spans="2:11" x14ac:dyDescent="0.25">
      <c r="B180" s="189"/>
      <c r="C180" s="113">
        <v>198.816</v>
      </c>
      <c r="D180" s="113">
        <v>7450</v>
      </c>
      <c r="E180" s="113">
        <v>177</v>
      </c>
      <c r="F180" s="113">
        <v>172</v>
      </c>
      <c r="G180" s="113">
        <v>177.6</v>
      </c>
      <c r="H180" s="113">
        <v>185.7</v>
      </c>
      <c r="I180" s="113">
        <v>-2.4</v>
      </c>
      <c r="J180" s="113">
        <v>97.84</v>
      </c>
      <c r="K180" s="113">
        <v>-19.7</v>
      </c>
    </row>
    <row r="181" spans="2:11" x14ac:dyDescent="0.25">
      <c r="B181" s="189"/>
      <c r="C181" s="113">
        <v>198.83600000000001</v>
      </c>
      <c r="D181" s="113">
        <v>7451</v>
      </c>
      <c r="E181" s="113">
        <v>178</v>
      </c>
      <c r="F181" s="113">
        <v>171</v>
      </c>
      <c r="G181" s="113">
        <v>175.9</v>
      </c>
      <c r="H181" s="113">
        <v>185.2</v>
      </c>
      <c r="I181" s="113">
        <v>-3.1</v>
      </c>
      <c r="J181" s="113">
        <v>97.79</v>
      </c>
      <c r="K181" s="113">
        <v>-19.100000000000001</v>
      </c>
    </row>
    <row r="182" spans="2:11" x14ac:dyDescent="0.25">
      <c r="B182" s="189"/>
      <c r="C182" s="113">
        <v>198.857</v>
      </c>
      <c r="D182" s="113">
        <v>7452</v>
      </c>
      <c r="E182" s="113">
        <v>179</v>
      </c>
      <c r="F182" s="113">
        <v>170</v>
      </c>
      <c r="G182" s="113">
        <v>174.1</v>
      </c>
      <c r="H182" s="113">
        <v>184.5</v>
      </c>
      <c r="I182" s="113">
        <v>-3.7</v>
      </c>
      <c r="J182" s="113">
        <v>96.51</v>
      </c>
      <c r="K182" s="113">
        <v>-18.5</v>
      </c>
    </row>
    <row r="183" spans="2:11" x14ac:dyDescent="0.25">
      <c r="B183" s="189"/>
      <c r="C183" s="113">
        <v>198.87700000000001</v>
      </c>
      <c r="D183" s="113">
        <v>7453</v>
      </c>
      <c r="E183" s="113">
        <v>180</v>
      </c>
      <c r="F183" s="113">
        <v>169</v>
      </c>
      <c r="G183" s="113">
        <v>172.1</v>
      </c>
      <c r="H183" s="113">
        <v>183.9</v>
      </c>
      <c r="I183" s="113">
        <v>-3.8</v>
      </c>
      <c r="J183" s="113">
        <v>94.78</v>
      </c>
      <c r="K183" s="113">
        <v>-18</v>
      </c>
    </row>
    <row r="184" spans="2:11" x14ac:dyDescent="0.25">
      <c r="B184" s="189"/>
      <c r="C184" s="113">
        <v>198.898</v>
      </c>
      <c r="D184" s="113">
        <v>7454</v>
      </c>
      <c r="E184" s="113">
        <v>181</v>
      </c>
      <c r="F184" s="113">
        <v>167</v>
      </c>
      <c r="G184" s="113">
        <v>172.2</v>
      </c>
      <c r="H184" s="113">
        <v>183.2</v>
      </c>
      <c r="I184" s="113">
        <v>-3.8</v>
      </c>
      <c r="J184" s="113">
        <v>93.49</v>
      </c>
      <c r="K184" s="113">
        <v>-17.2</v>
      </c>
    </row>
    <row r="185" spans="2:11" x14ac:dyDescent="0.25">
      <c r="B185" s="189"/>
      <c r="C185" s="113">
        <v>198.91900000000001</v>
      </c>
      <c r="D185" s="113">
        <v>7455</v>
      </c>
      <c r="E185" s="113">
        <v>182</v>
      </c>
      <c r="F185" s="113">
        <v>165</v>
      </c>
      <c r="G185" s="113">
        <v>173.2</v>
      </c>
      <c r="H185" s="113">
        <v>182.6</v>
      </c>
      <c r="I185" s="113">
        <v>-3.8</v>
      </c>
      <c r="J185" s="113">
        <v>90.31</v>
      </c>
      <c r="K185" s="113">
        <v>-16.3</v>
      </c>
    </row>
    <row r="186" spans="2:11" x14ac:dyDescent="0.25">
      <c r="B186" s="189"/>
      <c r="C186" s="113">
        <v>198.94</v>
      </c>
      <c r="D186" s="113">
        <v>7456</v>
      </c>
      <c r="E186" s="113">
        <v>183</v>
      </c>
      <c r="F186" s="113">
        <v>162</v>
      </c>
      <c r="G186" s="113">
        <v>173.3</v>
      </c>
      <c r="H186" s="113">
        <v>181.6</v>
      </c>
      <c r="I186" s="113">
        <v>-3.8</v>
      </c>
      <c r="J186" s="113">
        <v>90.49</v>
      </c>
      <c r="K186" s="113">
        <v>-15</v>
      </c>
    </row>
    <row r="187" spans="2:11" x14ac:dyDescent="0.25">
      <c r="B187" s="189"/>
      <c r="C187" s="113">
        <v>198.96100000000001</v>
      </c>
      <c r="D187" s="113">
        <v>7457</v>
      </c>
      <c r="E187" s="113">
        <v>184</v>
      </c>
      <c r="F187" s="113">
        <v>160</v>
      </c>
      <c r="G187" s="113">
        <v>173.1</v>
      </c>
      <c r="H187" s="113">
        <v>181</v>
      </c>
      <c r="I187" s="113">
        <v>-3.8</v>
      </c>
      <c r="J187" s="113">
        <v>94.08</v>
      </c>
      <c r="K187" s="113">
        <v>-14.3</v>
      </c>
    </row>
    <row r="188" spans="2:11" x14ac:dyDescent="0.25">
      <c r="B188" s="189"/>
      <c r="C188" s="113">
        <v>198.98099999999999</v>
      </c>
      <c r="D188" s="113">
        <v>7458</v>
      </c>
      <c r="E188" s="113">
        <v>185</v>
      </c>
      <c r="F188" s="113">
        <v>158</v>
      </c>
      <c r="G188" s="113">
        <v>172.4</v>
      </c>
      <c r="H188" s="113">
        <v>180.4</v>
      </c>
      <c r="I188" s="113">
        <v>-3.8</v>
      </c>
      <c r="J188" s="113">
        <v>95.2</v>
      </c>
      <c r="K188" s="113">
        <v>-14.3</v>
      </c>
    </row>
    <row r="189" spans="2:11" x14ac:dyDescent="0.25">
      <c r="B189" s="189"/>
      <c r="C189" s="113">
        <v>199.00200000000001</v>
      </c>
      <c r="D189" s="113">
        <v>7459</v>
      </c>
      <c r="E189" s="113">
        <v>186</v>
      </c>
      <c r="F189" s="113">
        <v>156</v>
      </c>
      <c r="G189" s="113">
        <v>171.9</v>
      </c>
      <c r="H189" s="113">
        <v>179.8</v>
      </c>
      <c r="I189" s="113">
        <v>-3.8</v>
      </c>
      <c r="J189" s="113">
        <v>95.22</v>
      </c>
      <c r="K189" s="113">
        <v>-14.3</v>
      </c>
    </row>
    <row r="190" spans="2:11" x14ac:dyDescent="0.25">
      <c r="B190" s="189"/>
      <c r="C190" s="113">
        <v>199.023</v>
      </c>
      <c r="D190" s="113">
        <v>7460</v>
      </c>
      <c r="E190" s="113">
        <v>187</v>
      </c>
      <c r="F190" s="113">
        <v>154</v>
      </c>
      <c r="G190" s="113">
        <v>171.6</v>
      </c>
      <c r="H190" s="113">
        <v>179.3</v>
      </c>
      <c r="I190" s="113">
        <v>-3.8</v>
      </c>
      <c r="J190" s="113">
        <v>95.24</v>
      </c>
      <c r="K190" s="113">
        <v>-14.3</v>
      </c>
    </row>
    <row r="191" spans="2:11" x14ac:dyDescent="0.25">
      <c r="B191" s="189"/>
      <c r="C191" s="113">
        <v>199.04400000000001</v>
      </c>
      <c r="D191" s="113">
        <v>7461</v>
      </c>
      <c r="E191" s="113">
        <v>188</v>
      </c>
      <c r="F191" s="113">
        <v>153</v>
      </c>
      <c r="G191" s="113">
        <v>171.1</v>
      </c>
      <c r="H191" s="113">
        <v>178.6</v>
      </c>
      <c r="I191" s="113">
        <v>-3.8</v>
      </c>
      <c r="J191" s="113">
        <v>95.69</v>
      </c>
      <c r="K191" s="113">
        <v>-14.3</v>
      </c>
    </row>
    <row r="192" spans="2:11" x14ac:dyDescent="0.25">
      <c r="B192" s="189"/>
      <c r="C192" s="113">
        <v>199.06399999999999</v>
      </c>
      <c r="D192" s="113">
        <v>7462</v>
      </c>
      <c r="E192" s="113">
        <v>189</v>
      </c>
      <c r="F192" s="113">
        <v>154</v>
      </c>
      <c r="G192" s="113">
        <v>170.5</v>
      </c>
      <c r="H192" s="113">
        <v>178</v>
      </c>
      <c r="I192" s="113">
        <v>-3.5</v>
      </c>
      <c r="J192" s="113">
        <v>96.04</v>
      </c>
      <c r="K192" s="113">
        <v>-14.1</v>
      </c>
    </row>
    <row r="193" spans="2:11" x14ac:dyDescent="0.25">
      <c r="B193" s="189"/>
      <c r="C193" s="113">
        <v>199.08600000000001</v>
      </c>
      <c r="D193" s="113">
        <v>7463</v>
      </c>
      <c r="E193" s="113">
        <v>190</v>
      </c>
      <c r="F193" s="113">
        <v>154</v>
      </c>
      <c r="G193" s="113">
        <v>169.6</v>
      </c>
      <c r="H193" s="113">
        <v>177.3</v>
      </c>
      <c r="I193" s="113">
        <v>-2.4</v>
      </c>
      <c r="J193" s="113">
        <v>98.27</v>
      </c>
      <c r="K193" s="113">
        <v>-13.9</v>
      </c>
    </row>
    <row r="194" spans="2:11" x14ac:dyDescent="0.25">
      <c r="B194" s="189"/>
      <c r="C194" s="113">
        <v>199.107</v>
      </c>
      <c r="D194" s="113">
        <v>7464</v>
      </c>
      <c r="E194" s="113">
        <v>191</v>
      </c>
      <c r="F194" s="113">
        <v>155</v>
      </c>
      <c r="G194" s="113">
        <v>168.2</v>
      </c>
      <c r="H194" s="113">
        <v>176.7</v>
      </c>
      <c r="I194" s="113">
        <v>-1.7</v>
      </c>
      <c r="J194" s="113">
        <v>100.76</v>
      </c>
      <c r="K194" s="113">
        <v>-13.7</v>
      </c>
    </row>
    <row r="195" spans="2:11" x14ac:dyDescent="0.25">
      <c r="B195" s="189"/>
      <c r="C195" s="113">
        <v>199.12799999999999</v>
      </c>
      <c r="D195" s="113">
        <v>7465</v>
      </c>
      <c r="E195" s="113">
        <v>192</v>
      </c>
      <c r="F195" s="113">
        <v>156</v>
      </c>
      <c r="G195" s="113">
        <v>166.9</v>
      </c>
      <c r="H195" s="113">
        <v>176</v>
      </c>
      <c r="I195" s="113">
        <v>-2.1</v>
      </c>
      <c r="J195" s="113">
        <v>103.3</v>
      </c>
      <c r="K195" s="113">
        <v>-13.1</v>
      </c>
    </row>
    <row r="196" spans="2:11" x14ac:dyDescent="0.25">
      <c r="B196" s="189"/>
      <c r="C196" s="113">
        <v>199.149</v>
      </c>
      <c r="D196" s="113">
        <v>7466</v>
      </c>
      <c r="E196" s="113">
        <v>193</v>
      </c>
      <c r="F196" s="113">
        <v>156</v>
      </c>
      <c r="G196" s="113">
        <v>166.3</v>
      </c>
      <c r="H196" s="113">
        <v>175.3</v>
      </c>
      <c r="I196" s="113">
        <v>-2.4</v>
      </c>
      <c r="J196" s="113">
        <v>102.85</v>
      </c>
      <c r="K196" s="113">
        <v>-10.9</v>
      </c>
    </row>
    <row r="197" spans="2:11" x14ac:dyDescent="0.25">
      <c r="B197" s="189"/>
      <c r="C197" s="113">
        <v>199.17099999999999</v>
      </c>
      <c r="D197" s="113">
        <v>7467</v>
      </c>
      <c r="E197" s="113">
        <v>194</v>
      </c>
      <c r="F197" s="113">
        <v>155</v>
      </c>
      <c r="G197" s="113">
        <v>165.7</v>
      </c>
      <c r="H197" s="113">
        <v>174.2</v>
      </c>
      <c r="I197" s="113">
        <v>-2.9</v>
      </c>
      <c r="J197" s="113">
        <v>98.77</v>
      </c>
      <c r="K197" s="113">
        <v>-7.5</v>
      </c>
    </row>
    <row r="198" spans="2:11" x14ac:dyDescent="0.25">
      <c r="B198" s="189"/>
      <c r="C198" s="113">
        <v>199.19200000000001</v>
      </c>
      <c r="D198" s="113">
        <v>7468</v>
      </c>
      <c r="E198" s="113">
        <v>195</v>
      </c>
      <c r="F198" s="113">
        <v>154</v>
      </c>
      <c r="G198" s="113">
        <v>165.5</v>
      </c>
      <c r="H198" s="113">
        <v>173.4</v>
      </c>
      <c r="I198" s="113">
        <v>-3.7</v>
      </c>
      <c r="J198" s="113">
        <v>98.77</v>
      </c>
      <c r="K198" s="113">
        <v>-5.0999999999999996</v>
      </c>
    </row>
    <row r="199" spans="2:11" x14ac:dyDescent="0.25">
      <c r="B199" s="189"/>
      <c r="C199" s="113">
        <v>199.214</v>
      </c>
      <c r="D199" s="113">
        <v>7469</v>
      </c>
      <c r="E199" s="113">
        <v>196</v>
      </c>
      <c r="F199" s="113">
        <v>153</v>
      </c>
      <c r="G199" s="113">
        <v>164.5</v>
      </c>
      <c r="H199" s="113">
        <v>172.7</v>
      </c>
      <c r="I199" s="113">
        <v>-3.7</v>
      </c>
      <c r="J199" s="113">
        <v>98.65</v>
      </c>
      <c r="K199" s="113">
        <v>-5.9</v>
      </c>
    </row>
    <row r="200" spans="2:11" x14ac:dyDescent="0.25">
      <c r="B200" s="189"/>
      <c r="C200" s="113">
        <v>199.23599999999999</v>
      </c>
      <c r="D200" s="113">
        <v>7470</v>
      </c>
      <c r="E200" s="113">
        <v>197</v>
      </c>
      <c r="F200" s="113">
        <v>152</v>
      </c>
      <c r="G200" s="113">
        <v>163.19999999999999</v>
      </c>
      <c r="H200" s="113">
        <v>171.9</v>
      </c>
      <c r="I200" s="113">
        <v>-3.7</v>
      </c>
      <c r="J200" s="113">
        <v>97.08</v>
      </c>
      <c r="K200" s="113">
        <v>-8.3000000000000007</v>
      </c>
    </row>
    <row r="201" spans="2:11" x14ac:dyDescent="0.25">
      <c r="B201" s="189"/>
      <c r="C201" s="113">
        <v>199.25800000000001</v>
      </c>
      <c r="D201" s="113">
        <v>7471</v>
      </c>
      <c r="E201" s="113">
        <v>198</v>
      </c>
      <c r="F201" s="113">
        <v>152</v>
      </c>
      <c r="G201" s="113">
        <v>162.9</v>
      </c>
      <c r="H201" s="113">
        <v>171.2</v>
      </c>
      <c r="I201" s="113">
        <v>-3.2</v>
      </c>
      <c r="J201" s="113">
        <v>95.17</v>
      </c>
      <c r="K201" s="113">
        <v>-10.5</v>
      </c>
    </row>
    <row r="202" spans="2:11" x14ac:dyDescent="0.25">
      <c r="B202" s="189"/>
      <c r="C202" s="113">
        <v>199.28</v>
      </c>
      <c r="D202" s="113">
        <v>7472</v>
      </c>
      <c r="E202" s="113">
        <v>199</v>
      </c>
      <c r="F202" s="113">
        <v>153</v>
      </c>
      <c r="G202" s="113">
        <v>162.9</v>
      </c>
      <c r="H202" s="113">
        <v>170</v>
      </c>
      <c r="I202" s="113">
        <v>-2.8</v>
      </c>
      <c r="J202" s="113">
        <v>94.6</v>
      </c>
      <c r="K202" s="113">
        <v>-13.9</v>
      </c>
    </row>
    <row r="203" spans="2:11" x14ac:dyDescent="0.25">
      <c r="B203" s="189"/>
      <c r="C203" s="113">
        <v>199.30199999999999</v>
      </c>
      <c r="D203" s="113">
        <v>7473</v>
      </c>
      <c r="E203" s="113">
        <v>200</v>
      </c>
      <c r="F203" s="113">
        <v>155</v>
      </c>
      <c r="G203" s="113">
        <v>160.69999999999999</v>
      </c>
      <c r="H203" s="113">
        <v>169.2</v>
      </c>
      <c r="I203" s="113">
        <v>-2.8</v>
      </c>
      <c r="J203" s="113">
        <v>94.69</v>
      </c>
      <c r="K203" s="113">
        <v>-15.2</v>
      </c>
    </row>
    <row r="204" spans="2:11" x14ac:dyDescent="0.25">
      <c r="B204" s="189"/>
      <c r="C204" s="113">
        <v>199.32400000000001</v>
      </c>
      <c r="D204" s="113">
        <v>7474</v>
      </c>
      <c r="E204" s="113">
        <v>201</v>
      </c>
      <c r="F204" s="113">
        <v>156</v>
      </c>
      <c r="G204" s="113">
        <v>158.9</v>
      </c>
      <c r="H204" s="113">
        <v>168.5</v>
      </c>
      <c r="I204" s="113">
        <v>-2.9</v>
      </c>
      <c r="J204" s="113">
        <v>94.49</v>
      </c>
      <c r="K204" s="113">
        <v>-16.5</v>
      </c>
    </row>
    <row r="205" spans="2:11" x14ac:dyDescent="0.25">
      <c r="B205" s="189"/>
      <c r="C205" s="113">
        <v>199.34700000000001</v>
      </c>
      <c r="D205" s="113">
        <v>7475</v>
      </c>
      <c r="E205" s="113">
        <v>202</v>
      </c>
      <c r="F205" s="113">
        <v>157</v>
      </c>
      <c r="G205" s="113">
        <v>158.80000000000001</v>
      </c>
      <c r="H205" s="113">
        <v>167.6</v>
      </c>
      <c r="I205" s="113">
        <v>-2.9</v>
      </c>
      <c r="J205" s="113">
        <v>93.38</v>
      </c>
      <c r="K205" s="113">
        <v>-17.8</v>
      </c>
    </row>
    <row r="206" spans="2:11" x14ac:dyDescent="0.25">
      <c r="B206" s="189"/>
      <c r="C206" s="113">
        <v>199.369</v>
      </c>
      <c r="D206" s="113">
        <v>7476</v>
      </c>
      <c r="E206" s="113">
        <v>203</v>
      </c>
      <c r="F206" s="113">
        <v>158</v>
      </c>
      <c r="G206" s="113">
        <v>158.69999999999999</v>
      </c>
      <c r="H206" s="113">
        <v>166.7</v>
      </c>
      <c r="I206" s="113">
        <v>-2.8</v>
      </c>
      <c r="J206" s="113">
        <v>91.41</v>
      </c>
      <c r="K206" s="113">
        <v>-18.899999999999999</v>
      </c>
    </row>
    <row r="207" spans="2:11" x14ac:dyDescent="0.25">
      <c r="B207" s="189"/>
      <c r="C207" s="113">
        <v>199.392</v>
      </c>
      <c r="D207" s="113">
        <v>7477</v>
      </c>
      <c r="E207" s="113">
        <v>204</v>
      </c>
      <c r="F207" s="113">
        <v>158</v>
      </c>
      <c r="G207" s="113">
        <v>158.6</v>
      </c>
      <c r="H207" s="113">
        <v>165.4</v>
      </c>
      <c r="I207" s="113">
        <v>-3.1</v>
      </c>
      <c r="J207" s="113">
        <v>91.45</v>
      </c>
      <c r="K207" s="113">
        <v>-18.899999999999999</v>
      </c>
    </row>
    <row r="208" spans="2:11" x14ac:dyDescent="0.25">
      <c r="B208" s="189"/>
      <c r="C208" s="113">
        <v>199.41399999999999</v>
      </c>
      <c r="D208" s="113">
        <v>7478</v>
      </c>
      <c r="E208" s="113">
        <v>205</v>
      </c>
      <c r="F208" s="113">
        <v>158</v>
      </c>
      <c r="G208" s="113">
        <v>157.80000000000001</v>
      </c>
      <c r="H208" s="113">
        <v>164.5</v>
      </c>
      <c r="I208" s="113">
        <v>-3.7</v>
      </c>
      <c r="J208" s="113">
        <v>92.51</v>
      </c>
      <c r="K208" s="113">
        <v>-18.899999999999999</v>
      </c>
    </row>
    <row r="209" spans="2:11" x14ac:dyDescent="0.25">
      <c r="B209" s="189"/>
      <c r="C209" s="113">
        <v>199.43799999999999</v>
      </c>
      <c r="D209" s="113">
        <v>7479</v>
      </c>
      <c r="E209" s="113">
        <v>206</v>
      </c>
      <c r="F209" s="113">
        <v>158</v>
      </c>
      <c r="G209" s="113">
        <v>156.5</v>
      </c>
      <c r="H209" s="113">
        <v>163.6</v>
      </c>
      <c r="I209" s="113">
        <v>-3.5</v>
      </c>
      <c r="J209" s="113">
        <v>92.99</v>
      </c>
      <c r="K209" s="113">
        <v>-18.899999999999999</v>
      </c>
    </row>
    <row r="210" spans="2:11" x14ac:dyDescent="0.25">
      <c r="B210" s="189"/>
      <c r="C210" s="113">
        <v>199.46</v>
      </c>
      <c r="D210" s="113">
        <v>7480</v>
      </c>
      <c r="E210" s="113">
        <v>207</v>
      </c>
      <c r="F210" s="113">
        <v>154</v>
      </c>
      <c r="G210" s="113">
        <v>156</v>
      </c>
      <c r="H210" s="113">
        <v>162.4</v>
      </c>
      <c r="I210" s="113">
        <v>-1.8</v>
      </c>
      <c r="J210" s="113">
        <v>92.46</v>
      </c>
      <c r="K210" s="113">
        <v>-18.7</v>
      </c>
    </row>
    <row r="211" spans="2:11" x14ac:dyDescent="0.25">
      <c r="B211" s="189"/>
      <c r="C211" s="113">
        <v>199.483</v>
      </c>
      <c r="D211" s="113">
        <v>7481</v>
      </c>
      <c r="E211" s="113">
        <v>208</v>
      </c>
      <c r="F211" s="113">
        <v>150</v>
      </c>
      <c r="G211" s="113">
        <v>155.4</v>
      </c>
      <c r="H211" s="113">
        <v>161.5</v>
      </c>
      <c r="I211" s="113">
        <v>-1.5</v>
      </c>
      <c r="J211" s="113">
        <v>94.77</v>
      </c>
      <c r="K211" s="113">
        <v>-18.600000000000001</v>
      </c>
    </row>
    <row r="212" spans="2:11" x14ac:dyDescent="0.25">
      <c r="B212" s="189"/>
      <c r="C212" s="113">
        <v>199.506</v>
      </c>
      <c r="D212" s="113">
        <v>7482</v>
      </c>
      <c r="E212" s="113">
        <v>209</v>
      </c>
      <c r="F212" s="113">
        <v>148</v>
      </c>
      <c r="G212" s="113">
        <v>153.4</v>
      </c>
      <c r="H212" s="113">
        <v>160.69999999999999</v>
      </c>
      <c r="I212" s="113">
        <v>-2.2000000000000002</v>
      </c>
      <c r="J212" s="113">
        <v>95.88</v>
      </c>
      <c r="K212" s="113">
        <v>-18.399999999999999</v>
      </c>
    </row>
    <row r="213" spans="2:11" x14ac:dyDescent="0.25">
      <c r="B213" s="189"/>
      <c r="C213" s="113">
        <v>199.529</v>
      </c>
      <c r="D213" s="113">
        <v>7483</v>
      </c>
      <c r="E213" s="113">
        <v>210</v>
      </c>
      <c r="F213" s="113">
        <v>145</v>
      </c>
      <c r="G213" s="113">
        <v>151.80000000000001</v>
      </c>
      <c r="H213" s="113">
        <v>159.9</v>
      </c>
      <c r="I213" s="113">
        <v>-3.2</v>
      </c>
      <c r="J213" s="113">
        <v>95.55</v>
      </c>
      <c r="K213" s="113">
        <v>-18</v>
      </c>
    </row>
    <row r="214" spans="2:11" x14ac:dyDescent="0.25">
      <c r="B214" s="189"/>
      <c r="C214" s="113">
        <v>199.553</v>
      </c>
      <c r="D214" s="113">
        <v>7484</v>
      </c>
      <c r="E214" s="113">
        <v>211</v>
      </c>
      <c r="F214" s="113">
        <v>143</v>
      </c>
      <c r="G214" s="113">
        <v>152.5</v>
      </c>
      <c r="H214" s="113">
        <v>158.69999999999999</v>
      </c>
      <c r="I214" s="113">
        <v>-3.7</v>
      </c>
      <c r="J214" s="113">
        <v>93.75</v>
      </c>
      <c r="K214" s="113">
        <v>-15.6</v>
      </c>
    </row>
    <row r="215" spans="2:11" x14ac:dyDescent="0.25">
      <c r="B215" s="189"/>
      <c r="C215" s="113">
        <v>199.577</v>
      </c>
      <c r="D215" s="113">
        <v>7485</v>
      </c>
      <c r="E215" s="113">
        <v>212</v>
      </c>
      <c r="F215" s="113">
        <v>142</v>
      </c>
      <c r="G215" s="113">
        <v>151.80000000000001</v>
      </c>
      <c r="H215" s="113">
        <v>158</v>
      </c>
      <c r="I215" s="113">
        <v>-3.7</v>
      </c>
      <c r="J215" s="113">
        <v>93.32</v>
      </c>
      <c r="K215" s="113">
        <v>-13.9</v>
      </c>
    </row>
    <row r="216" spans="2:11" x14ac:dyDescent="0.25">
      <c r="B216" s="189"/>
      <c r="C216" s="113">
        <v>199.6</v>
      </c>
      <c r="D216" s="113">
        <v>7486</v>
      </c>
      <c r="E216" s="113">
        <v>213</v>
      </c>
      <c r="F216" s="113">
        <v>141</v>
      </c>
      <c r="G216" s="113">
        <v>150.19999999999999</v>
      </c>
      <c r="H216" s="113">
        <v>156.9</v>
      </c>
      <c r="I216" s="113">
        <v>-3.7</v>
      </c>
      <c r="J216" s="113">
        <v>93.69</v>
      </c>
      <c r="K216" s="113">
        <v>-11.5</v>
      </c>
    </row>
    <row r="217" spans="2:11" x14ac:dyDescent="0.25">
      <c r="B217" s="189"/>
      <c r="C217" s="113">
        <v>199.624</v>
      </c>
      <c r="D217" s="113">
        <v>7487</v>
      </c>
      <c r="E217" s="113">
        <v>214</v>
      </c>
      <c r="F217" s="113">
        <v>140</v>
      </c>
      <c r="G217" s="113">
        <v>149.30000000000001</v>
      </c>
      <c r="H217" s="113">
        <v>156.1</v>
      </c>
      <c r="I217" s="113">
        <v>-3.7</v>
      </c>
      <c r="J217" s="113">
        <v>93.45</v>
      </c>
      <c r="K217" s="113">
        <v>-10</v>
      </c>
    </row>
    <row r="218" spans="2:11" x14ac:dyDescent="0.25">
      <c r="B218" s="189"/>
      <c r="C218" s="113">
        <v>199.648</v>
      </c>
      <c r="D218" s="113">
        <v>7488</v>
      </c>
      <c r="E218" s="113">
        <v>215</v>
      </c>
      <c r="F218" s="113">
        <v>139</v>
      </c>
      <c r="G218" s="113">
        <v>148.69999999999999</v>
      </c>
      <c r="H218" s="113">
        <v>155.4</v>
      </c>
      <c r="I218" s="113">
        <v>-3.8</v>
      </c>
      <c r="J218" s="113">
        <v>93.24</v>
      </c>
      <c r="K218" s="113">
        <v>-8.4</v>
      </c>
    </row>
    <row r="219" spans="2:11" x14ac:dyDescent="0.25">
      <c r="B219" s="189"/>
      <c r="C219" s="113">
        <v>199.673</v>
      </c>
      <c r="D219" s="113">
        <v>7489</v>
      </c>
      <c r="E219" s="113">
        <v>216</v>
      </c>
      <c r="F219" s="113">
        <v>136</v>
      </c>
      <c r="G219" s="113">
        <v>149.30000000000001</v>
      </c>
      <c r="H219" s="113">
        <v>154.30000000000001</v>
      </c>
      <c r="I219" s="113">
        <v>-3.8</v>
      </c>
      <c r="J219" s="113">
        <v>93.55</v>
      </c>
      <c r="K219" s="113">
        <v>-6.1</v>
      </c>
    </row>
    <row r="220" spans="2:11" x14ac:dyDescent="0.25">
      <c r="B220" s="189"/>
      <c r="C220" s="113">
        <v>199.696</v>
      </c>
      <c r="D220" s="113">
        <v>7490</v>
      </c>
      <c r="E220" s="113">
        <v>217</v>
      </c>
      <c r="F220" s="113">
        <v>135</v>
      </c>
      <c r="G220" s="113">
        <v>148.1</v>
      </c>
      <c r="H220" s="113">
        <v>153.6</v>
      </c>
      <c r="I220" s="113">
        <v>-3.8</v>
      </c>
      <c r="J220" s="113">
        <v>94.62</v>
      </c>
      <c r="K220" s="113">
        <v>-6.1</v>
      </c>
    </row>
    <row r="221" spans="2:11" x14ac:dyDescent="0.25">
      <c r="B221" s="189"/>
      <c r="C221" s="113">
        <v>199.721</v>
      </c>
      <c r="D221" s="113">
        <v>7491</v>
      </c>
      <c r="E221" s="113">
        <v>218</v>
      </c>
      <c r="F221" s="113">
        <v>134</v>
      </c>
      <c r="G221" s="113">
        <v>145.5</v>
      </c>
      <c r="H221" s="113">
        <v>152.5</v>
      </c>
      <c r="I221" s="113">
        <v>-3.8</v>
      </c>
      <c r="J221" s="113">
        <v>94.97</v>
      </c>
      <c r="K221" s="113">
        <v>-7.3</v>
      </c>
    </row>
    <row r="222" spans="2:11" x14ac:dyDescent="0.25">
      <c r="B222" s="189"/>
      <c r="C222" s="113">
        <v>199.745</v>
      </c>
      <c r="D222" s="113">
        <v>7492</v>
      </c>
      <c r="E222" s="113">
        <v>219</v>
      </c>
      <c r="F222" s="113">
        <v>132</v>
      </c>
      <c r="G222" s="113">
        <v>145.69999999999999</v>
      </c>
      <c r="H222" s="113">
        <v>151.80000000000001</v>
      </c>
      <c r="I222" s="113">
        <v>-3.8</v>
      </c>
      <c r="J222" s="113">
        <v>94.87</v>
      </c>
      <c r="K222" s="113">
        <v>-8.1</v>
      </c>
    </row>
    <row r="223" spans="2:11" x14ac:dyDescent="0.25">
      <c r="B223" s="189"/>
      <c r="C223" s="113">
        <v>199.77</v>
      </c>
      <c r="D223" s="113">
        <v>7493</v>
      </c>
      <c r="E223" s="113">
        <v>220</v>
      </c>
      <c r="F223" s="113">
        <v>129</v>
      </c>
      <c r="G223" s="113">
        <v>145.6</v>
      </c>
      <c r="H223" s="113">
        <v>150.69999999999999</v>
      </c>
      <c r="I223" s="113">
        <v>-3.8</v>
      </c>
      <c r="J223" s="113">
        <v>95.08</v>
      </c>
      <c r="K223" s="113">
        <v>-8.8000000000000007</v>
      </c>
    </row>
    <row r="224" spans="2:11" x14ac:dyDescent="0.25">
      <c r="B224" s="189"/>
      <c r="C224" s="113">
        <v>199.79400000000001</v>
      </c>
      <c r="D224" s="113">
        <v>7494</v>
      </c>
      <c r="E224" s="113">
        <v>221</v>
      </c>
      <c r="F224" s="113">
        <v>128</v>
      </c>
      <c r="G224" s="113">
        <v>145.5</v>
      </c>
      <c r="H224" s="113">
        <v>150</v>
      </c>
      <c r="I224" s="113">
        <v>-3.8</v>
      </c>
      <c r="J224" s="113">
        <v>95.73</v>
      </c>
      <c r="K224" s="113">
        <v>-8.8000000000000007</v>
      </c>
    </row>
    <row r="225" spans="2:11" x14ac:dyDescent="0.25">
      <c r="B225" s="189"/>
      <c r="C225" s="113">
        <v>199.81899999999999</v>
      </c>
      <c r="D225" s="113">
        <v>7495</v>
      </c>
      <c r="E225" s="113">
        <v>222</v>
      </c>
      <c r="F225" s="113">
        <v>126</v>
      </c>
      <c r="G225" s="113">
        <v>145</v>
      </c>
      <c r="H225" s="113">
        <v>149.30000000000001</v>
      </c>
      <c r="I225" s="113">
        <v>-3.8</v>
      </c>
      <c r="J225" s="113">
        <v>97.62</v>
      </c>
      <c r="K225" s="113">
        <v>-8.8000000000000007</v>
      </c>
    </row>
    <row r="226" spans="2:11" x14ac:dyDescent="0.25">
      <c r="B226" s="189"/>
      <c r="C226" s="113">
        <v>199.84399999999999</v>
      </c>
      <c r="D226" s="113">
        <v>7496</v>
      </c>
      <c r="E226" s="113">
        <v>223</v>
      </c>
      <c r="F226" s="113">
        <v>125</v>
      </c>
      <c r="G226" s="113">
        <v>144.1</v>
      </c>
      <c r="H226" s="113">
        <v>148.19999999999999</v>
      </c>
      <c r="I226" s="113">
        <v>-3.8</v>
      </c>
      <c r="J226" s="113">
        <v>100.15</v>
      </c>
      <c r="K226" s="113">
        <v>-8.9</v>
      </c>
    </row>
    <row r="227" spans="2:11" x14ac:dyDescent="0.25">
      <c r="B227" s="189"/>
      <c r="C227" s="113">
        <v>199.869</v>
      </c>
      <c r="D227" s="113">
        <v>7497</v>
      </c>
      <c r="E227" s="113">
        <v>224</v>
      </c>
      <c r="F227" s="113">
        <v>126</v>
      </c>
      <c r="G227" s="113">
        <v>143.4</v>
      </c>
      <c r="H227" s="113">
        <v>147.4</v>
      </c>
      <c r="I227" s="113">
        <v>-3.5</v>
      </c>
      <c r="J227" s="113">
        <v>100.54</v>
      </c>
      <c r="K227" s="113">
        <v>-9.5</v>
      </c>
    </row>
    <row r="228" spans="2:11" x14ac:dyDescent="0.25">
      <c r="B228" s="189"/>
      <c r="C228" s="113">
        <v>199.89400000000001</v>
      </c>
      <c r="D228" s="113">
        <v>7498</v>
      </c>
      <c r="E228" s="113">
        <v>225</v>
      </c>
      <c r="F228" s="113">
        <v>126</v>
      </c>
      <c r="G228" s="113">
        <v>141.9</v>
      </c>
      <c r="H228" s="113">
        <v>146.30000000000001</v>
      </c>
      <c r="I228" s="113">
        <v>-3.4</v>
      </c>
      <c r="J228" s="113">
        <v>103.19</v>
      </c>
      <c r="K228" s="113">
        <v>-10.4</v>
      </c>
    </row>
    <row r="229" spans="2:11" x14ac:dyDescent="0.25">
      <c r="B229" s="189"/>
      <c r="C229" s="113">
        <v>199.91900000000001</v>
      </c>
      <c r="D229" s="113">
        <v>7499</v>
      </c>
      <c r="E229" s="113">
        <v>226</v>
      </c>
      <c r="F229" s="113">
        <v>126</v>
      </c>
      <c r="G229" s="113">
        <v>140.6</v>
      </c>
      <c r="H229" s="113">
        <v>145.5</v>
      </c>
      <c r="I229" s="113">
        <v>-3.4</v>
      </c>
      <c r="J229" s="113">
        <v>103.28</v>
      </c>
      <c r="K229" s="113">
        <v>-11</v>
      </c>
    </row>
    <row r="230" spans="2:11" x14ac:dyDescent="0.25">
      <c r="B230" s="189"/>
      <c r="C230" s="113">
        <v>199.94399999999999</v>
      </c>
      <c r="D230" s="113">
        <v>7500</v>
      </c>
      <c r="E230" s="113">
        <v>227</v>
      </c>
      <c r="F230" s="113">
        <v>126</v>
      </c>
      <c r="G230" s="113">
        <v>138.80000000000001</v>
      </c>
      <c r="H230" s="113">
        <v>144.5</v>
      </c>
      <c r="I230" s="113">
        <v>-3.4</v>
      </c>
      <c r="J230" s="113">
        <v>103.08</v>
      </c>
      <c r="K230" s="113">
        <v>-9.5</v>
      </c>
    </row>
    <row r="231" spans="2:11" x14ac:dyDescent="0.25">
      <c r="B231" s="189"/>
      <c r="C231" s="113">
        <v>199.97</v>
      </c>
      <c r="D231" s="113">
        <v>7501</v>
      </c>
      <c r="E231" s="113">
        <v>228</v>
      </c>
      <c r="F231" s="113">
        <v>125</v>
      </c>
      <c r="G231" s="113">
        <v>138.19999999999999</v>
      </c>
      <c r="H231" s="113">
        <v>143.5</v>
      </c>
      <c r="I231" s="113">
        <v>-3.7</v>
      </c>
      <c r="J231" s="113">
        <v>102.56</v>
      </c>
      <c r="K231" s="113">
        <v>-7.4</v>
      </c>
    </row>
    <row r="232" spans="2:11" x14ac:dyDescent="0.25">
      <c r="B232" s="189"/>
      <c r="C232" s="113">
        <v>199.99600000000001</v>
      </c>
      <c r="D232" s="113">
        <v>7502</v>
      </c>
      <c r="E232" s="113">
        <v>229</v>
      </c>
      <c r="F232" s="113">
        <v>124</v>
      </c>
      <c r="G232" s="113">
        <v>138.69999999999999</v>
      </c>
      <c r="H232" s="113">
        <v>142.9</v>
      </c>
      <c r="I232" s="113">
        <v>-3.7</v>
      </c>
      <c r="J232" s="113">
        <v>101.95</v>
      </c>
      <c r="K232" s="113">
        <v>-6</v>
      </c>
    </row>
    <row r="233" spans="2:11" x14ac:dyDescent="0.25">
      <c r="B233" s="189"/>
      <c r="C233" s="113">
        <v>200.02199999999999</v>
      </c>
      <c r="D233" s="113">
        <v>7503</v>
      </c>
      <c r="E233" s="113">
        <v>230</v>
      </c>
      <c r="F233" s="113">
        <v>122</v>
      </c>
      <c r="G233" s="113">
        <v>137.1</v>
      </c>
      <c r="H233" s="113">
        <v>141.9</v>
      </c>
      <c r="I233" s="113">
        <v>-3.7</v>
      </c>
      <c r="J233" s="113">
        <v>101.64</v>
      </c>
      <c r="K233" s="113">
        <v>-4.9000000000000004</v>
      </c>
    </row>
    <row r="234" spans="2:11" x14ac:dyDescent="0.25">
      <c r="B234" s="189"/>
      <c r="C234" s="113">
        <v>200.048</v>
      </c>
      <c r="D234" s="113">
        <v>7504</v>
      </c>
      <c r="E234" s="113">
        <v>231</v>
      </c>
      <c r="F234" s="113">
        <v>121</v>
      </c>
      <c r="G234" s="113">
        <v>135.9</v>
      </c>
      <c r="H234" s="113">
        <v>141.30000000000001</v>
      </c>
      <c r="I234" s="113">
        <v>-3.7</v>
      </c>
      <c r="J234" s="113">
        <v>101.16</v>
      </c>
      <c r="K234" s="113">
        <v>-4.2</v>
      </c>
    </row>
    <row r="235" spans="2:11" x14ac:dyDescent="0.25">
      <c r="B235" s="189"/>
      <c r="C235" s="113">
        <v>200.07400000000001</v>
      </c>
      <c r="D235" s="113">
        <v>7505</v>
      </c>
      <c r="E235" s="113">
        <v>232</v>
      </c>
      <c r="F235" s="113">
        <v>120</v>
      </c>
      <c r="G235" s="113">
        <v>135.1</v>
      </c>
      <c r="H235" s="113">
        <v>140.30000000000001</v>
      </c>
      <c r="I235" s="113">
        <v>-3.7</v>
      </c>
      <c r="J235" s="113">
        <v>97.63</v>
      </c>
      <c r="K235" s="113">
        <v>-3.3</v>
      </c>
    </row>
    <row r="236" spans="2:11" x14ac:dyDescent="0.25">
      <c r="B236" s="189"/>
      <c r="C236" s="113">
        <v>200.101</v>
      </c>
      <c r="D236" s="113">
        <v>7506</v>
      </c>
      <c r="E236" s="113">
        <v>233</v>
      </c>
      <c r="F236" s="113">
        <v>120</v>
      </c>
      <c r="G236" s="113">
        <v>135.5</v>
      </c>
      <c r="H236" s="113">
        <v>139.30000000000001</v>
      </c>
      <c r="I236" s="113">
        <v>-2.8</v>
      </c>
      <c r="J236" s="113">
        <v>95.13</v>
      </c>
      <c r="K236" s="113">
        <v>-1.4</v>
      </c>
    </row>
    <row r="237" spans="2:11" x14ac:dyDescent="0.25">
      <c r="B237" s="189"/>
      <c r="C237" s="113">
        <v>200.12700000000001</v>
      </c>
      <c r="D237" s="113">
        <v>7507</v>
      </c>
      <c r="E237" s="113">
        <v>234</v>
      </c>
      <c r="F237" s="113">
        <v>120</v>
      </c>
      <c r="G237" s="113">
        <v>135.4</v>
      </c>
      <c r="H237" s="113">
        <v>138.69999999999999</v>
      </c>
      <c r="I237" s="113">
        <v>-3.5</v>
      </c>
      <c r="J237" s="113">
        <v>95.19</v>
      </c>
      <c r="K237" s="113">
        <v>0</v>
      </c>
    </row>
    <row r="238" spans="2:11" x14ac:dyDescent="0.25">
      <c r="B238" s="189"/>
      <c r="C238" s="113">
        <v>200.154</v>
      </c>
      <c r="D238" s="113">
        <v>7508</v>
      </c>
      <c r="E238" s="113">
        <v>235</v>
      </c>
      <c r="F238" s="113">
        <v>119</v>
      </c>
      <c r="G238" s="113">
        <v>132</v>
      </c>
      <c r="H238" s="113">
        <v>137.69999999999999</v>
      </c>
      <c r="I238" s="113">
        <v>-3.6</v>
      </c>
      <c r="J238" s="113">
        <v>94.25</v>
      </c>
      <c r="K238" s="113">
        <v>2.1</v>
      </c>
    </row>
    <row r="239" spans="2:11" x14ac:dyDescent="0.25">
      <c r="B239" s="189"/>
      <c r="C239" s="113">
        <v>200.18100000000001</v>
      </c>
      <c r="D239" s="113">
        <v>7509</v>
      </c>
      <c r="E239" s="113">
        <v>236</v>
      </c>
      <c r="F239" s="113">
        <v>122</v>
      </c>
      <c r="G239" s="113">
        <v>132</v>
      </c>
      <c r="H239" s="113">
        <v>136.69999999999999</v>
      </c>
      <c r="I239" s="113">
        <v>-3.2</v>
      </c>
      <c r="J239" s="113">
        <v>87.81</v>
      </c>
      <c r="K239" s="113">
        <v>2.5</v>
      </c>
    </row>
    <row r="240" spans="2:11" x14ac:dyDescent="0.25">
      <c r="B240" s="189"/>
      <c r="C240" s="113">
        <v>200.208</v>
      </c>
      <c r="D240" s="113">
        <v>7510</v>
      </c>
      <c r="E240" s="113">
        <v>237</v>
      </c>
      <c r="F240" s="113">
        <v>124</v>
      </c>
      <c r="G240" s="113">
        <v>132.5</v>
      </c>
      <c r="H240" s="113">
        <v>136.1</v>
      </c>
      <c r="I240" s="113">
        <v>-2.6</v>
      </c>
      <c r="J240" s="113">
        <v>88.21</v>
      </c>
      <c r="K240" s="113">
        <v>2.5</v>
      </c>
    </row>
    <row r="241" spans="2:11" x14ac:dyDescent="0.25">
      <c r="B241" s="189"/>
      <c r="C241" s="113">
        <v>200.23599999999999</v>
      </c>
      <c r="D241" s="113">
        <v>7511</v>
      </c>
      <c r="E241" s="113">
        <v>238</v>
      </c>
      <c r="F241" s="113">
        <v>129</v>
      </c>
      <c r="G241" s="113">
        <v>131.5</v>
      </c>
      <c r="H241" s="113">
        <v>135.1</v>
      </c>
      <c r="I241" s="113">
        <v>-2.6</v>
      </c>
      <c r="J241" s="113">
        <v>89.96</v>
      </c>
      <c r="K241" s="113">
        <v>2.5</v>
      </c>
    </row>
    <row r="242" spans="2:11" x14ac:dyDescent="0.25">
      <c r="B242" s="189"/>
      <c r="C242" s="113">
        <v>200.262</v>
      </c>
      <c r="D242" s="113">
        <v>7512</v>
      </c>
      <c r="E242" s="113">
        <v>239</v>
      </c>
      <c r="F242" s="113">
        <v>130</v>
      </c>
      <c r="G242" s="113">
        <v>129.19999999999999</v>
      </c>
      <c r="H242" s="113">
        <v>134.1</v>
      </c>
      <c r="I242" s="113">
        <v>-2</v>
      </c>
      <c r="J242" s="113">
        <v>91.95</v>
      </c>
      <c r="K242" s="113">
        <v>0.8</v>
      </c>
    </row>
    <row r="243" spans="2:11" x14ac:dyDescent="0.25">
      <c r="B243" s="189"/>
      <c r="C243" s="113">
        <v>200.291</v>
      </c>
      <c r="D243" s="113">
        <v>7513</v>
      </c>
      <c r="E243" s="113">
        <v>240</v>
      </c>
      <c r="F243" s="113">
        <v>129</v>
      </c>
      <c r="G243" s="113">
        <v>127.9</v>
      </c>
      <c r="H243" s="113">
        <v>133.1</v>
      </c>
      <c r="I243" s="113">
        <v>-1</v>
      </c>
      <c r="J243" s="113">
        <v>91.58</v>
      </c>
      <c r="K243" s="113">
        <v>-1.3</v>
      </c>
    </row>
    <row r="244" spans="2:11" x14ac:dyDescent="0.25">
      <c r="B244" s="189"/>
      <c r="C244" s="113">
        <v>200.31899999999999</v>
      </c>
      <c r="D244" s="113">
        <v>7514</v>
      </c>
      <c r="E244" s="113">
        <v>241</v>
      </c>
      <c r="F244" s="113">
        <v>128</v>
      </c>
      <c r="G244" s="113">
        <v>128.1</v>
      </c>
      <c r="H244" s="113">
        <v>132.5</v>
      </c>
      <c r="I244" s="113">
        <v>-0.6</v>
      </c>
      <c r="J244" s="113">
        <v>90.82</v>
      </c>
      <c r="K244" s="113">
        <v>-2.7</v>
      </c>
    </row>
    <row r="245" spans="2:11" x14ac:dyDescent="0.25">
      <c r="B245" s="189"/>
      <c r="C245" s="113">
        <v>200.346</v>
      </c>
      <c r="D245" s="113">
        <v>7515</v>
      </c>
      <c r="E245" s="113">
        <v>242</v>
      </c>
      <c r="F245" s="113">
        <v>121</v>
      </c>
      <c r="G245" s="113">
        <v>126.3</v>
      </c>
      <c r="H245" s="113">
        <v>131.5</v>
      </c>
      <c r="I245" s="113">
        <v>-1.1000000000000001</v>
      </c>
      <c r="J245" s="113">
        <v>93.92</v>
      </c>
      <c r="K245" s="113">
        <v>-4.4000000000000004</v>
      </c>
    </row>
    <row r="246" spans="2:11" x14ac:dyDescent="0.25">
      <c r="B246" s="189"/>
      <c r="C246" s="113">
        <v>200.375</v>
      </c>
      <c r="D246" s="113">
        <v>7516</v>
      </c>
      <c r="E246" s="113">
        <v>243</v>
      </c>
      <c r="F246" s="113">
        <v>116</v>
      </c>
      <c r="G246" s="113">
        <v>124.8</v>
      </c>
      <c r="H246" s="113">
        <v>130.4</v>
      </c>
      <c r="I246" s="113">
        <v>-3.6</v>
      </c>
      <c r="J246" s="113">
        <v>91.54</v>
      </c>
      <c r="K246" s="113">
        <v>-6</v>
      </c>
    </row>
    <row r="247" spans="2:11" x14ac:dyDescent="0.25">
      <c r="B247" s="189"/>
      <c r="C247" s="113">
        <v>200.404</v>
      </c>
      <c r="D247" s="113">
        <v>7517</v>
      </c>
      <c r="E247" s="113">
        <v>244</v>
      </c>
      <c r="F247" s="113">
        <v>114</v>
      </c>
      <c r="G247" s="113">
        <v>124.3</v>
      </c>
      <c r="H247" s="113">
        <v>129.4</v>
      </c>
      <c r="I247" s="113">
        <v>-3.7</v>
      </c>
      <c r="J247" s="113">
        <v>88.67</v>
      </c>
      <c r="K247" s="113">
        <v>-7.3</v>
      </c>
    </row>
    <row r="248" spans="2:11" x14ac:dyDescent="0.25">
      <c r="B248" s="189"/>
      <c r="C248" s="113">
        <v>200.43299999999999</v>
      </c>
      <c r="D248" s="113">
        <v>7518</v>
      </c>
      <c r="E248" s="113">
        <v>245</v>
      </c>
      <c r="F248" s="113">
        <v>112</v>
      </c>
      <c r="G248" s="113">
        <v>124.7</v>
      </c>
      <c r="H248" s="113">
        <v>128.30000000000001</v>
      </c>
      <c r="I248" s="113">
        <v>-3.8</v>
      </c>
      <c r="J248" s="113">
        <v>87.57</v>
      </c>
      <c r="K248" s="113">
        <v>-5.9</v>
      </c>
    </row>
    <row r="249" spans="2:11" x14ac:dyDescent="0.25">
      <c r="B249" s="189"/>
      <c r="C249" s="113">
        <v>200.46100000000001</v>
      </c>
      <c r="D249" s="113">
        <v>7519</v>
      </c>
      <c r="E249" s="113">
        <v>246</v>
      </c>
      <c r="F249" s="113">
        <v>110</v>
      </c>
      <c r="G249" s="113">
        <v>123.9</v>
      </c>
      <c r="H249" s="113">
        <v>127.3</v>
      </c>
      <c r="I249" s="113">
        <v>-3.8</v>
      </c>
      <c r="J249" s="113">
        <v>87.4</v>
      </c>
      <c r="K249" s="113">
        <v>-4.5</v>
      </c>
    </row>
    <row r="250" spans="2:11" x14ac:dyDescent="0.25">
      <c r="B250" s="189"/>
      <c r="C250" s="113">
        <v>200.49</v>
      </c>
      <c r="D250" s="113">
        <v>7520</v>
      </c>
      <c r="E250" s="113">
        <v>247</v>
      </c>
      <c r="F250" s="113">
        <v>109</v>
      </c>
      <c r="G250" s="113">
        <v>122.8</v>
      </c>
      <c r="H250" s="113">
        <v>126.3</v>
      </c>
      <c r="I250" s="113">
        <v>-3.8</v>
      </c>
      <c r="J250" s="113">
        <v>87.38</v>
      </c>
      <c r="K250" s="113">
        <v>-3.5</v>
      </c>
    </row>
    <row r="251" spans="2:11" x14ac:dyDescent="0.25">
      <c r="B251" s="189"/>
      <c r="C251" s="113">
        <v>200.51900000000001</v>
      </c>
      <c r="D251" s="113">
        <v>7521</v>
      </c>
      <c r="E251" s="113">
        <v>248</v>
      </c>
      <c r="F251" s="113">
        <v>108</v>
      </c>
      <c r="G251" s="113">
        <v>122.1</v>
      </c>
      <c r="H251" s="113">
        <v>125.6</v>
      </c>
      <c r="I251" s="113">
        <v>-3.8</v>
      </c>
      <c r="J251" s="113">
        <v>87.59</v>
      </c>
      <c r="K251" s="113">
        <v>-3.2</v>
      </c>
    </row>
    <row r="252" spans="2:11" x14ac:dyDescent="0.25">
      <c r="B252" s="189"/>
      <c r="C252" s="113">
        <v>200.54900000000001</v>
      </c>
      <c r="D252" s="113">
        <v>7522</v>
      </c>
      <c r="E252" s="113">
        <v>249</v>
      </c>
      <c r="F252" s="113">
        <v>106</v>
      </c>
      <c r="G252" s="113">
        <v>121.8</v>
      </c>
      <c r="H252" s="113">
        <v>124.6</v>
      </c>
      <c r="I252" s="113">
        <v>-3.8</v>
      </c>
      <c r="J252" s="113">
        <v>88.6</v>
      </c>
      <c r="K252" s="113">
        <v>-2.7</v>
      </c>
    </row>
    <row r="253" spans="2:11" x14ac:dyDescent="0.25">
      <c r="B253" s="189"/>
      <c r="C253" s="113">
        <v>200.578</v>
      </c>
      <c r="D253" s="113">
        <v>7523</v>
      </c>
      <c r="E253" s="113">
        <v>250</v>
      </c>
      <c r="F253" s="113">
        <v>105</v>
      </c>
      <c r="G253" s="113">
        <v>121.3</v>
      </c>
      <c r="H253" s="113">
        <v>123.6</v>
      </c>
      <c r="I253" s="113">
        <v>-3.8</v>
      </c>
      <c r="J253" s="113">
        <v>94</v>
      </c>
      <c r="K253" s="113">
        <v>-2.5</v>
      </c>
    </row>
    <row r="254" spans="2:11" x14ac:dyDescent="0.25">
      <c r="B254" s="189"/>
      <c r="C254" s="113">
        <v>200.607</v>
      </c>
      <c r="D254" s="113">
        <v>7524</v>
      </c>
      <c r="E254" s="113">
        <v>251</v>
      </c>
      <c r="F254" s="113">
        <v>104</v>
      </c>
      <c r="G254" s="113">
        <v>120.2</v>
      </c>
      <c r="H254" s="113">
        <v>122.7</v>
      </c>
      <c r="I254" s="113">
        <v>-3.8</v>
      </c>
      <c r="J254" s="113">
        <v>95.48</v>
      </c>
      <c r="K254" s="113">
        <v>-2.5</v>
      </c>
    </row>
    <row r="255" spans="2:11" x14ac:dyDescent="0.25">
      <c r="B255" s="189"/>
      <c r="C255" s="113">
        <v>200.637</v>
      </c>
      <c r="D255" s="113">
        <v>7525</v>
      </c>
      <c r="E255" s="113">
        <v>252</v>
      </c>
      <c r="F255" s="113">
        <v>102</v>
      </c>
      <c r="G255" s="113">
        <v>119.1</v>
      </c>
      <c r="H255" s="113">
        <v>121.7</v>
      </c>
      <c r="I255" s="113">
        <v>-3.8</v>
      </c>
      <c r="J255" s="113">
        <v>95.74</v>
      </c>
      <c r="K255" s="113">
        <v>-2.5</v>
      </c>
    </row>
    <row r="256" spans="2:11" x14ac:dyDescent="0.25">
      <c r="B256" s="189"/>
      <c r="C256" s="113">
        <v>200.667</v>
      </c>
      <c r="D256" s="113">
        <v>7526</v>
      </c>
      <c r="E256" s="113">
        <v>253</v>
      </c>
      <c r="F256" s="113">
        <v>103</v>
      </c>
      <c r="G256" s="113">
        <v>118</v>
      </c>
      <c r="H256" s="113">
        <v>120.8</v>
      </c>
      <c r="I256" s="113">
        <v>-3.2</v>
      </c>
      <c r="J256" s="113">
        <v>98.56</v>
      </c>
      <c r="K256" s="113">
        <v>-3.1</v>
      </c>
    </row>
    <row r="257" spans="2:11" x14ac:dyDescent="0.25">
      <c r="B257" s="189"/>
      <c r="C257" s="113">
        <v>200.69800000000001</v>
      </c>
      <c r="D257" s="113">
        <v>7527</v>
      </c>
      <c r="E257" s="113">
        <v>254</v>
      </c>
      <c r="F257" s="113">
        <v>103</v>
      </c>
      <c r="G257" s="113">
        <v>117</v>
      </c>
      <c r="H257" s="113">
        <v>119.9</v>
      </c>
      <c r="I257" s="113">
        <v>-3.2</v>
      </c>
      <c r="J257" s="113">
        <v>99.61</v>
      </c>
      <c r="K257" s="113">
        <v>-3.8</v>
      </c>
    </row>
    <row r="258" spans="2:11" x14ac:dyDescent="0.25">
      <c r="B258" s="189"/>
      <c r="C258" s="113">
        <v>200.72900000000001</v>
      </c>
      <c r="D258" s="113">
        <v>7528</v>
      </c>
      <c r="E258" s="113">
        <v>255</v>
      </c>
      <c r="F258" s="113">
        <v>102</v>
      </c>
      <c r="G258" s="113">
        <v>116.1</v>
      </c>
      <c r="H258" s="113">
        <v>118.9</v>
      </c>
      <c r="I258" s="113">
        <v>-3.4</v>
      </c>
      <c r="J258" s="113">
        <v>99.68</v>
      </c>
      <c r="K258" s="113">
        <v>-4.0999999999999996</v>
      </c>
    </row>
    <row r="259" spans="2:11" x14ac:dyDescent="0.25">
      <c r="B259" s="189"/>
      <c r="C259" s="113">
        <v>200.76</v>
      </c>
      <c r="D259" s="113">
        <v>7529</v>
      </c>
      <c r="E259" s="113">
        <v>256</v>
      </c>
      <c r="F259" s="113">
        <v>101</v>
      </c>
      <c r="G259" s="113">
        <v>113.4</v>
      </c>
      <c r="H259" s="113">
        <v>117.6</v>
      </c>
      <c r="I259" s="113">
        <v>-3.6</v>
      </c>
      <c r="J259" s="113">
        <v>99.64</v>
      </c>
      <c r="K259" s="113">
        <v>-1.7</v>
      </c>
    </row>
    <row r="260" spans="2:11" x14ac:dyDescent="0.25">
      <c r="B260" s="189"/>
      <c r="C260" s="113">
        <v>200.791</v>
      </c>
      <c r="D260" s="113">
        <v>7530</v>
      </c>
      <c r="E260" s="113">
        <v>257</v>
      </c>
      <c r="F260" s="113">
        <v>99</v>
      </c>
      <c r="G260" s="113">
        <v>112.8</v>
      </c>
      <c r="H260" s="113">
        <v>116.6</v>
      </c>
      <c r="I260" s="113">
        <v>-3.7</v>
      </c>
      <c r="J260" s="113">
        <v>99.51</v>
      </c>
      <c r="K260" s="113">
        <v>0.2</v>
      </c>
    </row>
    <row r="261" spans="2:11" x14ac:dyDescent="0.25">
      <c r="B261" s="189"/>
      <c r="C261" s="113">
        <v>200.82300000000001</v>
      </c>
      <c r="D261" s="113">
        <v>7531</v>
      </c>
      <c r="E261" s="113">
        <v>258</v>
      </c>
      <c r="F261" s="113">
        <v>97</v>
      </c>
      <c r="G261" s="113">
        <v>111.9</v>
      </c>
      <c r="H261" s="113">
        <v>115.6</v>
      </c>
      <c r="I261" s="113">
        <v>-3.7</v>
      </c>
      <c r="J261" s="113">
        <v>99.62</v>
      </c>
      <c r="K261" s="113">
        <v>2.1</v>
      </c>
    </row>
    <row r="262" spans="2:11" x14ac:dyDescent="0.25">
      <c r="B262" s="189"/>
      <c r="C262" s="113">
        <v>200.85499999999999</v>
      </c>
      <c r="D262" s="113">
        <v>7532</v>
      </c>
      <c r="E262" s="113">
        <v>259</v>
      </c>
      <c r="F262" s="113">
        <v>95</v>
      </c>
      <c r="G262" s="113">
        <v>109.9</v>
      </c>
      <c r="H262" s="113">
        <v>114.6</v>
      </c>
      <c r="I262" s="113">
        <v>-3.7</v>
      </c>
      <c r="J262" s="113">
        <v>99.74</v>
      </c>
      <c r="K262" s="113">
        <v>3.9</v>
      </c>
    </row>
    <row r="263" spans="2:11" x14ac:dyDescent="0.25">
      <c r="B263" s="189"/>
      <c r="C263" s="113">
        <v>200.887</v>
      </c>
      <c r="D263" s="113">
        <v>7533</v>
      </c>
      <c r="E263" s="113">
        <v>260</v>
      </c>
      <c r="F263" s="113">
        <v>94</v>
      </c>
      <c r="G263" s="113">
        <v>107.2</v>
      </c>
      <c r="H263" s="113">
        <v>113.6</v>
      </c>
      <c r="I263" s="113">
        <v>-3.7</v>
      </c>
      <c r="J263" s="113">
        <v>98.65</v>
      </c>
      <c r="K263" s="113">
        <v>5.3</v>
      </c>
    </row>
    <row r="264" spans="2:11" x14ac:dyDescent="0.25">
      <c r="B264" s="189"/>
      <c r="C264" s="113">
        <v>200.92099999999999</v>
      </c>
      <c r="D264" s="113">
        <v>7534</v>
      </c>
      <c r="E264" s="113">
        <v>261</v>
      </c>
      <c r="F264" s="113">
        <v>91</v>
      </c>
      <c r="G264" s="113">
        <v>108.6</v>
      </c>
      <c r="H264" s="113">
        <v>112.2</v>
      </c>
      <c r="I264" s="113">
        <v>-3.7</v>
      </c>
      <c r="J264" s="113">
        <v>97.67</v>
      </c>
      <c r="K264" s="113">
        <v>2.5</v>
      </c>
    </row>
    <row r="265" spans="2:11" x14ac:dyDescent="0.25">
      <c r="B265" s="189"/>
      <c r="C265" s="113">
        <v>200.95400000000001</v>
      </c>
      <c r="D265" s="113">
        <v>7535</v>
      </c>
      <c r="E265" s="113">
        <v>262</v>
      </c>
      <c r="F265" s="113">
        <v>88</v>
      </c>
      <c r="G265" s="113">
        <v>108</v>
      </c>
      <c r="H265" s="113">
        <v>111.3</v>
      </c>
      <c r="I265" s="113">
        <v>-3.7</v>
      </c>
      <c r="J265" s="113">
        <v>97.67</v>
      </c>
      <c r="K265" s="113">
        <v>0.4</v>
      </c>
    </row>
    <row r="266" spans="2:11" x14ac:dyDescent="0.25">
      <c r="B266" s="189"/>
      <c r="C266" s="113">
        <v>200.988</v>
      </c>
      <c r="D266" s="113">
        <v>7536</v>
      </c>
      <c r="E266" s="113">
        <v>263</v>
      </c>
      <c r="F266" s="113">
        <v>87</v>
      </c>
      <c r="G266" s="113">
        <v>106.2</v>
      </c>
      <c r="H266" s="113">
        <v>110.5</v>
      </c>
      <c r="I266" s="113">
        <v>-3.7</v>
      </c>
      <c r="J266" s="113">
        <v>97.97</v>
      </c>
      <c r="K266" s="113">
        <v>0</v>
      </c>
    </row>
    <row r="267" spans="2:11" x14ac:dyDescent="0.25">
      <c r="B267" s="189"/>
      <c r="C267" s="113">
        <v>201.02099999999999</v>
      </c>
      <c r="D267" s="113">
        <v>7537</v>
      </c>
      <c r="E267" s="113">
        <v>264</v>
      </c>
      <c r="F267" s="113">
        <v>84</v>
      </c>
      <c r="G267" s="113">
        <v>105.2</v>
      </c>
      <c r="H267" s="113">
        <v>109.4</v>
      </c>
      <c r="I267" s="113">
        <v>-3.7</v>
      </c>
      <c r="J267" s="113">
        <v>97.58</v>
      </c>
      <c r="K267" s="113">
        <v>0</v>
      </c>
    </row>
    <row r="268" spans="2:11" x14ac:dyDescent="0.25">
      <c r="B268" s="189"/>
      <c r="C268" s="113">
        <v>201.05600000000001</v>
      </c>
      <c r="D268" s="113">
        <v>7538</v>
      </c>
      <c r="E268" s="113">
        <v>265</v>
      </c>
      <c r="F268" s="113">
        <v>84</v>
      </c>
      <c r="G268" s="113">
        <v>105.3</v>
      </c>
      <c r="H268" s="113">
        <v>108.5</v>
      </c>
      <c r="I268" s="113">
        <v>-3.7</v>
      </c>
      <c r="J268" s="113">
        <v>96.56</v>
      </c>
      <c r="K268" s="113">
        <v>0.3</v>
      </c>
    </row>
    <row r="269" spans="2:11" x14ac:dyDescent="0.25">
      <c r="B269" s="189"/>
      <c r="C269" s="113">
        <v>201.089</v>
      </c>
      <c r="D269" s="113">
        <v>7539</v>
      </c>
      <c r="E269" s="113">
        <v>266</v>
      </c>
      <c r="F269" s="113">
        <v>86</v>
      </c>
      <c r="G269" s="113">
        <v>104.9</v>
      </c>
      <c r="H269" s="113">
        <v>107.6</v>
      </c>
      <c r="I269" s="113">
        <v>-3.7</v>
      </c>
      <c r="J269" s="113">
        <v>96.51</v>
      </c>
      <c r="K269" s="113">
        <v>1</v>
      </c>
    </row>
    <row r="270" spans="2:11" x14ac:dyDescent="0.25">
      <c r="B270" s="189"/>
      <c r="C270" s="113">
        <v>201.124</v>
      </c>
      <c r="D270" s="113">
        <v>7540</v>
      </c>
      <c r="E270" s="113">
        <v>267</v>
      </c>
      <c r="F270" s="113">
        <v>93</v>
      </c>
      <c r="G270" s="113">
        <v>103.8</v>
      </c>
      <c r="H270" s="113">
        <v>106.4</v>
      </c>
      <c r="I270" s="113">
        <v>-2.8</v>
      </c>
      <c r="J270" s="113">
        <v>96.5</v>
      </c>
      <c r="K270" s="113">
        <v>1.7</v>
      </c>
    </row>
    <row r="271" spans="2:11" x14ac:dyDescent="0.25">
      <c r="B271" s="189"/>
      <c r="C271" s="113">
        <v>201.15799999999999</v>
      </c>
      <c r="D271" s="113">
        <v>7541</v>
      </c>
      <c r="E271" s="113">
        <v>268</v>
      </c>
      <c r="F271" s="113">
        <v>96</v>
      </c>
      <c r="G271" s="113">
        <v>102.4</v>
      </c>
      <c r="H271" s="113">
        <v>105.5</v>
      </c>
      <c r="I271" s="113">
        <v>-1.8</v>
      </c>
      <c r="J271" s="113">
        <v>96.43</v>
      </c>
      <c r="K271" s="113">
        <v>1.3</v>
      </c>
    </row>
    <row r="272" spans="2:11" x14ac:dyDescent="0.25">
      <c r="B272" s="189"/>
      <c r="C272" s="113">
        <v>201.19300000000001</v>
      </c>
      <c r="D272" s="113">
        <v>7542</v>
      </c>
      <c r="E272" s="113">
        <v>269</v>
      </c>
      <c r="F272" s="113">
        <v>100</v>
      </c>
      <c r="G272" s="113">
        <v>101.2</v>
      </c>
      <c r="H272" s="113">
        <v>104.4</v>
      </c>
      <c r="I272" s="113">
        <v>-1.8</v>
      </c>
      <c r="J272" s="113">
        <v>95.81</v>
      </c>
      <c r="K272" s="113">
        <v>0.7</v>
      </c>
    </row>
    <row r="273" spans="2:11" x14ac:dyDescent="0.25">
      <c r="B273" s="189"/>
      <c r="C273" s="113">
        <v>201.22900000000001</v>
      </c>
      <c r="D273" s="113">
        <v>7543</v>
      </c>
      <c r="E273" s="113">
        <v>270</v>
      </c>
      <c r="F273" s="113">
        <v>96</v>
      </c>
      <c r="G273" s="113">
        <v>100.2</v>
      </c>
      <c r="H273" s="113">
        <v>103.5</v>
      </c>
      <c r="I273" s="113">
        <v>-0.8</v>
      </c>
      <c r="J273" s="113">
        <v>94.92</v>
      </c>
      <c r="K273" s="113">
        <v>0.9</v>
      </c>
    </row>
    <row r="274" spans="2:11" x14ac:dyDescent="0.25">
      <c r="B274" s="189"/>
      <c r="C274" s="113">
        <v>201.26499999999999</v>
      </c>
      <c r="D274" s="113">
        <v>7544</v>
      </c>
      <c r="E274" s="113">
        <v>271</v>
      </c>
      <c r="F274" s="113">
        <v>93</v>
      </c>
      <c r="G274" s="113">
        <v>98.4</v>
      </c>
      <c r="H274" s="113">
        <v>102.4</v>
      </c>
      <c r="I274" s="113">
        <v>-2.2000000000000002</v>
      </c>
      <c r="J274" s="113">
        <v>94.5</v>
      </c>
      <c r="K274" s="113">
        <v>1.5</v>
      </c>
    </row>
    <row r="275" spans="2:11" x14ac:dyDescent="0.25">
      <c r="B275" s="189"/>
      <c r="C275" s="113">
        <v>201.30099999999999</v>
      </c>
      <c r="D275" s="113">
        <v>7545</v>
      </c>
      <c r="E275" s="113">
        <v>272</v>
      </c>
      <c r="F275" s="113">
        <v>92</v>
      </c>
      <c r="G275" s="113">
        <v>97.1</v>
      </c>
      <c r="H275" s="113">
        <v>101.2</v>
      </c>
      <c r="I275" s="113">
        <v>-2.2999999999999998</v>
      </c>
      <c r="J275" s="113">
        <v>92.93</v>
      </c>
      <c r="K275" s="113">
        <v>1.8</v>
      </c>
    </row>
    <row r="276" spans="2:11" x14ac:dyDescent="0.25">
      <c r="B276" s="189"/>
      <c r="C276" s="113">
        <v>201.33799999999999</v>
      </c>
      <c r="D276" s="113">
        <v>7546</v>
      </c>
      <c r="E276" s="113">
        <v>273</v>
      </c>
      <c r="F276" s="113">
        <v>91</v>
      </c>
      <c r="G276" s="113">
        <v>96.5</v>
      </c>
      <c r="H276" s="113">
        <v>100.4</v>
      </c>
      <c r="I276" s="113">
        <v>-3.5</v>
      </c>
      <c r="J276" s="113">
        <v>92.79</v>
      </c>
      <c r="K276" s="113">
        <v>1.8</v>
      </c>
    </row>
    <row r="277" spans="2:11" x14ac:dyDescent="0.25">
      <c r="B277" s="189"/>
      <c r="C277" s="113">
        <v>201.376</v>
      </c>
      <c r="D277" s="113">
        <v>7547</v>
      </c>
      <c r="E277" s="113">
        <v>274</v>
      </c>
      <c r="F277" s="113">
        <v>90</v>
      </c>
      <c r="G277" s="113">
        <v>95.9</v>
      </c>
      <c r="H277" s="113">
        <v>99</v>
      </c>
      <c r="I277" s="113">
        <v>-3.6</v>
      </c>
      <c r="J277" s="113">
        <v>92.19</v>
      </c>
      <c r="K277" s="113">
        <v>1.8</v>
      </c>
    </row>
    <row r="278" spans="2:11" x14ac:dyDescent="0.25">
      <c r="B278" s="189"/>
      <c r="C278" s="113">
        <v>201.41200000000001</v>
      </c>
      <c r="D278" s="113">
        <v>7548</v>
      </c>
      <c r="E278" s="113">
        <v>275</v>
      </c>
      <c r="F278" s="113">
        <v>88</v>
      </c>
      <c r="G278" s="113">
        <v>95.5</v>
      </c>
      <c r="H278" s="113">
        <v>97.7</v>
      </c>
      <c r="I278" s="113">
        <v>-3.7</v>
      </c>
      <c r="J278" s="113">
        <v>90.5</v>
      </c>
      <c r="K278" s="113">
        <v>1.8</v>
      </c>
    </row>
    <row r="279" spans="2:11" x14ac:dyDescent="0.25">
      <c r="B279" s="189"/>
      <c r="C279" s="113">
        <v>201.45</v>
      </c>
      <c r="D279" s="113">
        <v>7549</v>
      </c>
      <c r="E279" s="113">
        <v>276</v>
      </c>
      <c r="F279" s="113">
        <v>87</v>
      </c>
      <c r="G279" s="113">
        <v>94.7</v>
      </c>
      <c r="H279" s="113">
        <v>96.4</v>
      </c>
      <c r="I279" s="113">
        <v>-3.4</v>
      </c>
      <c r="J279" s="113">
        <v>89.49</v>
      </c>
      <c r="K279" s="113">
        <v>1.1000000000000001</v>
      </c>
    </row>
    <row r="280" spans="2:11" x14ac:dyDescent="0.25">
      <c r="B280" s="189"/>
      <c r="C280" s="113">
        <v>201.488</v>
      </c>
      <c r="D280" s="113">
        <v>7550</v>
      </c>
      <c r="E280" s="113">
        <v>277</v>
      </c>
      <c r="F280" s="113">
        <v>86</v>
      </c>
      <c r="G280" s="113">
        <v>93.9</v>
      </c>
      <c r="H280" s="113">
        <v>95.5</v>
      </c>
      <c r="I280" s="113">
        <v>-2.7</v>
      </c>
      <c r="J280" s="113">
        <v>89.16</v>
      </c>
      <c r="K280" s="113">
        <v>-0.1</v>
      </c>
    </row>
    <row r="281" spans="2:11" x14ac:dyDescent="0.25">
      <c r="B281" s="189"/>
      <c r="C281" s="113">
        <v>201.52600000000001</v>
      </c>
      <c r="D281" s="113">
        <v>7551</v>
      </c>
      <c r="E281" s="113">
        <v>278</v>
      </c>
      <c r="F281" s="113">
        <v>86</v>
      </c>
      <c r="G281" s="113">
        <v>93.6</v>
      </c>
      <c r="H281" s="113">
        <v>94.2</v>
      </c>
      <c r="I281" s="113">
        <v>-1.6</v>
      </c>
      <c r="J281" s="113">
        <v>89.13</v>
      </c>
      <c r="K281" s="113">
        <v>-1.9</v>
      </c>
    </row>
    <row r="282" spans="2:11" x14ac:dyDescent="0.25">
      <c r="B282" s="189"/>
      <c r="C282" s="113">
        <v>201.565</v>
      </c>
      <c r="D282" s="113">
        <v>7552</v>
      </c>
      <c r="E282" s="113">
        <v>279</v>
      </c>
      <c r="F282" s="113">
        <v>85</v>
      </c>
      <c r="G282" s="113">
        <v>91.9</v>
      </c>
      <c r="H282" s="113">
        <v>93.1</v>
      </c>
      <c r="I282" s="113">
        <v>-1.1000000000000001</v>
      </c>
      <c r="J282" s="113">
        <v>89.17</v>
      </c>
      <c r="K282" s="113">
        <v>-2.8</v>
      </c>
    </row>
    <row r="283" spans="2:11" x14ac:dyDescent="0.25">
      <c r="B283" s="189"/>
      <c r="C283" s="113">
        <v>201.60400000000001</v>
      </c>
      <c r="D283" s="113">
        <v>7553</v>
      </c>
      <c r="E283" s="113">
        <v>280</v>
      </c>
      <c r="F283" s="113">
        <v>86</v>
      </c>
      <c r="G283" s="113">
        <v>91.4</v>
      </c>
      <c r="H283" s="113">
        <v>91.9</v>
      </c>
      <c r="I283" s="113">
        <v>-0.2</v>
      </c>
      <c r="J283" s="113">
        <v>89.02</v>
      </c>
      <c r="K283" s="113">
        <v>-3.5</v>
      </c>
    </row>
    <row r="284" spans="2:11" x14ac:dyDescent="0.25">
      <c r="B284" s="189"/>
      <c r="C284" s="113">
        <v>201.643</v>
      </c>
      <c r="D284" s="113">
        <v>7554</v>
      </c>
      <c r="E284" s="113">
        <v>281</v>
      </c>
      <c r="F284" s="113">
        <v>86</v>
      </c>
      <c r="G284" s="113">
        <v>90.4</v>
      </c>
      <c r="H284" s="113">
        <v>90.8</v>
      </c>
      <c r="I284" s="113">
        <v>-0.2</v>
      </c>
      <c r="J284" s="113">
        <v>89.34</v>
      </c>
      <c r="K284" s="113">
        <v>-1.3</v>
      </c>
    </row>
    <row r="285" spans="2:11" x14ac:dyDescent="0.25">
      <c r="B285" s="189"/>
      <c r="C285" s="113">
        <v>201.68299999999999</v>
      </c>
      <c r="D285" s="113">
        <v>7555</v>
      </c>
      <c r="E285" s="113">
        <v>282</v>
      </c>
      <c r="F285" s="113">
        <v>85</v>
      </c>
      <c r="G285" s="113">
        <v>88.4</v>
      </c>
      <c r="H285" s="113">
        <v>89.8</v>
      </c>
      <c r="I285" s="113">
        <v>0</v>
      </c>
      <c r="J285" s="113">
        <v>89.44</v>
      </c>
      <c r="K285" s="113">
        <v>0.7</v>
      </c>
    </row>
    <row r="286" spans="2:11" x14ac:dyDescent="0.25">
      <c r="B286" s="189"/>
      <c r="C286" s="113">
        <v>201.72300000000001</v>
      </c>
      <c r="D286" s="113">
        <v>7556</v>
      </c>
      <c r="E286" s="113">
        <v>283</v>
      </c>
      <c r="F286" s="113">
        <v>85</v>
      </c>
      <c r="G286" s="113">
        <v>87.8</v>
      </c>
      <c r="H286" s="113">
        <v>88.8</v>
      </c>
      <c r="I286" s="113">
        <v>0.4</v>
      </c>
      <c r="J286" s="113">
        <v>88.53</v>
      </c>
      <c r="K286" s="113">
        <v>1.3</v>
      </c>
    </row>
    <row r="287" spans="2:11" x14ac:dyDescent="0.25">
      <c r="B287" s="189"/>
      <c r="C287" s="113">
        <v>201.76400000000001</v>
      </c>
      <c r="D287" s="113">
        <v>7557</v>
      </c>
      <c r="E287" s="113">
        <v>284</v>
      </c>
      <c r="F287" s="113">
        <v>84</v>
      </c>
      <c r="G287" s="113">
        <v>86.5</v>
      </c>
      <c r="H287" s="113">
        <v>87.8</v>
      </c>
      <c r="I287" s="113">
        <v>-0.9</v>
      </c>
      <c r="J287" s="113">
        <v>88.33</v>
      </c>
      <c r="K287" s="113">
        <v>1.8</v>
      </c>
    </row>
    <row r="288" spans="2:11" x14ac:dyDescent="0.25">
      <c r="B288" s="189"/>
      <c r="C288" s="113">
        <v>201.80600000000001</v>
      </c>
      <c r="D288" s="113">
        <v>7558</v>
      </c>
      <c r="E288" s="113">
        <v>285</v>
      </c>
      <c r="F288" s="113">
        <v>83</v>
      </c>
      <c r="G288" s="113">
        <v>84.8</v>
      </c>
      <c r="H288" s="113">
        <v>86.9</v>
      </c>
      <c r="I288" s="113">
        <v>-1.3</v>
      </c>
      <c r="J288" s="113">
        <v>85.54</v>
      </c>
      <c r="K288" s="113">
        <v>1.8</v>
      </c>
    </row>
    <row r="289" spans="2:11" x14ac:dyDescent="0.25">
      <c r="B289" s="189"/>
      <c r="C289" s="113">
        <v>201.84800000000001</v>
      </c>
      <c r="D289" s="113">
        <v>7559</v>
      </c>
      <c r="E289" s="113">
        <v>286</v>
      </c>
      <c r="F289" s="113">
        <v>84</v>
      </c>
      <c r="G289" s="113">
        <v>83.4</v>
      </c>
      <c r="H289" s="113">
        <v>86</v>
      </c>
      <c r="I289" s="113">
        <v>-2.2000000000000002</v>
      </c>
      <c r="J289" s="113">
        <v>84.9</v>
      </c>
      <c r="K289" s="113">
        <v>1.8</v>
      </c>
    </row>
    <row r="290" spans="2:11" x14ac:dyDescent="0.25">
      <c r="B290" s="189"/>
      <c r="C290" s="113">
        <v>201.89099999999999</v>
      </c>
      <c r="D290" s="113">
        <v>7560</v>
      </c>
      <c r="E290" s="113">
        <v>287</v>
      </c>
      <c r="F290" s="113">
        <v>80</v>
      </c>
      <c r="G290" s="113">
        <v>82.1</v>
      </c>
      <c r="H290" s="113">
        <v>84.9</v>
      </c>
      <c r="I290" s="113">
        <v>-2.9</v>
      </c>
      <c r="J290" s="113">
        <v>87.72</v>
      </c>
      <c r="K290" s="113">
        <v>2.2999999999999998</v>
      </c>
    </row>
    <row r="291" spans="2:11" x14ac:dyDescent="0.25">
      <c r="B291" s="189"/>
      <c r="C291" s="113">
        <v>201.935</v>
      </c>
      <c r="D291" s="113">
        <v>7561</v>
      </c>
      <c r="E291" s="113">
        <v>288</v>
      </c>
      <c r="F291" s="113">
        <v>79</v>
      </c>
      <c r="G291" s="113">
        <v>80.7</v>
      </c>
      <c r="H291" s="113">
        <v>84</v>
      </c>
      <c r="I291" s="113">
        <v>-3.7</v>
      </c>
      <c r="J291" s="113">
        <v>91.06</v>
      </c>
      <c r="K291" s="113">
        <v>2.2000000000000002</v>
      </c>
    </row>
    <row r="292" spans="2:11" x14ac:dyDescent="0.25">
      <c r="B292" s="189"/>
      <c r="C292" s="113">
        <v>201.97900000000001</v>
      </c>
      <c r="D292" s="113">
        <v>7562</v>
      </c>
      <c r="E292" s="113">
        <v>289</v>
      </c>
      <c r="F292" s="113">
        <v>80</v>
      </c>
      <c r="G292" s="113">
        <v>80.8</v>
      </c>
      <c r="H292" s="113">
        <v>83.3</v>
      </c>
      <c r="I292" s="113">
        <v>-3.7</v>
      </c>
      <c r="J292" s="113">
        <v>91.72</v>
      </c>
      <c r="K292" s="113">
        <v>1.2</v>
      </c>
    </row>
    <row r="293" spans="2:11" x14ac:dyDescent="0.25">
      <c r="B293" s="189"/>
      <c r="C293" s="113">
        <v>202.024</v>
      </c>
      <c r="D293" s="113">
        <v>7563</v>
      </c>
      <c r="E293" s="113">
        <v>290</v>
      </c>
      <c r="F293" s="113">
        <v>74</v>
      </c>
      <c r="G293" s="113">
        <v>78.8</v>
      </c>
      <c r="H293" s="113">
        <v>82.4</v>
      </c>
      <c r="I293" s="113">
        <v>-3.7</v>
      </c>
      <c r="J293" s="113">
        <v>96.2</v>
      </c>
      <c r="K293" s="113">
        <v>0.9</v>
      </c>
    </row>
    <row r="294" spans="2:11" x14ac:dyDescent="0.25">
      <c r="B294" s="189"/>
      <c r="C294" s="113">
        <v>202.06899999999999</v>
      </c>
      <c r="D294" s="113">
        <v>7564</v>
      </c>
      <c r="E294" s="113">
        <v>291</v>
      </c>
      <c r="F294" s="113">
        <v>72</v>
      </c>
      <c r="G294" s="113">
        <v>77.3</v>
      </c>
      <c r="H294" s="113">
        <v>81.599999999999994</v>
      </c>
      <c r="I294" s="113">
        <v>-3.7</v>
      </c>
      <c r="J294" s="113">
        <v>96.03</v>
      </c>
      <c r="K294" s="113">
        <v>1.5</v>
      </c>
    </row>
    <row r="295" spans="2:11" x14ac:dyDescent="0.25">
      <c r="B295" s="189"/>
      <c r="C295" s="113">
        <v>202.11600000000001</v>
      </c>
      <c r="D295" s="113">
        <v>7565</v>
      </c>
      <c r="E295" s="113">
        <v>292</v>
      </c>
      <c r="F295" s="113">
        <v>70</v>
      </c>
      <c r="G295" s="113">
        <v>76.900000000000006</v>
      </c>
      <c r="H295" s="113">
        <v>80.7</v>
      </c>
      <c r="I295" s="113">
        <v>-3.7</v>
      </c>
      <c r="J295" s="113">
        <v>96.12</v>
      </c>
      <c r="K295" s="113">
        <v>0.8</v>
      </c>
    </row>
    <row r="296" spans="2:11" x14ac:dyDescent="0.25">
      <c r="B296" s="189"/>
      <c r="C296" s="113">
        <v>202.16300000000001</v>
      </c>
      <c r="D296" s="113">
        <v>7566</v>
      </c>
      <c r="E296" s="113">
        <v>293</v>
      </c>
      <c r="F296" s="113">
        <v>67</v>
      </c>
      <c r="G296" s="113">
        <v>75.5</v>
      </c>
      <c r="H296" s="113">
        <v>79.599999999999994</v>
      </c>
      <c r="I296" s="113">
        <v>-3.8</v>
      </c>
      <c r="J296" s="113">
        <v>95.88</v>
      </c>
      <c r="K296" s="113">
        <v>-0.6</v>
      </c>
    </row>
    <row r="297" spans="2:11" x14ac:dyDescent="0.25">
      <c r="B297" s="189"/>
      <c r="C297" s="113">
        <v>202.21100000000001</v>
      </c>
      <c r="D297" s="113">
        <v>7567</v>
      </c>
      <c r="E297" s="113">
        <v>294</v>
      </c>
      <c r="F297" s="113">
        <v>67</v>
      </c>
      <c r="G297" s="113">
        <v>74.599999999999994</v>
      </c>
      <c r="H297" s="113">
        <v>78.5</v>
      </c>
      <c r="I297" s="113">
        <v>-2.8</v>
      </c>
      <c r="J297" s="113">
        <v>95.61</v>
      </c>
      <c r="K297" s="113">
        <v>-0.6</v>
      </c>
    </row>
    <row r="298" spans="2:11" x14ac:dyDescent="0.25">
      <c r="B298" s="189"/>
      <c r="C298" s="113">
        <v>202.25899999999999</v>
      </c>
      <c r="D298" s="113">
        <v>7568</v>
      </c>
      <c r="E298" s="113">
        <v>295</v>
      </c>
      <c r="F298" s="113">
        <v>64</v>
      </c>
      <c r="G298" s="113">
        <v>73</v>
      </c>
      <c r="H298" s="113">
        <v>77.5</v>
      </c>
      <c r="I298" s="113">
        <v>-2.7</v>
      </c>
      <c r="J298" s="113">
        <v>95.57</v>
      </c>
      <c r="K298" s="113">
        <v>-0.5</v>
      </c>
    </row>
    <row r="299" spans="2:11" x14ac:dyDescent="0.25">
      <c r="B299" s="189"/>
      <c r="C299" s="113">
        <v>202.30799999999999</v>
      </c>
      <c r="D299" s="113">
        <v>7569</v>
      </c>
      <c r="E299" s="113">
        <v>296</v>
      </c>
      <c r="F299" s="113">
        <v>64</v>
      </c>
      <c r="G299" s="113">
        <v>71.099999999999994</v>
      </c>
      <c r="H299" s="113">
        <v>76.3</v>
      </c>
      <c r="I299" s="113">
        <v>-2.4</v>
      </c>
      <c r="J299" s="113">
        <v>95.5</v>
      </c>
      <c r="K299" s="113">
        <v>-0.1</v>
      </c>
    </row>
    <row r="300" spans="2:11" x14ac:dyDescent="0.25">
      <c r="B300" s="189"/>
      <c r="C300" s="113">
        <v>202.35900000000001</v>
      </c>
      <c r="D300" s="113">
        <v>7570</v>
      </c>
      <c r="E300" s="113">
        <v>297</v>
      </c>
      <c r="F300" s="113">
        <v>62</v>
      </c>
      <c r="G300" s="113">
        <v>70.2</v>
      </c>
      <c r="H300" s="113">
        <v>74.900000000000006</v>
      </c>
      <c r="I300" s="113">
        <v>-2.5</v>
      </c>
      <c r="J300" s="113">
        <v>95.2</v>
      </c>
      <c r="K300" s="113">
        <v>-0.3</v>
      </c>
    </row>
    <row r="301" spans="2:11" x14ac:dyDescent="0.25">
      <c r="B301" s="189"/>
      <c r="C301" s="113">
        <v>202.41</v>
      </c>
      <c r="D301" s="113">
        <v>7571</v>
      </c>
      <c r="E301" s="113">
        <v>298</v>
      </c>
      <c r="F301" s="113">
        <v>62</v>
      </c>
      <c r="G301" s="113">
        <v>67.8</v>
      </c>
      <c r="H301" s="113">
        <v>73.099999999999994</v>
      </c>
      <c r="I301" s="113">
        <v>-3.2</v>
      </c>
      <c r="J301" s="113">
        <v>95.08</v>
      </c>
      <c r="K301" s="113">
        <v>-1.1000000000000001</v>
      </c>
    </row>
    <row r="302" spans="2:11" x14ac:dyDescent="0.25">
      <c r="B302" s="189"/>
      <c r="C302" s="113">
        <v>202.46299999999999</v>
      </c>
      <c r="D302" s="113">
        <v>7572</v>
      </c>
      <c r="E302" s="113">
        <v>299</v>
      </c>
      <c r="F302" s="113">
        <v>60</v>
      </c>
      <c r="G302" s="113">
        <v>66.8</v>
      </c>
      <c r="H302" s="113">
        <v>71.400000000000006</v>
      </c>
      <c r="I302" s="113">
        <v>-3.6</v>
      </c>
      <c r="J302" s="113">
        <v>94.46</v>
      </c>
      <c r="K302" s="113">
        <v>-3.1</v>
      </c>
    </row>
    <row r="303" spans="2:11" x14ac:dyDescent="0.25">
      <c r="B303" s="189"/>
      <c r="C303" s="113">
        <v>202.517</v>
      </c>
      <c r="D303" s="113">
        <v>7573</v>
      </c>
      <c r="E303" s="113">
        <v>300</v>
      </c>
      <c r="F303" s="113">
        <v>59</v>
      </c>
      <c r="G303" s="113">
        <v>65.400000000000006</v>
      </c>
      <c r="H303" s="113">
        <v>69.8</v>
      </c>
      <c r="I303" s="113">
        <v>-3.6</v>
      </c>
      <c r="J303" s="113">
        <v>94.19</v>
      </c>
      <c r="K303" s="113">
        <v>-3.5</v>
      </c>
    </row>
    <row r="304" spans="2:11" x14ac:dyDescent="0.25">
      <c r="B304" s="189"/>
      <c r="C304" s="113">
        <v>202.572</v>
      </c>
      <c r="D304" s="113">
        <v>7574</v>
      </c>
      <c r="E304" s="113">
        <v>301</v>
      </c>
      <c r="F304" s="113">
        <v>58</v>
      </c>
      <c r="G304" s="113">
        <v>63.9</v>
      </c>
      <c r="H304" s="113">
        <v>67.900000000000006</v>
      </c>
      <c r="I304" s="113">
        <v>-3.6</v>
      </c>
      <c r="J304" s="113">
        <v>94.26</v>
      </c>
      <c r="K304" s="113">
        <v>-3.1</v>
      </c>
    </row>
    <row r="305" spans="2:11" x14ac:dyDescent="0.25">
      <c r="B305" s="189"/>
      <c r="C305" s="113">
        <v>202.62899999999999</v>
      </c>
      <c r="D305" s="113">
        <v>7575</v>
      </c>
      <c r="E305" s="113">
        <v>302</v>
      </c>
      <c r="F305" s="113">
        <v>57</v>
      </c>
      <c r="G305" s="113">
        <v>61.9</v>
      </c>
      <c r="H305" s="113">
        <v>66.3</v>
      </c>
      <c r="I305" s="113">
        <v>-3.3</v>
      </c>
      <c r="J305" s="113">
        <v>94.58</v>
      </c>
      <c r="K305" s="113">
        <v>-3.1</v>
      </c>
    </row>
    <row r="306" spans="2:11" x14ac:dyDescent="0.25">
      <c r="B306" s="189"/>
      <c r="C306" s="113">
        <v>202.68700000000001</v>
      </c>
      <c r="D306" s="113">
        <v>7576</v>
      </c>
      <c r="E306" s="113">
        <v>303</v>
      </c>
      <c r="F306" s="113">
        <v>56</v>
      </c>
      <c r="G306" s="113">
        <v>59.7</v>
      </c>
      <c r="H306" s="113">
        <v>64.400000000000006</v>
      </c>
      <c r="I306" s="113">
        <v>-3.6</v>
      </c>
      <c r="J306" s="113">
        <v>95.13</v>
      </c>
      <c r="K306" s="113">
        <v>-6.5</v>
      </c>
    </row>
    <row r="307" spans="2:11" x14ac:dyDescent="0.25">
      <c r="B307" s="189"/>
      <c r="C307" s="113">
        <v>202.74799999999999</v>
      </c>
      <c r="D307" s="113">
        <v>7577</v>
      </c>
      <c r="E307" s="113">
        <v>304</v>
      </c>
      <c r="F307" s="113">
        <v>54</v>
      </c>
      <c r="G307" s="113">
        <v>58.5</v>
      </c>
      <c r="H307" s="113">
        <v>62.5</v>
      </c>
      <c r="I307" s="113">
        <v>-3.6</v>
      </c>
      <c r="J307" s="113">
        <v>94.85</v>
      </c>
      <c r="K307" s="113">
        <v>-11.1</v>
      </c>
    </row>
    <row r="308" spans="2:11" x14ac:dyDescent="0.25">
      <c r="B308" s="189"/>
      <c r="C308" s="113">
        <v>202.809</v>
      </c>
      <c r="D308" s="113">
        <v>7578</v>
      </c>
      <c r="E308" s="113">
        <v>305</v>
      </c>
      <c r="F308" s="113">
        <v>52</v>
      </c>
      <c r="G308" s="113">
        <v>57</v>
      </c>
      <c r="H308" s="113">
        <v>60.7</v>
      </c>
      <c r="I308" s="113">
        <v>-3.6</v>
      </c>
      <c r="J308" s="113">
        <v>94.73</v>
      </c>
      <c r="K308" s="113">
        <v>-15.1</v>
      </c>
    </row>
    <row r="309" spans="2:11" ht="15.75" thickBot="1" x14ac:dyDescent="0.3">
      <c r="B309" s="190"/>
      <c r="C309" s="113">
        <v>202.87299999999999</v>
      </c>
      <c r="D309" s="113">
        <v>7579</v>
      </c>
      <c r="E309" s="113">
        <v>306</v>
      </c>
      <c r="F309" s="113">
        <v>50</v>
      </c>
      <c r="G309" s="113">
        <v>56</v>
      </c>
      <c r="H309" s="113">
        <v>58.5</v>
      </c>
      <c r="I309" s="113">
        <v>-3.6</v>
      </c>
      <c r="J309" s="113">
        <v>94.34</v>
      </c>
      <c r="K309" s="113">
        <v>-10.4</v>
      </c>
    </row>
    <row r="310" spans="2:11" x14ac:dyDescent="0.25">
      <c r="B310" s="204" t="s">
        <v>185</v>
      </c>
      <c r="C310" s="113">
        <v>202.93700000000001</v>
      </c>
      <c r="D310" s="113">
        <v>7580</v>
      </c>
      <c r="E310" s="113">
        <v>307</v>
      </c>
      <c r="F310" s="113">
        <v>49</v>
      </c>
      <c r="G310" s="113">
        <v>54.2</v>
      </c>
      <c r="H310" s="113">
        <v>56.7</v>
      </c>
      <c r="I310" s="113">
        <v>-2.6</v>
      </c>
      <c r="J310" s="113">
        <v>94.28</v>
      </c>
      <c r="K310" s="113">
        <v>-15.3</v>
      </c>
    </row>
    <row r="311" spans="2:11" x14ac:dyDescent="0.25">
      <c r="B311" s="205"/>
      <c r="C311" s="113">
        <v>203.00399999999999</v>
      </c>
      <c r="D311" s="113">
        <v>7581</v>
      </c>
      <c r="E311" s="113">
        <v>308</v>
      </c>
      <c r="F311" s="113">
        <v>49</v>
      </c>
      <c r="G311" s="113">
        <v>51.6</v>
      </c>
      <c r="H311" s="113">
        <v>55</v>
      </c>
      <c r="I311" s="113">
        <v>-2</v>
      </c>
      <c r="J311" s="113">
        <v>93.2</v>
      </c>
      <c r="K311" s="113">
        <v>-17.8</v>
      </c>
    </row>
    <row r="312" spans="2:11" x14ac:dyDescent="0.25">
      <c r="B312" s="205"/>
      <c r="C312" s="113">
        <v>203.07300000000001</v>
      </c>
      <c r="D312" s="113">
        <v>7582</v>
      </c>
      <c r="E312" s="113">
        <v>309</v>
      </c>
      <c r="F312" s="113">
        <v>48</v>
      </c>
      <c r="G312" s="113">
        <v>50.5</v>
      </c>
      <c r="H312" s="113">
        <v>53.3</v>
      </c>
      <c r="I312" s="113">
        <v>-2.5</v>
      </c>
      <c r="J312" s="113">
        <v>92.57</v>
      </c>
      <c r="K312" s="113">
        <v>-19.7</v>
      </c>
    </row>
    <row r="313" spans="2:11" x14ac:dyDescent="0.25">
      <c r="B313" s="205"/>
      <c r="C313" s="113">
        <v>203.14400000000001</v>
      </c>
      <c r="D313" s="113">
        <v>7583</v>
      </c>
      <c r="E313" s="113">
        <v>310</v>
      </c>
      <c r="F313" s="113">
        <v>47</v>
      </c>
      <c r="G313" s="113">
        <v>50</v>
      </c>
      <c r="H313" s="113">
        <v>51.7</v>
      </c>
      <c r="I313" s="113">
        <v>-2.6</v>
      </c>
      <c r="J313" s="113">
        <v>90.61</v>
      </c>
      <c r="K313" s="113">
        <v>-17.7</v>
      </c>
    </row>
    <row r="314" spans="2:11" x14ac:dyDescent="0.25">
      <c r="B314" s="205"/>
      <c r="C314" s="113">
        <v>203.21700000000001</v>
      </c>
      <c r="D314" s="113">
        <v>7584</v>
      </c>
      <c r="E314" s="113">
        <v>311</v>
      </c>
      <c r="F314" s="113">
        <v>47</v>
      </c>
      <c r="G314" s="113">
        <v>48.9</v>
      </c>
      <c r="H314" s="113">
        <v>50</v>
      </c>
      <c r="I314" s="113">
        <v>-1.7</v>
      </c>
      <c r="J314" s="113">
        <v>90.91</v>
      </c>
      <c r="K314" s="113">
        <v>-9.6999999999999993</v>
      </c>
    </row>
    <row r="315" spans="2:11" x14ac:dyDescent="0.25">
      <c r="B315" s="205"/>
      <c r="C315" s="113">
        <v>203.291</v>
      </c>
      <c r="D315" s="113">
        <v>7585</v>
      </c>
      <c r="E315" s="113">
        <v>312</v>
      </c>
      <c r="F315" s="113">
        <v>47</v>
      </c>
      <c r="G315" s="113">
        <v>47.2</v>
      </c>
      <c r="H315" s="113">
        <v>48.2</v>
      </c>
      <c r="I315" s="113">
        <v>1</v>
      </c>
      <c r="J315" s="113">
        <v>93.78</v>
      </c>
      <c r="K315" s="113">
        <v>-24.6</v>
      </c>
    </row>
    <row r="316" spans="2:11" x14ac:dyDescent="0.25">
      <c r="B316" s="205"/>
      <c r="C316" s="113">
        <v>203.36699999999999</v>
      </c>
      <c r="D316" s="113">
        <v>7586</v>
      </c>
      <c r="E316" s="113">
        <v>313</v>
      </c>
      <c r="F316" s="113">
        <v>48</v>
      </c>
      <c r="G316" s="113">
        <v>46.5</v>
      </c>
      <c r="H316" s="113">
        <v>46.5</v>
      </c>
      <c r="I316" s="113">
        <v>2.4</v>
      </c>
      <c r="J316" s="113">
        <v>94.62</v>
      </c>
      <c r="K316" s="113">
        <v>-33.1</v>
      </c>
    </row>
    <row r="317" spans="2:11" x14ac:dyDescent="0.25">
      <c r="B317" s="205"/>
      <c r="C317" s="113">
        <v>203.44499999999999</v>
      </c>
      <c r="D317" s="113">
        <v>7587</v>
      </c>
      <c r="E317" s="113">
        <v>314</v>
      </c>
      <c r="F317" s="113">
        <v>46</v>
      </c>
      <c r="G317" s="113">
        <v>44.8</v>
      </c>
      <c r="H317" s="113">
        <v>44.3</v>
      </c>
      <c r="I317" s="113">
        <v>4.8</v>
      </c>
      <c r="J317" s="113">
        <v>98.95</v>
      </c>
      <c r="K317" s="113">
        <v>-33.1</v>
      </c>
    </row>
    <row r="318" spans="2:11" x14ac:dyDescent="0.25">
      <c r="B318" s="205"/>
      <c r="C318" s="113">
        <v>203.52600000000001</v>
      </c>
      <c r="D318" s="113">
        <v>7588</v>
      </c>
      <c r="E318" s="113">
        <v>315</v>
      </c>
      <c r="F318" s="113">
        <v>45</v>
      </c>
      <c r="G318" s="113">
        <v>43.2</v>
      </c>
      <c r="H318" s="113">
        <v>42.2</v>
      </c>
      <c r="I318" s="113">
        <v>5.0999999999999996</v>
      </c>
      <c r="J318" s="113">
        <v>98.55</v>
      </c>
      <c r="K318" s="113">
        <v>-34.299999999999997</v>
      </c>
    </row>
    <row r="319" spans="2:11" x14ac:dyDescent="0.25">
      <c r="B319" s="205"/>
      <c r="C319" s="113">
        <v>203.61099999999999</v>
      </c>
      <c r="D319" s="113">
        <v>7589</v>
      </c>
      <c r="E319" s="113">
        <v>316</v>
      </c>
      <c r="F319" s="113">
        <v>42</v>
      </c>
      <c r="G319" s="113">
        <v>41</v>
      </c>
      <c r="H319" s="113">
        <v>40.1</v>
      </c>
      <c r="I319" s="113">
        <v>4.4000000000000004</v>
      </c>
      <c r="J319" s="113">
        <v>93.91</v>
      </c>
      <c r="K319" s="113">
        <v>-40.200000000000003</v>
      </c>
    </row>
    <row r="320" spans="2:11" x14ac:dyDescent="0.25">
      <c r="B320" s="205"/>
      <c r="C320" s="113">
        <v>203.69900000000001</v>
      </c>
      <c r="D320" s="113">
        <v>7590</v>
      </c>
      <c r="E320" s="113">
        <v>317</v>
      </c>
      <c r="F320" s="113">
        <v>41</v>
      </c>
      <c r="G320" s="113">
        <v>40.6</v>
      </c>
      <c r="H320" s="113">
        <v>38.299999999999997</v>
      </c>
      <c r="I320" s="113">
        <v>3.5</v>
      </c>
      <c r="J320" s="113">
        <v>89.35</v>
      </c>
      <c r="K320" s="113">
        <v>-44.3</v>
      </c>
    </row>
    <row r="321" spans="2:11" x14ac:dyDescent="0.25">
      <c r="B321" s="205"/>
      <c r="C321" s="113">
        <v>203.78700000000001</v>
      </c>
      <c r="D321" s="113">
        <v>7591</v>
      </c>
      <c r="E321" s="113">
        <v>318</v>
      </c>
      <c r="F321" s="113">
        <v>40</v>
      </c>
      <c r="G321" s="113">
        <v>40.5</v>
      </c>
      <c r="H321" s="113">
        <v>36.5</v>
      </c>
      <c r="I321" s="113">
        <v>5.3</v>
      </c>
      <c r="J321" s="113">
        <v>83.69</v>
      </c>
      <c r="K321" s="113">
        <v>-44.1</v>
      </c>
    </row>
    <row r="322" spans="2:11" x14ac:dyDescent="0.25">
      <c r="B322" s="205"/>
      <c r="C322" s="113">
        <v>203.876</v>
      </c>
      <c r="D322" s="113">
        <v>7592</v>
      </c>
      <c r="E322" s="113">
        <v>319</v>
      </c>
      <c r="F322" s="113">
        <v>40</v>
      </c>
      <c r="G322" s="113">
        <v>39.5</v>
      </c>
      <c r="H322" s="113">
        <v>35</v>
      </c>
      <c r="I322" s="113">
        <v>7.3</v>
      </c>
      <c r="J322" s="113">
        <v>64.95</v>
      </c>
      <c r="K322" s="113">
        <v>-43.6</v>
      </c>
    </row>
    <row r="323" spans="2:11" x14ac:dyDescent="0.25">
      <c r="B323" s="205"/>
      <c r="C323" s="113">
        <v>203.96799999999999</v>
      </c>
      <c r="D323" s="113">
        <v>7593</v>
      </c>
      <c r="E323" s="113">
        <v>320</v>
      </c>
      <c r="F323" s="113">
        <v>38</v>
      </c>
      <c r="G323" s="113">
        <v>38.6</v>
      </c>
      <c r="H323" s="113">
        <v>33.9</v>
      </c>
      <c r="I323" s="113">
        <v>8.6999999999999993</v>
      </c>
      <c r="J323" s="113">
        <v>60.2</v>
      </c>
      <c r="K323" s="113">
        <v>-44.3</v>
      </c>
    </row>
    <row r="324" spans="2:11" x14ac:dyDescent="0.25">
      <c r="B324" s="205"/>
      <c r="C324" s="113">
        <v>204.06100000000001</v>
      </c>
      <c r="D324" s="113">
        <v>7594</v>
      </c>
      <c r="E324" s="113">
        <v>321</v>
      </c>
      <c r="F324" s="113">
        <v>38</v>
      </c>
      <c r="G324" s="113">
        <v>38.6</v>
      </c>
      <c r="H324" s="113">
        <v>33.1</v>
      </c>
      <c r="I324" s="113">
        <v>9.6</v>
      </c>
      <c r="J324" s="113">
        <v>66.97</v>
      </c>
      <c r="K324" s="113">
        <v>-47.2</v>
      </c>
    </row>
    <row r="325" spans="2:11" x14ac:dyDescent="0.25">
      <c r="B325" s="205"/>
      <c r="C325" s="113">
        <v>204.154</v>
      </c>
      <c r="D325" s="113">
        <v>7595</v>
      </c>
      <c r="E325" s="113">
        <v>322</v>
      </c>
      <c r="F325" s="113">
        <v>40</v>
      </c>
      <c r="G325" s="113">
        <v>38.4</v>
      </c>
      <c r="H325" s="113">
        <v>32.5</v>
      </c>
      <c r="I325" s="113">
        <v>11.1</v>
      </c>
      <c r="J325" s="113">
        <v>70.55</v>
      </c>
      <c r="K325" s="113">
        <v>-13.5</v>
      </c>
    </row>
    <row r="326" spans="2:11" x14ac:dyDescent="0.25">
      <c r="B326" s="205"/>
      <c r="C326" s="113">
        <v>204.24700000000001</v>
      </c>
      <c r="D326" s="113">
        <v>7596</v>
      </c>
      <c r="E326" s="113">
        <v>323</v>
      </c>
      <c r="F326" s="113">
        <v>40</v>
      </c>
      <c r="G326" s="113">
        <v>38.9</v>
      </c>
      <c r="H326" s="113">
        <v>32.1</v>
      </c>
      <c r="I326" s="113">
        <v>12.4</v>
      </c>
      <c r="J326" s="113">
        <v>69.430000000000007</v>
      </c>
      <c r="K326" s="113">
        <v>-11.3</v>
      </c>
    </row>
    <row r="327" spans="2:11" x14ac:dyDescent="0.25">
      <c r="B327" s="205"/>
      <c r="C327" s="113">
        <v>204.33799999999999</v>
      </c>
      <c r="D327" s="113">
        <v>7597</v>
      </c>
      <c r="E327" s="113">
        <v>324</v>
      </c>
      <c r="F327" s="113">
        <v>41</v>
      </c>
      <c r="G327" s="113">
        <v>40.5</v>
      </c>
      <c r="H327" s="113">
        <v>31.8</v>
      </c>
      <c r="I327" s="113">
        <v>13.4</v>
      </c>
      <c r="J327" s="113">
        <v>62.37</v>
      </c>
      <c r="K327" s="113">
        <v>-26.9</v>
      </c>
    </row>
    <row r="328" spans="2:11" x14ac:dyDescent="0.25">
      <c r="B328" s="205"/>
      <c r="C328" s="113">
        <v>204.42599999999999</v>
      </c>
      <c r="D328" s="113">
        <v>7598</v>
      </c>
      <c r="E328" s="113">
        <v>325</v>
      </c>
      <c r="F328" s="113">
        <v>41</v>
      </c>
      <c r="G328" s="113">
        <v>40.799999999999997</v>
      </c>
      <c r="H328" s="113">
        <v>31.7</v>
      </c>
      <c r="I328" s="113">
        <v>14.8</v>
      </c>
      <c r="J328" s="113">
        <v>60.98</v>
      </c>
      <c r="K328" s="113">
        <v>-37.5</v>
      </c>
    </row>
    <row r="329" spans="2:11" x14ac:dyDescent="0.25">
      <c r="B329" s="205"/>
      <c r="C329" s="113">
        <v>204.51400000000001</v>
      </c>
      <c r="D329" s="113">
        <v>7599</v>
      </c>
      <c r="E329" s="113">
        <v>326</v>
      </c>
      <c r="F329" s="113">
        <v>41</v>
      </c>
      <c r="G329" s="113">
        <v>41.1</v>
      </c>
      <c r="H329" s="113">
        <v>32.1</v>
      </c>
      <c r="I329" s="113">
        <v>15.5</v>
      </c>
      <c r="J329" s="113">
        <v>56.62</v>
      </c>
      <c r="K329" s="113">
        <v>-59.1</v>
      </c>
    </row>
    <row r="330" spans="2:11" x14ac:dyDescent="0.25">
      <c r="B330" s="205"/>
      <c r="C330" s="113">
        <v>204.601</v>
      </c>
      <c r="D330" s="113">
        <v>7600</v>
      </c>
      <c r="E330" s="113">
        <v>327</v>
      </c>
      <c r="F330" s="113">
        <v>42</v>
      </c>
      <c r="G330" s="113">
        <v>41.7</v>
      </c>
      <c r="H330" s="113">
        <v>32.9</v>
      </c>
      <c r="I330" s="113">
        <v>14.4</v>
      </c>
      <c r="J330" s="113">
        <v>50</v>
      </c>
      <c r="K330" s="113">
        <v>-58.6</v>
      </c>
    </row>
    <row r="331" spans="2:11" x14ac:dyDescent="0.25">
      <c r="B331" s="205"/>
      <c r="C331" s="113">
        <v>204.68700000000001</v>
      </c>
      <c r="D331" s="113">
        <v>7601</v>
      </c>
      <c r="E331" s="113">
        <v>328</v>
      </c>
      <c r="F331" s="113">
        <v>43</v>
      </c>
      <c r="G331" s="113">
        <v>42.1</v>
      </c>
      <c r="H331" s="113">
        <v>34</v>
      </c>
      <c r="I331" s="113">
        <v>13.2</v>
      </c>
      <c r="J331" s="113">
        <v>47.17</v>
      </c>
      <c r="K331" s="113">
        <v>-57.9</v>
      </c>
    </row>
    <row r="332" spans="2:11" x14ac:dyDescent="0.25">
      <c r="B332" s="205"/>
      <c r="C332" s="113">
        <v>204.77099999999999</v>
      </c>
      <c r="D332" s="113">
        <v>7602</v>
      </c>
      <c r="E332" s="113">
        <v>329</v>
      </c>
      <c r="F332" s="113">
        <v>45</v>
      </c>
      <c r="G332" s="113">
        <v>43.3</v>
      </c>
      <c r="H332" s="113">
        <v>35.299999999999997</v>
      </c>
      <c r="I332" s="113">
        <v>11.8</v>
      </c>
      <c r="J332" s="113">
        <v>43.04</v>
      </c>
      <c r="K332" s="113">
        <v>-52.2</v>
      </c>
    </row>
    <row r="333" spans="2:11" x14ac:dyDescent="0.25">
      <c r="B333" s="205"/>
      <c r="C333" s="113">
        <v>204.85400000000001</v>
      </c>
      <c r="D333" s="113">
        <v>7603</v>
      </c>
      <c r="E333" s="113">
        <v>330</v>
      </c>
      <c r="F333" s="113">
        <v>45</v>
      </c>
      <c r="G333" s="113">
        <v>44.2</v>
      </c>
      <c r="H333" s="113">
        <v>36.6</v>
      </c>
      <c r="I333" s="113">
        <v>11</v>
      </c>
      <c r="J333" s="113">
        <v>38.22</v>
      </c>
      <c r="K333" s="113">
        <v>-46.4</v>
      </c>
    </row>
    <row r="334" spans="2:11" x14ac:dyDescent="0.25">
      <c r="B334" s="205"/>
      <c r="C334" s="113">
        <v>204.934</v>
      </c>
      <c r="D334" s="113">
        <v>7604</v>
      </c>
      <c r="E334" s="113">
        <v>331</v>
      </c>
      <c r="F334" s="113">
        <v>48</v>
      </c>
      <c r="G334" s="113">
        <v>46</v>
      </c>
      <c r="H334" s="113">
        <v>37.9</v>
      </c>
      <c r="I334" s="113">
        <v>10.3</v>
      </c>
      <c r="J334" s="113">
        <v>35.04</v>
      </c>
      <c r="K334" s="113">
        <v>-45.3</v>
      </c>
    </row>
    <row r="335" spans="2:11" x14ac:dyDescent="0.25">
      <c r="B335" s="205"/>
      <c r="C335" s="113">
        <v>205.011</v>
      </c>
      <c r="D335" s="113">
        <v>7605</v>
      </c>
      <c r="E335" s="113">
        <v>332</v>
      </c>
      <c r="F335" s="113">
        <v>49</v>
      </c>
      <c r="G335" s="113">
        <v>47.7</v>
      </c>
      <c r="H335" s="113">
        <v>39</v>
      </c>
      <c r="I335" s="113">
        <v>10.3</v>
      </c>
      <c r="J335" s="113">
        <v>32.15</v>
      </c>
      <c r="K335" s="113">
        <v>-45.5</v>
      </c>
    </row>
    <row r="336" spans="2:11" x14ac:dyDescent="0.25">
      <c r="B336" s="205"/>
      <c r="C336" s="113">
        <v>205.08600000000001</v>
      </c>
      <c r="D336" s="113">
        <v>7606</v>
      </c>
      <c r="E336" s="113">
        <v>333</v>
      </c>
      <c r="F336" s="113">
        <v>51</v>
      </c>
      <c r="G336" s="113">
        <v>49.1</v>
      </c>
      <c r="H336" s="113">
        <v>39.9</v>
      </c>
      <c r="I336" s="113">
        <v>10.3</v>
      </c>
      <c r="J336" s="113">
        <v>24.71</v>
      </c>
      <c r="K336" s="113">
        <v>-44.3</v>
      </c>
    </row>
    <row r="337" spans="2:11" x14ac:dyDescent="0.25">
      <c r="B337" s="205"/>
      <c r="C337" s="113">
        <v>205.15899999999999</v>
      </c>
      <c r="D337" s="113">
        <v>7607</v>
      </c>
      <c r="E337" s="113">
        <v>334</v>
      </c>
      <c r="F337" s="113">
        <v>53</v>
      </c>
      <c r="G337" s="113">
        <v>50.1</v>
      </c>
      <c r="H337" s="113">
        <v>40.799999999999997</v>
      </c>
      <c r="I337" s="113">
        <v>11.4</v>
      </c>
      <c r="J337" s="113">
        <v>23.07</v>
      </c>
      <c r="K337" s="113">
        <v>-28.1</v>
      </c>
    </row>
    <row r="338" spans="2:11" x14ac:dyDescent="0.25">
      <c r="B338" s="205"/>
      <c r="C338" s="113">
        <v>205.23</v>
      </c>
      <c r="D338" s="113">
        <v>7608</v>
      </c>
      <c r="E338" s="113">
        <v>335</v>
      </c>
      <c r="F338" s="113">
        <v>54</v>
      </c>
      <c r="G338" s="113">
        <v>51.9</v>
      </c>
      <c r="H338" s="113">
        <v>41.8</v>
      </c>
      <c r="I338" s="113">
        <v>10</v>
      </c>
      <c r="J338" s="113">
        <v>25.14</v>
      </c>
      <c r="K338" s="113">
        <v>-17.899999999999999</v>
      </c>
    </row>
    <row r="339" spans="2:11" x14ac:dyDescent="0.25">
      <c r="B339" s="205"/>
      <c r="C339" s="113">
        <v>205.29900000000001</v>
      </c>
      <c r="D339" s="113">
        <v>7609</v>
      </c>
      <c r="E339" s="113">
        <v>336</v>
      </c>
      <c r="F339" s="113">
        <v>55</v>
      </c>
      <c r="G339" s="113">
        <v>53.2</v>
      </c>
      <c r="H339" s="113">
        <v>42.5</v>
      </c>
      <c r="I339" s="113">
        <v>10</v>
      </c>
      <c r="J339" s="113">
        <v>26.3</v>
      </c>
      <c r="K339" s="113">
        <v>-32.200000000000003</v>
      </c>
    </row>
    <row r="340" spans="2:11" x14ac:dyDescent="0.25">
      <c r="B340" s="205"/>
      <c r="C340" s="113">
        <v>205.36600000000001</v>
      </c>
      <c r="D340" s="113">
        <v>7610</v>
      </c>
      <c r="E340" s="113">
        <v>337</v>
      </c>
      <c r="F340" s="113">
        <v>57</v>
      </c>
      <c r="G340" s="113">
        <v>54.2</v>
      </c>
      <c r="H340" s="113">
        <v>43.3</v>
      </c>
      <c r="I340" s="113">
        <v>11</v>
      </c>
      <c r="J340" s="113">
        <v>29.11</v>
      </c>
      <c r="K340" s="113">
        <v>-31.5</v>
      </c>
    </row>
    <row r="341" spans="2:11" x14ac:dyDescent="0.25">
      <c r="B341" s="205"/>
      <c r="C341" s="113">
        <v>205.43199999999999</v>
      </c>
      <c r="D341" s="113">
        <v>7611</v>
      </c>
      <c r="E341" s="113">
        <v>338</v>
      </c>
      <c r="F341" s="113">
        <v>58</v>
      </c>
      <c r="G341" s="113">
        <v>55.5</v>
      </c>
      <c r="H341" s="113">
        <v>44.2</v>
      </c>
      <c r="I341" s="113">
        <v>11.1</v>
      </c>
      <c r="J341" s="113">
        <v>27.96</v>
      </c>
      <c r="K341" s="113">
        <v>-18.399999999999999</v>
      </c>
    </row>
    <row r="342" spans="2:11" x14ac:dyDescent="0.25">
      <c r="B342" s="205"/>
      <c r="C342" s="113">
        <v>205.49600000000001</v>
      </c>
      <c r="D342" s="113">
        <v>7612</v>
      </c>
      <c r="E342" s="113">
        <v>339</v>
      </c>
      <c r="F342" s="113">
        <v>59</v>
      </c>
      <c r="G342" s="113">
        <v>56.7</v>
      </c>
      <c r="H342" s="113">
        <v>44.9</v>
      </c>
      <c r="I342" s="113">
        <v>11.1</v>
      </c>
      <c r="J342" s="113">
        <v>28.32</v>
      </c>
      <c r="K342" s="113">
        <v>-24.9</v>
      </c>
    </row>
    <row r="343" spans="2:11" x14ac:dyDescent="0.25">
      <c r="B343" s="205"/>
      <c r="C343" s="113">
        <v>205.559</v>
      </c>
      <c r="D343" s="113">
        <v>7613</v>
      </c>
      <c r="E343" s="113">
        <v>340</v>
      </c>
      <c r="F343" s="113">
        <v>61</v>
      </c>
      <c r="G343" s="113">
        <v>58.8</v>
      </c>
      <c r="H343" s="113">
        <v>46.1</v>
      </c>
      <c r="I343" s="113">
        <v>11.3</v>
      </c>
      <c r="J343" s="113">
        <v>45.96</v>
      </c>
      <c r="K343" s="113">
        <v>-34</v>
      </c>
    </row>
    <row r="344" spans="2:11" x14ac:dyDescent="0.25">
      <c r="B344" s="205"/>
      <c r="C344" s="113">
        <v>205.62</v>
      </c>
      <c r="D344" s="113">
        <v>7614</v>
      </c>
      <c r="E344" s="113">
        <v>341</v>
      </c>
      <c r="F344" s="113">
        <v>63</v>
      </c>
      <c r="G344" s="113">
        <v>60</v>
      </c>
      <c r="H344" s="113">
        <v>48.3</v>
      </c>
      <c r="I344" s="113">
        <v>16.5</v>
      </c>
      <c r="J344" s="113">
        <v>46.04</v>
      </c>
      <c r="K344" s="113">
        <v>-40.5</v>
      </c>
    </row>
    <row r="345" spans="2:11" x14ac:dyDescent="0.25">
      <c r="B345" s="205"/>
      <c r="C345" s="113">
        <v>205.68</v>
      </c>
      <c r="D345" s="113">
        <v>7615</v>
      </c>
      <c r="E345" s="113">
        <v>342</v>
      </c>
      <c r="F345" s="113">
        <v>64</v>
      </c>
      <c r="G345" s="113">
        <v>60.9</v>
      </c>
      <c r="H345" s="113">
        <v>50.3</v>
      </c>
      <c r="I345" s="113">
        <v>17.8</v>
      </c>
      <c r="J345" s="113">
        <v>34.96</v>
      </c>
      <c r="K345" s="113">
        <v>-40.299999999999997</v>
      </c>
    </row>
    <row r="346" spans="2:11" x14ac:dyDescent="0.25">
      <c r="B346" s="205"/>
      <c r="C346" s="113">
        <v>205.739</v>
      </c>
      <c r="D346" s="113">
        <v>7616</v>
      </c>
      <c r="E346" s="113">
        <v>343</v>
      </c>
      <c r="F346" s="113">
        <v>65</v>
      </c>
      <c r="G346" s="113">
        <v>61.7</v>
      </c>
      <c r="H346" s="113">
        <v>52.1</v>
      </c>
      <c r="I346" s="113">
        <v>16.7</v>
      </c>
      <c r="J346" s="113">
        <v>27.15</v>
      </c>
      <c r="K346" s="113">
        <v>-65.3</v>
      </c>
    </row>
    <row r="347" spans="2:11" x14ac:dyDescent="0.25">
      <c r="B347" s="205"/>
      <c r="C347" s="113">
        <v>205.797</v>
      </c>
      <c r="D347" s="113">
        <v>7617</v>
      </c>
      <c r="E347" s="113">
        <v>344</v>
      </c>
      <c r="F347" s="113">
        <v>67</v>
      </c>
      <c r="G347" s="113">
        <v>63</v>
      </c>
      <c r="H347" s="113">
        <v>54.4</v>
      </c>
      <c r="I347" s="113">
        <v>13.1</v>
      </c>
      <c r="J347" s="113">
        <v>19.64</v>
      </c>
      <c r="K347" s="114">
        <v>-78.400000000000006</v>
      </c>
    </row>
    <row r="348" spans="2:11" x14ac:dyDescent="0.25">
      <c r="B348" s="205"/>
      <c r="C348" s="113">
        <v>205.85400000000001</v>
      </c>
      <c r="D348" s="113">
        <v>7618</v>
      </c>
      <c r="E348" s="113">
        <v>345</v>
      </c>
      <c r="F348" s="113">
        <v>69</v>
      </c>
      <c r="G348" s="113">
        <v>64.099999999999994</v>
      </c>
      <c r="H348" s="113">
        <v>56.8</v>
      </c>
      <c r="I348" s="113">
        <v>9.1</v>
      </c>
      <c r="J348" s="113">
        <v>16.52</v>
      </c>
      <c r="K348" s="113">
        <v>-74.400000000000006</v>
      </c>
    </row>
    <row r="349" spans="2:11" x14ac:dyDescent="0.25">
      <c r="B349" s="205"/>
      <c r="C349" s="113">
        <v>205.90899999999999</v>
      </c>
      <c r="D349" s="113">
        <v>7619</v>
      </c>
      <c r="E349" s="113">
        <v>346</v>
      </c>
      <c r="F349" s="113">
        <v>71</v>
      </c>
      <c r="G349" s="113">
        <v>65.599999999999994</v>
      </c>
      <c r="H349" s="113">
        <v>58.9</v>
      </c>
      <c r="I349" s="113">
        <v>7</v>
      </c>
      <c r="J349" s="113">
        <v>10.84</v>
      </c>
      <c r="K349" s="113">
        <v>-59.9</v>
      </c>
    </row>
    <row r="350" spans="2:11" x14ac:dyDescent="0.25">
      <c r="B350" s="205"/>
      <c r="C350" s="113">
        <v>205.964</v>
      </c>
      <c r="D350" s="113">
        <v>7620</v>
      </c>
      <c r="E350" s="113">
        <v>347</v>
      </c>
      <c r="F350" s="113">
        <v>72</v>
      </c>
      <c r="G350" s="113">
        <v>67.3</v>
      </c>
      <c r="H350" s="113">
        <v>60.9</v>
      </c>
      <c r="I350" s="113">
        <v>5.9</v>
      </c>
      <c r="J350" s="113">
        <v>10.75</v>
      </c>
      <c r="K350" s="113">
        <v>-52.3</v>
      </c>
    </row>
    <row r="351" spans="2:11" x14ac:dyDescent="0.25">
      <c r="B351" s="205"/>
      <c r="C351" s="113">
        <v>206.017</v>
      </c>
      <c r="D351" s="113">
        <v>7621</v>
      </c>
      <c r="E351" s="113">
        <v>348</v>
      </c>
      <c r="F351" s="113">
        <v>73</v>
      </c>
      <c r="G351" s="113">
        <v>68.900000000000006</v>
      </c>
      <c r="H351" s="113">
        <v>62</v>
      </c>
      <c r="I351" s="113">
        <v>5.8</v>
      </c>
      <c r="J351" s="113">
        <v>9.11</v>
      </c>
      <c r="K351" s="113">
        <v>-48.5</v>
      </c>
    </row>
    <row r="352" spans="2:11" x14ac:dyDescent="0.25">
      <c r="B352" s="205"/>
      <c r="C352" s="113">
        <v>206.06899999999999</v>
      </c>
      <c r="D352" s="113">
        <v>7622</v>
      </c>
      <c r="E352" s="113">
        <v>349</v>
      </c>
      <c r="F352" s="113">
        <v>75</v>
      </c>
      <c r="G352" s="113">
        <v>70.2</v>
      </c>
      <c r="H352" s="113">
        <v>63.1</v>
      </c>
      <c r="I352" s="113">
        <v>7.3</v>
      </c>
      <c r="J352" s="113">
        <v>13.45</v>
      </c>
      <c r="K352" s="113">
        <v>-44</v>
      </c>
    </row>
    <row r="353" spans="2:11" x14ac:dyDescent="0.25">
      <c r="B353" s="205"/>
      <c r="C353" s="113">
        <v>206.12</v>
      </c>
      <c r="D353" s="113">
        <v>7623</v>
      </c>
      <c r="E353" s="113">
        <v>350</v>
      </c>
      <c r="F353" s="113">
        <v>75</v>
      </c>
      <c r="G353" s="113">
        <v>71.5</v>
      </c>
      <c r="H353" s="113">
        <v>64.400000000000006</v>
      </c>
      <c r="I353" s="113">
        <v>9.1</v>
      </c>
      <c r="J353" s="113">
        <v>10.57</v>
      </c>
      <c r="K353" s="113">
        <v>-24.3</v>
      </c>
    </row>
    <row r="354" spans="2:11" x14ac:dyDescent="0.25">
      <c r="B354" s="205"/>
      <c r="C354" s="113">
        <v>206.17</v>
      </c>
      <c r="D354" s="113">
        <v>7624</v>
      </c>
      <c r="E354" s="113">
        <v>351</v>
      </c>
      <c r="F354" s="113">
        <v>76</v>
      </c>
      <c r="G354" s="113">
        <v>72.099999999999994</v>
      </c>
      <c r="H354" s="113">
        <v>65.7</v>
      </c>
      <c r="I354" s="113">
        <v>9.8000000000000007</v>
      </c>
      <c r="J354" s="113">
        <v>8.01</v>
      </c>
      <c r="K354" s="113">
        <v>-9.3000000000000007</v>
      </c>
    </row>
    <row r="355" spans="2:11" x14ac:dyDescent="0.25">
      <c r="B355" s="205"/>
      <c r="C355" s="113">
        <v>206.22</v>
      </c>
      <c r="D355" s="113">
        <v>7625</v>
      </c>
      <c r="E355" s="113">
        <v>352</v>
      </c>
      <c r="F355" s="113">
        <v>77</v>
      </c>
      <c r="G355" s="113">
        <v>72.2</v>
      </c>
      <c r="H355" s="113">
        <v>66.900000000000006</v>
      </c>
      <c r="I355" s="113">
        <v>8</v>
      </c>
      <c r="J355" s="113">
        <v>5.44</v>
      </c>
      <c r="K355" s="113">
        <v>-9.3000000000000007</v>
      </c>
    </row>
    <row r="356" spans="2:11" x14ac:dyDescent="0.25">
      <c r="B356" s="205"/>
      <c r="C356" s="113">
        <v>206.26900000000001</v>
      </c>
      <c r="D356" s="113">
        <v>7626</v>
      </c>
      <c r="E356" s="113">
        <v>353</v>
      </c>
      <c r="F356" s="113">
        <v>79</v>
      </c>
      <c r="G356" s="113">
        <v>71.900000000000006</v>
      </c>
      <c r="H356" s="113">
        <v>68</v>
      </c>
      <c r="I356" s="113">
        <v>5.0999999999999996</v>
      </c>
      <c r="J356" s="113">
        <v>1.95</v>
      </c>
      <c r="K356" s="113">
        <v>-18.2</v>
      </c>
    </row>
    <row r="357" spans="2:11" x14ac:dyDescent="0.25">
      <c r="B357" s="205"/>
      <c r="C357" s="113">
        <v>206.31899999999999</v>
      </c>
      <c r="D357" s="113">
        <v>7627</v>
      </c>
      <c r="E357" s="113">
        <v>354</v>
      </c>
      <c r="F357" s="113">
        <v>80</v>
      </c>
      <c r="G357" s="113">
        <v>71.5</v>
      </c>
      <c r="H357" s="113">
        <v>69.400000000000006</v>
      </c>
      <c r="I357" s="113">
        <v>2.7</v>
      </c>
      <c r="J357" s="113">
        <v>-7.0000000000000007E-2</v>
      </c>
      <c r="K357" s="113">
        <v>-36.9</v>
      </c>
    </row>
    <row r="358" spans="2:11" x14ac:dyDescent="0.25">
      <c r="B358" s="205"/>
      <c r="C358" s="113">
        <v>206.369</v>
      </c>
      <c r="D358" s="113">
        <v>7628</v>
      </c>
      <c r="E358" s="113">
        <v>355</v>
      </c>
      <c r="F358" s="113">
        <v>81</v>
      </c>
      <c r="G358" s="113">
        <v>71.2</v>
      </c>
      <c r="H358" s="113">
        <v>71</v>
      </c>
      <c r="I358" s="113">
        <v>1.5</v>
      </c>
      <c r="J358" s="113">
        <v>-0.05</v>
      </c>
      <c r="K358" s="113">
        <v>-43.4</v>
      </c>
    </row>
    <row r="359" spans="2:11" x14ac:dyDescent="0.25">
      <c r="B359" s="205"/>
      <c r="C359" s="113">
        <v>206.42</v>
      </c>
      <c r="D359" s="113">
        <v>7629</v>
      </c>
      <c r="E359" s="113">
        <v>356</v>
      </c>
      <c r="F359" s="113">
        <v>82</v>
      </c>
      <c r="G359" s="113">
        <v>70.599999999999994</v>
      </c>
      <c r="H359" s="113">
        <v>73.2</v>
      </c>
      <c r="I359" s="113">
        <v>2.6</v>
      </c>
      <c r="J359" s="113">
        <v>-0.04</v>
      </c>
      <c r="K359" s="113">
        <v>-44.2</v>
      </c>
    </row>
    <row r="360" spans="2:11" x14ac:dyDescent="0.25">
      <c r="B360" s="205"/>
      <c r="C360" s="113">
        <v>206.471</v>
      </c>
      <c r="D360" s="113">
        <v>7630</v>
      </c>
      <c r="E360" s="113">
        <v>357</v>
      </c>
      <c r="F360" s="113">
        <v>84</v>
      </c>
      <c r="G360" s="113">
        <v>70.2</v>
      </c>
      <c r="H360" s="113">
        <v>75</v>
      </c>
      <c r="I360" s="113">
        <v>3</v>
      </c>
      <c r="J360" s="113">
        <v>-0.05</v>
      </c>
      <c r="K360" s="113">
        <v>-38.700000000000003</v>
      </c>
    </row>
    <row r="361" spans="2:11" x14ac:dyDescent="0.25">
      <c r="B361" s="205"/>
      <c r="C361" s="113">
        <v>206.523</v>
      </c>
      <c r="D361" s="113">
        <v>7631</v>
      </c>
      <c r="E361" s="113">
        <v>358</v>
      </c>
      <c r="F361" s="113">
        <v>85</v>
      </c>
      <c r="G361" s="113">
        <v>69.5</v>
      </c>
      <c r="H361" s="113">
        <v>76.900000000000006</v>
      </c>
      <c r="I361" s="113">
        <v>3.7</v>
      </c>
      <c r="J361" s="113">
        <v>-0.01</v>
      </c>
      <c r="K361" s="113">
        <v>-35.299999999999997</v>
      </c>
    </row>
    <row r="362" spans="2:11" x14ac:dyDescent="0.25">
      <c r="B362" s="205"/>
      <c r="C362" s="113">
        <v>206.57400000000001</v>
      </c>
      <c r="D362" s="113">
        <v>7632</v>
      </c>
      <c r="E362" s="113">
        <v>359</v>
      </c>
      <c r="F362" s="113">
        <v>86</v>
      </c>
      <c r="G362" s="113">
        <v>69</v>
      </c>
      <c r="H362" s="113">
        <v>78.7</v>
      </c>
      <c r="I362" s="113">
        <v>4.7</v>
      </c>
      <c r="J362" s="113">
        <v>-0.03</v>
      </c>
      <c r="K362" s="113">
        <v>-33.1</v>
      </c>
    </row>
    <row r="363" spans="2:11" x14ac:dyDescent="0.25">
      <c r="B363" s="205"/>
      <c r="C363" s="113">
        <v>206.626</v>
      </c>
      <c r="D363" s="113">
        <v>7633</v>
      </c>
      <c r="E363" s="113">
        <v>360</v>
      </c>
      <c r="F363" s="113">
        <v>88</v>
      </c>
      <c r="G363" s="113">
        <v>68.400000000000006</v>
      </c>
      <c r="H363" s="113">
        <v>80.5</v>
      </c>
      <c r="I363" s="113">
        <v>4.0999999999999996</v>
      </c>
      <c r="J363" s="113">
        <v>0.04</v>
      </c>
      <c r="K363" s="113">
        <v>-33.1</v>
      </c>
    </row>
    <row r="364" spans="2:11" x14ac:dyDescent="0.25">
      <c r="B364" s="205"/>
      <c r="C364" s="113">
        <v>206.679</v>
      </c>
      <c r="D364" s="113">
        <v>7634</v>
      </c>
      <c r="E364" s="113">
        <v>361</v>
      </c>
      <c r="F364" s="113">
        <v>88</v>
      </c>
      <c r="G364" s="113">
        <v>68</v>
      </c>
      <c r="H364" s="113">
        <v>82</v>
      </c>
      <c r="I364" s="113">
        <v>3.3</v>
      </c>
      <c r="J364" s="113">
        <v>0.01</v>
      </c>
      <c r="K364" s="113">
        <v>-29.3</v>
      </c>
    </row>
    <row r="365" spans="2:11" x14ac:dyDescent="0.25">
      <c r="B365" s="205"/>
      <c r="C365" s="113">
        <v>206.73099999999999</v>
      </c>
      <c r="D365" s="113">
        <v>7635</v>
      </c>
      <c r="E365" s="113">
        <v>362</v>
      </c>
      <c r="F365" s="113">
        <v>86</v>
      </c>
      <c r="G365" s="113">
        <v>66.599999999999994</v>
      </c>
      <c r="H365" s="113">
        <v>83.9</v>
      </c>
      <c r="I365" s="113">
        <v>4.3</v>
      </c>
      <c r="J365" s="113">
        <v>0.39</v>
      </c>
      <c r="K365" s="113">
        <v>-23.1</v>
      </c>
    </row>
    <row r="366" spans="2:11" x14ac:dyDescent="0.25">
      <c r="B366" s="205"/>
      <c r="C366" s="113">
        <v>206.786</v>
      </c>
      <c r="D366" s="113">
        <v>7636</v>
      </c>
      <c r="E366" s="113">
        <v>363</v>
      </c>
      <c r="F366" s="113">
        <v>86</v>
      </c>
      <c r="G366" s="113">
        <v>66.2</v>
      </c>
      <c r="H366" s="113">
        <v>85.3</v>
      </c>
      <c r="I366" s="113">
        <v>0.4</v>
      </c>
      <c r="J366" s="113">
        <v>0.61</v>
      </c>
      <c r="K366" s="113">
        <v>-20.399999999999999</v>
      </c>
    </row>
    <row r="367" spans="2:11" ht="15.75" thickBot="1" x14ac:dyDescent="0.3">
      <c r="B367" s="206"/>
      <c r="C367" s="113">
        <v>206.839</v>
      </c>
      <c r="D367" s="113">
        <v>7637</v>
      </c>
      <c r="E367" s="113">
        <v>364</v>
      </c>
      <c r="F367" s="113">
        <v>93</v>
      </c>
      <c r="G367" s="113">
        <v>66.099999999999994</v>
      </c>
      <c r="H367" s="113">
        <v>86.7</v>
      </c>
      <c r="I367" s="113">
        <v>-3.7</v>
      </c>
      <c r="J367" s="113">
        <v>0.12</v>
      </c>
      <c r="K367" s="113">
        <v>-18.100000000000001</v>
      </c>
    </row>
    <row r="368" spans="2:11" x14ac:dyDescent="0.25">
      <c r="B368" s="188" t="s">
        <v>184</v>
      </c>
      <c r="C368" s="113">
        <v>206.89400000000001</v>
      </c>
      <c r="D368" s="113">
        <v>7638</v>
      </c>
      <c r="E368" s="113">
        <v>365</v>
      </c>
      <c r="F368" s="113">
        <v>90</v>
      </c>
      <c r="G368" s="113">
        <v>65.099999999999994</v>
      </c>
      <c r="H368" s="113">
        <v>88.1</v>
      </c>
      <c r="I368" s="113">
        <v>3.8</v>
      </c>
      <c r="J368" s="113">
        <v>0.09</v>
      </c>
      <c r="K368" s="113">
        <v>-14.5</v>
      </c>
    </row>
    <row r="369" spans="2:11" x14ac:dyDescent="0.25">
      <c r="B369" s="189"/>
      <c r="C369" s="113">
        <v>206.94900000000001</v>
      </c>
      <c r="D369" s="113">
        <v>7639</v>
      </c>
      <c r="E369" s="113">
        <v>366</v>
      </c>
      <c r="F369" s="113">
        <v>92</v>
      </c>
      <c r="G369" s="113">
        <v>75</v>
      </c>
      <c r="H369" s="113">
        <v>89.3</v>
      </c>
      <c r="I369" s="113">
        <v>3</v>
      </c>
      <c r="J369" s="113">
        <v>-7.0000000000000007E-2</v>
      </c>
      <c r="K369" s="113">
        <v>-9.1</v>
      </c>
    </row>
    <row r="370" spans="2:11" x14ac:dyDescent="0.25">
      <c r="B370" s="189"/>
      <c r="C370" s="113">
        <v>206.99600000000001</v>
      </c>
      <c r="D370" s="113">
        <v>7640</v>
      </c>
      <c r="E370" s="113">
        <v>367</v>
      </c>
      <c r="F370" s="113">
        <v>93</v>
      </c>
      <c r="G370" s="113">
        <v>91.7</v>
      </c>
      <c r="H370" s="113">
        <v>90.2</v>
      </c>
      <c r="I370" s="113">
        <v>4.0999999999999996</v>
      </c>
      <c r="J370" s="113">
        <v>27.52</v>
      </c>
      <c r="K370" s="113">
        <v>-7.4</v>
      </c>
    </row>
    <row r="371" spans="2:11" x14ac:dyDescent="0.25">
      <c r="B371" s="189"/>
      <c r="C371" s="113">
        <v>207.03399999999999</v>
      </c>
      <c r="D371" s="113">
        <v>7641</v>
      </c>
      <c r="E371" s="113">
        <v>368</v>
      </c>
      <c r="F371" s="113">
        <v>92</v>
      </c>
      <c r="G371" s="113">
        <v>94.4</v>
      </c>
      <c r="H371" s="113">
        <v>90.9</v>
      </c>
      <c r="I371" s="113">
        <v>11.3</v>
      </c>
      <c r="J371" s="113">
        <v>34.39</v>
      </c>
      <c r="K371" s="113">
        <v>-7.4</v>
      </c>
    </row>
    <row r="372" spans="2:11" x14ac:dyDescent="0.25">
      <c r="B372" s="189"/>
      <c r="C372" s="113">
        <v>207.072</v>
      </c>
      <c r="D372" s="113">
        <v>7642</v>
      </c>
      <c r="E372" s="113">
        <v>369</v>
      </c>
      <c r="F372" s="113">
        <v>94</v>
      </c>
      <c r="G372" s="113">
        <v>95.1</v>
      </c>
      <c r="H372" s="113">
        <v>91.7</v>
      </c>
      <c r="I372" s="113">
        <v>12.6</v>
      </c>
      <c r="J372" s="113">
        <v>32.54</v>
      </c>
      <c r="K372" s="113">
        <v>-5.3</v>
      </c>
    </row>
    <row r="373" spans="2:11" x14ac:dyDescent="0.25">
      <c r="B373" s="189"/>
      <c r="C373" s="113">
        <v>207.11</v>
      </c>
      <c r="D373" s="113">
        <v>7643</v>
      </c>
      <c r="E373" s="113">
        <v>370</v>
      </c>
      <c r="F373" s="113">
        <v>96</v>
      </c>
      <c r="G373" s="113">
        <v>95.5</v>
      </c>
      <c r="H373" s="113">
        <v>92.4</v>
      </c>
      <c r="I373" s="113">
        <v>12.2</v>
      </c>
      <c r="J373" s="113">
        <v>25.93</v>
      </c>
      <c r="K373" s="113">
        <v>-2.9</v>
      </c>
    </row>
    <row r="374" spans="2:11" x14ac:dyDescent="0.25">
      <c r="B374" s="189"/>
      <c r="C374" s="113">
        <v>207.148</v>
      </c>
      <c r="D374" s="113">
        <v>7644</v>
      </c>
      <c r="E374" s="113">
        <v>371</v>
      </c>
      <c r="F374" s="113">
        <v>97</v>
      </c>
      <c r="G374" s="113">
        <v>95.8</v>
      </c>
      <c r="H374" s="113">
        <v>93</v>
      </c>
      <c r="I374" s="113">
        <v>10.6</v>
      </c>
      <c r="J374" s="113">
        <v>21.31</v>
      </c>
      <c r="K374" s="113">
        <v>-1.5</v>
      </c>
    </row>
    <row r="375" spans="2:11" x14ac:dyDescent="0.25">
      <c r="B375" s="189"/>
      <c r="C375" s="113">
        <v>207.185</v>
      </c>
      <c r="D375" s="113">
        <v>7645</v>
      </c>
      <c r="E375" s="113">
        <v>372</v>
      </c>
      <c r="F375" s="113">
        <v>98</v>
      </c>
      <c r="G375" s="113">
        <v>96.2</v>
      </c>
      <c r="H375" s="113">
        <v>93.8</v>
      </c>
      <c r="I375" s="113">
        <v>6.9</v>
      </c>
      <c r="J375" s="113">
        <v>15.91</v>
      </c>
      <c r="K375" s="113">
        <v>-0.1</v>
      </c>
    </row>
    <row r="376" spans="2:11" x14ac:dyDescent="0.25">
      <c r="B376" s="189"/>
      <c r="C376" s="113">
        <v>207.22200000000001</v>
      </c>
      <c r="D376" s="113">
        <v>7646</v>
      </c>
      <c r="E376" s="113">
        <v>373</v>
      </c>
      <c r="F376" s="113">
        <v>99</v>
      </c>
      <c r="G376" s="113">
        <v>96.3</v>
      </c>
      <c r="H376" s="113">
        <v>94.6</v>
      </c>
      <c r="I376" s="113">
        <v>4.0999999999999996</v>
      </c>
      <c r="J376" s="113">
        <v>8.65</v>
      </c>
      <c r="K376" s="113">
        <v>0.6</v>
      </c>
    </row>
    <row r="377" spans="2:11" x14ac:dyDescent="0.25">
      <c r="B377" s="189"/>
      <c r="C377" s="113">
        <v>207.26</v>
      </c>
      <c r="D377" s="113">
        <v>7647</v>
      </c>
      <c r="E377" s="113">
        <v>374</v>
      </c>
      <c r="F377" s="113">
        <v>100</v>
      </c>
      <c r="G377" s="113">
        <v>97</v>
      </c>
      <c r="H377" s="113">
        <v>95.4</v>
      </c>
      <c r="I377" s="113">
        <v>2.2000000000000002</v>
      </c>
      <c r="J377" s="113">
        <v>5.21</v>
      </c>
      <c r="K377" s="113">
        <v>0.6</v>
      </c>
    </row>
    <row r="378" spans="2:11" x14ac:dyDescent="0.25">
      <c r="B378" s="189"/>
      <c r="C378" s="113">
        <v>207.297</v>
      </c>
      <c r="D378" s="113">
        <v>7648</v>
      </c>
      <c r="E378" s="113">
        <v>375</v>
      </c>
      <c r="F378" s="113">
        <v>101</v>
      </c>
      <c r="G378" s="113">
        <v>97.3</v>
      </c>
      <c r="H378" s="113">
        <v>96</v>
      </c>
      <c r="I378" s="113">
        <v>2</v>
      </c>
      <c r="J378" s="113">
        <v>4.59</v>
      </c>
      <c r="K378" s="113">
        <v>0.8</v>
      </c>
    </row>
    <row r="379" spans="2:11" x14ac:dyDescent="0.25">
      <c r="B379" s="189"/>
      <c r="C379" s="113">
        <v>207.334</v>
      </c>
      <c r="D379" s="113">
        <v>7649</v>
      </c>
      <c r="E379" s="113">
        <v>376</v>
      </c>
      <c r="F379" s="113">
        <v>101</v>
      </c>
      <c r="G379" s="113">
        <v>97.2</v>
      </c>
      <c r="H379" s="113">
        <v>96.9</v>
      </c>
      <c r="I379" s="113">
        <v>2.5</v>
      </c>
      <c r="J379" s="113">
        <v>2.59</v>
      </c>
      <c r="K379" s="113">
        <v>1.4</v>
      </c>
    </row>
    <row r="380" spans="2:11" x14ac:dyDescent="0.25">
      <c r="B380" s="189"/>
      <c r="C380" s="113">
        <v>207.37100000000001</v>
      </c>
      <c r="D380" s="113">
        <v>7650</v>
      </c>
      <c r="E380" s="113">
        <v>377</v>
      </c>
      <c r="F380" s="113">
        <v>103</v>
      </c>
      <c r="G380" s="113">
        <v>98</v>
      </c>
      <c r="H380" s="113">
        <v>97.9</v>
      </c>
      <c r="I380" s="113">
        <v>3</v>
      </c>
      <c r="J380" s="113">
        <v>0.64</v>
      </c>
      <c r="K380" s="113">
        <v>1.8</v>
      </c>
    </row>
    <row r="381" spans="2:11" x14ac:dyDescent="0.25">
      <c r="B381" s="189"/>
      <c r="C381" s="113">
        <v>207.40700000000001</v>
      </c>
      <c r="D381" s="113">
        <v>7651</v>
      </c>
      <c r="E381" s="113">
        <v>378</v>
      </c>
      <c r="F381" s="113">
        <v>104</v>
      </c>
      <c r="G381" s="113">
        <v>99.7</v>
      </c>
      <c r="H381" s="113">
        <v>98.7</v>
      </c>
      <c r="I381" s="113">
        <v>2.6</v>
      </c>
      <c r="J381" s="113">
        <v>1.1299999999999999</v>
      </c>
      <c r="K381" s="113">
        <v>1.8</v>
      </c>
    </row>
    <row r="382" spans="2:11" x14ac:dyDescent="0.25">
      <c r="B382" s="189"/>
      <c r="C382" s="113">
        <v>207.44300000000001</v>
      </c>
      <c r="D382" s="113">
        <v>7652</v>
      </c>
      <c r="E382" s="113">
        <v>379</v>
      </c>
      <c r="F382" s="113">
        <v>104</v>
      </c>
      <c r="G382" s="113">
        <v>101.6</v>
      </c>
      <c r="H382" s="113">
        <v>99.8</v>
      </c>
      <c r="I382" s="113">
        <v>2.5</v>
      </c>
      <c r="J382" s="113">
        <v>2.81</v>
      </c>
      <c r="K382" s="113">
        <v>1.9</v>
      </c>
    </row>
    <row r="383" spans="2:11" x14ac:dyDescent="0.25">
      <c r="B383" s="189"/>
      <c r="C383" s="113">
        <v>207.47900000000001</v>
      </c>
      <c r="D383" s="113">
        <v>7653</v>
      </c>
      <c r="E383" s="113">
        <v>380</v>
      </c>
      <c r="F383" s="113">
        <v>105</v>
      </c>
      <c r="G383" s="113">
        <v>103.1</v>
      </c>
      <c r="H383" s="113">
        <v>100.6</v>
      </c>
      <c r="I383" s="113">
        <v>3.1</v>
      </c>
      <c r="J383" s="113">
        <v>3.63</v>
      </c>
      <c r="K383" s="113">
        <v>3.1</v>
      </c>
    </row>
    <row r="384" spans="2:11" x14ac:dyDescent="0.25">
      <c r="B384" s="189"/>
      <c r="C384" s="113">
        <v>207.51400000000001</v>
      </c>
      <c r="D384" s="113">
        <v>7654</v>
      </c>
      <c r="E384" s="113">
        <v>381</v>
      </c>
      <c r="F384" s="113">
        <v>106</v>
      </c>
      <c r="G384" s="113">
        <v>104.6</v>
      </c>
      <c r="H384" s="113">
        <v>101.7</v>
      </c>
      <c r="I384" s="113">
        <v>3.6</v>
      </c>
      <c r="J384" s="113">
        <v>5.09</v>
      </c>
      <c r="K384" s="113">
        <v>4.7</v>
      </c>
    </row>
    <row r="385" spans="2:11" x14ac:dyDescent="0.25">
      <c r="B385" s="189"/>
      <c r="C385" s="113">
        <v>207.548</v>
      </c>
      <c r="D385" s="113">
        <v>7655</v>
      </c>
      <c r="E385" s="113">
        <v>382</v>
      </c>
      <c r="F385" s="113">
        <v>107</v>
      </c>
      <c r="G385" s="113">
        <v>105.6</v>
      </c>
      <c r="H385" s="113">
        <v>102.5</v>
      </c>
      <c r="I385" s="113">
        <v>4.3</v>
      </c>
      <c r="J385" s="113">
        <v>7.34</v>
      </c>
      <c r="K385" s="113">
        <v>4.4000000000000004</v>
      </c>
    </row>
    <row r="386" spans="2:11" x14ac:dyDescent="0.25">
      <c r="B386" s="189"/>
      <c r="C386" s="113">
        <v>207.58199999999999</v>
      </c>
      <c r="D386" s="113">
        <v>7656</v>
      </c>
      <c r="E386" s="113">
        <v>383</v>
      </c>
      <c r="F386" s="113">
        <v>108</v>
      </c>
      <c r="G386" s="113">
        <v>106.6</v>
      </c>
      <c r="H386" s="113">
        <v>103.6</v>
      </c>
      <c r="I386" s="113">
        <v>5.9</v>
      </c>
      <c r="J386" s="113">
        <v>7.49</v>
      </c>
      <c r="K386" s="113">
        <v>3.5</v>
      </c>
    </row>
    <row r="387" spans="2:11" x14ac:dyDescent="0.25">
      <c r="B387" s="189"/>
      <c r="C387" s="113">
        <v>207.61600000000001</v>
      </c>
      <c r="D387" s="113">
        <v>7657</v>
      </c>
      <c r="E387" s="113">
        <v>384</v>
      </c>
      <c r="F387" s="113">
        <v>108</v>
      </c>
      <c r="G387" s="113">
        <v>106.8</v>
      </c>
      <c r="H387" s="113">
        <v>104.4</v>
      </c>
      <c r="I387" s="113">
        <v>6.3</v>
      </c>
      <c r="J387" s="113">
        <v>8.07</v>
      </c>
      <c r="K387" s="113">
        <v>3.1</v>
      </c>
    </row>
    <row r="388" spans="2:11" x14ac:dyDescent="0.25">
      <c r="B388" s="189"/>
      <c r="C388" s="113">
        <v>207.649</v>
      </c>
      <c r="D388" s="113">
        <v>7658</v>
      </c>
      <c r="E388" s="113">
        <v>385</v>
      </c>
      <c r="F388" s="113">
        <v>109</v>
      </c>
      <c r="G388" s="113">
        <v>106.9</v>
      </c>
      <c r="H388" s="113">
        <v>105.2</v>
      </c>
      <c r="I388" s="113">
        <v>6.3</v>
      </c>
      <c r="J388" s="113">
        <v>6.55</v>
      </c>
      <c r="K388" s="113">
        <v>3.1</v>
      </c>
    </row>
    <row r="389" spans="2:11" x14ac:dyDescent="0.25">
      <c r="B389" s="189"/>
      <c r="C389" s="113">
        <v>207.68299999999999</v>
      </c>
      <c r="D389" s="113">
        <v>7659</v>
      </c>
      <c r="E389" s="113">
        <v>386</v>
      </c>
      <c r="F389" s="113">
        <v>111</v>
      </c>
      <c r="G389" s="113">
        <v>106.9</v>
      </c>
      <c r="H389" s="113">
        <v>106.2</v>
      </c>
      <c r="I389" s="113">
        <v>5.2</v>
      </c>
      <c r="J389" s="113">
        <v>4.1399999999999997</v>
      </c>
      <c r="K389" s="113">
        <v>3.1</v>
      </c>
    </row>
    <row r="390" spans="2:11" x14ac:dyDescent="0.25">
      <c r="B390" s="189"/>
      <c r="C390" s="113">
        <v>207.71600000000001</v>
      </c>
      <c r="D390" s="113">
        <v>7660</v>
      </c>
      <c r="E390" s="113">
        <v>387</v>
      </c>
      <c r="F390" s="113">
        <v>112</v>
      </c>
      <c r="G390" s="113">
        <v>107</v>
      </c>
      <c r="H390" s="113">
        <v>107</v>
      </c>
      <c r="I390" s="113">
        <v>3.6</v>
      </c>
      <c r="J390" s="113">
        <v>1.84</v>
      </c>
      <c r="K390" s="113">
        <v>3.1</v>
      </c>
    </row>
    <row r="391" spans="2:11" x14ac:dyDescent="0.25">
      <c r="B391" s="189"/>
      <c r="C391" s="113">
        <v>207.75</v>
      </c>
      <c r="D391" s="113">
        <v>7661</v>
      </c>
      <c r="E391" s="113">
        <v>388</v>
      </c>
      <c r="F391" s="113">
        <v>113</v>
      </c>
      <c r="G391" s="113">
        <v>106.8</v>
      </c>
      <c r="H391" s="113">
        <v>108.1</v>
      </c>
      <c r="I391" s="113">
        <v>2</v>
      </c>
      <c r="J391" s="113">
        <v>0.69</v>
      </c>
      <c r="K391" s="113">
        <v>3.1</v>
      </c>
    </row>
    <row r="392" spans="2:11" x14ac:dyDescent="0.25">
      <c r="B392" s="189"/>
      <c r="C392" s="113">
        <v>207.78299999999999</v>
      </c>
      <c r="D392" s="113">
        <v>7662</v>
      </c>
      <c r="E392" s="113">
        <v>389</v>
      </c>
      <c r="F392" s="113">
        <v>114</v>
      </c>
      <c r="G392" s="113">
        <v>106.6</v>
      </c>
      <c r="H392" s="113">
        <v>108.9</v>
      </c>
      <c r="I392" s="113">
        <v>1.5</v>
      </c>
      <c r="J392" s="113">
        <v>0.09</v>
      </c>
      <c r="K392" s="113">
        <v>3.1</v>
      </c>
    </row>
    <row r="393" spans="2:11" x14ac:dyDescent="0.25">
      <c r="B393" s="189"/>
      <c r="C393" s="113">
        <v>207.81700000000001</v>
      </c>
      <c r="D393" s="113">
        <v>7663</v>
      </c>
      <c r="E393" s="113">
        <v>390</v>
      </c>
      <c r="F393" s="113">
        <v>114</v>
      </c>
      <c r="G393" s="113">
        <v>106.8</v>
      </c>
      <c r="H393" s="113">
        <v>109.7</v>
      </c>
      <c r="I393" s="113">
        <v>1.5</v>
      </c>
      <c r="J393" s="113">
        <v>0.1</v>
      </c>
      <c r="K393" s="113">
        <v>3.1</v>
      </c>
    </row>
    <row r="394" spans="2:11" x14ac:dyDescent="0.25">
      <c r="B394" s="189"/>
      <c r="C394" s="113">
        <v>207.851</v>
      </c>
      <c r="D394" s="113">
        <v>7664</v>
      </c>
      <c r="E394" s="113">
        <v>391</v>
      </c>
      <c r="F394" s="113">
        <v>115</v>
      </c>
      <c r="G394" s="113">
        <v>108.4</v>
      </c>
      <c r="H394" s="113">
        <v>110.8</v>
      </c>
      <c r="I394" s="113">
        <v>2.2999999999999998</v>
      </c>
      <c r="J394" s="113">
        <v>0.12</v>
      </c>
      <c r="K394" s="113">
        <v>3.2</v>
      </c>
    </row>
    <row r="395" spans="2:11" x14ac:dyDescent="0.25">
      <c r="B395" s="189"/>
      <c r="C395" s="113">
        <v>207.88399999999999</v>
      </c>
      <c r="D395" s="113">
        <v>7665</v>
      </c>
      <c r="E395" s="113">
        <v>392</v>
      </c>
      <c r="F395" s="113">
        <v>115</v>
      </c>
      <c r="G395" s="113">
        <v>110.6</v>
      </c>
      <c r="H395" s="113">
        <v>111.5</v>
      </c>
      <c r="I395" s="113">
        <v>3.9</v>
      </c>
      <c r="J395" s="113">
        <v>1.3</v>
      </c>
      <c r="K395" s="113">
        <v>3.4</v>
      </c>
    </row>
    <row r="396" spans="2:11" x14ac:dyDescent="0.25">
      <c r="B396" s="189"/>
      <c r="C396" s="113">
        <v>207.916</v>
      </c>
      <c r="D396" s="113">
        <v>7666</v>
      </c>
      <c r="E396" s="113">
        <v>393</v>
      </c>
      <c r="F396" s="113">
        <v>116</v>
      </c>
      <c r="G396" s="113">
        <v>112.2</v>
      </c>
      <c r="H396" s="113">
        <v>112.3</v>
      </c>
      <c r="I396" s="113">
        <v>4.5</v>
      </c>
      <c r="J396" s="113">
        <v>1.94</v>
      </c>
      <c r="K396" s="113">
        <v>3.7</v>
      </c>
    </row>
    <row r="397" spans="2:11" x14ac:dyDescent="0.25">
      <c r="B397" s="189"/>
      <c r="C397" s="113">
        <v>207.94800000000001</v>
      </c>
      <c r="D397" s="113">
        <v>7667</v>
      </c>
      <c r="E397" s="113">
        <v>394</v>
      </c>
      <c r="F397" s="113">
        <v>117</v>
      </c>
      <c r="G397" s="113">
        <v>113.7</v>
      </c>
      <c r="H397" s="113">
        <v>113.1</v>
      </c>
      <c r="I397" s="113">
        <v>4.7</v>
      </c>
      <c r="J397" s="113">
        <v>3.83</v>
      </c>
      <c r="K397" s="113">
        <v>3.3</v>
      </c>
    </row>
    <row r="398" spans="2:11" x14ac:dyDescent="0.25">
      <c r="B398" s="189"/>
      <c r="C398" s="113">
        <v>207.98</v>
      </c>
      <c r="D398" s="113">
        <v>7668</v>
      </c>
      <c r="E398" s="113">
        <v>395</v>
      </c>
      <c r="F398" s="113">
        <v>118</v>
      </c>
      <c r="G398" s="113">
        <v>115.6</v>
      </c>
      <c r="H398" s="113">
        <v>113.9</v>
      </c>
      <c r="I398" s="113">
        <v>4.4000000000000004</v>
      </c>
      <c r="J398" s="113">
        <v>5.09</v>
      </c>
      <c r="K398" s="113">
        <v>2.7</v>
      </c>
    </row>
    <row r="399" spans="2:11" x14ac:dyDescent="0.25">
      <c r="B399" s="189"/>
      <c r="C399" s="113">
        <v>208.011</v>
      </c>
      <c r="D399" s="113">
        <v>7669</v>
      </c>
      <c r="E399" s="113">
        <v>396</v>
      </c>
      <c r="F399" s="113">
        <v>117</v>
      </c>
      <c r="G399" s="113">
        <v>116.7</v>
      </c>
      <c r="H399" s="113">
        <v>114.5</v>
      </c>
      <c r="I399" s="113">
        <v>4.3</v>
      </c>
      <c r="J399" s="113">
        <v>7.8</v>
      </c>
      <c r="K399" s="113">
        <v>3.6</v>
      </c>
    </row>
    <row r="400" spans="2:11" x14ac:dyDescent="0.25">
      <c r="B400" s="189"/>
      <c r="C400" s="113">
        <v>208.042</v>
      </c>
      <c r="D400" s="113">
        <v>7670</v>
      </c>
      <c r="E400" s="113">
        <v>397</v>
      </c>
      <c r="F400" s="113">
        <v>116</v>
      </c>
      <c r="G400" s="113">
        <v>117.5</v>
      </c>
      <c r="H400" s="113">
        <v>115.1</v>
      </c>
      <c r="I400" s="113">
        <v>4.3</v>
      </c>
      <c r="J400" s="113">
        <v>14.05</v>
      </c>
      <c r="K400" s="113">
        <v>5.9</v>
      </c>
    </row>
    <row r="401" spans="2:11" x14ac:dyDescent="0.25">
      <c r="B401" s="189"/>
      <c r="C401" s="113">
        <v>208.072</v>
      </c>
      <c r="D401" s="113">
        <v>7671</v>
      </c>
      <c r="E401" s="113">
        <v>398</v>
      </c>
      <c r="F401" s="113">
        <v>116</v>
      </c>
      <c r="G401" s="113">
        <v>117.9</v>
      </c>
      <c r="H401" s="113">
        <v>115.6</v>
      </c>
      <c r="I401" s="113">
        <v>4.5</v>
      </c>
      <c r="J401" s="113">
        <v>22.76</v>
      </c>
      <c r="K401" s="113">
        <v>8.3000000000000007</v>
      </c>
    </row>
    <row r="402" spans="2:11" x14ac:dyDescent="0.25">
      <c r="B402" s="189"/>
      <c r="C402" s="113">
        <v>208.10300000000001</v>
      </c>
      <c r="D402" s="113">
        <v>7672</v>
      </c>
      <c r="E402" s="113">
        <v>399</v>
      </c>
      <c r="F402" s="113">
        <v>115</v>
      </c>
      <c r="G402" s="113">
        <v>117.9</v>
      </c>
      <c r="H402" s="113">
        <v>116.1</v>
      </c>
      <c r="I402" s="113">
        <v>4.7</v>
      </c>
      <c r="J402" s="113">
        <v>31.6</v>
      </c>
      <c r="K402" s="113">
        <v>7.1</v>
      </c>
    </row>
    <row r="403" spans="2:11" x14ac:dyDescent="0.25">
      <c r="B403" s="189"/>
      <c r="C403" s="113">
        <v>208.13300000000001</v>
      </c>
      <c r="D403" s="113">
        <v>7673</v>
      </c>
      <c r="E403" s="113">
        <v>400</v>
      </c>
      <c r="F403" s="113">
        <v>113</v>
      </c>
      <c r="G403" s="113">
        <v>117.8</v>
      </c>
      <c r="H403" s="113">
        <v>116.6</v>
      </c>
      <c r="I403" s="113">
        <v>5.8</v>
      </c>
      <c r="J403" s="113">
        <v>39.56</v>
      </c>
      <c r="K403" s="113">
        <v>5</v>
      </c>
    </row>
    <row r="404" spans="2:11" x14ac:dyDescent="0.25">
      <c r="B404" s="189"/>
      <c r="C404" s="113">
        <v>208.16399999999999</v>
      </c>
      <c r="D404" s="113">
        <v>7674</v>
      </c>
      <c r="E404" s="113">
        <v>401</v>
      </c>
      <c r="F404" s="113">
        <v>110</v>
      </c>
      <c r="G404" s="113">
        <v>117.6</v>
      </c>
      <c r="H404" s="113">
        <v>116.9</v>
      </c>
      <c r="I404" s="113">
        <v>7.7</v>
      </c>
      <c r="J404" s="113">
        <v>46.79</v>
      </c>
      <c r="K404" s="113">
        <v>3.1</v>
      </c>
    </row>
    <row r="405" spans="2:11" x14ac:dyDescent="0.25">
      <c r="B405" s="189"/>
      <c r="C405" s="113">
        <v>208.19399999999999</v>
      </c>
      <c r="D405" s="113">
        <v>7675</v>
      </c>
      <c r="E405" s="113">
        <v>402</v>
      </c>
      <c r="F405" s="113">
        <v>111</v>
      </c>
      <c r="G405" s="113">
        <v>117.6</v>
      </c>
      <c r="H405" s="113">
        <v>117.2</v>
      </c>
      <c r="I405" s="113">
        <v>7.5</v>
      </c>
      <c r="J405" s="113">
        <v>55.22</v>
      </c>
      <c r="K405" s="113">
        <v>3.1</v>
      </c>
    </row>
    <row r="406" spans="2:11" x14ac:dyDescent="0.25">
      <c r="B406" s="189"/>
      <c r="C406" s="113">
        <v>208.22499999999999</v>
      </c>
      <c r="D406" s="113">
        <v>7676</v>
      </c>
      <c r="E406" s="113">
        <v>403</v>
      </c>
      <c r="F406" s="113">
        <v>111</v>
      </c>
      <c r="G406" s="113">
        <v>117.5</v>
      </c>
      <c r="H406" s="113">
        <v>117.4</v>
      </c>
      <c r="I406" s="113">
        <v>7.5</v>
      </c>
      <c r="J406" s="113">
        <v>56.42</v>
      </c>
      <c r="K406" s="113">
        <v>3.1</v>
      </c>
    </row>
    <row r="407" spans="2:11" x14ac:dyDescent="0.25">
      <c r="B407" s="189"/>
      <c r="C407" s="113">
        <v>208.256</v>
      </c>
      <c r="D407" s="113">
        <v>7677</v>
      </c>
      <c r="E407" s="113">
        <v>404</v>
      </c>
      <c r="F407" s="113">
        <v>111</v>
      </c>
      <c r="G407" s="113">
        <v>117.5</v>
      </c>
      <c r="H407" s="113">
        <v>117.5</v>
      </c>
      <c r="I407" s="113">
        <v>7.4</v>
      </c>
      <c r="J407" s="113">
        <v>56.65</v>
      </c>
      <c r="K407" s="113">
        <v>2</v>
      </c>
    </row>
    <row r="408" spans="2:11" x14ac:dyDescent="0.25">
      <c r="B408" s="189"/>
      <c r="C408" s="113">
        <v>208.286</v>
      </c>
      <c r="D408" s="113">
        <v>7678</v>
      </c>
      <c r="E408" s="113">
        <v>405</v>
      </c>
      <c r="F408" s="113">
        <v>112</v>
      </c>
      <c r="G408" s="113">
        <v>117.5</v>
      </c>
      <c r="H408" s="113">
        <v>117.5</v>
      </c>
      <c r="I408" s="113">
        <v>6.3</v>
      </c>
      <c r="J408" s="113">
        <v>56.91</v>
      </c>
      <c r="K408" s="113">
        <v>-0.3</v>
      </c>
    </row>
    <row r="409" spans="2:11" x14ac:dyDescent="0.25">
      <c r="B409" s="189"/>
      <c r="C409" s="113">
        <v>208.316</v>
      </c>
      <c r="D409" s="113">
        <v>7679</v>
      </c>
      <c r="E409" s="113">
        <v>406</v>
      </c>
      <c r="F409" s="113">
        <v>112</v>
      </c>
      <c r="G409" s="113">
        <v>117.3</v>
      </c>
      <c r="H409" s="113">
        <v>117.4</v>
      </c>
      <c r="I409" s="113">
        <v>6</v>
      </c>
      <c r="J409" s="113">
        <v>56.74</v>
      </c>
      <c r="K409" s="113">
        <v>-2.6</v>
      </c>
    </row>
    <row r="410" spans="2:11" x14ac:dyDescent="0.25">
      <c r="B410" s="189"/>
      <c r="C410" s="113">
        <v>208.34700000000001</v>
      </c>
      <c r="D410" s="113">
        <v>7680</v>
      </c>
      <c r="E410" s="113">
        <v>407</v>
      </c>
      <c r="F410" s="113">
        <v>112</v>
      </c>
      <c r="G410" s="113">
        <v>117.1</v>
      </c>
      <c r="H410" s="113">
        <v>117.3</v>
      </c>
      <c r="I410" s="113">
        <v>6</v>
      </c>
      <c r="J410" s="113">
        <v>56.7</v>
      </c>
      <c r="K410" s="113">
        <v>-6.4</v>
      </c>
    </row>
    <row r="411" spans="2:11" x14ac:dyDescent="0.25">
      <c r="B411" s="189"/>
      <c r="C411" s="113">
        <v>208.37700000000001</v>
      </c>
      <c r="D411" s="113">
        <v>7681</v>
      </c>
      <c r="E411" s="113">
        <v>408</v>
      </c>
      <c r="F411" s="113">
        <v>112</v>
      </c>
      <c r="G411" s="113">
        <v>117</v>
      </c>
      <c r="H411" s="113">
        <v>117.1</v>
      </c>
      <c r="I411" s="113">
        <v>6</v>
      </c>
      <c r="J411" s="113">
        <v>56.71</v>
      </c>
      <c r="K411" s="113">
        <v>-10.6</v>
      </c>
    </row>
    <row r="412" spans="2:11" x14ac:dyDescent="0.25">
      <c r="B412" s="189"/>
      <c r="C412" s="113">
        <v>208.40899999999999</v>
      </c>
      <c r="D412" s="113">
        <v>7682</v>
      </c>
      <c r="E412" s="113">
        <v>409</v>
      </c>
      <c r="F412" s="113">
        <v>112</v>
      </c>
      <c r="G412" s="113">
        <v>116.9</v>
      </c>
      <c r="H412" s="113">
        <v>116.9</v>
      </c>
      <c r="I412" s="113">
        <v>6.2</v>
      </c>
      <c r="J412" s="113">
        <v>56.7</v>
      </c>
      <c r="K412" s="113">
        <v>-14.3</v>
      </c>
    </row>
    <row r="413" spans="2:11" x14ac:dyDescent="0.25">
      <c r="B413" s="189"/>
      <c r="C413" s="113">
        <v>208.43899999999999</v>
      </c>
      <c r="D413" s="113">
        <v>7683</v>
      </c>
      <c r="E413" s="113">
        <v>410</v>
      </c>
      <c r="F413" s="113">
        <v>112</v>
      </c>
      <c r="G413" s="113">
        <v>116.6</v>
      </c>
      <c r="H413" s="113">
        <v>116.6</v>
      </c>
      <c r="I413" s="113">
        <v>6.9</v>
      </c>
      <c r="J413" s="113">
        <v>56.1</v>
      </c>
      <c r="K413" s="113">
        <v>-13.7</v>
      </c>
    </row>
    <row r="414" spans="2:11" x14ac:dyDescent="0.25">
      <c r="B414" s="189"/>
      <c r="C414" s="113">
        <v>208.47</v>
      </c>
      <c r="D414" s="113">
        <v>7684</v>
      </c>
      <c r="E414" s="113">
        <v>411</v>
      </c>
      <c r="F414" s="113">
        <v>112</v>
      </c>
      <c r="G414" s="113">
        <v>116.2</v>
      </c>
      <c r="H414" s="113">
        <v>116</v>
      </c>
      <c r="I414" s="113">
        <v>8.3000000000000007</v>
      </c>
      <c r="J414" s="113">
        <v>57.2</v>
      </c>
      <c r="K414" s="113">
        <v>-13.1</v>
      </c>
    </row>
    <row r="415" spans="2:11" x14ac:dyDescent="0.25">
      <c r="B415" s="189"/>
      <c r="C415" s="113">
        <v>208.501</v>
      </c>
      <c r="D415" s="113">
        <v>7685</v>
      </c>
      <c r="E415" s="113">
        <v>412</v>
      </c>
      <c r="F415" s="113">
        <v>112</v>
      </c>
      <c r="G415" s="113">
        <v>115.9</v>
      </c>
      <c r="H415" s="113">
        <v>115.6</v>
      </c>
      <c r="I415" s="113">
        <v>9.6999999999999993</v>
      </c>
      <c r="J415" s="113">
        <v>57.21</v>
      </c>
      <c r="K415" s="113">
        <v>-15.9</v>
      </c>
    </row>
    <row r="416" spans="2:11" x14ac:dyDescent="0.25">
      <c r="B416" s="189"/>
      <c r="C416" s="113">
        <v>208.53200000000001</v>
      </c>
      <c r="D416" s="113">
        <v>7686</v>
      </c>
      <c r="E416" s="113">
        <v>413</v>
      </c>
      <c r="F416" s="113">
        <v>112</v>
      </c>
      <c r="G416" s="113">
        <v>115.5</v>
      </c>
      <c r="H416" s="113">
        <v>115.1</v>
      </c>
      <c r="I416" s="113">
        <v>10.9</v>
      </c>
      <c r="J416" s="113">
        <v>57.69</v>
      </c>
      <c r="K416" s="113">
        <v>-19.5</v>
      </c>
    </row>
    <row r="417" spans="2:11" x14ac:dyDescent="0.25">
      <c r="B417" s="189"/>
      <c r="C417" s="113">
        <v>208.56299999999999</v>
      </c>
      <c r="D417" s="113">
        <v>7687</v>
      </c>
      <c r="E417" s="113">
        <v>414</v>
      </c>
      <c r="F417" s="113">
        <v>112</v>
      </c>
      <c r="G417" s="113">
        <v>115</v>
      </c>
      <c r="H417" s="113">
        <v>114.6</v>
      </c>
      <c r="I417" s="113">
        <v>11</v>
      </c>
      <c r="J417" s="113">
        <v>58.13</v>
      </c>
      <c r="K417" s="113">
        <v>-22.8</v>
      </c>
    </row>
    <row r="418" spans="2:11" x14ac:dyDescent="0.25">
      <c r="B418" s="189"/>
      <c r="C418" s="113">
        <v>208.59399999999999</v>
      </c>
      <c r="D418" s="113">
        <v>7688</v>
      </c>
      <c r="E418" s="113">
        <v>415</v>
      </c>
      <c r="F418" s="113">
        <v>112</v>
      </c>
      <c r="G418" s="113">
        <v>114.5</v>
      </c>
      <c r="H418" s="113">
        <v>114</v>
      </c>
      <c r="I418" s="113">
        <v>11.5</v>
      </c>
      <c r="J418" s="113">
        <v>58</v>
      </c>
      <c r="K418" s="113">
        <v>-22.8</v>
      </c>
    </row>
    <row r="419" spans="2:11" x14ac:dyDescent="0.25">
      <c r="B419" s="189"/>
      <c r="C419" s="113">
        <v>208.626</v>
      </c>
      <c r="D419" s="113">
        <v>7689</v>
      </c>
      <c r="E419" s="113">
        <v>416</v>
      </c>
      <c r="F419" s="113">
        <v>112</v>
      </c>
      <c r="G419" s="113">
        <v>114.4</v>
      </c>
      <c r="H419" s="113">
        <v>113.5</v>
      </c>
      <c r="I419" s="113">
        <v>11.6</v>
      </c>
      <c r="J419" s="113">
        <v>57.52</v>
      </c>
      <c r="K419" s="113">
        <v>-22.8</v>
      </c>
    </row>
    <row r="420" spans="2:11" x14ac:dyDescent="0.25">
      <c r="B420" s="189"/>
      <c r="C420" s="113">
        <v>208.65700000000001</v>
      </c>
      <c r="D420" s="113">
        <v>7690</v>
      </c>
      <c r="E420" s="113">
        <v>417</v>
      </c>
      <c r="F420" s="113">
        <v>112</v>
      </c>
      <c r="G420" s="113">
        <v>114.2</v>
      </c>
      <c r="H420" s="113">
        <v>112.9</v>
      </c>
      <c r="I420" s="113">
        <v>10.8</v>
      </c>
      <c r="J420" s="113">
        <v>57.25</v>
      </c>
      <c r="K420" s="113">
        <v>-24.1</v>
      </c>
    </row>
    <row r="421" spans="2:11" x14ac:dyDescent="0.25">
      <c r="B421" s="189"/>
      <c r="C421" s="113">
        <v>208.68799999999999</v>
      </c>
      <c r="D421" s="113">
        <v>7691</v>
      </c>
      <c r="E421" s="113">
        <v>418</v>
      </c>
      <c r="F421" s="113">
        <v>112</v>
      </c>
      <c r="G421" s="113">
        <v>114</v>
      </c>
      <c r="H421" s="113">
        <v>112.3</v>
      </c>
      <c r="I421" s="113">
        <v>10.3</v>
      </c>
      <c r="J421" s="113">
        <v>57.03</v>
      </c>
      <c r="K421" s="113">
        <v>-27.1</v>
      </c>
    </row>
    <row r="422" spans="2:11" x14ac:dyDescent="0.25">
      <c r="B422" s="189"/>
      <c r="C422" s="113">
        <v>208.71899999999999</v>
      </c>
      <c r="D422" s="113">
        <v>7692</v>
      </c>
      <c r="E422" s="113">
        <v>419</v>
      </c>
      <c r="F422" s="113">
        <v>111</v>
      </c>
      <c r="G422" s="113">
        <v>113.7</v>
      </c>
      <c r="H422" s="113">
        <v>111.7</v>
      </c>
      <c r="I422" s="113">
        <v>9.5</v>
      </c>
      <c r="J422" s="113">
        <v>57.08</v>
      </c>
      <c r="K422" s="113">
        <v>-30</v>
      </c>
    </row>
    <row r="423" spans="2:11" x14ac:dyDescent="0.25">
      <c r="B423" s="189"/>
      <c r="C423" s="113">
        <v>208.751</v>
      </c>
      <c r="D423" s="113">
        <v>7693</v>
      </c>
      <c r="E423" s="113">
        <v>420</v>
      </c>
      <c r="F423" s="113">
        <v>111</v>
      </c>
      <c r="G423" s="113">
        <v>113.6</v>
      </c>
      <c r="H423" s="113">
        <v>110.9</v>
      </c>
      <c r="I423" s="113">
        <v>9.3000000000000007</v>
      </c>
      <c r="J423" s="113">
        <v>56.79</v>
      </c>
      <c r="K423" s="113">
        <v>-33.299999999999997</v>
      </c>
    </row>
    <row r="424" spans="2:11" ht="15.75" thickBot="1" x14ac:dyDescent="0.3">
      <c r="B424" s="190"/>
      <c r="C424" s="113">
        <v>208.78299999999999</v>
      </c>
      <c r="D424" s="113">
        <v>7694</v>
      </c>
      <c r="E424" s="113">
        <v>421</v>
      </c>
      <c r="F424" s="113">
        <v>111</v>
      </c>
      <c r="G424" s="113">
        <v>113.4</v>
      </c>
      <c r="H424" s="113">
        <v>110.3</v>
      </c>
      <c r="I424" s="113">
        <v>8.6999999999999993</v>
      </c>
      <c r="J424" s="113">
        <v>56.82</v>
      </c>
      <c r="K424" s="113">
        <v>-35.799999999999997</v>
      </c>
    </row>
    <row r="425" spans="2:11" x14ac:dyDescent="0.25">
      <c r="B425" s="201" t="s">
        <v>186</v>
      </c>
      <c r="C425" s="113">
        <v>208.81399999999999</v>
      </c>
      <c r="D425" s="113">
        <v>7695</v>
      </c>
      <c r="E425" s="113">
        <v>422</v>
      </c>
      <c r="F425" s="113">
        <v>111</v>
      </c>
      <c r="G425" s="113">
        <v>113.2</v>
      </c>
      <c r="H425" s="113">
        <v>109.7</v>
      </c>
      <c r="I425" s="113">
        <v>8.1999999999999993</v>
      </c>
      <c r="J425" s="113">
        <v>56.82</v>
      </c>
      <c r="K425" s="113">
        <v>-37.9</v>
      </c>
    </row>
    <row r="426" spans="2:11" x14ac:dyDescent="0.25">
      <c r="B426" s="202"/>
      <c r="C426" s="113">
        <v>208.846</v>
      </c>
      <c r="D426" s="113">
        <v>7696</v>
      </c>
      <c r="E426" s="113">
        <v>423</v>
      </c>
      <c r="F426" s="113">
        <v>111</v>
      </c>
      <c r="G426" s="113">
        <v>113</v>
      </c>
      <c r="H426" s="113">
        <v>109.1</v>
      </c>
      <c r="I426" s="113">
        <v>8.1999999999999993</v>
      </c>
      <c r="J426" s="113">
        <v>57.17</v>
      </c>
      <c r="K426" s="113">
        <v>-39.9</v>
      </c>
    </row>
    <row r="427" spans="2:11" x14ac:dyDescent="0.25">
      <c r="B427" s="202"/>
      <c r="C427" s="113">
        <v>208.87799999999999</v>
      </c>
      <c r="D427" s="113">
        <v>7697</v>
      </c>
      <c r="E427" s="113">
        <v>424</v>
      </c>
      <c r="F427" s="113">
        <v>110</v>
      </c>
      <c r="G427" s="113">
        <v>112.6</v>
      </c>
      <c r="H427" s="113">
        <v>108.5</v>
      </c>
      <c r="I427" s="113">
        <v>8.1999999999999993</v>
      </c>
      <c r="J427" s="113">
        <v>59.32</v>
      </c>
      <c r="K427" s="113">
        <v>-41.7</v>
      </c>
    </row>
    <row r="428" spans="2:11" x14ac:dyDescent="0.25">
      <c r="B428" s="202"/>
      <c r="C428" s="113">
        <v>208.91</v>
      </c>
      <c r="D428" s="113">
        <v>7698</v>
      </c>
      <c r="E428" s="113">
        <v>425</v>
      </c>
      <c r="F428" s="113">
        <v>111</v>
      </c>
      <c r="G428" s="113">
        <v>112.2</v>
      </c>
      <c r="H428" s="113">
        <v>107.6</v>
      </c>
      <c r="I428" s="113">
        <v>9.1</v>
      </c>
      <c r="J428" s="113">
        <v>64.84</v>
      </c>
      <c r="K428" s="113">
        <v>-42.6</v>
      </c>
    </row>
    <row r="429" spans="2:11" x14ac:dyDescent="0.25">
      <c r="B429" s="202"/>
      <c r="C429" s="113">
        <v>208.94200000000001</v>
      </c>
      <c r="D429" s="113">
        <v>7699</v>
      </c>
      <c r="E429" s="113">
        <v>426</v>
      </c>
      <c r="F429" s="113">
        <v>110</v>
      </c>
      <c r="G429" s="113">
        <v>112.1</v>
      </c>
      <c r="H429" s="113">
        <v>107</v>
      </c>
      <c r="I429" s="113">
        <v>10.4</v>
      </c>
      <c r="J429" s="113">
        <v>70.02</v>
      </c>
      <c r="K429" s="113">
        <v>-43.1</v>
      </c>
    </row>
    <row r="430" spans="2:11" x14ac:dyDescent="0.25">
      <c r="B430" s="202"/>
      <c r="C430" s="113">
        <v>208.97399999999999</v>
      </c>
      <c r="D430" s="113">
        <v>7700</v>
      </c>
      <c r="E430" s="113">
        <v>427</v>
      </c>
      <c r="F430" s="113">
        <v>110</v>
      </c>
      <c r="G430" s="113">
        <v>112</v>
      </c>
      <c r="H430" s="113">
        <v>106.5</v>
      </c>
      <c r="I430" s="113">
        <v>11.7</v>
      </c>
      <c r="J430" s="113">
        <v>73.540000000000006</v>
      </c>
      <c r="K430" s="113">
        <v>-43.3</v>
      </c>
    </row>
    <row r="431" spans="2:11" x14ac:dyDescent="0.25">
      <c r="B431" s="202"/>
      <c r="C431" s="113">
        <v>209.006</v>
      </c>
      <c r="D431" s="113">
        <v>7701</v>
      </c>
      <c r="E431" s="113">
        <v>428</v>
      </c>
      <c r="F431" s="113">
        <v>110</v>
      </c>
      <c r="G431" s="113">
        <v>111.8</v>
      </c>
      <c r="H431" s="113">
        <v>106</v>
      </c>
      <c r="I431" s="113">
        <v>13.9</v>
      </c>
      <c r="J431" s="113">
        <v>78.13</v>
      </c>
      <c r="K431" s="113">
        <v>-43.3</v>
      </c>
    </row>
    <row r="432" spans="2:11" x14ac:dyDescent="0.25">
      <c r="B432" s="202"/>
      <c r="C432" s="113">
        <v>209.03800000000001</v>
      </c>
      <c r="D432" s="113">
        <v>7702</v>
      </c>
      <c r="E432" s="113">
        <v>429</v>
      </c>
      <c r="F432" s="113">
        <v>110</v>
      </c>
      <c r="G432" s="113">
        <v>111.4</v>
      </c>
      <c r="H432" s="113">
        <v>105.5</v>
      </c>
      <c r="I432" s="113">
        <v>15.6</v>
      </c>
      <c r="J432" s="113">
        <v>77.95</v>
      </c>
      <c r="K432" s="113">
        <v>-43.3</v>
      </c>
    </row>
    <row r="433" spans="2:11" x14ac:dyDescent="0.25">
      <c r="B433" s="202"/>
      <c r="C433" s="113">
        <v>209.07</v>
      </c>
      <c r="D433" s="113">
        <v>7703</v>
      </c>
      <c r="E433" s="113">
        <v>430</v>
      </c>
      <c r="F433" s="113">
        <v>110</v>
      </c>
      <c r="G433" s="113">
        <v>110.9</v>
      </c>
      <c r="H433" s="113">
        <v>104.8</v>
      </c>
      <c r="I433" s="113">
        <v>17.8</v>
      </c>
      <c r="J433" s="113">
        <v>79.53</v>
      </c>
      <c r="K433" s="113">
        <v>-42.3</v>
      </c>
    </row>
    <row r="434" spans="2:11" x14ac:dyDescent="0.25">
      <c r="B434" s="202"/>
      <c r="C434" s="113">
        <v>209.102</v>
      </c>
      <c r="D434" s="113">
        <v>7704</v>
      </c>
      <c r="E434" s="113">
        <v>431</v>
      </c>
      <c r="F434" s="113">
        <v>110</v>
      </c>
      <c r="G434" s="113">
        <v>110.7</v>
      </c>
      <c r="H434" s="113">
        <v>104.4</v>
      </c>
      <c r="I434" s="113">
        <v>17.899999999999999</v>
      </c>
      <c r="J434" s="113">
        <v>76.86</v>
      </c>
      <c r="K434" s="113">
        <v>-41.5</v>
      </c>
    </row>
    <row r="435" spans="2:11" x14ac:dyDescent="0.25">
      <c r="B435" s="202"/>
      <c r="C435" s="113">
        <v>209.13499999999999</v>
      </c>
      <c r="D435" s="113">
        <v>7705</v>
      </c>
      <c r="E435" s="113">
        <v>432</v>
      </c>
      <c r="F435" s="113">
        <v>110</v>
      </c>
      <c r="G435" s="113">
        <v>110.5</v>
      </c>
      <c r="H435" s="113">
        <v>103.9</v>
      </c>
      <c r="I435" s="113">
        <v>18</v>
      </c>
      <c r="J435" s="113">
        <v>77.02</v>
      </c>
      <c r="K435" s="113">
        <v>-37.6</v>
      </c>
    </row>
    <row r="436" spans="2:11" x14ac:dyDescent="0.25">
      <c r="B436" s="202"/>
      <c r="C436" s="113">
        <v>209.167</v>
      </c>
      <c r="D436" s="113">
        <v>7706</v>
      </c>
      <c r="E436" s="113">
        <v>433</v>
      </c>
      <c r="F436" s="113">
        <v>109</v>
      </c>
      <c r="G436" s="113">
        <v>110.2</v>
      </c>
      <c r="H436" s="113">
        <v>103.3</v>
      </c>
      <c r="I436" s="113">
        <v>17.2</v>
      </c>
      <c r="J436" s="113">
        <v>76.64</v>
      </c>
      <c r="K436" s="113">
        <v>-30.2</v>
      </c>
    </row>
    <row r="437" spans="2:11" x14ac:dyDescent="0.25">
      <c r="B437" s="202"/>
      <c r="C437" s="113">
        <v>209.2</v>
      </c>
      <c r="D437" s="113">
        <v>7707</v>
      </c>
      <c r="E437" s="113">
        <v>434</v>
      </c>
      <c r="F437" s="113">
        <v>109</v>
      </c>
      <c r="G437" s="113">
        <v>109.6</v>
      </c>
      <c r="H437" s="113">
        <v>102.6</v>
      </c>
      <c r="I437" s="113">
        <v>17.7</v>
      </c>
      <c r="J437" s="113">
        <v>76.75</v>
      </c>
      <c r="K437" s="113">
        <v>-22.5</v>
      </c>
    </row>
    <row r="438" spans="2:11" x14ac:dyDescent="0.25">
      <c r="B438" s="202"/>
      <c r="C438" s="113">
        <v>209.232</v>
      </c>
      <c r="D438" s="113">
        <v>7708</v>
      </c>
      <c r="E438" s="113">
        <v>435</v>
      </c>
      <c r="F438" s="113">
        <v>109</v>
      </c>
      <c r="G438" s="113">
        <v>108.7</v>
      </c>
      <c r="H438" s="113">
        <v>102.1</v>
      </c>
      <c r="I438" s="113">
        <v>18.100000000000001</v>
      </c>
      <c r="J438" s="113">
        <v>76.37</v>
      </c>
      <c r="K438" s="113">
        <v>-32.299999999999997</v>
      </c>
    </row>
    <row r="439" spans="2:11" x14ac:dyDescent="0.25">
      <c r="B439" s="202"/>
      <c r="C439" s="113">
        <v>209.26599999999999</v>
      </c>
      <c r="D439" s="113">
        <v>7709</v>
      </c>
      <c r="E439" s="113">
        <v>436</v>
      </c>
      <c r="F439" s="113">
        <v>108</v>
      </c>
      <c r="G439" s="113">
        <v>107.9</v>
      </c>
      <c r="H439" s="113">
        <v>101.6</v>
      </c>
      <c r="I439" s="113">
        <v>18.100000000000001</v>
      </c>
      <c r="J439" s="113">
        <v>73.849999999999994</v>
      </c>
      <c r="K439" s="113">
        <v>-42.3</v>
      </c>
    </row>
    <row r="440" spans="2:11" x14ac:dyDescent="0.25">
      <c r="B440" s="202"/>
      <c r="C440" s="113">
        <v>209.29900000000001</v>
      </c>
      <c r="D440" s="113">
        <v>7710</v>
      </c>
      <c r="E440" s="113">
        <v>437</v>
      </c>
      <c r="F440" s="113">
        <v>108</v>
      </c>
      <c r="G440" s="113">
        <v>107.4</v>
      </c>
      <c r="H440" s="113">
        <v>101.1</v>
      </c>
      <c r="I440" s="113">
        <v>16.899999999999999</v>
      </c>
      <c r="J440" s="113">
        <v>70.69</v>
      </c>
      <c r="K440" s="113">
        <v>-50.9</v>
      </c>
    </row>
    <row r="441" spans="2:11" x14ac:dyDescent="0.25">
      <c r="B441" s="202"/>
      <c r="C441" s="113">
        <v>209.333</v>
      </c>
      <c r="D441" s="113">
        <v>7711</v>
      </c>
      <c r="E441" s="113">
        <v>438</v>
      </c>
      <c r="F441" s="113">
        <v>107</v>
      </c>
      <c r="G441" s="113">
        <v>107.2</v>
      </c>
      <c r="H441" s="113">
        <v>100.5</v>
      </c>
      <c r="I441" s="113">
        <v>14.2</v>
      </c>
      <c r="J441" s="113">
        <v>66.099999999999994</v>
      </c>
      <c r="K441" s="113">
        <v>-60.7</v>
      </c>
    </row>
    <row r="442" spans="2:11" x14ac:dyDescent="0.25">
      <c r="B442" s="202"/>
      <c r="C442" s="113">
        <v>209.36600000000001</v>
      </c>
      <c r="D442" s="113">
        <v>7712</v>
      </c>
      <c r="E442" s="113">
        <v>439</v>
      </c>
      <c r="F442" s="113">
        <v>106</v>
      </c>
      <c r="G442" s="113">
        <v>107.1</v>
      </c>
      <c r="H442" s="113">
        <v>100</v>
      </c>
      <c r="I442" s="113">
        <v>11.8</v>
      </c>
      <c r="J442" s="113">
        <v>65.87</v>
      </c>
      <c r="K442" s="113">
        <v>-67.099999999999994</v>
      </c>
    </row>
    <row r="443" spans="2:11" x14ac:dyDescent="0.25">
      <c r="B443" s="202"/>
      <c r="C443" s="113">
        <v>209.399</v>
      </c>
      <c r="D443" s="113">
        <v>7713</v>
      </c>
      <c r="E443" s="113">
        <v>440</v>
      </c>
      <c r="F443" s="113">
        <v>106</v>
      </c>
      <c r="G443" s="113">
        <v>107</v>
      </c>
      <c r="H443" s="113">
        <v>99.5</v>
      </c>
      <c r="I443" s="113">
        <v>11.1</v>
      </c>
      <c r="J443" s="113">
        <v>66.06</v>
      </c>
      <c r="K443" s="113">
        <v>-67.099999999999994</v>
      </c>
    </row>
    <row r="444" spans="2:11" x14ac:dyDescent="0.25">
      <c r="B444" s="202"/>
      <c r="C444" s="113">
        <v>209.43299999999999</v>
      </c>
      <c r="D444" s="113">
        <v>7714</v>
      </c>
      <c r="E444" s="113">
        <v>441</v>
      </c>
      <c r="F444" s="113">
        <v>107</v>
      </c>
      <c r="G444" s="113">
        <v>106.6</v>
      </c>
      <c r="H444" s="113">
        <v>98.8</v>
      </c>
      <c r="I444" s="113">
        <v>11.5</v>
      </c>
      <c r="J444" s="113">
        <v>69.400000000000006</v>
      </c>
      <c r="K444" s="113">
        <v>-67.099999999999994</v>
      </c>
    </row>
    <row r="445" spans="2:11" x14ac:dyDescent="0.25">
      <c r="B445" s="202"/>
      <c r="C445" s="113">
        <v>209.46600000000001</v>
      </c>
      <c r="D445" s="113">
        <v>7715</v>
      </c>
      <c r="E445" s="113">
        <v>442</v>
      </c>
      <c r="F445" s="113">
        <v>106</v>
      </c>
      <c r="G445" s="113">
        <v>106.1</v>
      </c>
      <c r="H445" s="113">
        <v>98.3</v>
      </c>
      <c r="I445" s="113">
        <v>13</v>
      </c>
      <c r="J445" s="113">
        <v>69.790000000000006</v>
      </c>
      <c r="K445" s="113">
        <v>-64.3</v>
      </c>
    </row>
    <row r="446" spans="2:11" x14ac:dyDescent="0.25">
      <c r="B446" s="202"/>
      <c r="C446" s="113">
        <v>209.501</v>
      </c>
      <c r="D446" s="113">
        <v>7716</v>
      </c>
      <c r="E446" s="113">
        <v>443</v>
      </c>
      <c r="F446" s="113">
        <v>106</v>
      </c>
      <c r="G446" s="113">
        <v>105.6</v>
      </c>
      <c r="H446" s="113">
        <v>97.6</v>
      </c>
      <c r="I446" s="113">
        <v>14.2</v>
      </c>
      <c r="J446" s="113">
        <v>68.819999999999993</v>
      </c>
      <c r="K446" s="113">
        <v>-59.3</v>
      </c>
    </row>
    <row r="447" spans="2:11" x14ac:dyDescent="0.25">
      <c r="B447" s="202"/>
      <c r="C447" s="113">
        <v>209.53399999999999</v>
      </c>
      <c r="D447" s="113">
        <v>7717</v>
      </c>
      <c r="E447" s="113">
        <v>444</v>
      </c>
      <c r="F447" s="113">
        <v>106</v>
      </c>
      <c r="G447" s="113">
        <v>105.6</v>
      </c>
      <c r="H447" s="113">
        <v>97.1</v>
      </c>
      <c r="I447" s="113">
        <v>14.9</v>
      </c>
      <c r="J447" s="113">
        <v>67.989999999999995</v>
      </c>
      <c r="K447" s="113">
        <v>-57.1</v>
      </c>
    </row>
    <row r="448" spans="2:11" x14ac:dyDescent="0.25">
      <c r="B448" s="202"/>
      <c r="C448" s="113">
        <v>209.56800000000001</v>
      </c>
      <c r="D448" s="113">
        <v>7718</v>
      </c>
      <c r="E448" s="113">
        <v>445</v>
      </c>
      <c r="F448" s="113">
        <v>106</v>
      </c>
      <c r="G448" s="113">
        <v>105.4</v>
      </c>
      <c r="H448" s="113">
        <v>96.7</v>
      </c>
      <c r="I448" s="113">
        <v>14.8</v>
      </c>
      <c r="J448" s="113">
        <v>69.680000000000007</v>
      </c>
      <c r="K448" s="113">
        <v>-56.5</v>
      </c>
    </row>
    <row r="449" spans="2:11" x14ac:dyDescent="0.25">
      <c r="B449" s="202"/>
      <c r="C449" s="113">
        <v>209.602</v>
      </c>
      <c r="D449" s="113">
        <v>7719</v>
      </c>
      <c r="E449" s="113">
        <v>446</v>
      </c>
      <c r="F449" s="113">
        <v>107</v>
      </c>
      <c r="G449" s="113">
        <v>104.9</v>
      </c>
      <c r="H449" s="113">
        <v>96.2</v>
      </c>
      <c r="I449" s="113">
        <v>15.7</v>
      </c>
      <c r="J449" s="113">
        <v>71.23</v>
      </c>
      <c r="K449" s="113">
        <v>-55.5</v>
      </c>
    </row>
    <row r="450" spans="2:11" x14ac:dyDescent="0.25">
      <c r="B450" s="202"/>
      <c r="C450" s="113">
        <v>209.637</v>
      </c>
      <c r="D450" s="113">
        <v>7720</v>
      </c>
      <c r="E450" s="113">
        <v>447</v>
      </c>
      <c r="F450" s="113">
        <v>107</v>
      </c>
      <c r="G450" s="113">
        <v>105</v>
      </c>
      <c r="H450" s="113">
        <v>95.8</v>
      </c>
      <c r="I450" s="113">
        <v>17.5</v>
      </c>
      <c r="J450" s="113">
        <v>74.290000000000006</v>
      </c>
      <c r="K450" s="113">
        <v>-54.3</v>
      </c>
    </row>
    <row r="451" spans="2:11" x14ac:dyDescent="0.25">
      <c r="B451" s="202"/>
      <c r="C451" s="113">
        <v>209.67099999999999</v>
      </c>
      <c r="D451" s="113">
        <v>7721</v>
      </c>
      <c r="E451" s="113">
        <v>448</v>
      </c>
      <c r="F451" s="113">
        <v>107</v>
      </c>
      <c r="G451" s="113">
        <v>104.4</v>
      </c>
      <c r="H451" s="113">
        <v>95.5</v>
      </c>
      <c r="I451" s="113">
        <v>19.8</v>
      </c>
      <c r="J451" s="113">
        <v>72.150000000000006</v>
      </c>
      <c r="K451" s="113">
        <v>-52.5</v>
      </c>
    </row>
    <row r="452" spans="2:11" x14ac:dyDescent="0.25">
      <c r="B452" s="202"/>
      <c r="C452" s="113">
        <v>209.70500000000001</v>
      </c>
      <c r="D452" s="113">
        <v>7722</v>
      </c>
      <c r="E452" s="113">
        <v>449</v>
      </c>
      <c r="F452" s="113">
        <v>108</v>
      </c>
      <c r="G452" s="113">
        <v>104.4</v>
      </c>
      <c r="H452" s="113">
        <v>95.2</v>
      </c>
      <c r="I452" s="113">
        <v>19.3</v>
      </c>
      <c r="J452" s="113">
        <v>70.56</v>
      </c>
      <c r="K452" s="113">
        <v>-53.6</v>
      </c>
    </row>
    <row r="453" spans="2:11" x14ac:dyDescent="0.25">
      <c r="B453" s="202"/>
      <c r="C453" s="113">
        <v>209.739</v>
      </c>
      <c r="D453" s="113">
        <v>7723</v>
      </c>
      <c r="E453" s="113">
        <v>450</v>
      </c>
      <c r="F453" s="113">
        <v>109</v>
      </c>
      <c r="G453" s="113">
        <v>104.3</v>
      </c>
      <c r="H453" s="113">
        <v>95</v>
      </c>
      <c r="I453" s="113">
        <v>18.600000000000001</v>
      </c>
      <c r="J453" s="113">
        <v>61.52</v>
      </c>
      <c r="K453" s="113">
        <v>-55.3</v>
      </c>
    </row>
    <row r="454" spans="2:11" x14ac:dyDescent="0.25">
      <c r="B454" s="202"/>
      <c r="C454" s="113">
        <v>209.774</v>
      </c>
      <c r="D454" s="113">
        <v>7724</v>
      </c>
      <c r="E454" s="113">
        <v>451</v>
      </c>
      <c r="F454" s="113">
        <v>108</v>
      </c>
      <c r="G454" s="113">
        <v>103.8</v>
      </c>
      <c r="H454" s="113">
        <v>94.7</v>
      </c>
      <c r="I454" s="113">
        <v>17.100000000000001</v>
      </c>
      <c r="J454" s="113">
        <v>59.59</v>
      </c>
      <c r="K454" s="113">
        <v>-56.9</v>
      </c>
    </row>
    <row r="455" spans="2:11" x14ac:dyDescent="0.25">
      <c r="B455" s="202"/>
      <c r="C455" s="113">
        <v>209.809</v>
      </c>
      <c r="D455" s="113">
        <v>7725</v>
      </c>
      <c r="E455" s="113">
        <v>452</v>
      </c>
      <c r="F455" s="113">
        <v>108</v>
      </c>
      <c r="G455" s="113">
        <v>103.5</v>
      </c>
      <c r="H455" s="113">
        <v>94.5</v>
      </c>
      <c r="I455" s="113">
        <v>15.5</v>
      </c>
      <c r="J455" s="113">
        <v>52.37</v>
      </c>
      <c r="K455" s="113">
        <v>-56.9</v>
      </c>
    </row>
    <row r="456" spans="2:11" x14ac:dyDescent="0.25">
      <c r="B456" s="202"/>
      <c r="C456" s="113">
        <v>209.84299999999999</v>
      </c>
      <c r="D456" s="113">
        <v>7726</v>
      </c>
      <c r="E456" s="113">
        <v>453</v>
      </c>
      <c r="F456" s="113">
        <v>108</v>
      </c>
      <c r="G456" s="113">
        <v>103.3</v>
      </c>
      <c r="H456" s="113">
        <v>94.3</v>
      </c>
      <c r="I456" s="113">
        <v>13.3</v>
      </c>
      <c r="J456" s="113">
        <v>48.18</v>
      </c>
      <c r="K456" s="113">
        <v>-56.8</v>
      </c>
    </row>
    <row r="457" spans="2:11" x14ac:dyDescent="0.25">
      <c r="B457" s="202"/>
      <c r="C457" s="113">
        <v>209.87799999999999</v>
      </c>
      <c r="D457" s="113">
        <v>7727</v>
      </c>
      <c r="E457" s="113">
        <v>454</v>
      </c>
      <c r="F457" s="113">
        <v>108</v>
      </c>
      <c r="G457" s="113">
        <v>103.5</v>
      </c>
      <c r="H457" s="113">
        <v>94.3</v>
      </c>
      <c r="I457" s="113">
        <v>10.6</v>
      </c>
      <c r="J457" s="113">
        <v>44.08</v>
      </c>
      <c r="K457" s="113">
        <v>-56.2</v>
      </c>
    </row>
    <row r="458" spans="2:11" x14ac:dyDescent="0.25">
      <c r="B458" s="202"/>
      <c r="C458" s="113">
        <v>209.91200000000001</v>
      </c>
      <c r="D458" s="113">
        <v>7728</v>
      </c>
      <c r="E458" s="113">
        <v>455</v>
      </c>
      <c r="F458" s="113">
        <v>109</v>
      </c>
      <c r="G458" s="113">
        <v>103.6</v>
      </c>
      <c r="H458" s="113">
        <v>94.2</v>
      </c>
      <c r="I458" s="113">
        <v>8.1</v>
      </c>
      <c r="J458" s="113">
        <v>43.91</v>
      </c>
      <c r="K458" s="113">
        <v>-55.3</v>
      </c>
    </row>
    <row r="459" spans="2:11" x14ac:dyDescent="0.25">
      <c r="B459" s="202"/>
      <c r="C459" s="113">
        <v>209.947</v>
      </c>
      <c r="D459" s="113">
        <v>7729</v>
      </c>
      <c r="E459" s="113">
        <v>456</v>
      </c>
      <c r="F459" s="113">
        <v>109</v>
      </c>
      <c r="G459" s="113">
        <v>103.9</v>
      </c>
      <c r="H459" s="113">
        <v>94.2</v>
      </c>
      <c r="I459" s="113">
        <v>7.7</v>
      </c>
      <c r="J459" s="113">
        <v>40.479999999999997</v>
      </c>
      <c r="K459" s="113">
        <v>-54.5</v>
      </c>
    </row>
    <row r="460" spans="2:11" x14ac:dyDescent="0.25">
      <c r="B460" s="202"/>
      <c r="C460" s="113">
        <v>209.982</v>
      </c>
      <c r="D460" s="113">
        <v>7730</v>
      </c>
      <c r="E460" s="113">
        <v>457</v>
      </c>
      <c r="F460" s="113">
        <v>109</v>
      </c>
      <c r="G460" s="113">
        <v>104.5</v>
      </c>
      <c r="H460" s="113">
        <v>94.3</v>
      </c>
      <c r="I460" s="113">
        <v>8.3000000000000007</v>
      </c>
      <c r="J460" s="113">
        <v>49.34</v>
      </c>
      <c r="K460" s="113">
        <v>-53.3</v>
      </c>
    </row>
    <row r="461" spans="2:11" x14ac:dyDescent="0.25">
      <c r="B461" s="202"/>
      <c r="C461" s="113">
        <v>210.01599999999999</v>
      </c>
      <c r="D461" s="113">
        <v>7731</v>
      </c>
      <c r="E461" s="113">
        <v>458</v>
      </c>
      <c r="F461" s="113">
        <v>109</v>
      </c>
      <c r="G461" s="113">
        <v>104.9</v>
      </c>
      <c r="H461" s="113">
        <v>94.3</v>
      </c>
      <c r="I461" s="113">
        <v>9.1999999999999993</v>
      </c>
      <c r="J461" s="113">
        <v>52</v>
      </c>
      <c r="K461" s="113">
        <v>-52.4</v>
      </c>
    </row>
    <row r="462" spans="2:11" x14ac:dyDescent="0.25">
      <c r="B462" s="202"/>
      <c r="C462" s="113">
        <v>210.05099999999999</v>
      </c>
      <c r="D462" s="113">
        <v>7732</v>
      </c>
      <c r="E462" s="113">
        <v>459</v>
      </c>
      <c r="F462" s="113">
        <v>108</v>
      </c>
      <c r="G462" s="113">
        <v>105.2</v>
      </c>
      <c r="H462" s="113">
        <v>94.4</v>
      </c>
      <c r="I462" s="113">
        <v>14.4</v>
      </c>
      <c r="J462" s="113">
        <v>55.73</v>
      </c>
      <c r="K462" s="113">
        <v>-51.2</v>
      </c>
    </row>
    <row r="463" spans="2:11" x14ac:dyDescent="0.25">
      <c r="B463" s="202"/>
      <c r="C463" s="113">
        <v>210.084</v>
      </c>
      <c r="D463" s="113">
        <v>7733</v>
      </c>
      <c r="E463" s="113">
        <v>460</v>
      </c>
      <c r="F463" s="113">
        <v>108</v>
      </c>
      <c r="G463" s="113">
        <v>105.1</v>
      </c>
      <c r="H463" s="113">
        <v>94.6</v>
      </c>
      <c r="I463" s="113">
        <v>17.899999999999999</v>
      </c>
      <c r="J463" s="113">
        <v>58.88</v>
      </c>
      <c r="K463" s="113">
        <v>-49.2</v>
      </c>
    </row>
    <row r="464" spans="2:11" x14ac:dyDescent="0.25">
      <c r="B464" s="202"/>
      <c r="C464" s="113">
        <v>210.119</v>
      </c>
      <c r="D464" s="113">
        <v>7734</v>
      </c>
      <c r="E464" s="113">
        <v>461</v>
      </c>
      <c r="F464" s="113">
        <v>108</v>
      </c>
      <c r="G464" s="113">
        <v>104.9</v>
      </c>
      <c r="H464" s="113">
        <v>94.7</v>
      </c>
      <c r="I464" s="113">
        <v>19.3</v>
      </c>
      <c r="J464" s="113">
        <v>60.45</v>
      </c>
      <c r="K464" s="113">
        <v>-39.5</v>
      </c>
    </row>
    <row r="465" spans="2:11" x14ac:dyDescent="0.25">
      <c r="B465" s="202"/>
      <c r="C465" s="113">
        <v>210.15299999999999</v>
      </c>
      <c r="D465" s="113">
        <v>7735</v>
      </c>
      <c r="E465" s="113">
        <v>462</v>
      </c>
      <c r="F465" s="113">
        <v>108</v>
      </c>
      <c r="G465" s="113">
        <v>104.8</v>
      </c>
      <c r="H465" s="113">
        <v>94.8</v>
      </c>
      <c r="I465" s="113">
        <v>19.3</v>
      </c>
      <c r="J465" s="113">
        <v>59.98</v>
      </c>
      <c r="K465" s="113">
        <v>-26.5</v>
      </c>
    </row>
    <row r="466" spans="2:11" x14ac:dyDescent="0.25">
      <c r="B466" s="202"/>
      <c r="C466" s="113">
        <v>210.18700000000001</v>
      </c>
      <c r="D466" s="113">
        <v>7736</v>
      </c>
      <c r="E466" s="113">
        <v>463</v>
      </c>
      <c r="F466" s="113">
        <v>109</v>
      </c>
      <c r="G466" s="113">
        <v>105.1</v>
      </c>
      <c r="H466" s="113">
        <v>95</v>
      </c>
      <c r="I466" s="113">
        <v>18.8</v>
      </c>
      <c r="J466" s="113">
        <v>59.54</v>
      </c>
      <c r="K466" s="113">
        <v>-24.5</v>
      </c>
    </row>
    <row r="467" spans="2:11" x14ac:dyDescent="0.25">
      <c r="B467" s="202"/>
      <c r="C467" s="113">
        <v>210.221</v>
      </c>
      <c r="D467" s="113">
        <v>7737</v>
      </c>
      <c r="E467" s="113">
        <v>464</v>
      </c>
      <c r="F467" s="113">
        <v>109</v>
      </c>
      <c r="G467" s="113">
        <v>105.3</v>
      </c>
      <c r="H467" s="113">
        <v>95.2</v>
      </c>
      <c r="I467" s="113">
        <v>17.8</v>
      </c>
      <c r="J467" s="113">
        <v>60.37</v>
      </c>
      <c r="K467" s="113">
        <v>-24.5</v>
      </c>
    </row>
    <row r="468" spans="2:11" x14ac:dyDescent="0.25">
      <c r="B468" s="202"/>
      <c r="C468" s="113">
        <v>210.256</v>
      </c>
      <c r="D468" s="113">
        <v>7738</v>
      </c>
      <c r="E468" s="113">
        <v>465</v>
      </c>
      <c r="F468" s="113">
        <v>109</v>
      </c>
      <c r="G468" s="113">
        <v>105.3</v>
      </c>
      <c r="H468" s="113">
        <v>95.3</v>
      </c>
      <c r="I468" s="113">
        <v>17.100000000000001</v>
      </c>
      <c r="J468" s="113">
        <v>61.52</v>
      </c>
      <c r="K468" s="113">
        <v>-30.1</v>
      </c>
    </row>
    <row r="469" spans="2:11" x14ac:dyDescent="0.25">
      <c r="B469" s="202"/>
      <c r="C469" s="113">
        <v>210.28899999999999</v>
      </c>
      <c r="D469" s="113">
        <v>7739</v>
      </c>
      <c r="E469" s="113">
        <v>466</v>
      </c>
      <c r="F469" s="113">
        <v>109</v>
      </c>
      <c r="G469" s="113">
        <v>105.3</v>
      </c>
      <c r="H469" s="113">
        <v>95.5</v>
      </c>
      <c r="I469" s="113">
        <v>17.100000000000001</v>
      </c>
      <c r="J469" s="113">
        <v>59.46</v>
      </c>
      <c r="K469" s="113">
        <v>-42.2</v>
      </c>
    </row>
    <row r="470" spans="2:11" x14ac:dyDescent="0.25">
      <c r="B470" s="202"/>
      <c r="C470" s="113">
        <v>210.32400000000001</v>
      </c>
      <c r="D470" s="113">
        <v>7740</v>
      </c>
      <c r="E470" s="113">
        <v>467</v>
      </c>
      <c r="F470" s="113">
        <v>109</v>
      </c>
      <c r="G470" s="113">
        <v>105.1</v>
      </c>
      <c r="H470" s="113">
        <v>95.7</v>
      </c>
      <c r="I470" s="113">
        <v>17.399999999999999</v>
      </c>
      <c r="J470" s="113">
        <v>59.26</v>
      </c>
      <c r="K470" s="113">
        <v>-56.9</v>
      </c>
    </row>
    <row r="471" spans="2:11" x14ac:dyDescent="0.25">
      <c r="B471" s="202"/>
      <c r="C471" s="113">
        <v>210.357</v>
      </c>
      <c r="D471" s="113">
        <v>7741</v>
      </c>
      <c r="E471" s="113">
        <v>468</v>
      </c>
      <c r="F471" s="113">
        <v>109</v>
      </c>
      <c r="G471" s="113">
        <v>105.3</v>
      </c>
      <c r="H471" s="113">
        <v>95.9</v>
      </c>
      <c r="I471" s="113">
        <v>16.8</v>
      </c>
      <c r="J471" s="113">
        <v>57.15</v>
      </c>
      <c r="K471" s="113">
        <v>-57.3</v>
      </c>
    </row>
    <row r="472" spans="2:11" x14ac:dyDescent="0.25">
      <c r="B472" s="202"/>
      <c r="C472" s="113">
        <v>210.392</v>
      </c>
      <c r="D472" s="113">
        <v>7742</v>
      </c>
      <c r="E472" s="113">
        <v>469</v>
      </c>
      <c r="F472" s="113">
        <v>110</v>
      </c>
      <c r="G472" s="113">
        <v>105.4</v>
      </c>
      <c r="H472" s="113">
        <v>96.1</v>
      </c>
      <c r="I472" s="113">
        <v>15.9</v>
      </c>
      <c r="J472" s="113">
        <v>58.13</v>
      </c>
      <c r="K472" s="113">
        <v>-57.8</v>
      </c>
    </row>
    <row r="473" spans="2:11" x14ac:dyDescent="0.25">
      <c r="B473" s="202"/>
      <c r="C473" s="113">
        <v>210.42599999999999</v>
      </c>
      <c r="D473" s="113">
        <v>7743</v>
      </c>
      <c r="E473" s="113">
        <v>470</v>
      </c>
      <c r="F473" s="113">
        <v>110</v>
      </c>
      <c r="G473" s="113">
        <v>105.7</v>
      </c>
      <c r="H473" s="113">
        <v>96.3</v>
      </c>
      <c r="I473" s="113">
        <v>15.9</v>
      </c>
      <c r="J473" s="113">
        <v>57.26</v>
      </c>
      <c r="K473" s="113">
        <v>-57.1</v>
      </c>
    </row>
    <row r="474" spans="2:11" x14ac:dyDescent="0.25">
      <c r="B474" s="202"/>
      <c r="C474" s="113">
        <v>210.46</v>
      </c>
      <c r="D474" s="113">
        <v>7744</v>
      </c>
      <c r="E474" s="113">
        <v>471</v>
      </c>
      <c r="F474" s="113">
        <v>109</v>
      </c>
      <c r="G474" s="113">
        <v>105.8</v>
      </c>
      <c r="H474" s="113">
        <v>96.5</v>
      </c>
      <c r="I474" s="113">
        <v>16.5</v>
      </c>
      <c r="J474" s="113">
        <v>58.08</v>
      </c>
      <c r="K474" s="113">
        <v>-55.7</v>
      </c>
    </row>
    <row r="475" spans="2:11" x14ac:dyDescent="0.25">
      <c r="B475" s="202"/>
      <c r="C475" s="113">
        <v>210.494</v>
      </c>
      <c r="D475" s="113">
        <v>7745</v>
      </c>
      <c r="E475" s="113">
        <v>472</v>
      </c>
      <c r="F475" s="113">
        <v>109</v>
      </c>
      <c r="G475" s="113">
        <v>105.7</v>
      </c>
      <c r="H475" s="113">
        <v>96.7</v>
      </c>
      <c r="I475" s="113">
        <v>17.100000000000001</v>
      </c>
      <c r="J475" s="113">
        <v>57.55</v>
      </c>
      <c r="K475" s="113">
        <v>-55.2</v>
      </c>
    </row>
    <row r="476" spans="2:11" x14ac:dyDescent="0.25">
      <c r="B476" s="202"/>
      <c r="C476" s="113">
        <v>210.52799999999999</v>
      </c>
      <c r="D476" s="113">
        <v>7746</v>
      </c>
      <c r="E476" s="113">
        <v>473</v>
      </c>
      <c r="F476" s="113">
        <v>110</v>
      </c>
      <c r="G476" s="113">
        <v>105.8</v>
      </c>
      <c r="H476" s="113">
        <v>96.9</v>
      </c>
      <c r="I476" s="113">
        <v>17.100000000000001</v>
      </c>
      <c r="J476" s="113">
        <v>56.13</v>
      </c>
      <c r="K476" s="113">
        <v>-55.1</v>
      </c>
    </row>
    <row r="477" spans="2:11" x14ac:dyDescent="0.25">
      <c r="B477" s="202"/>
      <c r="C477" s="113">
        <v>210.56200000000001</v>
      </c>
      <c r="D477" s="113">
        <v>7747</v>
      </c>
      <c r="E477" s="113">
        <v>474</v>
      </c>
      <c r="F477" s="113">
        <v>110</v>
      </c>
      <c r="G477" s="113">
        <v>106</v>
      </c>
      <c r="H477" s="113">
        <v>97.2</v>
      </c>
      <c r="I477" s="113">
        <v>17.100000000000001</v>
      </c>
      <c r="J477" s="113">
        <v>57.34</v>
      </c>
      <c r="K477" s="113">
        <v>-55</v>
      </c>
    </row>
    <row r="478" spans="2:11" x14ac:dyDescent="0.25">
      <c r="B478" s="202"/>
      <c r="C478" s="113">
        <v>210.596</v>
      </c>
      <c r="D478" s="113">
        <v>7748</v>
      </c>
      <c r="E478" s="113">
        <v>475</v>
      </c>
      <c r="F478" s="113">
        <v>111</v>
      </c>
      <c r="G478" s="113">
        <v>106.1</v>
      </c>
      <c r="H478" s="113">
        <v>97.4</v>
      </c>
      <c r="I478" s="113">
        <v>16.5</v>
      </c>
      <c r="J478" s="113">
        <v>54.47</v>
      </c>
      <c r="K478" s="113">
        <v>-55</v>
      </c>
    </row>
    <row r="479" spans="2:11" x14ac:dyDescent="0.25">
      <c r="B479" s="202"/>
      <c r="C479" s="113">
        <v>210.62899999999999</v>
      </c>
      <c r="D479" s="113">
        <v>7749</v>
      </c>
      <c r="E479" s="113">
        <v>476</v>
      </c>
      <c r="F479" s="113">
        <v>112</v>
      </c>
      <c r="G479" s="113">
        <v>106.4</v>
      </c>
      <c r="H479" s="113">
        <v>97.6</v>
      </c>
      <c r="I479" s="113">
        <v>16.3</v>
      </c>
      <c r="J479" s="113">
        <v>54.66</v>
      </c>
      <c r="K479" s="113">
        <v>-55</v>
      </c>
    </row>
    <row r="480" spans="2:11" x14ac:dyDescent="0.25">
      <c r="B480" s="202"/>
      <c r="C480" s="113">
        <v>210.66300000000001</v>
      </c>
      <c r="D480" s="113">
        <v>7750</v>
      </c>
      <c r="E480" s="113">
        <v>477</v>
      </c>
      <c r="F480" s="113">
        <v>112</v>
      </c>
      <c r="G480" s="113">
        <v>106.6</v>
      </c>
      <c r="H480" s="113">
        <v>97.9</v>
      </c>
      <c r="I480" s="113">
        <v>16.3</v>
      </c>
      <c r="J480" s="113">
        <v>51.68</v>
      </c>
      <c r="K480" s="113">
        <v>-54.3</v>
      </c>
    </row>
    <row r="481" spans="2:11" x14ac:dyDescent="0.25">
      <c r="B481" s="202"/>
      <c r="C481" s="113">
        <v>210.697</v>
      </c>
      <c r="D481" s="113">
        <v>7751</v>
      </c>
      <c r="E481" s="113">
        <v>478</v>
      </c>
      <c r="F481" s="113">
        <v>112</v>
      </c>
      <c r="G481" s="113">
        <v>106.9</v>
      </c>
      <c r="H481" s="113">
        <v>98.1</v>
      </c>
      <c r="I481" s="113">
        <v>16.3</v>
      </c>
      <c r="J481" s="113">
        <v>51.38</v>
      </c>
      <c r="K481" s="113">
        <v>-53.5</v>
      </c>
    </row>
    <row r="482" spans="2:11" x14ac:dyDescent="0.25">
      <c r="B482" s="202"/>
      <c r="C482" s="113">
        <v>210.73</v>
      </c>
      <c r="D482" s="113">
        <v>7752</v>
      </c>
      <c r="E482" s="113">
        <v>479</v>
      </c>
      <c r="F482" s="113">
        <v>113</v>
      </c>
      <c r="G482" s="113">
        <v>107.4</v>
      </c>
      <c r="H482" s="113">
        <v>98.5</v>
      </c>
      <c r="I482" s="113">
        <v>16.3</v>
      </c>
      <c r="J482" s="113">
        <v>50.65</v>
      </c>
      <c r="K482" s="113">
        <v>-52.5</v>
      </c>
    </row>
    <row r="483" spans="2:11" x14ac:dyDescent="0.25">
      <c r="B483" s="202"/>
      <c r="C483" s="113">
        <v>210.76400000000001</v>
      </c>
      <c r="D483" s="113">
        <v>7753</v>
      </c>
      <c r="E483" s="113">
        <v>480</v>
      </c>
      <c r="F483" s="113">
        <v>112</v>
      </c>
      <c r="G483" s="113">
        <v>107.6</v>
      </c>
      <c r="H483" s="113">
        <v>98.8</v>
      </c>
      <c r="I483" s="113">
        <v>17.100000000000001</v>
      </c>
      <c r="J483" s="113">
        <v>50.53</v>
      </c>
      <c r="K483" s="113">
        <v>-51.8</v>
      </c>
    </row>
    <row r="484" spans="2:11" x14ac:dyDescent="0.25">
      <c r="B484" s="202"/>
      <c r="C484" s="113">
        <v>210.797</v>
      </c>
      <c r="D484" s="113">
        <v>7754</v>
      </c>
      <c r="E484" s="113">
        <v>481</v>
      </c>
      <c r="F484" s="113">
        <v>112</v>
      </c>
      <c r="G484" s="113">
        <v>107.2</v>
      </c>
      <c r="H484" s="113">
        <v>99.2</v>
      </c>
      <c r="I484" s="113">
        <v>18.5</v>
      </c>
      <c r="J484" s="113">
        <v>50.49</v>
      </c>
      <c r="K484" s="113">
        <v>-51.1</v>
      </c>
    </row>
    <row r="485" spans="2:11" x14ac:dyDescent="0.25">
      <c r="B485" s="202"/>
      <c r="C485" s="113">
        <v>210.83099999999999</v>
      </c>
      <c r="D485" s="113">
        <v>7755</v>
      </c>
      <c r="E485" s="113">
        <v>482</v>
      </c>
      <c r="F485" s="113">
        <v>113</v>
      </c>
      <c r="G485" s="113">
        <v>107.4</v>
      </c>
      <c r="H485" s="113">
        <v>99.6</v>
      </c>
      <c r="I485" s="113">
        <v>18.5</v>
      </c>
      <c r="J485" s="113">
        <v>44.18</v>
      </c>
      <c r="K485" s="113">
        <v>-52.5</v>
      </c>
    </row>
    <row r="486" spans="2:11" x14ac:dyDescent="0.25">
      <c r="B486" s="202"/>
      <c r="C486" s="113">
        <v>210.864</v>
      </c>
      <c r="D486" s="113">
        <v>7756</v>
      </c>
      <c r="E486" s="113">
        <v>483</v>
      </c>
      <c r="F486" s="113">
        <v>114</v>
      </c>
      <c r="G486" s="113">
        <v>107.9</v>
      </c>
      <c r="H486" s="113">
        <v>99.9</v>
      </c>
      <c r="I486" s="113">
        <v>16.8</v>
      </c>
      <c r="J486" s="113">
        <v>43.44</v>
      </c>
      <c r="K486" s="113">
        <v>-53.9</v>
      </c>
    </row>
    <row r="487" spans="2:11" x14ac:dyDescent="0.25">
      <c r="B487" s="202"/>
      <c r="C487" s="113">
        <v>210.898</v>
      </c>
      <c r="D487" s="113">
        <v>7757</v>
      </c>
      <c r="E487" s="113">
        <v>484</v>
      </c>
      <c r="F487" s="113">
        <v>115</v>
      </c>
      <c r="G487" s="113">
        <v>108.4</v>
      </c>
      <c r="H487" s="113">
        <v>100.2</v>
      </c>
      <c r="I487" s="113">
        <v>14.6</v>
      </c>
      <c r="J487" s="113">
        <v>42.52</v>
      </c>
      <c r="K487" s="113">
        <v>-54.3</v>
      </c>
    </row>
    <row r="488" spans="2:11" x14ac:dyDescent="0.25">
      <c r="B488" s="202"/>
      <c r="C488" s="113">
        <v>210.93100000000001</v>
      </c>
      <c r="D488" s="113">
        <v>7758</v>
      </c>
      <c r="E488" s="113">
        <v>485</v>
      </c>
      <c r="F488" s="113">
        <v>115</v>
      </c>
      <c r="G488" s="113">
        <v>108.9</v>
      </c>
      <c r="H488" s="113">
        <v>100.6</v>
      </c>
      <c r="I488" s="113">
        <v>13.9</v>
      </c>
      <c r="J488" s="113">
        <v>42.44</v>
      </c>
      <c r="K488" s="113">
        <v>-53.6</v>
      </c>
    </row>
    <row r="489" spans="2:11" x14ac:dyDescent="0.25">
      <c r="B489" s="202"/>
      <c r="C489" s="113">
        <v>210.96299999999999</v>
      </c>
      <c r="D489" s="113">
        <v>7759</v>
      </c>
      <c r="E489" s="113">
        <v>486</v>
      </c>
      <c r="F489" s="113">
        <v>115</v>
      </c>
      <c r="G489" s="113">
        <v>109.1</v>
      </c>
      <c r="H489" s="113">
        <v>101</v>
      </c>
      <c r="I489" s="113">
        <v>14.7</v>
      </c>
      <c r="J489" s="113">
        <v>41.42</v>
      </c>
      <c r="K489" s="113">
        <v>-53.1</v>
      </c>
    </row>
    <row r="490" spans="2:11" x14ac:dyDescent="0.25">
      <c r="B490" s="202"/>
      <c r="C490" s="113">
        <v>210.99600000000001</v>
      </c>
      <c r="D490" s="113">
        <v>7760</v>
      </c>
      <c r="E490" s="113">
        <v>487</v>
      </c>
      <c r="F490" s="113">
        <v>116</v>
      </c>
      <c r="G490" s="113">
        <v>109.3</v>
      </c>
      <c r="H490" s="113">
        <v>101.4</v>
      </c>
      <c r="I490" s="113">
        <v>15.7</v>
      </c>
      <c r="J490" s="113">
        <v>37.880000000000003</v>
      </c>
      <c r="K490" s="113">
        <v>-53.1</v>
      </c>
    </row>
    <row r="491" spans="2:11" x14ac:dyDescent="0.25">
      <c r="B491" s="202"/>
      <c r="C491" s="113">
        <v>211.029</v>
      </c>
      <c r="D491" s="113">
        <v>7761</v>
      </c>
      <c r="E491" s="113">
        <v>488</v>
      </c>
      <c r="F491" s="113">
        <v>117</v>
      </c>
      <c r="G491" s="113">
        <v>109.5</v>
      </c>
      <c r="H491" s="113">
        <v>101.8</v>
      </c>
      <c r="I491" s="113">
        <v>15.1</v>
      </c>
      <c r="J491" s="113">
        <v>34.28</v>
      </c>
      <c r="K491" s="113">
        <v>-53.1</v>
      </c>
    </row>
    <row r="492" spans="2:11" x14ac:dyDescent="0.25">
      <c r="B492" s="202"/>
      <c r="C492" s="113">
        <v>211.06200000000001</v>
      </c>
      <c r="D492" s="113">
        <v>7762</v>
      </c>
      <c r="E492" s="113">
        <v>489</v>
      </c>
      <c r="F492" s="113">
        <v>118</v>
      </c>
      <c r="G492" s="113">
        <v>110.2</v>
      </c>
      <c r="H492" s="113">
        <v>102.3</v>
      </c>
      <c r="I492" s="113">
        <v>11.5</v>
      </c>
      <c r="J492" s="113">
        <v>35.89</v>
      </c>
      <c r="K492" s="113">
        <v>-53.3</v>
      </c>
    </row>
    <row r="493" spans="2:11" x14ac:dyDescent="0.25">
      <c r="B493" s="202"/>
      <c r="C493" s="113">
        <v>211.09399999999999</v>
      </c>
      <c r="D493" s="113">
        <v>7763</v>
      </c>
      <c r="E493" s="113">
        <v>490</v>
      </c>
      <c r="F493" s="113">
        <v>118</v>
      </c>
      <c r="G493" s="113">
        <v>110.8</v>
      </c>
      <c r="H493" s="113">
        <v>102.8</v>
      </c>
      <c r="I493" s="113">
        <v>10.7</v>
      </c>
      <c r="J493" s="113">
        <v>32.869999999999997</v>
      </c>
      <c r="K493" s="113">
        <v>-53.7</v>
      </c>
    </row>
    <row r="494" spans="2:11" x14ac:dyDescent="0.25">
      <c r="B494" s="202"/>
      <c r="C494" s="113">
        <v>211.12700000000001</v>
      </c>
      <c r="D494" s="113">
        <v>7764</v>
      </c>
      <c r="E494" s="113">
        <v>491</v>
      </c>
      <c r="F494" s="113">
        <v>118</v>
      </c>
      <c r="G494" s="113">
        <v>111.4</v>
      </c>
      <c r="H494" s="113">
        <v>103.3</v>
      </c>
      <c r="I494" s="113">
        <v>11.1</v>
      </c>
      <c r="J494" s="113">
        <v>35.32</v>
      </c>
      <c r="K494" s="113">
        <v>-52.3</v>
      </c>
    </row>
    <row r="495" spans="2:11" x14ac:dyDescent="0.25">
      <c r="B495" s="202"/>
      <c r="C495" s="113">
        <v>211.15899999999999</v>
      </c>
      <c r="D495" s="113">
        <v>7765</v>
      </c>
      <c r="E495" s="113">
        <v>492</v>
      </c>
      <c r="F495" s="113">
        <v>119</v>
      </c>
      <c r="G495" s="113">
        <v>111.5</v>
      </c>
      <c r="H495" s="113">
        <v>103.7</v>
      </c>
      <c r="I495" s="113">
        <v>11.7</v>
      </c>
      <c r="J495" s="113">
        <v>38.21</v>
      </c>
      <c r="K495" s="113">
        <v>-39.4</v>
      </c>
    </row>
    <row r="496" spans="2:11" x14ac:dyDescent="0.25">
      <c r="B496" s="202"/>
      <c r="C496" s="113">
        <v>211.191</v>
      </c>
      <c r="D496" s="113">
        <v>7766</v>
      </c>
      <c r="E496" s="113">
        <v>493</v>
      </c>
      <c r="F496" s="113">
        <v>120</v>
      </c>
      <c r="G496" s="113">
        <v>112.1</v>
      </c>
      <c r="H496" s="113">
        <v>104.4</v>
      </c>
      <c r="I496" s="113">
        <v>12.6</v>
      </c>
      <c r="J496" s="113">
        <v>33.01</v>
      </c>
      <c r="K496" s="113">
        <v>-22.2</v>
      </c>
    </row>
    <row r="497" spans="2:11" x14ac:dyDescent="0.25">
      <c r="B497" s="202"/>
      <c r="C497" s="113">
        <v>211.22300000000001</v>
      </c>
      <c r="D497" s="113">
        <v>7767</v>
      </c>
      <c r="E497" s="113">
        <v>494</v>
      </c>
      <c r="F497" s="113">
        <v>121</v>
      </c>
      <c r="G497" s="113">
        <v>112.5</v>
      </c>
      <c r="H497" s="113">
        <v>104.9</v>
      </c>
      <c r="I497" s="113">
        <v>12.7</v>
      </c>
      <c r="J497" s="113">
        <v>32.049999999999997</v>
      </c>
      <c r="K497" s="113">
        <v>-30.3</v>
      </c>
    </row>
    <row r="498" spans="2:11" x14ac:dyDescent="0.25">
      <c r="B498" s="202"/>
      <c r="C498" s="113">
        <v>211.256</v>
      </c>
      <c r="D498" s="113">
        <v>7768</v>
      </c>
      <c r="E498" s="113">
        <v>495</v>
      </c>
      <c r="F498" s="113">
        <v>121</v>
      </c>
      <c r="G498" s="113">
        <v>113</v>
      </c>
      <c r="H498" s="113">
        <v>105.4</v>
      </c>
      <c r="I498" s="113">
        <v>12.3</v>
      </c>
      <c r="J498" s="113">
        <v>30.38</v>
      </c>
      <c r="K498" s="113">
        <v>-44</v>
      </c>
    </row>
    <row r="499" spans="2:11" x14ac:dyDescent="0.25">
      <c r="B499" s="202"/>
      <c r="C499" s="113">
        <v>211.28700000000001</v>
      </c>
      <c r="D499" s="113">
        <v>7769</v>
      </c>
      <c r="E499" s="113">
        <v>496</v>
      </c>
      <c r="F499" s="113">
        <v>121</v>
      </c>
      <c r="G499" s="113">
        <v>113.7</v>
      </c>
      <c r="H499" s="113">
        <v>106.1</v>
      </c>
      <c r="I499" s="113">
        <v>12</v>
      </c>
      <c r="J499" s="113">
        <v>28.5</v>
      </c>
      <c r="K499" s="113">
        <v>-55.8</v>
      </c>
    </row>
    <row r="500" spans="2:11" x14ac:dyDescent="0.25">
      <c r="B500" s="202"/>
      <c r="C500" s="113">
        <v>211.31899999999999</v>
      </c>
      <c r="D500" s="113">
        <v>7770</v>
      </c>
      <c r="E500" s="113">
        <v>497</v>
      </c>
      <c r="F500" s="113">
        <v>123</v>
      </c>
      <c r="G500" s="113">
        <v>114.3</v>
      </c>
      <c r="H500" s="113">
        <v>106.7</v>
      </c>
      <c r="I500" s="113">
        <v>11.6</v>
      </c>
      <c r="J500" s="113">
        <v>29.09</v>
      </c>
      <c r="K500" s="113">
        <v>-55.2</v>
      </c>
    </row>
    <row r="501" spans="2:11" x14ac:dyDescent="0.25">
      <c r="B501" s="202"/>
      <c r="C501" s="113">
        <v>211.35</v>
      </c>
      <c r="D501" s="113">
        <v>7771</v>
      </c>
      <c r="E501" s="113">
        <v>498</v>
      </c>
      <c r="F501" s="113">
        <v>123</v>
      </c>
      <c r="G501" s="113">
        <v>115</v>
      </c>
      <c r="H501" s="113">
        <v>107.6</v>
      </c>
      <c r="I501" s="113">
        <v>12</v>
      </c>
      <c r="J501" s="113">
        <v>29.44</v>
      </c>
      <c r="K501" s="113">
        <v>-54.3</v>
      </c>
    </row>
    <row r="502" spans="2:11" x14ac:dyDescent="0.25">
      <c r="B502" s="202"/>
      <c r="C502" s="113">
        <v>211.381</v>
      </c>
      <c r="D502" s="113">
        <v>7772</v>
      </c>
      <c r="E502" s="113">
        <v>499</v>
      </c>
      <c r="F502" s="113">
        <v>123</v>
      </c>
      <c r="G502" s="113">
        <v>115.5</v>
      </c>
      <c r="H502" s="113">
        <v>108.2</v>
      </c>
      <c r="I502" s="113">
        <v>13.6</v>
      </c>
      <c r="J502" s="113">
        <v>26.57</v>
      </c>
      <c r="K502" s="113">
        <v>-54.2</v>
      </c>
    </row>
    <row r="503" spans="2:11" x14ac:dyDescent="0.25">
      <c r="B503" s="202"/>
      <c r="C503" s="113">
        <v>211.41200000000001</v>
      </c>
      <c r="D503" s="113">
        <v>7773</v>
      </c>
      <c r="E503" s="113">
        <v>500</v>
      </c>
      <c r="F503" s="113">
        <v>124</v>
      </c>
      <c r="G503" s="113">
        <v>116</v>
      </c>
      <c r="H503" s="113">
        <v>108.9</v>
      </c>
      <c r="I503" s="113">
        <v>14.6</v>
      </c>
      <c r="J503" s="113">
        <v>26.6</v>
      </c>
      <c r="K503" s="113">
        <v>-54.2</v>
      </c>
    </row>
    <row r="504" spans="2:11" x14ac:dyDescent="0.25">
      <c r="B504" s="202"/>
      <c r="C504" s="113">
        <v>211.44399999999999</v>
      </c>
      <c r="D504" s="113">
        <v>7774</v>
      </c>
      <c r="E504" s="113">
        <v>501</v>
      </c>
      <c r="F504" s="113">
        <v>125</v>
      </c>
      <c r="G504" s="113">
        <v>116.4</v>
      </c>
      <c r="H504" s="113">
        <v>109.5</v>
      </c>
      <c r="I504" s="113">
        <v>14.3</v>
      </c>
      <c r="J504" s="113">
        <v>26.55</v>
      </c>
      <c r="K504" s="113">
        <v>-54.1</v>
      </c>
    </row>
    <row r="505" spans="2:11" x14ac:dyDescent="0.25">
      <c r="B505" s="202"/>
      <c r="C505" s="113">
        <v>211.47399999999999</v>
      </c>
      <c r="D505" s="113">
        <v>7775</v>
      </c>
      <c r="E505" s="113">
        <v>502</v>
      </c>
      <c r="F505" s="113">
        <v>126</v>
      </c>
      <c r="G505" s="113">
        <v>117</v>
      </c>
      <c r="H505" s="113">
        <v>110.2</v>
      </c>
      <c r="I505" s="113">
        <v>13.9</v>
      </c>
      <c r="J505" s="113">
        <v>24.6</v>
      </c>
      <c r="K505" s="113">
        <v>-53.5</v>
      </c>
    </row>
    <row r="506" spans="2:11" x14ac:dyDescent="0.25">
      <c r="B506" s="202"/>
      <c r="C506" s="113">
        <v>211.505</v>
      </c>
      <c r="D506" s="113">
        <v>7776</v>
      </c>
      <c r="E506" s="113">
        <v>503</v>
      </c>
      <c r="F506" s="113">
        <v>127</v>
      </c>
      <c r="G506" s="113">
        <v>117.8</v>
      </c>
      <c r="H506" s="113">
        <v>110.9</v>
      </c>
      <c r="I506" s="113">
        <v>13.3</v>
      </c>
      <c r="J506" s="113">
        <v>25.04</v>
      </c>
      <c r="K506" s="113">
        <v>-52.9</v>
      </c>
    </row>
    <row r="507" spans="2:11" x14ac:dyDescent="0.25">
      <c r="B507" s="202"/>
      <c r="C507" s="113">
        <v>211.536</v>
      </c>
      <c r="D507" s="113">
        <v>7777</v>
      </c>
      <c r="E507" s="113">
        <v>504</v>
      </c>
      <c r="F507" s="113">
        <v>127</v>
      </c>
      <c r="G507" s="113">
        <v>118.4</v>
      </c>
      <c r="H507" s="113">
        <v>111.6</v>
      </c>
      <c r="I507" s="113">
        <v>12.8</v>
      </c>
      <c r="J507" s="113">
        <v>25.01</v>
      </c>
      <c r="K507" s="113">
        <v>-51.9</v>
      </c>
    </row>
    <row r="508" spans="2:11" x14ac:dyDescent="0.25">
      <c r="B508" s="202"/>
      <c r="C508" s="113">
        <v>211.566</v>
      </c>
      <c r="D508" s="113">
        <v>7778</v>
      </c>
      <c r="E508" s="113">
        <v>505</v>
      </c>
      <c r="F508" s="113">
        <v>127</v>
      </c>
      <c r="G508" s="113">
        <v>119</v>
      </c>
      <c r="H508" s="113">
        <v>112.3</v>
      </c>
      <c r="I508" s="113">
        <v>12.8</v>
      </c>
      <c r="J508" s="113">
        <v>24.66</v>
      </c>
      <c r="K508" s="113">
        <v>-50.5</v>
      </c>
    </row>
    <row r="509" spans="2:11" x14ac:dyDescent="0.25">
      <c r="B509" s="202"/>
      <c r="C509" s="113">
        <v>211.596</v>
      </c>
      <c r="D509" s="113">
        <v>7779</v>
      </c>
      <c r="E509" s="113">
        <v>506</v>
      </c>
      <c r="F509" s="113">
        <v>128</v>
      </c>
      <c r="G509" s="113">
        <v>119.6</v>
      </c>
      <c r="H509" s="113">
        <v>113</v>
      </c>
      <c r="I509" s="113">
        <v>12.9</v>
      </c>
      <c r="J509" s="113">
        <v>21.61</v>
      </c>
      <c r="K509" s="113">
        <v>-49.1</v>
      </c>
    </row>
    <row r="510" spans="2:11" x14ac:dyDescent="0.25">
      <c r="B510" s="202"/>
      <c r="C510" s="113">
        <v>211.626</v>
      </c>
      <c r="D510" s="113">
        <v>7780</v>
      </c>
      <c r="E510" s="113">
        <v>507</v>
      </c>
      <c r="F510" s="113">
        <v>128</v>
      </c>
      <c r="G510" s="113">
        <v>120.1</v>
      </c>
      <c r="H510" s="113">
        <v>113.8</v>
      </c>
      <c r="I510" s="113">
        <v>13.3</v>
      </c>
      <c r="J510" s="113">
        <v>21.41</v>
      </c>
      <c r="K510" s="113">
        <v>-48.2</v>
      </c>
    </row>
    <row r="511" spans="2:11" x14ac:dyDescent="0.25">
      <c r="B511" s="202"/>
      <c r="C511" s="113">
        <v>211.65600000000001</v>
      </c>
      <c r="D511" s="113">
        <v>7781</v>
      </c>
      <c r="E511" s="113">
        <v>508</v>
      </c>
      <c r="F511" s="113">
        <v>128</v>
      </c>
      <c r="G511" s="113">
        <v>120.6</v>
      </c>
      <c r="H511" s="113">
        <v>114.5</v>
      </c>
      <c r="I511" s="113">
        <v>14.5</v>
      </c>
      <c r="J511" s="113">
        <v>21.26</v>
      </c>
      <c r="K511" s="113">
        <v>-47.5</v>
      </c>
    </row>
    <row r="512" spans="2:11" x14ac:dyDescent="0.25">
      <c r="B512" s="202"/>
      <c r="C512" s="113">
        <v>211.68600000000001</v>
      </c>
      <c r="D512" s="113">
        <v>7782</v>
      </c>
      <c r="E512" s="113">
        <v>509</v>
      </c>
      <c r="F512" s="113">
        <v>128</v>
      </c>
      <c r="G512" s="113">
        <v>121.1</v>
      </c>
      <c r="H512" s="113">
        <v>115.2</v>
      </c>
      <c r="I512" s="113">
        <v>16.5</v>
      </c>
      <c r="J512" s="113">
        <v>21.07</v>
      </c>
      <c r="K512" s="113">
        <v>-46.9</v>
      </c>
    </row>
    <row r="513" spans="2:11" x14ac:dyDescent="0.25">
      <c r="B513" s="202"/>
      <c r="C513" s="113">
        <v>211.71600000000001</v>
      </c>
      <c r="D513" s="113">
        <v>7783</v>
      </c>
      <c r="E513" s="113">
        <v>510</v>
      </c>
      <c r="F513" s="113">
        <v>128</v>
      </c>
      <c r="G513" s="113">
        <v>121.2</v>
      </c>
      <c r="H513" s="113">
        <v>116</v>
      </c>
      <c r="I513" s="113">
        <v>17.8</v>
      </c>
      <c r="J513" s="113">
        <v>21.69</v>
      </c>
      <c r="K513" s="113">
        <v>-47.8</v>
      </c>
    </row>
    <row r="514" spans="2:11" x14ac:dyDescent="0.25">
      <c r="B514" s="202"/>
      <c r="C514" s="113">
        <v>211.745</v>
      </c>
      <c r="D514" s="113">
        <v>7784</v>
      </c>
      <c r="E514" s="113">
        <v>511</v>
      </c>
      <c r="F514" s="113">
        <v>128</v>
      </c>
      <c r="G514" s="113">
        <v>121.1</v>
      </c>
      <c r="H514" s="113">
        <v>116.7</v>
      </c>
      <c r="I514" s="113">
        <v>18.399999999999999</v>
      </c>
      <c r="J514" s="113">
        <v>23.26</v>
      </c>
      <c r="K514" s="113">
        <v>-48.6</v>
      </c>
    </row>
    <row r="515" spans="2:11" x14ac:dyDescent="0.25">
      <c r="B515" s="202"/>
      <c r="C515" s="113">
        <v>211.774</v>
      </c>
      <c r="D515" s="113">
        <v>7785</v>
      </c>
      <c r="E515" s="113">
        <v>512</v>
      </c>
      <c r="F515" s="113">
        <v>128</v>
      </c>
      <c r="G515" s="113">
        <v>121.1</v>
      </c>
      <c r="H515" s="113">
        <v>117.4</v>
      </c>
      <c r="I515" s="113">
        <v>18</v>
      </c>
      <c r="J515" s="113">
        <v>20.53</v>
      </c>
      <c r="K515" s="113">
        <v>-49.1</v>
      </c>
    </row>
    <row r="516" spans="2:11" x14ac:dyDescent="0.25">
      <c r="B516" s="202"/>
      <c r="C516" s="113">
        <v>211.804</v>
      </c>
      <c r="D516" s="113">
        <v>7786</v>
      </c>
      <c r="E516" s="113">
        <v>513</v>
      </c>
      <c r="F516" s="113">
        <v>128</v>
      </c>
      <c r="G516" s="113">
        <v>121.2</v>
      </c>
      <c r="H516" s="113">
        <v>118.1</v>
      </c>
      <c r="I516" s="113">
        <v>15.2</v>
      </c>
      <c r="J516" s="113">
        <v>18.89</v>
      </c>
      <c r="K516" s="113">
        <v>-49.1</v>
      </c>
    </row>
    <row r="517" spans="2:11" x14ac:dyDescent="0.25">
      <c r="B517" s="202"/>
      <c r="C517" s="113">
        <v>211.834</v>
      </c>
      <c r="D517" s="113">
        <v>7787</v>
      </c>
      <c r="E517" s="113">
        <v>514</v>
      </c>
      <c r="F517" s="113">
        <v>129</v>
      </c>
      <c r="G517" s="113">
        <v>121</v>
      </c>
      <c r="H517" s="113">
        <v>118.8</v>
      </c>
      <c r="I517" s="113">
        <v>10.7</v>
      </c>
      <c r="J517" s="113">
        <v>16.39</v>
      </c>
      <c r="K517" s="113">
        <v>-49.1</v>
      </c>
    </row>
    <row r="518" spans="2:11" x14ac:dyDescent="0.25">
      <c r="B518" s="202"/>
      <c r="C518" s="113">
        <v>211.864</v>
      </c>
      <c r="D518" s="113">
        <v>7788</v>
      </c>
      <c r="E518" s="113">
        <v>515</v>
      </c>
      <c r="F518" s="113">
        <v>129</v>
      </c>
      <c r="G518" s="113">
        <v>120.9</v>
      </c>
      <c r="H518" s="113">
        <v>119.4</v>
      </c>
      <c r="I518" s="113">
        <v>7.1</v>
      </c>
      <c r="J518" s="113">
        <v>11.72</v>
      </c>
      <c r="K518" s="113">
        <v>-49.5</v>
      </c>
    </row>
    <row r="519" spans="2:11" x14ac:dyDescent="0.25">
      <c r="B519" s="202"/>
      <c r="C519" s="113">
        <v>211.893</v>
      </c>
      <c r="D519" s="113">
        <v>7789</v>
      </c>
      <c r="E519" s="113">
        <v>516</v>
      </c>
      <c r="F519" s="113">
        <v>129</v>
      </c>
      <c r="G519" s="113">
        <v>121</v>
      </c>
      <c r="H519" s="113">
        <v>120</v>
      </c>
      <c r="I519" s="113">
        <v>2.9</v>
      </c>
      <c r="J519" s="113">
        <v>7.22</v>
      </c>
      <c r="K519" s="113">
        <v>-50</v>
      </c>
    </row>
    <row r="520" spans="2:11" x14ac:dyDescent="0.25">
      <c r="B520" s="202"/>
      <c r="C520" s="113">
        <v>211.923</v>
      </c>
      <c r="D520" s="113">
        <v>7790</v>
      </c>
      <c r="E520" s="113">
        <v>517</v>
      </c>
      <c r="F520" s="113">
        <v>130</v>
      </c>
      <c r="G520" s="113">
        <v>121.2</v>
      </c>
      <c r="H520" s="113">
        <v>120.6</v>
      </c>
      <c r="I520" s="113">
        <v>0.2</v>
      </c>
      <c r="J520" s="113">
        <v>4.96</v>
      </c>
      <c r="K520" s="113">
        <v>-50.3</v>
      </c>
    </row>
    <row r="521" spans="2:11" x14ac:dyDescent="0.25">
      <c r="B521" s="202"/>
      <c r="C521" s="113">
        <v>211.952</v>
      </c>
      <c r="D521" s="113">
        <v>7791</v>
      </c>
      <c r="E521" s="113">
        <v>518</v>
      </c>
      <c r="F521" s="113">
        <v>131</v>
      </c>
      <c r="G521" s="113">
        <v>121.1</v>
      </c>
      <c r="H521" s="113">
        <v>121.2</v>
      </c>
      <c r="I521" s="113">
        <v>-0.9</v>
      </c>
      <c r="J521" s="113">
        <v>2.5</v>
      </c>
      <c r="K521" s="113">
        <v>-49.6</v>
      </c>
    </row>
    <row r="522" spans="2:11" x14ac:dyDescent="0.25">
      <c r="B522" s="202"/>
      <c r="C522" s="113">
        <v>211.982</v>
      </c>
      <c r="D522" s="113">
        <v>7792</v>
      </c>
      <c r="E522" s="113">
        <v>519</v>
      </c>
      <c r="F522" s="113">
        <v>130</v>
      </c>
      <c r="G522" s="113">
        <v>122.9</v>
      </c>
      <c r="H522" s="113">
        <v>121.8</v>
      </c>
      <c r="I522" s="113">
        <v>-0.6</v>
      </c>
      <c r="J522" s="113">
        <v>1.19</v>
      </c>
      <c r="K522" s="113">
        <v>-48.9</v>
      </c>
    </row>
    <row r="523" spans="2:11" x14ac:dyDescent="0.25">
      <c r="B523" s="202"/>
      <c r="C523" s="113">
        <v>212.011</v>
      </c>
      <c r="D523" s="113">
        <v>7793</v>
      </c>
      <c r="E523" s="113">
        <v>520</v>
      </c>
      <c r="F523" s="113">
        <v>130</v>
      </c>
      <c r="G523" s="113">
        <v>124.8</v>
      </c>
      <c r="H523" s="113">
        <v>122.4</v>
      </c>
      <c r="I523" s="113">
        <v>0.5</v>
      </c>
      <c r="J523" s="113">
        <v>3.67</v>
      </c>
      <c r="K523" s="113">
        <v>-42.6</v>
      </c>
    </row>
    <row r="524" spans="2:11" ht="15.75" thickBot="1" x14ac:dyDescent="0.3">
      <c r="B524" s="203"/>
      <c r="C524" s="113">
        <v>212.041</v>
      </c>
      <c r="D524" s="113">
        <v>7794</v>
      </c>
      <c r="E524" s="113">
        <v>521</v>
      </c>
      <c r="F524" s="113">
        <v>129</v>
      </c>
      <c r="G524" s="113">
        <v>126.1</v>
      </c>
      <c r="H524" s="113">
        <v>123</v>
      </c>
      <c r="I524" s="113">
        <v>2.9</v>
      </c>
      <c r="J524" s="113">
        <v>17.66</v>
      </c>
      <c r="K524" s="113">
        <v>-29.8</v>
      </c>
    </row>
    <row r="525" spans="2:11" x14ac:dyDescent="0.25">
      <c r="B525" s="184" t="s">
        <v>187</v>
      </c>
      <c r="C525" s="113">
        <v>212.06899999999999</v>
      </c>
      <c r="D525" s="113">
        <v>7795</v>
      </c>
      <c r="E525" s="113">
        <v>522</v>
      </c>
      <c r="F525" s="113">
        <v>128</v>
      </c>
      <c r="G525" s="113">
        <v>125.8</v>
      </c>
      <c r="H525" s="113">
        <v>123.3</v>
      </c>
      <c r="I525" s="113">
        <v>5.0999999999999996</v>
      </c>
      <c r="J525" s="113">
        <v>22.03</v>
      </c>
      <c r="K525" s="113">
        <v>-21.3</v>
      </c>
    </row>
    <row r="526" spans="2:11" x14ac:dyDescent="0.25">
      <c r="B526" s="185"/>
      <c r="C526" s="113">
        <v>212.09700000000001</v>
      </c>
      <c r="D526" s="113">
        <v>7796</v>
      </c>
      <c r="E526" s="113">
        <v>523</v>
      </c>
      <c r="F526" s="113">
        <v>128</v>
      </c>
      <c r="G526" s="113">
        <v>125.5</v>
      </c>
      <c r="H526" s="113">
        <v>123.8</v>
      </c>
      <c r="I526" s="113">
        <v>7.8</v>
      </c>
      <c r="J526" s="113">
        <v>20.41</v>
      </c>
      <c r="K526" s="113">
        <v>-13.2</v>
      </c>
    </row>
    <row r="527" spans="2:11" x14ac:dyDescent="0.25">
      <c r="B527" s="185"/>
      <c r="C527" s="113">
        <v>212.126</v>
      </c>
      <c r="D527" s="113">
        <v>7797</v>
      </c>
      <c r="E527" s="113">
        <v>524</v>
      </c>
      <c r="F527" s="113">
        <v>127</v>
      </c>
      <c r="G527" s="113">
        <v>125.6</v>
      </c>
      <c r="H527" s="113">
        <v>124.4</v>
      </c>
      <c r="I527" s="113">
        <v>7.5</v>
      </c>
      <c r="J527" s="113">
        <v>17.21</v>
      </c>
      <c r="K527" s="113">
        <v>-10.9</v>
      </c>
    </row>
    <row r="528" spans="2:11" x14ac:dyDescent="0.25">
      <c r="B528" s="185"/>
      <c r="C528" s="113">
        <v>212.154</v>
      </c>
      <c r="D528" s="113">
        <v>7798</v>
      </c>
      <c r="E528" s="113">
        <v>525</v>
      </c>
      <c r="F528" s="113">
        <v>129</v>
      </c>
      <c r="G528" s="113">
        <v>125.8</v>
      </c>
      <c r="H528" s="113">
        <v>124.8</v>
      </c>
      <c r="I528" s="113">
        <v>4.5999999999999996</v>
      </c>
      <c r="J528" s="113">
        <v>13.61</v>
      </c>
      <c r="K528" s="113">
        <v>-8.6</v>
      </c>
    </row>
    <row r="529" spans="2:11" x14ac:dyDescent="0.25">
      <c r="B529" s="185"/>
      <c r="C529" s="113">
        <v>212.18299999999999</v>
      </c>
      <c r="D529" s="113">
        <v>7799</v>
      </c>
      <c r="E529" s="113">
        <v>526</v>
      </c>
      <c r="F529" s="113">
        <v>129</v>
      </c>
      <c r="G529" s="113">
        <v>125.6</v>
      </c>
      <c r="H529" s="113">
        <v>125.3</v>
      </c>
      <c r="I529" s="113">
        <v>3</v>
      </c>
      <c r="J529" s="113">
        <v>11.06</v>
      </c>
      <c r="K529" s="113">
        <v>-8.1</v>
      </c>
    </row>
    <row r="530" spans="2:11" x14ac:dyDescent="0.25">
      <c r="B530" s="185"/>
      <c r="C530" s="113">
        <v>212.21199999999999</v>
      </c>
      <c r="D530" s="113">
        <v>7800</v>
      </c>
      <c r="E530" s="113">
        <v>527</v>
      </c>
      <c r="F530" s="113">
        <v>129</v>
      </c>
      <c r="G530" s="113">
        <v>125.8</v>
      </c>
      <c r="H530" s="113">
        <v>125.8</v>
      </c>
      <c r="I530" s="113">
        <v>2.9</v>
      </c>
      <c r="J530" s="113">
        <v>7.23</v>
      </c>
      <c r="K530" s="113">
        <v>-8.1</v>
      </c>
    </row>
    <row r="531" spans="2:11" x14ac:dyDescent="0.25">
      <c r="B531" s="185"/>
      <c r="C531" s="113">
        <v>212.24</v>
      </c>
      <c r="D531" s="113">
        <v>7801</v>
      </c>
      <c r="E531" s="113">
        <v>528</v>
      </c>
      <c r="F531" s="113">
        <v>128</v>
      </c>
      <c r="G531" s="113">
        <v>126.5</v>
      </c>
      <c r="H531" s="113">
        <v>126.2</v>
      </c>
      <c r="I531" s="113">
        <v>3.8</v>
      </c>
      <c r="J531" s="113">
        <v>6.58</v>
      </c>
      <c r="K531" s="113">
        <v>-8.6999999999999993</v>
      </c>
    </row>
    <row r="532" spans="2:11" x14ac:dyDescent="0.25">
      <c r="B532" s="185"/>
      <c r="C532" s="113">
        <v>212.26900000000001</v>
      </c>
      <c r="D532" s="113">
        <v>7802</v>
      </c>
      <c r="E532" s="113">
        <v>529</v>
      </c>
      <c r="F532" s="113">
        <v>126</v>
      </c>
      <c r="G532" s="113">
        <v>126.9</v>
      </c>
      <c r="H532" s="113">
        <v>126.5</v>
      </c>
      <c r="I532" s="113">
        <v>4.5</v>
      </c>
      <c r="J532" s="113">
        <v>8.7799999999999994</v>
      </c>
      <c r="K532" s="113">
        <v>-11.8</v>
      </c>
    </row>
    <row r="533" spans="2:11" x14ac:dyDescent="0.25">
      <c r="B533" s="185"/>
      <c r="C533" s="113">
        <v>212.297</v>
      </c>
      <c r="D533" s="113">
        <v>7803</v>
      </c>
      <c r="E533" s="113">
        <v>530</v>
      </c>
      <c r="F533" s="113">
        <v>127</v>
      </c>
      <c r="G533" s="113">
        <v>127.7</v>
      </c>
      <c r="H533" s="113">
        <v>126.9</v>
      </c>
      <c r="I533" s="113">
        <v>4.5</v>
      </c>
      <c r="J533" s="113">
        <v>19.84</v>
      </c>
      <c r="K533" s="113">
        <v>-16.5</v>
      </c>
    </row>
    <row r="534" spans="2:11" x14ac:dyDescent="0.25">
      <c r="B534" s="185"/>
      <c r="C534" s="113">
        <v>212.32499999999999</v>
      </c>
      <c r="D534" s="113">
        <v>7804</v>
      </c>
      <c r="E534" s="113">
        <v>531</v>
      </c>
      <c r="F534" s="113">
        <v>130</v>
      </c>
      <c r="G534" s="113">
        <v>128.9</v>
      </c>
      <c r="H534" s="113">
        <v>127.4</v>
      </c>
      <c r="I534" s="113">
        <v>1.2</v>
      </c>
      <c r="J534" s="113">
        <v>25.79</v>
      </c>
      <c r="K534" s="113">
        <v>-19.899999999999999</v>
      </c>
    </row>
    <row r="535" spans="2:11" x14ac:dyDescent="0.25">
      <c r="B535" s="185"/>
      <c r="C535" s="113">
        <v>212.35300000000001</v>
      </c>
      <c r="D535" s="113">
        <v>7805</v>
      </c>
      <c r="E535" s="113">
        <v>532</v>
      </c>
      <c r="F535" s="113">
        <v>126</v>
      </c>
      <c r="G535" s="113">
        <v>128.80000000000001</v>
      </c>
      <c r="H535" s="113">
        <v>127.8</v>
      </c>
      <c r="I535" s="113">
        <v>5</v>
      </c>
      <c r="J535" s="113">
        <v>25.37</v>
      </c>
      <c r="K535" s="113">
        <v>-13.7</v>
      </c>
    </row>
    <row r="536" spans="2:11" x14ac:dyDescent="0.25">
      <c r="B536" s="185"/>
      <c r="C536" s="113">
        <v>212.381</v>
      </c>
      <c r="D536" s="113">
        <v>7806</v>
      </c>
      <c r="E536" s="113">
        <v>533</v>
      </c>
      <c r="F536" s="113">
        <v>128</v>
      </c>
      <c r="G536" s="113">
        <v>129</v>
      </c>
      <c r="H536" s="113">
        <v>128.1</v>
      </c>
      <c r="I536" s="113">
        <v>4.7</v>
      </c>
      <c r="J536" s="113">
        <v>25.72</v>
      </c>
      <c r="K536" s="113">
        <v>-7.7</v>
      </c>
    </row>
    <row r="537" spans="2:11" x14ac:dyDescent="0.25">
      <c r="B537" s="185"/>
      <c r="C537" s="113">
        <v>212.40899999999999</v>
      </c>
      <c r="D537" s="113">
        <v>7807</v>
      </c>
      <c r="E537" s="113">
        <v>534</v>
      </c>
      <c r="F537" s="113">
        <v>130</v>
      </c>
      <c r="G537" s="113">
        <v>129.19999999999999</v>
      </c>
      <c r="H537" s="113">
        <v>128.30000000000001</v>
      </c>
      <c r="I537" s="113">
        <v>3</v>
      </c>
      <c r="J537" s="113">
        <v>26.25</v>
      </c>
      <c r="K537" s="113">
        <v>-3.8</v>
      </c>
    </row>
    <row r="538" spans="2:11" x14ac:dyDescent="0.25">
      <c r="B538" s="185"/>
      <c r="C538" s="113">
        <v>212.43600000000001</v>
      </c>
      <c r="D538" s="113">
        <v>7808</v>
      </c>
      <c r="E538" s="113">
        <v>535</v>
      </c>
      <c r="F538" s="113">
        <v>130</v>
      </c>
      <c r="G538" s="113">
        <v>129.19999999999999</v>
      </c>
      <c r="H538" s="113">
        <v>128.6</v>
      </c>
      <c r="I538" s="113">
        <v>3.1</v>
      </c>
      <c r="J538" s="113">
        <v>19.760000000000002</v>
      </c>
      <c r="K538" s="113">
        <v>1.2</v>
      </c>
    </row>
    <row r="539" spans="2:11" x14ac:dyDescent="0.25">
      <c r="B539" s="185"/>
      <c r="C539" s="113">
        <v>212.464</v>
      </c>
      <c r="D539" s="113">
        <v>7809</v>
      </c>
      <c r="E539" s="113">
        <v>536</v>
      </c>
      <c r="F539" s="113">
        <v>130</v>
      </c>
      <c r="G539" s="113">
        <v>129.9</v>
      </c>
      <c r="H539" s="113">
        <v>128.80000000000001</v>
      </c>
      <c r="I539" s="113">
        <v>3.9</v>
      </c>
      <c r="J539" s="113">
        <v>15.01</v>
      </c>
      <c r="K539" s="113">
        <v>6.1</v>
      </c>
    </row>
    <row r="540" spans="2:11" x14ac:dyDescent="0.25">
      <c r="B540" s="185"/>
      <c r="C540" s="113">
        <v>212.49199999999999</v>
      </c>
      <c r="D540" s="113">
        <v>7810</v>
      </c>
      <c r="E540" s="113">
        <v>537</v>
      </c>
      <c r="F540" s="113">
        <v>130</v>
      </c>
      <c r="G540" s="113">
        <v>130.4</v>
      </c>
      <c r="H540" s="113">
        <v>129.1</v>
      </c>
      <c r="I540" s="113">
        <v>4.0999999999999996</v>
      </c>
      <c r="J540" s="113">
        <v>15.08</v>
      </c>
      <c r="K540" s="113">
        <v>9.5</v>
      </c>
    </row>
    <row r="541" spans="2:11" x14ac:dyDescent="0.25">
      <c r="B541" s="185"/>
      <c r="C541" s="113">
        <v>212.51900000000001</v>
      </c>
      <c r="D541" s="113">
        <v>7811</v>
      </c>
      <c r="E541" s="113">
        <v>538</v>
      </c>
      <c r="F541" s="113">
        <v>131</v>
      </c>
      <c r="G541" s="113">
        <v>130.30000000000001</v>
      </c>
      <c r="H541" s="113">
        <v>129.19999999999999</v>
      </c>
      <c r="I541" s="113">
        <v>4.0999999999999996</v>
      </c>
      <c r="J541" s="113">
        <v>14.48</v>
      </c>
      <c r="K541" s="113">
        <v>10.3</v>
      </c>
    </row>
    <row r="542" spans="2:11" x14ac:dyDescent="0.25">
      <c r="B542" s="185"/>
      <c r="C542" s="113">
        <v>212.547</v>
      </c>
      <c r="D542" s="113">
        <v>7812</v>
      </c>
      <c r="E542" s="113">
        <v>539</v>
      </c>
      <c r="F542" s="113">
        <v>132</v>
      </c>
      <c r="G542" s="113">
        <v>131.1</v>
      </c>
      <c r="H542" s="113">
        <v>129.4</v>
      </c>
      <c r="I542" s="113">
        <v>4.7</v>
      </c>
      <c r="J542" s="113">
        <v>13.32</v>
      </c>
      <c r="K542" s="113">
        <v>11.7</v>
      </c>
    </row>
    <row r="543" spans="2:11" x14ac:dyDescent="0.25">
      <c r="B543" s="185"/>
      <c r="C543" s="113">
        <v>212.57400000000001</v>
      </c>
      <c r="D543" s="113">
        <v>7813</v>
      </c>
      <c r="E543" s="113">
        <v>540</v>
      </c>
      <c r="F543" s="113">
        <v>132</v>
      </c>
      <c r="G543" s="113">
        <v>132.1</v>
      </c>
      <c r="H543" s="113">
        <v>129.6</v>
      </c>
      <c r="I543" s="113">
        <v>4.7</v>
      </c>
      <c r="J543" s="113">
        <v>13.41</v>
      </c>
      <c r="K543" s="113">
        <v>12.4</v>
      </c>
    </row>
    <row r="544" spans="2:11" x14ac:dyDescent="0.25">
      <c r="B544" s="185"/>
      <c r="C544" s="113">
        <v>212.602</v>
      </c>
      <c r="D544" s="113">
        <v>7814</v>
      </c>
      <c r="E544" s="113">
        <v>541</v>
      </c>
      <c r="F544" s="113">
        <v>133</v>
      </c>
      <c r="G544" s="113">
        <v>132.80000000000001</v>
      </c>
      <c r="H544" s="113">
        <v>129.69999999999999</v>
      </c>
      <c r="I544" s="113">
        <v>3.5</v>
      </c>
      <c r="J544" s="113">
        <v>15.3</v>
      </c>
      <c r="K544" s="113">
        <v>12.4</v>
      </c>
    </row>
    <row r="545" spans="2:11" x14ac:dyDescent="0.25">
      <c r="B545" s="185"/>
      <c r="C545" s="113">
        <v>212.62899999999999</v>
      </c>
      <c r="D545" s="113">
        <v>7815</v>
      </c>
      <c r="E545" s="113">
        <v>542</v>
      </c>
      <c r="F545" s="113">
        <v>134</v>
      </c>
      <c r="G545" s="113">
        <v>133.30000000000001</v>
      </c>
      <c r="H545" s="113">
        <v>129.80000000000001</v>
      </c>
      <c r="I545" s="113">
        <v>3.3</v>
      </c>
      <c r="J545" s="113">
        <v>16.600000000000001</v>
      </c>
      <c r="K545" s="113">
        <v>12.4</v>
      </c>
    </row>
    <row r="546" spans="2:11" x14ac:dyDescent="0.25">
      <c r="B546" s="185"/>
      <c r="C546" s="113">
        <v>212.65600000000001</v>
      </c>
      <c r="D546" s="113">
        <v>7816</v>
      </c>
      <c r="E546" s="113">
        <v>543</v>
      </c>
      <c r="F546" s="113">
        <v>134</v>
      </c>
      <c r="G546" s="113">
        <v>133.9</v>
      </c>
      <c r="H546" s="113">
        <v>129.9</v>
      </c>
      <c r="I546" s="113">
        <v>3.3</v>
      </c>
      <c r="J546" s="113">
        <v>18.559999999999999</v>
      </c>
      <c r="K546" s="113">
        <v>12.5</v>
      </c>
    </row>
    <row r="547" spans="2:11" x14ac:dyDescent="0.25">
      <c r="B547" s="185"/>
      <c r="C547" s="113">
        <v>212.68299999999999</v>
      </c>
      <c r="D547" s="113">
        <v>7817</v>
      </c>
      <c r="E547" s="113">
        <v>544</v>
      </c>
      <c r="F547" s="113">
        <v>135</v>
      </c>
      <c r="G547" s="113">
        <v>134.5</v>
      </c>
      <c r="H547" s="113">
        <v>129.9</v>
      </c>
      <c r="I547" s="113">
        <v>3.9</v>
      </c>
      <c r="J547" s="113">
        <v>26.62</v>
      </c>
      <c r="K547" s="113">
        <v>12.7</v>
      </c>
    </row>
    <row r="548" spans="2:11" x14ac:dyDescent="0.25">
      <c r="B548" s="185"/>
      <c r="C548" s="113">
        <v>212.709</v>
      </c>
      <c r="D548" s="113">
        <v>7818</v>
      </c>
      <c r="E548" s="113">
        <v>545</v>
      </c>
      <c r="F548" s="113">
        <v>135</v>
      </c>
      <c r="G548" s="113">
        <v>134.9</v>
      </c>
      <c r="H548" s="113">
        <v>129.9</v>
      </c>
      <c r="I548" s="113">
        <v>4.8</v>
      </c>
      <c r="J548" s="113">
        <v>29.49</v>
      </c>
      <c r="K548" s="113">
        <v>12.9</v>
      </c>
    </row>
    <row r="549" spans="2:11" x14ac:dyDescent="0.25">
      <c r="B549" s="185"/>
      <c r="C549" s="113">
        <v>212.73599999999999</v>
      </c>
      <c r="D549" s="113">
        <v>7819</v>
      </c>
      <c r="E549" s="113">
        <v>546</v>
      </c>
      <c r="F549" s="113">
        <v>135</v>
      </c>
      <c r="G549" s="113">
        <v>135.30000000000001</v>
      </c>
      <c r="H549" s="113">
        <v>130</v>
      </c>
      <c r="I549" s="113">
        <v>6.4</v>
      </c>
      <c r="J549" s="113">
        <v>35.58</v>
      </c>
      <c r="K549" s="113">
        <v>13.3</v>
      </c>
    </row>
    <row r="550" spans="2:11" x14ac:dyDescent="0.25">
      <c r="B550" s="185"/>
      <c r="C550" s="113">
        <v>212.762</v>
      </c>
      <c r="D550" s="113">
        <v>7820</v>
      </c>
      <c r="E550" s="113">
        <v>547</v>
      </c>
      <c r="F550" s="113">
        <v>136</v>
      </c>
      <c r="G550" s="113">
        <v>135.5</v>
      </c>
      <c r="H550" s="113">
        <v>129.9</v>
      </c>
      <c r="I550" s="113">
        <v>8.1</v>
      </c>
      <c r="J550" s="113">
        <v>43.58</v>
      </c>
      <c r="K550" s="113">
        <v>14</v>
      </c>
    </row>
    <row r="551" spans="2:11" x14ac:dyDescent="0.25">
      <c r="B551" s="185"/>
      <c r="C551" s="113">
        <v>212.78899999999999</v>
      </c>
      <c r="D551" s="113">
        <v>7821</v>
      </c>
      <c r="E551" s="113">
        <v>548</v>
      </c>
      <c r="F551" s="113">
        <v>136</v>
      </c>
      <c r="G551" s="113">
        <v>135.6</v>
      </c>
      <c r="H551" s="113">
        <v>129.80000000000001</v>
      </c>
      <c r="I551" s="113">
        <v>9.6999999999999993</v>
      </c>
      <c r="J551" s="113">
        <v>43.61</v>
      </c>
      <c r="K551" s="113">
        <v>14.4</v>
      </c>
    </row>
    <row r="552" spans="2:11" x14ac:dyDescent="0.25">
      <c r="B552" s="185"/>
      <c r="C552" s="113">
        <v>212.815</v>
      </c>
      <c r="D552" s="113">
        <v>7822</v>
      </c>
      <c r="E552" s="113">
        <v>549</v>
      </c>
      <c r="F552" s="113">
        <v>136</v>
      </c>
      <c r="G552" s="113">
        <v>135.69999999999999</v>
      </c>
      <c r="H552" s="113">
        <v>129.69999999999999</v>
      </c>
      <c r="I552" s="113">
        <v>11.8</v>
      </c>
      <c r="J552" s="113">
        <v>47.65</v>
      </c>
      <c r="K552" s="113">
        <v>16.3</v>
      </c>
    </row>
    <row r="553" spans="2:11" x14ac:dyDescent="0.25">
      <c r="B553" s="185"/>
      <c r="C553" s="113">
        <v>212.84200000000001</v>
      </c>
      <c r="D553" s="113">
        <v>7823</v>
      </c>
      <c r="E553" s="113">
        <v>550</v>
      </c>
      <c r="F553" s="113">
        <v>136</v>
      </c>
      <c r="G553" s="113">
        <v>135.9</v>
      </c>
      <c r="H553" s="113">
        <v>129.5</v>
      </c>
      <c r="I553" s="113">
        <v>11.7</v>
      </c>
      <c r="J553" s="113">
        <v>56.35</v>
      </c>
      <c r="K553" s="113">
        <v>19.5</v>
      </c>
    </row>
    <row r="554" spans="2:11" x14ac:dyDescent="0.25">
      <c r="B554" s="185"/>
      <c r="C554" s="113">
        <v>212.86799999999999</v>
      </c>
      <c r="D554" s="113">
        <v>7824</v>
      </c>
      <c r="E554" s="113">
        <v>551</v>
      </c>
      <c r="F554" s="113">
        <v>134</v>
      </c>
      <c r="G554" s="113">
        <v>135.6</v>
      </c>
      <c r="H554" s="113">
        <v>129.4</v>
      </c>
      <c r="I554" s="113">
        <v>13.8</v>
      </c>
      <c r="J554" s="113">
        <v>60.13</v>
      </c>
      <c r="K554" s="113">
        <v>21.7</v>
      </c>
    </row>
    <row r="555" spans="2:11" x14ac:dyDescent="0.25">
      <c r="B555" s="185"/>
      <c r="C555" s="113">
        <v>212.89400000000001</v>
      </c>
      <c r="D555" s="113">
        <v>7825</v>
      </c>
      <c r="E555" s="113">
        <v>552</v>
      </c>
      <c r="F555" s="113">
        <v>132</v>
      </c>
      <c r="G555" s="113">
        <v>135.4</v>
      </c>
      <c r="H555" s="113">
        <v>129.19999999999999</v>
      </c>
      <c r="I555" s="113">
        <v>15.6</v>
      </c>
      <c r="J555" s="113">
        <v>76.53</v>
      </c>
      <c r="K555" s="113">
        <v>26.3</v>
      </c>
    </row>
    <row r="556" spans="2:11" x14ac:dyDescent="0.25">
      <c r="B556" s="185"/>
      <c r="C556" s="113">
        <v>212.92099999999999</v>
      </c>
      <c r="D556" s="113">
        <v>7826</v>
      </c>
      <c r="E556" s="113">
        <v>553</v>
      </c>
      <c r="F556" s="113">
        <v>133</v>
      </c>
      <c r="G556" s="113">
        <v>135</v>
      </c>
      <c r="H556" s="113">
        <v>129.1</v>
      </c>
      <c r="I556" s="113">
        <v>19.600000000000001</v>
      </c>
      <c r="J556" s="113">
        <v>76.45</v>
      </c>
      <c r="K556" s="113">
        <v>32.700000000000003</v>
      </c>
    </row>
    <row r="557" spans="2:11" x14ac:dyDescent="0.25">
      <c r="B557" s="185"/>
      <c r="C557" s="113">
        <v>212.947</v>
      </c>
      <c r="D557" s="113">
        <v>7827</v>
      </c>
      <c r="E557" s="113">
        <v>554</v>
      </c>
      <c r="F557" s="113">
        <v>134</v>
      </c>
      <c r="G557" s="113">
        <v>134.9</v>
      </c>
      <c r="H557" s="113">
        <v>128.9</v>
      </c>
      <c r="I557" s="113">
        <v>20.5</v>
      </c>
      <c r="J557" s="113">
        <v>78.11</v>
      </c>
      <c r="K557" s="113">
        <v>37</v>
      </c>
    </row>
    <row r="558" spans="2:11" x14ac:dyDescent="0.25">
      <c r="B558" s="185"/>
      <c r="C558" s="113">
        <v>212.97399999999999</v>
      </c>
      <c r="D558" s="113">
        <v>7828</v>
      </c>
      <c r="E558" s="113">
        <v>555</v>
      </c>
      <c r="F558" s="113">
        <v>134</v>
      </c>
      <c r="G558" s="113">
        <v>134.6</v>
      </c>
      <c r="H558" s="113">
        <v>128.6</v>
      </c>
      <c r="I558" s="113">
        <v>19.3</v>
      </c>
      <c r="J558" s="113">
        <v>76.05</v>
      </c>
      <c r="K558" s="113">
        <v>40.5</v>
      </c>
    </row>
    <row r="559" spans="2:11" x14ac:dyDescent="0.25">
      <c r="B559" s="185"/>
      <c r="C559" s="113">
        <v>213.001</v>
      </c>
      <c r="D559" s="113">
        <v>7829</v>
      </c>
      <c r="E559" s="113">
        <v>556</v>
      </c>
      <c r="F559" s="113">
        <v>133</v>
      </c>
      <c r="G559" s="113">
        <v>134.1</v>
      </c>
      <c r="H559" s="113">
        <v>128.30000000000001</v>
      </c>
      <c r="I559" s="113">
        <v>17.899999999999999</v>
      </c>
      <c r="J559" s="113">
        <v>71.94</v>
      </c>
      <c r="K559" s="113">
        <v>40.5</v>
      </c>
    </row>
    <row r="560" spans="2:11" x14ac:dyDescent="0.25">
      <c r="B560" s="185"/>
      <c r="C560" s="113">
        <v>213.02799999999999</v>
      </c>
      <c r="D560" s="113">
        <v>7830</v>
      </c>
      <c r="E560" s="113">
        <v>557</v>
      </c>
      <c r="F560" s="113">
        <v>134</v>
      </c>
      <c r="G560" s="113">
        <v>133.80000000000001</v>
      </c>
      <c r="H560" s="113">
        <v>128</v>
      </c>
      <c r="I560" s="113">
        <v>16.2</v>
      </c>
      <c r="J560" s="113">
        <v>72.400000000000006</v>
      </c>
      <c r="K560" s="113">
        <v>40.5</v>
      </c>
    </row>
    <row r="561" spans="2:11" x14ac:dyDescent="0.25">
      <c r="B561" s="185"/>
      <c r="C561" s="113">
        <v>213.054</v>
      </c>
      <c r="D561" s="113">
        <v>7831</v>
      </c>
      <c r="E561" s="113">
        <v>558</v>
      </c>
      <c r="F561" s="113">
        <v>134</v>
      </c>
      <c r="G561" s="113">
        <v>133.6</v>
      </c>
      <c r="H561" s="113">
        <v>127.7</v>
      </c>
      <c r="I561" s="113">
        <v>15.4</v>
      </c>
      <c r="J561" s="113">
        <v>67.760000000000005</v>
      </c>
      <c r="K561" s="113">
        <v>41.6</v>
      </c>
    </row>
    <row r="562" spans="2:11" x14ac:dyDescent="0.25">
      <c r="B562" s="185"/>
      <c r="C562" s="113">
        <v>213.08099999999999</v>
      </c>
      <c r="D562" s="113">
        <v>7832</v>
      </c>
      <c r="E562" s="113">
        <v>559</v>
      </c>
      <c r="F562" s="113">
        <v>133</v>
      </c>
      <c r="G562" s="113">
        <v>133.6</v>
      </c>
      <c r="H562" s="113">
        <v>127.3</v>
      </c>
      <c r="I562" s="113">
        <v>14.1</v>
      </c>
      <c r="J562" s="113">
        <v>71.02</v>
      </c>
      <c r="K562" s="113">
        <v>44.1</v>
      </c>
    </row>
    <row r="563" spans="2:11" x14ac:dyDescent="0.25">
      <c r="B563" s="185"/>
      <c r="C563" s="113">
        <v>213.108</v>
      </c>
      <c r="D563" s="113">
        <v>7833</v>
      </c>
      <c r="E563" s="113">
        <v>560</v>
      </c>
      <c r="F563" s="113">
        <v>133</v>
      </c>
      <c r="G563" s="113">
        <v>133.4</v>
      </c>
      <c r="H563" s="113">
        <v>127</v>
      </c>
      <c r="I563" s="113">
        <v>13.2</v>
      </c>
      <c r="J563" s="113">
        <v>69.3</v>
      </c>
      <c r="K563" s="113">
        <v>45.8</v>
      </c>
    </row>
    <row r="564" spans="2:11" x14ac:dyDescent="0.25">
      <c r="B564" s="185"/>
      <c r="C564" s="113">
        <v>213.13499999999999</v>
      </c>
      <c r="D564" s="113">
        <v>7834</v>
      </c>
      <c r="E564" s="113">
        <v>561</v>
      </c>
      <c r="F564" s="113">
        <v>133</v>
      </c>
      <c r="G564" s="113">
        <v>133.1</v>
      </c>
      <c r="H564" s="113">
        <v>126.6</v>
      </c>
      <c r="I564" s="113">
        <v>13.1</v>
      </c>
      <c r="J564" s="113">
        <v>68.959999999999994</v>
      </c>
      <c r="K564" s="113">
        <v>42.9</v>
      </c>
    </row>
    <row r="565" spans="2:11" x14ac:dyDescent="0.25">
      <c r="B565" s="185"/>
      <c r="C565" s="113">
        <v>213.16200000000001</v>
      </c>
      <c r="D565" s="113">
        <v>7835</v>
      </c>
      <c r="E565" s="113">
        <v>562</v>
      </c>
      <c r="F565" s="113">
        <v>133</v>
      </c>
      <c r="G565" s="113">
        <v>132.80000000000001</v>
      </c>
      <c r="H565" s="113">
        <v>126.2</v>
      </c>
      <c r="I565" s="113">
        <v>12.9</v>
      </c>
      <c r="J565" s="113">
        <v>70.38</v>
      </c>
      <c r="K565" s="113">
        <v>33.799999999999997</v>
      </c>
    </row>
    <row r="566" spans="2:11" x14ac:dyDescent="0.25">
      <c r="B566" s="185"/>
      <c r="C566" s="113">
        <v>213.18899999999999</v>
      </c>
      <c r="D566" s="113">
        <v>7836</v>
      </c>
      <c r="E566" s="113">
        <v>563</v>
      </c>
      <c r="F566" s="113">
        <v>133</v>
      </c>
      <c r="G566" s="113">
        <v>132.4</v>
      </c>
      <c r="H566" s="113">
        <v>125.9</v>
      </c>
      <c r="I566" s="113">
        <v>13.8</v>
      </c>
      <c r="J566" s="113">
        <v>69.540000000000006</v>
      </c>
      <c r="K566" s="113">
        <v>27.7</v>
      </c>
    </row>
    <row r="567" spans="2:11" ht="15.75" thickBot="1" x14ac:dyDescent="0.3">
      <c r="B567" s="185"/>
      <c r="C567" s="113">
        <v>213.21600000000001</v>
      </c>
      <c r="D567" s="113">
        <v>7837</v>
      </c>
      <c r="E567" s="113">
        <v>564</v>
      </c>
      <c r="F567" s="113">
        <v>133</v>
      </c>
      <c r="G567" s="113">
        <v>131.9</v>
      </c>
      <c r="H567" s="113">
        <v>125.5</v>
      </c>
      <c r="I567" s="113">
        <v>14.1</v>
      </c>
      <c r="J567" s="113">
        <v>70.2</v>
      </c>
      <c r="K567" s="113">
        <v>25.9</v>
      </c>
    </row>
    <row r="568" spans="2:11" x14ac:dyDescent="0.25">
      <c r="B568" s="201" t="s">
        <v>189</v>
      </c>
      <c r="C568" s="113">
        <v>213.24299999999999</v>
      </c>
      <c r="D568" s="113">
        <v>7838</v>
      </c>
      <c r="E568" s="113">
        <v>565</v>
      </c>
      <c r="F568" s="113">
        <v>132</v>
      </c>
      <c r="G568" s="113">
        <v>131.6</v>
      </c>
      <c r="H568" s="113">
        <v>125.1</v>
      </c>
      <c r="I568" s="113">
        <v>14.1</v>
      </c>
      <c r="J568" s="113">
        <v>67.400000000000006</v>
      </c>
      <c r="K568" s="113">
        <v>32.5</v>
      </c>
    </row>
    <row r="569" spans="2:11" x14ac:dyDescent="0.25">
      <c r="B569" s="202"/>
      <c r="C569" s="113">
        <v>213.27099999999999</v>
      </c>
      <c r="D569" s="113">
        <v>7839</v>
      </c>
      <c r="E569" s="113">
        <v>566</v>
      </c>
      <c r="F569" s="113">
        <v>132</v>
      </c>
      <c r="G569" s="113">
        <v>131.69999999999999</v>
      </c>
      <c r="H569" s="113">
        <v>124.6</v>
      </c>
      <c r="I569" s="113">
        <v>13.3</v>
      </c>
      <c r="J569" s="113">
        <v>63.9</v>
      </c>
      <c r="K569" s="113">
        <v>39.1</v>
      </c>
    </row>
    <row r="570" spans="2:11" x14ac:dyDescent="0.25">
      <c r="B570" s="202"/>
      <c r="C570" s="113">
        <v>213.298</v>
      </c>
      <c r="D570" s="113">
        <v>7840</v>
      </c>
      <c r="E570" s="113">
        <v>567</v>
      </c>
      <c r="F570" s="113">
        <v>132</v>
      </c>
      <c r="G570" s="113">
        <v>131.5</v>
      </c>
      <c r="H570" s="113">
        <v>124.2</v>
      </c>
      <c r="I570" s="113">
        <v>10.7</v>
      </c>
      <c r="J570" s="113">
        <v>64.099999999999994</v>
      </c>
      <c r="K570" s="113">
        <v>40.4</v>
      </c>
    </row>
    <row r="571" spans="2:11" x14ac:dyDescent="0.25">
      <c r="B571" s="202"/>
      <c r="C571" s="113">
        <v>213.32499999999999</v>
      </c>
      <c r="D571" s="113">
        <v>7841</v>
      </c>
      <c r="E571" s="113">
        <v>568</v>
      </c>
      <c r="F571" s="113">
        <v>131</v>
      </c>
      <c r="G571" s="113">
        <v>131.1</v>
      </c>
      <c r="H571" s="113">
        <v>123.7</v>
      </c>
      <c r="I571" s="113">
        <v>9.4</v>
      </c>
      <c r="J571" s="113">
        <v>60.17</v>
      </c>
      <c r="K571" s="113">
        <v>40.299999999999997</v>
      </c>
    </row>
    <row r="572" spans="2:11" x14ac:dyDescent="0.25">
      <c r="B572" s="202"/>
      <c r="C572" s="113">
        <v>213.352</v>
      </c>
      <c r="D572" s="113">
        <v>7842</v>
      </c>
      <c r="E572" s="113">
        <v>569</v>
      </c>
      <c r="F572" s="113">
        <v>131</v>
      </c>
      <c r="G572" s="113">
        <v>130.9</v>
      </c>
      <c r="H572" s="113">
        <v>123.3</v>
      </c>
      <c r="I572" s="113">
        <v>9.3000000000000007</v>
      </c>
      <c r="J572" s="113">
        <v>63.97</v>
      </c>
      <c r="K572" s="113">
        <v>40.1</v>
      </c>
    </row>
    <row r="573" spans="2:11" x14ac:dyDescent="0.25">
      <c r="B573" s="202"/>
      <c r="C573" s="113">
        <v>213.38</v>
      </c>
      <c r="D573" s="113">
        <v>7843</v>
      </c>
      <c r="E573" s="113">
        <v>570</v>
      </c>
      <c r="F573" s="113">
        <v>130</v>
      </c>
      <c r="G573" s="113">
        <v>130.19999999999999</v>
      </c>
      <c r="H573" s="113">
        <v>122.8</v>
      </c>
      <c r="I573" s="113">
        <v>9.6</v>
      </c>
      <c r="J573" s="113">
        <v>67.41</v>
      </c>
      <c r="K573" s="113">
        <v>40.1</v>
      </c>
    </row>
    <row r="574" spans="2:11" x14ac:dyDescent="0.25">
      <c r="B574" s="202"/>
      <c r="C574" s="113">
        <v>213.40700000000001</v>
      </c>
      <c r="D574" s="113">
        <v>7844</v>
      </c>
      <c r="E574" s="113">
        <v>571</v>
      </c>
      <c r="F574" s="113">
        <v>130</v>
      </c>
      <c r="G574" s="113">
        <v>129.80000000000001</v>
      </c>
      <c r="H574" s="113">
        <v>122.6</v>
      </c>
      <c r="I574" s="113">
        <v>11.8</v>
      </c>
      <c r="J574" s="113">
        <v>66.52</v>
      </c>
      <c r="K574" s="113">
        <v>40.1</v>
      </c>
    </row>
    <row r="575" spans="2:11" x14ac:dyDescent="0.25">
      <c r="B575" s="202"/>
      <c r="C575" s="113">
        <v>213.435</v>
      </c>
      <c r="D575" s="113">
        <v>7845</v>
      </c>
      <c r="E575" s="113">
        <v>572</v>
      </c>
      <c r="F575" s="113">
        <v>130</v>
      </c>
      <c r="G575" s="113">
        <v>129.6</v>
      </c>
      <c r="H575" s="113">
        <v>122.1</v>
      </c>
      <c r="I575" s="113">
        <v>12.8</v>
      </c>
      <c r="J575" s="113">
        <v>69.709999999999994</v>
      </c>
      <c r="K575" s="113">
        <v>40.1</v>
      </c>
    </row>
    <row r="576" spans="2:11" x14ac:dyDescent="0.25">
      <c r="B576" s="202"/>
      <c r="C576" s="113">
        <v>213.46299999999999</v>
      </c>
      <c r="D576" s="113">
        <v>7846</v>
      </c>
      <c r="E576" s="113">
        <v>573</v>
      </c>
      <c r="F576" s="113">
        <v>130</v>
      </c>
      <c r="G576" s="113">
        <v>129.19999999999999</v>
      </c>
      <c r="H576" s="113">
        <v>121.6</v>
      </c>
      <c r="I576" s="113">
        <v>13.5</v>
      </c>
      <c r="J576" s="113">
        <v>67.540000000000006</v>
      </c>
      <c r="K576" s="113">
        <v>38.700000000000003</v>
      </c>
    </row>
    <row r="577" spans="2:11" x14ac:dyDescent="0.25">
      <c r="B577" s="202"/>
      <c r="C577" s="113">
        <v>213.49100000000001</v>
      </c>
      <c r="D577" s="113">
        <v>7847</v>
      </c>
      <c r="E577" s="113">
        <v>574</v>
      </c>
      <c r="F577" s="113">
        <v>130</v>
      </c>
      <c r="G577" s="113">
        <v>128.69999999999999</v>
      </c>
      <c r="H577" s="113">
        <v>121</v>
      </c>
      <c r="I577" s="113">
        <v>13.7</v>
      </c>
      <c r="J577" s="113">
        <v>69.87</v>
      </c>
      <c r="K577" s="113">
        <v>36.9</v>
      </c>
    </row>
    <row r="578" spans="2:11" x14ac:dyDescent="0.25">
      <c r="B578" s="202"/>
      <c r="C578" s="113">
        <v>213.51900000000001</v>
      </c>
      <c r="D578" s="113">
        <v>7848</v>
      </c>
      <c r="E578" s="113">
        <v>575</v>
      </c>
      <c r="F578" s="113">
        <v>129</v>
      </c>
      <c r="G578" s="113">
        <v>128.5</v>
      </c>
      <c r="H578" s="113">
        <v>120.7</v>
      </c>
      <c r="I578" s="113">
        <v>14.1</v>
      </c>
      <c r="J578" s="113">
        <v>71.75</v>
      </c>
      <c r="K578" s="113">
        <v>35.700000000000003</v>
      </c>
    </row>
    <row r="579" spans="2:11" x14ac:dyDescent="0.25">
      <c r="B579" s="202"/>
      <c r="C579" s="113">
        <v>213.54599999999999</v>
      </c>
      <c r="D579" s="113">
        <v>7849</v>
      </c>
      <c r="E579" s="113">
        <v>576</v>
      </c>
      <c r="F579" s="113">
        <v>129</v>
      </c>
      <c r="G579" s="113">
        <v>128.19999999999999</v>
      </c>
      <c r="H579" s="113">
        <v>120.1</v>
      </c>
      <c r="I579" s="113">
        <v>14.3</v>
      </c>
      <c r="J579" s="113">
        <v>71.569999999999993</v>
      </c>
      <c r="K579" s="113">
        <v>32.9</v>
      </c>
    </row>
    <row r="580" spans="2:11" x14ac:dyDescent="0.25">
      <c r="B580" s="202"/>
      <c r="C580" s="113">
        <v>213.57400000000001</v>
      </c>
      <c r="D580" s="113">
        <v>7850</v>
      </c>
      <c r="E580" s="113">
        <v>577</v>
      </c>
      <c r="F580" s="113">
        <v>129</v>
      </c>
      <c r="G580" s="113">
        <v>127.8</v>
      </c>
      <c r="H580" s="113">
        <v>119.6</v>
      </c>
      <c r="I580" s="113">
        <v>15</v>
      </c>
      <c r="J580" s="113">
        <v>77.38</v>
      </c>
      <c r="K580" s="113">
        <v>29.8</v>
      </c>
    </row>
    <row r="581" spans="2:11" x14ac:dyDescent="0.25">
      <c r="B581" s="202"/>
      <c r="C581" s="113">
        <v>213.602</v>
      </c>
      <c r="D581" s="113">
        <v>7851</v>
      </c>
      <c r="E581" s="113">
        <v>578</v>
      </c>
      <c r="F581" s="113">
        <v>129</v>
      </c>
      <c r="G581" s="113">
        <v>127.5</v>
      </c>
      <c r="H581" s="113">
        <v>119</v>
      </c>
      <c r="I581" s="113">
        <v>15.3</v>
      </c>
      <c r="J581" s="113">
        <v>76.069999999999993</v>
      </c>
      <c r="K581" s="113">
        <v>27.4</v>
      </c>
    </row>
    <row r="582" spans="2:11" x14ac:dyDescent="0.25">
      <c r="B582" s="202"/>
      <c r="C582" s="113">
        <v>213.631</v>
      </c>
      <c r="D582" s="113">
        <v>7852</v>
      </c>
      <c r="E582" s="113">
        <v>579</v>
      </c>
      <c r="F582" s="113">
        <v>128</v>
      </c>
      <c r="G582" s="113">
        <v>127.4</v>
      </c>
      <c r="H582" s="113">
        <v>118.5</v>
      </c>
      <c r="I582" s="113">
        <v>16.399999999999999</v>
      </c>
      <c r="J582" s="113">
        <v>77.88</v>
      </c>
      <c r="K582" s="113">
        <v>30.1</v>
      </c>
    </row>
    <row r="583" spans="2:11" x14ac:dyDescent="0.25">
      <c r="B583" s="202"/>
      <c r="C583" s="113">
        <v>213.65899999999999</v>
      </c>
      <c r="D583" s="113">
        <v>7853</v>
      </c>
      <c r="E583" s="113">
        <v>580</v>
      </c>
      <c r="F583" s="113">
        <v>128</v>
      </c>
      <c r="G583" s="113">
        <v>127.1</v>
      </c>
      <c r="H583" s="113">
        <v>118.1</v>
      </c>
      <c r="I583" s="113">
        <v>15.8</v>
      </c>
      <c r="J583" s="113">
        <v>78.19</v>
      </c>
      <c r="K583" s="113">
        <v>31.8</v>
      </c>
    </row>
    <row r="584" spans="2:11" x14ac:dyDescent="0.25">
      <c r="B584" s="202"/>
      <c r="C584" s="113">
        <v>213.68700000000001</v>
      </c>
      <c r="D584" s="113">
        <v>7854</v>
      </c>
      <c r="E584" s="113">
        <v>581</v>
      </c>
      <c r="F584" s="113">
        <v>128</v>
      </c>
      <c r="G584" s="113">
        <v>126.4</v>
      </c>
      <c r="H584" s="113">
        <v>117.5</v>
      </c>
      <c r="I584" s="113">
        <v>15.9</v>
      </c>
      <c r="J584" s="113">
        <v>74.42</v>
      </c>
      <c r="K584" s="113">
        <v>35.1</v>
      </c>
    </row>
    <row r="585" spans="2:11" x14ac:dyDescent="0.25">
      <c r="B585" s="202"/>
      <c r="C585" s="113">
        <v>213.71600000000001</v>
      </c>
      <c r="D585" s="113">
        <v>7855</v>
      </c>
      <c r="E585" s="113">
        <v>582</v>
      </c>
      <c r="F585" s="113">
        <v>128</v>
      </c>
      <c r="G585" s="113">
        <v>126</v>
      </c>
      <c r="H585" s="113">
        <v>116.9</v>
      </c>
      <c r="I585" s="113">
        <v>15.9</v>
      </c>
      <c r="J585" s="113">
        <v>77.47</v>
      </c>
      <c r="K585" s="113">
        <v>42.7</v>
      </c>
    </row>
    <row r="586" spans="2:11" x14ac:dyDescent="0.25">
      <c r="B586" s="202"/>
      <c r="C586" s="113">
        <v>213.744</v>
      </c>
      <c r="D586" s="113">
        <v>7856</v>
      </c>
      <c r="E586" s="113">
        <v>583</v>
      </c>
      <c r="F586" s="113">
        <v>127</v>
      </c>
      <c r="G586" s="113">
        <v>125.8</v>
      </c>
      <c r="H586" s="113">
        <v>116.4</v>
      </c>
      <c r="I586" s="113">
        <v>17.3</v>
      </c>
      <c r="J586" s="113">
        <v>74.66</v>
      </c>
      <c r="K586" s="113">
        <v>50.5</v>
      </c>
    </row>
    <row r="587" spans="2:11" x14ac:dyDescent="0.25">
      <c r="B587" s="202"/>
      <c r="C587" s="113">
        <v>213.773</v>
      </c>
      <c r="D587" s="113">
        <v>7857</v>
      </c>
      <c r="E587" s="113">
        <v>584</v>
      </c>
      <c r="F587" s="113">
        <v>127</v>
      </c>
      <c r="G587" s="113">
        <v>125.4</v>
      </c>
      <c r="H587" s="113">
        <v>115.8</v>
      </c>
      <c r="I587" s="113">
        <v>17.7</v>
      </c>
      <c r="J587" s="113">
        <v>77.84</v>
      </c>
      <c r="K587" s="113">
        <v>54.6</v>
      </c>
    </row>
    <row r="588" spans="2:11" x14ac:dyDescent="0.25">
      <c r="B588" s="202"/>
      <c r="C588" s="113">
        <v>213.80099999999999</v>
      </c>
      <c r="D588" s="113">
        <v>7858</v>
      </c>
      <c r="E588" s="113">
        <v>585</v>
      </c>
      <c r="F588" s="113">
        <v>126</v>
      </c>
      <c r="G588" s="113">
        <v>124.7</v>
      </c>
      <c r="H588" s="113">
        <v>115.1</v>
      </c>
      <c r="I588" s="113">
        <v>17.899999999999999</v>
      </c>
      <c r="J588" s="113">
        <v>74.83</v>
      </c>
      <c r="K588" s="113">
        <v>54.6</v>
      </c>
    </row>
    <row r="589" spans="2:11" x14ac:dyDescent="0.25">
      <c r="B589" s="202"/>
      <c r="C589" s="113">
        <v>213.83</v>
      </c>
      <c r="D589" s="113">
        <v>7859</v>
      </c>
      <c r="E589" s="113">
        <v>586</v>
      </c>
      <c r="F589" s="113">
        <v>126</v>
      </c>
      <c r="G589" s="113">
        <v>124.3</v>
      </c>
      <c r="H589" s="113">
        <v>114.5</v>
      </c>
      <c r="I589" s="113">
        <v>17.7</v>
      </c>
      <c r="J589" s="113">
        <v>72.819999999999993</v>
      </c>
      <c r="K589" s="113">
        <v>54.6</v>
      </c>
    </row>
    <row r="590" spans="2:11" x14ac:dyDescent="0.25">
      <c r="B590" s="202"/>
      <c r="C590" s="113">
        <v>213.85900000000001</v>
      </c>
      <c r="D590" s="113">
        <v>7860</v>
      </c>
      <c r="E590" s="113">
        <v>587</v>
      </c>
      <c r="F590" s="113">
        <v>126</v>
      </c>
      <c r="G590" s="113">
        <v>123.8</v>
      </c>
      <c r="H590" s="113">
        <v>114.3</v>
      </c>
      <c r="I590" s="113">
        <v>17.3</v>
      </c>
      <c r="J590" s="113">
        <v>69.98</v>
      </c>
      <c r="K590" s="113">
        <v>57.4</v>
      </c>
    </row>
    <row r="591" spans="2:11" x14ac:dyDescent="0.25">
      <c r="B591" s="202"/>
      <c r="C591" s="113">
        <v>213.887</v>
      </c>
      <c r="D591" s="113">
        <v>7861</v>
      </c>
      <c r="E591" s="113">
        <v>588</v>
      </c>
      <c r="F591" s="113">
        <v>126</v>
      </c>
      <c r="G591" s="113">
        <v>123.2</v>
      </c>
      <c r="H591" s="113">
        <v>113.8</v>
      </c>
      <c r="I591" s="113">
        <v>15.7</v>
      </c>
      <c r="J591" s="113">
        <v>74.84</v>
      </c>
      <c r="K591" s="113">
        <v>63.5</v>
      </c>
    </row>
    <row r="592" spans="2:11" x14ac:dyDescent="0.25">
      <c r="B592" s="202"/>
      <c r="C592" s="113">
        <v>213.917</v>
      </c>
      <c r="D592" s="113">
        <v>7862</v>
      </c>
      <c r="E592" s="113">
        <v>589</v>
      </c>
      <c r="F592" s="113">
        <v>125</v>
      </c>
      <c r="G592" s="113">
        <v>123</v>
      </c>
      <c r="H592" s="113">
        <v>113.4</v>
      </c>
      <c r="I592" s="113">
        <v>14.7</v>
      </c>
      <c r="J592" s="113">
        <v>61.98</v>
      </c>
      <c r="K592" s="113">
        <v>69.7</v>
      </c>
    </row>
    <row r="593" spans="2:11" x14ac:dyDescent="0.25">
      <c r="B593" s="202"/>
      <c r="C593" s="113">
        <v>213.946</v>
      </c>
      <c r="D593" s="113">
        <v>7863</v>
      </c>
      <c r="E593" s="113">
        <v>590</v>
      </c>
      <c r="F593" s="113">
        <v>126</v>
      </c>
      <c r="G593" s="113">
        <v>123</v>
      </c>
      <c r="H593" s="113">
        <v>113</v>
      </c>
      <c r="I593" s="113">
        <v>10</v>
      </c>
      <c r="J593" s="113">
        <v>62.76</v>
      </c>
      <c r="K593" s="114">
        <v>70.7</v>
      </c>
    </row>
    <row r="594" spans="2:11" x14ac:dyDescent="0.25">
      <c r="B594" s="202"/>
      <c r="C594" s="113">
        <v>213.97499999999999</v>
      </c>
      <c r="D594" s="113">
        <v>7864</v>
      </c>
      <c r="E594" s="113">
        <v>591</v>
      </c>
      <c r="F594" s="113">
        <v>127</v>
      </c>
      <c r="G594" s="113">
        <v>123</v>
      </c>
      <c r="H594" s="113">
        <v>112.7</v>
      </c>
      <c r="I594" s="113">
        <v>6.4</v>
      </c>
      <c r="J594" s="113">
        <v>54.2</v>
      </c>
      <c r="K594" s="113">
        <v>70.400000000000006</v>
      </c>
    </row>
    <row r="595" spans="2:11" x14ac:dyDescent="0.25">
      <c r="B595" s="202"/>
      <c r="C595" s="113">
        <v>214.00399999999999</v>
      </c>
      <c r="D595" s="113">
        <v>7865</v>
      </c>
      <c r="E595" s="113">
        <v>592</v>
      </c>
      <c r="F595" s="113">
        <v>126</v>
      </c>
      <c r="G595" s="113">
        <v>123.2</v>
      </c>
      <c r="H595" s="113">
        <v>112.4</v>
      </c>
      <c r="I595" s="113">
        <v>6.4</v>
      </c>
      <c r="J595" s="113">
        <v>59.94</v>
      </c>
      <c r="K595" s="113">
        <v>70</v>
      </c>
    </row>
    <row r="596" spans="2:11" x14ac:dyDescent="0.25">
      <c r="B596" s="202"/>
      <c r="C596" s="113">
        <v>214.03299999999999</v>
      </c>
      <c r="D596" s="113">
        <v>7866</v>
      </c>
      <c r="E596" s="113">
        <v>593</v>
      </c>
      <c r="F596" s="113">
        <v>126</v>
      </c>
      <c r="G596" s="113">
        <v>122.8</v>
      </c>
      <c r="H596" s="113">
        <v>112.1</v>
      </c>
      <c r="I596" s="113">
        <v>6</v>
      </c>
      <c r="J596" s="113">
        <v>61.17</v>
      </c>
      <c r="K596" s="113">
        <v>68.5</v>
      </c>
    </row>
    <row r="597" spans="2:11" x14ac:dyDescent="0.25">
      <c r="B597" s="202"/>
      <c r="C597" s="113">
        <v>214.06299999999999</v>
      </c>
      <c r="D597" s="113">
        <v>7867</v>
      </c>
      <c r="E597" s="113">
        <v>594</v>
      </c>
      <c r="F597" s="113">
        <v>127</v>
      </c>
      <c r="G597" s="113">
        <v>123.2</v>
      </c>
      <c r="H597" s="113">
        <v>111.9</v>
      </c>
      <c r="I597" s="113">
        <v>12.1</v>
      </c>
      <c r="J597" s="113">
        <v>66.48</v>
      </c>
      <c r="K597" s="113">
        <v>67.099999999999994</v>
      </c>
    </row>
    <row r="598" spans="2:11" x14ac:dyDescent="0.25">
      <c r="B598" s="202"/>
      <c r="C598" s="113">
        <v>214.09200000000001</v>
      </c>
      <c r="D598" s="113">
        <v>7868</v>
      </c>
      <c r="E598" s="113">
        <v>595</v>
      </c>
      <c r="F598" s="113">
        <v>127</v>
      </c>
      <c r="G598" s="113">
        <v>123.1</v>
      </c>
      <c r="H598" s="113">
        <v>111.7</v>
      </c>
      <c r="I598" s="113">
        <v>14.2</v>
      </c>
      <c r="J598" s="113">
        <v>71.8</v>
      </c>
      <c r="K598" s="113">
        <v>60.7</v>
      </c>
    </row>
    <row r="599" spans="2:11" x14ac:dyDescent="0.25">
      <c r="B599" s="202"/>
      <c r="C599" s="113">
        <v>214.12100000000001</v>
      </c>
      <c r="D599" s="113">
        <v>7869</v>
      </c>
      <c r="E599" s="113">
        <v>596</v>
      </c>
      <c r="F599" s="113">
        <v>126</v>
      </c>
      <c r="G599" s="113">
        <v>122.5</v>
      </c>
      <c r="H599" s="113">
        <v>111.5</v>
      </c>
      <c r="I599" s="113">
        <v>20.3</v>
      </c>
      <c r="J599" s="113">
        <v>69.319999999999993</v>
      </c>
      <c r="K599" s="113">
        <v>48.4</v>
      </c>
    </row>
    <row r="600" spans="2:11" x14ac:dyDescent="0.25">
      <c r="B600" s="202"/>
      <c r="C600" s="113">
        <v>214.15</v>
      </c>
      <c r="D600" s="113">
        <v>7870</v>
      </c>
      <c r="E600" s="113">
        <v>597</v>
      </c>
      <c r="F600" s="113">
        <v>126</v>
      </c>
      <c r="G600" s="113">
        <v>122.1</v>
      </c>
      <c r="H600" s="113">
        <v>111.4</v>
      </c>
      <c r="I600" s="113">
        <v>21.7</v>
      </c>
      <c r="J600" s="113">
        <v>72.150000000000006</v>
      </c>
      <c r="K600" s="113">
        <v>36.1</v>
      </c>
    </row>
    <row r="601" spans="2:11" x14ac:dyDescent="0.25">
      <c r="B601" s="202"/>
      <c r="C601" s="113">
        <v>214.179</v>
      </c>
      <c r="D601" s="113">
        <v>7871</v>
      </c>
      <c r="E601" s="113">
        <v>598</v>
      </c>
      <c r="F601" s="113">
        <v>126</v>
      </c>
      <c r="G601" s="113">
        <v>121.9</v>
      </c>
      <c r="H601" s="113">
        <v>111.3</v>
      </c>
      <c r="I601" s="113">
        <v>22</v>
      </c>
      <c r="J601" s="113">
        <v>64.48</v>
      </c>
      <c r="K601" s="113">
        <v>33.6</v>
      </c>
    </row>
    <row r="602" spans="2:11" x14ac:dyDescent="0.25">
      <c r="B602" s="202"/>
      <c r="C602" s="113">
        <v>214.209</v>
      </c>
      <c r="D602" s="113">
        <v>7872</v>
      </c>
      <c r="E602" s="113">
        <v>599</v>
      </c>
      <c r="F602" s="113">
        <v>126</v>
      </c>
      <c r="G602" s="113">
        <v>121.7</v>
      </c>
      <c r="H602" s="113">
        <v>111.2</v>
      </c>
      <c r="I602" s="113">
        <v>21.8</v>
      </c>
      <c r="J602" s="113">
        <v>68.33</v>
      </c>
      <c r="K602" s="113">
        <v>33.6</v>
      </c>
    </row>
    <row r="603" spans="2:11" x14ac:dyDescent="0.25">
      <c r="B603" s="202"/>
      <c r="C603" s="113">
        <v>214.238</v>
      </c>
      <c r="D603" s="113">
        <v>7873</v>
      </c>
      <c r="E603" s="113">
        <v>600</v>
      </c>
      <c r="F603" s="113">
        <v>126</v>
      </c>
      <c r="G603" s="113">
        <v>121.2</v>
      </c>
      <c r="H603" s="113">
        <v>111.1</v>
      </c>
      <c r="I603" s="113">
        <v>19</v>
      </c>
      <c r="J603" s="113">
        <v>59.71</v>
      </c>
      <c r="K603" s="113">
        <v>33.6</v>
      </c>
    </row>
    <row r="604" spans="2:11" x14ac:dyDescent="0.25">
      <c r="B604" s="202"/>
      <c r="C604" s="113">
        <v>214.268</v>
      </c>
      <c r="D604" s="113">
        <v>7874</v>
      </c>
      <c r="E604" s="113">
        <v>601</v>
      </c>
      <c r="F604" s="113">
        <v>127</v>
      </c>
      <c r="G604" s="113">
        <v>121.6</v>
      </c>
      <c r="H604" s="113">
        <v>111.1</v>
      </c>
      <c r="I604" s="113">
        <v>17.600000000000001</v>
      </c>
      <c r="J604" s="113">
        <v>64.38</v>
      </c>
      <c r="K604" s="113">
        <v>43.4</v>
      </c>
    </row>
    <row r="605" spans="2:11" x14ac:dyDescent="0.25">
      <c r="B605" s="202"/>
      <c r="C605" s="113">
        <v>214.298</v>
      </c>
      <c r="D605" s="113">
        <v>7875</v>
      </c>
      <c r="E605" s="113">
        <v>602</v>
      </c>
      <c r="F605" s="113">
        <v>128</v>
      </c>
      <c r="G605" s="113">
        <v>122</v>
      </c>
      <c r="H605" s="113">
        <v>111</v>
      </c>
      <c r="I605" s="113">
        <v>14.1</v>
      </c>
      <c r="J605" s="113">
        <v>60.45</v>
      </c>
      <c r="K605" s="113">
        <v>55.8</v>
      </c>
    </row>
    <row r="606" spans="2:11" x14ac:dyDescent="0.25">
      <c r="B606" s="202"/>
      <c r="C606" s="113">
        <v>214.327</v>
      </c>
      <c r="D606" s="113">
        <v>7876</v>
      </c>
      <c r="E606" s="113">
        <v>603</v>
      </c>
      <c r="F606" s="113">
        <v>127</v>
      </c>
      <c r="G606" s="113">
        <v>122.2</v>
      </c>
      <c r="H606" s="113">
        <v>111</v>
      </c>
      <c r="I606" s="113">
        <v>14.1</v>
      </c>
      <c r="J606" s="113">
        <v>60.42</v>
      </c>
      <c r="K606" s="113">
        <v>66.400000000000006</v>
      </c>
    </row>
    <row r="607" spans="2:11" x14ac:dyDescent="0.25">
      <c r="B607" s="202"/>
      <c r="C607" s="113">
        <v>214.35599999999999</v>
      </c>
      <c r="D607" s="113">
        <v>7877</v>
      </c>
      <c r="E607" s="113">
        <v>604</v>
      </c>
      <c r="F607" s="113">
        <v>127</v>
      </c>
      <c r="G607" s="113">
        <v>122.1</v>
      </c>
      <c r="H607" s="113">
        <v>111</v>
      </c>
      <c r="I607" s="113">
        <v>14.1</v>
      </c>
      <c r="J607" s="113">
        <v>61.76</v>
      </c>
      <c r="K607" s="113">
        <v>64.8</v>
      </c>
    </row>
    <row r="608" spans="2:11" x14ac:dyDescent="0.25">
      <c r="B608" s="202"/>
      <c r="C608" s="113">
        <v>214.386</v>
      </c>
      <c r="D608" s="113">
        <v>7878</v>
      </c>
      <c r="E608" s="113">
        <v>605</v>
      </c>
      <c r="F608" s="113">
        <v>127</v>
      </c>
      <c r="G608" s="113">
        <v>121.9</v>
      </c>
      <c r="H608" s="113">
        <v>111.1</v>
      </c>
      <c r="I608" s="113">
        <v>14.3</v>
      </c>
      <c r="J608" s="113">
        <v>56.91</v>
      </c>
      <c r="K608" s="113">
        <v>63.2</v>
      </c>
    </row>
    <row r="609" spans="2:11" x14ac:dyDescent="0.25">
      <c r="B609" s="202"/>
      <c r="C609" s="113">
        <v>214.41499999999999</v>
      </c>
      <c r="D609" s="113">
        <v>7879</v>
      </c>
      <c r="E609" s="113">
        <v>606</v>
      </c>
      <c r="F609" s="113">
        <v>127</v>
      </c>
      <c r="G609" s="113">
        <v>121.8</v>
      </c>
      <c r="H609" s="113">
        <v>111.1</v>
      </c>
      <c r="I609" s="113">
        <v>14.4</v>
      </c>
      <c r="J609" s="113">
        <v>55.83</v>
      </c>
      <c r="K609" s="113">
        <v>61.5</v>
      </c>
    </row>
    <row r="610" spans="2:11" x14ac:dyDescent="0.25">
      <c r="B610" s="202"/>
      <c r="C610" s="113">
        <v>214.44399999999999</v>
      </c>
      <c r="D610" s="113">
        <v>7880</v>
      </c>
      <c r="E610" s="113">
        <v>607</v>
      </c>
      <c r="F610" s="113">
        <v>127</v>
      </c>
      <c r="G610" s="113">
        <v>121.9</v>
      </c>
      <c r="H610" s="113">
        <v>111.2</v>
      </c>
      <c r="I610" s="113">
        <v>13.7</v>
      </c>
      <c r="J610" s="113">
        <v>51.44</v>
      </c>
      <c r="K610" s="113">
        <v>59.8</v>
      </c>
    </row>
    <row r="611" spans="2:11" x14ac:dyDescent="0.25">
      <c r="B611" s="202"/>
      <c r="C611" s="113">
        <v>214.47399999999999</v>
      </c>
      <c r="D611" s="113">
        <v>7881</v>
      </c>
      <c r="E611" s="113">
        <v>608</v>
      </c>
      <c r="F611" s="113">
        <v>128</v>
      </c>
      <c r="G611" s="113">
        <v>122.1</v>
      </c>
      <c r="H611" s="113">
        <v>111.3</v>
      </c>
      <c r="I611" s="113">
        <v>12.9</v>
      </c>
      <c r="J611" s="113">
        <v>50.08</v>
      </c>
      <c r="K611" s="113">
        <v>58.1</v>
      </c>
    </row>
    <row r="612" spans="2:11" x14ac:dyDescent="0.25">
      <c r="B612" s="202"/>
      <c r="C612" s="113">
        <v>214.50399999999999</v>
      </c>
      <c r="D612" s="113">
        <v>7882</v>
      </c>
      <c r="E612" s="113">
        <v>609</v>
      </c>
      <c r="F612" s="113">
        <v>128</v>
      </c>
      <c r="G612" s="113">
        <v>122.2</v>
      </c>
      <c r="H612" s="113">
        <v>111.4</v>
      </c>
      <c r="I612" s="113">
        <v>12.3</v>
      </c>
      <c r="J612" s="113">
        <v>47.76</v>
      </c>
      <c r="K612" s="113">
        <v>56.9</v>
      </c>
    </row>
    <row r="613" spans="2:11" x14ac:dyDescent="0.25">
      <c r="B613" s="202"/>
      <c r="C613" s="113">
        <v>214.53299999999999</v>
      </c>
      <c r="D613" s="113">
        <v>7883</v>
      </c>
      <c r="E613" s="113">
        <v>610</v>
      </c>
      <c r="F613" s="113">
        <v>128</v>
      </c>
      <c r="G613" s="113">
        <v>122.4</v>
      </c>
      <c r="H613" s="113">
        <v>111.5</v>
      </c>
      <c r="I613" s="113">
        <v>12.2</v>
      </c>
      <c r="J613" s="113">
        <v>49.07</v>
      </c>
      <c r="K613" s="113">
        <v>55.9</v>
      </c>
    </row>
    <row r="614" spans="2:11" x14ac:dyDescent="0.25">
      <c r="B614" s="202"/>
      <c r="C614" s="113">
        <v>214.56299999999999</v>
      </c>
      <c r="D614" s="113">
        <v>7884</v>
      </c>
      <c r="E614" s="113">
        <v>611</v>
      </c>
      <c r="F614" s="113">
        <v>128</v>
      </c>
      <c r="G614" s="113">
        <v>122.7</v>
      </c>
      <c r="H614" s="113">
        <v>111.7</v>
      </c>
      <c r="I614" s="113">
        <v>12.3</v>
      </c>
      <c r="J614" s="113">
        <v>51.52</v>
      </c>
      <c r="K614" s="113">
        <v>55</v>
      </c>
    </row>
    <row r="615" spans="2:11" x14ac:dyDescent="0.25">
      <c r="B615" s="202"/>
      <c r="C615" s="113">
        <v>214.59100000000001</v>
      </c>
      <c r="D615" s="113">
        <v>7885</v>
      </c>
      <c r="E615" s="113">
        <v>612</v>
      </c>
      <c r="F615" s="113">
        <v>128</v>
      </c>
      <c r="G615" s="113">
        <v>122.8</v>
      </c>
      <c r="H615" s="113">
        <v>111.9</v>
      </c>
      <c r="I615" s="113">
        <v>13.9</v>
      </c>
      <c r="J615" s="113">
        <v>51.66</v>
      </c>
      <c r="K615" s="113">
        <v>55</v>
      </c>
    </row>
    <row r="616" spans="2:11" x14ac:dyDescent="0.25">
      <c r="B616" s="202"/>
      <c r="C616" s="113">
        <v>214.62100000000001</v>
      </c>
      <c r="D616" s="113">
        <v>7886</v>
      </c>
      <c r="E616" s="113">
        <v>613</v>
      </c>
      <c r="F616" s="113">
        <v>128</v>
      </c>
      <c r="G616" s="113">
        <v>123</v>
      </c>
      <c r="H616" s="113">
        <v>112.1</v>
      </c>
      <c r="I616" s="113">
        <v>16.100000000000001</v>
      </c>
      <c r="J616" s="113">
        <v>53.4</v>
      </c>
      <c r="K616" s="113">
        <v>55</v>
      </c>
    </row>
    <row r="617" spans="2:11" x14ac:dyDescent="0.25">
      <c r="B617" s="202"/>
      <c r="C617" s="113">
        <v>214.65</v>
      </c>
      <c r="D617" s="113">
        <v>7887</v>
      </c>
      <c r="E617" s="113">
        <v>614</v>
      </c>
      <c r="F617" s="113">
        <v>128</v>
      </c>
      <c r="G617" s="113">
        <v>123.2</v>
      </c>
      <c r="H617" s="113">
        <v>112.3</v>
      </c>
      <c r="I617" s="113">
        <v>17</v>
      </c>
      <c r="J617" s="113">
        <v>54.05</v>
      </c>
      <c r="K617" s="113">
        <v>54.8</v>
      </c>
    </row>
    <row r="618" spans="2:11" x14ac:dyDescent="0.25">
      <c r="B618" s="202"/>
      <c r="C618" s="113">
        <v>214.679</v>
      </c>
      <c r="D618" s="113">
        <v>7888</v>
      </c>
      <c r="E618" s="113">
        <v>615</v>
      </c>
      <c r="F618" s="113">
        <v>128</v>
      </c>
      <c r="G618" s="113">
        <v>123.2</v>
      </c>
      <c r="H618" s="113">
        <v>112.5</v>
      </c>
      <c r="I618" s="113">
        <v>17.7</v>
      </c>
      <c r="J618" s="113">
        <v>53.52</v>
      </c>
      <c r="K618" s="113">
        <v>54.5</v>
      </c>
    </row>
    <row r="619" spans="2:11" x14ac:dyDescent="0.25">
      <c r="B619" s="202"/>
      <c r="C619" s="113">
        <v>214.708</v>
      </c>
      <c r="D619" s="113">
        <v>7889</v>
      </c>
      <c r="E619" s="113">
        <v>616</v>
      </c>
      <c r="F619" s="113">
        <v>129</v>
      </c>
      <c r="G619" s="113">
        <v>123.2</v>
      </c>
      <c r="H619" s="113">
        <v>112.7</v>
      </c>
      <c r="I619" s="113">
        <v>18.100000000000001</v>
      </c>
      <c r="J619" s="113">
        <v>53.93</v>
      </c>
      <c r="K619" s="113">
        <v>54.1</v>
      </c>
    </row>
    <row r="620" spans="2:11" x14ac:dyDescent="0.25">
      <c r="B620" s="202"/>
      <c r="C620" s="113">
        <v>214.738</v>
      </c>
      <c r="D620" s="113">
        <v>7890</v>
      </c>
      <c r="E620" s="113">
        <v>617</v>
      </c>
      <c r="F620" s="113">
        <v>129</v>
      </c>
      <c r="G620" s="113">
        <v>123.3</v>
      </c>
      <c r="H620" s="113">
        <v>112.9</v>
      </c>
      <c r="I620" s="113">
        <v>18.100000000000001</v>
      </c>
      <c r="J620" s="113">
        <v>50.5</v>
      </c>
      <c r="K620" s="113">
        <v>53.5</v>
      </c>
    </row>
    <row r="621" spans="2:11" x14ac:dyDescent="0.25">
      <c r="B621" s="202"/>
      <c r="C621" s="113">
        <v>214.76599999999999</v>
      </c>
      <c r="D621" s="113">
        <v>7891</v>
      </c>
      <c r="E621" s="113">
        <v>618</v>
      </c>
      <c r="F621" s="113">
        <v>129</v>
      </c>
      <c r="G621" s="113">
        <v>123.4</v>
      </c>
      <c r="H621" s="113">
        <v>113.2</v>
      </c>
      <c r="I621" s="113">
        <v>17.7</v>
      </c>
      <c r="J621" s="113">
        <v>47.9</v>
      </c>
      <c r="K621" s="113">
        <v>52.5</v>
      </c>
    </row>
    <row r="622" spans="2:11" x14ac:dyDescent="0.25">
      <c r="B622" s="202"/>
      <c r="C622" s="113">
        <v>214.79599999999999</v>
      </c>
      <c r="D622" s="113">
        <v>7892</v>
      </c>
      <c r="E622" s="113">
        <v>619</v>
      </c>
      <c r="F622" s="113">
        <v>131</v>
      </c>
      <c r="G622" s="113">
        <v>123.6</v>
      </c>
      <c r="H622" s="113">
        <v>113.4</v>
      </c>
      <c r="I622" s="113">
        <v>15.5</v>
      </c>
      <c r="J622" s="113">
        <v>47.79</v>
      </c>
      <c r="K622" s="113">
        <v>51.5</v>
      </c>
    </row>
    <row r="623" spans="2:11" x14ac:dyDescent="0.25">
      <c r="B623" s="202"/>
      <c r="C623" s="113">
        <v>214.82400000000001</v>
      </c>
      <c r="D623" s="113">
        <v>7893</v>
      </c>
      <c r="E623" s="113">
        <v>620</v>
      </c>
      <c r="F623" s="113">
        <v>131</v>
      </c>
      <c r="G623" s="113">
        <v>123.8</v>
      </c>
      <c r="H623" s="113">
        <v>113.7</v>
      </c>
      <c r="I623" s="113">
        <v>14.5</v>
      </c>
      <c r="J623" s="113">
        <v>45.62</v>
      </c>
      <c r="K623" s="113">
        <v>52</v>
      </c>
    </row>
    <row r="624" spans="2:11" x14ac:dyDescent="0.25">
      <c r="B624" s="202"/>
      <c r="C624" s="113">
        <v>214.85400000000001</v>
      </c>
      <c r="D624" s="113">
        <v>7894</v>
      </c>
      <c r="E624" s="113">
        <v>621</v>
      </c>
      <c r="F624" s="113">
        <v>131</v>
      </c>
      <c r="G624" s="113">
        <v>124.2</v>
      </c>
      <c r="H624" s="113">
        <v>113.9</v>
      </c>
      <c r="I624" s="113">
        <v>14.2</v>
      </c>
      <c r="J624" s="113">
        <v>42.09</v>
      </c>
      <c r="K624" s="113">
        <v>52.9</v>
      </c>
    </row>
    <row r="625" spans="2:11" x14ac:dyDescent="0.25">
      <c r="B625" s="202"/>
      <c r="C625" s="113">
        <v>214.88200000000001</v>
      </c>
      <c r="D625" s="113">
        <v>7895</v>
      </c>
      <c r="E625" s="113">
        <v>622</v>
      </c>
      <c r="F625" s="113">
        <v>131</v>
      </c>
      <c r="G625" s="113">
        <v>124.5</v>
      </c>
      <c r="H625" s="113">
        <v>114.1</v>
      </c>
      <c r="I625" s="113">
        <v>13.7</v>
      </c>
      <c r="J625" s="113">
        <v>45.29</v>
      </c>
      <c r="K625" s="113">
        <v>53.4</v>
      </c>
    </row>
    <row r="626" spans="2:11" x14ac:dyDescent="0.25">
      <c r="B626" s="202"/>
      <c r="C626" s="113">
        <v>214.911</v>
      </c>
      <c r="D626" s="113">
        <v>7896</v>
      </c>
      <c r="E626" s="113">
        <v>623</v>
      </c>
      <c r="F626" s="113">
        <v>132</v>
      </c>
      <c r="G626" s="113">
        <v>125</v>
      </c>
      <c r="H626" s="113">
        <v>114.3</v>
      </c>
      <c r="I626" s="113">
        <v>12.8</v>
      </c>
      <c r="J626" s="113">
        <v>43.79</v>
      </c>
      <c r="K626" s="113">
        <v>52</v>
      </c>
    </row>
    <row r="627" spans="2:11" x14ac:dyDescent="0.25">
      <c r="B627" s="202"/>
      <c r="C627" s="113">
        <v>214.94</v>
      </c>
      <c r="D627" s="113">
        <v>7897</v>
      </c>
      <c r="E627" s="113">
        <v>624</v>
      </c>
      <c r="F627" s="113">
        <v>132</v>
      </c>
      <c r="G627" s="113">
        <v>125.3</v>
      </c>
      <c r="H627" s="113">
        <v>114.5</v>
      </c>
      <c r="I627" s="113">
        <v>13</v>
      </c>
      <c r="J627" s="113">
        <v>43.66</v>
      </c>
      <c r="K627" s="113">
        <v>50.5</v>
      </c>
    </row>
    <row r="628" spans="2:11" x14ac:dyDescent="0.25">
      <c r="B628" s="202"/>
      <c r="C628" s="113">
        <v>214.96899999999999</v>
      </c>
      <c r="D628" s="113">
        <v>7898</v>
      </c>
      <c r="E628" s="113">
        <v>625</v>
      </c>
      <c r="F628" s="113">
        <v>132</v>
      </c>
      <c r="G628" s="113">
        <v>125.4</v>
      </c>
      <c r="H628" s="113">
        <v>114.7</v>
      </c>
      <c r="I628" s="113">
        <v>13.4</v>
      </c>
      <c r="J628" s="113">
        <v>41.92</v>
      </c>
      <c r="K628" s="113">
        <v>49.8</v>
      </c>
    </row>
    <row r="629" spans="2:11" x14ac:dyDescent="0.25">
      <c r="B629" s="202"/>
      <c r="C629" s="113">
        <v>214.99799999999999</v>
      </c>
      <c r="D629" s="113">
        <v>7899</v>
      </c>
      <c r="E629" s="113">
        <v>626</v>
      </c>
      <c r="F629" s="113">
        <v>132</v>
      </c>
      <c r="G629" s="113">
        <v>125.4</v>
      </c>
      <c r="H629" s="113">
        <v>114.9</v>
      </c>
      <c r="I629" s="113">
        <v>14.2</v>
      </c>
      <c r="J629" s="113">
        <v>42.81</v>
      </c>
      <c r="K629" s="113">
        <v>49.8</v>
      </c>
    </row>
    <row r="630" spans="2:11" x14ac:dyDescent="0.25">
      <c r="B630" s="202"/>
      <c r="C630" s="113">
        <v>215.02600000000001</v>
      </c>
      <c r="D630" s="113">
        <v>7900</v>
      </c>
      <c r="E630" s="113">
        <v>627</v>
      </c>
      <c r="F630" s="113">
        <v>133</v>
      </c>
      <c r="G630" s="113">
        <v>125.4</v>
      </c>
      <c r="H630" s="113">
        <v>115.1</v>
      </c>
      <c r="I630" s="113">
        <v>13.9</v>
      </c>
      <c r="J630" s="113">
        <v>39.6</v>
      </c>
      <c r="K630" s="113">
        <v>49.8</v>
      </c>
    </row>
    <row r="631" spans="2:11" x14ac:dyDescent="0.25">
      <c r="B631" s="202"/>
      <c r="C631" s="113">
        <v>215.054</v>
      </c>
      <c r="D631" s="113">
        <v>7901</v>
      </c>
      <c r="E631" s="113">
        <v>628</v>
      </c>
      <c r="F631" s="113">
        <v>133</v>
      </c>
      <c r="G631" s="113">
        <v>125.6</v>
      </c>
      <c r="H631" s="113">
        <v>115.4</v>
      </c>
      <c r="I631" s="113">
        <v>13.2</v>
      </c>
      <c r="J631" s="113">
        <v>36.659999999999997</v>
      </c>
      <c r="K631" s="113">
        <v>50</v>
      </c>
    </row>
    <row r="632" spans="2:11" x14ac:dyDescent="0.25">
      <c r="B632" s="202"/>
      <c r="C632" s="113">
        <v>215.083</v>
      </c>
      <c r="D632" s="113">
        <v>7902</v>
      </c>
      <c r="E632" s="113">
        <v>629</v>
      </c>
      <c r="F632" s="113">
        <v>134</v>
      </c>
      <c r="G632" s="113">
        <v>126.1</v>
      </c>
      <c r="H632" s="113">
        <v>115.7</v>
      </c>
      <c r="I632" s="113">
        <v>11.2</v>
      </c>
      <c r="J632" s="113">
        <v>32.06</v>
      </c>
      <c r="K632" s="113">
        <v>50.5</v>
      </c>
    </row>
    <row r="633" spans="2:11" x14ac:dyDescent="0.25">
      <c r="B633" s="202"/>
      <c r="C633" s="113">
        <v>215.11199999999999</v>
      </c>
      <c r="D633" s="113">
        <v>7903</v>
      </c>
      <c r="E633" s="113">
        <v>630</v>
      </c>
      <c r="F633" s="113">
        <v>136</v>
      </c>
      <c r="G633" s="113">
        <v>126.8</v>
      </c>
      <c r="H633" s="113">
        <v>116</v>
      </c>
      <c r="I633" s="113">
        <v>9.6</v>
      </c>
      <c r="J633" s="113">
        <v>35</v>
      </c>
      <c r="K633" s="113">
        <v>50.9</v>
      </c>
    </row>
    <row r="634" spans="2:11" x14ac:dyDescent="0.25">
      <c r="B634" s="202"/>
      <c r="C634" s="113">
        <v>215.14</v>
      </c>
      <c r="D634" s="113">
        <v>7904</v>
      </c>
      <c r="E634" s="113">
        <v>631</v>
      </c>
      <c r="F634" s="113">
        <v>136</v>
      </c>
      <c r="G634" s="113">
        <v>127.2</v>
      </c>
      <c r="H634" s="113">
        <v>116.3</v>
      </c>
      <c r="I634" s="113">
        <v>8.4</v>
      </c>
      <c r="J634" s="113">
        <v>34.67</v>
      </c>
      <c r="K634" s="113">
        <v>42.6</v>
      </c>
    </row>
    <row r="635" spans="2:11" x14ac:dyDescent="0.25">
      <c r="B635" s="202"/>
      <c r="C635" s="113">
        <v>215.16800000000001</v>
      </c>
      <c r="D635" s="113">
        <v>7905</v>
      </c>
      <c r="E635" s="113">
        <v>632</v>
      </c>
      <c r="F635" s="113">
        <v>136</v>
      </c>
      <c r="G635" s="113">
        <v>127.5</v>
      </c>
      <c r="H635" s="113">
        <v>116.5</v>
      </c>
      <c r="I635" s="113">
        <v>8.6999999999999993</v>
      </c>
      <c r="J635" s="113">
        <v>34.67</v>
      </c>
      <c r="K635" s="113">
        <v>35.6</v>
      </c>
    </row>
    <row r="636" spans="2:11" x14ac:dyDescent="0.25">
      <c r="B636" s="202"/>
      <c r="C636" s="113">
        <v>215.196</v>
      </c>
      <c r="D636" s="113">
        <v>7906</v>
      </c>
      <c r="E636" s="113">
        <v>633</v>
      </c>
      <c r="F636" s="113">
        <v>135</v>
      </c>
      <c r="G636" s="113">
        <v>127.9</v>
      </c>
      <c r="H636" s="113">
        <v>116.9</v>
      </c>
      <c r="I636" s="113">
        <v>10.5</v>
      </c>
      <c r="J636" s="113">
        <v>33.5</v>
      </c>
      <c r="K636" s="113">
        <v>25</v>
      </c>
    </row>
    <row r="637" spans="2:11" x14ac:dyDescent="0.25">
      <c r="B637" s="202"/>
      <c r="C637" s="113">
        <v>215.22399999999999</v>
      </c>
      <c r="D637" s="113">
        <v>7907</v>
      </c>
      <c r="E637" s="113">
        <v>634</v>
      </c>
      <c r="F637" s="113">
        <v>136</v>
      </c>
      <c r="G637" s="113">
        <v>128.1</v>
      </c>
      <c r="H637" s="113">
        <v>117.2</v>
      </c>
      <c r="I637" s="113">
        <v>11.7</v>
      </c>
      <c r="J637" s="113">
        <v>34.61</v>
      </c>
      <c r="K637" s="113">
        <v>31.8</v>
      </c>
    </row>
    <row r="638" spans="2:11" x14ac:dyDescent="0.25">
      <c r="B638" s="202"/>
      <c r="C638" s="113">
        <v>215.25200000000001</v>
      </c>
      <c r="D638" s="113">
        <v>7908</v>
      </c>
      <c r="E638" s="113">
        <v>635</v>
      </c>
      <c r="F638" s="113">
        <v>136</v>
      </c>
      <c r="G638" s="113">
        <v>128.19999999999999</v>
      </c>
      <c r="H638" s="113">
        <v>117.6</v>
      </c>
      <c r="I638" s="113">
        <v>11.8</v>
      </c>
      <c r="J638" s="113">
        <v>33.799999999999997</v>
      </c>
      <c r="K638" s="113">
        <v>43.1</v>
      </c>
    </row>
    <row r="639" spans="2:11" x14ac:dyDescent="0.25">
      <c r="B639" s="202"/>
      <c r="C639" s="113">
        <v>215.28100000000001</v>
      </c>
      <c r="D639" s="113">
        <v>7909</v>
      </c>
      <c r="E639" s="113">
        <v>636</v>
      </c>
      <c r="F639" s="113">
        <v>136</v>
      </c>
      <c r="G639" s="113">
        <v>128.69999999999999</v>
      </c>
      <c r="H639" s="113">
        <v>118</v>
      </c>
      <c r="I639" s="113">
        <v>12.4</v>
      </c>
      <c r="J639" s="113">
        <v>33.229999999999997</v>
      </c>
      <c r="K639" s="113">
        <v>53.1</v>
      </c>
    </row>
    <row r="640" spans="2:11" x14ac:dyDescent="0.25">
      <c r="B640" s="202"/>
      <c r="C640" s="113">
        <v>215.309</v>
      </c>
      <c r="D640" s="113">
        <v>7910</v>
      </c>
      <c r="E640" s="113">
        <v>637</v>
      </c>
      <c r="F640" s="113">
        <v>136</v>
      </c>
      <c r="G640" s="113">
        <v>129</v>
      </c>
      <c r="H640" s="113">
        <v>118.3</v>
      </c>
      <c r="I640" s="113">
        <v>12.9</v>
      </c>
      <c r="J640" s="113">
        <v>35.130000000000003</v>
      </c>
      <c r="K640" s="113">
        <v>52.8</v>
      </c>
    </row>
    <row r="641" spans="2:11" x14ac:dyDescent="0.25">
      <c r="B641" s="202"/>
      <c r="C641" s="113">
        <v>215.33600000000001</v>
      </c>
      <c r="D641" s="113">
        <v>7911</v>
      </c>
      <c r="E641" s="113">
        <v>638</v>
      </c>
      <c r="F641" s="113">
        <v>136</v>
      </c>
      <c r="G641" s="113">
        <v>129.30000000000001</v>
      </c>
      <c r="H641" s="113">
        <v>118.7</v>
      </c>
      <c r="I641" s="113">
        <v>14.2</v>
      </c>
      <c r="J641" s="113">
        <v>39.909999999999997</v>
      </c>
      <c r="K641" s="113">
        <v>52.5</v>
      </c>
    </row>
    <row r="642" spans="2:11" x14ac:dyDescent="0.25">
      <c r="B642" s="202"/>
      <c r="C642" s="113">
        <v>215.364</v>
      </c>
      <c r="D642" s="113">
        <v>7912</v>
      </c>
      <c r="E642" s="113">
        <v>639</v>
      </c>
      <c r="F642" s="113">
        <v>136</v>
      </c>
      <c r="G642" s="113">
        <v>129.4</v>
      </c>
      <c r="H642" s="113">
        <v>119.1</v>
      </c>
      <c r="I642" s="113">
        <v>15</v>
      </c>
      <c r="J642" s="113">
        <v>40.950000000000003</v>
      </c>
      <c r="K642" s="113">
        <v>52.2</v>
      </c>
    </row>
    <row r="643" spans="2:11" x14ac:dyDescent="0.25">
      <c r="B643" s="202"/>
      <c r="C643" s="113">
        <v>215.392</v>
      </c>
      <c r="D643" s="113">
        <v>7913</v>
      </c>
      <c r="E643" s="113">
        <v>640</v>
      </c>
      <c r="F643" s="113">
        <v>137</v>
      </c>
      <c r="G643" s="113">
        <v>129.80000000000001</v>
      </c>
      <c r="H643" s="113">
        <v>119.5</v>
      </c>
      <c r="I643" s="113">
        <v>15.5</v>
      </c>
      <c r="J643" s="113">
        <v>41.08</v>
      </c>
      <c r="K643" s="113">
        <v>52.2</v>
      </c>
    </row>
    <row r="644" spans="2:11" x14ac:dyDescent="0.25">
      <c r="B644" s="202"/>
      <c r="C644" s="113">
        <v>215.41900000000001</v>
      </c>
      <c r="D644" s="113">
        <v>7914</v>
      </c>
      <c r="E644" s="113">
        <v>641</v>
      </c>
      <c r="F644" s="113">
        <v>137</v>
      </c>
      <c r="G644" s="113">
        <v>130</v>
      </c>
      <c r="H644" s="113">
        <v>119.7</v>
      </c>
      <c r="I644" s="113">
        <v>15.5</v>
      </c>
      <c r="J644" s="113">
        <v>41.96</v>
      </c>
      <c r="K644" s="113">
        <v>52.2</v>
      </c>
    </row>
    <row r="645" spans="2:11" x14ac:dyDescent="0.25">
      <c r="B645" s="202"/>
      <c r="C645" s="113">
        <v>215.447</v>
      </c>
      <c r="D645" s="113">
        <v>7915</v>
      </c>
      <c r="E645" s="113">
        <v>642</v>
      </c>
      <c r="F645" s="113">
        <v>137</v>
      </c>
      <c r="G645" s="113">
        <v>130.4</v>
      </c>
      <c r="H645" s="113">
        <v>120.1</v>
      </c>
      <c r="I645" s="113">
        <v>15.5</v>
      </c>
      <c r="J645" s="113">
        <v>48.43</v>
      </c>
      <c r="K645" s="113">
        <v>52.2</v>
      </c>
    </row>
    <row r="646" spans="2:11" x14ac:dyDescent="0.25">
      <c r="B646" s="202"/>
      <c r="C646" s="113">
        <v>215.47499999999999</v>
      </c>
      <c r="D646" s="113">
        <v>7916</v>
      </c>
      <c r="E646" s="113">
        <v>643</v>
      </c>
      <c r="F646" s="113">
        <v>137</v>
      </c>
      <c r="G646" s="113">
        <v>130.80000000000001</v>
      </c>
      <c r="H646" s="113">
        <v>120.5</v>
      </c>
      <c r="I646" s="113">
        <v>16</v>
      </c>
      <c r="J646" s="113">
        <v>44.17</v>
      </c>
      <c r="K646" s="113">
        <v>52</v>
      </c>
    </row>
    <row r="647" spans="2:11" x14ac:dyDescent="0.25">
      <c r="B647" s="202"/>
      <c r="C647" s="113">
        <v>215.50200000000001</v>
      </c>
      <c r="D647" s="113">
        <v>7917</v>
      </c>
      <c r="E647" s="113">
        <v>644</v>
      </c>
      <c r="F647" s="113">
        <v>138</v>
      </c>
      <c r="G647" s="113">
        <v>131.19999999999999</v>
      </c>
      <c r="H647" s="113">
        <v>120.9</v>
      </c>
      <c r="I647" s="113">
        <v>16.899999999999999</v>
      </c>
      <c r="J647" s="113">
        <v>48.25</v>
      </c>
      <c r="K647" s="113">
        <v>51.8</v>
      </c>
    </row>
    <row r="648" spans="2:11" x14ac:dyDescent="0.25">
      <c r="B648" s="202"/>
      <c r="C648" s="113">
        <v>215.529</v>
      </c>
      <c r="D648" s="113">
        <v>7918</v>
      </c>
      <c r="E648" s="113">
        <v>645</v>
      </c>
      <c r="F648" s="113">
        <v>138</v>
      </c>
      <c r="G648" s="113">
        <v>131.4</v>
      </c>
      <c r="H648" s="113">
        <v>121.1</v>
      </c>
      <c r="I648" s="113">
        <v>16.3</v>
      </c>
      <c r="J648" s="113">
        <v>50.46</v>
      </c>
      <c r="K648" s="113">
        <v>51.7</v>
      </c>
    </row>
    <row r="649" spans="2:11" x14ac:dyDescent="0.25">
      <c r="B649" s="202"/>
      <c r="C649" s="113">
        <v>215.55699999999999</v>
      </c>
      <c r="D649" s="113">
        <v>7919</v>
      </c>
      <c r="E649" s="113">
        <v>646</v>
      </c>
      <c r="F649" s="113">
        <v>139</v>
      </c>
      <c r="G649" s="113">
        <v>131.6</v>
      </c>
      <c r="H649" s="113">
        <v>121.5</v>
      </c>
      <c r="I649" s="113">
        <v>16.100000000000001</v>
      </c>
      <c r="J649" s="113">
        <v>46.32</v>
      </c>
      <c r="K649" s="113">
        <v>51.5</v>
      </c>
    </row>
    <row r="650" spans="2:11" x14ac:dyDescent="0.25">
      <c r="B650" s="202"/>
      <c r="C650" s="113">
        <v>215.584</v>
      </c>
      <c r="D650" s="113">
        <v>7920</v>
      </c>
      <c r="E650" s="113">
        <v>647</v>
      </c>
      <c r="F650" s="113">
        <v>139</v>
      </c>
      <c r="G650" s="113">
        <v>131.9</v>
      </c>
      <c r="H650" s="113">
        <v>121.8</v>
      </c>
      <c r="I650" s="113">
        <v>16.2</v>
      </c>
      <c r="J650" s="113">
        <v>45.07</v>
      </c>
      <c r="K650" s="113">
        <v>51.4</v>
      </c>
    </row>
    <row r="651" spans="2:11" x14ac:dyDescent="0.25">
      <c r="B651" s="202"/>
      <c r="C651" s="113">
        <v>215.61099999999999</v>
      </c>
      <c r="D651" s="113">
        <v>7921</v>
      </c>
      <c r="E651" s="113">
        <v>648</v>
      </c>
      <c r="F651" s="113">
        <v>140</v>
      </c>
      <c r="G651" s="113">
        <v>132.30000000000001</v>
      </c>
      <c r="H651" s="113">
        <v>122.2</v>
      </c>
      <c r="I651" s="113">
        <v>14.9</v>
      </c>
      <c r="J651" s="113">
        <v>43.53</v>
      </c>
      <c r="K651" s="113">
        <v>51.4</v>
      </c>
    </row>
    <row r="652" spans="2:11" x14ac:dyDescent="0.25">
      <c r="B652" s="202"/>
      <c r="C652" s="113">
        <v>215.63900000000001</v>
      </c>
      <c r="D652" s="113">
        <v>7922</v>
      </c>
      <c r="E652" s="113">
        <v>649</v>
      </c>
      <c r="F652" s="113">
        <v>141</v>
      </c>
      <c r="G652" s="113">
        <v>132.5</v>
      </c>
      <c r="H652" s="113">
        <v>122.5</v>
      </c>
      <c r="I652" s="113">
        <v>13.7</v>
      </c>
      <c r="J652" s="113">
        <v>43.12</v>
      </c>
      <c r="K652" s="113">
        <v>51.5</v>
      </c>
    </row>
    <row r="653" spans="2:11" x14ac:dyDescent="0.25">
      <c r="B653" s="202"/>
      <c r="C653" s="113">
        <v>215.666</v>
      </c>
      <c r="D653" s="113">
        <v>7923</v>
      </c>
      <c r="E653" s="113">
        <v>650</v>
      </c>
      <c r="F653" s="113">
        <v>141</v>
      </c>
      <c r="G653" s="113">
        <v>133</v>
      </c>
      <c r="H653" s="113">
        <v>122.8</v>
      </c>
      <c r="I653" s="113">
        <v>12.9</v>
      </c>
      <c r="J653" s="113">
        <v>40.92</v>
      </c>
      <c r="K653" s="113">
        <v>51.6</v>
      </c>
    </row>
    <row r="654" spans="2:11" x14ac:dyDescent="0.25">
      <c r="B654" s="202"/>
      <c r="C654" s="113">
        <v>215.69200000000001</v>
      </c>
      <c r="D654" s="113">
        <v>7924</v>
      </c>
      <c r="E654" s="113">
        <v>651</v>
      </c>
      <c r="F654" s="113">
        <v>141</v>
      </c>
      <c r="G654" s="113">
        <v>133.30000000000001</v>
      </c>
      <c r="H654" s="113">
        <v>123.2</v>
      </c>
      <c r="I654" s="113">
        <v>13.5</v>
      </c>
      <c r="J654" s="113">
        <v>41.43</v>
      </c>
      <c r="K654" s="113">
        <v>51.5</v>
      </c>
    </row>
    <row r="655" spans="2:11" x14ac:dyDescent="0.25">
      <c r="B655" s="202"/>
      <c r="C655" s="113">
        <v>215.71899999999999</v>
      </c>
      <c r="D655" s="113">
        <v>7925</v>
      </c>
      <c r="E655" s="113">
        <v>652</v>
      </c>
      <c r="F655" s="113">
        <v>140</v>
      </c>
      <c r="G655" s="113">
        <v>133.30000000000001</v>
      </c>
      <c r="H655" s="113">
        <v>123.5</v>
      </c>
      <c r="I655" s="113">
        <v>14.3</v>
      </c>
      <c r="J655" s="113">
        <v>41.45</v>
      </c>
      <c r="K655" s="113">
        <v>51.1</v>
      </c>
    </row>
    <row r="656" spans="2:11" x14ac:dyDescent="0.25">
      <c r="B656" s="202"/>
      <c r="C656" s="113">
        <v>215.74600000000001</v>
      </c>
      <c r="D656" s="113">
        <v>7926</v>
      </c>
      <c r="E656" s="113">
        <v>653</v>
      </c>
      <c r="F656" s="113">
        <v>141</v>
      </c>
      <c r="G656" s="113">
        <v>133.4</v>
      </c>
      <c r="H656" s="113">
        <v>123.8</v>
      </c>
      <c r="I656" s="113">
        <v>14.9</v>
      </c>
      <c r="J656" s="113">
        <v>40.799999999999997</v>
      </c>
      <c r="K656" s="113">
        <v>50.7</v>
      </c>
    </row>
    <row r="657" spans="2:11" x14ac:dyDescent="0.25">
      <c r="B657" s="202"/>
      <c r="C657" s="113">
        <v>215.773</v>
      </c>
      <c r="D657" s="113">
        <v>7927</v>
      </c>
      <c r="E657" s="113">
        <v>654</v>
      </c>
      <c r="F657" s="113">
        <v>141</v>
      </c>
      <c r="G657" s="113">
        <v>133.6</v>
      </c>
      <c r="H657" s="113">
        <v>124.2</v>
      </c>
      <c r="I657" s="113">
        <v>14.6</v>
      </c>
      <c r="J657" s="113">
        <v>38.619999999999997</v>
      </c>
      <c r="K657" s="113">
        <v>50.4</v>
      </c>
    </row>
    <row r="658" spans="2:11" x14ac:dyDescent="0.25">
      <c r="B658" s="202"/>
      <c r="C658" s="113">
        <v>215.8</v>
      </c>
      <c r="D658" s="113">
        <v>7928</v>
      </c>
      <c r="E658" s="113">
        <v>655</v>
      </c>
      <c r="F658" s="113">
        <v>142</v>
      </c>
      <c r="G658" s="113">
        <v>133.9</v>
      </c>
      <c r="H658" s="113">
        <v>124.6</v>
      </c>
      <c r="I658" s="113">
        <v>14.1</v>
      </c>
      <c r="J658" s="113">
        <v>38.56</v>
      </c>
      <c r="K658" s="113">
        <v>50.4</v>
      </c>
    </row>
    <row r="659" spans="2:11" x14ac:dyDescent="0.25">
      <c r="B659" s="202"/>
      <c r="C659" s="113">
        <v>215.827</v>
      </c>
      <c r="D659" s="113">
        <v>7929</v>
      </c>
      <c r="E659" s="113">
        <v>656</v>
      </c>
      <c r="F659" s="113">
        <v>142</v>
      </c>
      <c r="G659" s="113">
        <v>134.30000000000001</v>
      </c>
      <c r="H659" s="113">
        <v>124.8</v>
      </c>
      <c r="I659" s="113">
        <v>13.5</v>
      </c>
      <c r="J659" s="113">
        <v>37.869999999999997</v>
      </c>
      <c r="K659" s="113">
        <v>50.4</v>
      </c>
    </row>
    <row r="660" spans="2:11" x14ac:dyDescent="0.25">
      <c r="B660" s="202"/>
      <c r="C660" s="113">
        <v>215.85400000000001</v>
      </c>
      <c r="D660" s="113">
        <v>7930</v>
      </c>
      <c r="E660" s="113">
        <v>657</v>
      </c>
      <c r="F660" s="113">
        <v>142</v>
      </c>
      <c r="G660" s="113">
        <v>134.69999999999999</v>
      </c>
      <c r="H660" s="113">
        <v>125.1</v>
      </c>
      <c r="I660" s="113">
        <v>12.8</v>
      </c>
      <c r="J660" s="113">
        <v>37.020000000000003</v>
      </c>
      <c r="K660" s="113">
        <v>51.1</v>
      </c>
    </row>
    <row r="661" spans="2:11" x14ac:dyDescent="0.25">
      <c r="B661" s="202"/>
      <c r="C661" s="113">
        <v>215.881</v>
      </c>
      <c r="D661" s="113">
        <v>7931</v>
      </c>
      <c r="E661" s="113">
        <v>658</v>
      </c>
      <c r="F661" s="113">
        <v>143</v>
      </c>
      <c r="G661" s="113">
        <v>135.1</v>
      </c>
      <c r="H661" s="113">
        <v>125.4</v>
      </c>
      <c r="I661" s="113">
        <v>11.3</v>
      </c>
      <c r="J661" s="113">
        <v>36.090000000000003</v>
      </c>
      <c r="K661" s="113">
        <v>52.5</v>
      </c>
    </row>
    <row r="662" spans="2:11" x14ac:dyDescent="0.25">
      <c r="B662" s="202"/>
      <c r="C662" s="113">
        <v>215.90700000000001</v>
      </c>
      <c r="D662" s="113">
        <v>7932</v>
      </c>
      <c r="E662" s="113">
        <v>659</v>
      </c>
      <c r="F662" s="113">
        <v>144</v>
      </c>
      <c r="G662" s="113">
        <v>135.4</v>
      </c>
      <c r="H662" s="113">
        <v>125.6</v>
      </c>
      <c r="I662" s="113">
        <v>10.9</v>
      </c>
      <c r="J662" s="113">
        <v>36</v>
      </c>
      <c r="K662" s="113">
        <v>53.5</v>
      </c>
    </row>
    <row r="663" spans="2:11" x14ac:dyDescent="0.25">
      <c r="B663" s="202"/>
      <c r="C663" s="113">
        <v>215.934</v>
      </c>
      <c r="D663" s="113">
        <v>7933</v>
      </c>
      <c r="E663" s="113">
        <v>660</v>
      </c>
      <c r="F663" s="113">
        <v>145</v>
      </c>
      <c r="G663" s="113">
        <v>135.9</v>
      </c>
      <c r="H663" s="113">
        <v>125.9</v>
      </c>
      <c r="I663" s="113">
        <v>10.3</v>
      </c>
      <c r="J663" s="113">
        <v>38.31</v>
      </c>
      <c r="K663" s="113">
        <v>53.1</v>
      </c>
    </row>
    <row r="664" spans="2:11" x14ac:dyDescent="0.25">
      <c r="B664" s="202"/>
      <c r="C664" s="113">
        <v>215.96</v>
      </c>
      <c r="D664" s="113">
        <v>7934</v>
      </c>
      <c r="E664" s="113">
        <v>661</v>
      </c>
      <c r="F664" s="113">
        <v>144</v>
      </c>
      <c r="G664" s="113">
        <v>136.19999999999999</v>
      </c>
      <c r="H664" s="113">
        <v>126.1</v>
      </c>
      <c r="I664" s="113">
        <v>11.1</v>
      </c>
      <c r="J664" s="113">
        <v>35.659999999999997</v>
      </c>
      <c r="K664" s="113">
        <v>50.6</v>
      </c>
    </row>
    <row r="665" spans="2:11" x14ac:dyDescent="0.25">
      <c r="B665" s="202"/>
      <c r="C665" s="113">
        <v>215.98599999999999</v>
      </c>
      <c r="D665" s="113">
        <v>7935</v>
      </c>
      <c r="E665" s="113">
        <v>662</v>
      </c>
      <c r="F665" s="113">
        <v>145</v>
      </c>
      <c r="G665" s="113">
        <v>136.30000000000001</v>
      </c>
      <c r="H665" s="113">
        <v>126.3</v>
      </c>
      <c r="I665" s="113">
        <v>12.3</v>
      </c>
      <c r="J665" s="113">
        <v>36.94</v>
      </c>
      <c r="K665" s="113">
        <v>48.9</v>
      </c>
    </row>
    <row r="666" spans="2:11" x14ac:dyDescent="0.25">
      <c r="B666" s="202"/>
      <c r="C666" s="113">
        <v>216.012</v>
      </c>
      <c r="D666" s="113">
        <v>7936</v>
      </c>
      <c r="E666" s="113">
        <v>663</v>
      </c>
      <c r="F666" s="113">
        <v>145</v>
      </c>
      <c r="G666" s="113">
        <v>136.69999999999999</v>
      </c>
      <c r="H666" s="113">
        <v>126.6</v>
      </c>
      <c r="I666" s="113">
        <v>12.5</v>
      </c>
      <c r="J666" s="113">
        <v>41.34</v>
      </c>
      <c r="K666" s="113">
        <v>47.4</v>
      </c>
    </row>
    <row r="667" spans="2:11" x14ac:dyDescent="0.25">
      <c r="B667" s="202"/>
      <c r="C667" s="113">
        <v>216.03899999999999</v>
      </c>
      <c r="D667" s="113">
        <v>7937</v>
      </c>
      <c r="E667" s="113">
        <v>664</v>
      </c>
      <c r="F667" s="113">
        <v>146</v>
      </c>
      <c r="G667" s="113">
        <v>137.1</v>
      </c>
      <c r="H667" s="113">
        <v>126.8</v>
      </c>
      <c r="I667" s="113">
        <v>12.2</v>
      </c>
      <c r="J667" s="113">
        <v>38.79</v>
      </c>
      <c r="K667" s="113">
        <v>47.1</v>
      </c>
    </row>
    <row r="668" spans="2:11" x14ac:dyDescent="0.25">
      <c r="B668" s="202"/>
      <c r="C668" s="113">
        <v>216.065</v>
      </c>
      <c r="D668" s="113">
        <v>7938</v>
      </c>
      <c r="E668" s="113">
        <v>665</v>
      </c>
      <c r="F668" s="113">
        <v>145</v>
      </c>
      <c r="G668" s="113">
        <v>137.30000000000001</v>
      </c>
      <c r="H668" s="113">
        <v>127</v>
      </c>
      <c r="I668" s="113">
        <v>13.4</v>
      </c>
      <c r="J668" s="113">
        <v>39.33</v>
      </c>
      <c r="K668" s="113">
        <v>46.7</v>
      </c>
    </row>
    <row r="669" spans="2:11" x14ac:dyDescent="0.25">
      <c r="B669" s="202"/>
      <c r="C669" s="113">
        <v>216.09100000000001</v>
      </c>
      <c r="D669" s="113">
        <v>7939</v>
      </c>
      <c r="E669" s="113">
        <v>666</v>
      </c>
      <c r="F669" s="113">
        <v>145</v>
      </c>
      <c r="G669" s="113">
        <v>137.5</v>
      </c>
      <c r="H669" s="113">
        <v>127.3</v>
      </c>
      <c r="I669" s="113">
        <v>14</v>
      </c>
      <c r="J669" s="113">
        <v>39.54</v>
      </c>
      <c r="K669" s="113">
        <v>42.1</v>
      </c>
    </row>
    <row r="670" spans="2:11" x14ac:dyDescent="0.25">
      <c r="B670" s="202"/>
      <c r="C670" s="113">
        <v>216.11799999999999</v>
      </c>
      <c r="D670" s="113">
        <v>7940</v>
      </c>
      <c r="E670" s="113">
        <v>667</v>
      </c>
      <c r="F670" s="113">
        <v>146</v>
      </c>
      <c r="G670" s="113">
        <v>137.80000000000001</v>
      </c>
      <c r="H670" s="113">
        <v>127.4</v>
      </c>
      <c r="I670" s="113">
        <v>14.3</v>
      </c>
      <c r="J670" s="113">
        <v>37.44</v>
      </c>
      <c r="K670" s="113">
        <v>35.6</v>
      </c>
    </row>
    <row r="671" spans="2:11" x14ac:dyDescent="0.25">
      <c r="B671" s="202"/>
      <c r="C671" s="113">
        <v>216.14400000000001</v>
      </c>
      <c r="D671" s="113">
        <v>7941</v>
      </c>
      <c r="E671" s="113">
        <v>668</v>
      </c>
      <c r="F671" s="113">
        <v>147</v>
      </c>
      <c r="G671" s="113">
        <v>138.1</v>
      </c>
      <c r="H671" s="113">
        <v>127.7</v>
      </c>
      <c r="I671" s="113">
        <v>14.3</v>
      </c>
      <c r="J671" s="113">
        <v>37.49</v>
      </c>
      <c r="K671" s="113">
        <v>25.9</v>
      </c>
    </row>
    <row r="672" spans="2:11" x14ac:dyDescent="0.25">
      <c r="B672" s="202"/>
      <c r="C672" s="113">
        <v>216.16900000000001</v>
      </c>
      <c r="D672" s="113">
        <v>7942</v>
      </c>
      <c r="E672" s="113">
        <v>669</v>
      </c>
      <c r="F672" s="113">
        <v>147</v>
      </c>
      <c r="G672" s="113">
        <v>138.30000000000001</v>
      </c>
      <c r="H672" s="113">
        <v>127.9</v>
      </c>
      <c r="I672" s="113">
        <v>13.7</v>
      </c>
      <c r="J672" s="113">
        <v>38.200000000000003</v>
      </c>
      <c r="K672" s="113">
        <v>20.6</v>
      </c>
    </row>
    <row r="673" spans="2:11" x14ac:dyDescent="0.25">
      <c r="B673" s="202"/>
      <c r="C673" s="113">
        <v>216.196</v>
      </c>
      <c r="D673" s="113">
        <v>7943</v>
      </c>
      <c r="E673" s="113">
        <v>670</v>
      </c>
      <c r="F673" s="113">
        <v>147</v>
      </c>
      <c r="G673" s="113">
        <v>138.30000000000001</v>
      </c>
      <c r="H673" s="113">
        <v>128.19999999999999</v>
      </c>
      <c r="I673" s="113">
        <v>14.6</v>
      </c>
      <c r="J673" s="113">
        <v>42.88</v>
      </c>
      <c r="K673" s="113">
        <v>20.6</v>
      </c>
    </row>
    <row r="674" spans="2:11" x14ac:dyDescent="0.25">
      <c r="B674" s="202"/>
      <c r="C674" s="113">
        <v>216.221</v>
      </c>
      <c r="D674" s="113">
        <v>7944</v>
      </c>
      <c r="E674" s="113">
        <v>671</v>
      </c>
      <c r="F674" s="113">
        <v>146</v>
      </c>
      <c r="G674" s="113">
        <v>138.69999999999999</v>
      </c>
      <c r="H674" s="113">
        <v>128.4</v>
      </c>
      <c r="I674" s="113">
        <v>16.5</v>
      </c>
      <c r="J674" s="113">
        <v>41.43</v>
      </c>
      <c r="K674" s="113">
        <v>20.6</v>
      </c>
    </row>
    <row r="675" spans="2:11" x14ac:dyDescent="0.25">
      <c r="B675" s="202"/>
      <c r="C675" s="113">
        <v>216.24799999999999</v>
      </c>
      <c r="D675" s="113">
        <v>7945</v>
      </c>
      <c r="E675" s="113">
        <v>672</v>
      </c>
      <c r="F675" s="113">
        <v>146</v>
      </c>
      <c r="G675" s="113">
        <v>138.9</v>
      </c>
      <c r="H675" s="113">
        <v>128.6</v>
      </c>
      <c r="I675" s="113">
        <v>17.3</v>
      </c>
      <c r="J675" s="113">
        <v>38.049999999999997</v>
      </c>
      <c r="K675" s="113">
        <v>22.3</v>
      </c>
    </row>
    <row r="676" spans="2:11" x14ac:dyDescent="0.25">
      <c r="B676" s="202"/>
      <c r="C676" s="113">
        <v>216.273</v>
      </c>
      <c r="D676" s="113">
        <v>7946</v>
      </c>
      <c r="E676" s="113">
        <v>673</v>
      </c>
      <c r="F676" s="113">
        <v>148</v>
      </c>
      <c r="G676" s="113">
        <v>138.80000000000001</v>
      </c>
      <c r="H676" s="113">
        <v>129</v>
      </c>
      <c r="I676" s="113">
        <v>16.100000000000001</v>
      </c>
      <c r="J676" s="113">
        <v>40.46</v>
      </c>
      <c r="K676" s="113">
        <v>35.6</v>
      </c>
    </row>
    <row r="677" spans="2:11" x14ac:dyDescent="0.25">
      <c r="B677" s="202"/>
      <c r="C677" s="113">
        <v>216.29900000000001</v>
      </c>
      <c r="D677" s="113">
        <v>7947</v>
      </c>
      <c r="E677" s="113">
        <v>674</v>
      </c>
      <c r="F677" s="113">
        <v>148</v>
      </c>
      <c r="G677" s="113">
        <v>139</v>
      </c>
      <c r="H677" s="113">
        <v>129.19999999999999</v>
      </c>
      <c r="I677" s="113">
        <v>14.3</v>
      </c>
      <c r="J677" s="113">
        <v>40.46</v>
      </c>
      <c r="K677" s="113">
        <v>44.5</v>
      </c>
    </row>
    <row r="678" spans="2:11" x14ac:dyDescent="0.25">
      <c r="B678" s="202"/>
      <c r="C678" s="113">
        <v>216.32499999999999</v>
      </c>
      <c r="D678" s="113">
        <v>7948</v>
      </c>
      <c r="E678" s="113">
        <v>675</v>
      </c>
      <c r="F678" s="113">
        <v>148</v>
      </c>
      <c r="G678" s="113">
        <v>139.4</v>
      </c>
      <c r="H678" s="113">
        <v>129.5</v>
      </c>
      <c r="I678" s="113">
        <v>13.6</v>
      </c>
      <c r="J678" s="113">
        <v>34.96</v>
      </c>
      <c r="K678" s="113">
        <v>56.2</v>
      </c>
    </row>
    <row r="679" spans="2:11" x14ac:dyDescent="0.25">
      <c r="B679" s="202"/>
      <c r="C679" s="113">
        <v>216.351</v>
      </c>
      <c r="D679" s="113">
        <v>7949</v>
      </c>
      <c r="E679" s="113">
        <v>676</v>
      </c>
      <c r="F679" s="113">
        <v>149</v>
      </c>
      <c r="G679" s="113">
        <v>139.6</v>
      </c>
      <c r="H679" s="113">
        <v>129.9</v>
      </c>
      <c r="I679" s="113">
        <v>13.1</v>
      </c>
      <c r="J679" s="113">
        <v>34.659999999999997</v>
      </c>
      <c r="K679" s="113">
        <v>56.1</v>
      </c>
    </row>
    <row r="680" spans="2:11" x14ac:dyDescent="0.25">
      <c r="B680" s="202"/>
      <c r="C680" s="113">
        <v>216.376</v>
      </c>
      <c r="D680" s="113">
        <v>7950</v>
      </c>
      <c r="E680" s="113">
        <v>677</v>
      </c>
      <c r="F680" s="113">
        <v>149</v>
      </c>
      <c r="G680" s="113">
        <v>139.80000000000001</v>
      </c>
      <c r="H680" s="113">
        <v>130.1</v>
      </c>
      <c r="I680" s="113">
        <v>12</v>
      </c>
      <c r="J680" s="113">
        <v>34.630000000000003</v>
      </c>
      <c r="K680" s="113">
        <v>56</v>
      </c>
    </row>
    <row r="681" spans="2:11" x14ac:dyDescent="0.25">
      <c r="B681" s="202"/>
      <c r="C681" s="113">
        <v>216.40199999999999</v>
      </c>
      <c r="D681" s="113">
        <v>7951</v>
      </c>
      <c r="E681" s="113">
        <v>678</v>
      </c>
      <c r="F681" s="113">
        <v>150</v>
      </c>
      <c r="G681" s="113">
        <v>140.1</v>
      </c>
      <c r="H681" s="113">
        <v>130.5</v>
      </c>
      <c r="I681" s="113">
        <v>10.6</v>
      </c>
      <c r="J681" s="113">
        <v>31.59</v>
      </c>
      <c r="K681" s="113">
        <v>55.7</v>
      </c>
    </row>
    <row r="682" spans="2:11" x14ac:dyDescent="0.25">
      <c r="B682" s="202"/>
      <c r="C682" s="113">
        <v>216.428</v>
      </c>
      <c r="D682" s="113">
        <v>7952</v>
      </c>
      <c r="E682" s="113">
        <v>679</v>
      </c>
      <c r="F682" s="113">
        <v>151</v>
      </c>
      <c r="G682" s="113">
        <v>140.5</v>
      </c>
      <c r="H682" s="113">
        <v>130.69999999999999</v>
      </c>
      <c r="I682" s="113">
        <v>9.6</v>
      </c>
      <c r="J682" s="113">
        <v>28.38</v>
      </c>
      <c r="K682" s="113">
        <v>54.9</v>
      </c>
    </row>
    <row r="683" spans="2:11" x14ac:dyDescent="0.25">
      <c r="B683" s="202"/>
      <c r="C683" s="113">
        <v>216.453</v>
      </c>
      <c r="D683" s="113">
        <v>7953</v>
      </c>
      <c r="E683" s="113">
        <v>680</v>
      </c>
      <c r="F683" s="113">
        <v>151</v>
      </c>
      <c r="G683" s="113">
        <v>141.1</v>
      </c>
      <c r="H683" s="113">
        <v>131.1</v>
      </c>
      <c r="I683" s="113">
        <v>8.5</v>
      </c>
      <c r="J683" s="113">
        <v>29.84</v>
      </c>
      <c r="K683" s="113">
        <v>53.7</v>
      </c>
    </row>
    <row r="684" spans="2:11" x14ac:dyDescent="0.25">
      <c r="B684" s="202"/>
      <c r="C684" s="113">
        <v>216.47900000000001</v>
      </c>
      <c r="D684" s="113">
        <v>7954</v>
      </c>
      <c r="E684" s="113">
        <v>681</v>
      </c>
      <c r="F684" s="113">
        <v>152</v>
      </c>
      <c r="G684" s="113">
        <v>141.5</v>
      </c>
      <c r="H684" s="113">
        <v>131.30000000000001</v>
      </c>
      <c r="I684" s="113">
        <v>8.4</v>
      </c>
      <c r="J684" s="113">
        <v>29.55</v>
      </c>
      <c r="K684" s="113">
        <v>52.7</v>
      </c>
    </row>
    <row r="685" spans="2:11" x14ac:dyDescent="0.25">
      <c r="B685" s="202"/>
      <c r="C685" s="113">
        <v>216.50399999999999</v>
      </c>
      <c r="D685" s="113">
        <v>7955</v>
      </c>
      <c r="E685" s="113">
        <v>682</v>
      </c>
      <c r="F685" s="113">
        <v>151</v>
      </c>
      <c r="G685" s="113">
        <v>141.9</v>
      </c>
      <c r="H685" s="113">
        <v>131.6</v>
      </c>
      <c r="I685" s="113">
        <v>9.5</v>
      </c>
      <c r="J685" s="113">
        <v>29.58</v>
      </c>
      <c r="K685" s="113">
        <v>50.4</v>
      </c>
    </row>
    <row r="686" spans="2:11" x14ac:dyDescent="0.25">
      <c r="B686" s="202"/>
      <c r="C686" s="113">
        <v>216.529</v>
      </c>
      <c r="D686" s="113">
        <v>7956</v>
      </c>
      <c r="E686" s="113">
        <v>683</v>
      </c>
      <c r="F686" s="113">
        <v>151</v>
      </c>
      <c r="G686" s="113">
        <v>142.1</v>
      </c>
      <c r="H686" s="113">
        <v>131.9</v>
      </c>
      <c r="I686" s="113">
        <v>10.3</v>
      </c>
      <c r="J686" s="113">
        <v>32.31</v>
      </c>
      <c r="K686" s="113">
        <v>48.7</v>
      </c>
    </row>
    <row r="687" spans="2:11" x14ac:dyDescent="0.25">
      <c r="B687" s="202"/>
      <c r="C687" s="113">
        <v>216.55500000000001</v>
      </c>
      <c r="D687" s="113">
        <v>7957</v>
      </c>
      <c r="E687" s="113">
        <v>684</v>
      </c>
      <c r="F687" s="113">
        <v>151</v>
      </c>
      <c r="G687" s="113">
        <v>142.5</v>
      </c>
      <c r="H687" s="113">
        <v>132.19999999999999</v>
      </c>
      <c r="I687" s="113">
        <v>11.8</v>
      </c>
      <c r="J687" s="113">
        <v>33.57</v>
      </c>
      <c r="K687" s="113">
        <v>46.1</v>
      </c>
    </row>
    <row r="688" spans="2:11" x14ac:dyDescent="0.25">
      <c r="B688" s="202"/>
      <c r="C688" s="113">
        <v>216.58</v>
      </c>
      <c r="D688" s="113">
        <v>7958</v>
      </c>
      <c r="E688" s="113">
        <v>685</v>
      </c>
      <c r="F688" s="113">
        <v>151</v>
      </c>
      <c r="G688" s="113">
        <v>142.69999999999999</v>
      </c>
      <c r="H688" s="113">
        <v>132.6</v>
      </c>
      <c r="I688" s="113">
        <v>14.7</v>
      </c>
      <c r="J688" s="113">
        <v>31.68</v>
      </c>
      <c r="K688" s="113">
        <v>45.5</v>
      </c>
    </row>
    <row r="689" spans="2:11" x14ac:dyDescent="0.25">
      <c r="B689" s="202"/>
      <c r="C689" s="113">
        <v>216.60499999999999</v>
      </c>
      <c r="D689" s="113">
        <v>7959</v>
      </c>
      <c r="E689" s="113">
        <v>686</v>
      </c>
      <c r="F689" s="113">
        <v>151</v>
      </c>
      <c r="G689" s="113">
        <v>142.80000000000001</v>
      </c>
      <c r="H689" s="113">
        <v>132.80000000000001</v>
      </c>
      <c r="I689" s="113">
        <v>15.4</v>
      </c>
      <c r="J689" s="113">
        <v>31.57</v>
      </c>
      <c r="K689" s="113">
        <v>45.5</v>
      </c>
    </row>
    <row r="690" spans="2:11" x14ac:dyDescent="0.25">
      <c r="B690" s="202"/>
      <c r="C690" s="113">
        <v>216.63</v>
      </c>
      <c r="D690" s="113">
        <v>7960</v>
      </c>
      <c r="E690" s="113">
        <v>687</v>
      </c>
      <c r="F690" s="113">
        <v>152</v>
      </c>
      <c r="G690" s="113">
        <v>143</v>
      </c>
      <c r="H690" s="113">
        <v>133.19999999999999</v>
      </c>
      <c r="I690" s="113">
        <v>15.4</v>
      </c>
      <c r="J690" s="113">
        <v>32.520000000000003</v>
      </c>
      <c r="K690" s="113">
        <v>45.5</v>
      </c>
    </row>
    <row r="691" spans="2:11" x14ac:dyDescent="0.25">
      <c r="B691" s="202"/>
      <c r="C691" s="113">
        <v>216.65600000000001</v>
      </c>
      <c r="D691" s="113">
        <v>7961</v>
      </c>
      <c r="E691" s="113">
        <v>688</v>
      </c>
      <c r="F691" s="113">
        <v>152</v>
      </c>
      <c r="G691" s="113">
        <v>143.19999999999999</v>
      </c>
      <c r="H691" s="113">
        <v>133.4</v>
      </c>
      <c r="I691" s="113">
        <v>15.1</v>
      </c>
      <c r="J691" s="113">
        <v>30.64</v>
      </c>
      <c r="K691" s="113">
        <v>45.5</v>
      </c>
    </row>
    <row r="692" spans="2:11" x14ac:dyDescent="0.25">
      <c r="B692" s="202"/>
      <c r="C692" s="113">
        <v>216.68100000000001</v>
      </c>
      <c r="D692" s="113">
        <v>7962</v>
      </c>
      <c r="E692" s="113">
        <v>689</v>
      </c>
      <c r="F692" s="113">
        <v>153</v>
      </c>
      <c r="G692" s="113">
        <v>143.6</v>
      </c>
      <c r="H692" s="113">
        <v>133.80000000000001</v>
      </c>
      <c r="I692" s="113">
        <v>14.3</v>
      </c>
      <c r="J692" s="113">
        <v>29.66</v>
      </c>
      <c r="K692" s="113">
        <v>45.5</v>
      </c>
    </row>
    <row r="693" spans="2:11" x14ac:dyDescent="0.25">
      <c r="B693" s="202"/>
      <c r="C693" s="113">
        <v>216.70599999999999</v>
      </c>
      <c r="D693" s="113">
        <v>7963</v>
      </c>
      <c r="E693" s="113">
        <v>690</v>
      </c>
      <c r="F693" s="113">
        <v>154</v>
      </c>
      <c r="G693" s="113">
        <v>143.9</v>
      </c>
      <c r="H693" s="113">
        <v>134.1</v>
      </c>
      <c r="I693" s="113">
        <v>13.7</v>
      </c>
      <c r="J693" s="113">
        <v>30.16</v>
      </c>
      <c r="K693" s="113">
        <v>45.5</v>
      </c>
    </row>
    <row r="694" spans="2:11" x14ac:dyDescent="0.25">
      <c r="B694" s="202"/>
      <c r="C694" s="113">
        <v>216.73099999999999</v>
      </c>
      <c r="D694" s="113">
        <v>7964</v>
      </c>
      <c r="E694" s="113">
        <v>691</v>
      </c>
      <c r="F694" s="113">
        <v>154</v>
      </c>
      <c r="G694" s="113">
        <v>144.4</v>
      </c>
      <c r="H694" s="113">
        <v>134.4</v>
      </c>
      <c r="I694" s="113">
        <v>13.3</v>
      </c>
      <c r="J694" s="113">
        <v>32.22</v>
      </c>
      <c r="K694" s="113">
        <v>45.9</v>
      </c>
    </row>
    <row r="695" spans="2:11" ht="15.75" thickBot="1" x14ac:dyDescent="0.3">
      <c r="B695" s="203"/>
      <c r="C695" s="113">
        <v>216.756</v>
      </c>
      <c r="D695" s="113">
        <v>7965</v>
      </c>
      <c r="E695" s="113">
        <v>692</v>
      </c>
      <c r="F695" s="113">
        <v>154</v>
      </c>
      <c r="G695" s="113">
        <v>144.6</v>
      </c>
      <c r="H695" s="113">
        <v>134.69999999999999</v>
      </c>
      <c r="I695" s="113">
        <v>13.2</v>
      </c>
      <c r="J695" s="113">
        <v>31.12</v>
      </c>
      <c r="K695" s="113">
        <v>46.7</v>
      </c>
    </row>
    <row r="696" spans="2:11" x14ac:dyDescent="0.25">
      <c r="B696" s="184" t="s">
        <v>190</v>
      </c>
      <c r="C696" s="113">
        <v>216.78</v>
      </c>
      <c r="D696" s="113">
        <v>7966</v>
      </c>
      <c r="E696" s="113">
        <v>693</v>
      </c>
      <c r="F696" s="113">
        <v>155</v>
      </c>
      <c r="G696" s="113">
        <v>145</v>
      </c>
      <c r="H696" s="113">
        <v>135.1</v>
      </c>
      <c r="I696" s="113">
        <v>13.1</v>
      </c>
      <c r="J696" s="113">
        <v>31.65</v>
      </c>
      <c r="K696" s="113">
        <v>47.7</v>
      </c>
    </row>
    <row r="697" spans="2:11" x14ac:dyDescent="0.25">
      <c r="B697" s="185"/>
      <c r="C697" s="113">
        <v>216.80500000000001</v>
      </c>
      <c r="D697" s="113">
        <v>7967</v>
      </c>
      <c r="E697" s="113">
        <v>694</v>
      </c>
      <c r="F697" s="113">
        <v>155</v>
      </c>
      <c r="G697" s="113">
        <v>145.30000000000001</v>
      </c>
      <c r="H697" s="113">
        <v>135.30000000000001</v>
      </c>
      <c r="I697" s="113">
        <v>12.5</v>
      </c>
      <c r="J697" s="113">
        <v>32.67</v>
      </c>
      <c r="K697" s="113">
        <v>48.3</v>
      </c>
    </row>
    <row r="698" spans="2:11" x14ac:dyDescent="0.25">
      <c r="B698" s="185"/>
      <c r="C698" s="113">
        <v>216.83</v>
      </c>
      <c r="D698" s="113">
        <v>7968</v>
      </c>
      <c r="E698" s="113">
        <v>695</v>
      </c>
      <c r="F698" s="113">
        <v>156</v>
      </c>
      <c r="G698" s="113">
        <v>145.6</v>
      </c>
      <c r="H698" s="113">
        <v>135.69999999999999</v>
      </c>
      <c r="I698" s="113">
        <v>11.7</v>
      </c>
      <c r="J698" s="113">
        <v>32.409999999999997</v>
      </c>
      <c r="K698" s="113">
        <v>49</v>
      </c>
    </row>
    <row r="699" spans="2:11" x14ac:dyDescent="0.25">
      <c r="B699" s="185"/>
      <c r="C699" s="113">
        <v>216.85400000000001</v>
      </c>
      <c r="D699" s="113">
        <v>7969</v>
      </c>
      <c r="E699" s="113">
        <v>696</v>
      </c>
      <c r="F699" s="113">
        <v>156</v>
      </c>
      <c r="G699" s="113">
        <v>145.80000000000001</v>
      </c>
      <c r="H699" s="113">
        <v>136</v>
      </c>
      <c r="I699" s="113">
        <v>11.5</v>
      </c>
      <c r="J699" s="113">
        <v>31.18</v>
      </c>
      <c r="K699" s="113">
        <v>49.5</v>
      </c>
    </row>
    <row r="700" spans="2:11" x14ac:dyDescent="0.25">
      <c r="B700" s="185"/>
      <c r="C700" s="113">
        <v>216.87899999999999</v>
      </c>
      <c r="D700" s="113">
        <v>7970</v>
      </c>
      <c r="E700" s="113">
        <v>697</v>
      </c>
      <c r="F700" s="113">
        <v>156</v>
      </c>
      <c r="G700" s="113">
        <v>146</v>
      </c>
      <c r="H700" s="113">
        <v>136.19999999999999</v>
      </c>
      <c r="I700" s="113">
        <v>11.1</v>
      </c>
      <c r="J700" s="113">
        <v>29.54</v>
      </c>
      <c r="K700" s="113">
        <v>49.9</v>
      </c>
    </row>
    <row r="701" spans="2:11" x14ac:dyDescent="0.25">
      <c r="B701" s="185"/>
      <c r="C701" s="113">
        <v>216.904</v>
      </c>
      <c r="D701" s="113">
        <v>7971</v>
      </c>
      <c r="E701" s="113">
        <v>698</v>
      </c>
      <c r="F701" s="113">
        <v>157</v>
      </c>
      <c r="G701" s="113">
        <v>146.1</v>
      </c>
      <c r="H701" s="113">
        <v>136.5</v>
      </c>
      <c r="I701" s="113">
        <v>9.6</v>
      </c>
      <c r="J701" s="113">
        <v>25.72</v>
      </c>
      <c r="K701" s="113">
        <v>48.9</v>
      </c>
    </row>
    <row r="702" spans="2:11" x14ac:dyDescent="0.25">
      <c r="B702" s="185"/>
      <c r="C702" s="113">
        <v>216.928</v>
      </c>
      <c r="D702" s="113">
        <v>7972</v>
      </c>
      <c r="E702" s="113">
        <v>699</v>
      </c>
      <c r="F702" s="113">
        <v>157</v>
      </c>
      <c r="G702" s="113">
        <v>146.1</v>
      </c>
      <c r="H702" s="113">
        <v>136.80000000000001</v>
      </c>
      <c r="I702" s="113">
        <v>8.3000000000000007</v>
      </c>
      <c r="J702" s="113">
        <v>23.69</v>
      </c>
      <c r="K702" s="113">
        <v>47.9</v>
      </c>
    </row>
    <row r="703" spans="2:11" x14ac:dyDescent="0.25">
      <c r="B703" s="185"/>
      <c r="C703" s="113">
        <v>216.952</v>
      </c>
      <c r="D703" s="113">
        <v>7973</v>
      </c>
      <c r="E703" s="113">
        <v>700</v>
      </c>
      <c r="F703" s="113">
        <v>158</v>
      </c>
      <c r="G703" s="113">
        <v>146.5</v>
      </c>
      <c r="H703" s="113">
        <v>137.1</v>
      </c>
      <c r="I703" s="113">
        <v>6.8</v>
      </c>
      <c r="J703" s="113">
        <v>20.27</v>
      </c>
      <c r="K703" s="113">
        <v>46.5</v>
      </c>
    </row>
    <row r="704" spans="2:11" x14ac:dyDescent="0.25">
      <c r="B704" s="185"/>
      <c r="C704" s="113">
        <v>216.977</v>
      </c>
      <c r="D704" s="113">
        <v>7974</v>
      </c>
      <c r="E704" s="113">
        <v>701</v>
      </c>
      <c r="F704" s="113">
        <v>158</v>
      </c>
      <c r="G704" s="113">
        <v>147</v>
      </c>
      <c r="H704" s="113">
        <v>137.30000000000001</v>
      </c>
      <c r="I704" s="113">
        <v>6.3</v>
      </c>
      <c r="J704" s="113">
        <v>19.79</v>
      </c>
      <c r="K704" s="113">
        <v>46.2</v>
      </c>
    </row>
    <row r="705" spans="2:11" x14ac:dyDescent="0.25">
      <c r="B705" s="185"/>
      <c r="C705" s="113">
        <v>217.00200000000001</v>
      </c>
      <c r="D705" s="113">
        <v>7975</v>
      </c>
      <c r="E705" s="113">
        <v>702</v>
      </c>
      <c r="F705" s="113">
        <v>158</v>
      </c>
      <c r="G705" s="113">
        <v>147.69999999999999</v>
      </c>
      <c r="H705" s="113">
        <v>137.6</v>
      </c>
      <c r="I705" s="113">
        <v>6.1</v>
      </c>
      <c r="J705" s="113">
        <v>18.829999999999998</v>
      </c>
      <c r="K705" s="113">
        <v>46.2</v>
      </c>
    </row>
    <row r="706" spans="2:11" x14ac:dyDescent="0.25">
      <c r="B706" s="185"/>
      <c r="C706" s="113">
        <v>217.02600000000001</v>
      </c>
      <c r="D706" s="113">
        <v>7976</v>
      </c>
      <c r="E706" s="113">
        <v>703</v>
      </c>
      <c r="F706" s="113">
        <v>159</v>
      </c>
      <c r="G706" s="113">
        <v>148.1</v>
      </c>
      <c r="H706" s="113">
        <v>137.80000000000001</v>
      </c>
      <c r="I706" s="113">
        <v>6.1</v>
      </c>
      <c r="J706" s="113">
        <v>20.79</v>
      </c>
      <c r="K706" s="113">
        <v>46.2</v>
      </c>
    </row>
    <row r="707" spans="2:11" x14ac:dyDescent="0.25">
      <c r="B707" s="185"/>
      <c r="C707" s="113">
        <v>217.05</v>
      </c>
      <c r="D707" s="113">
        <v>7977</v>
      </c>
      <c r="E707" s="113">
        <v>704</v>
      </c>
      <c r="F707" s="113">
        <v>159</v>
      </c>
      <c r="G707" s="113">
        <v>148.6</v>
      </c>
      <c r="H707" s="113">
        <v>138.19999999999999</v>
      </c>
      <c r="I707" s="113">
        <v>6.1</v>
      </c>
      <c r="J707" s="113">
        <v>21.72</v>
      </c>
      <c r="K707" s="113">
        <v>45.5</v>
      </c>
    </row>
    <row r="708" spans="2:11" x14ac:dyDescent="0.25">
      <c r="B708" s="185"/>
      <c r="C708" s="113">
        <v>217.07400000000001</v>
      </c>
      <c r="D708" s="113">
        <v>7978</v>
      </c>
      <c r="E708" s="113">
        <v>705</v>
      </c>
      <c r="F708" s="113">
        <v>159</v>
      </c>
      <c r="G708" s="113">
        <v>148.9</v>
      </c>
      <c r="H708" s="113">
        <v>138.4</v>
      </c>
      <c r="I708" s="113">
        <v>6.3</v>
      </c>
      <c r="J708" s="113">
        <v>23</v>
      </c>
      <c r="K708" s="113">
        <v>44.7</v>
      </c>
    </row>
    <row r="709" spans="2:11" x14ac:dyDescent="0.25">
      <c r="B709" s="185"/>
      <c r="C709" s="113">
        <v>217.09899999999999</v>
      </c>
      <c r="D709" s="113">
        <v>7979</v>
      </c>
      <c r="E709" s="113">
        <v>706</v>
      </c>
      <c r="F709" s="113">
        <v>159</v>
      </c>
      <c r="G709" s="113">
        <v>149.19999999999999</v>
      </c>
      <c r="H709" s="113">
        <v>138.6</v>
      </c>
      <c r="I709" s="113">
        <v>7.1</v>
      </c>
      <c r="J709" s="113">
        <v>22.13</v>
      </c>
      <c r="K709" s="113">
        <v>43.7</v>
      </c>
    </row>
    <row r="710" spans="2:11" x14ac:dyDescent="0.25">
      <c r="B710" s="185"/>
      <c r="C710" s="113">
        <v>217.12299999999999</v>
      </c>
      <c r="D710" s="113">
        <v>7980</v>
      </c>
      <c r="E710" s="113">
        <v>707</v>
      </c>
      <c r="F710" s="113">
        <v>159</v>
      </c>
      <c r="G710" s="113">
        <v>149.69999999999999</v>
      </c>
      <c r="H710" s="113">
        <v>138.9</v>
      </c>
      <c r="I710" s="113">
        <v>8</v>
      </c>
      <c r="J710" s="113">
        <v>22.53</v>
      </c>
      <c r="K710" s="113">
        <v>41.3</v>
      </c>
    </row>
    <row r="711" spans="2:11" x14ac:dyDescent="0.25">
      <c r="B711" s="185"/>
      <c r="C711" s="113">
        <v>217.14699999999999</v>
      </c>
      <c r="D711" s="113">
        <v>7981</v>
      </c>
      <c r="E711" s="113">
        <v>708</v>
      </c>
      <c r="F711" s="113">
        <v>160</v>
      </c>
      <c r="G711" s="113">
        <v>149.9</v>
      </c>
      <c r="H711" s="113">
        <v>139.1</v>
      </c>
      <c r="I711" s="113">
        <v>8.6</v>
      </c>
      <c r="J711" s="113">
        <v>23.07</v>
      </c>
      <c r="K711" s="113">
        <v>34.6</v>
      </c>
    </row>
    <row r="712" spans="2:11" x14ac:dyDescent="0.25">
      <c r="B712" s="185"/>
      <c r="C712" s="113">
        <v>217.17099999999999</v>
      </c>
      <c r="D712" s="113">
        <v>7982</v>
      </c>
      <c r="E712" s="113">
        <v>709</v>
      </c>
      <c r="F712" s="113">
        <v>160</v>
      </c>
      <c r="G712" s="113">
        <v>150.30000000000001</v>
      </c>
      <c r="H712" s="113">
        <v>139.4</v>
      </c>
      <c r="I712" s="113">
        <v>9.5</v>
      </c>
      <c r="J712" s="113">
        <v>24.2</v>
      </c>
      <c r="K712" s="113">
        <v>24.7</v>
      </c>
    </row>
    <row r="713" spans="2:11" x14ac:dyDescent="0.25">
      <c r="B713" s="185"/>
      <c r="C713" s="113">
        <v>217.19399999999999</v>
      </c>
      <c r="D713" s="113">
        <v>7983</v>
      </c>
      <c r="E713" s="113">
        <v>710</v>
      </c>
      <c r="F713" s="113">
        <v>160</v>
      </c>
      <c r="G713" s="113">
        <v>150.69999999999999</v>
      </c>
      <c r="H713" s="113">
        <v>139.6</v>
      </c>
      <c r="I713" s="113">
        <v>10.1</v>
      </c>
      <c r="J713" s="113">
        <v>23.7</v>
      </c>
      <c r="K713" s="113">
        <v>18.100000000000001</v>
      </c>
    </row>
    <row r="714" spans="2:11" x14ac:dyDescent="0.25">
      <c r="B714" s="185"/>
      <c r="C714" s="113">
        <v>217.21799999999999</v>
      </c>
      <c r="D714" s="113">
        <v>7984</v>
      </c>
      <c r="E714" s="113">
        <v>711</v>
      </c>
      <c r="F714" s="113">
        <v>160</v>
      </c>
      <c r="G714" s="113">
        <v>150.9</v>
      </c>
      <c r="H714" s="113">
        <v>139.80000000000001</v>
      </c>
      <c r="I714" s="113">
        <v>10.199999999999999</v>
      </c>
      <c r="J714" s="113">
        <v>24.77</v>
      </c>
      <c r="K714" s="113">
        <v>19.899999999999999</v>
      </c>
    </row>
    <row r="715" spans="2:11" x14ac:dyDescent="0.25">
      <c r="B715" s="185"/>
      <c r="C715" s="113">
        <v>217.24199999999999</v>
      </c>
      <c r="D715" s="113">
        <v>7985</v>
      </c>
      <c r="E715" s="113">
        <v>712</v>
      </c>
      <c r="F715" s="113">
        <v>161</v>
      </c>
      <c r="G715" s="113">
        <v>151.30000000000001</v>
      </c>
      <c r="H715" s="113">
        <v>140.19999999999999</v>
      </c>
      <c r="I715" s="113">
        <v>10.1</v>
      </c>
      <c r="J715" s="113">
        <v>24.61</v>
      </c>
      <c r="K715" s="113">
        <v>28.5</v>
      </c>
    </row>
    <row r="716" spans="2:11" x14ac:dyDescent="0.25">
      <c r="B716" s="185"/>
      <c r="C716" s="113">
        <v>217.26599999999999</v>
      </c>
      <c r="D716" s="113">
        <v>7986</v>
      </c>
      <c r="E716" s="113">
        <v>713</v>
      </c>
      <c r="F716" s="113">
        <v>162</v>
      </c>
      <c r="G716" s="113">
        <v>151.80000000000001</v>
      </c>
      <c r="H716" s="113">
        <v>140.5</v>
      </c>
      <c r="I716" s="113">
        <v>9.6999999999999993</v>
      </c>
      <c r="J716" s="113">
        <v>22.2</v>
      </c>
      <c r="K716" s="113">
        <v>34.299999999999997</v>
      </c>
    </row>
    <row r="717" spans="2:11" x14ac:dyDescent="0.25">
      <c r="B717" s="185"/>
      <c r="C717" s="113">
        <v>217.28899999999999</v>
      </c>
      <c r="D717" s="113">
        <v>7987</v>
      </c>
      <c r="E717" s="113">
        <v>714</v>
      </c>
      <c r="F717" s="113">
        <v>162</v>
      </c>
      <c r="G717" s="113">
        <v>152.30000000000001</v>
      </c>
      <c r="H717" s="113">
        <v>140.80000000000001</v>
      </c>
      <c r="I717" s="113">
        <v>9.1</v>
      </c>
      <c r="J717" s="113">
        <v>25.7</v>
      </c>
      <c r="K717" s="113">
        <v>39</v>
      </c>
    </row>
    <row r="718" spans="2:11" x14ac:dyDescent="0.25">
      <c r="B718" s="185"/>
      <c r="C718" s="113">
        <v>217.31299999999999</v>
      </c>
      <c r="D718" s="113">
        <v>7988</v>
      </c>
      <c r="E718" s="113">
        <v>715</v>
      </c>
      <c r="F718" s="113">
        <v>164</v>
      </c>
      <c r="G718" s="113">
        <v>153.30000000000001</v>
      </c>
      <c r="H718" s="113">
        <v>141.19999999999999</v>
      </c>
      <c r="I718" s="113">
        <v>8.4</v>
      </c>
      <c r="J718" s="113">
        <v>39.68</v>
      </c>
      <c r="K718" s="113">
        <v>39.6</v>
      </c>
    </row>
    <row r="719" spans="2:11" x14ac:dyDescent="0.25">
      <c r="B719" s="185"/>
      <c r="C719" s="113">
        <v>217.33699999999999</v>
      </c>
      <c r="D719" s="113">
        <v>7989</v>
      </c>
      <c r="E719" s="113">
        <v>716</v>
      </c>
      <c r="F719" s="113">
        <v>163</v>
      </c>
      <c r="G719" s="113">
        <v>153.6</v>
      </c>
      <c r="H719" s="113">
        <v>141.5</v>
      </c>
      <c r="I719" s="113">
        <v>11.5</v>
      </c>
      <c r="J719" s="113">
        <v>36.68</v>
      </c>
      <c r="K719" s="113">
        <v>40</v>
      </c>
    </row>
    <row r="720" spans="2:11" x14ac:dyDescent="0.25">
      <c r="B720" s="185"/>
      <c r="C720" s="113">
        <v>217.36</v>
      </c>
      <c r="D720" s="113">
        <v>7990</v>
      </c>
      <c r="E720" s="113">
        <v>717</v>
      </c>
      <c r="F720" s="113">
        <v>161</v>
      </c>
      <c r="G720" s="113">
        <v>153.80000000000001</v>
      </c>
      <c r="H720" s="113">
        <v>142</v>
      </c>
      <c r="I720" s="113">
        <v>17.100000000000001</v>
      </c>
      <c r="J720" s="113">
        <v>38.409999999999997</v>
      </c>
      <c r="K720" s="113">
        <v>40.5</v>
      </c>
    </row>
    <row r="721" spans="2:11" x14ac:dyDescent="0.25">
      <c r="B721" s="185"/>
      <c r="C721" s="113">
        <v>217.38300000000001</v>
      </c>
      <c r="D721" s="113">
        <v>7991</v>
      </c>
      <c r="E721" s="113">
        <v>718</v>
      </c>
      <c r="F721" s="113">
        <v>162</v>
      </c>
      <c r="G721" s="113">
        <v>153.80000000000001</v>
      </c>
      <c r="H721" s="113">
        <v>142.30000000000001</v>
      </c>
      <c r="I721" s="113">
        <v>17.899999999999999</v>
      </c>
      <c r="J721" s="113">
        <v>40.630000000000003</v>
      </c>
      <c r="K721" s="113">
        <v>40.5</v>
      </c>
    </row>
    <row r="722" spans="2:11" x14ac:dyDescent="0.25">
      <c r="B722" s="185"/>
      <c r="C722" s="113">
        <v>217.40700000000001</v>
      </c>
      <c r="D722" s="113">
        <v>7992</v>
      </c>
      <c r="E722" s="113">
        <v>719</v>
      </c>
      <c r="F722" s="113">
        <v>162</v>
      </c>
      <c r="G722" s="113">
        <v>153.80000000000001</v>
      </c>
      <c r="H722" s="113">
        <v>142.6</v>
      </c>
      <c r="I722" s="113">
        <v>18.600000000000001</v>
      </c>
      <c r="J722" s="113">
        <v>39.630000000000003</v>
      </c>
      <c r="K722" s="113">
        <v>40.5</v>
      </c>
    </row>
    <row r="723" spans="2:11" x14ac:dyDescent="0.25">
      <c r="B723" s="185"/>
      <c r="C723" s="113">
        <v>217.43</v>
      </c>
      <c r="D723" s="113">
        <v>7993</v>
      </c>
      <c r="E723" s="113">
        <v>720</v>
      </c>
      <c r="F723" s="113">
        <v>162</v>
      </c>
      <c r="G723" s="113">
        <v>153.9</v>
      </c>
      <c r="H723" s="113">
        <v>143.1</v>
      </c>
      <c r="I723" s="113">
        <v>19.8</v>
      </c>
      <c r="J723" s="113">
        <v>38.130000000000003</v>
      </c>
      <c r="K723" s="113">
        <v>40.5</v>
      </c>
    </row>
    <row r="724" spans="2:11" x14ac:dyDescent="0.25">
      <c r="B724" s="185"/>
      <c r="C724" s="113">
        <v>217.453</v>
      </c>
      <c r="D724" s="113">
        <v>7994</v>
      </c>
      <c r="E724" s="113">
        <v>721</v>
      </c>
      <c r="F724" s="113">
        <v>163</v>
      </c>
      <c r="G724" s="113">
        <v>153.9</v>
      </c>
      <c r="H724" s="113">
        <v>143.5</v>
      </c>
      <c r="I724" s="113">
        <v>20.100000000000001</v>
      </c>
      <c r="J724" s="113">
        <v>36.61</v>
      </c>
      <c r="K724" s="113">
        <v>41.6</v>
      </c>
    </row>
    <row r="725" spans="2:11" x14ac:dyDescent="0.25">
      <c r="B725" s="185"/>
      <c r="C725" s="113">
        <v>217.477</v>
      </c>
      <c r="D725" s="113">
        <v>7995</v>
      </c>
      <c r="E725" s="113">
        <v>722</v>
      </c>
      <c r="F725" s="113">
        <v>164</v>
      </c>
      <c r="G725" s="113">
        <v>154</v>
      </c>
      <c r="H725" s="113">
        <v>143.80000000000001</v>
      </c>
      <c r="I725" s="113">
        <v>19.100000000000001</v>
      </c>
      <c r="J725" s="113">
        <v>36.47</v>
      </c>
      <c r="K725" s="113">
        <v>43.2</v>
      </c>
    </row>
    <row r="726" spans="2:11" x14ac:dyDescent="0.25">
      <c r="B726" s="185"/>
      <c r="C726" s="113">
        <v>217.5</v>
      </c>
      <c r="D726" s="113">
        <v>7996</v>
      </c>
      <c r="E726" s="113">
        <v>723</v>
      </c>
      <c r="F726" s="113">
        <v>165</v>
      </c>
      <c r="G726" s="113">
        <v>154.6</v>
      </c>
      <c r="H726" s="113">
        <v>144.30000000000001</v>
      </c>
      <c r="I726" s="113">
        <v>17</v>
      </c>
      <c r="J726" s="113">
        <v>34.96</v>
      </c>
      <c r="K726" s="113">
        <v>45.5</v>
      </c>
    </row>
    <row r="727" spans="2:11" x14ac:dyDescent="0.25">
      <c r="B727" s="185"/>
      <c r="C727" s="113">
        <v>217.523</v>
      </c>
      <c r="D727" s="113">
        <v>7997</v>
      </c>
      <c r="E727" s="113">
        <v>724</v>
      </c>
      <c r="F727" s="113">
        <v>165</v>
      </c>
      <c r="G727" s="113">
        <v>155</v>
      </c>
      <c r="H727" s="113">
        <v>144.6</v>
      </c>
      <c r="I727" s="113">
        <v>15.3</v>
      </c>
      <c r="J727" s="113">
        <v>32.75</v>
      </c>
      <c r="K727" s="113">
        <v>47</v>
      </c>
    </row>
    <row r="728" spans="2:11" x14ac:dyDescent="0.25">
      <c r="B728" s="185"/>
      <c r="C728" s="113">
        <v>217.54599999999999</v>
      </c>
      <c r="D728" s="113">
        <v>7998</v>
      </c>
      <c r="E728" s="113">
        <v>725</v>
      </c>
      <c r="F728" s="113">
        <v>166</v>
      </c>
      <c r="G728" s="113">
        <v>155.19999999999999</v>
      </c>
      <c r="H728" s="113">
        <v>145</v>
      </c>
      <c r="I728" s="113">
        <v>13.8</v>
      </c>
      <c r="J728" s="113">
        <v>32.61</v>
      </c>
      <c r="K728" s="113">
        <v>48.1</v>
      </c>
    </row>
    <row r="729" spans="2:11" x14ac:dyDescent="0.25">
      <c r="B729" s="185"/>
      <c r="C729" s="113">
        <v>217.56899999999999</v>
      </c>
      <c r="D729" s="113">
        <v>7999</v>
      </c>
      <c r="E729" s="113">
        <v>726</v>
      </c>
      <c r="F729" s="113">
        <v>166</v>
      </c>
      <c r="G729" s="113">
        <v>155.4</v>
      </c>
      <c r="H729" s="113">
        <v>145.30000000000001</v>
      </c>
      <c r="I729" s="113">
        <v>12.2</v>
      </c>
      <c r="J729" s="113">
        <v>34.65</v>
      </c>
      <c r="K729" s="113">
        <v>49.1</v>
      </c>
    </row>
    <row r="730" spans="2:11" x14ac:dyDescent="0.25">
      <c r="B730" s="185"/>
      <c r="C730" s="113">
        <v>217.59299999999999</v>
      </c>
      <c r="D730" s="113">
        <v>8000</v>
      </c>
      <c r="E730" s="113">
        <v>727</v>
      </c>
      <c r="F730" s="113">
        <v>167</v>
      </c>
      <c r="G730" s="113">
        <v>155.6</v>
      </c>
      <c r="H730" s="113">
        <v>145.80000000000001</v>
      </c>
      <c r="I730" s="113">
        <v>11.8</v>
      </c>
      <c r="J730" s="113">
        <v>31.25</v>
      </c>
      <c r="K730" s="113">
        <v>50.7</v>
      </c>
    </row>
    <row r="731" spans="2:11" x14ac:dyDescent="0.25">
      <c r="B731" s="185"/>
      <c r="C731" s="113">
        <v>217.61600000000001</v>
      </c>
      <c r="D731" s="113">
        <v>8001</v>
      </c>
      <c r="E731" s="113">
        <v>728</v>
      </c>
      <c r="F731" s="113">
        <v>167</v>
      </c>
      <c r="G731" s="113">
        <v>156</v>
      </c>
      <c r="H731" s="113">
        <v>146.19999999999999</v>
      </c>
      <c r="I731" s="113">
        <v>11.6</v>
      </c>
      <c r="J731" s="113">
        <v>27.63</v>
      </c>
      <c r="K731" s="113">
        <v>50.6</v>
      </c>
    </row>
    <row r="732" spans="2:11" x14ac:dyDescent="0.25">
      <c r="B732" s="185"/>
      <c r="C732" s="113">
        <v>217.63900000000001</v>
      </c>
      <c r="D732" s="113">
        <v>8002</v>
      </c>
      <c r="E732" s="113">
        <v>729</v>
      </c>
      <c r="F732" s="113">
        <v>168</v>
      </c>
      <c r="G732" s="113">
        <v>156.30000000000001</v>
      </c>
      <c r="H732" s="113">
        <v>146.5</v>
      </c>
      <c r="I732" s="113">
        <v>10.3</v>
      </c>
      <c r="J732" s="113">
        <v>25.43</v>
      </c>
      <c r="K732" s="113">
        <v>50.1</v>
      </c>
    </row>
    <row r="733" spans="2:11" x14ac:dyDescent="0.25">
      <c r="B733" s="185"/>
      <c r="C733" s="113">
        <v>217.66200000000001</v>
      </c>
      <c r="D733" s="113">
        <v>8003</v>
      </c>
      <c r="E733" s="113">
        <v>730</v>
      </c>
      <c r="F733" s="113">
        <v>169</v>
      </c>
      <c r="G733" s="113">
        <v>157.1</v>
      </c>
      <c r="H733" s="113">
        <v>147</v>
      </c>
      <c r="I733" s="113">
        <v>7.2</v>
      </c>
      <c r="J733" s="113">
        <v>28.46</v>
      </c>
      <c r="K733" s="113">
        <v>49.2</v>
      </c>
    </row>
    <row r="734" spans="2:11" x14ac:dyDescent="0.25">
      <c r="B734" s="185"/>
      <c r="C734" s="113">
        <v>217.684</v>
      </c>
      <c r="D734" s="113">
        <v>8004</v>
      </c>
      <c r="E734" s="113">
        <v>731</v>
      </c>
      <c r="F734" s="113">
        <v>170</v>
      </c>
      <c r="G734" s="113">
        <v>157.6</v>
      </c>
      <c r="H734" s="113">
        <v>147.30000000000001</v>
      </c>
      <c r="I734" s="113">
        <v>7</v>
      </c>
      <c r="J734" s="113">
        <v>25.97</v>
      </c>
      <c r="K734" s="113">
        <v>48.5</v>
      </c>
    </row>
    <row r="735" spans="2:11" x14ac:dyDescent="0.25">
      <c r="B735" s="185"/>
      <c r="C735" s="113">
        <v>217.708</v>
      </c>
      <c r="D735" s="113">
        <v>8005</v>
      </c>
      <c r="E735" s="113">
        <v>732</v>
      </c>
      <c r="F735" s="113">
        <v>169</v>
      </c>
      <c r="G735" s="113">
        <v>157.80000000000001</v>
      </c>
      <c r="H735" s="113">
        <v>147.6</v>
      </c>
      <c r="I735" s="113">
        <v>7.6</v>
      </c>
      <c r="J735" s="113">
        <v>25.75</v>
      </c>
      <c r="K735" s="113">
        <v>47.3</v>
      </c>
    </row>
    <row r="736" spans="2:11" x14ac:dyDescent="0.25">
      <c r="B736" s="185"/>
      <c r="C736" s="113">
        <v>217.73</v>
      </c>
      <c r="D736" s="113">
        <v>8006</v>
      </c>
      <c r="E736" s="113">
        <v>733</v>
      </c>
      <c r="F736" s="113">
        <v>169</v>
      </c>
      <c r="G736" s="113">
        <v>158.19999999999999</v>
      </c>
      <c r="H736" s="113">
        <v>148.1</v>
      </c>
      <c r="I736" s="113">
        <v>9.8000000000000007</v>
      </c>
      <c r="J736" s="113">
        <v>28.6</v>
      </c>
      <c r="K736" s="113">
        <v>45.3</v>
      </c>
    </row>
    <row r="737" spans="2:11" x14ac:dyDescent="0.25">
      <c r="B737" s="185"/>
      <c r="C737" s="113">
        <v>217.75299999999999</v>
      </c>
      <c r="D737" s="113">
        <v>8007</v>
      </c>
      <c r="E737" s="113">
        <v>734</v>
      </c>
      <c r="F737" s="113">
        <v>168</v>
      </c>
      <c r="G737" s="113">
        <v>158.4</v>
      </c>
      <c r="H737" s="113">
        <v>148.4</v>
      </c>
      <c r="I737" s="113">
        <v>11.5</v>
      </c>
      <c r="J737" s="113">
        <v>28.83</v>
      </c>
      <c r="K737" s="113">
        <v>44</v>
      </c>
    </row>
    <row r="738" spans="2:11" x14ac:dyDescent="0.25">
      <c r="B738" s="185"/>
      <c r="C738" s="113">
        <v>217.77600000000001</v>
      </c>
      <c r="D738" s="113">
        <v>8008</v>
      </c>
      <c r="E738" s="113">
        <v>735</v>
      </c>
      <c r="F738" s="113">
        <v>168</v>
      </c>
      <c r="G738" s="113">
        <v>158.4</v>
      </c>
      <c r="H738" s="113">
        <v>148.69999999999999</v>
      </c>
      <c r="I738" s="113">
        <v>13.9</v>
      </c>
      <c r="J738" s="113">
        <v>27.61</v>
      </c>
      <c r="K738" s="113">
        <v>43.6</v>
      </c>
    </row>
    <row r="739" spans="2:11" x14ac:dyDescent="0.25">
      <c r="B739" s="185"/>
      <c r="C739" s="113">
        <v>217.798</v>
      </c>
      <c r="D739" s="113">
        <v>8009</v>
      </c>
      <c r="E739" s="113">
        <v>736</v>
      </c>
      <c r="F739" s="113">
        <v>168</v>
      </c>
      <c r="G739" s="113">
        <v>158.30000000000001</v>
      </c>
      <c r="H739" s="113">
        <v>149</v>
      </c>
      <c r="I739" s="113">
        <v>15.4</v>
      </c>
      <c r="J739" s="113">
        <v>27.38</v>
      </c>
      <c r="K739" s="113">
        <v>43.6</v>
      </c>
    </row>
    <row r="740" spans="2:11" x14ac:dyDescent="0.25">
      <c r="B740" s="185"/>
      <c r="C740" s="113">
        <v>217.821</v>
      </c>
      <c r="D740" s="113">
        <v>8010</v>
      </c>
      <c r="E740" s="113">
        <v>737</v>
      </c>
      <c r="F740" s="113">
        <v>169</v>
      </c>
      <c r="G740" s="113">
        <v>158.19999999999999</v>
      </c>
      <c r="H740" s="113">
        <v>149.5</v>
      </c>
      <c r="I740" s="113">
        <v>16.3</v>
      </c>
      <c r="J740" s="113">
        <v>26.8</v>
      </c>
      <c r="K740" s="113">
        <v>43.6</v>
      </c>
    </row>
    <row r="741" spans="2:11" x14ac:dyDescent="0.25">
      <c r="B741" s="185"/>
      <c r="C741" s="113">
        <v>217.84399999999999</v>
      </c>
      <c r="D741" s="113">
        <v>8011</v>
      </c>
      <c r="E741" s="113">
        <v>738</v>
      </c>
      <c r="F741" s="113">
        <v>169</v>
      </c>
      <c r="G741" s="113">
        <v>158.30000000000001</v>
      </c>
      <c r="H741" s="113">
        <v>149.80000000000001</v>
      </c>
      <c r="I741" s="113">
        <v>16.2</v>
      </c>
      <c r="J741" s="113">
        <v>23.81</v>
      </c>
      <c r="K741" s="113">
        <v>43.8</v>
      </c>
    </row>
    <row r="742" spans="2:11" x14ac:dyDescent="0.25">
      <c r="B742" s="185"/>
      <c r="C742" s="113">
        <v>217.86600000000001</v>
      </c>
      <c r="D742" s="113">
        <v>8012</v>
      </c>
      <c r="E742" s="113">
        <v>739</v>
      </c>
      <c r="F742" s="113">
        <v>170</v>
      </c>
      <c r="G742" s="113">
        <v>158.6</v>
      </c>
      <c r="H742" s="113">
        <v>150</v>
      </c>
      <c r="I742" s="113">
        <v>14.9</v>
      </c>
      <c r="J742" s="113">
        <v>22.08</v>
      </c>
      <c r="K742" s="113">
        <v>44.9</v>
      </c>
    </row>
    <row r="743" spans="2:11" x14ac:dyDescent="0.25">
      <c r="B743" s="185"/>
      <c r="C743" s="113">
        <v>217.88900000000001</v>
      </c>
      <c r="D743" s="113">
        <v>8013</v>
      </c>
      <c r="E743" s="113">
        <v>740</v>
      </c>
      <c r="F743" s="113">
        <v>170</v>
      </c>
      <c r="G743" s="113">
        <v>159</v>
      </c>
      <c r="H743" s="113">
        <v>150.30000000000001</v>
      </c>
      <c r="I743" s="113">
        <v>12.3</v>
      </c>
      <c r="J743" s="113">
        <v>23.1</v>
      </c>
      <c r="K743" s="113">
        <v>45.9</v>
      </c>
    </row>
    <row r="744" spans="2:11" x14ac:dyDescent="0.25">
      <c r="B744" s="185"/>
      <c r="C744" s="113">
        <v>217.911</v>
      </c>
      <c r="D744" s="113">
        <v>8014</v>
      </c>
      <c r="E744" s="113">
        <v>741</v>
      </c>
      <c r="F744" s="113">
        <v>171</v>
      </c>
      <c r="G744" s="113">
        <v>159.6</v>
      </c>
      <c r="H744" s="113">
        <v>150.69999999999999</v>
      </c>
      <c r="I744" s="113">
        <v>9</v>
      </c>
      <c r="J744" s="113">
        <v>22.92</v>
      </c>
      <c r="K744" s="113">
        <v>47.6</v>
      </c>
    </row>
    <row r="745" spans="2:11" x14ac:dyDescent="0.25">
      <c r="B745" s="185"/>
      <c r="C745" s="113">
        <v>217.934</v>
      </c>
      <c r="D745" s="113">
        <v>8015</v>
      </c>
      <c r="E745" s="113">
        <v>742</v>
      </c>
      <c r="F745" s="113">
        <v>171</v>
      </c>
      <c r="G745" s="113">
        <v>159.9</v>
      </c>
      <c r="H745" s="113">
        <v>151</v>
      </c>
      <c r="I745" s="113">
        <v>7.9</v>
      </c>
      <c r="J745" s="113">
        <v>23.22</v>
      </c>
      <c r="K745" s="113">
        <v>48</v>
      </c>
    </row>
    <row r="746" spans="2:11" x14ac:dyDescent="0.25">
      <c r="B746" s="185"/>
      <c r="C746" s="113">
        <v>217.95599999999999</v>
      </c>
      <c r="D746" s="113">
        <v>8016</v>
      </c>
      <c r="E746" s="113">
        <v>743</v>
      </c>
      <c r="F746" s="113">
        <v>171</v>
      </c>
      <c r="G746" s="113">
        <v>160.19999999999999</v>
      </c>
      <c r="H746" s="113">
        <v>151.19999999999999</v>
      </c>
      <c r="I746" s="113">
        <v>7.5</v>
      </c>
      <c r="J746" s="113">
        <v>25.14</v>
      </c>
      <c r="K746" s="113">
        <v>48.1</v>
      </c>
    </row>
    <row r="747" spans="2:11" x14ac:dyDescent="0.25">
      <c r="B747" s="185"/>
      <c r="C747" s="113">
        <v>217.97900000000001</v>
      </c>
      <c r="D747" s="113">
        <v>8017</v>
      </c>
      <c r="E747" s="113">
        <v>744</v>
      </c>
      <c r="F747" s="113">
        <v>171</v>
      </c>
      <c r="G747" s="113">
        <v>160.30000000000001</v>
      </c>
      <c r="H747" s="113">
        <v>151.5</v>
      </c>
      <c r="I747" s="113">
        <v>8.1</v>
      </c>
      <c r="J747" s="113">
        <v>26.4</v>
      </c>
      <c r="K747" s="113">
        <v>48.3</v>
      </c>
    </row>
    <row r="748" spans="2:11" x14ac:dyDescent="0.25">
      <c r="B748" s="185"/>
      <c r="C748" s="113">
        <v>218.001</v>
      </c>
      <c r="D748" s="113">
        <v>8018</v>
      </c>
      <c r="E748" s="113">
        <v>745</v>
      </c>
      <c r="F748" s="113">
        <v>171</v>
      </c>
      <c r="G748" s="113">
        <v>160.30000000000001</v>
      </c>
      <c r="H748" s="113">
        <v>151.9</v>
      </c>
      <c r="I748" s="113">
        <v>10.199999999999999</v>
      </c>
      <c r="J748" s="113">
        <v>24.06</v>
      </c>
      <c r="K748" s="113">
        <v>48.2</v>
      </c>
    </row>
    <row r="749" spans="2:11" x14ac:dyDescent="0.25">
      <c r="B749" s="185"/>
      <c r="C749" s="113">
        <v>218.024</v>
      </c>
      <c r="D749" s="113">
        <v>8019</v>
      </c>
      <c r="E749" s="113">
        <v>746</v>
      </c>
      <c r="F749" s="113">
        <v>171</v>
      </c>
      <c r="G749" s="113">
        <v>160.19999999999999</v>
      </c>
      <c r="H749" s="113">
        <v>152.1</v>
      </c>
      <c r="I749" s="113">
        <v>11.2</v>
      </c>
      <c r="J749" s="113">
        <v>21.98</v>
      </c>
      <c r="K749" s="113">
        <v>46.4</v>
      </c>
    </row>
    <row r="750" spans="2:11" x14ac:dyDescent="0.25">
      <c r="B750" s="185"/>
      <c r="C750" s="113">
        <v>218.04599999999999</v>
      </c>
      <c r="D750" s="113">
        <v>8020</v>
      </c>
      <c r="E750" s="113">
        <v>747</v>
      </c>
      <c r="F750" s="113">
        <v>171</v>
      </c>
      <c r="G750" s="113">
        <v>160.1</v>
      </c>
      <c r="H750" s="113">
        <v>152.30000000000001</v>
      </c>
      <c r="I750" s="113">
        <v>10.7</v>
      </c>
      <c r="J750" s="113">
        <v>20.57</v>
      </c>
      <c r="K750" s="113">
        <v>44.6</v>
      </c>
    </row>
    <row r="751" spans="2:11" x14ac:dyDescent="0.25">
      <c r="B751" s="185"/>
      <c r="C751" s="113">
        <v>218.06899999999999</v>
      </c>
      <c r="D751" s="113">
        <v>8021</v>
      </c>
      <c r="E751" s="113">
        <v>748</v>
      </c>
      <c r="F751" s="113">
        <v>171</v>
      </c>
      <c r="G751" s="113">
        <v>160.5</v>
      </c>
      <c r="H751" s="113">
        <v>152.6</v>
      </c>
      <c r="I751" s="113">
        <v>10</v>
      </c>
      <c r="J751" s="113">
        <v>16.93</v>
      </c>
      <c r="K751" s="113">
        <v>42.8</v>
      </c>
    </row>
    <row r="752" spans="2:11" x14ac:dyDescent="0.25">
      <c r="B752" s="185"/>
      <c r="C752" s="113">
        <v>218.09100000000001</v>
      </c>
      <c r="D752" s="113">
        <v>8022</v>
      </c>
      <c r="E752" s="113">
        <v>749</v>
      </c>
      <c r="F752" s="113">
        <v>171</v>
      </c>
      <c r="G752" s="113">
        <v>160.9</v>
      </c>
      <c r="H752" s="113">
        <v>152.9</v>
      </c>
      <c r="I752" s="113">
        <v>7.5</v>
      </c>
      <c r="J752" s="113">
        <v>19.55</v>
      </c>
      <c r="K752" s="113">
        <v>37.299999999999997</v>
      </c>
    </row>
    <row r="753" spans="2:11" x14ac:dyDescent="0.25">
      <c r="B753" s="185"/>
      <c r="C753" s="113">
        <v>218.113</v>
      </c>
      <c r="D753" s="113">
        <v>8023</v>
      </c>
      <c r="E753" s="113">
        <v>750</v>
      </c>
      <c r="F753" s="113">
        <v>171</v>
      </c>
      <c r="G753" s="113">
        <v>161.1</v>
      </c>
      <c r="H753" s="113">
        <v>153.1</v>
      </c>
      <c r="I753" s="113">
        <v>7</v>
      </c>
      <c r="J753" s="113">
        <v>22.11</v>
      </c>
      <c r="K753" s="113">
        <v>31.6</v>
      </c>
    </row>
    <row r="754" spans="2:11" x14ac:dyDescent="0.25">
      <c r="B754" s="185"/>
      <c r="C754" s="113">
        <v>218.136</v>
      </c>
      <c r="D754" s="113">
        <v>8024</v>
      </c>
      <c r="E754" s="113">
        <v>751</v>
      </c>
      <c r="F754" s="113">
        <v>170</v>
      </c>
      <c r="G754" s="113">
        <v>161.19999999999999</v>
      </c>
      <c r="H754" s="113">
        <v>153.30000000000001</v>
      </c>
      <c r="I754" s="113">
        <v>6.9</v>
      </c>
      <c r="J754" s="113">
        <v>23.33</v>
      </c>
      <c r="K754" s="113">
        <v>25.9</v>
      </c>
    </row>
    <row r="755" spans="2:11" x14ac:dyDescent="0.25">
      <c r="B755" s="185"/>
      <c r="C755" s="113">
        <v>218.15700000000001</v>
      </c>
      <c r="D755" s="113">
        <v>8025</v>
      </c>
      <c r="E755" s="113">
        <v>752</v>
      </c>
      <c r="F755" s="113">
        <v>169</v>
      </c>
      <c r="G755" s="113">
        <v>161.5</v>
      </c>
      <c r="H755" s="113">
        <v>153.4</v>
      </c>
      <c r="I755" s="113">
        <v>8</v>
      </c>
      <c r="J755" s="113">
        <v>22.69</v>
      </c>
      <c r="K755" s="113">
        <v>20.100000000000001</v>
      </c>
    </row>
    <row r="756" spans="2:11" x14ac:dyDescent="0.25">
      <c r="B756" s="185"/>
      <c r="C756" s="113">
        <v>218.18</v>
      </c>
      <c r="D756" s="113">
        <v>8026</v>
      </c>
      <c r="E756" s="113">
        <v>753</v>
      </c>
      <c r="F756" s="113">
        <v>169</v>
      </c>
      <c r="G756" s="113">
        <v>161.6</v>
      </c>
      <c r="H756" s="113">
        <v>153.6</v>
      </c>
      <c r="I756" s="113">
        <v>8</v>
      </c>
      <c r="J756" s="113">
        <v>23.59</v>
      </c>
      <c r="K756" s="113">
        <v>18.3</v>
      </c>
    </row>
    <row r="757" spans="2:11" x14ac:dyDescent="0.25">
      <c r="B757" s="185"/>
      <c r="C757" s="113">
        <v>218.202</v>
      </c>
      <c r="D757" s="113">
        <v>8027</v>
      </c>
      <c r="E757" s="113">
        <v>754</v>
      </c>
      <c r="F757" s="113">
        <v>169</v>
      </c>
      <c r="G757" s="113">
        <v>161.6</v>
      </c>
      <c r="H757" s="113">
        <v>153.69999999999999</v>
      </c>
      <c r="I757" s="113">
        <v>7.9</v>
      </c>
      <c r="J757" s="113">
        <v>23.24</v>
      </c>
      <c r="K757" s="113">
        <v>18.3</v>
      </c>
    </row>
    <row r="758" spans="2:11" x14ac:dyDescent="0.25">
      <c r="B758" s="185"/>
      <c r="C758" s="113">
        <v>218.22399999999999</v>
      </c>
      <c r="D758" s="113">
        <v>8028</v>
      </c>
      <c r="E758" s="113">
        <v>755</v>
      </c>
      <c r="F758" s="113">
        <v>168</v>
      </c>
      <c r="G758" s="113">
        <v>161.6</v>
      </c>
      <c r="H758" s="113">
        <v>153.9</v>
      </c>
      <c r="I758" s="113">
        <v>7.7</v>
      </c>
      <c r="J758" s="113">
        <v>23.2</v>
      </c>
      <c r="K758" s="113">
        <v>18.3</v>
      </c>
    </row>
    <row r="759" spans="2:11" x14ac:dyDescent="0.25">
      <c r="B759" s="185"/>
      <c r="C759" s="113">
        <v>218.24700000000001</v>
      </c>
      <c r="D759" s="113">
        <v>8029</v>
      </c>
      <c r="E759" s="113">
        <v>756</v>
      </c>
      <c r="F759" s="113">
        <v>167</v>
      </c>
      <c r="G759" s="113">
        <v>161.6</v>
      </c>
      <c r="H759" s="113">
        <v>154</v>
      </c>
      <c r="I759" s="113">
        <v>8.1999999999999993</v>
      </c>
      <c r="J759" s="113">
        <v>24.08</v>
      </c>
      <c r="K759" s="113">
        <v>19.600000000000001</v>
      </c>
    </row>
    <row r="760" spans="2:11" x14ac:dyDescent="0.25">
      <c r="B760" s="185"/>
      <c r="C760" s="113">
        <v>218.26900000000001</v>
      </c>
      <c r="D760" s="113">
        <v>8030</v>
      </c>
      <c r="E760" s="113">
        <v>757</v>
      </c>
      <c r="F760" s="113">
        <v>166</v>
      </c>
      <c r="G760" s="113">
        <v>161.6</v>
      </c>
      <c r="H760" s="113">
        <v>154.1</v>
      </c>
      <c r="I760" s="113">
        <v>8.1999999999999993</v>
      </c>
      <c r="J760" s="113">
        <v>28.78</v>
      </c>
      <c r="K760" s="113">
        <v>26.6</v>
      </c>
    </row>
    <row r="761" spans="2:11" x14ac:dyDescent="0.25">
      <c r="B761" s="185"/>
      <c r="C761" s="113">
        <v>218.291</v>
      </c>
      <c r="D761" s="113">
        <v>8031</v>
      </c>
      <c r="E761" s="113">
        <v>758</v>
      </c>
      <c r="F761" s="113">
        <v>166</v>
      </c>
      <c r="G761" s="113">
        <v>161.6</v>
      </c>
      <c r="H761" s="113">
        <v>154.19999999999999</v>
      </c>
      <c r="I761" s="113">
        <v>8.9</v>
      </c>
      <c r="J761" s="113">
        <v>35.14</v>
      </c>
      <c r="K761" s="113">
        <v>37.1</v>
      </c>
    </row>
    <row r="762" spans="2:11" x14ac:dyDescent="0.25">
      <c r="B762" s="185"/>
      <c r="C762" s="113">
        <v>218.31299999999999</v>
      </c>
      <c r="D762" s="113">
        <v>8032</v>
      </c>
      <c r="E762" s="113">
        <v>759</v>
      </c>
      <c r="F762" s="113">
        <v>165</v>
      </c>
      <c r="G762" s="113">
        <v>161.6</v>
      </c>
      <c r="H762" s="113">
        <v>154.30000000000001</v>
      </c>
      <c r="I762" s="113">
        <v>10.1</v>
      </c>
      <c r="J762" s="113">
        <v>37.409999999999997</v>
      </c>
      <c r="K762" s="113">
        <v>44</v>
      </c>
    </row>
    <row r="763" spans="2:11" x14ac:dyDescent="0.25">
      <c r="B763" s="185"/>
      <c r="C763" s="113">
        <v>218.33600000000001</v>
      </c>
      <c r="D763" s="113">
        <v>8033</v>
      </c>
      <c r="E763" s="113">
        <v>760</v>
      </c>
      <c r="F763" s="113">
        <v>165</v>
      </c>
      <c r="G763" s="113">
        <v>161.5</v>
      </c>
      <c r="H763" s="113">
        <v>154.30000000000001</v>
      </c>
      <c r="I763" s="113">
        <v>11.1</v>
      </c>
      <c r="J763" s="113">
        <v>39.630000000000003</v>
      </c>
      <c r="K763" s="113">
        <v>45.5</v>
      </c>
    </row>
    <row r="764" spans="2:11" x14ac:dyDescent="0.25">
      <c r="B764" s="185"/>
      <c r="C764" s="113">
        <v>218.357</v>
      </c>
      <c r="D764" s="113">
        <v>8034</v>
      </c>
      <c r="E764" s="113">
        <v>761</v>
      </c>
      <c r="F764" s="113">
        <v>164</v>
      </c>
      <c r="G764" s="113">
        <v>161.4</v>
      </c>
      <c r="H764" s="113">
        <v>154.30000000000001</v>
      </c>
      <c r="I764" s="113">
        <v>11.1</v>
      </c>
      <c r="J764" s="113">
        <v>45.19</v>
      </c>
      <c r="K764" s="113">
        <v>44.5</v>
      </c>
    </row>
    <row r="765" spans="2:11" x14ac:dyDescent="0.25">
      <c r="B765" s="185"/>
      <c r="C765" s="113">
        <v>218.38</v>
      </c>
      <c r="D765" s="113">
        <v>8035</v>
      </c>
      <c r="E765" s="113">
        <v>762</v>
      </c>
      <c r="F765" s="113">
        <v>163</v>
      </c>
      <c r="G765" s="113">
        <v>161.1</v>
      </c>
      <c r="H765" s="113">
        <v>154.30000000000001</v>
      </c>
      <c r="I765" s="113">
        <v>11.5</v>
      </c>
      <c r="J765" s="113">
        <v>44</v>
      </c>
      <c r="K765" s="113">
        <v>42.9</v>
      </c>
    </row>
    <row r="766" spans="2:11" x14ac:dyDescent="0.25">
      <c r="B766" s="185"/>
      <c r="C766" s="113">
        <v>218.40299999999999</v>
      </c>
      <c r="D766" s="113">
        <v>8036</v>
      </c>
      <c r="E766" s="113">
        <v>763</v>
      </c>
      <c r="F766" s="113">
        <v>162</v>
      </c>
      <c r="G766" s="113">
        <v>160.80000000000001</v>
      </c>
      <c r="H766" s="113">
        <v>154.30000000000001</v>
      </c>
      <c r="I766" s="113">
        <v>11.6</v>
      </c>
      <c r="J766" s="113">
        <v>44.57</v>
      </c>
      <c r="K766" s="113">
        <v>41.8</v>
      </c>
    </row>
    <row r="767" spans="2:11" x14ac:dyDescent="0.25">
      <c r="B767" s="185"/>
      <c r="C767" s="113">
        <v>218.42400000000001</v>
      </c>
      <c r="D767" s="113">
        <v>8037</v>
      </c>
      <c r="E767" s="113">
        <v>764</v>
      </c>
      <c r="F767" s="113">
        <v>159</v>
      </c>
      <c r="G767" s="113">
        <v>160.19999999999999</v>
      </c>
      <c r="H767" s="113">
        <v>154.30000000000001</v>
      </c>
      <c r="I767" s="113">
        <v>10.7</v>
      </c>
      <c r="J767" s="113">
        <v>45.41</v>
      </c>
      <c r="K767" s="113">
        <v>40.200000000000003</v>
      </c>
    </row>
    <row r="768" spans="2:11" x14ac:dyDescent="0.25">
      <c r="B768" s="185"/>
      <c r="C768" s="113">
        <v>218.447</v>
      </c>
      <c r="D768" s="113">
        <v>8038</v>
      </c>
      <c r="E768" s="113">
        <v>765</v>
      </c>
      <c r="F768" s="113">
        <v>157</v>
      </c>
      <c r="G768" s="113">
        <v>159.69999999999999</v>
      </c>
      <c r="H768" s="113">
        <v>154.19999999999999</v>
      </c>
      <c r="I768" s="113">
        <v>10.4</v>
      </c>
      <c r="J768" s="113">
        <v>45.23</v>
      </c>
      <c r="K768" s="113">
        <v>38.700000000000003</v>
      </c>
    </row>
    <row r="769" spans="2:11" x14ac:dyDescent="0.25">
      <c r="B769" s="185"/>
      <c r="C769" s="113">
        <v>218.46899999999999</v>
      </c>
      <c r="D769" s="113">
        <v>8039</v>
      </c>
      <c r="E769" s="113">
        <v>766</v>
      </c>
      <c r="F769" s="113">
        <v>156</v>
      </c>
      <c r="G769" s="113">
        <v>159.30000000000001</v>
      </c>
      <c r="H769" s="113">
        <v>154</v>
      </c>
      <c r="I769" s="113">
        <v>8.8000000000000007</v>
      </c>
      <c r="J769" s="113">
        <v>47.23</v>
      </c>
      <c r="K769" s="113">
        <v>37.1</v>
      </c>
    </row>
    <row r="770" spans="2:11" x14ac:dyDescent="0.25">
      <c r="B770" s="185"/>
      <c r="C770" s="113">
        <v>218.49199999999999</v>
      </c>
      <c r="D770" s="113">
        <v>8040</v>
      </c>
      <c r="E770" s="113">
        <v>767</v>
      </c>
      <c r="F770" s="113">
        <v>156</v>
      </c>
      <c r="G770" s="113">
        <v>158.80000000000001</v>
      </c>
      <c r="H770" s="113">
        <v>153.80000000000001</v>
      </c>
      <c r="I770" s="113">
        <v>7.8</v>
      </c>
      <c r="J770" s="113">
        <v>49.46</v>
      </c>
      <c r="K770" s="113">
        <v>35.6</v>
      </c>
    </row>
    <row r="771" spans="2:11" x14ac:dyDescent="0.25">
      <c r="B771" s="185"/>
      <c r="C771" s="113">
        <v>218.51400000000001</v>
      </c>
      <c r="D771" s="113">
        <v>8041</v>
      </c>
      <c r="E771" s="113">
        <v>768</v>
      </c>
      <c r="F771" s="113">
        <v>155</v>
      </c>
      <c r="G771" s="113">
        <v>158.4</v>
      </c>
      <c r="H771" s="113">
        <v>153.6</v>
      </c>
      <c r="I771" s="113">
        <v>7.3</v>
      </c>
      <c r="J771" s="113">
        <v>51.83</v>
      </c>
      <c r="K771" s="113">
        <v>35.299999999999997</v>
      </c>
    </row>
    <row r="772" spans="2:11" x14ac:dyDescent="0.25">
      <c r="B772" s="185"/>
      <c r="C772" s="113">
        <v>218.53700000000001</v>
      </c>
      <c r="D772" s="113">
        <v>8042</v>
      </c>
      <c r="E772" s="113">
        <v>769</v>
      </c>
      <c r="F772" s="113">
        <v>155</v>
      </c>
      <c r="G772" s="113">
        <v>158</v>
      </c>
      <c r="H772" s="113">
        <v>153.4</v>
      </c>
      <c r="I772" s="113">
        <v>6.8</v>
      </c>
      <c r="J772" s="113">
        <v>55.29</v>
      </c>
      <c r="K772" s="113">
        <v>34.9</v>
      </c>
    </row>
    <row r="773" spans="2:11" x14ac:dyDescent="0.25">
      <c r="B773" s="185"/>
      <c r="C773" s="113">
        <v>218.56</v>
      </c>
      <c r="D773" s="113">
        <v>8043</v>
      </c>
      <c r="E773" s="113">
        <v>770</v>
      </c>
      <c r="F773" s="113">
        <v>155</v>
      </c>
      <c r="G773" s="113">
        <v>157.5</v>
      </c>
      <c r="H773" s="113">
        <v>153</v>
      </c>
      <c r="I773" s="113">
        <v>6.6</v>
      </c>
      <c r="J773" s="113">
        <v>57.54</v>
      </c>
      <c r="K773" s="113">
        <v>34.5</v>
      </c>
    </row>
    <row r="774" spans="2:11" x14ac:dyDescent="0.25">
      <c r="B774" s="185"/>
      <c r="C774" s="113">
        <v>218.583</v>
      </c>
      <c r="D774" s="113">
        <v>8044</v>
      </c>
      <c r="E774" s="113">
        <v>771</v>
      </c>
      <c r="F774" s="113">
        <v>154</v>
      </c>
      <c r="G774" s="113">
        <v>156.69999999999999</v>
      </c>
      <c r="H774" s="113">
        <v>152.80000000000001</v>
      </c>
      <c r="I774" s="113">
        <v>6.4</v>
      </c>
      <c r="J774" s="113">
        <v>58.71</v>
      </c>
      <c r="K774" s="113">
        <v>34.5</v>
      </c>
    </row>
    <row r="775" spans="2:11" x14ac:dyDescent="0.25">
      <c r="B775" s="185"/>
      <c r="C775" s="113">
        <v>218.60599999999999</v>
      </c>
      <c r="D775" s="113">
        <v>8045</v>
      </c>
      <c r="E775" s="113">
        <v>772</v>
      </c>
      <c r="F775" s="113">
        <v>154</v>
      </c>
      <c r="G775" s="113">
        <v>156.1</v>
      </c>
      <c r="H775" s="113">
        <v>152.5</v>
      </c>
      <c r="I775" s="113">
        <v>6.4</v>
      </c>
      <c r="J775" s="113">
        <v>63.29</v>
      </c>
      <c r="K775" s="113">
        <v>34.5</v>
      </c>
    </row>
    <row r="776" spans="2:11" x14ac:dyDescent="0.25">
      <c r="B776" s="185"/>
      <c r="C776" s="113">
        <v>218.62799999999999</v>
      </c>
      <c r="D776" s="113">
        <v>8046</v>
      </c>
      <c r="E776" s="113">
        <v>773</v>
      </c>
      <c r="F776" s="113">
        <v>154</v>
      </c>
      <c r="G776" s="113">
        <v>156</v>
      </c>
      <c r="H776" s="113">
        <v>152.19999999999999</v>
      </c>
      <c r="I776" s="113">
        <v>6.3</v>
      </c>
      <c r="J776" s="113">
        <v>62.51</v>
      </c>
      <c r="K776" s="113">
        <v>34.5</v>
      </c>
    </row>
    <row r="777" spans="2:11" x14ac:dyDescent="0.25">
      <c r="B777" s="185"/>
      <c r="C777" s="113">
        <v>218.65100000000001</v>
      </c>
      <c r="D777" s="113">
        <v>8047</v>
      </c>
      <c r="E777" s="113">
        <v>774</v>
      </c>
      <c r="F777" s="113">
        <v>154</v>
      </c>
      <c r="G777" s="113">
        <v>155.6</v>
      </c>
      <c r="H777" s="113">
        <v>151.69999999999999</v>
      </c>
      <c r="I777" s="113">
        <v>6.1</v>
      </c>
      <c r="J777" s="113">
        <v>64.87</v>
      </c>
      <c r="K777" s="113">
        <v>34.700000000000003</v>
      </c>
    </row>
    <row r="778" spans="2:11" x14ac:dyDescent="0.25">
      <c r="B778" s="185"/>
      <c r="C778" s="113">
        <v>218.67400000000001</v>
      </c>
      <c r="D778" s="113">
        <v>8048</v>
      </c>
      <c r="E778" s="113">
        <v>775</v>
      </c>
      <c r="F778" s="113">
        <v>153</v>
      </c>
      <c r="G778" s="113">
        <v>155.19999999999999</v>
      </c>
      <c r="H778" s="113">
        <v>151.30000000000001</v>
      </c>
      <c r="I778" s="113">
        <v>4.5999999999999996</v>
      </c>
      <c r="J778" s="113">
        <v>67.61</v>
      </c>
      <c r="K778" s="113">
        <v>35.1</v>
      </c>
    </row>
    <row r="779" spans="2:11" x14ac:dyDescent="0.25">
      <c r="B779" s="185"/>
      <c r="C779" s="113">
        <v>218.697</v>
      </c>
      <c r="D779" s="113">
        <v>8049</v>
      </c>
      <c r="E779" s="113">
        <v>776</v>
      </c>
      <c r="F779" s="113">
        <v>153</v>
      </c>
      <c r="G779" s="113">
        <v>154.6</v>
      </c>
      <c r="H779" s="113">
        <v>150.9</v>
      </c>
      <c r="I779" s="113">
        <v>4.5</v>
      </c>
      <c r="J779" s="113">
        <v>67.150000000000006</v>
      </c>
      <c r="K779" s="113">
        <v>35.4</v>
      </c>
    </row>
    <row r="780" spans="2:11" x14ac:dyDescent="0.25">
      <c r="B780" s="185"/>
      <c r="C780" s="113">
        <v>218.721</v>
      </c>
      <c r="D780" s="113">
        <v>8050</v>
      </c>
      <c r="E780" s="113">
        <v>777</v>
      </c>
      <c r="F780" s="113">
        <v>152</v>
      </c>
      <c r="G780" s="113">
        <v>153.6</v>
      </c>
      <c r="H780" s="113">
        <v>150.4</v>
      </c>
      <c r="I780" s="113">
        <v>5.6</v>
      </c>
      <c r="J780" s="113">
        <v>71.040000000000006</v>
      </c>
      <c r="K780" s="113">
        <v>35.700000000000003</v>
      </c>
    </row>
    <row r="781" spans="2:11" x14ac:dyDescent="0.25">
      <c r="B781" s="185"/>
      <c r="C781" s="113">
        <v>218.744</v>
      </c>
      <c r="D781" s="113">
        <v>8051</v>
      </c>
      <c r="E781" s="113">
        <v>778</v>
      </c>
      <c r="F781" s="113">
        <v>151</v>
      </c>
      <c r="G781" s="113">
        <v>153.1</v>
      </c>
      <c r="H781" s="113">
        <v>149.9</v>
      </c>
      <c r="I781" s="113">
        <v>5.9</v>
      </c>
      <c r="J781" s="113">
        <v>73.17</v>
      </c>
      <c r="K781" s="113">
        <v>35.1</v>
      </c>
    </row>
    <row r="782" spans="2:11" x14ac:dyDescent="0.25">
      <c r="B782" s="185"/>
      <c r="C782" s="113">
        <v>218.768</v>
      </c>
      <c r="D782" s="113">
        <v>8052</v>
      </c>
      <c r="E782" s="113">
        <v>779</v>
      </c>
      <c r="F782" s="113">
        <v>151</v>
      </c>
      <c r="G782" s="113">
        <v>152.6</v>
      </c>
      <c r="H782" s="113">
        <v>149.5</v>
      </c>
      <c r="I782" s="113">
        <v>6.7</v>
      </c>
      <c r="J782" s="113">
        <v>74.05</v>
      </c>
      <c r="K782" s="113">
        <v>34.6</v>
      </c>
    </row>
    <row r="783" spans="2:11" x14ac:dyDescent="0.25">
      <c r="B783" s="185"/>
      <c r="C783" s="113">
        <v>218.791</v>
      </c>
      <c r="D783" s="113">
        <v>8053</v>
      </c>
      <c r="E783" s="113">
        <v>780</v>
      </c>
      <c r="F783" s="113">
        <v>151</v>
      </c>
      <c r="G783" s="113">
        <v>151.69999999999999</v>
      </c>
      <c r="H783" s="113">
        <v>148.69999999999999</v>
      </c>
      <c r="I783" s="113">
        <v>6.6</v>
      </c>
      <c r="J783" s="113">
        <v>79.78</v>
      </c>
      <c r="K783" s="113">
        <v>33.799999999999997</v>
      </c>
    </row>
    <row r="784" spans="2:11" x14ac:dyDescent="0.25">
      <c r="B784" s="185"/>
      <c r="C784" s="113">
        <v>218.81399999999999</v>
      </c>
      <c r="D784" s="113">
        <v>8054</v>
      </c>
      <c r="E784" s="113">
        <v>781</v>
      </c>
      <c r="F784" s="113">
        <v>151</v>
      </c>
      <c r="G784" s="113">
        <v>150.80000000000001</v>
      </c>
      <c r="H784" s="113">
        <v>148.30000000000001</v>
      </c>
      <c r="I784" s="113">
        <v>6.8</v>
      </c>
      <c r="J784" s="113">
        <v>79.900000000000006</v>
      </c>
      <c r="K784" s="113">
        <v>33.9</v>
      </c>
    </row>
    <row r="785" spans="2:11" x14ac:dyDescent="0.25">
      <c r="B785" s="185"/>
      <c r="C785" s="113">
        <v>218.83799999999999</v>
      </c>
      <c r="D785" s="113">
        <v>8055</v>
      </c>
      <c r="E785" s="113">
        <v>782</v>
      </c>
      <c r="F785" s="113">
        <v>150</v>
      </c>
      <c r="G785" s="113">
        <v>150</v>
      </c>
      <c r="H785" s="113">
        <v>147.80000000000001</v>
      </c>
      <c r="I785" s="113">
        <v>7.7</v>
      </c>
      <c r="J785" s="113">
        <v>80.38</v>
      </c>
      <c r="K785" s="113">
        <v>34.299999999999997</v>
      </c>
    </row>
    <row r="786" spans="2:11" x14ac:dyDescent="0.25">
      <c r="B786" s="185"/>
      <c r="C786" s="113">
        <v>218.86199999999999</v>
      </c>
      <c r="D786" s="113">
        <v>8056</v>
      </c>
      <c r="E786" s="113">
        <v>783</v>
      </c>
      <c r="F786" s="113">
        <v>149</v>
      </c>
      <c r="G786" s="113">
        <v>149.30000000000001</v>
      </c>
      <c r="H786" s="113">
        <v>147.1</v>
      </c>
      <c r="I786" s="113">
        <v>7.3</v>
      </c>
      <c r="J786" s="113">
        <v>78.709999999999994</v>
      </c>
      <c r="K786" s="113">
        <v>35</v>
      </c>
    </row>
    <row r="787" spans="2:11" x14ac:dyDescent="0.25">
      <c r="B787" s="185"/>
      <c r="C787" s="113">
        <v>218.886</v>
      </c>
      <c r="D787" s="113">
        <v>8057</v>
      </c>
      <c r="E787" s="113">
        <v>784</v>
      </c>
      <c r="F787" s="113">
        <v>149</v>
      </c>
      <c r="G787" s="113">
        <v>149</v>
      </c>
      <c r="H787" s="113">
        <v>146.69999999999999</v>
      </c>
      <c r="I787" s="113">
        <v>5.8</v>
      </c>
      <c r="J787" s="113">
        <v>77.72</v>
      </c>
      <c r="K787" s="113">
        <v>35.6</v>
      </c>
    </row>
    <row r="788" spans="2:11" x14ac:dyDescent="0.25">
      <c r="B788" s="185"/>
      <c r="C788" s="113">
        <v>218.91</v>
      </c>
      <c r="D788" s="113">
        <v>8058</v>
      </c>
      <c r="E788" s="113">
        <v>785</v>
      </c>
      <c r="F788" s="113">
        <v>147</v>
      </c>
      <c r="G788" s="113">
        <v>148.4</v>
      </c>
      <c r="H788" s="113">
        <v>146.1</v>
      </c>
      <c r="I788" s="113">
        <v>3.3</v>
      </c>
      <c r="J788" s="113">
        <v>76.150000000000006</v>
      </c>
      <c r="K788" s="113">
        <v>37.1</v>
      </c>
    </row>
    <row r="789" spans="2:11" x14ac:dyDescent="0.25">
      <c r="B789" s="185"/>
      <c r="C789" s="113">
        <v>218.934</v>
      </c>
      <c r="D789" s="113">
        <v>8059</v>
      </c>
      <c r="E789" s="113">
        <v>786</v>
      </c>
      <c r="F789" s="113">
        <v>147</v>
      </c>
      <c r="G789" s="113">
        <v>148</v>
      </c>
      <c r="H789" s="113">
        <v>145.6</v>
      </c>
      <c r="I789" s="113">
        <v>2.9</v>
      </c>
      <c r="J789" s="113">
        <v>75.09</v>
      </c>
      <c r="K789" s="113">
        <v>38</v>
      </c>
    </row>
    <row r="790" spans="2:11" x14ac:dyDescent="0.25">
      <c r="B790" s="185"/>
      <c r="C790" s="113">
        <v>218.959</v>
      </c>
      <c r="D790" s="113">
        <v>8060</v>
      </c>
      <c r="E790" s="113">
        <v>787</v>
      </c>
      <c r="F790" s="113">
        <v>146</v>
      </c>
      <c r="G790" s="113">
        <v>147.69999999999999</v>
      </c>
      <c r="H790" s="113">
        <v>145.1</v>
      </c>
      <c r="I790" s="113">
        <v>2.5</v>
      </c>
      <c r="J790" s="113">
        <v>74.63</v>
      </c>
      <c r="K790" s="113">
        <v>39</v>
      </c>
    </row>
    <row r="791" spans="2:11" x14ac:dyDescent="0.25">
      <c r="B791" s="185"/>
      <c r="C791" s="113">
        <v>218.983</v>
      </c>
      <c r="D791" s="113">
        <v>8061</v>
      </c>
      <c r="E791" s="113">
        <v>788</v>
      </c>
      <c r="F791" s="113">
        <v>145</v>
      </c>
      <c r="G791" s="113">
        <v>147</v>
      </c>
      <c r="H791" s="113">
        <v>144.4</v>
      </c>
      <c r="I791" s="113">
        <v>2.2999999999999998</v>
      </c>
      <c r="J791" s="113">
        <v>73.83</v>
      </c>
      <c r="K791" s="113">
        <v>39.299999999999997</v>
      </c>
    </row>
    <row r="792" spans="2:11" x14ac:dyDescent="0.25">
      <c r="B792" s="185"/>
      <c r="C792" s="113">
        <v>219.00700000000001</v>
      </c>
      <c r="D792" s="113">
        <v>8062</v>
      </c>
      <c r="E792" s="113">
        <v>789</v>
      </c>
      <c r="F792" s="113">
        <v>144</v>
      </c>
      <c r="G792" s="113">
        <v>146.4</v>
      </c>
      <c r="H792" s="113">
        <v>143.9</v>
      </c>
      <c r="I792" s="113">
        <v>2.2999999999999998</v>
      </c>
      <c r="J792" s="113">
        <v>74.069999999999993</v>
      </c>
      <c r="K792" s="113">
        <v>39.299999999999997</v>
      </c>
    </row>
    <row r="793" spans="2:11" x14ac:dyDescent="0.25">
      <c r="B793" s="185"/>
      <c r="C793" s="113">
        <v>219.03200000000001</v>
      </c>
      <c r="D793" s="113">
        <v>8063</v>
      </c>
      <c r="E793" s="113">
        <v>790</v>
      </c>
      <c r="F793" s="113">
        <v>143</v>
      </c>
      <c r="G793" s="113">
        <v>145.80000000000001</v>
      </c>
      <c r="H793" s="113">
        <v>143.19999999999999</v>
      </c>
      <c r="I793" s="113">
        <v>2.5</v>
      </c>
      <c r="J793" s="113">
        <v>73.489999999999995</v>
      </c>
      <c r="K793" s="113">
        <v>39.299999999999997</v>
      </c>
    </row>
    <row r="794" spans="2:11" x14ac:dyDescent="0.25">
      <c r="B794" s="185"/>
      <c r="C794" s="113">
        <v>219.05600000000001</v>
      </c>
      <c r="D794" s="113">
        <v>8064</v>
      </c>
      <c r="E794" s="113">
        <v>791</v>
      </c>
      <c r="F794" s="113">
        <v>143</v>
      </c>
      <c r="G794" s="113">
        <v>145.30000000000001</v>
      </c>
      <c r="H794" s="113">
        <v>142.6</v>
      </c>
      <c r="I794" s="113">
        <v>2.6</v>
      </c>
      <c r="J794" s="113">
        <v>73.42</v>
      </c>
      <c r="K794" s="113">
        <v>38</v>
      </c>
    </row>
    <row r="795" spans="2:11" x14ac:dyDescent="0.25">
      <c r="B795" s="185"/>
      <c r="C795" s="113">
        <v>219.08099999999999</v>
      </c>
      <c r="D795" s="113">
        <v>8065</v>
      </c>
      <c r="E795" s="113">
        <v>792</v>
      </c>
      <c r="F795" s="113">
        <v>142</v>
      </c>
      <c r="G795" s="113">
        <v>144.69999999999999</v>
      </c>
      <c r="H795" s="113">
        <v>141.80000000000001</v>
      </c>
      <c r="I795" s="113">
        <v>2.6</v>
      </c>
      <c r="J795" s="113">
        <v>73.900000000000006</v>
      </c>
      <c r="K795" s="113">
        <v>35.1</v>
      </c>
    </row>
    <row r="796" spans="2:11" x14ac:dyDescent="0.25">
      <c r="B796" s="185"/>
      <c r="C796" s="113">
        <v>219.10599999999999</v>
      </c>
      <c r="D796" s="113">
        <v>8066</v>
      </c>
      <c r="E796" s="113">
        <v>793</v>
      </c>
      <c r="F796" s="113">
        <v>142</v>
      </c>
      <c r="G796" s="113">
        <v>144.4</v>
      </c>
      <c r="H796" s="113">
        <v>141.19999999999999</v>
      </c>
      <c r="I796" s="113">
        <v>2.7</v>
      </c>
      <c r="J796" s="113">
        <v>75.14</v>
      </c>
      <c r="K796" s="113">
        <v>33.1</v>
      </c>
    </row>
    <row r="797" spans="2:11" x14ac:dyDescent="0.25">
      <c r="B797" s="185"/>
      <c r="C797" s="113">
        <v>219.131</v>
      </c>
      <c r="D797" s="113">
        <v>8067</v>
      </c>
      <c r="E797" s="113">
        <v>794</v>
      </c>
      <c r="F797" s="113">
        <v>142</v>
      </c>
      <c r="G797" s="113">
        <v>143.80000000000001</v>
      </c>
      <c r="H797" s="113">
        <v>140.4</v>
      </c>
      <c r="I797" s="113">
        <v>4.0999999999999996</v>
      </c>
      <c r="J797" s="113">
        <v>75.63</v>
      </c>
      <c r="K797" s="113">
        <v>28.5</v>
      </c>
    </row>
    <row r="798" spans="2:11" x14ac:dyDescent="0.25">
      <c r="B798" s="185"/>
      <c r="C798" s="113">
        <v>219.15600000000001</v>
      </c>
      <c r="D798" s="113">
        <v>8068</v>
      </c>
      <c r="E798" s="113">
        <v>795</v>
      </c>
      <c r="F798" s="113">
        <v>141</v>
      </c>
      <c r="G798" s="113">
        <v>143.4</v>
      </c>
      <c r="H798" s="113">
        <v>139.80000000000001</v>
      </c>
      <c r="I798" s="113">
        <v>4.2</v>
      </c>
      <c r="J798" s="113">
        <v>79.290000000000006</v>
      </c>
      <c r="K798" s="113">
        <v>24</v>
      </c>
    </row>
    <row r="799" spans="2:11" x14ac:dyDescent="0.25">
      <c r="B799" s="185"/>
      <c r="C799" s="113">
        <v>219.18100000000001</v>
      </c>
      <c r="D799" s="113">
        <v>8069</v>
      </c>
      <c r="E799" s="113">
        <v>796</v>
      </c>
      <c r="F799" s="113">
        <v>141</v>
      </c>
      <c r="G799" s="113">
        <v>143.1</v>
      </c>
      <c r="H799" s="113">
        <v>139</v>
      </c>
      <c r="I799" s="113">
        <v>4.5</v>
      </c>
      <c r="J799" s="113">
        <v>78.790000000000006</v>
      </c>
      <c r="K799" s="113">
        <v>17.3</v>
      </c>
    </row>
    <row r="800" spans="2:11" x14ac:dyDescent="0.25">
      <c r="B800" s="185"/>
      <c r="C800" s="113">
        <v>219.20599999999999</v>
      </c>
      <c r="D800" s="113">
        <v>8070</v>
      </c>
      <c r="E800" s="113">
        <v>797</v>
      </c>
      <c r="F800" s="113">
        <v>141</v>
      </c>
      <c r="G800" s="113">
        <v>142.9</v>
      </c>
      <c r="H800" s="113">
        <v>138.4</v>
      </c>
      <c r="I800" s="113">
        <v>5.0999999999999996</v>
      </c>
      <c r="J800" s="113">
        <v>78.84</v>
      </c>
      <c r="K800" s="113">
        <v>14.9</v>
      </c>
    </row>
    <row r="801" spans="2:11" x14ac:dyDescent="0.25">
      <c r="B801" s="185"/>
      <c r="C801" s="113">
        <v>219.23099999999999</v>
      </c>
      <c r="D801" s="113">
        <v>8071</v>
      </c>
      <c r="E801" s="113">
        <v>798</v>
      </c>
      <c r="F801" s="113">
        <v>141</v>
      </c>
      <c r="G801" s="113">
        <v>142.19999999999999</v>
      </c>
      <c r="H801" s="113">
        <v>137.6</v>
      </c>
      <c r="I801" s="113">
        <v>5.0999999999999996</v>
      </c>
      <c r="J801" s="113">
        <v>78.53</v>
      </c>
      <c r="K801" s="113">
        <v>25.5</v>
      </c>
    </row>
    <row r="802" spans="2:11" x14ac:dyDescent="0.25">
      <c r="B802" s="185"/>
      <c r="C802" s="113">
        <v>219.256</v>
      </c>
      <c r="D802" s="113">
        <v>8072</v>
      </c>
      <c r="E802" s="113">
        <v>799</v>
      </c>
      <c r="F802" s="113">
        <v>141</v>
      </c>
      <c r="G802" s="113">
        <v>141.9</v>
      </c>
      <c r="H802" s="113">
        <v>136.9</v>
      </c>
      <c r="I802" s="113">
        <v>5.0999999999999996</v>
      </c>
      <c r="J802" s="113">
        <v>78.12</v>
      </c>
      <c r="K802" s="113">
        <v>32.5</v>
      </c>
    </row>
    <row r="803" spans="2:11" x14ac:dyDescent="0.25">
      <c r="B803" s="185"/>
      <c r="C803" s="113">
        <v>219.28100000000001</v>
      </c>
      <c r="D803" s="113">
        <v>8073</v>
      </c>
      <c r="E803" s="113">
        <v>800</v>
      </c>
      <c r="F803" s="113">
        <v>140</v>
      </c>
      <c r="G803" s="113">
        <v>141.5</v>
      </c>
      <c r="H803" s="113">
        <v>136</v>
      </c>
      <c r="I803" s="113">
        <v>5.2</v>
      </c>
      <c r="J803" s="113">
        <v>76.739999999999995</v>
      </c>
      <c r="K803" s="113">
        <v>41.8</v>
      </c>
    </row>
    <row r="804" spans="2:11" x14ac:dyDescent="0.25">
      <c r="B804" s="185"/>
      <c r="C804" s="113">
        <v>219.30699999999999</v>
      </c>
      <c r="D804" s="113">
        <v>8074</v>
      </c>
      <c r="E804" s="113">
        <v>801</v>
      </c>
      <c r="F804" s="113">
        <v>140</v>
      </c>
      <c r="G804" s="113">
        <v>141</v>
      </c>
      <c r="H804" s="113">
        <v>135.4</v>
      </c>
      <c r="I804" s="113">
        <v>5.4</v>
      </c>
      <c r="J804" s="113">
        <v>76.75</v>
      </c>
      <c r="K804" s="113">
        <v>42</v>
      </c>
    </row>
    <row r="805" spans="2:11" x14ac:dyDescent="0.25">
      <c r="B805" s="185"/>
      <c r="C805" s="113">
        <v>219.33199999999999</v>
      </c>
      <c r="D805" s="113">
        <v>8075</v>
      </c>
      <c r="E805" s="113">
        <v>802</v>
      </c>
      <c r="F805" s="113">
        <v>140</v>
      </c>
      <c r="G805" s="113">
        <v>140.5</v>
      </c>
      <c r="H805" s="113">
        <v>134.5</v>
      </c>
      <c r="I805" s="113">
        <v>5.5</v>
      </c>
      <c r="J805" s="113">
        <v>74.540000000000006</v>
      </c>
      <c r="K805" s="113">
        <v>42.3</v>
      </c>
    </row>
    <row r="806" spans="2:11" x14ac:dyDescent="0.25">
      <c r="B806" s="185"/>
      <c r="C806" s="113">
        <v>219.357</v>
      </c>
      <c r="D806" s="113">
        <v>8076</v>
      </c>
      <c r="E806" s="113">
        <v>803</v>
      </c>
      <c r="F806" s="113">
        <v>139</v>
      </c>
      <c r="G806" s="113">
        <v>140.4</v>
      </c>
      <c r="H806" s="113">
        <v>133.9</v>
      </c>
      <c r="I806" s="113">
        <v>5.7</v>
      </c>
      <c r="J806" s="113">
        <v>73.62</v>
      </c>
      <c r="K806" s="113">
        <v>42.5</v>
      </c>
    </row>
    <row r="807" spans="2:11" x14ac:dyDescent="0.25">
      <c r="B807" s="185"/>
      <c r="C807" s="113">
        <v>219.38300000000001</v>
      </c>
      <c r="D807" s="113">
        <v>8077</v>
      </c>
      <c r="E807" s="113">
        <v>804</v>
      </c>
      <c r="F807" s="113">
        <v>138</v>
      </c>
      <c r="G807" s="113">
        <v>139.5</v>
      </c>
      <c r="H807" s="113">
        <v>133.1</v>
      </c>
      <c r="I807" s="113">
        <v>5.3</v>
      </c>
      <c r="J807" s="113">
        <v>73.02</v>
      </c>
      <c r="K807" s="113">
        <v>42.5</v>
      </c>
    </row>
    <row r="808" spans="2:11" x14ac:dyDescent="0.25">
      <c r="B808" s="185"/>
      <c r="C808" s="113">
        <v>219.40899999999999</v>
      </c>
      <c r="D808" s="113">
        <v>8078</v>
      </c>
      <c r="E808" s="113">
        <v>805</v>
      </c>
      <c r="F808" s="113">
        <v>138</v>
      </c>
      <c r="G808" s="113">
        <v>139</v>
      </c>
      <c r="H808" s="113">
        <v>132.5</v>
      </c>
      <c r="I808" s="113">
        <v>5.4</v>
      </c>
      <c r="J808" s="113">
        <v>70.209999999999994</v>
      </c>
      <c r="K808" s="113">
        <v>42.5</v>
      </c>
    </row>
    <row r="809" spans="2:11" x14ac:dyDescent="0.25">
      <c r="B809" s="185"/>
      <c r="C809" s="113">
        <v>219.434</v>
      </c>
      <c r="D809" s="113">
        <v>8079</v>
      </c>
      <c r="E809" s="113">
        <v>806</v>
      </c>
      <c r="F809" s="113">
        <v>137</v>
      </c>
      <c r="G809" s="113">
        <v>138.6</v>
      </c>
      <c r="H809" s="113">
        <v>131.69999999999999</v>
      </c>
      <c r="I809" s="113">
        <v>5.6</v>
      </c>
      <c r="J809" s="113">
        <v>67.55</v>
      </c>
      <c r="K809" s="113">
        <v>42.5</v>
      </c>
    </row>
    <row r="810" spans="2:11" x14ac:dyDescent="0.25">
      <c r="B810" s="185"/>
      <c r="C810" s="113">
        <v>219.46100000000001</v>
      </c>
      <c r="D810" s="113">
        <v>8080</v>
      </c>
      <c r="E810" s="113">
        <v>807</v>
      </c>
      <c r="F810" s="113">
        <v>137</v>
      </c>
      <c r="G810" s="113">
        <v>138.1</v>
      </c>
      <c r="H810" s="113">
        <v>131</v>
      </c>
      <c r="I810" s="113">
        <v>4.8</v>
      </c>
      <c r="J810" s="113">
        <v>68.900000000000006</v>
      </c>
      <c r="K810" s="113">
        <v>42.6</v>
      </c>
    </row>
    <row r="811" spans="2:11" x14ac:dyDescent="0.25">
      <c r="B811" s="185"/>
      <c r="C811" s="113">
        <v>219.48599999999999</v>
      </c>
      <c r="D811" s="113">
        <v>8081</v>
      </c>
      <c r="E811" s="113">
        <v>808</v>
      </c>
      <c r="F811" s="113">
        <v>137</v>
      </c>
      <c r="G811" s="113">
        <v>137.69999999999999</v>
      </c>
      <c r="H811" s="113">
        <v>130.5</v>
      </c>
      <c r="I811" s="113">
        <v>4.7</v>
      </c>
      <c r="J811" s="113">
        <v>67.239999999999995</v>
      </c>
      <c r="K811" s="113">
        <v>42.7</v>
      </c>
    </row>
    <row r="812" spans="2:11" x14ac:dyDescent="0.25">
      <c r="B812" s="185"/>
      <c r="C812" s="113">
        <v>219.512</v>
      </c>
      <c r="D812" s="113">
        <v>8082</v>
      </c>
      <c r="E812" s="113">
        <v>809</v>
      </c>
      <c r="F812" s="113">
        <v>136</v>
      </c>
      <c r="G812" s="113">
        <v>137.19999999999999</v>
      </c>
      <c r="H812" s="113">
        <v>129.80000000000001</v>
      </c>
      <c r="I812" s="113">
        <v>5.5</v>
      </c>
      <c r="J812" s="113">
        <v>77.75</v>
      </c>
      <c r="K812" s="113">
        <v>42.9</v>
      </c>
    </row>
    <row r="813" spans="2:11" x14ac:dyDescent="0.25">
      <c r="B813" s="185"/>
      <c r="C813" s="113">
        <v>219.53899999999999</v>
      </c>
      <c r="D813" s="113">
        <v>8083</v>
      </c>
      <c r="E813" s="113">
        <v>810</v>
      </c>
      <c r="F813" s="113">
        <v>136</v>
      </c>
      <c r="G813" s="113">
        <v>136.80000000000001</v>
      </c>
      <c r="H813" s="113">
        <v>129.30000000000001</v>
      </c>
      <c r="I813" s="113">
        <v>5.8</v>
      </c>
      <c r="J813" s="113">
        <v>75.83</v>
      </c>
      <c r="K813" s="113">
        <v>42.3</v>
      </c>
    </row>
    <row r="814" spans="2:11" x14ac:dyDescent="0.25">
      <c r="B814" s="185"/>
      <c r="C814" s="113">
        <v>219.565</v>
      </c>
      <c r="D814" s="113">
        <v>8084</v>
      </c>
      <c r="E814" s="113">
        <v>811</v>
      </c>
      <c r="F814" s="113">
        <v>136</v>
      </c>
      <c r="G814" s="113">
        <v>136.19999999999999</v>
      </c>
      <c r="H814" s="113">
        <v>128.69999999999999</v>
      </c>
      <c r="I814" s="113">
        <v>10.1</v>
      </c>
      <c r="J814" s="113">
        <v>76.540000000000006</v>
      </c>
      <c r="K814" s="113">
        <v>40.9</v>
      </c>
    </row>
    <row r="815" spans="2:11" x14ac:dyDescent="0.25">
      <c r="B815" s="185"/>
      <c r="C815" s="113">
        <v>219.59100000000001</v>
      </c>
      <c r="D815" s="113">
        <v>8085</v>
      </c>
      <c r="E815" s="113">
        <v>812</v>
      </c>
      <c r="F815" s="113">
        <v>135</v>
      </c>
      <c r="G815" s="113">
        <v>135.19999999999999</v>
      </c>
      <c r="H815" s="113">
        <v>128.1</v>
      </c>
      <c r="I815" s="113">
        <v>8.6999999999999993</v>
      </c>
      <c r="J815" s="113">
        <v>75.3</v>
      </c>
      <c r="K815" s="113">
        <v>39.5</v>
      </c>
    </row>
    <row r="816" spans="2:11" x14ac:dyDescent="0.25">
      <c r="B816" s="185"/>
      <c r="C816" s="113">
        <v>219.61799999999999</v>
      </c>
      <c r="D816" s="113">
        <v>8086</v>
      </c>
      <c r="E816" s="113">
        <v>813</v>
      </c>
      <c r="F816" s="113">
        <v>135</v>
      </c>
      <c r="G816" s="113">
        <v>135</v>
      </c>
      <c r="H816" s="113">
        <v>127.6</v>
      </c>
      <c r="I816" s="113">
        <v>9.1</v>
      </c>
      <c r="J816" s="113">
        <v>72.319999999999993</v>
      </c>
      <c r="K816" s="113">
        <v>40.700000000000003</v>
      </c>
    </row>
    <row r="817" spans="2:11" x14ac:dyDescent="0.25">
      <c r="B817" s="185"/>
      <c r="C817" s="113">
        <v>219.64400000000001</v>
      </c>
      <c r="D817" s="113">
        <v>8087</v>
      </c>
      <c r="E817" s="113">
        <v>814</v>
      </c>
      <c r="F817" s="113">
        <v>135</v>
      </c>
      <c r="G817" s="113">
        <v>134.9</v>
      </c>
      <c r="H817" s="113">
        <v>127</v>
      </c>
      <c r="I817" s="113">
        <v>7.3</v>
      </c>
      <c r="J817" s="113">
        <v>72.319999999999993</v>
      </c>
      <c r="K817" s="113">
        <v>43.9</v>
      </c>
    </row>
    <row r="818" spans="2:11" x14ac:dyDescent="0.25">
      <c r="B818" s="185"/>
      <c r="C818" s="113">
        <v>219.67099999999999</v>
      </c>
      <c r="D818" s="113">
        <v>8088</v>
      </c>
      <c r="E818" s="113">
        <v>815</v>
      </c>
      <c r="F818" s="113">
        <v>134</v>
      </c>
      <c r="G818" s="113">
        <v>134.5</v>
      </c>
      <c r="H818" s="113">
        <v>126.4</v>
      </c>
      <c r="I818" s="113">
        <v>6.8</v>
      </c>
      <c r="J818" s="113">
        <v>70.89</v>
      </c>
      <c r="K818" s="113">
        <v>46.9</v>
      </c>
    </row>
    <row r="819" spans="2:11" x14ac:dyDescent="0.25">
      <c r="B819" s="185"/>
      <c r="C819" s="113">
        <v>219.697</v>
      </c>
      <c r="D819" s="113">
        <v>8089</v>
      </c>
      <c r="E819" s="113">
        <v>816</v>
      </c>
      <c r="F819" s="113">
        <v>134</v>
      </c>
      <c r="G819" s="113">
        <v>134.1</v>
      </c>
      <c r="H819" s="113">
        <v>126</v>
      </c>
      <c r="I819" s="113">
        <v>6.4</v>
      </c>
      <c r="J819" s="113">
        <v>75.680000000000007</v>
      </c>
      <c r="K819" s="113">
        <v>47.2</v>
      </c>
    </row>
    <row r="820" spans="2:11" x14ac:dyDescent="0.25">
      <c r="B820" s="185"/>
      <c r="C820" s="113">
        <v>219.72399999999999</v>
      </c>
      <c r="D820" s="113">
        <v>8090</v>
      </c>
      <c r="E820" s="113">
        <v>817</v>
      </c>
      <c r="F820" s="113">
        <v>134</v>
      </c>
      <c r="G820" s="113">
        <v>133.5</v>
      </c>
      <c r="H820" s="113">
        <v>125.3</v>
      </c>
      <c r="I820" s="113">
        <v>7.3</v>
      </c>
      <c r="J820" s="113">
        <v>77.290000000000006</v>
      </c>
      <c r="K820" s="113">
        <v>46.5</v>
      </c>
    </row>
    <row r="821" spans="2:11" x14ac:dyDescent="0.25">
      <c r="B821" s="185"/>
      <c r="C821" s="113">
        <v>219.751</v>
      </c>
      <c r="D821" s="113">
        <v>8091</v>
      </c>
      <c r="E821" s="113">
        <v>818</v>
      </c>
      <c r="F821" s="113">
        <v>133</v>
      </c>
      <c r="G821" s="113">
        <v>132.5</v>
      </c>
      <c r="H821" s="113">
        <v>124.7</v>
      </c>
      <c r="I821" s="113">
        <v>9.6</v>
      </c>
      <c r="J821" s="113">
        <v>82.68</v>
      </c>
      <c r="K821" s="113">
        <v>45.7</v>
      </c>
    </row>
    <row r="822" spans="2:11" x14ac:dyDescent="0.25">
      <c r="B822" s="185"/>
      <c r="C822" s="113">
        <v>219.77799999999999</v>
      </c>
      <c r="D822" s="113">
        <v>8092</v>
      </c>
      <c r="E822" s="113">
        <v>819</v>
      </c>
      <c r="F822" s="113">
        <v>133</v>
      </c>
      <c r="G822" s="113">
        <v>132.19999999999999</v>
      </c>
      <c r="H822" s="113">
        <v>124.3</v>
      </c>
      <c r="I822" s="113">
        <v>10.1</v>
      </c>
      <c r="J822" s="113">
        <v>83</v>
      </c>
      <c r="K822" s="113">
        <v>45.5</v>
      </c>
    </row>
    <row r="823" spans="2:11" x14ac:dyDescent="0.25">
      <c r="B823" s="185"/>
      <c r="C823" s="113">
        <v>219.80600000000001</v>
      </c>
      <c r="D823" s="113">
        <v>8093</v>
      </c>
      <c r="E823" s="113">
        <v>820</v>
      </c>
      <c r="F823" s="113">
        <v>133</v>
      </c>
      <c r="G823" s="113">
        <v>131.80000000000001</v>
      </c>
      <c r="H823" s="113">
        <v>123.7</v>
      </c>
      <c r="I823" s="113">
        <v>11.1</v>
      </c>
      <c r="J823" s="113">
        <v>80.92</v>
      </c>
      <c r="K823" s="113">
        <v>45.5</v>
      </c>
    </row>
    <row r="824" spans="2:11" x14ac:dyDescent="0.25">
      <c r="B824" s="185"/>
      <c r="C824" s="113">
        <v>219.833</v>
      </c>
      <c r="D824" s="113">
        <v>8094</v>
      </c>
      <c r="E824" s="113">
        <v>821</v>
      </c>
      <c r="F824" s="113">
        <v>132</v>
      </c>
      <c r="G824" s="113">
        <v>131.30000000000001</v>
      </c>
      <c r="H824" s="113">
        <v>123.1</v>
      </c>
      <c r="I824" s="113">
        <v>10.1</v>
      </c>
      <c r="J824" s="113">
        <v>80.92</v>
      </c>
      <c r="K824" s="113">
        <v>45.5</v>
      </c>
    </row>
    <row r="825" spans="2:11" x14ac:dyDescent="0.25">
      <c r="B825" s="185"/>
      <c r="C825" s="113">
        <v>219.86</v>
      </c>
      <c r="D825" s="113">
        <v>8095</v>
      </c>
      <c r="E825" s="113">
        <v>822</v>
      </c>
      <c r="F825" s="113">
        <v>131</v>
      </c>
      <c r="G825" s="113">
        <v>131.30000000000001</v>
      </c>
      <c r="H825" s="113">
        <v>122.6</v>
      </c>
      <c r="I825" s="113">
        <v>9.1</v>
      </c>
      <c r="J825" s="113">
        <v>78.67</v>
      </c>
      <c r="K825" s="113">
        <v>45.9</v>
      </c>
    </row>
    <row r="826" spans="2:11" x14ac:dyDescent="0.25">
      <c r="B826" s="185"/>
      <c r="C826" s="113">
        <v>219.887</v>
      </c>
      <c r="D826" s="113">
        <v>8096</v>
      </c>
      <c r="E826" s="113">
        <v>823</v>
      </c>
      <c r="F826" s="113">
        <v>131</v>
      </c>
      <c r="G826" s="113">
        <v>131.30000000000001</v>
      </c>
      <c r="H826" s="113">
        <v>122.3</v>
      </c>
      <c r="I826" s="113">
        <v>9.1</v>
      </c>
      <c r="J826" s="113">
        <v>78.2</v>
      </c>
      <c r="K826" s="113">
        <v>46.2</v>
      </c>
    </row>
    <row r="827" spans="2:11" x14ac:dyDescent="0.25">
      <c r="B827" s="185"/>
      <c r="C827" s="113">
        <v>219.91399999999999</v>
      </c>
      <c r="D827" s="113">
        <v>8097</v>
      </c>
      <c r="E827" s="113">
        <v>824</v>
      </c>
      <c r="F827" s="113">
        <v>131</v>
      </c>
      <c r="G827" s="113">
        <v>130.80000000000001</v>
      </c>
      <c r="H827" s="113">
        <v>121.8</v>
      </c>
      <c r="I827" s="113">
        <v>8.6999999999999993</v>
      </c>
      <c r="J827" s="113">
        <v>77.8</v>
      </c>
      <c r="K827" s="113">
        <v>46.7</v>
      </c>
    </row>
    <row r="828" spans="2:11" x14ac:dyDescent="0.25">
      <c r="B828" s="185"/>
      <c r="C828" s="113">
        <v>219.94200000000001</v>
      </c>
      <c r="D828" s="113">
        <v>8098</v>
      </c>
      <c r="E828" s="113">
        <v>825</v>
      </c>
      <c r="F828" s="113">
        <v>130</v>
      </c>
      <c r="G828" s="113">
        <v>130.30000000000001</v>
      </c>
      <c r="H828" s="113">
        <v>121.3</v>
      </c>
      <c r="I828" s="113">
        <v>9</v>
      </c>
      <c r="J828" s="113">
        <v>76</v>
      </c>
      <c r="K828" s="113">
        <v>46.3</v>
      </c>
    </row>
    <row r="829" spans="2:11" ht="15.75" thickBot="1" x14ac:dyDescent="0.3">
      <c r="B829" s="186"/>
      <c r="C829" s="113">
        <v>219.96899999999999</v>
      </c>
      <c r="D829" s="113">
        <v>8099</v>
      </c>
      <c r="E829" s="113">
        <v>826</v>
      </c>
      <c r="F829" s="113">
        <v>130</v>
      </c>
      <c r="G829" s="113">
        <v>130.1</v>
      </c>
      <c r="H829" s="113">
        <v>121</v>
      </c>
      <c r="I829" s="113">
        <v>9</v>
      </c>
      <c r="J829" s="113">
        <v>75.86</v>
      </c>
      <c r="K829" s="113">
        <v>45.9</v>
      </c>
    </row>
    <row r="830" spans="2:11" x14ac:dyDescent="0.25">
      <c r="B830" s="201" t="s">
        <v>188</v>
      </c>
      <c r="C830" s="113">
        <v>219.99700000000001</v>
      </c>
      <c r="D830" s="113">
        <v>8100</v>
      </c>
      <c r="E830" s="113">
        <v>827</v>
      </c>
      <c r="F830" s="113">
        <v>130</v>
      </c>
      <c r="G830" s="113">
        <v>130.1</v>
      </c>
      <c r="H830" s="113">
        <v>120.5</v>
      </c>
      <c r="I830" s="113">
        <v>10.1</v>
      </c>
      <c r="J830" s="113">
        <v>72.650000000000006</v>
      </c>
      <c r="K830" s="113">
        <v>45.3</v>
      </c>
    </row>
    <row r="831" spans="2:11" x14ac:dyDescent="0.25">
      <c r="B831" s="202"/>
      <c r="C831" s="113">
        <v>220.02500000000001</v>
      </c>
      <c r="D831" s="113">
        <v>8101</v>
      </c>
      <c r="E831" s="113">
        <v>828</v>
      </c>
      <c r="F831" s="113">
        <v>129</v>
      </c>
      <c r="G831" s="113">
        <v>129.9</v>
      </c>
      <c r="H831" s="113">
        <v>120.1</v>
      </c>
      <c r="I831" s="113">
        <v>10.7</v>
      </c>
      <c r="J831" s="113">
        <v>74.31</v>
      </c>
      <c r="K831" s="113">
        <v>45.6</v>
      </c>
    </row>
    <row r="832" spans="2:11" x14ac:dyDescent="0.25">
      <c r="B832" s="202"/>
      <c r="C832" s="113">
        <v>220.053</v>
      </c>
      <c r="D832" s="113">
        <v>8102</v>
      </c>
      <c r="E832" s="113">
        <v>829</v>
      </c>
      <c r="F832" s="113">
        <v>129</v>
      </c>
      <c r="G832" s="113">
        <v>129.5</v>
      </c>
      <c r="H832" s="113">
        <v>119.6</v>
      </c>
      <c r="I832" s="113">
        <v>11.6</v>
      </c>
      <c r="J832" s="113">
        <v>73.64</v>
      </c>
      <c r="K832" s="113">
        <v>46.3</v>
      </c>
    </row>
    <row r="833" spans="2:11" x14ac:dyDescent="0.25">
      <c r="B833" s="202"/>
      <c r="C833" s="113">
        <v>220.08</v>
      </c>
      <c r="D833" s="113">
        <v>8103</v>
      </c>
      <c r="E833" s="113">
        <v>830</v>
      </c>
      <c r="F833" s="113">
        <v>129</v>
      </c>
      <c r="G833" s="113">
        <v>129.1</v>
      </c>
      <c r="H833" s="113">
        <v>119.1</v>
      </c>
      <c r="I833" s="113">
        <v>13.7</v>
      </c>
      <c r="J833" s="113">
        <v>73.8</v>
      </c>
      <c r="K833" s="113">
        <v>45.5</v>
      </c>
    </row>
    <row r="834" spans="2:11" x14ac:dyDescent="0.25">
      <c r="B834" s="202"/>
      <c r="C834" s="113">
        <v>220.108</v>
      </c>
      <c r="D834" s="113">
        <v>8104</v>
      </c>
      <c r="E834" s="113">
        <v>831</v>
      </c>
      <c r="F834" s="113">
        <v>129</v>
      </c>
      <c r="G834" s="113">
        <v>128.80000000000001</v>
      </c>
      <c r="H834" s="113">
        <v>118.8</v>
      </c>
      <c r="I834" s="113">
        <v>14</v>
      </c>
      <c r="J834" s="113">
        <v>74.02</v>
      </c>
      <c r="K834" s="113">
        <v>38.9</v>
      </c>
    </row>
    <row r="835" spans="2:11" x14ac:dyDescent="0.25">
      <c r="B835" s="202"/>
      <c r="C835" s="113">
        <v>220.136</v>
      </c>
      <c r="D835" s="113">
        <v>8105</v>
      </c>
      <c r="E835" s="113">
        <v>832</v>
      </c>
      <c r="F835" s="113">
        <v>129</v>
      </c>
      <c r="G835" s="113">
        <v>128.4</v>
      </c>
      <c r="H835" s="113">
        <v>118.4</v>
      </c>
      <c r="I835" s="113">
        <v>15.9</v>
      </c>
      <c r="J835" s="113">
        <v>71.8</v>
      </c>
      <c r="K835" s="113">
        <v>28.9</v>
      </c>
    </row>
    <row r="836" spans="2:11" x14ac:dyDescent="0.25">
      <c r="B836" s="202"/>
      <c r="C836" s="113">
        <v>220.16399999999999</v>
      </c>
      <c r="D836" s="113">
        <v>8106</v>
      </c>
      <c r="E836" s="113">
        <v>833</v>
      </c>
      <c r="F836" s="113">
        <v>128</v>
      </c>
      <c r="G836" s="113">
        <v>128.1</v>
      </c>
      <c r="H836" s="113">
        <v>118</v>
      </c>
      <c r="I836" s="113">
        <v>15.7</v>
      </c>
      <c r="J836" s="113">
        <v>69.489999999999995</v>
      </c>
      <c r="K836" s="113">
        <v>20.100000000000001</v>
      </c>
    </row>
    <row r="837" spans="2:11" x14ac:dyDescent="0.25">
      <c r="B837" s="202"/>
      <c r="C837" s="113">
        <v>220.19200000000001</v>
      </c>
      <c r="D837" s="113">
        <v>8107</v>
      </c>
      <c r="E837" s="113">
        <v>834</v>
      </c>
      <c r="F837" s="113">
        <v>128</v>
      </c>
      <c r="G837" s="113">
        <v>127.7</v>
      </c>
      <c r="H837" s="113">
        <v>117.5</v>
      </c>
      <c r="I837" s="113">
        <v>14</v>
      </c>
      <c r="J837" s="113">
        <v>68.510000000000005</v>
      </c>
      <c r="K837" s="113">
        <v>20.100000000000001</v>
      </c>
    </row>
    <row r="838" spans="2:11" x14ac:dyDescent="0.25">
      <c r="B838" s="202"/>
      <c r="C838" s="113">
        <v>220.22</v>
      </c>
      <c r="D838" s="113">
        <v>8108</v>
      </c>
      <c r="E838" s="113">
        <v>835</v>
      </c>
      <c r="F838" s="113">
        <v>127</v>
      </c>
      <c r="G838" s="113">
        <v>127.4</v>
      </c>
      <c r="H838" s="113">
        <v>117.1</v>
      </c>
      <c r="I838" s="113">
        <v>13.3</v>
      </c>
      <c r="J838" s="113">
        <v>64.930000000000007</v>
      </c>
      <c r="K838" s="113">
        <v>20.100000000000001</v>
      </c>
    </row>
    <row r="839" spans="2:11" x14ac:dyDescent="0.25">
      <c r="B839" s="202"/>
      <c r="C839" s="113">
        <v>220.24799999999999</v>
      </c>
      <c r="D839" s="113">
        <v>8109</v>
      </c>
      <c r="E839" s="113">
        <v>836</v>
      </c>
      <c r="F839" s="113">
        <v>127</v>
      </c>
      <c r="G839" s="113">
        <v>127.3</v>
      </c>
      <c r="H839" s="113">
        <v>116.9</v>
      </c>
      <c r="I839" s="113">
        <v>13.1</v>
      </c>
      <c r="J839" s="113">
        <v>67.44</v>
      </c>
      <c r="K839" s="113">
        <v>21.9</v>
      </c>
    </row>
    <row r="840" spans="2:11" x14ac:dyDescent="0.25">
      <c r="B840" s="202"/>
      <c r="C840" s="113">
        <v>220.27600000000001</v>
      </c>
      <c r="D840" s="113">
        <v>8110</v>
      </c>
      <c r="E840" s="113">
        <v>837</v>
      </c>
      <c r="F840" s="113">
        <v>127</v>
      </c>
      <c r="G840" s="113">
        <v>126.9</v>
      </c>
      <c r="H840" s="113">
        <v>116.4</v>
      </c>
      <c r="I840" s="113">
        <v>12.1</v>
      </c>
      <c r="J840" s="113">
        <v>66.63</v>
      </c>
      <c r="K840" s="113">
        <v>36.1</v>
      </c>
    </row>
    <row r="841" spans="2:11" x14ac:dyDescent="0.25">
      <c r="B841" s="202"/>
      <c r="C841" s="113">
        <v>220.304</v>
      </c>
      <c r="D841" s="113">
        <v>8111</v>
      </c>
      <c r="E841" s="113">
        <v>838</v>
      </c>
      <c r="F841" s="113">
        <v>126</v>
      </c>
      <c r="G841" s="113">
        <v>126.5</v>
      </c>
      <c r="H841" s="113">
        <v>116</v>
      </c>
      <c r="I841" s="113">
        <v>12.9</v>
      </c>
      <c r="J841" s="113">
        <v>66.540000000000006</v>
      </c>
      <c r="K841" s="113">
        <v>50.2</v>
      </c>
    </row>
    <row r="842" spans="2:11" x14ac:dyDescent="0.25">
      <c r="B842" s="202"/>
      <c r="C842" s="113">
        <v>220.333</v>
      </c>
      <c r="D842" s="113">
        <v>8112</v>
      </c>
      <c r="E842" s="113">
        <v>839</v>
      </c>
      <c r="F842" s="113">
        <v>126</v>
      </c>
      <c r="G842" s="113">
        <v>126.1</v>
      </c>
      <c r="H842" s="113">
        <v>115.5</v>
      </c>
      <c r="I842" s="113">
        <v>12.8</v>
      </c>
      <c r="J842" s="113">
        <v>66.98</v>
      </c>
      <c r="K842" s="113">
        <v>57.5</v>
      </c>
    </row>
    <row r="843" spans="2:11" x14ac:dyDescent="0.25">
      <c r="B843" s="202"/>
      <c r="C843" s="113">
        <v>220.36099999999999</v>
      </c>
      <c r="D843" s="113">
        <v>8113</v>
      </c>
      <c r="E843" s="113">
        <v>840</v>
      </c>
      <c r="F843" s="113">
        <v>126</v>
      </c>
      <c r="G843" s="113">
        <v>125.6</v>
      </c>
      <c r="H843" s="113">
        <v>115.2</v>
      </c>
      <c r="I843" s="113">
        <v>13.9</v>
      </c>
      <c r="J843" s="113">
        <v>65.55</v>
      </c>
      <c r="K843" s="113">
        <v>56.7</v>
      </c>
    </row>
    <row r="844" spans="2:11" x14ac:dyDescent="0.25">
      <c r="B844" s="202"/>
      <c r="C844" s="113">
        <v>220.39</v>
      </c>
      <c r="D844" s="113">
        <v>8114</v>
      </c>
      <c r="E844" s="113">
        <v>841</v>
      </c>
      <c r="F844" s="113">
        <v>128</v>
      </c>
      <c r="G844" s="113">
        <v>125.2</v>
      </c>
      <c r="H844" s="113">
        <v>114.9</v>
      </c>
      <c r="I844" s="113">
        <v>14.3</v>
      </c>
      <c r="J844" s="113">
        <v>68.84</v>
      </c>
      <c r="K844" s="113">
        <v>55.9</v>
      </c>
    </row>
    <row r="845" spans="2:11" x14ac:dyDescent="0.25">
      <c r="B845" s="202"/>
      <c r="C845" s="113">
        <v>220.41800000000001</v>
      </c>
      <c r="D845" s="113">
        <v>8115</v>
      </c>
      <c r="E845" s="113">
        <v>842</v>
      </c>
      <c r="F845" s="113">
        <v>128</v>
      </c>
      <c r="G845" s="113">
        <v>125</v>
      </c>
      <c r="H845" s="113">
        <v>114.6</v>
      </c>
      <c r="I845" s="113">
        <v>15.2</v>
      </c>
      <c r="J845" s="113">
        <v>66.38</v>
      </c>
      <c r="K845" s="113">
        <v>55.2</v>
      </c>
    </row>
    <row r="846" spans="2:11" x14ac:dyDescent="0.25">
      <c r="B846" s="202"/>
      <c r="C846" s="113">
        <v>220.447</v>
      </c>
      <c r="D846" s="113">
        <v>8116</v>
      </c>
      <c r="E846" s="113">
        <v>843</v>
      </c>
      <c r="F846" s="113">
        <v>128</v>
      </c>
      <c r="G846" s="113">
        <v>124.6</v>
      </c>
      <c r="H846" s="113">
        <v>114.4</v>
      </c>
      <c r="I846" s="113">
        <v>16.2</v>
      </c>
      <c r="J846" s="113">
        <v>65.34</v>
      </c>
      <c r="K846" s="113">
        <v>54.1</v>
      </c>
    </row>
    <row r="847" spans="2:11" x14ac:dyDescent="0.25">
      <c r="B847" s="202"/>
      <c r="C847" s="113">
        <v>220.476</v>
      </c>
      <c r="D847" s="113">
        <v>8117</v>
      </c>
      <c r="E847" s="113">
        <v>844</v>
      </c>
      <c r="F847" s="113">
        <v>129</v>
      </c>
      <c r="G847" s="113">
        <v>124.6</v>
      </c>
      <c r="H847" s="113">
        <v>114.2</v>
      </c>
      <c r="I847" s="113">
        <v>15.2</v>
      </c>
      <c r="J847" s="113">
        <v>57.05</v>
      </c>
      <c r="K847" s="113">
        <v>53.1</v>
      </c>
    </row>
    <row r="848" spans="2:11" x14ac:dyDescent="0.25">
      <c r="B848" s="202"/>
      <c r="C848" s="113">
        <v>220.505</v>
      </c>
      <c r="D848" s="113">
        <v>8118</v>
      </c>
      <c r="E848" s="113">
        <v>845</v>
      </c>
      <c r="F848" s="113">
        <v>130</v>
      </c>
      <c r="G848" s="113">
        <v>124.8</v>
      </c>
      <c r="H848" s="113">
        <v>114</v>
      </c>
      <c r="I848" s="113">
        <v>12.2</v>
      </c>
      <c r="J848" s="113">
        <v>59.56</v>
      </c>
      <c r="K848" s="113">
        <v>52.1</v>
      </c>
    </row>
    <row r="849" spans="2:11" x14ac:dyDescent="0.25">
      <c r="B849" s="202"/>
      <c r="C849" s="113">
        <v>220.53399999999999</v>
      </c>
      <c r="D849" s="113">
        <v>8119</v>
      </c>
      <c r="E849" s="113">
        <v>846</v>
      </c>
      <c r="F849" s="113">
        <v>131</v>
      </c>
      <c r="G849" s="113">
        <v>125.1</v>
      </c>
      <c r="H849" s="113">
        <v>113.8</v>
      </c>
      <c r="I849" s="113">
        <v>9.8000000000000007</v>
      </c>
      <c r="J849" s="113">
        <v>49.76</v>
      </c>
      <c r="K849" s="113">
        <v>51.2</v>
      </c>
    </row>
    <row r="850" spans="2:11" x14ac:dyDescent="0.25">
      <c r="B850" s="202"/>
      <c r="C850" s="113">
        <v>220.56299999999999</v>
      </c>
      <c r="D850" s="113">
        <v>8120</v>
      </c>
      <c r="E850" s="113">
        <v>847</v>
      </c>
      <c r="F850" s="113">
        <v>131</v>
      </c>
      <c r="G850" s="113">
        <v>125.6</v>
      </c>
      <c r="H850" s="113">
        <v>113.8</v>
      </c>
      <c r="I850" s="113">
        <v>9.8000000000000007</v>
      </c>
      <c r="J850" s="113">
        <v>55.18</v>
      </c>
      <c r="K850" s="113">
        <v>50.4</v>
      </c>
    </row>
    <row r="851" spans="2:11" x14ac:dyDescent="0.25">
      <c r="B851" s="202"/>
      <c r="C851" s="113">
        <v>220.59100000000001</v>
      </c>
      <c r="D851" s="113">
        <v>8121</v>
      </c>
      <c r="E851" s="113">
        <v>848</v>
      </c>
      <c r="F851" s="113">
        <v>131</v>
      </c>
      <c r="G851" s="113">
        <v>126</v>
      </c>
      <c r="H851" s="113">
        <v>113.8</v>
      </c>
      <c r="I851" s="113">
        <v>9.5</v>
      </c>
      <c r="J851" s="113">
        <v>52.13</v>
      </c>
      <c r="K851" s="113">
        <v>50.4</v>
      </c>
    </row>
    <row r="852" spans="2:11" x14ac:dyDescent="0.25">
      <c r="B852" s="202"/>
      <c r="C852" s="113">
        <v>220.619</v>
      </c>
      <c r="D852" s="113">
        <v>8122</v>
      </c>
      <c r="E852" s="113">
        <v>849</v>
      </c>
      <c r="F852" s="113">
        <v>131</v>
      </c>
      <c r="G852" s="113">
        <v>126</v>
      </c>
      <c r="H852" s="113">
        <v>113.8</v>
      </c>
      <c r="I852" s="113">
        <v>11.4</v>
      </c>
      <c r="J852" s="113">
        <v>54.74</v>
      </c>
      <c r="K852" s="113">
        <v>50.4</v>
      </c>
    </row>
    <row r="853" spans="2:11" x14ac:dyDescent="0.25">
      <c r="B853" s="202"/>
      <c r="C853" s="113">
        <v>220.648</v>
      </c>
      <c r="D853" s="113">
        <v>8123</v>
      </c>
      <c r="E853" s="113">
        <v>850</v>
      </c>
      <c r="F853" s="113">
        <v>132</v>
      </c>
      <c r="G853" s="113">
        <v>125.9</v>
      </c>
      <c r="H853" s="113">
        <v>113.8</v>
      </c>
      <c r="I853" s="113">
        <v>13.6</v>
      </c>
      <c r="J853" s="113">
        <v>55.01</v>
      </c>
      <c r="K853" s="113">
        <v>50.3</v>
      </c>
    </row>
    <row r="854" spans="2:11" x14ac:dyDescent="0.25">
      <c r="B854" s="202"/>
      <c r="C854" s="113">
        <v>220.67599999999999</v>
      </c>
      <c r="D854" s="113">
        <v>8124</v>
      </c>
      <c r="E854" s="113">
        <v>851</v>
      </c>
      <c r="F854" s="113">
        <v>131</v>
      </c>
      <c r="G854" s="113">
        <v>125.6</v>
      </c>
      <c r="H854" s="113">
        <v>113.8</v>
      </c>
      <c r="I854" s="113">
        <v>17</v>
      </c>
      <c r="J854" s="113">
        <v>52.4</v>
      </c>
      <c r="K854" s="113">
        <v>49.5</v>
      </c>
    </row>
    <row r="855" spans="2:11" x14ac:dyDescent="0.25">
      <c r="B855" s="202"/>
      <c r="C855" s="113">
        <v>220.70500000000001</v>
      </c>
      <c r="D855" s="113">
        <v>8125</v>
      </c>
      <c r="E855" s="113">
        <v>852</v>
      </c>
      <c r="F855" s="113">
        <v>131</v>
      </c>
      <c r="G855" s="113">
        <v>125.4</v>
      </c>
      <c r="H855" s="113">
        <v>113.9</v>
      </c>
      <c r="I855" s="113">
        <v>19.399999999999999</v>
      </c>
      <c r="J855" s="113">
        <v>54.47</v>
      </c>
      <c r="K855" s="113">
        <v>48.6</v>
      </c>
    </row>
    <row r="856" spans="2:11" x14ac:dyDescent="0.25">
      <c r="B856" s="202"/>
      <c r="C856" s="113">
        <v>220.73400000000001</v>
      </c>
      <c r="D856" s="113">
        <v>8126</v>
      </c>
      <c r="E856" s="113">
        <v>853</v>
      </c>
      <c r="F856" s="113">
        <v>131</v>
      </c>
      <c r="G856" s="113">
        <v>125.1</v>
      </c>
      <c r="H856" s="113">
        <v>113.9</v>
      </c>
      <c r="I856" s="113">
        <v>19.600000000000001</v>
      </c>
      <c r="J856" s="113">
        <v>49.26</v>
      </c>
      <c r="K856" s="113">
        <v>48.6</v>
      </c>
    </row>
    <row r="857" spans="2:11" x14ac:dyDescent="0.25">
      <c r="B857" s="202"/>
      <c r="C857" s="113">
        <v>220.762</v>
      </c>
      <c r="D857" s="113">
        <v>8127</v>
      </c>
      <c r="E857" s="113">
        <v>854</v>
      </c>
      <c r="F857" s="113">
        <v>131</v>
      </c>
      <c r="G857" s="113">
        <v>125.1</v>
      </c>
      <c r="H857" s="113">
        <v>114</v>
      </c>
      <c r="I857" s="113">
        <v>18.899999999999999</v>
      </c>
      <c r="J857" s="113">
        <v>45.98</v>
      </c>
      <c r="K857" s="113">
        <v>49.4</v>
      </c>
    </row>
    <row r="858" spans="2:11" x14ac:dyDescent="0.25">
      <c r="B858" s="202"/>
      <c r="C858" s="113">
        <v>220.791</v>
      </c>
      <c r="D858" s="113">
        <v>8128</v>
      </c>
      <c r="E858" s="113">
        <v>855</v>
      </c>
      <c r="F858" s="113">
        <v>132</v>
      </c>
      <c r="G858" s="113">
        <v>125.2</v>
      </c>
      <c r="H858" s="113">
        <v>114.1</v>
      </c>
      <c r="I858" s="113">
        <v>14.6</v>
      </c>
      <c r="J858" s="113">
        <v>44.38</v>
      </c>
      <c r="K858" s="113">
        <v>50.2</v>
      </c>
    </row>
    <row r="859" spans="2:11" x14ac:dyDescent="0.25">
      <c r="B859" s="202"/>
      <c r="C859" s="113">
        <v>220.81899999999999</v>
      </c>
      <c r="D859" s="113">
        <v>8129</v>
      </c>
      <c r="E859" s="113">
        <v>856</v>
      </c>
      <c r="F859" s="113">
        <v>132</v>
      </c>
      <c r="G859" s="113">
        <v>125.5</v>
      </c>
      <c r="H859" s="113">
        <v>114.2</v>
      </c>
      <c r="I859" s="113">
        <v>11.7</v>
      </c>
      <c r="J859" s="113">
        <v>39.840000000000003</v>
      </c>
      <c r="K859" s="113">
        <v>51.1</v>
      </c>
    </row>
    <row r="860" spans="2:11" x14ac:dyDescent="0.25">
      <c r="B860" s="202"/>
      <c r="C860" s="113">
        <v>220.84800000000001</v>
      </c>
      <c r="D860" s="113">
        <v>8130</v>
      </c>
      <c r="E860" s="113">
        <v>857</v>
      </c>
      <c r="F860" s="113">
        <v>133</v>
      </c>
      <c r="G860" s="113">
        <v>125.9</v>
      </c>
      <c r="H860" s="113">
        <v>114.3</v>
      </c>
      <c r="I860" s="113">
        <v>9.8000000000000007</v>
      </c>
      <c r="J860" s="113">
        <v>42.74</v>
      </c>
      <c r="K860" s="113">
        <v>52.6</v>
      </c>
    </row>
    <row r="861" spans="2:11" x14ac:dyDescent="0.25">
      <c r="B861" s="202"/>
      <c r="C861" s="113">
        <v>220.87700000000001</v>
      </c>
      <c r="D861" s="113">
        <v>8131</v>
      </c>
      <c r="E861" s="113">
        <v>858</v>
      </c>
      <c r="F861" s="113">
        <v>134</v>
      </c>
      <c r="G861" s="113">
        <v>126.6</v>
      </c>
      <c r="H861" s="113">
        <v>114.4</v>
      </c>
      <c r="I861" s="113">
        <v>7.8</v>
      </c>
      <c r="J861" s="113">
        <v>42.58</v>
      </c>
      <c r="K861" s="113">
        <v>54.1</v>
      </c>
    </row>
    <row r="862" spans="2:11" x14ac:dyDescent="0.25">
      <c r="B862" s="202"/>
      <c r="C862" s="113">
        <v>220.905</v>
      </c>
      <c r="D862" s="113">
        <v>8132</v>
      </c>
      <c r="E862" s="113">
        <v>859</v>
      </c>
      <c r="F862" s="113">
        <v>133</v>
      </c>
      <c r="G862" s="113">
        <v>126.9</v>
      </c>
      <c r="H862" s="113">
        <v>114.6</v>
      </c>
      <c r="I862" s="113">
        <v>9.6999999999999993</v>
      </c>
      <c r="J862" s="113">
        <v>43.25</v>
      </c>
      <c r="K862" s="113">
        <v>53.3</v>
      </c>
    </row>
    <row r="863" spans="2:11" x14ac:dyDescent="0.25">
      <c r="B863" s="202"/>
      <c r="C863" s="113">
        <v>220.93299999999999</v>
      </c>
      <c r="D863" s="113">
        <v>8133</v>
      </c>
      <c r="E863" s="113">
        <v>860</v>
      </c>
      <c r="F863" s="113">
        <v>133</v>
      </c>
      <c r="G863" s="113">
        <v>127</v>
      </c>
      <c r="H863" s="113">
        <v>114.7</v>
      </c>
      <c r="I863" s="113">
        <v>11.4</v>
      </c>
      <c r="J863" s="113">
        <v>43.66</v>
      </c>
      <c r="K863" s="113">
        <v>51.9</v>
      </c>
    </row>
    <row r="864" spans="2:11" x14ac:dyDescent="0.25">
      <c r="B864" s="202"/>
      <c r="C864" s="113">
        <v>220.96199999999999</v>
      </c>
      <c r="D864" s="113">
        <v>8134</v>
      </c>
      <c r="E864" s="113">
        <v>861</v>
      </c>
      <c r="F864" s="113">
        <v>132</v>
      </c>
      <c r="G864" s="113">
        <v>126.9</v>
      </c>
      <c r="H864" s="113">
        <v>114.8</v>
      </c>
      <c r="I864" s="113">
        <v>14</v>
      </c>
      <c r="J864" s="113">
        <v>43.97</v>
      </c>
      <c r="K864" s="113">
        <v>50.7</v>
      </c>
    </row>
    <row r="865" spans="2:11" x14ac:dyDescent="0.25">
      <c r="B865" s="202"/>
      <c r="C865" s="113">
        <v>220.99</v>
      </c>
      <c r="D865" s="113">
        <v>8135</v>
      </c>
      <c r="E865" s="113">
        <v>862</v>
      </c>
      <c r="F865" s="113">
        <v>132</v>
      </c>
      <c r="G865" s="113">
        <v>126.9</v>
      </c>
      <c r="H865" s="113">
        <v>115</v>
      </c>
      <c r="I865" s="113">
        <v>15.7</v>
      </c>
      <c r="J865" s="113">
        <v>44.74</v>
      </c>
      <c r="K865" s="113">
        <v>50.7</v>
      </c>
    </row>
    <row r="866" spans="2:11" x14ac:dyDescent="0.25">
      <c r="B866" s="202"/>
      <c r="C866" s="113">
        <v>221.018</v>
      </c>
      <c r="D866" s="113">
        <v>8136</v>
      </c>
      <c r="E866" s="113">
        <v>863</v>
      </c>
      <c r="F866" s="113">
        <v>132</v>
      </c>
      <c r="G866" s="113">
        <v>126.9</v>
      </c>
      <c r="H866" s="113">
        <v>115.1</v>
      </c>
      <c r="I866" s="113">
        <v>16.8</v>
      </c>
      <c r="J866" s="113">
        <v>43.7</v>
      </c>
      <c r="K866" s="113">
        <v>50.7</v>
      </c>
    </row>
    <row r="867" spans="2:11" x14ac:dyDescent="0.25">
      <c r="B867" s="202"/>
      <c r="C867" s="113">
        <v>221.04599999999999</v>
      </c>
      <c r="D867" s="113">
        <v>8137</v>
      </c>
      <c r="E867" s="113">
        <v>864</v>
      </c>
      <c r="F867" s="113">
        <v>132</v>
      </c>
      <c r="G867" s="113">
        <v>126.8</v>
      </c>
      <c r="H867" s="113">
        <v>115.3</v>
      </c>
      <c r="I867" s="113">
        <v>17</v>
      </c>
      <c r="J867" s="113">
        <v>49.17</v>
      </c>
      <c r="K867" s="113">
        <v>50.7</v>
      </c>
    </row>
    <row r="868" spans="2:11" x14ac:dyDescent="0.25">
      <c r="B868" s="202"/>
      <c r="C868" s="113">
        <v>221.07499999999999</v>
      </c>
      <c r="D868" s="113">
        <v>8138</v>
      </c>
      <c r="E868" s="113">
        <v>865</v>
      </c>
      <c r="F868" s="113">
        <v>133</v>
      </c>
      <c r="G868" s="113">
        <v>126.9</v>
      </c>
      <c r="H868" s="113">
        <v>115.5</v>
      </c>
      <c r="I868" s="113">
        <v>16.899999999999999</v>
      </c>
      <c r="J868" s="113">
        <v>50.71</v>
      </c>
      <c r="K868" s="113">
        <v>50.6</v>
      </c>
    </row>
    <row r="869" spans="2:11" x14ac:dyDescent="0.25">
      <c r="B869" s="202"/>
      <c r="C869" s="113">
        <v>221.10300000000001</v>
      </c>
      <c r="D869" s="113">
        <v>8139</v>
      </c>
      <c r="E869" s="113">
        <v>866</v>
      </c>
      <c r="F869" s="113">
        <v>134</v>
      </c>
      <c r="G869" s="113">
        <v>127.3</v>
      </c>
      <c r="H869" s="113">
        <v>115.8</v>
      </c>
      <c r="I869" s="113">
        <v>16.600000000000001</v>
      </c>
      <c r="J869" s="113">
        <v>48.71</v>
      </c>
      <c r="K869" s="113">
        <v>50.5</v>
      </c>
    </row>
    <row r="870" spans="2:11" x14ac:dyDescent="0.25">
      <c r="B870" s="202"/>
      <c r="C870" s="113">
        <v>221.131</v>
      </c>
      <c r="D870" s="113">
        <v>8140</v>
      </c>
      <c r="E870" s="113">
        <v>867</v>
      </c>
      <c r="F870" s="113">
        <v>135</v>
      </c>
      <c r="G870" s="113">
        <v>127.7</v>
      </c>
      <c r="H870" s="113">
        <v>116</v>
      </c>
      <c r="I870" s="113">
        <v>15.2</v>
      </c>
      <c r="J870" s="113">
        <v>48.34</v>
      </c>
      <c r="K870" s="113">
        <v>44.7</v>
      </c>
    </row>
    <row r="871" spans="2:11" x14ac:dyDescent="0.25">
      <c r="B871" s="202"/>
      <c r="C871" s="113">
        <v>221.15899999999999</v>
      </c>
      <c r="D871" s="113">
        <v>8141</v>
      </c>
      <c r="E871" s="113">
        <v>868</v>
      </c>
      <c r="F871" s="113">
        <v>136</v>
      </c>
      <c r="G871" s="113">
        <v>127.9</v>
      </c>
      <c r="H871" s="113">
        <v>116.3</v>
      </c>
      <c r="I871" s="113">
        <v>13.4</v>
      </c>
      <c r="J871" s="113">
        <v>48.9</v>
      </c>
      <c r="K871" s="113">
        <v>36.4</v>
      </c>
    </row>
    <row r="872" spans="2:11" x14ac:dyDescent="0.25">
      <c r="B872" s="202"/>
      <c r="C872" s="113">
        <v>221.18799999999999</v>
      </c>
      <c r="D872" s="113">
        <v>8142</v>
      </c>
      <c r="E872" s="113">
        <v>869</v>
      </c>
      <c r="F872" s="113">
        <v>136</v>
      </c>
      <c r="G872" s="113">
        <v>128.4</v>
      </c>
      <c r="H872" s="113">
        <v>116.5</v>
      </c>
      <c r="I872" s="113">
        <v>12.7</v>
      </c>
      <c r="J872" s="113">
        <v>43.05</v>
      </c>
      <c r="K872" s="113">
        <v>23.9</v>
      </c>
    </row>
    <row r="873" spans="2:11" x14ac:dyDescent="0.25">
      <c r="B873" s="202"/>
      <c r="C873" s="113">
        <v>221.21600000000001</v>
      </c>
      <c r="D873" s="113">
        <v>8143</v>
      </c>
      <c r="E873" s="113">
        <v>870</v>
      </c>
      <c r="F873" s="113">
        <v>136</v>
      </c>
      <c r="G873" s="113">
        <v>128.80000000000001</v>
      </c>
      <c r="H873" s="113">
        <v>116.8</v>
      </c>
      <c r="I873" s="113">
        <v>12.7</v>
      </c>
      <c r="J873" s="113">
        <v>44.69</v>
      </c>
      <c r="K873" s="113">
        <v>23.6</v>
      </c>
    </row>
    <row r="874" spans="2:11" x14ac:dyDescent="0.25">
      <c r="B874" s="202"/>
      <c r="C874" s="113">
        <v>221.24299999999999</v>
      </c>
      <c r="D874" s="113">
        <v>8144</v>
      </c>
      <c r="E874" s="113">
        <v>871</v>
      </c>
      <c r="F874" s="113">
        <v>136</v>
      </c>
      <c r="G874" s="113">
        <v>129</v>
      </c>
      <c r="H874" s="113">
        <v>117.2</v>
      </c>
      <c r="I874" s="113">
        <v>12.8</v>
      </c>
      <c r="J874" s="113">
        <v>44.43</v>
      </c>
      <c r="K874" s="113">
        <v>37.5</v>
      </c>
    </row>
    <row r="875" spans="2:11" x14ac:dyDescent="0.25">
      <c r="B875" s="202"/>
      <c r="C875" s="113">
        <v>221.27099999999999</v>
      </c>
      <c r="D875" s="113">
        <v>8145</v>
      </c>
      <c r="E875" s="113">
        <v>872</v>
      </c>
      <c r="F875" s="113">
        <v>136</v>
      </c>
      <c r="G875" s="113">
        <v>129.1</v>
      </c>
      <c r="H875" s="113">
        <v>117.6</v>
      </c>
      <c r="I875" s="113">
        <v>13.9</v>
      </c>
      <c r="J875" s="113">
        <v>42.89</v>
      </c>
      <c r="K875" s="113">
        <v>51.5</v>
      </c>
    </row>
    <row r="876" spans="2:11" x14ac:dyDescent="0.25">
      <c r="B876" s="202"/>
      <c r="C876" s="113">
        <v>221.29900000000001</v>
      </c>
      <c r="D876" s="113">
        <v>8146</v>
      </c>
      <c r="E876" s="113">
        <v>873</v>
      </c>
      <c r="F876" s="113">
        <v>136</v>
      </c>
      <c r="G876" s="113">
        <v>129.1</v>
      </c>
      <c r="H876" s="113">
        <v>117.8</v>
      </c>
      <c r="I876" s="113">
        <v>14.8</v>
      </c>
      <c r="J876" s="113">
        <v>42.55</v>
      </c>
      <c r="K876" s="113">
        <v>54.9</v>
      </c>
    </row>
    <row r="877" spans="2:11" x14ac:dyDescent="0.25">
      <c r="B877" s="202"/>
      <c r="C877" s="113">
        <v>221.327</v>
      </c>
      <c r="D877" s="113">
        <v>8147</v>
      </c>
      <c r="E877" s="113">
        <v>874</v>
      </c>
      <c r="F877" s="113">
        <v>136</v>
      </c>
      <c r="G877" s="113">
        <v>129.30000000000001</v>
      </c>
      <c r="H877" s="113">
        <v>118.2</v>
      </c>
      <c r="I877" s="113">
        <v>15</v>
      </c>
      <c r="J877" s="113">
        <v>40.79</v>
      </c>
      <c r="K877" s="113">
        <v>55.9</v>
      </c>
    </row>
    <row r="878" spans="2:11" x14ac:dyDescent="0.25">
      <c r="B878" s="202"/>
      <c r="C878" s="113">
        <v>221.35400000000001</v>
      </c>
      <c r="D878" s="113">
        <v>8148</v>
      </c>
      <c r="E878" s="113">
        <v>875</v>
      </c>
      <c r="F878" s="113">
        <v>137</v>
      </c>
      <c r="G878" s="113">
        <v>129.69999999999999</v>
      </c>
      <c r="H878" s="113">
        <v>118.6</v>
      </c>
      <c r="I878" s="113">
        <v>15.1</v>
      </c>
      <c r="J878" s="113">
        <v>38.11</v>
      </c>
      <c r="K878" s="113">
        <v>57</v>
      </c>
    </row>
    <row r="879" spans="2:11" x14ac:dyDescent="0.25">
      <c r="B879" s="202"/>
      <c r="C879" s="113">
        <v>221.38200000000001</v>
      </c>
      <c r="D879" s="113">
        <v>8149</v>
      </c>
      <c r="E879" s="113">
        <v>876</v>
      </c>
      <c r="F879" s="113">
        <v>138</v>
      </c>
      <c r="G879" s="113">
        <v>129.69999999999999</v>
      </c>
      <c r="H879" s="113">
        <v>119</v>
      </c>
      <c r="I879" s="113">
        <v>13.6</v>
      </c>
      <c r="J879" s="113">
        <v>38.93</v>
      </c>
      <c r="K879" s="113">
        <v>57.2</v>
      </c>
    </row>
    <row r="880" spans="2:11" x14ac:dyDescent="0.25">
      <c r="B880" s="202"/>
      <c r="C880" s="113">
        <v>221.41</v>
      </c>
      <c r="D880" s="113">
        <v>8150</v>
      </c>
      <c r="E880" s="113">
        <v>877</v>
      </c>
      <c r="F880" s="113">
        <v>138</v>
      </c>
      <c r="G880" s="113">
        <v>129.69999999999999</v>
      </c>
      <c r="H880" s="113">
        <v>119.3</v>
      </c>
      <c r="I880" s="113">
        <v>13.1</v>
      </c>
      <c r="J880" s="113">
        <v>36.96</v>
      </c>
      <c r="K880" s="113">
        <v>57.2</v>
      </c>
    </row>
    <row r="881" spans="2:11" x14ac:dyDescent="0.25">
      <c r="B881" s="202"/>
      <c r="C881" s="113">
        <v>221.43799999999999</v>
      </c>
      <c r="D881" s="113">
        <v>8151</v>
      </c>
      <c r="E881" s="113">
        <v>878</v>
      </c>
      <c r="F881" s="113">
        <v>138</v>
      </c>
      <c r="G881" s="113">
        <v>129.9</v>
      </c>
      <c r="H881" s="113">
        <v>119.6</v>
      </c>
      <c r="I881" s="113">
        <v>12.8</v>
      </c>
      <c r="J881" s="113">
        <v>32.96</v>
      </c>
      <c r="K881" s="113">
        <v>57.2</v>
      </c>
    </row>
    <row r="882" spans="2:11" x14ac:dyDescent="0.25">
      <c r="B882" s="202"/>
      <c r="C882" s="113">
        <v>221.465</v>
      </c>
      <c r="D882" s="113">
        <v>8152</v>
      </c>
      <c r="E882" s="113">
        <v>879</v>
      </c>
      <c r="F882" s="113">
        <v>139</v>
      </c>
      <c r="G882" s="113">
        <v>130.19999999999999</v>
      </c>
      <c r="H882" s="113">
        <v>120</v>
      </c>
      <c r="I882" s="113">
        <v>10.9</v>
      </c>
      <c r="J882" s="113">
        <v>32.51</v>
      </c>
      <c r="K882" s="113">
        <v>56.3</v>
      </c>
    </row>
    <row r="883" spans="2:11" x14ac:dyDescent="0.25">
      <c r="B883" s="202"/>
      <c r="C883" s="113">
        <v>221.49299999999999</v>
      </c>
      <c r="D883" s="113">
        <v>8153</v>
      </c>
      <c r="E883" s="113">
        <v>880</v>
      </c>
      <c r="F883" s="113">
        <v>140</v>
      </c>
      <c r="G883" s="113">
        <v>130.80000000000001</v>
      </c>
      <c r="H883" s="113">
        <v>120.4</v>
      </c>
      <c r="I883" s="113">
        <v>8.5</v>
      </c>
      <c r="J883" s="113">
        <v>32.86</v>
      </c>
      <c r="K883" s="113">
        <v>54.9</v>
      </c>
    </row>
    <row r="884" spans="2:11" x14ac:dyDescent="0.25">
      <c r="B884" s="202"/>
      <c r="C884" s="113">
        <v>221.52</v>
      </c>
      <c r="D884" s="113">
        <v>8154</v>
      </c>
      <c r="E884" s="113">
        <v>881</v>
      </c>
      <c r="F884" s="113">
        <v>140</v>
      </c>
      <c r="G884" s="113">
        <v>131.30000000000001</v>
      </c>
      <c r="H884" s="113">
        <v>120.8</v>
      </c>
      <c r="I884" s="113">
        <v>7.4</v>
      </c>
      <c r="J884" s="113">
        <v>30.67</v>
      </c>
      <c r="K884" s="113">
        <v>53.7</v>
      </c>
    </row>
    <row r="885" spans="2:11" x14ac:dyDescent="0.25">
      <c r="B885" s="202"/>
      <c r="C885" s="113">
        <v>221.548</v>
      </c>
      <c r="D885" s="113">
        <v>8155</v>
      </c>
      <c r="E885" s="113">
        <v>882</v>
      </c>
      <c r="F885" s="113">
        <v>140</v>
      </c>
      <c r="G885" s="113">
        <v>131.80000000000001</v>
      </c>
      <c r="H885" s="113">
        <v>121</v>
      </c>
      <c r="I885" s="113">
        <v>7.9</v>
      </c>
      <c r="J885" s="113">
        <v>31.39</v>
      </c>
      <c r="K885" s="113">
        <v>52.4</v>
      </c>
    </row>
    <row r="886" spans="2:11" x14ac:dyDescent="0.25">
      <c r="B886" s="202"/>
      <c r="C886" s="113">
        <v>221.57499999999999</v>
      </c>
      <c r="D886" s="113">
        <v>8156</v>
      </c>
      <c r="E886" s="113">
        <v>883</v>
      </c>
      <c r="F886" s="113">
        <v>140</v>
      </c>
      <c r="G886" s="113">
        <v>132.30000000000001</v>
      </c>
      <c r="H886" s="113">
        <v>121.4</v>
      </c>
      <c r="I886" s="113">
        <v>8.6999999999999993</v>
      </c>
      <c r="J886" s="113">
        <v>34.619999999999997</v>
      </c>
      <c r="K886" s="113">
        <v>50.5</v>
      </c>
    </row>
    <row r="887" spans="2:11" x14ac:dyDescent="0.25">
      <c r="B887" s="202"/>
      <c r="C887" s="113">
        <v>221.602</v>
      </c>
      <c r="D887" s="113">
        <v>8157</v>
      </c>
      <c r="E887" s="113">
        <v>884</v>
      </c>
      <c r="F887" s="113">
        <v>140</v>
      </c>
      <c r="G887" s="113">
        <v>132.4</v>
      </c>
      <c r="H887" s="113">
        <v>121.8</v>
      </c>
      <c r="I887" s="113">
        <v>12.5</v>
      </c>
      <c r="J887" s="113">
        <v>44.49</v>
      </c>
      <c r="K887" s="113">
        <v>48.7</v>
      </c>
    </row>
    <row r="888" spans="2:11" x14ac:dyDescent="0.25">
      <c r="B888" s="202"/>
      <c r="C888" s="113">
        <v>221.62899999999999</v>
      </c>
      <c r="D888" s="113">
        <v>8158</v>
      </c>
      <c r="E888" s="113">
        <v>885</v>
      </c>
      <c r="F888" s="113">
        <v>139</v>
      </c>
      <c r="G888" s="113">
        <v>132.6</v>
      </c>
      <c r="H888" s="113">
        <v>122</v>
      </c>
      <c r="I888" s="113">
        <v>14.4</v>
      </c>
      <c r="J888" s="113">
        <v>43.67</v>
      </c>
      <c r="K888" s="113">
        <v>48.3</v>
      </c>
    </row>
    <row r="889" spans="2:11" x14ac:dyDescent="0.25">
      <c r="B889" s="202"/>
      <c r="C889" s="113">
        <v>221.65600000000001</v>
      </c>
      <c r="D889" s="113">
        <v>8159</v>
      </c>
      <c r="E889" s="113">
        <v>886</v>
      </c>
      <c r="F889" s="113">
        <v>139</v>
      </c>
      <c r="G889" s="113">
        <v>132.69999999999999</v>
      </c>
      <c r="H889" s="113">
        <v>122.4</v>
      </c>
      <c r="I889" s="113">
        <v>18.899999999999999</v>
      </c>
      <c r="J889" s="113">
        <v>42.91</v>
      </c>
      <c r="K889" s="113">
        <v>47.7</v>
      </c>
    </row>
    <row r="890" spans="2:11" x14ac:dyDescent="0.25">
      <c r="B890" s="202"/>
      <c r="C890" s="113">
        <v>221.68299999999999</v>
      </c>
      <c r="D890" s="113">
        <v>8160</v>
      </c>
      <c r="E890" s="113">
        <v>887</v>
      </c>
      <c r="F890" s="113">
        <v>139</v>
      </c>
      <c r="G890" s="113">
        <v>132.80000000000001</v>
      </c>
      <c r="H890" s="113">
        <v>122.8</v>
      </c>
      <c r="I890" s="113">
        <v>19.899999999999999</v>
      </c>
      <c r="J890" s="113">
        <v>51.99</v>
      </c>
      <c r="K890" s="113">
        <v>47.3</v>
      </c>
    </row>
    <row r="891" spans="2:11" x14ac:dyDescent="0.25">
      <c r="B891" s="202"/>
      <c r="C891" s="113">
        <v>221.71</v>
      </c>
      <c r="D891" s="113">
        <v>8161</v>
      </c>
      <c r="E891" s="113">
        <v>888</v>
      </c>
      <c r="F891" s="113">
        <v>139</v>
      </c>
      <c r="G891" s="113">
        <v>133.19999999999999</v>
      </c>
      <c r="H891" s="113">
        <v>123.2</v>
      </c>
      <c r="I891" s="113">
        <v>20.5</v>
      </c>
      <c r="J891" s="113">
        <v>50.3</v>
      </c>
      <c r="K891" s="113">
        <v>48.5</v>
      </c>
    </row>
    <row r="892" spans="2:11" x14ac:dyDescent="0.25">
      <c r="B892" s="202"/>
      <c r="C892" s="113">
        <v>221.738</v>
      </c>
      <c r="D892" s="113">
        <v>8162</v>
      </c>
      <c r="E892" s="113">
        <v>889</v>
      </c>
      <c r="F892" s="113">
        <v>139</v>
      </c>
      <c r="G892" s="113">
        <v>133.4</v>
      </c>
      <c r="H892" s="113">
        <v>123.4</v>
      </c>
      <c r="I892" s="113">
        <v>21.2</v>
      </c>
      <c r="J892" s="113">
        <v>52.64</v>
      </c>
      <c r="K892" s="113">
        <v>49.3</v>
      </c>
    </row>
    <row r="893" spans="2:11" x14ac:dyDescent="0.25">
      <c r="B893" s="202"/>
      <c r="C893" s="113">
        <v>221.76400000000001</v>
      </c>
      <c r="D893" s="113">
        <v>8163</v>
      </c>
      <c r="E893" s="113">
        <v>890</v>
      </c>
      <c r="F893" s="113">
        <v>139</v>
      </c>
      <c r="G893" s="113">
        <v>133.69999999999999</v>
      </c>
      <c r="H893" s="113">
        <v>123.8</v>
      </c>
      <c r="I893" s="113">
        <v>21.3</v>
      </c>
      <c r="J893" s="113">
        <v>52.83</v>
      </c>
      <c r="K893" s="113">
        <v>50.4</v>
      </c>
    </row>
    <row r="894" spans="2:11" x14ac:dyDescent="0.25">
      <c r="B894" s="202"/>
      <c r="C894" s="113">
        <v>221.791</v>
      </c>
      <c r="D894" s="113">
        <v>8164</v>
      </c>
      <c r="E894" s="113">
        <v>891</v>
      </c>
      <c r="F894" s="113">
        <v>141</v>
      </c>
      <c r="G894" s="113">
        <v>133.69999999999999</v>
      </c>
      <c r="H894" s="113">
        <v>124.2</v>
      </c>
      <c r="I894" s="113">
        <v>20.2</v>
      </c>
      <c r="J894" s="113">
        <v>52.01</v>
      </c>
      <c r="K894" s="113">
        <v>50.4</v>
      </c>
    </row>
    <row r="895" spans="2:11" x14ac:dyDescent="0.25">
      <c r="B895" s="202"/>
      <c r="C895" s="113">
        <v>221.81800000000001</v>
      </c>
      <c r="D895" s="113">
        <v>8165</v>
      </c>
      <c r="E895" s="113">
        <v>892</v>
      </c>
      <c r="F895" s="113">
        <v>141</v>
      </c>
      <c r="G895" s="113">
        <v>133.9</v>
      </c>
      <c r="H895" s="113">
        <v>124.4</v>
      </c>
      <c r="I895" s="113">
        <v>19.100000000000001</v>
      </c>
      <c r="J895" s="113">
        <v>50.37</v>
      </c>
      <c r="K895" s="113">
        <v>50.4</v>
      </c>
    </row>
    <row r="896" spans="2:11" x14ac:dyDescent="0.25">
      <c r="B896" s="202"/>
      <c r="C896" s="113">
        <v>221.845</v>
      </c>
      <c r="D896" s="113">
        <v>8166</v>
      </c>
      <c r="E896" s="113">
        <v>893</v>
      </c>
      <c r="F896" s="113">
        <v>142</v>
      </c>
      <c r="G896" s="113">
        <v>134.5</v>
      </c>
      <c r="H896" s="113">
        <v>124.8</v>
      </c>
      <c r="I896" s="113">
        <v>17.600000000000001</v>
      </c>
      <c r="J896" s="113">
        <v>48.38</v>
      </c>
      <c r="K896" s="113">
        <v>50.6</v>
      </c>
    </row>
    <row r="897" spans="2:11" x14ac:dyDescent="0.25">
      <c r="B897" s="202"/>
      <c r="C897" s="113">
        <v>221.87100000000001</v>
      </c>
      <c r="D897" s="113">
        <v>8167</v>
      </c>
      <c r="E897" s="113">
        <v>894</v>
      </c>
      <c r="F897" s="113">
        <v>143</v>
      </c>
      <c r="G897" s="113">
        <v>135</v>
      </c>
      <c r="H897" s="113">
        <v>125</v>
      </c>
      <c r="I897" s="113">
        <v>16</v>
      </c>
      <c r="J897" s="113">
        <v>46.47</v>
      </c>
      <c r="K897" s="113">
        <v>52</v>
      </c>
    </row>
    <row r="898" spans="2:11" x14ac:dyDescent="0.25">
      <c r="B898" s="202"/>
      <c r="C898" s="113">
        <v>221.898</v>
      </c>
      <c r="D898" s="113">
        <v>8168</v>
      </c>
      <c r="E898" s="113">
        <v>895</v>
      </c>
      <c r="F898" s="113">
        <v>143</v>
      </c>
      <c r="G898" s="113">
        <v>135.30000000000001</v>
      </c>
      <c r="H898" s="113">
        <v>125.2</v>
      </c>
      <c r="I898" s="113">
        <v>15.3</v>
      </c>
      <c r="J898" s="113">
        <v>46.52</v>
      </c>
      <c r="K898" s="113">
        <v>52.9</v>
      </c>
    </row>
    <row r="899" spans="2:11" x14ac:dyDescent="0.25">
      <c r="B899" s="202"/>
      <c r="C899" s="113">
        <v>221.92400000000001</v>
      </c>
      <c r="D899" s="113">
        <v>8169</v>
      </c>
      <c r="E899" s="113">
        <v>896</v>
      </c>
      <c r="F899" s="113">
        <v>144</v>
      </c>
      <c r="G899" s="113">
        <v>135.6</v>
      </c>
      <c r="H899" s="113">
        <v>125.5</v>
      </c>
      <c r="I899" s="113">
        <v>14.8</v>
      </c>
      <c r="J899" s="113">
        <v>44.6</v>
      </c>
      <c r="K899" s="113">
        <v>54.1</v>
      </c>
    </row>
    <row r="900" spans="2:11" x14ac:dyDescent="0.25">
      <c r="B900" s="202"/>
      <c r="C900" s="113">
        <v>221.95099999999999</v>
      </c>
      <c r="D900" s="113">
        <v>8170</v>
      </c>
      <c r="E900" s="113">
        <v>897</v>
      </c>
      <c r="F900" s="113">
        <v>144</v>
      </c>
      <c r="G900" s="113">
        <v>135.9</v>
      </c>
      <c r="H900" s="113">
        <v>125.8</v>
      </c>
      <c r="I900" s="113">
        <v>14.7</v>
      </c>
      <c r="J900" s="113">
        <v>44.46</v>
      </c>
      <c r="K900" s="113">
        <v>52.9</v>
      </c>
    </row>
    <row r="901" spans="2:11" x14ac:dyDescent="0.25">
      <c r="B901" s="202"/>
      <c r="C901" s="113">
        <v>221.977</v>
      </c>
      <c r="D901" s="113">
        <v>8171</v>
      </c>
      <c r="E901" s="113">
        <v>898</v>
      </c>
      <c r="F901" s="113">
        <v>144</v>
      </c>
      <c r="G901" s="113">
        <v>136</v>
      </c>
      <c r="H901" s="113">
        <v>126</v>
      </c>
      <c r="I901" s="113">
        <v>15.3</v>
      </c>
      <c r="J901" s="113">
        <v>44.06</v>
      </c>
      <c r="K901" s="113">
        <v>52.3</v>
      </c>
    </row>
    <row r="902" spans="2:11" x14ac:dyDescent="0.25">
      <c r="B902" s="202"/>
      <c r="C902" s="113">
        <v>222.00399999999999</v>
      </c>
      <c r="D902" s="113">
        <v>8172</v>
      </c>
      <c r="E902" s="113">
        <v>899</v>
      </c>
      <c r="F902" s="113">
        <v>144</v>
      </c>
      <c r="G902" s="113">
        <v>136.19999999999999</v>
      </c>
      <c r="H902" s="113">
        <v>126.3</v>
      </c>
      <c r="I902" s="113">
        <v>16.3</v>
      </c>
      <c r="J902" s="113">
        <v>42.93</v>
      </c>
      <c r="K902" s="113">
        <v>51.4</v>
      </c>
    </row>
    <row r="903" spans="2:11" x14ac:dyDescent="0.25">
      <c r="B903" s="202"/>
      <c r="C903" s="113">
        <v>222.03</v>
      </c>
      <c r="D903" s="113">
        <v>8173</v>
      </c>
      <c r="E903" s="113">
        <v>900</v>
      </c>
      <c r="F903" s="113">
        <v>144</v>
      </c>
      <c r="G903" s="113">
        <v>136.69999999999999</v>
      </c>
      <c r="H903" s="113">
        <v>126.6</v>
      </c>
      <c r="I903" s="113">
        <v>16.3</v>
      </c>
      <c r="J903" s="113">
        <v>39.47</v>
      </c>
      <c r="K903" s="113">
        <v>52.1</v>
      </c>
    </row>
    <row r="904" spans="2:11" x14ac:dyDescent="0.25">
      <c r="B904" s="202"/>
      <c r="C904" s="113">
        <v>222.05600000000001</v>
      </c>
      <c r="D904" s="113">
        <v>8174</v>
      </c>
      <c r="E904" s="113">
        <v>901</v>
      </c>
      <c r="F904" s="113">
        <v>145</v>
      </c>
      <c r="G904" s="113">
        <v>136.80000000000001</v>
      </c>
      <c r="H904" s="113">
        <v>126.9</v>
      </c>
      <c r="I904" s="113">
        <v>16</v>
      </c>
      <c r="J904" s="113">
        <v>41.35</v>
      </c>
      <c r="K904" s="113">
        <v>52.6</v>
      </c>
    </row>
    <row r="905" spans="2:11" x14ac:dyDescent="0.25">
      <c r="B905" s="202"/>
      <c r="C905" s="113">
        <v>222.083</v>
      </c>
      <c r="D905" s="113">
        <v>8175</v>
      </c>
      <c r="E905" s="113">
        <v>902</v>
      </c>
      <c r="F905" s="113">
        <v>146</v>
      </c>
      <c r="G905" s="113">
        <v>136.80000000000001</v>
      </c>
      <c r="H905" s="113">
        <v>127.2</v>
      </c>
      <c r="I905" s="113">
        <v>15.4</v>
      </c>
      <c r="J905" s="113">
        <v>43.75</v>
      </c>
      <c r="K905" s="113">
        <v>51.7</v>
      </c>
    </row>
    <row r="906" spans="2:11" x14ac:dyDescent="0.25">
      <c r="B906" s="202"/>
      <c r="C906" s="113">
        <v>222.10900000000001</v>
      </c>
      <c r="D906" s="113">
        <v>8176</v>
      </c>
      <c r="E906" s="113">
        <v>903</v>
      </c>
      <c r="F906" s="113">
        <v>145</v>
      </c>
      <c r="G906" s="113">
        <v>136.9</v>
      </c>
      <c r="H906" s="113">
        <v>127.5</v>
      </c>
      <c r="I906" s="113">
        <v>16.100000000000001</v>
      </c>
      <c r="J906" s="113">
        <v>41.87</v>
      </c>
      <c r="K906" s="113">
        <v>42.9</v>
      </c>
    </row>
    <row r="907" spans="2:11" x14ac:dyDescent="0.25">
      <c r="B907" s="202"/>
      <c r="C907" s="113">
        <v>222.13499999999999</v>
      </c>
      <c r="D907" s="113">
        <v>8177</v>
      </c>
      <c r="E907" s="113">
        <v>904</v>
      </c>
      <c r="F907" s="113">
        <v>145</v>
      </c>
      <c r="G907" s="113">
        <v>137.1</v>
      </c>
      <c r="H907" s="113">
        <v>127.8</v>
      </c>
      <c r="I907" s="113">
        <v>17.100000000000001</v>
      </c>
      <c r="J907" s="113">
        <v>38.619999999999997</v>
      </c>
      <c r="K907" s="113">
        <v>29.7</v>
      </c>
    </row>
    <row r="908" spans="2:11" x14ac:dyDescent="0.25">
      <c r="B908" s="202"/>
      <c r="C908" s="113">
        <v>222.161</v>
      </c>
      <c r="D908" s="113">
        <v>8178</v>
      </c>
      <c r="E908" s="113">
        <v>905</v>
      </c>
      <c r="F908" s="113">
        <v>146</v>
      </c>
      <c r="G908" s="113">
        <v>137.30000000000001</v>
      </c>
      <c r="H908" s="113">
        <v>128.19999999999999</v>
      </c>
      <c r="I908" s="113">
        <v>15.6</v>
      </c>
      <c r="J908" s="113">
        <v>37.11</v>
      </c>
      <c r="K908" s="113">
        <v>18.3</v>
      </c>
    </row>
    <row r="909" spans="2:11" x14ac:dyDescent="0.25">
      <c r="B909" s="202"/>
      <c r="C909" s="113">
        <v>222.18799999999999</v>
      </c>
      <c r="D909" s="113">
        <v>8179</v>
      </c>
      <c r="E909" s="113">
        <v>906</v>
      </c>
      <c r="F909" s="113">
        <v>147</v>
      </c>
      <c r="G909" s="113">
        <v>137.4</v>
      </c>
      <c r="H909" s="113">
        <v>128.4</v>
      </c>
      <c r="I909" s="113">
        <v>13.4</v>
      </c>
      <c r="J909" s="113">
        <v>34.82</v>
      </c>
      <c r="K909" s="113">
        <v>18.3</v>
      </c>
    </row>
    <row r="910" spans="2:11" x14ac:dyDescent="0.25">
      <c r="B910" s="202"/>
      <c r="C910" s="113">
        <v>222.214</v>
      </c>
      <c r="D910" s="113">
        <v>8180</v>
      </c>
      <c r="E910" s="113">
        <v>907</v>
      </c>
      <c r="F910" s="113">
        <v>148</v>
      </c>
      <c r="G910" s="113">
        <v>137.9</v>
      </c>
      <c r="H910" s="113">
        <v>128.80000000000001</v>
      </c>
      <c r="I910" s="113">
        <v>11.6</v>
      </c>
      <c r="J910" s="113">
        <v>33.409999999999997</v>
      </c>
      <c r="K910" s="113">
        <v>18.3</v>
      </c>
    </row>
    <row r="911" spans="2:11" x14ac:dyDescent="0.25">
      <c r="B911" s="202"/>
      <c r="C911" s="113">
        <v>222.24</v>
      </c>
      <c r="D911" s="113">
        <v>8181</v>
      </c>
      <c r="E911" s="113">
        <v>908</v>
      </c>
      <c r="F911" s="113">
        <v>149</v>
      </c>
      <c r="G911" s="113">
        <v>138.6</v>
      </c>
      <c r="H911" s="113">
        <v>129.19999999999999</v>
      </c>
      <c r="I911" s="113">
        <v>10.1</v>
      </c>
      <c r="J911" s="113">
        <v>30.84</v>
      </c>
      <c r="K911" s="113">
        <v>20.100000000000001</v>
      </c>
    </row>
    <row r="912" spans="2:11" x14ac:dyDescent="0.25">
      <c r="B912" s="202"/>
      <c r="C912" s="113">
        <v>222.26599999999999</v>
      </c>
      <c r="D912" s="113">
        <v>8182</v>
      </c>
      <c r="E912" s="113">
        <v>909</v>
      </c>
      <c r="F912" s="113">
        <v>149</v>
      </c>
      <c r="G912" s="113">
        <v>139</v>
      </c>
      <c r="H912" s="113">
        <v>129.5</v>
      </c>
      <c r="I912" s="113">
        <v>10</v>
      </c>
      <c r="J912" s="113">
        <v>30.76</v>
      </c>
      <c r="K912" s="113">
        <v>29.5</v>
      </c>
    </row>
    <row r="913" spans="2:11" x14ac:dyDescent="0.25">
      <c r="B913" s="202"/>
      <c r="C913" s="113">
        <v>222.291</v>
      </c>
      <c r="D913" s="113">
        <v>8183</v>
      </c>
      <c r="E913" s="113">
        <v>910</v>
      </c>
      <c r="F913" s="113">
        <v>149</v>
      </c>
      <c r="G913" s="113">
        <v>139.30000000000001</v>
      </c>
      <c r="H913" s="113">
        <v>129.9</v>
      </c>
      <c r="I913" s="113">
        <v>9.6999999999999993</v>
      </c>
      <c r="J913" s="113">
        <v>33.65</v>
      </c>
      <c r="K913" s="113">
        <v>43.8</v>
      </c>
    </row>
    <row r="914" spans="2:11" x14ac:dyDescent="0.25">
      <c r="B914" s="202"/>
      <c r="C914" s="113">
        <v>222.31700000000001</v>
      </c>
      <c r="D914" s="113">
        <v>8184</v>
      </c>
      <c r="E914" s="113">
        <v>911</v>
      </c>
      <c r="F914" s="113">
        <v>149</v>
      </c>
      <c r="G914" s="113">
        <v>139.5</v>
      </c>
      <c r="H914" s="113">
        <v>130.19999999999999</v>
      </c>
      <c r="I914" s="113">
        <v>10</v>
      </c>
      <c r="J914" s="113">
        <v>31.76</v>
      </c>
      <c r="K914" s="113">
        <v>53.2</v>
      </c>
    </row>
    <row r="915" spans="2:11" x14ac:dyDescent="0.25">
      <c r="B915" s="202"/>
      <c r="C915" s="113">
        <v>222.34299999999999</v>
      </c>
      <c r="D915" s="113">
        <v>8185</v>
      </c>
      <c r="E915" s="113">
        <v>912</v>
      </c>
      <c r="F915" s="113">
        <v>149</v>
      </c>
      <c r="G915" s="113">
        <v>140</v>
      </c>
      <c r="H915" s="113">
        <v>130.69999999999999</v>
      </c>
      <c r="I915" s="113">
        <v>11.4</v>
      </c>
      <c r="J915" s="113">
        <v>29.92</v>
      </c>
      <c r="K915" s="113">
        <v>56</v>
      </c>
    </row>
    <row r="916" spans="2:11" x14ac:dyDescent="0.25">
      <c r="B916" s="202"/>
      <c r="C916" s="113">
        <v>222.369</v>
      </c>
      <c r="D916" s="113">
        <v>8186</v>
      </c>
      <c r="E916" s="113">
        <v>913</v>
      </c>
      <c r="F916" s="113">
        <v>149</v>
      </c>
      <c r="G916" s="113">
        <v>140.30000000000001</v>
      </c>
      <c r="H916" s="113">
        <v>131</v>
      </c>
      <c r="I916" s="113">
        <v>11.8</v>
      </c>
      <c r="J916" s="113">
        <v>29.19</v>
      </c>
      <c r="K916" s="113">
        <v>55.8</v>
      </c>
    </row>
    <row r="917" spans="2:11" x14ac:dyDescent="0.25">
      <c r="B917" s="202"/>
      <c r="C917" s="113">
        <v>222.39400000000001</v>
      </c>
      <c r="D917" s="113">
        <v>8187</v>
      </c>
      <c r="E917" s="113">
        <v>914</v>
      </c>
      <c r="F917" s="113">
        <v>150</v>
      </c>
      <c r="G917" s="113">
        <v>140.69999999999999</v>
      </c>
      <c r="H917" s="113">
        <v>131.4</v>
      </c>
      <c r="I917" s="113">
        <v>11.9</v>
      </c>
      <c r="J917" s="113">
        <v>31.55</v>
      </c>
      <c r="K917" s="113">
        <v>55.5</v>
      </c>
    </row>
    <row r="918" spans="2:11" x14ac:dyDescent="0.25">
      <c r="B918" s="202"/>
      <c r="C918" s="113">
        <v>222.42</v>
      </c>
      <c r="D918" s="113">
        <v>8188</v>
      </c>
      <c r="E918" s="113">
        <v>915</v>
      </c>
      <c r="F918" s="113">
        <v>151</v>
      </c>
      <c r="G918" s="113">
        <v>141.1</v>
      </c>
      <c r="H918" s="113">
        <v>131.80000000000001</v>
      </c>
      <c r="I918" s="113">
        <v>12.5</v>
      </c>
      <c r="J918" s="113">
        <v>29.58</v>
      </c>
      <c r="K918" s="113">
        <v>54.5</v>
      </c>
    </row>
    <row r="919" spans="2:11" x14ac:dyDescent="0.25">
      <c r="B919" s="202"/>
      <c r="C919" s="113">
        <v>222.446</v>
      </c>
      <c r="D919" s="113">
        <v>8189</v>
      </c>
      <c r="E919" s="113">
        <v>916</v>
      </c>
      <c r="F919" s="113">
        <v>151</v>
      </c>
      <c r="G919" s="113">
        <v>141.4</v>
      </c>
      <c r="H919" s="113">
        <v>132.1</v>
      </c>
      <c r="I919" s="113">
        <v>12.9</v>
      </c>
      <c r="J919" s="113">
        <v>29.4</v>
      </c>
      <c r="K919" s="113">
        <v>53.5</v>
      </c>
    </row>
    <row r="920" spans="2:11" x14ac:dyDescent="0.25">
      <c r="B920" s="202"/>
      <c r="C920" s="113">
        <v>222.471</v>
      </c>
      <c r="D920" s="113">
        <v>8190</v>
      </c>
      <c r="E920" s="113">
        <v>917</v>
      </c>
      <c r="F920" s="113">
        <v>151</v>
      </c>
      <c r="G920" s="113">
        <v>141.4</v>
      </c>
      <c r="H920" s="113">
        <v>132.5</v>
      </c>
      <c r="I920" s="113">
        <v>12.8</v>
      </c>
      <c r="J920" s="113">
        <v>29.1</v>
      </c>
      <c r="K920" s="113">
        <v>52.1</v>
      </c>
    </row>
    <row r="921" spans="2:11" x14ac:dyDescent="0.25">
      <c r="B921" s="202"/>
      <c r="C921" s="113">
        <v>222.49600000000001</v>
      </c>
      <c r="D921" s="113">
        <v>8191</v>
      </c>
      <c r="E921" s="113">
        <v>918</v>
      </c>
      <c r="F921" s="113">
        <v>152</v>
      </c>
      <c r="G921" s="113">
        <v>141.69999999999999</v>
      </c>
      <c r="H921" s="113">
        <v>132.80000000000001</v>
      </c>
      <c r="I921" s="113">
        <v>12.1</v>
      </c>
      <c r="J921" s="113">
        <v>28.05</v>
      </c>
      <c r="K921" s="113">
        <v>51.9</v>
      </c>
    </row>
    <row r="922" spans="2:11" x14ac:dyDescent="0.25">
      <c r="B922" s="202"/>
      <c r="C922" s="113">
        <v>222.52099999999999</v>
      </c>
      <c r="D922" s="113">
        <v>8192</v>
      </c>
      <c r="E922" s="113">
        <v>919</v>
      </c>
      <c r="F922" s="113">
        <v>153</v>
      </c>
      <c r="G922" s="113">
        <v>142.30000000000001</v>
      </c>
      <c r="H922" s="113">
        <v>133.19999999999999</v>
      </c>
      <c r="I922" s="113">
        <v>10.3</v>
      </c>
      <c r="J922" s="113">
        <v>23.03</v>
      </c>
      <c r="K922" s="113">
        <v>51.9</v>
      </c>
    </row>
    <row r="923" spans="2:11" x14ac:dyDescent="0.25">
      <c r="B923" s="202"/>
      <c r="C923" s="113">
        <v>222.547</v>
      </c>
      <c r="D923" s="113">
        <v>8193</v>
      </c>
      <c r="E923" s="113">
        <v>920</v>
      </c>
      <c r="F923" s="113">
        <v>155</v>
      </c>
      <c r="G923" s="113">
        <v>143.1</v>
      </c>
      <c r="H923" s="113">
        <v>133.5</v>
      </c>
      <c r="I923" s="113">
        <v>8.9</v>
      </c>
      <c r="J923" s="113">
        <v>27.26</v>
      </c>
      <c r="K923" s="113">
        <v>51.9</v>
      </c>
    </row>
    <row r="924" spans="2:11" x14ac:dyDescent="0.25">
      <c r="B924" s="202"/>
      <c r="C924" s="113">
        <v>222.572</v>
      </c>
      <c r="D924" s="113">
        <v>8194</v>
      </c>
      <c r="E924" s="113">
        <v>921</v>
      </c>
      <c r="F924" s="113">
        <v>156</v>
      </c>
      <c r="G924" s="113">
        <v>143.9</v>
      </c>
      <c r="H924" s="113">
        <v>134</v>
      </c>
      <c r="I924" s="113">
        <v>7.2</v>
      </c>
      <c r="J924" s="113">
        <v>27.42</v>
      </c>
      <c r="K924" s="113">
        <v>51.9</v>
      </c>
    </row>
    <row r="925" spans="2:11" x14ac:dyDescent="0.25">
      <c r="B925" s="202"/>
      <c r="C925" s="113">
        <v>222.59700000000001</v>
      </c>
      <c r="D925" s="113">
        <v>8195</v>
      </c>
      <c r="E925" s="113">
        <v>922</v>
      </c>
      <c r="F925" s="113">
        <v>155</v>
      </c>
      <c r="G925" s="113">
        <v>144.1</v>
      </c>
      <c r="H925" s="113">
        <v>134.30000000000001</v>
      </c>
      <c r="I925" s="113">
        <v>8.3000000000000007</v>
      </c>
      <c r="J925" s="113">
        <v>31.3</v>
      </c>
      <c r="K925" s="113">
        <v>51.9</v>
      </c>
    </row>
    <row r="926" spans="2:11" x14ac:dyDescent="0.25">
      <c r="B926" s="202"/>
      <c r="C926" s="113">
        <v>222.62200000000001</v>
      </c>
      <c r="D926" s="113">
        <v>8196</v>
      </c>
      <c r="E926" s="113">
        <v>923</v>
      </c>
      <c r="F926" s="113">
        <v>154</v>
      </c>
      <c r="G926" s="113">
        <v>144.5</v>
      </c>
      <c r="H926" s="113">
        <v>134.80000000000001</v>
      </c>
      <c r="I926" s="113">
        <v>11.5</v>
      </c>
      <c r="J926" s="113">
        <v>33.159999999999997</v>
      </c>
      <c r="K926" s="113">
        <v>51.9</v>
      </c>
    </row>
    <row r="927" spans="2:11" x14ac:dyDescent="0.25">
      <c r="B927" s="202"/>
      <c r="C927" s="113">
        <v>222.64699999999999</v>
      </c>
      <c r="D927" s="113">
        <v>8197</v>
      </c>
      <c r="E927" s="113">
        <v>924</v>
      </c>
      <c r="F927" s="113">
        <v>154</v>
      </c>
      <c r="G927" s="113">
        <v>144.80000000000001</v>
      </c>
      <c r="H927" s="113">
        <v>135.1</v>
      </c>
      <c r="I927" s="113">
        <v>14.1</v>
      </c>
      <c r="J927" s="113">
        <v>31.48</v>
      </c>
      <c r="K927" s="113">
        <v>51.7</v>
      </c>
    </row>
    <row r="928" spans="2:11" x14ac:dyDescent="0.25">
      <c r="B928" s="202"/>
      <c r="C928" s="113">
        <v>222.67099999999999</v>
      </c>
      <c r="D928" s="113">
        <v>8198</v>
      </c>
      <c r="E928" s="113">
        <v>925</v>
      </c>
      <c r="F928" s="113">
        <v>155</v>
      </c>
      <c r="G928" s="113">
        <v>144.9</v>
      </c>
      <c r="H928" s="113">
        <v>135.6</v>
      </c>
      <c r="I928" s="113">
        <v>15.7</v>
      </c>
      <c r="J928" s="113">
        <v>30.5</v>
      </c>
      <c r="K928" s="113">
        <v>49.7</v>
      </c>
    </row>
    <row r="929" spans="2:11" x14ac:dyDescent="0.25">
      <c r="B929" s="202"/>
      <c r="C929" s="113">
        <v>222.696</v>
      </c>
      <c r="D929" s="113">
        <v>8199</v>
      </c>
      <c r="E929" s="113">
        <v>926</v>
      </c>
      <c r="F929" s="113">
        <v>155</v>
      </c>
      <c r="G929" s="113">
        <v>145.1</v>
      </c>
      <c r="H929" s="113">
        <v>135.9</v>
      </c>
      <c r="I929" s="113">
        <v>15.9</v>
      </c>
      <c r="J929" s="113">
        <v>29.77</v>
      </c>
      <c r="K929" s="113">
        <v>48.5</v>
      </c>
    </row>
    <row r="930" spans="2:11" x14ac:dyDescent="0.25">
      <c r="B930" s="202"/>
      <c r="C930" s="113">
        <v>222.721</v>
      </c>
      <c r="D930" s="113">
        <v>8200</v>
      </c>
      <c r="E930" s="113">
        <v>927</v>
      </c>
      <c r="F930" s="113">
        <v>156</v>
      </c>
      <c r="G930" s="113">
        <v>145.4</v>
      </c>
      <c r="H930" s="113">
        <v>136.4</v>
      </c>
      <c r="I930" s="113">
        <v>15.9</v>
      </c>
      <c r="J930" s="113">
        <v>28.33</v>
      </c>
      <c r="K930" s="113">
        <v>46.9</v>
      </c>
    </row>
    <row r="931" spans="2:11" x14ac:dyDescent="0.25">
      <c r="B931" s="202"/>
      <c r="C931" s="113">
        <v>222.74600000000001</v>
      </c>
      <c r="D931" s="113">
        <v>8201</v>
      </c>
      <c r="E931" s="113">
        <v>928</v>
      </c>
      <c r="F931" s="113">
        <v>157</v>
      </c>
      <c r="G931" s="113">
        <v>145.69999999999999</v>
      </c>
      <c r="H931" s="113">
        <v>136.80000000000001</v>
      </c>
      <c r="I931" s="113">
        <v>15.9</v>
      </c>
      <c r="J931" s="113">
        <v>29.44</v>
      </c>
      <c r="K931" s="113">
        <v>47.3</v>
      </c>
    </row>
    <row r="932" spans="2:11" x14ac:dyDescent="0.25">
      <c r="B932" s="202"/>
      <c r="C932" s="113">
        <v>222.77</v>
      </c>
      <c r="D932" s="113">
        <v>8202</v>
      </c>
      <c r="E932" s="113">
        <v>929</v>
      </c>
      <c r="F932" s="113">
        <v>157</v>
      </c>
      <c r="G932" s="113">
        <v>146.1</v>
      </c>
      <c r="H932" s="113">
        <v>137.30000000000001</v>
      </c>
      <c r="I932" s="113">
        <v>15.5</v>
      </c>
      <c r="J932" s="113">
        <v>28.53</v>
      </c>
      <c r="K932" s="113">
        <v>47.9</v>
      </c>
    </row>
    <row r="933" spans="2:11" x14ac:dyDescent="0.25">
      <c r="B933" s="202"/>
      <c r="C933" s="113">
        <v>222.79499999999999</v>
      </c>
      <c r="D933" s="113">
        <v>8203</v>
      </c>
      <c r="E933" s="113">
        <v>930</v>
      </c>
      <c r="F933" s="113">
        <v>158</v>
      </c>
      <c r="G933" s="113">
        <v>146.30000000000001</v>
      </c>
      <c r="H933" s="113">
        <v>137.69999999999999</v>
      </c>
      <c r="I933" s="113">
        <v>15</v>
      </c>
      <c r="J933" s="113">
        <v>28.08</v>
      </c>
      <c r="K933" s="113">
        <v>48.3</v>
      </c>
    </row>
    <row r="934" spans="2:11" x14ac:dyDescent="0.25">
      <c r="B934" s="202"/>
      <c r="C934" s="113">
        <v>222.81899999999999</v>
      </c>
      <c r="D934" s="113">
        <v>8204</v>
      </c>
      <c r="E934" s="113">
        <v>931</v>
      </c>
      <c r="F934" s="113">
        <v>158</v>
      </c>
      <c r="G934" s="113">
        <v>146.69999999999999</v>
      </c>
      <c r="H934" s="113">
        <v>138.1</v>
      </c>
      <c r="I934" s="113">
        <v>13.9</v>
      </c>
      <c r="J934" s="113">
        <v>27.45</v>
      </c>
      <c r="K934" s="113">
        <v>48.7</v>
      </c>
    </row>
    <row r="935" spans="2:11" x14ac:dyDescent="0.25">
      <c r="B935" s="202"/>
      <c r="C935" s="113">
        <v>222.84399999999999</v>
      </c>
      <c r="D935" s="113">
        <v>8205</v>
      </c>
      <c r="E935" s="113">
        <v>932</v>
      </c>
      <c r="F935" s="113">
        <v>159</v>
      </c>
      <c r="G935" s="113">
        <v>147.19999999999999</v>
      </c>
      <c r="H935" s="113">
        <v>138.6</v>
      </c>
      <c r="I935" s="113">
        <v>12.7</v>
      </c>
      <c r="J935" s="113">
        <v>27.33</v>
      </c>
      <c r="K935" s="113">
        <v>49.2</v>
      </c>
    </row>
    <row r="936" spans="2:11" x14ac:dyDescent="0.25">
      <c r="B936" s="202"/>
      <c r="C936" s="113">
        <v>222.86799999999999</v>
      </c>
      <c r="D936" s="113">
        <v>8206</v>
      </c>
      <c r="E936" s="113">
        <v>933</v>
      </c>
      <c r="F936" s="113">
        <v>160</v>
      </c>
      <c r="G936" s="113">
        <v>147.4</v>
      </c>
      <c r="H936" s="113">
        <v>138.9</v>
      </c>
      <c r="I936" s="113">
        <v>12.1</v>
      </c>
      <c r="J936" s="113">
        <v>27.36</v>
      </c>
      <c r="K936" s="113">
        <v>49.5</v>
      </c>
    </row>
    <row r="937" spans="2:11" x14ac:dyDescent="0.25">
      <c r="B937" s="202"/>
      <c r="C937" s="113">
        <v>222.893</v>
      </c>
      <c r="D937" s="113">
        <v>8207</v>
      </c>
      <c r="E937" s="113">
        <v>934</v>
      </c>
      <c r="F937" s="113">
        <v>160</v>
      </c>
      <c r="G937" s="113">
        <v>147.9</v>
      </c>
      <c r="H937" s="113">
        <v>139.4</v>
      </c>
      <c r="I937" s="113">
        <v>12</v>
      </c>
      <c r="J937" s="113">
        <v>25.81</v>
      </c>
      <c r="K937" s="113">
        <v>49.1</v>
      </c>
    </row>
    <row r="938" spans="2:11" x14ac:dyDescent="0.25">
      <c r="B938" s="202"/>
      <c r="C938" s="113">
        <v>222.917</v>
      </c>
      <c r="D938" s="113">
        <v>8208</v>
      </c>
      <c r="E938" s="113">
        <v>935</v>
      </c>
      <c r="F938" s="113">
        <v>159</v>
      </c>
      <c r="G938" s="113">
        <v>148.30000000000001</v>
      </c>
      <c r="H938" s="113">
        <v>139.69999999999999</v>
      </c>
      <c r="I938" s="113">
        <v>12</v>
      </c>
      <c r="J938" s="113">
        <v>23.87</v>
      </c>
      <c r="K938" s="113">
        <v>48</v>
      </c>
    </row>
    <row r="939" spans="2:11" x14ac:dyDescent="0.25">
      <c r="B939" s="202"/>
      <c r="C939" s="113">
        <v>222.941</v>
      </c>
      <c r="D939" s="113">
        <v>8209</v>
      </c>
      <c r="E939" s="113">
        <v>936</v>
      </c>
      <c r="F939" s="113">
        <v>160</v>
      </c>
      <c r="G939" s="113">
        <v>149</v>
      </c>
      <c r="H939" s="113">
        <v>140.19999999999999</v>
      </c>
      <c r="I939" s="113">
        <v>11.6</v>
      </c>
      <c r="J939" s="113">
        <v>21.69</v>
      </c>
      <c r="K939" s="113">
        <v>46.4</v>
      </c>
    </row>
    <row r="940" spans="2:11" x14ac:dyDescent="0.25">
      <c r="B940" s="202"/>
      <c r="C940" s="113">
        <v>222.96600000000001</v>
      </c>
      <c r="D940" s="113">
        <v>8210</v>
      </c>
      <c r="E940" s="113">
        <v>937</v>
      </c>
      <c r="F940" s="113">
        <v>161</v>
      </c>
      <c r="G940" s="113">
        <v>149.5</v>
      </c>
      <c r="H940" s="113">
        <v>140.5</v>
      </c>
      <c r="I940" s="113">
        <v>10.7</v>
      </c>
      <c r="J940" s="113">
        <v>23.21</v>
      </c>
      <c r="K940" s="113">
        <v>45.5</v>
      </c>
    </row>
    <row r="941" spans="2:11" x14ac:dyDescent="0.25">
      <c r="B941" s="202"/>
      <c r="C941" s="113">
        <v>222.989</v>
      </c>
      <c r="D941" s="113">
        <v>8211</v>
      </c>
      <c r="E941" s="113">
        <v>938</v>
      </c>
      <c r="F941" s="113">
        <v>162</v>
      </c>
      <c r="G941" s="113">
        <v>149.6</v>
      </c>
      <c r="H941" s="113">
        <v>140.9</v>
      </c>
      <c r="I941" s="113">
        <v>10.3</v>
      </c>
      <c r="J941" s="113">
        <v>24.5</v>
      </c>
      <c r="K941" s="113">
        <v>45.5</v>
      </c>
    </row>
    <row r="942" spans="2:11" x14ac:dyDescent="0.25">
      <c r="B942" s="202"/>
      <c r="C942" s="113">
        <v>223.01300000000001</v>
      </c>
      <c r="D942" s="113">
        <v>8212</v>
      </c>
      <c r="E942" s="113">
        <v>939</v>
      </c>
      <c r="F942" s="113">
        <v>161</v>
      </c>
      <c r="G942" s="113">
        <v>149.80000000000001</v>
      </c>
      <c r="H942" s="113">
        <v>141.4</v>
      </c>
      <c r="I942" s="113">
        <v>11.2</v>
      </c>
      <c r="J942" s="113">
        <v>24.63</v>
      </c>
      <c r="K942" s="113">
        <v>45.5</v>
      </c>
    </row>
    <row r="943" spans="2:11" x14ac:dyDescent="0.25">
      <c r="B943" s="202"/>
      <c r="C943" s="113">
        <v>223.03700000000001</v>
      </c>
      <c r="D943" s="113">
        <v>8213</v>
      </c>
      <c r="E943" s="113">
        <v>940</v>
      </c>
      <c r="F943" s="113">
        <v>160</v>
      </c>
      <c r="G943" s="113">
        <v>150.1</v>
      </c>
      <c r="H943" s="113">
        <v>141.69999999999999</v>
      </c>
      <c r="I943" s="113">
        <v>12.5</v>
      </c>
      <c r="J943" s="113">
        <v>21.26</v>
      </c>
      <c r="K943" s="113">
        <v>45.5</v>
      </c>
    </row>
    <row r="944" spans="2:11" x14ac:dyDescent="0.25">
      <c r="B944" s="202"/>
      <c r="C944" s="113">
        <v>223.06100000000001</v>
      </c>
      <c r="D944" s="113">
        <v>8214</v>
      </c>
      <c r="E944" s="113">
        <v>941</v>
      </c>
      <c r="F944" s="113">
        <v>161</v>
      </c>
      <c r="G944" s="113">
        <v>150.6</v>
      </c>
      <c r="H944" s="113">
        <v>142.30000000000001</v>
      </c>
      <c r="I944" s="113">
        <v>13.1</v>
      </c>
      <c r="J944" s="113">
        <v>19.62</v>
      </c>
      <c r="K944" s="113">
        <v>45.7</v>
      </c>
    </row>
    <row r="945" spans="2:11" x14ac:dyDescent="0.25">
      <c r="B945" s="202"/>
      <c r="C945" s="113">
        <v>223.08500000000001</v>
      </c>
      <c r="D945" s="113">
        <v>8215</v>
      </c>
      <c r="E945" s="113">
        <v>942</v>
      </c>
      <c r="F945" s="113">
        <v>162</v>
      </c>
      <c r="G945" s="113">
        <v>151.1</v>
      </c>
      <c r="H945" s="113">
        <v>142.6</v>
      </c>
      <c r="I945" s="113">
        <v>12.4</v>
      </c>
      <c r="J945" s="113">
        <v>19.579999999999998</v>
      </c>
      <c r="K945" s="113">
        <v>45.9</v>
      </c>
    </row>
    <row r="946" spans="2:11" x14ac:dyDescent="0.25">
      <c r="B946" s="202"/>
      <c r="C946" s="113">
        <v>223.10900000000001</v>
      </c>
      <c r="D946" s="113">
        <v>8216</v>
      </c>
      <c r="E946" s="113">
        <v>943</v>
      </c>
      <c r="F946" s="113">
        <v>163</v>
      </c>
      <c r="G946" s="113">
        <v>151.6</v>
      </c>
      <c r="H946" s="113">
        <v>143</v>
      </c>
      <c r="I946" s="113">
        <v>11.8</v>
      </c>
      <c r="J946" s="113">
        <v>21.29</v>
      </c>
      <c r="K946" s="113">
        <v>46.1</v>
      </c>
    </row>
    <row r="947" spans="2:11" x14ac:dyDescent="0.25">
      <c r="B947" s="202"/>
      <c r="C947" s="113">
        <v>223.13200000000001</v>
      </c>
      <c r="D947" s="113">
        <v>8217</v>
      </c>
      <c r="E947" s="113">
        <v>944</v>
      </c>
      <c r="F947" s="113">
        <v>163</v>
      </c>
      <c r="G947" s="113">
        <v>152.19999999999999</v>
      </c>
      <c r="H947" s="113">
        <v>143.5</v>
      </c>
      <c r="I947" s="113">
        <v>11.9</v>
      </c>
      <c r="J947" s="113">
        <v>21.53</v>
      </c>
      <c r="K947" s="113">
        <v>41.4</v>
      </c>
    </row>
    <row r="948" spans="2:11" x14ac:dyDescent="0.25">
      <c r="B948" s="202"/>
      <c r="C948" s="113">
        <v>223.15600000000001</v>
      </c>
      <c r="D948" s="113">
        <v>8218</v>
      </c>
      <c r="E948" s="113">
        <v>945</v>
      </c>
      <c r="F948" s="113">
        <v>163</v>
      </c>
      <c r="G948" s="113">
        <v>152.6</v>
      </c>
      <c r="H948" s="113">
        <v>143.9</v>
      </c>
      <c r="I948" s="113">
        <v>12.9</v>
      </c>
      <c r="J948" s="113">
        <v>25.46</v>
      </c>
      <c r="K948" s="113">
        <v>34.4</v>
      </c>
    </row>
    <row r="949" spans="2:11" x14ac:dyDescent="0.25">
      <c r="B949" s="202"/>
      <c r="C949" s="113">
        <v>223.18</v>
      </c>
      <c r="D949" s="113">
        <v>8219</v>
      </c>
      <c r="E949" s="113">
        <v>946</v>
      </c>
      <c r="F949" s="113">
        <v>163</v>
      </c>
      <c r="G949" s="113">
        <v>153</v>
      </c>
      <c r="H949" s="113">
        <v>144.4</v>
      </c>
      <c r="I949" s="113">
        <v>14.4</v>
      </c>
      <c r="J949" s="113">
        <v>26.3</v>
      </c>
      <c r="K949" s="113">
        <v>24</v>
      </c>
    </row>
    <row r="950" spans="2:11" x14ac:dyDescent="0.25">
      <c r="B950" s="202"/>
      <c r="C950" s="113">
        <v>223.203</v>
      </c>
      <c r="D950" s="113">
        <v>8220</v>
      </c>
      <c r="E950" s="113">
        <v>947</v>
      </c>
      <c r="F950" s="113">
        <v>163</v>
      </c>
      <c r="G950" s="113">
        <v>153.30000000000001</v>
      </c>
      <c r="H950" s="113">
        <v>144.80000000000001</v>
      </c>
      <c r="I950" s="113">
        <v>15</v>
      </c>
      <c r="J950" s="113">
        <v>25.26</v>
      </c>
      <c r="K950" s="113">
        <v>20</v>
      </c>
    </row>
    <row r="951" spans="2:11" x14ac:dyDescent="0.25">
      <c r="B951" s="202"/>
      <c r="C951" s="113">
        <v>223.227</v>
      </c>
      <c r="D951" s="113">
        <v>8221</v>
      </c>
      <c r="E951" s="113">
        <v>948</v>
      </c>
      <c r="F951" s="113">
        <v>164</v>
      </c>
      <c r="G951" s="113">
        <v>153.30000000000001</v>
      </c>
      <c r="H951" s="113">
        <v>145.1</v>
      </c>
      <c r="I951" s="113">
        <v>15</v>
      </c>
      <c r="J951" s="113">
        <v>26.86</v>
      </c>
      <c r="K951" s="113">
        <v>28.9</v>
      </c>
    </row>
    <row r="952" spans="2:11" x14ac:dyDescent="0.25">
      <c r="B952" s="202"/>
      <c r="C952" s="113">
        <v>223.25</v>
      </c>
      <c r="D952" s="113">
        <v>8222</v>
      </c>
      <c r="E952" s="113">
        <v>949</v>
      </c>
      <c r="F952" s="113">
        <v>164</v>
      </c>
      <c r="G952" s="113">
        <v>153.6</v>
      </c>
      <c r="H952" s="113">
        <v>145.69999999999999</v>
      </c>
      <c r="I952" s="113">
        <v>13.9</v>
      </c>
      <c r="J952" s="113">
        <v>27.82</v>
      </c>
      <c r="K952" s="113">
        <v>42.4</v>
      </c>
    </row>
    <row r="953" spans="2:11" x14ac:dyDescent="0.25">
      <c r="B953" s="202"/>
      <c r="C953" s="113">
        <v>223.274</v>
      </c>
      <c r="D953" s="113">
        <v>8223</v>
      </c>
      <c r="E953" s="113">
        <v>950</v>
      </c>
      <c r="F953" s="113">
        <v>165</v>
      </c>
      <c r="G953" s="113">
        <v>154.19999999999999</v>
      </c>
      <c r="H953" s="113">
        <v>146.19999999999999</v>
      </c>
      <c r="I953" s="113">
        <v>13.9</v>
      </c>
      <c r="J953" s="113">
        <v>22.85</v>
      </c>
      <c r="K953" s="113">
        <v>51.4</v>
      </c>
    </row>
    <row r="954" spans="2:11" x14ac:dyDescent="0.25">
      <c r="B954" s="202"/>
      <c r="C954" s="113">
        <v>223.297</v>
      </c>
      <c r="D954" s="113">
        <v>8224</v>
      </c>
      <c r="E954" s="113">
        <v>951</v>
      </c>
      <c r="F954" s="113">
        <v>166</v>
      </c>
      <c r="G954" s="113">
        <v>154.69999999999999</v>
      </c>
      <c r="H954" s="113">
        <v>146.6</v>
      </c>
      <c r="I954" s="113">
        <v>12.7</v>
      </c>
      <c r="J954" s="113">
        <v>21.12</v>
      </c>
      <c r="K954" s="113">
        <v>53.7</v>
      </c>
    </row>
    <row r="955" spans="2:11" x14ac:dyDescent="0.25">
      <c r="B955" s="202"/>
      <c r="C955" s="113">
        <v>223.32</v>
      </c>
      <c r="D955" s="113">
        <v>8225</v>
      </c>
      <c r="E955" s="113">
        <v>952</v>
      </c>
      <c r="F955" s="113">
        <v>167</v>
      </c>
      <c r="G955" s="113">
        <v>155.4</v>
      </c>
      <c r="H955" s="113">
        <v>147.19999999999999</v>
      </c>
      <c r="I955" s="113">
        <v>9.3000000000000007</v>
      </c>
      <c r="J955" s="113">
        <v>24.71</v>
      </c>
      <c r="K955" s="113">
        <v>52.6</v>
      </c>
    </row>
    <row r="956" spans="2:11" x14ac:dyDescent="0.25">
      <c r="B956" s="202"/>
      <c r="C956" s="113">
        <v>223.34299999999999</v>
      </c>
      <c r="D956" s="113">
        <v>8226</v>
      </c>
      <c r="E956" s="113">
        <v>953</v>
      </c>
      <c r="F956" s="113">
        <v>168</v>
      </c>
      <c r="G956" s="113">
        <v>155.9</v>
      </c>
      <c r="H956" s="113">
        <v>147.69999999999999</v>
      </c>
      <c r="I956" s="113">
        <v>8.6</v>
      </c>
      <c r="J956" s="113">
        <v>26.3</v>
      </c>
      <c r="K956" s="113">
        <v>51.9</v>
      </c>
    </row>
    <row r="957" spans="2:11" x14ac:dyDescent="0.25">
      <c r="B957" s="202"/>
      <c r="C957" s="113">
        <v>223.36600000000001</v>
      </c>
      <c r="D957" s="113">
        <v>8227</v>
      </c>
      <c r="E957" s="113">
        <v>954</v>
      </c>
      <c r="F957" s="113">
        <v>168</v>
      </c>
      <c r="G957" s="113">
        <v>156.30000000000001</v>
      </c>
      <c r="H957" s="113">
        <v>148.1</v>
      </c>
      <c r="I957" s="113">
        <v>8.9</v>
      </c>
      <c r="J957" s="113">
        <v>22.17</v>
      </c>
      <c r="K957" s="113">
        <v>51.3</v>
      </c>
    </row>
    <row r="958" spans="2:11" x14ac:dyDescent="0.25">
      <c r="B958" s="202"/>
      <c r="C958" s="113">
        <v>223.38900000000001</v>
      </c>
      <c r="D958" s="113">
        <v>8228</v>
      </c>
      <c r="E958" s="113">
        <v>955</v>
      </c>
      <c r="F958" s="113">
        <v>168</v>
      </c>
      <c r="G958" s="113">
        <v>156.69999999999999</v>
      </c>
      <c r="H958" s="113">
        <v>148.5</v>
      </c>
      <c r="I958" s="113">
        <v>9.4</v>
      </c>
      <c r="J958" s="113">
        <v>21.64</v>
      </c>
      <c r="K958" s="113">
        <v>51.3</v>
      </c>
    </row>
    <row r="959" spans="2:11" x14ac:dyDescent="0.25">
      <c r="B959" s="202"/>
      <c r="C959" s="113">
        <v>223.41200000000001</v>
      </c>
      <c r="D959" s="113">
        <v>8229</v>
      </c>
      <c r="E959" s="113">
        <v>956</v>
      </c>
      <c r="F959" s="113">
        <v>168</v>
      </c>
      <c r="G959" s="113">
        <v>157</v>
      </c>
      <c r="H959" s="113">
        <v>149.1</v>
      </c>
      <c r="I959" s="113">
        <v>8.8000000000000007</v>
      </c>
      <c r="J959" s="113">
        <v>23.27</v>
      </c>
      <c r="K959" s="113">
        <v>51.3</v>
      </c>
    </row>
    <row r="960" spans="2:11" x14ac:dyDescent="0.25">
      <c r="B960" s="202"/>
      <c r="C960" s="113">
        <v>223.435</v>
      </c>
      <c r="D960" s="113">
        <v>8230</v>
      </c>
      <c r="E960" s="113">
        <v>957</v>
      </c>
      <c r="F960" s="113">
        <v>169</v>
      </c>
      <c r="G960" s="113">
        <v>157.19999999999999</v>
      </c>
      <c r="H960" s="113">
        <v>149.5</v>
      </c>
      <c r="I960" s="113">
        <v>8.4</v>
      </c>
      <c r="J960" s="113">
        <v>21.66</v>
      </c>
      <c r="K960" s="113">
        <v>51.3</v>
      </c>
    </row>
    <row r="961" spans="2:11" x14ac:dyDescent="0.25">
      <c r="B961" s="202"/>
      <c r="C961" s="113">
        <v>223.458</v>
      </c>
      <c r="D961" s="113">
        <v>8231</v>
      </c>
      <c r="E961" s="113">
        <v>958</v>
      </c>
      <c r="F961" s="113">
        <v>169</v>
      </c>
      <c r="G961" s="113">
        <v>157.4</v>
      </c>
      <c r="H961" s="113">
        <v>149.9</v>
      </c>
      <c r="I961" s="113">
        <v>8.5</v>
      </c>
      <c r="J961" s="113">
        <v>19.86</v>
      </c>
      <c r="K961" s="113">
        <v>50.2</v>
      </c>
    </row>
    <row r="962" spans="2:11" x14ac:dyDescent="0.25">
      <c r="B962" s="202"/>
      <c r="C962" s="113">
        <v>223.48099999999999</v>
      </c>
      <c r="D962" s="113">
        <v>8232</v>
      </c>
      <c r="E962" s="113">
        <v>959</v>
      </c>
      <c r="F962" s="113">
        <v>169</v>
      </c>
      <c r="G962" s="113">
        <v>157.69999999999999</v>
      </c>
      <c r="H962" s="113">
        <v>150.5</v>
      </c>
      <c r="I962" s="113">
        <v>8.1999999999999993</v>
      </c>
      <c r="J962" s="113">
        <v>18.82</v>
      </c>
      <c r="K962" s="113">
        <v>47.7</v>
      </c>
    </row>
    <row r="963" spans="2:11" x14ac:dyDescent="0.25">
      <c r="B963" s="202"/>
      <c r="C963" s="113">
        <v>223.50399999999999</v>
      </c>
      <c r="D963" s="113">
        <v>8233</v>
      </c>
      <c r="E963" s="113">
        <v>960</v>
      </c>
      <c r="F963" s="113">
        <v>170</v>
      </c>
      <c r="G963" s="113">
        <v>158</v>
      </c>
      <c r="H963" s="113">
        <v>150.9</v>
      </c>
      <c r="I963" s="113">
        <v>7.7</v>
      </c>
      <c r="J963" s="113">
        <v>17.63</v>
      </c>
      <c r="K963" s="113">
        <v>46</v>
      </c>
    </row>
    <row r="964" spans="2:11" x14ac:dyDescent="0.25">
      <c r="B964" s="202"/>
      <c r="C964" s="113">
        <v>223.52600000000001</v>
      </c>
      <c r="D964" s="113">
        <v>8234</v>
      </c>
      <c r="E964" s="113">
        <v>961</v>
      </c>
      <c r="F964" s="113">
        <v>170</v>
      </c>
      <c r="G964" s="113">
        <v>158.19999999999999</v>
      </c>
      <c r="H964" s="113">
        <v>151.30000000000001</v>
      </c>
      <c r="I964" s="113">
        <v>7.4</v>
      </c>
      <c r="J964" s="113">
        <v>16.260000000000002</v>
      </c>
      <c r="K964" s="113">
        <v>44.7</v>
      </c>
    </row>
    <row r="965" spans="2:11" x14ac:dyDescent="0.25">
      <c r="B965" s="202"/>
      <c r="C965" s="113">
        <v>223.54900000000001</v>
      </c>
      <c r="D965" s="113">
        <v>8235</v>
      </c>
      <c r="E965" s="113">
        <v>962</v>
      </c>
      <c r="F965" s="113">
        <v>171</v>
      </c>
      <c r="G965" s="113">
        <v>158.4</v>
      </c>
      <c r="H965" s="113">
        <v>151.69999999999999</v>
      </c>
      <c r="I965" s="113">
        <v>6.3</v>
      </c>
      <c r="J965" s="113">
        <v>16.27</v>
      </c>
      <c r="K965" s="113">
        <v>44.3</v>
      </c>
    </row>
    <row r="966" spans="2:11" x14ac:dyDescent="0.25">
      <c r="B966" s="202"/>
      <c r="C966" s="113">
        <v>223.572</v>
      </c>
      <c r="D966" s="113">
        <v>8236</v>
      </c>
      <c r="E966" s="113">
        <v>963</v>
      </c>
      <c r="F966" s="113">
        <v>172</v>
      </c>
      <c r="G966" s="113">
        <v>158.9</v>
      </c>
      <c r="H966" s="113">
        <v>152.30000000000001</v>
      </c>
      <c r="I966" s="113">
        <v>4.9000000000000004</v>
      </c>
      <c r="J966" s="113">
        <v>12.68</v>
      </c>
      <c r="K966" s="113">
        <v>43.7</v>
      </c>
    </row>
    <row r="967" spans="2:11" x14ac:dyDescent="0.25">
      <c r="B967" s="202"/>
      <c r="C967" s="113">
        <v>223.59399999999999</v>
      </c>
      <c r="D967" s="113">
        <v>8237</v>
      </c>
      <c r="E967" s="113">
        <v>964</v>
      </c>
      <c r="F967" s="113">
        <v>173</v>
      </c>
      <c r="G967" s="113">
        <v>159.4</v>
      </c>
      <c r="H967" s="113">
        <v>152.69999999999999</v>
      </c>
      <c r="I967" s="113">
        <v>3.9</v>
      </c>
      <c r="J967" s="113">
        <v>11.67</v>
      </c>
      <c r="K967" s="113">
        <v>43.4</v>
      </c>
    </row>
    <row r="968" spans="2:11" x14ac:dyDescent="0.25">
      <c r="B968" s="202"/>
      <c r="C968" s="113">
        <v>223.61699999999999</v>
      </c>
      <c r="D968" s="113">
        <v>8238</v>
      </c>
      <c r="E968" s="113">
        <v>965</v>
      </c>
      <c r="F968" s="113">
        <v>173</v>
      </c>
      <c r="G968" s="113">
        <v>159.69999999999999</v>
      </c>
      <c r="H968" s="113">
        <v>153.1</v>
      </c>
      <c r="I968" s="113">
        <v>3.3</v>
      </c>
      <c r="J968" s="113">
        <v>11.31</v>
      </c>
      <c r="K968" s="113">
        <v>41.9</v>
      </c>
    </row>
    <row r="969" spans="2:11" x14ac:dyDescent="0.25">
      <c r="B969" s="202"/>
      <c r="C969" s="113">
        <v>223.63900000000001</v>
      </c>
      <c r="D969" s="113">
        <v>8239</v>
      </c>
      <c r="E969" s="113">
        <v>966</v>
      </c>
      <c r="F969" s="113">
        <v>173</v>
      </c>
      <c r="G969" s="113">
        <v>159.69999999999999</v>
      </c>
      <c r="H969" s="113">
        <v>153.5</v>
      </c>
      <c r="I969" s="113">
        <v>3.1</v>
      </c>
      <c r="J969" s="113">
        <v>11.22</v>
      </c>
      <c r="K969" s="113">
        <v>39.9</v>
      </c>
    </row>
    <row r="970" spans="2:11" x14ac:dyDescent="0.25">
      <c r="B970" s="202"/>
      <c r="C970" s="113">
        <v>223.66200000000001</v>
      </c>
      <c r="D970" s="113">
        <v>8240</v>
      </c>
      <c r="E970" s="113">
        <v>967</v>
      </c>
      <c r="F970" s="113">
        <v>173</v>
      </c>
      <c r="G970" s="113">
        <v>160.4</v>
      </c>
      <c r="H970" s="113">
        <v>154</v>
      </c>
      <c r="I970" s="113">
        <v>3.9</v>
      </c>
      <c r="J970" s="113">
        <v>9.48</v>
      </c>
      <c r="K970" s="113">
        <v>37</v>
      </c>
    </row>
    <row r="971" spans="2:11" x14ac:dyDescent="0.25">
      <c r="B971" s="202"/>
      <c r="C971" s="113">
        <v>223.684</v>
      </c>
      <c r="D971" s="113">
        <v>8241</v>
      </c>
      <c r="E971" s="113">
        <v>968</v>
      </c>
      <c r="F971" s="113">
        <v>173</v>
      </c>
      <c r="G971" s="113">
        <v>160.9</v>
      </c>
      <c r="H971" s="113">
        <v>154.4</v>
      </c>
      <c r="I971" s="113">
        <v>3.6</v>
      </c>
      <c r="J971" s="113">
        <v>9.68</v>
      </c>
      <c r="K971" s="113">
        <v>34.9</v>
      </c>
    </row>
    <row r="972" spans="2:11" x14ac:dyDescent="0.25">
      <c r="B972" s="202"/>
      <c r="C972" s="113">
        <v>223.70599999999999</v>
      </c>
      <c r="D972" s="113">
        <v>8242</v>
      </c>
      <c r="E972" s="113">
        <v>969</v>
      </c>
      <c r="F972" s="113">
        <v>174</v>
      </c>
      <c r="G972" s="113">
        <v>161.19999999999999</v>
      </c>
      <c r="H972" s="113">
        <v>154.80000000000001</v>
      </c>
      <c r="I972" s="113">
        <v>3.2</v>
      </c>
      <c r="J972" s="113">
        <v>9.9600000000000009</v>
      </c>
      <c r="K972" s="113">
        <v>32.5</v>
      </c>
    </row>
    <row r="973" spans="2:11" ht="15.75" thickBot="1" x14ac:dyDescent="0.3">
      <c r="B973" s="202"/>
      <c r="C973" s="113">
        <v>223.72900000000001</v>
      </c>
      <c r="D973" s="113">
        <v>8243</v>
      </c>
      <c r="E973" s="113">
        <v>970</v>
      </c>
      <c r="F973" s="113">
        <v>175</v>
      </c>
      <c r="G973" s="113">
        <v>161.5</v>
      </c>
      <c r="H973" s="113">
        <v>155.1</v>
      </c>
      <c r="I973" s="113">
        <v>2.5</v>
      </c>
      <c r="J973" s="113">
        <v>11.68</v>
      </c>
      <c r="K973" s="113">
        <v>30.1</v>
      </c>
    </row>
    <row r="974" spans="2:11" x14ac:dyDescent="0.25">
      <c r="B974" s="184" t="s">
        <v>191</v>
      </c>
      <c r="C974" s="113">
        <v>223.751</v>
      </c>
      <c r="D974" s="113">
        <v>8244</v>
      </c>
      <c r="E974" s="113">
        <v>971</v>
      </c>
      <c r="F974" s="113">
        <v>176</v>
      </c>
      <c r="G974" s="113">
        <v>161.9</v>
      </c>
      <c r="H974" s="113">
        <v>155.6</v>
      </c>
      <c r="I974" s="113">
        <v>2.6</v>
      </c>
      <c r="J974" s="113">
        <v>9.6199999999999992</v>
      </c>
      <c r="K974" s="113">
        <v>26.3</v>
      </c>
    </row>
    <row r="975" spans="2:11" x14ac:dyDescent="0.25">
      <c r="B975" s="185"/>
      <c r="C975" s="113">
        <v>223.773</v>
      </c>
      <c r="D975" s="113">
        <v>8245</v>
      </c>
      <c r="E975" s="113">
        <v>972</v>
      </c>
      <c r="F975" s="113">
        <v>176</v>
      </c>
      <c r="G975" s="113">
        <v>162.4</v>
      </c>
      <c r="H975" s="113">
        <v>156</v>
      </c>
      <c r="I975" s="113">
        <v>2.8</v>
      </c>
      <c r="J975" s="113">
        <v>9.5</v>
      </c>
      <c r="K975" s="113">
        <v>25.6</v>
      </c>
    </row>
    <row r="976" spans="2:11" x14ac:dyDescent="0.25">
      <c r="B976" s="185"/>
      <c r="C976" s="113">
        <v>223.79599999999999</v>
      </c>
      <c r="D976" s="113">
        <v>8246</v>
      </c>
      <c r="E976" s="113">
        <v>973</v>
      </c>
      <c r="F976" s="113">
        <v>175</v>
      </c>
      <c r="G976" s="113">
        <v>162.9</v>
      </c>
      <c r="H976" s="113">
        <v>156.4</v>
      </c>
      <c r="I976" s="113">
        <v>4.2</v>
      </c>
      <c r="J976" s="113">
        <v>8.59</v>
      </c>
      <c r="K976" s="113">
        <v>25.6</v>
      </c>
    </row>
    <row r="977" spans="2:11" x14ac:dyDescent="0.25">
      <c r="B977" s="185"/>
      <c r="C977" s="113">
        <v>223.81700000000001</v>
      </c>
      <c r="D977" s="113">
        <v>8247</v>
      </c>
      <c r="E977" s="113">
        <v>974</v>
      </c>
      <c r="F977" s="113">
        <v>175</v>
      </c>
      <c r="G977" s="113">
        <v>163.4</v>
      </c>
      <c r="H977" s="113">
        <v>156.69999999999999</v>
      </c>
      <c r="I977" s="113">
        <v>5.2</v>
      </c>
      <c r="J977" s="113">
        <v>9.39</v>
      </c>
      <c r="K977" s="113">
        <v>25.6</v>
      </c>
    </row>
    <row r="978" spans="2:11" x14ac:dyDescent="0.25">
      <c r="B978" s="185"/>
      <c r="C978" s="113">
        <v>223.839</v>
      </c>
      <c r="D978" s="113">
        <v>8248</v>
      </c>
      <c r="E978" s="113">
        <v>975</v>
      </c>
      <c r="F978" s="113">
        <v>174</v>
      </c>
      <c r="G978" s="113">
        <v>163.80000000000001</v>
      </c>
      <c r="H978" s="113">
        <v>157.1</v>
      </c>
      <c r="I978" s="113">
        <v>6.8</v>
      </c>
      <c r="J978" s="113">
        <v>10.24</v>
      </c>
      <c r="K978" s="113">
        <v>25.6</v>
      </c>
    </row>
    <row r="979" spans="2:11" x14ac:dyDescent="0.25">
      <c r="B979" s="185"/>
      <c r="C979" s="113">
        <v>223.86099999999999</v>
      </c>
      <c r="D979" s="113">
        <v>8249</v>
      </c>
      <c r="E979" s="113">
        <v>976</v>
      </c>
      <c r="F979" s="113">
        <v>174</v>
      </c>
      <c r="G979" s="113">
        <v>164.2</v>
      </c>
      <c r="H979" s="113">
        <v>157.5</v>
      </c>
      <c r="I979" s="113">
        <v>9.3000000000000007</v>
      </c>
      <c r="J979" s="113">
        <v>16.52</v>
      </c>
      <c r="K979" s="113">
        <v>24.7</v>
      </c>
    </row>
    <row r="980" spans="2:11" x14ac:dyDescent="0.25">
      <c r="B980" s="185"/>
      <c r="C980" s="113">
        <v>223.88300000000001</v>
      </c>
      <c r="D980" s="113">
        <v>8250</v>
      </c>
      <c r="E980" s="113">
        <v>977</v>
      </c>
      <c r="F980" s="113">
        <v>174</v>
      </c>
      <c r="G980" s="113">
        <v>164.4</v>
      </c>
      <c r="H980" s="113">
        <v>157.80000000000001</v>
      </c>
      <c r="I980" s="113">
        <v>11.1</v>
      </c>
      <c r="J980" s="113">
        <v>17.399999999999999</v>
      </c>
      <c r="K980" s="113">
        <v>23.7</v>
      </c>
    </row>
    <row r="981" spans="2:11" x14ac:dyDescent="0.25">
      <c r="B981" s="185"/>
      <c r="C981" s="113">
        <v>223.905</v>
      </c>
      <c r="D981" s="113">
        <v>8251</v>
      </c>
      <c r="E981" s="113">
        <v>978</v>
      </c>
      <c r="F981" s="113">
        <v>173</v>
      </c>
      <c r="G981" s="113">
        <v>164.6</v>
      </c>
      <c r="H981" s="113">
        <v>158.1</v>
      </c>
      <c r="I981" s="113">
        <v>12.3</v>
      </c>
      <c r="J981" s="113">
        <v>19.3</v>
      </c>
      <c r="K981" s="113">
        <v>22.9</v>
      </c>
    </row>
    <row r="982" spans="2:11" x14ac:dyDescent="0.25">
      <c r="B982" s="185"/>
      <c r="C982" s="113">
        <v>223.92699999999999</v>
      </c>
      <c r="D982" s="113">
        <v>8252</v>
      </c>
      <c r="E982" s="113">
        <v>979</v>
      </c>
      <c r="F982" s="113">
        <v>173</v>
      </c>
      <c r="G982" s="113">
        <v>164.7</v>
      </c>
      <c r="H982" s="113">
        <v>158.4</v>
      </c>
      <c r="I982" s="113">
        <v>13</v>
      </c>
      <c r="J982" s="113">
        <v>18.440000000000001</v>
      </c>
      <c r="K982" s="113">
        <v>22.5</v>
      </c>
    </row>
    <row r="983" spans="2:11" x14ac:dyDescent="0.25">
      <c r="B983" s="185"/>
      <c r="C983" s="113">
        <v>223.94900000000001</v>
      </c>
      <c r="D983" s="113">
        <v>8253</v>
      </c>
      <c r="E983" s="113">
        <v>980</v>
      </c>
      <c r="F983" s="113">
        <v>174</v>
      </c>
      <c r="G983" s="113">
        <v>164.5</v>
      </c>
      <c r="H983" s="113">
        <v>158.69999999999999</v>
      </c>
      <c r="I983" s="113">
        <v>12.9</v>
      </c>
      <c r="J983" s="113">
        <v>18.079999999999998</v>
      </c>
      <c r="K983" s="113">
        <v>23.5</v>
      </c>
    </row>
    <row r="984" spans="2:11" x14ac:dyDescent="0.25">
      <c r="B984" s="185"/>
      <c r="C984" s="113">
        <v>223.971</v>
      </c>
      <c r="D984" s="113">
        <v>8254</v>
      </c>
      <c r="E984" s="113">
        <v>981</v>
      </c>
      <c r="F984" s="113">
        <v>174</v>
      </c>
      <c r="G984" s="113">
        <v>164.8</v>
      </c>
      <c r="H984" s="113">
        <v>159.1</v>
      </c>
      <c r="I984" s="113">
        <v>11.7</v>
      </c>
      <c r="J984" s="113">
        <v>18.190000000000001</v>
      </c>
      <c r="K984" s="113">
        <v>24.9</v>
      </c>
    </row>
    <row r="985" spans="2:11" x14ac:dyDescent="0.25">
      <c r="B985" s="185"/>
      <c r="C985" s="113">
        <v>223.99299999999999</v>
      </c>
      <c r="D985" s="113">
        <v>8255</v>
      </c>
      <c r="E985" s="113">
        <v>982</v>
      </c>
      <c r="F985" s="113">
        <v>174</v>
      </c>
      <c r="G985" s="113">
        <v>165.2</v>
      </c>
      <c r="H985" s="113">
        <v>159.5</v>
      </c>
      <c r="I985" s="113">
        <v>11.4</v>
      </c>
      <c r="J985" s="113">
        <v>15.1</v>
      </c>
      <c r="K985" s="113">
        <v>25.8</v>
      </c>
    </row>
    <row r="986" spans="2:11" x14ac:dyDescent="0.25">
      <c r="B986" s="185"/>
      <c r="C986" s="113">
        <v>224.01400000000001</v>
      </c>
      <c r="D986" s="113">
        <v>8256</v>
      </c>
      <c r="E986" s="113">
        <v>983</v>
      </c>
      <c r="F986" s="113">
        <v>174</v>
      </c>
      <c r="G986" s="113">
        <v>165.4</v>
      </c>
      <c r="H986" s="113">
        <v>159.80000000000001</v>
      </c>
      <c r="I986" s="113">
        <v>9.1</v>
      </c>
      <c r="J986" s="113">
        <v>14.97</v>
      </c>
      <c r="K986" s="113">
        <v>26.5</v>
      </c>
    </row>
    <row r="987" spans="2:11" x14ac:dyDescent="0.25">
      <c r="B987" s="185"/>
      <c r="C987" s="113">
        <v>224.036</v>
      </c>
      <c r="D987" s="113">
        <v>8257</v>
      </c>
      <c r="E987" s="113">
        <v>984</v>
      </c>
      <c r="F987" s="113">
        <v>175</v>
      </c>
      <c r="G987" s="113">
        <v>165.5</v>
      </c>
      <c r="H987" s="113">
        <v>160.1</v>
      </c>
      <c r="I987" s="113">
        <v>6.4</v>
      </c>
      <c r="J987" s="113">
        <v>17.5</v>
      </c>
      <c r="K987" s="113">
        <v>27</v>
      </c>
    </row>
    <row r="988" spans="2:11" x14ac:dyDescent="0.25">
      <c r="B988" s="185"/>
      <c r="C988" s="113">
        <v>224.05799999999999</v>
      </c>
      <c r="D988" s="113">
        <v>8258</v>
      </c>
      <c r="E988" s="113">
        <v>985</v>
      </c>
      <c r="F988" s="113">
        <v>175</v>
      </c>
      <c r="G988" s="113">
        <v>165.7</v>
      </c>
      <c r="H988" s="113">
        <v>160.4</v>
      </c>
      <c r="I988" s="113">
        <v>5.2</v>
      </c>
      <c r="J988" s="113">
        <v>16.11</v>
      </c>
      <c r="K988" s="113">
        <v>27.5</v>
      </c>
    </row>
    <row r="989" spans="2:11" x14ac:dyDescent="0.25">
      <c r="B989" s="185"/>
      <c r="C989" s="113">
        <v>224.07900000000001</v>
      </c>
      <c r="D989" s="113">
        <v>8259</v>
      </c>
      <c r="E989" s="113">
        <v>986</v>
      </c>
      <c r="F989" s="113">
        <v>175</v>
      </c>
      <c r="G989" s="113">
        <v>166</v>
      </c>
      <c r="H989" s="113">
        <v>160.80000000000001</v>
      </c>
      <c r="I989" s="113">
        <v>5</v>
      </c>
      <c r="J989" s="113">
        <v>13.33</v>
      </c>
      <c r="K989" s="113">
        <v>28</v>
      </c>
    </row>
    <row r="990" spans="2:11" x14ac:dyDescent="0.25">
      <c r="B990" s="185"/>
      <c r="C990" s="113">
        <v>224.101</v>
      </c>
      <c r="D990" s="113">
        <v>8260</v>
      </c>
      <c r="E990" s="113">
        <v>987</v>
      </c>
      <c r="F990" s="113">
        <v>175</v>
      </c>
      <c r="G990" s="113">
        <v>166.5</v>
      </c>
      <c r="H990" s="113">
        <v>161.19999999999999</v>
      </c>
      <c r="I990" s="113">
        <v>3</v>
      </c>
      <c r="J990" s="113">
        <v>12.03</v>
      </c>
      <c r="K990" s="113">
        <v>22</v>
      </c>
    </row>
    <row r="991" spans="2:11" x14ac:dyDescent="0.25">
      <c r="B991" s="185"/>
      <c r="C991" s="113">
        <v>224.12299999999999</v>
      </c>
      <c r="D991" s="113">
        <v>8261</v>
      </c>
      <c r="E991" s="113">
        <v>988</v>
      </c>
      <c r="F991" s="113">
        <v>175</v>
      </c>
      <c r="G991" s="113">
        <v>166.8</v>
      </c>
      <c r="H991" s="113">
        <v>161.6</v>
      </c>
      <c r="I991" s="113">
        <v>2.6</v>
      </c>
      <c r="J991" s="113">
        <v>11.35</v>
      </c>
      <c r="K991" s="113">
        <v>16.8</v>
      </c>
    </row>
    <row r="992" spans="2:11" x14ac:dyDescent="0.25">
      <c r="B992" s="185"/>
      <c r="C992" s="113">
        <v>224.14400000000001</v>
      </c>
      <c r="D992" s="113">
        <v>8262</v>
      </c>
      <c r="E992" s="113">
        <v>989</v>
      </c>
      <c r="F992" s="113">
        <v>175</v>
      </c>
      <c r="G992" s="113">
        <v>167.1</v>
      </c>
      <c r="H992" s="113">
        <v>161.9</v>
      </c>
      <c r="I992" s="113">
        <v>2.2999999999999998</v>
      </c>
      <c r="J992" s="113">
        <v>11.35</v>
      </c>
      <c r="K992" s="113">
        <v>11.6</v>
      </c>
    </row>
    <row r="993" spans="2:11" x14ac:dyDescent="0.25">
      <c r="B993" s="185"/>
      <c r="C993" s="113">
        <v>224.166</v>
      </c>
      <c r="D993" s="113">
        <v>8263</v>
      </c>
      <c r="E993" s="113">
        <v>990</v>
      </c>
      <c r="F993" s="113">
        <v>175</v>
      </c>
      <c r="G993" s="113">
        <v>167.4</v>
      </c>
      <c r="H993" s="113">
        <v>162.30000000000001</v>
      </c>
      <c r="I993" s="113">
        <v>3.3</v>
      </c>
      <c r="J993" s="113">
        <v>9.33</v>
      </c>
      <c r="K993" s="113">
        <v>7.4</v>
      </c>
    </row>
    <row r="994" spans="2:11" x14ac:dyDescent="0.25">
      <c r="B994" s="185"/>
      <c r="C994" s="113">
        <v>224.18700000000001</v>
      </c>
      <c r="D994" s="113">
        <v>8264</v>
      </c>
      <c r="E994" s="113">
        <v>991</v>
      </c>
      <c r="F994" s="113">
        <v>175</v>
      </c>
      <c r="G994" s="113">
        <v>167.8</v>
      </c>
      <c r="H994" s="113">
        <v>162.6</v>
      </c>
      <c r="I994" s="113">
        <v>3.6</v>
      </c>
      <c r="J994" s="113">
        <v>10.07</v>
      </c>
      <c r="K994" s="113">
        <v>7.4</v>
      </c>
    </row>
    <row r="995" spans="2:11" x14ac:dyDescent="0.25">
      <c r="B995" s="185"/>
      <c r="C995" s="113">
        <v>224.208</v>
      </c>
      <c r="D995" s="113">
        <v>8265</v>
      </c>
      <c r="E995" s="113">
        <v>992</v>
      </c>
      <c r="F995" s="113">
        <v>175</v>
      </c>
      <c r="G995" s="113">
        <v>168</v>
      </c>
      <c r="H995" s="113">
        <v>162.9</v>
      </c>
      <c r="I995" s="113">
        <v>3.9</v>
      </c>
      <c r="J995" s="113">
        <v>10.09</v>
      </c>
      <c r="K995" s="113">
        <v>7.4</v>
      </c>
    </row>
    <row r="996" spans="2:11" x14ac:dyDescent="0.25">
      <c r="B996" s="185"/>
      <c r="C996" s="113">
        <v>224.22900000000001</v>
      </c>
      <c r="D996" s="113">
        <v>8266</v>
      </c>
      <c r="E996" s="113">
        <v>993</v>
      </c>
      <c r="F996" s="113">
        <v>174</v>
      </c>
      <c r="G996" s="113">
        <v>168.2</v>
      </c>
      <c r="H996" s="113">
        <v>163.30000000000001</v>
      </c>
      <c r="I996" s="113">
        <v>4.0999999999999996</v>
      </c>
      <c r="J996" s="113">
        <v>10.71</v>
      </c>
      <c r="K996" s="113">
        <v>7.4</v>
      </c>
    </row>
    <row r="997" spans="2:11" x14ac:dyDescent="0.25">
      <c r="B997" s="185"/>
      <c r="C997" s="113">
        <v>224.251</v>
      </c>
      <c r="D997" s="113">
        <v>8267</v>
      </c>
      <c r="E997" s="113">
        <v>994</v>
      </c>
      <c r="F997" s="113">
        <v>174</v>
      </c>
      <c r="G997" s="113">
        <v>168.6</v>
      </c>
      <c r="H997" s="113">
        <v>163.80000000000001</v>
      </c>
      <c r="I997" s="113">
        <v>5.5</v>
      </c>
      <c r="J997" s="113">
        <v>9.17</v>
      </c>
      <c r="K997" s="113">
        <v>10.1</v>
      </c>
    </row>
    <row r="998" spans="2:11" x14ac:dyDescent="0.25">
      <c r="B998" s="185"/>
      <c r="C998" s="113">
        <v>224.273</v>
      </c>
      <c r="D998" s="113">
        <v>8268</v>
      </c>
      <c r="E998" s="113">
        <v>995</v>
      </c>
      <c r="F998" s="113">
        <v>174</v>
      </c>
      <c r="G998" s="113">
        <v>168.8</v>
      </c>
      <c r="H998" s="113">
        <v>164.2</v>
      </c>
      <c r="I998" s="113">
        <v>5.5</v>
      </c>
      <c r="J998" s="113">
        <v>10.47</v>
      </c>
      <c r="K998" s="113">
        <v>14.1</v>
      </c>
    </row>
    <row r="999" spans="2:11" x14ac:dyDescent="0.25">
      <c r="B999" s="185"/>
      <c r="C999" s="113">
        <v>224.29400000000001</v>
      </c>
      <c r="D999" s="113">
        <v>8269</v>
      </c>
      <c r="E999" s="113">
        <v>996</v>
      </c>
      <c r="F999" s="113">
        <v>174</v>
      </c>
      <c r="G999" s="113">
        <v>169.1</v>
      </c>
      <c r="H999" s="113">
        <v>164.6</v>
      </c>
      <c r="I999" s="113">
        <v>5.6</v>
      </c>
      <c r="J999" s="113">
        <v>10.91</v>
      </c>
      <c r="K999" s="113">
        <v>18.100000000000001</v>
      </c>
    </row>
    <row r="1000" spans="2:11" x14ac:dyDescent="0.25">
      <c r="B1000" s="185"/>
      <c r="C1000" s="113">
        <v>224.315</v>
      </c>
      <c r="D1000" s="113">
        <v>8270</v>
      </c>
      <c r="E1000" s="113">
        <v>997</v>
      </c>
      <c r="F1000" s="113">
        <v>173</v>
      </c>
      <c r="G1000" s="113">
        <v>169.2</v>
      </c>
      <c r="H1000" s="113">
        <v>165</v>
      </c>
      <c r="I1000" s="113">
        <v>5.6</v>
      </c>
      <c r="J1000" s="113">
        <v>13.32</v>
      </c>
      <c r="K1000" s="113">
        <v>22.1</v>
      </c>
    </row>
    <row r="1001" spans="2:11" x14ac:dyDescent="0.25">
      <c r="B1001" s="185"/>
      <c r="C1001" s="113">
        <v>224.33600000000001</v>
      </c>
      <c r="D1001" s="113">
        <v>8271</v>
      </c>
      <c r="E1001" s="113">
        <v>998</v>
      </c>
      <c r="F1001" s="113">
        <v>173</v>
      </c>
      <c r="G1001" s="113">
        <v>169.4</v>
      </c>
      <c r="H1001" s="113">
        <v>165.4</v>
      </c>
      <c r="I1001" s="113">
        <v>6.1</v>
      </c>
      <c r="J1001" s="113">
        <v>12.05</v>
      </c>
      <c r="K1001" s="113">
        <v>22.9</v>
      </c>
    </row>
    <row r="1002" spans="2:11" x14ac:dyDescent="0.25">
      <c r="B1002" s="185"/>
      <c r="C1002" s="113">
        <v>224.357</v>
      </c>
      <c r="D1002" s="113">
        <v>8272</v>
      </c>
      <c r="E1002" s="113">
        <v>999</v>
      </c>
      <c r="F1002" s="113">
        <v>173</v>
      </c>
      <c r="G1002" s="113">
        <v>169.7</v>
      </c>
      <c r="H1002" s="113">
        <v>165.8</v>
      </c>
      <c r="I1002" s="113">
        <v>6</v>
      </c>
      <c r="J1002" s="113">
        <v>12.14</v>
      </c>
      <c r="K1002" s="113">
        <v>22.2</v>
      </c>
    </row>
    <row r="1003" spans="2:11" x14ac:dyDescent="0.25">
      <c r="B1003" s="185"/>
      <c r="C1003" s="113">
        <v>224.37799999999999</v>
      </c>
      <c r="D1003" s="113">
        <v>8273</v>
      </c>
      <c r="E1003" s="113">
        <v>1000</v>
      </c>
      <c r="F1003" s="113">
        <v>173</v>
      </c>
      <c r="G1003" s="113">
        <v>170</v>
      </c>
      <c r="H1003" s="113">
        <v>166.2</v>
      </c>
      <c r="I1003" s="113">
        <v>5.7</v>
      </c>
      <c r="J1003" s="113">
        <v>11.3</v>
      </c>
      <c r="K1003" s="113">
        <v>21.5</v>
      </c>
    </row>
    <row r="1004" spans="2:11" x14ac:dyDescent="0.25">
      <c r="B1004" s="185"/>
      <c r="C1004" s="113">
        <v>224.399</v>
      </c>
      <c r="D1004" s="113">
        <v>8274</v>
      </c>
      <c r="E1004" s="113">
        <v>1001</v>
      </c>
      <c r="F1004" s="113">
        <v>174</v>
      </c>
      <c r="G1004" s="113">
        <v>170.2</v>
      </c>
      <c r="H1004" s="113">
        <v>166.5</v>
      </c>
      <c r="I1004" s="113">
        <v>4.8</v>
      </c>
      <c r="J1004" s="113">
        <v>13.26</v>
      </c>
      <c r="K1004" s="113">
        <v>20.8</v>
      </c>
    </row>
    <row r="1005" spans="2:11" x14ac:dyDescent="0.25">
      <c r="B1005" s="185"/>
      <c r="C1005" s="113">
        <v>224.42099999999999</v>
      </c>
      <c r="D1005" s="113">
        <v>8275</v>
      </c>
      <c r="E1005" s="113">
        <v>1002</v>
      </c>
      <c r="F1005" s="113">
        <v>174</v>
      </c>
      <c r="G1005" s="113">
        <v>170.6</v>
      </c>
      <c r="H1005" s="113">
        <v>167.1</v>
      </c>
      <c r="I1005" s="113">
        <v>4.5999999999999996</v>
      </c>
      <c r="J1005" s="113">
        <v>13.07</v>
      </c>
      <c r="K1005" s="113">
        <v>21.3</v>
      </c>
    </row>
    <row r="1006" spans="2:11" x14ac:dyDescent="0.25">
      <c r="B1006" s="185"/>
      <c r="C1006" s="113">
        <v>224.44200000000001</v>
      </c>
      <c r="D1006" s="113">
        <v>8276</v>
      </c>
      <c r="E1006" s="113">
        <v>1003</v>
      </c>
      <c r="F1006" s="113">
        <v>174</v>
      </c>
      <c r="G1006" s="113">
        <v>170.9</v>
      </c>
      <c r="H1006" s="113">
        <v>167.4</v>
      </c>
      <c r="I1006" s="113">
        <v>4.5</v>
      </c>
      <c r="J1006" s="113">
        <v>11.95</v>
      </c>
      <c r="K1006" s="113">
        <v>21.8</v>
      </c>
    </row>
    <row r="1007" spans="2:11" x14ac:dyDescent="0.25">
      <c r="B1007" s="185"/>
      <c r="C1007" s="113">
        <v>224.46299999999999</v>
      </c>
      <c r="D1007" s="113">
        <v>8277</v>
      </c>
      <c r="E1007" s="113">
        <v>1004</v>
      </c>
      <c r="F1007" s="113">
        <v>175</v>
      </c>
      <c r="G1007" s="113">
        <v>171.4</v>
      </c>
      <c r="H1007" s="113">
        <v>167.8</v>
      </c>
      <c r="I1007" s="113">
        <v>4.4000000000000004</v>
      </c>
      <c r="J1007" s="113">
        <v>11.98</v>
      </c>
      <c r="K1007" s="113">
        <v>22.4</v>
      </c>
    </row>
    <row r="1008" spans="2:11" x14ac:dyDescent="0.25">
      <c r="B1008" s="185"/>
      <c r="C1008" s="113">
        <v>224.48400000000001</v>
      </c>
      <c r="D1008" s="113">
        <v>8278</v>
      </c>
      <c r="E1008" s="113">
        <v>1005</v>
      </c>
      <c r="F1008" s="113">
        <v>175</v>
      </c>
      <c r="G1008" s="113">
        <v>171.8</v>
      </c>
      <c r="H1008" s="113">
        <v>168.1</v>
      </c>
      <c r="I1008" s="113">
        <v>4</v>
      </c>
      <c r="J1008" s="113">
        <v>12.97</v>
      </c>
      <c r="K1008" s="113">
        <v>22.5</v>
      </c>
    </row>
    <row r="1009" spans="2:11" x14ac:dyDescent="0.25">
      <c r="B1009" s="185"/>
      <c r="C1009" s="113">
        <v>224.50399999999999</v>
      </c>
      <c r="D1009" s="113">
        <v>8279</v>
      </c>
      <c r="E1009" s="113">
        <v>1006</v>
      </c>
      <c r="F1009" s="113">
        <v>175</v>
      </c>
      <c r="G1009" s="113">
        <v>171.8</v>
      </c>
      <c r="H1009" s="113">
        <v>168.4</v>
      </c>
      <c r="I1009" s="113">
        <v>4</v>
      </c>
      <c r="J1009" s="113">
        <v>13.69</v>
      </c>
      <c r="K1009" s="113">
        <v>21.3</v>
      </c>
    </row>
    <row r="1010" spans="2:11" x14ac:dyDescent="0.25">
      <c r="B1010" s="185"/>
      <c r="C1010" s="113">
        <v>224.52600000000001</v>
      </c>
      <c r="D1010" s="113">
        <v>8280</v>
      </c>
      <c r="E1010" s="113">
        <v>1007</v>
      </c>
      <c r="F1010" s="113">
        <v>175</v>
      </c>
      <c r="G1010" s="113">
        <v>171.8</v>
      </c>
      <c r="H1010" s="113">
        <v>168.8</v>
      </c>
      <c r="I1010" s="113">
        <v>4.5999999999999996</v>
      </c>
      <c r="J1010" s="113">
        <v>13.48</v>
      </c>
      <c r="K1010" s="113">
        <v>20.100000000000001</v>
      </c>
    </row>
    <row r="1011" spans="2:11" x14ac:dyDescent="0.25">
      <c r="B1011" s="185"/>
      <c r="C1011" s="113">
        <v>224.54599999999999</v>
      </c>
      <c r="D1011" s="113">
        <v>8281</v>
      </c>
      <c r="E1011" s="113">
        <v>1008</v>
      </c>
      <c r="F1011" s="113">
        <v>175</v>
      </c>
      <c r="G1011" s="113">
        <v>172.2</v>
      </c>
      <c r="H1011" s="113">
        <v>169.1</v>
      </c>
      <c r="I1011" s="113">
        <v>5.4</v>
      </c>
      <c r="J1011" s="113">
        <v>12.65</v>
      </c>
      <c r="K1011" s="113">
        <v>18.8</v>
      </c>
    </row>
    <row r="1012" spans="2:11" x14ac:dyDescent="0.25">
      <c r="B1012" s="185"/>
      <c r="C1012" s="113">
        <v>224.56700000000001</v>
      </c>
      <c r="D1012" s="113">
        <v>8282</v>
      </c>
      <c r="E1012" s="113">
        <v>1009</v>
      </c>
      <c r="F1012" s="113">
        <v>175</v>
      </c>
      <c r="G1012" s="113">
        <v>172.4</v>
      </c>
      <c r="H1012" s="113">
        <v>169.3</v>
      </c>
      <c r="I1012" s="113">
        <v>5.4</v>
      </c>
      <c r="J1012" s="113">
        <v>11.62</v>
      </c>
      <c r="K1012" s="113">
        <v>17.8</v>
      </c>
    </row>
    <row r="1013" spans="2:11" x14ac:dyDescent="0.25">
      <c r="B1013" s="185"/>
      <c r="C1013" s="113">
        <v>224.58799999999999</v>
      </c>
      <c r="D1013" s="113">
        <v>8283</v>
      </c>
      <c r="E1013" s="113">
        <v>1010</v>
      </c>
      <c r="F1013" s="113">
        <v>175</v>
      </c>
      <c r="G1013" s="113">
        <v>172.4</v>
      </c>
      <c r="H1013" s="113">
        <v>169.5</v>
      </c>
      <c r="I1013" s="113">
        <v>5.2</v>
      </c>
      <c r="J1013" s="113">
        <v>12.33</v>
      </c>
      <c r="K1013" s="113">
        <v>17.8</v>
      </c>
    </row>
    <row r="1014" spans="2:11" x14ac:dyDescent="0.25">
      <c r="B1014" s="185"/>
      <c r="C1014" s="113">
        <v>224.60900000000001</v>
      </c>
      <c r="D1014" s="113">
        <v>8284</v>
      </c>
      <c r="E1014" s="113">
        <v>1011</v>
      </c>
      <c r="F1014" s="113">
        <v>175</v>
      </c>
      <c r="G1014" s="113">
        <v>172.5</v>
      </c>
      <c r="H1014" s="113">
        <v>169.8</v>
      </c>
      <c r="I1014" s="113">
        <v>4.7</v>
      </c>
      <c r="J1014" s="113">
        <v>14.59</v>
      </c>
      <c r="K1014" s="113">
        <v>17.8</v>
      </c>
    </row>
    <row r="1015" spans="2:11" x14ac:dyDescent="0.25">
      <c r="B1015" s="185"/>
      <c r="C1015" s="113">
        <v>224.62899999999999</v>
      </c>
      <c r="D1015" s="113">
        <v>8285</v>
      </c>
      <c r="E1015" s="113">
        <v>1012</v>
      </c>
      <c r="F1015" s="113">
        <v>174</v>
      </c>
      <c r="G1015" s="113">
        <v>172.6</v>
      </c>
      <c r="H1015" s="113">
        <v>170</v>
      </c>
      <c r="I1015" s="113">
        <v>4.8</v>
      </c>
      <c r="J1015" s="113">
        <v>13.12</v>
      </c>
      <c r="K1015" s="113">
        <v>17.8</v>
      </c>
    </row>
    <row r="1016" spans="2:11" x14ac:dyDescent="0.25">
      <c r="B1016" s="185"/>
      <c r="C1016" s="113">
        <v>224.65100000000001</v>
      </c>
      <c r="D1016" s="113">
        <v>8286</v>
      </c>
      <c r="E1016" s="113">
        <v>1013</v>
      </c>
      <c r="F1016" s="113">
        <v>172</v>
      </c>
      <c r="G1016" s="113">
        <v>172.6</v>
      </c>
      <c r="H1016" s="113">
        <v>170.2</v>
      </c>
      <c r="I1016" s="113">
        <v>5.6</v>
      </c>
      <c r="J1016" s="113">
        <v>13.3</v>
      </c>
      <c r="K1016" s="113">
        <v>17.600000000000001</v>
      </c>
    </row>
    <row r="1017" spans="2:11" x14ac:dyDescent="0.25">
      <c r="B1017" s="185"/>
      <c r="C1017" s="113">
        <v>224.67099999999999</v>
      </c>
      <c r="D1017" s="113">
        <v>8287</v>
      </c>
      <c r="E1017" s="113">
        <v>1014</v>
      </c>
      <c r="F1017" s="113">
        <v>170</v>
      </c>
      <c r="G1017" s="113">
        <v>172.6</v>
      </c>
      <c r="H1017" s="113">
        <v>170.3</v>
      </c>
      <c r="I1017" s="113">
        <v>5.7</v>
      </c>
      <c r="J1017" s="113">
        <v>17.71</v>
      </c>
      <c r="K1017" s="113">
        <v>17.3</v>
      </c>
    </row>
    <row r="1018" spans="2:11" x14ac:dyDescent="0.25">
      <c r="B1018" s="185"/>
      <c r="C1018" s="113">
        <v>224.69200000000001</v>
      </c>
      <c r="D1018" s="113">
        <v>8288</v>
      </c>
      <c r="E1018" s="113">
        <v>1015</v>
      </c>
      <c r="F1018" s="113">
        <v>170</v>
      </c>
      <c r="G1018" s="113">
        <v>172.3</v>
      </c>
      <c r="H1018" s="113">
        <v>170.5</v>
      </c>
      <c r="I1018" s="113">
        <v>5.3</v>
      </c>
      <c r="J1018" s="113">
        <v>20.38</v>
      </c>
      <c r="K1018" s="113">
        <v>17</v>
      </c>
    </row>
    <row r="1019" spans="2:11" x14ac:dyDescent="0.25">
      <c r="B1019" s="185"/>
      <c r="C1019" s="113">
        <v>224.71299999999999</v>
      </c>
      <c r="D1019" s="113">
        <v>8289</v>
      </c>
      <c r="E1019" s="113">
        <v>1016</v>
      </c>
      <c r="F1019" s="113">
        <v>169</v>
      </c>
      <c r="G1019" s="113">
        <v>172</v>
      </c>
      <c r="H1019" s="113">
        <v>170.6</v>
      </c>
      <c r="I1019" s="113">
        <v>4.0999999999999996</v>
      </c>
      <c r="J1019" s="113">
        <v>25.17</v>
      </c>
      <c r="K1019" s="113">
        <v>16.7</v>
      </c>
    </row>
    <row r="1020" spans="2:11" x14ac:dyDescent="0.25">
      <c r="B1020" s="185"/>
      <c r="C1020" s="113">
        <v>224.73400000000001</v>
      </c>
      <c r="D1020" s="113">
        <v>8290</v>
      </c>
      <c r="E1020" s="113">
        <v>1017</v>
      </c>
      <c r="F1020" s="113">
        <v>167</v>
      </c>
      <c r="G1020" s="113">
        <v>171.9</v>
      </c>
      <c r="H1020" s="113">
        <v>170.7</v>
      </c>
      <c r="I1020" s="113">
        <v>4.3</v>
      </c>
      <c r="J1020" s="113">
        <v>27.86</v>
      </c>
      <c r="K1020" s="113">
        <v>15.7</v>
      </c>
    </row>
    <row r="1021" spans="2:11" x14ac:dyDescent="0.25">
      <c r="B1021" s="185"/>
      <c r="C1021" s="113">
        <v>224.75399999999999</v>
      </c>
      <c r="D1021" s="113">
        <v>8291</v>
      </c>
      <c r="E1021" s="113">
        <v>1018</v>
      </c>
      <c r="F1021" s="113">
        <v>165</v>
      </c>
      <c r="G1021" s="113">
        <v>171.9</v>
      </c>
      <c r="H1021" s="113">
        <v>170.7</v>
      </c>
      <c r="I1021" s="113">
        <v>4.0999999999999996</v>
      </c>
      <c r="J1021" s="113">
        <v>32.47</v>
      </c>
      <c r="K1021" s="113">
        <v>14.3</v>
      </c>
    </row>
    <row r="1022" spans="2:11" x14ac:dyDescent="0.25">
      <c r="B1022" s="185"/>
      <c r="C1022" s="113">
        <v>224.77600000000001</v>
      </c>
      <c r="D1022" s="113">
        <v>8292</v>
      </c>
      <c r="E1022" s="113">
        <v>1019</v>
      </c>
      <c r="F1022" s="113">
        <v>164</v>
      </c>
      <c r="G1022" s="113">
        <v>171.8</v>
      </c>
      <c r="H1022" s="113">
        <v>170.6</v>
      </c>
      <c r="I1022" s="113">
        <v>3.2</v>
      </c>
      <c r="J1022" s="113">
        <v>36.380000000000003</v>
      </c>
      <c r="K1022" s="113">
        <v>13</v>
      </c>
    </row>
    <row r="1023" spans="2:11" x14ac:dyDescent="0.25">
      <c r="B1023" s="185"/>
      <c r="C1023" s="113">
        <v>224.79599999999999</v>
      </c>
      <c r="D1023" s="113">
        <v>8293</v>
      </c>
      <c r="E1023" s="113">
        <v>1020</v>
      </c>
      <c r="F1023" s="113">
        <v>163</v>
      </c>
      <c r="G1023" s="113">
        <v>171.6</v>
      </c>
      <c r="H1023" s="113">
        <v>170.5</v>
      </c>
      <c r="I1023" s="113">
        <v>2.7</v>
      </c>
      <c r="J1023" s="113">
        <v>41.41</v>
      </c>
      <c r="K1023" s="113">
        <v>11.6</v>
      </c>
    </row>
    <row r="1024" spans="2:11" x14ac:dyDescent="0.25">
      <c r="B1024" s="185"/>
      <c r="C1024" s="113">
        <v>224.81700000000001</v>
      </c>
      <c r="D1024" s="113">
        <v>8294</v>
      </c>
      <c r="E1024" s="113">
        <v>1021</v>
      </c>
      <c r="F1024" s="113">
        <v>163</v>
      </c>
      <c r="G1024" s="113">
        <v>171.3</v>
      </c>
      <c r="H1024" s="113">
        <v>170.5</v>
      </c>
      <c r="I1024" s="113">
        <v>2.9</v>
      </c>
      <c r="J1024" s="113">
        <v>42.7</v>
      </c>
      <c r="K1024" s="113">
        <v>11.2</v>
      </c>
    </row>
    <row r="1025" spans="2:11" x14ac:dyDescent="0.25">
      <c r="B1025" s="185"/>
      <c r="C1025" s="113">
        <v>224.83799999999999</v>
      </c>
      <c r="D1025" s="113">
        <v>8295</v>
      </c>
      <c r="E1025" s="113">
        <v>1022</v>
      </c>
      <c r="F1025" s="113">
        <v>163</v>
      </c>
      <c r="G1025" s="113">
        <v>170.7</v>
      </c>
      <c r="H1025" s="113">
        <v>170.4</v>
      </c>
      <c r="I1025" s="113">
        <v>3.4</v>
      </c>
      <c r="J1025" s="113">
        <v>45.74</v>
      </c>
      <c r="K1025" s="113">
        <v>11.2</v>
      </c>
    </row>
    <row r="1026" spans="2:11" x14ac:dyDescent="0.25">
      <c r="B1026" s="185"/>
      <c r="C1026" s="113">
        <v>224.85900000000001</v>
      </c>
      <c r="D1026" s="113">
        <v>8296</v>
      </c>
      <c r="E1026" s="113">
        <v>1023</v>
      </c>
      <c r="F1026" s="113">
        <v>163</v>
      </c>
      <c r="G1026" s="113">
        <v>170.1</v>
      </c>
      <c r="H1026" s="113">
        <v>170.3</v>
      </c>
      <c r="I1026" s="113">
        <v>4</v>
      </c>
      <c r="J1026" s="113">
        <v>49.43</v>
      </c>
      <c r="K1026" s="113">
        <v>11.2</v>
      </c>
    </row>
    <row r="1027" spans="2:11" x14ac:dyDescent="0.25">
      <c r="B1027" s="185"/>
      <c r="C1027" s="113">
        <v>224.88</v>
      </c>
      <c r="D1027" s="113">
        <v>8296</v>
      </c>
      <c r="E1027" s="113">
        <v>1024</v>
      </c>
      <c r="F1027" s="113">
        <v>163</v>
      </c>
      <c r="G1027" s="113">
        <v>169.1</v>
      </c>
      <c r="H1027" s="113">
        <v>170.1</v>
      </c>
      <c r="I1027" s="113">
        <v>4.7</v>
      </c>
      <c r="J1027" s="113">
        <v>53.55</v>
      </c>
      <c r="K1027" s="113">
        <v>11</v>
      </c>
    </row>
    <row r="1028" spans="2:11" x14ac:dyDescent="0.25">
      <c r="B1028" s="185"/>
      <c r="C1028" s="113">
        <v>224.90100000000001</v>
      </c>
      <c r="D1028" s="113">
        <v>8298</v>
      </c>
      <c r="E1028" s="113">
        <v>1025</v>
      </c>
      <c r="F1028" s="113">
        <v>163</v>
      </c>
      <c r="G1028" s="113">
        <v>168.6</v>
      </c>
      <c r="H1028" s="113">
        <v>169.9</v>
      </c>
      <c r="I1028" s="113">
        <v>4.8</v>
      </c>
      <c r="J1028" s="113">
        <v>54.58</v>
      </c>
      <c r="K1028" s="113">
        <v>10.1</v>
      </c>
    </row>
    <row r="1029" spans="2:11" x14ac:dyDescent="0.25">
      <c r="B1029" s="185"/>
      <c r="C1029" s="113">
        <v>224.923</v>
      </c>
      <c r="D1029" s="113">
        <v>8299</v>
      </c>
      <c r="E1029" s="113">
        <v>1026</v>
      </c>
      <c r="F1029" s="113">
        <v>163</v>
      </c>
      <c r="G1029" s="113">
        <v>168.2</v>
      </c>
      <c r="H1029" s="113">
        <v>169.8</v>
      </c>
      <c r="I1029" s="113">
        <v>4.3</v>
      </c>
      <c r="J1029" s="113">
        <v>57.95</v>
      </c>
      <c r="K1029" s="113">
        <v>9.1</v>
      </c>
    </row>
    <row r="1030" spans="2:11" x14ac:dyDescent="0.25">
      <c r="B1030" s="185"/>
      <c r="C1030" s="113">
        <v>224.94399999999999</v>
      </c>
      <c r="D1030" s="113">
        <v>8300</v>
      </c>
      <c r="E1030" s="113">
        <v>1027</v>
      </c>
      <c r="F1030" s="113">
        <v>162</v>
      </c>
      <c r="G1030" s="113">
        <v>167.5</v>
      </c>
      <c r="H1030" s="113">
        <v>169.6</v>
      </c>
      <c r="I1030" s="113">
        <v>3.9</v>
      </c>
      <c r="J1030" s="113">
        <v>60.36</v>
      </c>
      <c r="K1030" s="113">
        <v>8.1</v>
      </c>
    </row>
    <row r="1031" spans="2:11" x14ac:dyDescent="0.25">
      <c r="B1031" s="185"/>
      <c r="C1031" s="113">
        <v>224.96600000000001</v>
      </c>
      <c r="D1031" s="113">
        <v>8301</v>
      </c>
      <c r="E1031" s="113">
        <v>1028</v>
      </c>
      <c r="F1031" s="113">
        <v>162</v>
      </c>
      <c r="G1031" s="113">
        <v>166.9</v>
      </c>
      <c r="H1031" s="113">
        <v>169.4</v>
      </c>
      <c r="I1031" s="113">
        <v>4.2</v>
      </c>
      <c r="J1031" s="113">
        <v>61.15</v>
      </c>
      <c r="K1031" s="113">
        <v>7.4</v>
      </c>
    </row>
    <row r="1032" spans="2:11" x14ac:dyDescent="0.25">
      <c r="B1032" s="185"/>
      <c r="C1032" s="113">
        <v>224.98699999999999</v>
      </c>
      <c r="D1032" s="113">
        <v>8302</v>
      </c>
      <c r="E1032" s="113">
        <v>1029</v>
      </c>
      <c r="F1032" s="113">
        <v>162</v>
      </c>
      <c r="G1032" s="113">
        <v>166.3</v>
      </c>
      <c r="H1032" s="113">
        <v>169.1</v>
      </c>
      <c r="I1032" s="113">
        <v>4.8</v>
      </c>
      <c r="J1032" s="113">
        <v>61.59</v>
      </c>
      <c r="K1032" s="113">
        <v>7.4</v>
      </c>
    </row>
    <row r="1033" spans="2:11" x14ac:dyDescent="0.25">
      <c r="B1033" s="185"/>
      <c r="C1033" s="113">
        <v>225.00899999999999</v>
      </c>
      <c r="D1033" s="113">
        <v>8303</v>
      </c>
      <c r="E1033" s="113">
        <v>1030</v>
      </c>
      <c r="F1033" s="113">
        <v>162</v>
      </c>
      <c r="G1033" s="113">
        <v>165.7</v>
      </c>
      <c r="H1033" s="113">
        <v>168.9</v>
      </c>
      <c r="I1033" s="113">
        <v>4.8</v>
      </c>
      <c r="J1033" s="113">
        <v>61.98</v>
      </c>
      <c r="K1033" s="113">
        <v>7.4</v>
      </c>
    </row>
    <row r="1034" spans="2:11" x14ac:dyDescent="0.25">
      <c r="B1034" s="185"/>
      <c r="C1034" s="113">
        <v>225.03</v>
      </c>
      <c r="D1034" s="113">
        <v>8304</v>
      </c>
      <c r="E1034" s="113">
        <v>1031</v>
      </c>
      <c r="F1034" s="113">
        <v>161</v>
      </c>
      <c r="G1034" s="113">
        <v>164.6</v>
      </c>
      <c r="H1034" s="113">
        <v>168.6</v>
      </c>
      <c r="I1034" s="113">
        <v>4.0999999999999996</v>
      </c>
      <c r="J1034" s="113">
        <v>63.52</v>
      </c>
      <c r="K1034" s="113">
        <v>7.4</v>
      </c>
    </row>
    <row r="1035" spans="2:11" x14ac:dyDescent="0.25">
      <c r="B1035" s="185"/>
      <c r="C1035" s="113">
        <v>225.05199999999999</v>
      </c>
      <c r="D1035" s="113">
        <v>8305</v>
      </c>
      <c r="E1035" s="113">
        <v>1032</v>
      </c>
      <c r="F1035" s="113">
        <v>160</v>
      </c>
      <c r="G1035" s="113">
        <v>163.9</v>
      </c>
      <c r="H1035" s="113">
        <v>168.3</v>
      </c>
      <c r="I1035" s="113">
        <v>3.5</v>
      </c>
      <c r="J1035" s="113">
        <v>63.59</v>
      </c>
      <c r="K1035" s="113">
        <v>5.9</v>
      </c>
    </row>
    <row r="1036" spans="2:11" x14ac:dyDescent="0.25">
      <c r="B1036" s="185"/>
      <c r="C1036" s="113">
        <v>225.07400000000001</v>
      </c>
      <c r="D1036" s="113">
        <v>8306</v>
      </c>
      <c r="E1036" s="113">
        <v>1033</v>
      </c>
      <c r="F1036" s="113">
        <v>159</v>
      </c>
      <c r="G1036" s="113">
        <v>163.30000000000001</v>
      </c>
      <c r="H1036" s="113">
        <v>168</v>
      </c>
      <c r="I1036" s="113">
        <v>2.7</v>
      </c>
      <c r="J1036" s="113">
        <v>64.099999999999994</v>
      </c>
      <c r="K1036" s="113">
        <v>3.8</v>
      </c>
    </row>
    <row r="1037" spans="2:11" x14ac:dyDescent="0.25">
      <c r="B1037" s="185"/>
      <c r="C1037" s="113">
        <v>225.096</v>
      </c>
      <c r="D1037" s="113">
        <v>8307</v>
      </c>
      <c r="E1037" s="113">
        <v>1034</v>
      </c>
      <c r="F1037" s="113">
        <v>158</v>
      </c>
      <c r="G1037" s="113">
        <v>162.80000000000001</v>
      </c>
      <c r="H1037" s="113">
        <v>167.7</v>
      </c>
      <c r="I1037" s="113">
        <v>1.8</v>
      </c>
      <c r="J1037" s="113">
        <v>63.92</v>
      </c>
      <c r="K1037" s="113">
        <v>1.6</v>
      </c>
    </row>
    <row r="1038" spans="2:11" x14ac:dyDescent="0.25">
      <c r="B1038" s="185"/>
      <c r="C1038" s="113">
        <v>225.11799999999999</v>
      </c>
      <c r="D1038" s="113">
        <v>8308</v>
      </c>
      <c r="E1038" s="113">
        <v>1035</v>
      </c>
      <c r="F1038" s="113">
        <v>157</v>
      </c>
      <c r="G1038" s="113">
        <v>162.30000000000001</v>
      </c>
      <c r="H1038" s="113">
        <v>167.4</v>
      </c>
      <c r="I1038" s="113">
        <v>0.9</v>
      </c>
      <c r="J1038" s="113">
        <v>63.89</v>
      </c>
      <c r="K1038" s="113">
        <v>-0.5</v>
      </c>
    </row>
    <row r="1039" spans="2:11" x14ac:dyDescent="0.25">
      <c r="B1039" s="185"/>
      <c r="C1039" s="113">
        <v>225.14</v>
      </c>
      <c r="D1039" s="113">
        <v>8309</v>
      </c>
      <c r="E1039" s="113">
        <v>1036</v>
      </c>
      <c r="F1039" s="113">
        <v>156</v>
      </c>
      <c r="G1039" s="113">
        <v>162</v>
      </c>
      <c r="H1039" s="113">
        <v>166.9</v>
      </c>
      <c r="I1039" s="113">
        <v>-0.2</v>
      </c>
      <c r="J1039" s="113">
        <v>62.93</v>
      </c>
      <c r="K1039" s="113">
        <v>-0.3</v>
      </c>
    </row>
    <row r="1040" spans="2:11" x14ac:dyDescent="0.25">
      <c r="B1040" s="185"/>
      <c r="C1040" s="113">
        <v>225.16200000000001</v>
      </c>
      <c r="D1040" s="113">
        <v>8310</v>
      </c>
      <c r="E1040" s="113">
        <v>1037</v>
      </c>
      <c r="F1040" s="113">
        <v>155</v>
      </c>
      <c r="G1040" s="113">
        <v>161.9</v>
      </c>
      <c r="H1040" s="113">
        <v>166.6</v>
      </c>
      <c r="I1040" s="113">
        <v>-1.1000000000000001</v>
      </c>
      <c r="J1040" s="113">
        <v>63.99</v>
      </c>
      <c r="K1040" s="113">
        <v>0.5</v>
      </c>
    </row>
    <row r="1041" spans="2:11" x14ac:dyDescent="0.25">
      <c r="B1041" s="185"/>
      <c r="C1041" s="113">
        <v>225.184</v>
      </c>
      <c r="D1041" s="113">
        <v>8311</v>
      </c>
      <c r="E1041" s="113">
        <v>1038</v>
      </c>
      <c r="F1041" s="113">
        <v>154</v>
      </c>
      <c r="G1041" s="113">
        <v>161.5</v>
      </c>
      <c r="H1041" s="113">
        <v>166.3</v>
      </c>
      <c r="I1041" s="113">
        <v>-1.2</v>
      </c>
      <c r="J1041" s="113">
        <v>64</v>
      </c>
      <c r="K1041" s="113">
        <v>1.2</v>
      </c>
    </row>
    <row r="1042" spans="2:11" x14ac:dyDescent="0.25">
      <c r="B1042" s="185"/>
      <c r="C1042" s="113">
        <v>225.20599999999999</v>
      </c>
      <c r="D1042" s="113">
        <v>8312</v>
      </c>
      <c r="E1042" s="113">
        <v>1039</v>
      </c>
      <c r="F1042" s="113">
        <v>153</v>
      </c>
      <c r="G1042" s="113">
        <v>161.19999999999999</v>
      </c>
      <c r="H1042" s="113">
        <v>166</v>
      </c>
      <c r="I1042" s="113">
        <v>-1.2</v>
      </c>
      <c r="J1042" s="113">
        <v>64.66</v>
      </c>
      <c r="K1042" s="113">
        <v>2.2999999999999998</v>
      </c>
    </row>
    <row r="1043" spans="2:11" x14ac:dyDescent="0.25">
      <c r="B1043" s="185"/>
      <c r="C1043" s="113">
        <v>225.22900000000001</v>
      </c>
      <c r="D1043" s="113">
        <v>8313</v>
      </c>
      <c r="E1043" s="113">
        <v>1040</v>
      </c>
      <c r="F1043" s="113">
        <v>152</v>
      </c>
      <c r="G1043" s="113">
        <v>160.80000000000001</v>
      </c>
      <c r="H1043" s="113">
        <v>165.7</v>
      </c>
      <c r="I1043" s="113">
        <v>-0.3</v>
      </c>
      <c r="J1043" s="113">
        <v>65.05</v>
      </c>
      <c r="K1043" s="113">
        <v>5.3</v>
      </c>
    </row>
    <row r="1044" spans="2:11" x14ac:dyDescent="0.25">
      <c r="B1044" s="185"/>
      <c r="C1044" s="113">
        <v>225.251</v>
      </c>
      <c r="D1044" s="113">
        <v>8314</v>
      </c>
      <c r="E1044" s="113">
        <v>1041</v>
      </c>
      <c r="F1044" s="113">
        <v>152</v>
      </c>
      <c r="G1044" s="113">
        <v>160.19999999999999</v>
      </c>
      <c r="H1044" s="113">
        <v>165.2</v>
      </c>
      <c r="I1044" s="113">
        <v>-0.1</v>
      </c>
      <c r="J1044" s="113">
        <v>68.05</v>
      </c>
      <c r="K1044" s="113">
        <v>9.6999999999999993</v>
      </c>
    </row>
    <row r="1045" spans="2:11" x14ac:dyDescent="0.25">
      <c r="B1045" s="185"/>
      <c r="C1045" s="113">
        <v>225.273</v>
      </c>
      <c r="D1045" s="113">
        <v>8315</v>
      </c>
      <c r="E1045" s="113">
        <v>1042</v>
      </c>
      <c r="F1045" s="113">
        <v>151</v>
      </c>
      <c r="G1045" s="113">
        <v>159.80000000000001</v>
      </c>
      <c r="H1045" s="113">
        <v>164.8</v>
      </c>
      <c r="I1045" s="113">
        <v>0.3</v>
      </c>
      <c r="J1045" s="113">
        <v>69.42</v>
      </c>
      <c r="K1045" s="113">
        <v>12.7</v>
      </c>
    </row>
    <row r="1046" spans="2:11" x14ac:dyDescent="0.25">
      <c r="B1046" s="185"/>
      <c r="C1046" s="113">
        <v>225.29599999999999</v>
      </c>
      <c r="D1046" s="113">
        <v>8316</v>
      </c>
      <c r="E1046" s="113">
        <v>1043</v>
      </c>
      <c r="F1046" s="113">
        <v>151</v>
      </c>
      <c r="G1046" s="113">
        <v>159.5</v>
      </c>
      <c r="H1046" s="113">
        <v>164.4</v>
      </c>
      <c r="I1046" s="113">
        <v>0.3</v>
      </c>
      <c r="J1046" s="113">
        <v>71.86</v>
      </c>
      <c r="K1046" s="113">
        <v>10.4</v>
      </c>
    </row>
    <row r="1047" spans="2:11" x14ac:dyDescent="0.25">
      <c r="B1047" s="185"/>
      <c r="C1047" s="113">
        <v>225.31800000000001</v>
      </c>
      <c r="D1047" s="113">
        <v>8317</v>
      </c>
      <c r="E1047" s="113">
        <v>1044</v>
      </c>
      <c r="F1047" s="113">
        <v>150</v>
      </c>
      <c r="G1047" s="113">
        <v>159</v>
      </c>
      <c r="H1047" s="113">
        <v>164.1</v>
      </c>
      <c r="I1047" s="113">
        <v>0.8</v>
      </c>
      <c r="J1047" s="113">
        <v>72.41</v>
      </c>
      <c r="K1047" s="113">
        <v>5.7</v>
      </c>
    </row>
    <row r="1048" spans="2:11" x14ac:dyDescent="0.25">
      <c r="B1048" s="185"/>
      <c r="C1048" s="113">
        <v>225.34100000000001</v>
      </c>
      <c r="D1048" s="113">
        <v>8318</v>
      </c>
      <c r="E1048" s="113">
        <v>1045</v>
      </c>
      <c r="F1048" s="113">
        <v>150</v>
      </c>
      <c r="G1048" s="113">
        <v>158.4</v>
      </c>
      <c r="H1048" s="113">
        <v>163.6</v>
      </c>
      <c r="I1048" s="113">
        <v>1.3</v>
      </c>
      <c r="J1048" s="113">
        <v>76.2</v>
      </c>
      <c r="K1048" s="113">
        <v>-1.2</v>
      </c>
    </row>
    <row r="1049" spans="2:11" x14ac:dyDescent="0.25">
      <c r="B1049" s="185"/>
      <c r="C1049" s="113">
        <v>225.363</v>
      </c>
      <c r="D1049" s="113">
        <v>8319</v>
      </c>
      <c r="E1049" s="113">
        <v>1046</v>
      </c>
      <c r="F1049" s="113">
        <v>150</v>
      </c>
      <c r="G1049" s="113">
        <v>157.9</v>
      </c>
      <c r="H1049" s="113">
        <v>163.19999999999999</v>
      </c>
      <c r="I1049" s="113">
        <v>1.9</v>
      </c>
      <c r="J1049" s="113">
        <v>76.44</v>
      </c>
      <c r="K1049" s="113">
        <v>-5</v>
      </c>
    </row>
    <row r="1050" spans="2:11" x14ac:dyDescent="0.25">
      <c r="B1050" s="185"/>
      <c r="C1050" s="113">
        <v>225.386</v>
      </c>
      <c r="D1050" s="113">
        <v>8320</v>
      </c>
      <c r="E1050" s="113">
        <v>1047</v>
      </c>
      <c r="F1050" s="113">
        <v>150</v>
      </c>
      <c r="G1050" s="113">
        <v>157.4</v>
      </c>
      <c r="H1050" s="113">
        <v>162.80000000000001</v>
      </c>
      <c r="I1050" s="113">
        <v>2.1</v>
      </c>
      <c r="J1050" s="113">
        <v>77.22</v>
      </c>
      <c r="K1050" s="113">
        <v>-5</v>
      </c>
    </row>
    <row r="1051" spans="2:11" x14ac:dyDescent="0.25">
      <c r="B1051" s="185"/>
      <c r="C1051" s="113">
        <v>225.40899999999999</v>
      </c>
      <c r="D1051" s="113">
        <v>8321</v>
      </c>
      <c r="E1051" s="113">
        <v>1048</v>
      </c>
      <c r="F1051" s="113">
        <v>150</v>
      </c>
      <c r="G1051" s="113">
        <v>157</v>
      </c>
      <c r="H1051" s="113">
        <v>162.4</v>
      </c>
      <c r="I1051" s="113">
        <v>2</v>
      </c>
      <c r="J1051" s="113">
        <v>77.63</v>
      </c>
      <c r="K1051" s="113">
        <v>-5</v>
      </c>
    </row>
    <row r="1052" spans="2:11" x14ac:dyDescent="0.25">
      <c r="B1052" s="185"/>
      <c r="C1052" s="113">
        <v>225.43199999999999</v>
      </c>
      <c r="D1052" s="113">
        <v>8322</v>
      </c>
      <c r="E1052" s="113">
        <v>1049</v>
      </c>
      <c r="F1052" s="113">
        <v>149</v>
      </c>
      <c r="G1052" s="113">
        <v>156.5</v>
      </c>
      <c r="H1052" s="113">
        <v>161.80000000000001</v>
      </c>
      <c r="I1052" s="113">
        <v>1.4</v>
      </c>
      <c r="J1052" s="113">
        <v>77.88</v>
      </c>
      <c r="K1052" s="113">
        <v>-5</v>
      </c>
    </row>
    <row r="1053" spans="2:11" x14ac:dyDescent="0.25">
      <c r="B1053" s="185"/>
      <c r="C1053" s="113">
        <v>225.45400000000001</v>
      </c>
      <c r="D1053" s="113">
        <v>8323</v>
      </c>
      <c r="E1053" s="113">
        <v>1050</v>
      </c>
      <c r="F1053" s="113">
        <v>149</v>
      </c>
      <c r="G1053" s="113">
        <v>156.19999999999999</v>
      </c>
      <c r="H1053" s="113">
        <v>161.19999999999999</v>
      </c>
      <c r="I1053" s="113">
        <v>1.1000000000000001</v>
      </c>
      <c r="J1053" s="113">
        <v>78.08</v>
      </c>
      <c r="K1053" s="113">
        <v>-5.7</v>
      </c>
    </row>
    <row r="1054" spans="2:11" x14ac:dyDescent="0.25">
      <c r="B1054" s="185"/>
      <c r="C1054" s="113">
        <v>225.477</v>
      </c>
      <c r="D1054" s="113">
        <v>8324</v>
      </c>
      <c r="E1054" s="113">
        <v>1051</v>
      </c>
      <c r="F1054" s="113">
        <v>148</v>
      </c>
      <c r="G1054" s="113">
        <v>155.80000000000001</v>
      </c>
      <c r="H1054" s="113">
        <v>160.6</v>
      </c>
      <c r="I1054" s="113">
        <v>0.8</v>
      </c>
      <c r="J1054" s="113">
        <v>78.67</v>
      </c>
      <c r="K1054" s="113">
        <v>-6.6</v>
      </c>
    </row>
    <row r="1055" spans="2:11" x14ac:dyDescent="0.25">
      <c r="B1055" s="185"/>
      <c r="C1055" s="113">
        <v>225.501</v>
      </c>
      <c r="D1055" s="113">
        <v>8325</v>
      </c>
      <c r="E1055" s="113">
        <v>1052</v>
      </c>
      <c r="F1055" s="113">
        <v>147</v>
      </c>
      <c r="G1055" s="113">
        <v>155.4</v>
      </c>
      <c r="H1055" s="113">
        <v>159.69999999999999</v>
      </c>
      <c r="I1055" s="113">
        <v>0.7</v>
      </c>
      <c r="J1055" s="113">
        <v>79.510000000000005</v>
      </c>
      <c r="K1055" s="113">
        <v>-8.1</v>
      </c>
    </row>
    <row r="1056" spans="2:11" x14ac:dyDescent="0.25">
      <c r="B1056" s="185"/>
      <c r="C1056" s="113">
        <v>225.524</v>
      </c>
      <c r="D1056" s="113">
        <v>8326</v>
      </c>
      <c r="E1056" s="113">
        <v>1053</v>
      </c>
      <c r="F1056" s="113">
        <v>147</v>
      </c>
      <c r="G1056" s="113">
        <v>155.1</v>
      </c>
      <c r="H1056" s="113">
        <v>159.1</v>
      </c>
      <c r="I1056" s="113">
        <v>1.1000000000000001</v>
      </c>
      <c r="J1056" s="113">
        <v>80.06</v>
      </c>
      <c r="K1056" s="113">
        <v>-8.5</v>
      </c>
    </row>
    <row r="1057" spans="2:11" x14ac:dyDescent="0.25">
      <c r="B1057" s="185"/>
      <c r="C1057" s="113">
        <v>225.547</v>
      </c>
      <c r="D1057" s="113">
        <v>8327</v>
      </c>
      <c r="E1057" s="113">
        <v>1054</v>
      </c>
      <c r="F1057" s="113">
        <v>147</v>
      </c>
      <c r="G1057" s="113">
        <v>154.80000000000001</v>
      </c>
      <c r="H1057" s="113">
        <v>158.4</v>
      </c>
      <c r="I1057" s="113">
        <v>1</v>
      </c>
      <c r="J1057" s="113">
        <v>80.38</v>
      </c>
      <c r="K1057" s="113">
        <v>-6.5</v>
      </c>
    </row>
    <row r="1058" spans="2:11" x14ac:dyDescent="0.25">
      <c r="B1058" s="185"/>
      <c r="C1058" s="113">
        <v>225.57</v>
      </c>
      <c r="D1058" s="113">
        <v>8328</v>
      </c>
      <c r="E1058" s="113">
        <v>1055</v>
      </c>
      <c r="F1058" s="113">
        <v>147</v>
      </c>
      <c r="G1058" s="113">
        <v>154.4</v>
      </c>
      <c r="H1058" s="113">
        <v>157.30000000000001</v>
      </c>
      <c r="I1058" s="113">
        <v>1.5</v>
      </c>
      <c r="J1058" s="113">
        <v>80.87</v>
      </c>
      <c r="K1058" s="113">
        <v>-3.7</v>
      </c>
    </row>
    <row r="1059" spans="2:11" x14ac:dyDescent="0.25">
      <c r="B1059" s="185"/>
      <c r="C1059" s="113">
        <v>225.59299999999999</v>
      </c>
      <c r="D1059" s="113">
        <v>8329</v>
      </c>
      <c r="E1059" s="113">
        <v>1056</v>
      </c>
      <c r="F1059" s="113">
        <v>147</v>
      </c>
      <c r="G1059" s="113">
        <v>153.9</v>
      </c>
      <c r="H1059" s="113">
        <v>156.6</v>
      </c>
      <c r="I1059" s="113">
        <v>1.5</v>
      </c>
      <c r="J1059" s="113">
        <v>82.11</v>
      </c>
      <c r="K1059" s="113">
        <v>-1.8</v>
      </c>
    </row>
    <row r="1060" spans="2:11" x14ac:dyDescent="0.25">
      <c r="B1060" s="185"/>
      <c r="C1060" s="113">
        <v>225.61600000000001</v>
      </c>
      <c r="D1060" s="113">
        <v>8330</v>
      </c>
      <c r="E1060" s="113">
        <v>1057</v>
      </c>
      <c r="F1060" s="113">
        <v>147</v>
      </c>
      <c r="G1060" s="113">
        <v>153.69999999999999</v>
      </c>
      <c r="H1060" s="113">
        <v>155.9</v>
      </c>
      <c r="I1060" s="113">
        <v>2.6</v>
      </c>
      <c r="J1060" s="113">
        <v>82.44</v>
      </c>
      <c r="K1060" s="113">
        <v>-3.7</v>
      </c>
    </row>
    <row r="1061" spans="2:11" x14ac:dyDescent="0.25">
      <c r="B1061" s="185"/>
      <c r="C1061" s="113">
        <v>225.64</v>
      </c>
      <c r="D1061" s="113">
        <v>8331</v>
      </c>
      <c r="E1061" s="113">
        <v>1058</v>
      </c>
      <c r="F1061" s="113">
        <v>147</v>
      </c>
      <c r="G1061" s="113">
        <v>153.6</v>
      </c>
      <c r="H1061" s="113">
        <v>154.69999999999999</v>
      </c>
      <c r="I1061" s="113">
        <v>3.6</v>
      </c>
      <c r="J1061" s="113">
        <v>82.77</v>
      </c>
      <c r="K1061" s="113">
        <v>-8.9</v>
      </c>
    </row>
    <row r="1062" spans="2:11" x14ac:dyDescent="0.25">
      <c r="B1062" s="185"/>
      <c r="C1062" s="113">
        <v>225.66300000000001</v>
      </c>
      <c r="D1062" s="113">
        <v>8332</v>
      </c>
      <c r="E1062" s="113">
        <v>1059</v>
      </c>
      <c r="F1062" s="113">
        <v>147</v>
      </c>
      <c r="G1062" s="113">
        <v>153.4</v>
      </c>
      <c r="H1062" s="113">
        <v>153.9</v>
      </c>
      <c r="I1062" s="113">
        <v>4.5</v>
      </c>
      <c r="J1062" s="113">
        <v>82.87</v>
      </c>
      <c r="K1062" s="113">
        <v>-12.5</v>
      </c>
    </row>
    <row r="1063" spans="2:11" x14ac:dyDescent="0.25">
      <c r="B1063" s="185"/>
      <c r="C1063" s="113">
        <v>225.68700000000001</v>
      </c>
      <c r="D1063" s="113">
        <v>8333</v>
      </c>
      <c r="E1063" s="113">
        <v>1060</v>
      </c>
      <c r="F1063" s="113">
        <v>147</v>
      </c>
      <c r="G1063" s="113">
        <v>153.1</v>
      </c>
      <c r="H1063" s="113">
        <v>153.1</v>
      </c>
      <c r="I1063" s="113">
        <v>4.8</v>
      </c>
      <c r="J1063" s="113">
        <v>82.81</v>
      </c>
      <c r="K1063" s="113">
        <v>-17.3</v>
      </c>
    </row>
    <row r="1064" spans="2:11" x14ac:dyDescent="0.25">
      <c r="B1064" s="185"/>
      <c r="C1064" s="113">
        <v>225.71</v>
      </c>
      <c r="D1064" s="113">
        <v>8334</v>
      </c>
      <c r="E1064" s="113">
        <v>1061</v>
      </c>
      <c r="F1064" s="113">
        <v>147</v>
      </c>
      <c r="G1064" s="113">
        <v>152.69999999999999</v>
      </c>
      <c r="H1064" s="113">
        <v>152</v>
      </c>
      <c r="I1064" s="113">
        <v>6.6</v>
      </c>
      <c r="J1064" s="113">
        <v>82.04</v>
      </c>
      <c r="K1064" s="113">
        <v>-32.5</v>
      </c>
    </row>
    <row r="1065" spans="2:11" x14ac:dyDescent="0.25">
      <c r="B1065" s="185"/>
      <c r="C1065" s="113">
        <v>225.73400000000001</v>
      </c>
      <c r="D1065" s="113">
        <v>8335</v>
      </c>
      <c r="E1065" s="113">
        <v>1062</v>
      </c>
      <c r="F1065" s="113">
        <v>147</v>
      </c>
      <c r="G1065" s="113">
        <v>152.5</v>
      </c>
      <c r="H1065" s="113">
        <v>151.19999999999999</v>
      </c>
      <c r="I1065" s="113">
        <v>7.2</v>
      </c>
      <c r="J1065" s="113">
        <v>82.06</v>
      </c>
      <c r="K1065" s="113">
        <v>-42.6</v>
      </c>
    </row>
    <row r="1066" spans="2:11" x14ac:dyDescent="0.25">
      <c r="B1066" s="185"/>
      <c r="C1066" s="113">
        <v>225.75700000000001</v>
      </c>
      <c r="D1066" s="113">
        <v>8336</v>
      </c>
      <c r="E1066" s="113">
        <v>1063</v>
      </c>
      <c r="F1066" s="113">
        <v>148</v>
      </c>
      <c r="G1066" s="113">
        <v>152.1</v>
      </c>
      <c r="H1066" s="113">
        <v>150.4</v>
      </c>
      <c r="I1066" s="113">
        <v>8.6</v>
      </c>
      <c r="J1066" s="113">
        <v>80.94</v>
      </c>
      <c r="K1066" s="113">
        <v>-52.7</v>
      </c>
    </row>
    <row r="1067" spans="2:11" x14ac:dyDescent="0.25">
      <c r="B1067" s="185"/>
      <c r="C1067" s="113">
        <v>225.78100000000001</v>
      </c>
      <c r="D1067" s="113">
        <v>8337</v>
      </c>
      <c r="E1067" s="113">
        <v>1064</v>
      </c>
      <c r="F1067" s="113">
        <v>148</v>
      </c>
      <c r="G1067" s="113">
        <v>151.80000000000001</v>
      </c>
      <c r="H1067" s="113">
        <v>149.1</v>
      </c>
      <c r="I1067" s="113">
        <v>10</v>
      </c>
      <c r="J1067" s="113">
        <v>80.16</v>
      </c>
      <c r="K1067" s="113">
        <v>-55.9</v>
      </c>
    </row>
    <row r="1068" spans="2:11" x14ac:dyDescent="0.25">
      <c r="B1068" s="185"/>
      <c r="C1068" s="113">
        <v>225.804</v>
      </c>
      <c r="D1068" s="113">
        <v>8338</v>
      </c>
      <c r="E1068" s="113">
        <v>1065</v>
      </c>
      <c r="F1068" s="113">
        <v>148</v>
      </c>
      <c r="G1068" s="113">
        <v>151.6</v>
      </c>
      <c r="H1068" s="113">
        <v>148.30000000000001</v>
      </c>
      <c r="I1068" s="113">
        <v>10.199999999999999</v>
      </c>
      <c r="J1068" s="113">
        <v>78.3</v>
      </c>
      <c r="K1068" s="113">
        <v>-55.9</v>
      </c>
    </row>
    <row r="1069" spans="2:11" x14ac:dyDescent="0.25">
      <c r="B1069" s="185"/>
      <c r="C1069" s="113">
        <v>225.828</v>
      </c>
      <c r="D1069" s="113">
        <v>8339</v>
      </c>
      <c r="E1069" s="113">
        <v>1066</v>
      </c>
      <c r="F1069" s="113">
        <v>148</v>
      </c>
      <c r="G1069" s="113">
        <v>151.30000000000001</v>
      </c>
      <c r="H1069" s="113">
        <v>147.5</v>
      </c>
      <c r="I1069" s="113">
        <v>10.199999999999999</v>
      </c>
      <c r="J1069" s="113">
        <v>77.61</v>
      </c>
      <c r="K1069" s="113">
        <v>-55.9</v>
      </c>
    </row>
    <row r="1070" spans="2:11" x14ac:dyDescent="0.25">
      <c r="B1070" s="185"/>
      <c r="C1070" s="113">
        <v>225.852</v>
      </c>
      <c r="D1070" s="113">
        <v>8340</v>
      </c>
      <c r="E1070" s="113">
        <v>1067</v>
      </c>
      <c r="F1070" s="113">
        <v>148</v>
      </c>
      <c r="G1070" s="113">
        <v>151.1</v>
      </c>
      <c r="H1070" s="113">
        <v>146.6</v>
      </c>
      <c r="I1070" s="113">
        <v>10</v>
      </c>
      <c r="J1070" s="113">
        <v>74.37</v>
      </c>
      <c r="K1070" s="113">
        <v>-52.9</v>
      </c>
    </row>
    <row r="1071" spans="2:11" x14ac:dyDescent="0.25">
      <c r="B1071" s="185"/>
      <c r="C1071" s="113">
        <v>225.876</v>
      </c>
      <c r="D1071" s="113">
        <v>8341</v>
      </c>
      <c r="E1071" s="113">
        <v>1068</v>
      </c>
      <c r="F1071" s="113">
        <v>148</v>
      </c>
      <c r="G1071" s="113">
        <v>151</v>
      </c>
      <c r="H1071" s="113">
        <v>146</v>
      </c>
      <c r="I1071" s="113">
        <v>9.6999999999999993</v>
      </c>
      <c r="J1071" s="113">
        <v>73.11</v>
      </c>
      <c r="K1071" s="113">
        <v>-48.5</v>
      </c>
    </row>
    <row r="1072" spans="2:11" x14ac:dyDescent="0.25">
      <c r="B1072" s="185"/>
      <c r="C1072" s="113">
        <v>225.899</v>
      </c>
      <c r="D1072" s="113">
        <v>8342</v>
      </c>
      <c r="E1072" s="113">
        <v>1069</v>
      </c>
      <c r="F1072" s="113">
        <v>148</v>
      </c>
      <c r="G1072" s="113">
        <v>150.80000000000001</v>
      </c>
      <c r="H1072" s="113">
        <v>145.4</v>
      </c>
      <c r="I1072" s="113">
        <v>9.1</v>
      </c>
      <c r="J1072" s="113">
        <v>71.3</v>
      </c>
      <c r="K1072" s="113">
        <v>-44.2</v>
      </c>
    </row>
    <row r="1073" spans="2:11" x14ac:dyDescent="0.25">
      <c r="B1073" s="185"/>
      <c r="C1073" s="113">
        <v>225.923</v>
      </c>
      <c r="D1073" s="113">
        <v>8343</v>
      </c>
      <c r="E1073" s="113">
        <v>1070</v>
      </c>
      <c r="F1073" s="113">
        <v>147</v>
      </c>
      <c r="G1073" s="113">
        <v>150.5</v>
      </c>
      <c r="H1073" s="113">
        <v>144.6</v>
      </c>
      <c r="I1073" s="113">
        <v>8.6</v>
      </c>
      <c r="J1073" s="113">
        <v>70.459999999999994</v>
      </c>
      <c r="K1073" s="113">
        <v>-38.4</v>
      </c>
    </row>
    <row r="1074" spans="2:11" x14ac:dyDescent="0.25">
      <c r="B1074" s="185"/>
      <c r="C1074" s="113">
        <v>225.947</v>
      </c>
      <c r="D1074" s="113">
        <v>8344</v>
      </c>
      <c r="E1074" s="113">
        <v>1071</v>
      </c>
      <c r="F1074" s="113">
        <v>147</v>
      </c>
      <c r="G1074" s="113">
        <v>150.1</v>
      </c>
      <c r="H1074" s="113">
        <v>144.1</v>
      </c>
      <c r="I1074" s="113">
        <v>8.5</v>
      </c>
      <c r="J1074" s="113">
        <v>68.67</v>
      </c>
      <c r="K1074" s="113">
        <v>-38</v>
      </c>
    </row>
    <row r="1075" spans="2:11" x14ac:dyDescent="0.25">
      <c r="B1075" s="185"/>
      <c r="C1075" s="113">
        <v>225.971</v>
      </c>
      <c r="D1075" s="113">
        <v>8345</v>
      </c>
      <c r="E1075" s="113">
        <v>1072</v>
      </c>
      <c r="F1075" s="113">
        <v>147</v>
      </c>
      <c r="G1075" s="113">
        <v>149.69999999999999</v>
      </c>
      <c r="H1075" s="113">
        <v>143.4</v>
      </c>
      <c r="I1075" s="113">
        <v>8.5</v>
      </c>
      <c r="J1075" s="113">
        <v>66.02</v>
      </c>
      <c r="K1075" s="113">
        <v>-37.299999999999997</v>
      </c>
    </row>
    <row r="1076" spans="2:11" x14ac:dyDescent="0.25">
      <c r="B1076" s="185"/>
      <c r="C1076" s="113">
        <v>225.994</v>
      </c>
      <c r="D1076" s="113">
        <v>8346</v>
      </c>
      <c r="E1076" s="113">
        <v>1073</v>
      </c>
      <c r="F1076" s="113">
        <v>147</v>
      </c>
      <c r="G1076" s="113">
        <v>149.5</v>
      </c>
      <c r="H1076" s="113">
        <v>142.9</v>
      </c>
      <c r="I1076" s="113">
        <v>8</v>
      </c>
      <c r="J1076" s="113">
        <v>64.72</v>
      </c>
      <c r="K1076" s="113">
        <v>-36.9</v>
      </c>
    </row>
    <row r="1077" spans="2:11" x14ac:dyDescent="0.25">
      <c r="B1077" s="185"/>
      <c r="C1077" s="113">
        <v>226.01900000000001</v>
      </c>
      <c r="D1077" s="113">
        <v>8347</v>
      </c>
      <c r="E1077" s="113">
        <v>1074</v>
      </c>
      <c r="F1077" s="113">
        <v>147</v>
      </c>
      <c r="G1077" s="113">
        <v>149.30000000000001</v>
      </c>
      <c r="H1077" s="113">
        <v>142.4</v>
      </c>
      <c r="I1077" s="113">
        <v>7.6</v>
      </c>
      <c r="J1077" s="113">
        <v>63.79</v>
      </c>
      <c r="K1077" s="113">
        <v>-37.5</v>
      </c>
    </row>
    <row r="1078" spans="2:11" x14ac:dyDescent="0.25">
      <c r="B1078" s="185"/>
      <c r="C1078" s="113">
        <v>226.042</v>
      </c>
      <c r="D1078" s="113">
        <v>8348</v>
      </c>
      <c r="E1078" s="113">
        <v>1075</v>
      </c>
      <c r="F1078" s="113">
        <v>146</v>
      </c>
      <c r="G1078" s="113">
        <v>148.80000000000001</v>
      </c>
      <c r="H1078" s="113">
        <v>141.69999999999999</v>
      </c>
      <c r="I1078" s="113">
        <v>7.5</v>
      </c>
      <c r="J1078" s="113">
        <v>62.16</v>
      </c>
      <c r="K1078" s="113">
        <v>-39.200000000000003</v>
      </c>
    </row>
    <row r="1079" spans="2:11" ht="15.75" thickBot="1" x14ac:dyDescent="0.3">
      <c r="B1079" s="186"/>
      <c r="C1079" s="113">
        <v>226.06700000000001</v>
      </c>
      <c r="D1079" s="113">
        <v>8349</v>
      </c>
      <c r="E1079" s="113">
        <v>1076</v>
      </c>
      <c r="F1079" s="113">
        <v>146</v>
      </c>
      <c r="G1079" s="113">
        <v>148.6</v>
      </c>
      <c r="H1079" s="113">
        <v>141.19999999999999</v>
      </c>
      <c r="I1079" s="113">
        <v>8</v>
      </c>
      <c r="J1079" s="113">
        <v>61.83</v>
      </c>
      <c r="K1079" s="113">
        <v>-40.299999999999997</v>
      </c>
    </row>
    <row r="1080" spans="2:11" x14ac:dyDescent="0.25">
      <c r="B1080" s="201" t="s">
        <v>192</v>
      </c>
      <c r="C1080" s="113">
        <v>226.09100000000001</v>
      </c>
      <c r="D1080" s="113">
        <v>8350</v>
      </c>
      <c r="E1080" s="113">
        <v>1077</v>
      </c>
      <c r="F1080" s="113">
        <v>146</v>
      </c>
      <c r="G1080" s="113">
        <v>148.19999999999999</v>
      </c>
      <c r="H1080" s="113">
        <v>140.5</v>
      </c>
      <c r="I1080" s="113">
        <v>8.6999999999999993</v>
      </c>
      <c r="J1080" s="113">
        <v>60.8</v>
      </c>
      <c r="K1080" s="113">
        <v>-37.700000000000003</v>
      </c>
    </row>
    <row r="1081" spans="2:11" x14ac:dyDescent="0.25">
      <c r="B1081" s="202"/>
      <c r="C1081" s="113">
        <v>226.11500000000001</v>
      </c>
      <c r="D1081" s="113">
        <v>8351</v>
      </c>
      <c r="E1081" s="113">
        <v>1078</v>
      </c>
      <c r="F1081" s="113">
        <v>146</v>
      </c>
      <c r="G1081" s="113">
        <v>148.1</v>
      </c>
      <c r="H1081" s="113">
        <v>140</v>
      </c>
      <c r="I1081" s="113">
        <v>8.9</v>
      </c>
      <c r="J1081" s="113">
        <v>60.49</v>
      </c>
      <c r="K1081" s="113">
        <v>-32.5</v>
      </c>
    </row>
    <row r="1082" spans="2:11" x14ac:dyDescent="0.25">
      <c r="B1082" s="202"/>
      <c r="C1082" s="113">
        <v>226.13900000000001</v>
      </c>
      <c r="D1082" s="113">
        <v>8352</v>
      </c>
      <c r="E1082" s="113">
        <v>1079</v>
      </c>
      <c r="F1082" s="113">
        <v>146</v>
      </c>
      <c r="G1082" s="113">
        <v>147.9</v>
      </c>
      <c r="H1082" s="113">
        <v>139.5</v>
      </c>
      <c r="I1082" s="113">
        <v>8.6</v>
      </c>
      <c r="J1082" s="113">
        <v>60.76</v>
      </c>
      <c r="K1082" s="113">
        <v>-27.4</v>
      </c>
    </row>
    <row r="1083" spans="2:11" x14ac:dyDescent="0.25">
      <c r="B1083" s="202"/>
      <c r="C1083" s="113">
        <v>226.16399999999999</v>
      </c>
      <c r="D1083" s="113">
        <v>8353</v>
      </c>
      <c r="E1083" s="113">
        <v>1080</v>
      </c>
      <c r="F1083" s="113">
        <v>145</v>
      </c>
      <c r="G1083" s="113">
        <v>147.5</v>
      </c>
      <c r="H1083" s="113">
        <v>138.9</v>
      </c>
      <c r="I1083" s="113">
        <v>8.6</v>
      </c>
      <c r="J1083" s="113">
        <v>59.41</v>
      </c>
      <c r="K1083" s="113">
        <v>-20.6</v>
      </c>
    </row>
    <row r="1084" spans="2:11" x14ac:dyDescent="0.25">
      <c r="B1084" s="202"/>
      <c r="C1084" s="113">
        <v>226.18799999999999</v>
      </c>
      <c r="D1084" s="113">
        <v>8354</v>
      </c>
      <c r="E1084" s="113">
        <v>1081</v>
      </c>
      <c r="F1084" s="113">
        <v>145</v>
      </c>
      <c r="G1084" s="113">
        <v>147.4</v>
      </c>
      <c r="H1084" s="113">
        <v>138.4</v>
      </c>
      <c r="I1084" s="113">
        <v>8.6</v>
      </c>
      <c r="J1084" s="113">
        <v>59.08</v>
      </c>
      <c r="K1084" s="113">
        <v>-20.6</v>
      </c>
    </row>
    <row r="1085" spans="2:11" x14ac:dyDescent="0.25">
      <c r="B1085" s="202"/>
      <c r="C1085" s="113">
        <v>226.21299999999999</v>
      </c>
      <c r="D1085" s="113">
        <v>8355</v>
      </c>
      <c r="E1085" s="113">
        <v>1082</v>
      </c>
      <c r="F1085" s="113">
        <v>145</v>
      </c>
      <c r="G1085" s="113">
        <v>147.19999999999999</v>
      </c>
      <c r="H1085" s="113">
        <v>137.80000000000001</v>
      </c>
      <c r="I1085" s="113">
        <v>8.1999999999999993</v>
      </c>
      <c r="J1085" s="113">
        <v>59.49</v>
      </c>
      <c r="K1085" s="113">
        <v>-20.6</v>
      </c>
    </row>
    <row r="1086" spans="2:11" x14ac:dyDescent="0.25">
      <c r="B1086" s="202"/>
      <c r="C1086" s="113">
        <v>226.23699999999999</v>
      </c>
      <c r="D1086" s="113">
        <v>8356</v>
      </c>
      <c r="E1086" s="113">
        <v>1083</v>
      </c>
      <c r="F1086" s="113">
        <v>145</v>
      </c>
      <c r="G1086" s="113">
        <v>147</v>
      </c>
      <c r="H1086" s="113">
        <v>137.30000000000001</v>
      </c>
      <c r="I1086" s="113">
        <v>8</v>
      </c>
      <c r="J1086" s="113">
        <v>59.85</v>
      </c>
      <c r="K1086" s="113">
        <v>-20.6</v>
      </c>
    </row>
    <row r="1087" spans="2:11" x14ac:dyDescent="0.25">
      <c r="B1087" s="202"/>
      <c r="C1087" s="113">
        <v>226.261</v>
      </c>
      <c r="D1087" s="113">
        <v>8357</v>
      </c>
      <c r="E1087" s="113">
        <v>1084</v>
      </c>
      <c r="F1087" s="113">
        <v>145</v>
      </c>
      <c r="G1087" s="113">
        <v>146.69999999999999</v>
      </c>
      <c r="H1087" s="113">
        <v>136.6</v>
      </c>
      <c r="I1087" s="113">
        <v>8.9</v>
      </c>
      <c r="J1087" s="113">
        <v>63.5</v>
      </c>
      <c r="K1087" s="113">
        <v>-29.8</v>
      </c>
    </row>
    <row r="1088" spans="2:11" x14ac:dyDescent="0.25">
      <c r="B1088" s="202"/>
      <c r="C1088" s="113">
        <v>226.286</v>
      </c>
      <c r="D1088" s="113">
        <v>8358</v>
      </c>
      <c r="E1088" s="113">
        <v>1085</v>
      </c>
      <c r="F1088" s="113">
        <v>145</v>
      </c>
      <c r="G1088" s="113">
        <v>146.4</v>
      </c>
      <c r="H1088" s="113">
        <v>136.19999999999999</v>
      </c>
      <c r="I1088" s="113">
        <v>9.6999999999999993</v>
      </c>
      <c r="J1088" s="113">
        <v>65.760000000000005</v>
      </c>
      <c r="K1088" s="113">
        <v>-37.6</v>
      </c>
    </row>
    <row r="1089" spans="2:11" x14ac:dyDescent="0.25">
      <c r="B1089" s="202"/>
      <c r="C1089" s="113">
        <v>226.31</v>
      </c>
      <c r="D1089" s="113">
        <v>8359</v>
      </c>
      <c r="E1089" s="113">
        <v>1086</v>
      </c>
      <c r="F1089" s="113">
        <v>145</v>
      </c>
      <c r="G1089" s="113">
        <v>146.30000000000001</v>
      </c>
      <c r="H1089" s="113">
        <v>135.5</v>
      </c>
      <c r="I1089" s="113">
        <v>11.8</v>
      </c>
      <c r="J1089" s="113">
        <v>65.84</v>
      </c>
      <c r="K1089" s="113">
        <v>-49.3</v>
      </c>
    </row>
    <row r="1090" spans="2:11" x14ac:dyDescent="0.25">
      <c r="B1090" s="202"/>
      <c r="C1090" s="113">
        <v>226.334</v>
      </c>
      <c r="D1090" s="113">
        <v>8360</v>
      </c>
      <c r="E1090" s="113">
        <v>1087</v>
      </c>
      <c r="F1090" s="113">
        <v>145</v>
      </c>
      <c r="G1090" s="113">
        <v>146.19999999999999</v>
      </c>
      <c r="H1090" s="113">
        <v>135.1</v>
      </c>
      <c r="I1090" s="113">
        <v>11.7</v>
      </c>
      <c r="J1090" s="113">
        <v>67.98</v>
      </c>
      <c r="K1090" s="113">
        <v>-51.6</v>
      </c>
    </row>
    <row r="1091" spans="2:11" x14ac:dyDescent="0.25">
      <c r="B1091" s="202"/>
      <c r="C1091" s="113">
        <v>226.35900000000001</v>
      </c>
      <c r="D1091" s="113">
        <v>8361</v>
      </c>
      <c r="E1091" s="113">
        <v>1088</v>
      </c>
      <c r="F1091" s="113">
        <v>145</v>
      </c>
      <c r="G1091" s="113">
        <v>146.19999999999999</v>
      </c>
      <c r="H1091" s="113">
        <v>134.69999999999999</v>
      </c>
      <c r="I1091" s="113">
        <v>11.6</v>
      </c>
      <c r="J1091" s="113">
        <v>67.58</v>
      </c>
      <c r="K1091" s="113">
        <v>-51.4</v>
      </c>
    </row>
    <row r="1092" spans="2:11" x14ac:dyDescent="0.25">
      <c r="B1092" s="202"/>
      <c r="C1092" s="113">
        <v>226.38399999999999</v>
      </c>
      <c r="D1092" s="113">
        <v>8362</v>
      </c>
      <c r="E1092" s="113">
        <v>1089</v>
      </c>
      <c r="F1092" s="113">
        <v>145</v>
      </c>
      <c r="G1092" s="113">
        <v>145.9</v>
      </c>
      <c r="H1092" s="113">
        <v>134.1</v>
      </c>
      <c r="I1092" s="113">
        <v>11.4</v>
      </c>
      <c r="J1092" s="113">
        <v>68.040000000000006</v>
      </c>
      <c r="K1092" s="113">
        <v>-51.1</v>
      </c>
    </row>
    <row r="1093" spans="2:11" x14ac:dyDescent="0.25">
      <c r="B1093" s="202"/>
      <c r="C1093" s="113">
        <v>226.40799999999999</v>
      </c>
      <c r="D1093" s="113">
        <v>8363</v>
      </c>
      <c r="E1093" s="113">
        <v>1090</v>
      </c>
      <c r="F1093" s="113">
        <v>145</v>
      </c>
      <c r="G1093" s="113">
        <v>145.69999999999999</v>
      </c>
      <c r="H1093" s="113">
        <v>133.69999999999999</v>
      </c>
      <c r="I1093" s="113">
        <v>11.7</v>
      </c>
      <c r="J1093" s="113">
        <v>69.849999999999994</v>
      </c>
      <c r="K1093" s="113">
        <v>-50.7</v>
      </c>
    </row>
    <row r="1094" spans="2:11" x14ac:dyDescent="0.25">
      <c r="B1094" s="202"/>
      <c r="C1094" s="113">
        <v>226.43299999999999</v>
      </c>
      <c r="D1094" s="113">
        <v>8364</v>
      </c>
      <c r="E1094" s="113">
        <v>1091</v>
      </c>
      <c r="F1094" s="113">
        <v>144</v>
      </c>
      <c r="G1094" s="113">
        <v>145.19999999999999</v>
      </c>
      <c r="H1094" s="113">
        <v>133.1</v>
      </c>
      <c r="I1094" s="113">
        <v>13.3</v>
      </c>
      <c r="J1094" s="113">
        <v>72.44</v>
      </c>
      <c r="K1094" s="113">
        <v>-48.3</v>
      </c>
    </row>
    <row r="1095" spans="2:11" x14ac:dyDescent="0.25">
      <c r="B1095" s="202"/>
      <c r="C1095" s="113">
        <v>226.458</v>
      </c>
      <c r="D1095" s="113">
        <v>8365</v>
      </c>
      <c r="E1095" s="113">
        <v>1092</v>
      </c>
      <c r="F1095" s="113">
        <v>144</v>
      </c>
      <c r="G1095" s="113">
        <v>144.9</v>
      </c>
      <c r="H1095" s="113">
        <v>132.80000000000001</v>
      </c>
      <c r="I1095" s="113">
        <v>14.1</v>
      </c>
      <c r="J1095" s="113">
        <v>73.16</v>
      </c>
      <c r="K1095" s="113">
        <v>-46.8</v>
      </c>
    </row>
    <row r="1096" spans="2:11" x14ac:dyDescent="0.25">
      <c r="B1096" s="202"/>
      <c r="C1096" s="113">
        <v>226.482</v>
      </c>
      <c r="D1096" s="113">
        <v>8366</v>
      </c>
      <c r="E1096" s="113">
        <v>1093</v>
      </c>
      <c r="F1096" s="113">
        <v>144</v>
      </c>
      <c r="G1096" s="113">
        <v>144.5</v>
      </c>
      <c r="H1096" s="113">
        <v>132.30000000000001</v>
      </c>
      <c r="I1096" s="113">
        <v>15</v>
      </c>
      <c r="J1096" s="113">
        <v>73.3</v>
      </c>
      <c r="K1096" s="113">
        <v>-45</v>
      </c>
    </row>
    <row r="1097" spans="2:11" x14ac:dyDescent="0.25">
      <c r="B1097" s="202"/>
      <c r="C1097" s="113">
        <v>226.50700000000001</v>
      </c>
      <c r="D1097" s="113">
        <v>8367</v>
      </c>
      <c r="E1097" s="113">
        <v>1094</v>
      </c>
      <c r="F1097" s="113">
        <v>144</v>
      </c>
      <c r="G1097" s="113">
        <v>143.80000000000001</v>
      </c>
      <c r="H1097" s="113">
        <v>132</v>
      </c>
      <c r="I1097" s="113">
        <v>15.2</v>
      </c>
      <c r="J1097" s="113">
        <v>74.09</v>
      </c>
      <c r="K1097" s="113">
        <v>-46.8</v>
      </c>
    </row>
    <row r="1098" spans="2:11" x14ac:dyDescent="0.25">
      <c r="B1098" s="202"/>
      <c r="C1098" s="113">
        <v>226.53200000000001</v>
      </c>
      <c r="D1098" s="113">
        <v>8368</v>
      </c>
      <c r="E1098" s="113">
        <v>1095</v>
      </c>
      <c r="F1098" s="113">
        <v>144</v>
      </c>
      <c r="G1098" s="113">
        <v>143.4</v>
      </c>
      <c r="H1098" s="113">
        <v>131.6</v>
      </c>
      <c r="I1098" s="113">
        <v>15.2</v>
      </c>
      <c r="J1098" s="113">
        <v>70</v>
      </c>
      <c r="K1098" s="113">
        <v>-49.5</v>
      </c>
    </row>
    <row r="1099" spans="2:11" x14ac:dyDescent="0.25">
      <c r="B1099" s="202"/>
      <c r="C1099" s="113">
        <v>226.55699999999999</v>
      </c>
      <c r="D1099" s="113">
        <v>8369</v>
      </c>
      <c r="E1099" s="113">
        <v>1096</v>
      </c>
      <c r="F1099" s="113">
        <v>143</v>
      </c>
      <c r="G1099" s="113">
        <v>143.5</v>
      </c>
      <c r="H1099" s="113">
        <v>131.30000000000001</v>
      </c>
      <c r="I1099" s="113">
        <v>15</v>
      </c>
      <c r="J1099" s="113">
        <v>68.849999999999994</v>
      </c>
      <c r="K1099" s="113">
        <v>-51.3</v>
      </c>
    </row>
    <row r="1100" spans="2:11" x14ac:dyDescent="0.25">
      <c r="B1100" s="202"/>
      <c r="C1100" s="113">
        <v>226.58199999999999</v>
      </c>
      <c r="D1100" s="113">
        <v>8370</v>
      </c>
      <c r="E1100" s="113">
        <v>1097</v>
      </c>
      <c r="F1100" s="113">
        <v>143</v>
      </c>
      <c r="G1100" s="113">
        <v>143.30000000000001</v>
      </c>
      <c r="H1100" s="113">
        <v>130.80000000000001</v>
      </c>
      <c r="I1100" s="113">
        <v>11</v>
      </c>
      <c r="J1100" s="113">
        <v>68.91</v>
      </c>
      <c r="K1100" s="113">
        <v>-51.9</v>
      </c>
    </row>
    <row r="1101" spans="2:11" x14ac:dyDescent="0.25">
      <c r="B1101" s="202"/>
      <c r="C1101" s="113">
        <v>226.607</v>
      </c>
      <c r="D1101" s="113">
        <v>8371</v>
      </c>
      <c r="E1101" s="113">
        <v>1098</v>
      </c>
      <c r="F1101" s="113">
        <v>143</v>
      </c>
      <c r="G1101" s="113">
        <v>143.1</v>
      </c>
      <c r="H1101" s="113">
        <v>130.5</v>
      </c>
      <c r="I1101" s="113">
        <v>10.6</v>
      </c>
      <c r="J1101" s="113">
        <v>65.540000000000006</v>
      </c>
      <c r="K1101" s="113">
        <v>-51.9</v>
      </c>
    </row>
    <row r="1102" spans="2:11" x14ac:dyDescent="0.25">
      <c r="B1102" s="202"/>
      <c r="C1102" s="113">
        <v>226.63200000000001</v>
      </c>
      <c r="D1102" s="113">
        <v>8372</v>
      </c>
      <c r="E1102" s="113">
        <v>1099</v>
      </c>
      <c r="F1102" s="113">
        <v>142</v>
      </c>
      <c r="G1102" s="113">
        <v>143</v>
      </c>
      <c r="H1102" s="113">
        <v>130.1</v>
      </c>
      <c r="I1102" s="113">
        <v>9.6999999999999993</v>
      </c>
      <c r="J1102" s="113">
        <v>65.86</v>
      </c>
      <c r="K1102" s="113">
        <v>-51.9</v>
      </c>
    </row>
    <row r="1103" spans="2:11" x14ac:dyDescent="0.25">
      <c r="B1103" s="202"/>
      <c r="C1103" s="113">
        <v>226.65700000000001</v>
      </c>
      <c r="D1103" s="113">
        <v>8373</v>
      </c>
      <c r="E1103" s="113">
        <v>1100</v>
      </c>
      <c r="F1103" s="113">
        <v>142</v>
      </c>
      <c r="G1103" s="113">
        <v>142.69999999999999</v>
      </c>
      <c r="H1103" s="113">
        <v>129.80000000000001</v>
      </c>
      <c r="I1103" s="113">
        <v>9.1999999999999993</v>
      </c>
      <c r="J1103" s="113">
        <v>65.63</v>
      </c>
      <c r="K1103" s="113">
        <v>-52</v>
      </c>
    </row>
    <row r="1104" spans="2:11" x14ac:dyDescent="0.25">
      <c r="B1104" s="202"/>
      <c r="C1104" s="113">
        <v>226.68299999999999</v>
      </c>
      <c r="D1104" s="113">
        <v>8374</v>
      </c>
      <c r="E1104" s="113">
        <v>1101</v>
      </c>
      <c r="F1104" s="113">
        <v>141</v>
      </c>
      <c r="G1104" s="113">
        <v>142.1</v>
      </c>
      <c r="H1104" s="113">
        <v>129.4</v>
      </c>
      <c r="I1104" s="113">
        <v>9.5</v>
      </c>
      <c r="J1104" s="113">
        <v>67.17</v>
      </c>
      <c r="K1104" s="113">
        <v>-52.2</v>
      </c>
    </row>
    <row r="1105" spans="2:11" x14ac:dyDescent="0.25">
      <c r="B1105" s="202"/>
      <c r="C1105" s="113">
        <v>226.708</v>
      </c>
      <c r="D1105" s="113">
        <v>8375</v>
      </c>
      <c r="E1105" s="113">
        <v>1102</v>
      </c>
      <c r="F1105" s="113">
        <v>141</v>
      </c>
      <c r="G1105" s="113">
        <v>141.6</v>
      </c>
      <c r="H1105" s="113">
        <v>129.1</v>
      </c>
      <c r="I1105" s="113">
        <v>10.199999999999999</v>
      </c>
      <c r="J1105" s="113">
        <v>69.45</v>
      </c>
      <c r="K1105" s="113">
        <v>-52.4</v>
      </c>
    </row>
    <row r="1106" spans="2:11" x14ac:dyDescent="0.25">
      <c r="B1106" s="202"/>
      <c r="C1106" s="113">
        <v>226.733</v>
      </c>
      <c r="D1106" s="113">
        <v>8376</v>
      </c>
      <c r="E1106" s="113">
        <v>1103</v>
      </c>
      <c r="F1106" s="113">
        <v>141</v>
      </c>
      <c r="G1106" s="113">
        <v>141</v>
      </c>
      <c r="H1106" s="113">
        <v>128.69999999999999</v>
      </c>
      <c r="I1106" s="113">
        <v>13.6</v>
      </c>
      <c r="J1106" s="113">
        <v>69.3</v>
      </c>
      <c r="K1106" s="113">
        <v>-52.1</v>
      </c>
    </row>
    <row r="1107" spans="2:11" x14ac:dyDescent="0.25">
      <c r="B1107" s="202"/>
      <c r="C1107" s="113">
        <v>226.75800000000001</v>
      </c>
      <c r="D1107" s="113">
        <v>8377</v>
      </c>
      <c r="E1107" s="113">
        <v>1104</v>
      </c>
      <c r="F1107" s="113">
        <v>141</v>
      </c>
      <c r="G1107" s="113">
        <v>140.9</v>
      </c>
      <c r="H1107" s="113">
        <v>128.4</v>
      </c>
      <c r="I1107" s="113">
        <v>14.2</v>
      </c>
      <c r="J1107" s="113">
        <v>73.819999999999993</v>
      </c>
      <c r="K1107" s="113">
        <v>-51.5</v>
      </c>
    </row>
    <row r="1108" spans="2:11" x14ac:dyDescent="0.25">
      <c r="B1108" s="202"/>
      <c r="C1108" s="113">
        <v>226.78399999999999</v>
      </c>
      <c r="D1108" s="113">
        <v>8378</v>
      </c>
      <c r="E1108" s="113">
        <v>1105</v>
      </c>
      <c r="F1108" s="113">
        <v>141</v>
      </c>
      <c r="G1108" s="113">
        <v>140.5</v>
      </c>
      <c r="H1108" s="113">
        <v>128</v>
      </c>
      <c r="I1108" s="113">
        <v>15</v>
      </c>
      <c r="J1108" s="113">
        <v>72.98</v>
      </c>
      <c r="K1108" s="113">
        <v>-50.6</v>
      </c>
    </row>
    <row r="1109" spans="2:11" x14ac:dyDescent="0.25">
      <c r="B1109" s="202"/>
      <c r="C1109" s="113">
        <v>226.809</v>
      </c>
      <c r="D1109" s="113">
        <v>8379</v>
      </c>
      <c r="E1109" s="113">
        <v>1106</v>
      </c>
      <c r="F1109" s="113">
        <v>141</v>
      </c>
      <c r="G1109" s="113">
        <v>140.30000000000001</v>
      </c>
      <c r="H1109" s="113">
        <v>127.7</v>
      </c>
      <c r="I1109" s="113">
        <v>16</v>
      </c>
      <c r="J1109" s="113">
        <v>73.37</v>
      </c>
      <c r="K1109" s="113">
        <v>-50.2</v>
      </c>
    </row>
    <row r="1110" spans="2:11" x14ac:dyDescent="0.25">
      <c r="B1110" s="202"/>
      <c r="C1110" s="113">
        <v>226.83500000000001</v>
      </c>
      <c r="D1110" s="113">
        <v>8380</v>
      </c>
      <c r="E1110" s="113">
        <v>1107</v>
      </c>
      <c r="F1110" s="113">
        <v>140</v>
      </c>
      <c r="G1110" s="113">
        <v>140.1</v>
      </c>
      <c r="H1110" s="113">
        <v>127.3</v>
      </c>
      <c r="I1110" s="113">
        <v>16</v>
      </c>
      <c r="J1110" s="113">
        <v>74.72</v>
      </c>
      <c r="K1110" s="113">
        <v>-51</v>
      </c>
    </row>
    <row r="1111" spans="2:11" x14ac:dyDescent="0.25">
      <c r="B1111" s="202"/>
      <c r="C1111" s="113">
        <v>226.86099999999999</v>
      </c>
      <c r="D1111" s="113">
        <v>8381</v>
      </c>
      <c r="E1111" s="113">
        <v>1108</v>
      </c>
      <c r="F1111" s="113">
        <v>140</v>
      </c>
      <c r="G1111" s="113">
        <v>139.6</v>
      </c>
      <c r="H1111" s="113">
        <v>126.9</v>
      </c>
      <c r="I1111" s="113">
        <v>16</v>
      </c>
      <c r="J1111" s="113">
        <v>74.569999999999993</v>
      </c>
      <c r="K1111" s="113">
        <v>-51.8</v>
      </c>
    </row>
    <row r="1112" spans="2:11" x14ac:dyDescent="0.25">
      <c r="B1112" s="202"/>
      <c r="C1112" s="113">
        <v>226.886</v>
      </c>
      <c r="D1112" s="113">
        <v>8382</v>
      </c>
      <c r="E1112" s="113">
        <v>1109</v>
      </c>
      <c r="F1112" s="113">
        <v>140</v>
      </c>
      <c r="G1112" s="113">
        <v>139.19999999999999</v>
      </c>
      <c r="H1112" s="113">
        <v>126.7</v>
      </c>
      <c r="I1112" s="113">
        <v>16</v>
      </c>
      <c r="J1112" s="113">
        <v>75.81</v>
      </c>
      <c r="K1112" s="113">
        <v>-52.2</v>
      </c>
    </row>
    <row r="1113" spans="2:11" x14ac:dyDescent="0.25">
      <c r="B1113" s="202"/>
      <c r="C1113" s="113">
        <v>226.91200000000001</v>
      </c>
      <c r="D1113" s="113">
        <v>8383</v>
      </c>
      <c r="E1113" s="113">
        <v>1110</v>
      </c>
      <c r="F1113" s="113">
        <v>139</v>
      </c>
      <c r="G1113" s="113">
        <v>139</v>
      </c>
      <c r="H1113" s="113">
        <v>126.3</v>
      </c>
      <c r="I1113" s="113">
        <v>15.7</v>
      </c>
      <c r="J1113" s="113">
        <v>75.39</v>
      </c>
      <c r="K1113" s="113">
        <v>-52.3</v>
      </c>
    </row>
    <row r="1114" spans="2:11" x14ac:dyDescent="0.25">
      <c r="B1114" s="202"/>
      <c r="C1114" s="113">
        <v>226.93799999999999</v>
      </c>
      <c r="D1114" s="113">
        <v>8384</v>
      </c>
      <c r="E1114" s="113">
        <v>1111</v>
      </c>
      <c r="F1114" s="113">
        <v>139</v>
      </c>
      <c r="G1114" s="113">
        <v>138.69999999999999</v>
      </c>
      <c r="H1114" s="113">
        <v>126.1</v>
      </c>
      <c r="I1114" s="113">
        <v>15.8</v>
      </c>
      <c r="J1114" s="113">
        <v>75.040000000000006</v>
      </c>
      <c r="K1114" s="113">
        <v>-52.4</v>
      </c>
    </row>
    <row r="1115" spans="2:11" x14ac:dyDescent="0.25">
      <c r="B1115" s="202"/>
      <c r="C1115" s="113">
        <v>226.964</v>
      </c>
      <c r="D1115" s="113">
        <v>8385</v>
      </c>
      <c r="E1115" s="113">
        <v>1112</v>
      </c>
      <c r="F1115" s="113">
        <v>139</v>
      </c>
      <c r="G1115" s="113">
        <v>138.19999999999999</v>
      </c>
      <c r="H1115" s="113">
        <v>125.8</v>
      </c>
      <c r="I1115" s="113">
        <v>15.3</v>
      </c>
      <c r="J1115" s="113">
        <v>75.45</v>
      </c>
      <c r="K1115" s="113">
        <v>-52.5</v>
      </c>
    </row>
    <row r="1116" spans="2:11" x14ac:dyDescent="0.25">
      <c r="B1116" s="202"/>
      <c r="C1116" s="113">
        <v>226.989</v>
      </c>
      <c r="D1116" s="113">
        <v>8386</v>
      </c>
      <c r="E1116" s="113">
        <v>1113</v>
      </c>
      <c r="F1116" s="113">
        <v>138</v>
      </c>
      <c r="G1116" s="113">
        <v>138</v>
      </c>
      <c r="H1116" s="113">
        <v>125.5</v>
      </c>
      <c r="I1116" s="113">
        <v>15.3</v>
      </c>
      <c r="J1116" s="113">
        <v>73.930000000000007</v>
      </c>
      <c r="K1116" s="113">
        <v>-52.5</v>
      </c>
    </row>
    <row r="1117" spans="2:11" x14ac:dyDescent="0.25">
      <c r="B1117" s="202"/>
      <c r="C1117" s="113">
        <v>227.01599999999999</v>
      </c>
      <c r="D1117" s="113">
        <v>8387</v>
      </c>
      <c r="E1117" s="113">
        <v>1114</v>
      </c>
      <c r="F1117" s="113">
        <v>138</v>
      </c>
      <c r="G1117" s="113">
        <v>137.6</v>
      </c>
      <c r="H1117" s="113">
        <v>125.1</v>
      </c>
      <c r="I1117" s="113">
        <v>15.3</v>
      </c>
      <c r="J1117" s="113">
        <v>74.680000000000007</v>
      </c>
      <c r="K1117" s="113">
        <v>-52.5</v>
      </c>
    </row>
    <row r="1118" spans="2:11" x14ac:dyDescent="0.25">
      <c r="B1118" s="202"/>
      <c r="C1118" s="113">
        <v>227.042</v>
      </c>
      <c r="D1118" s="113">
        <v>8388</v>
      </c>
      <c r="E1118" s="113">
        <v>1115</v>
      </c>
      <c r="F1118" s="113">
        <v>137</v>
      </c>
      <c r="G1118" s="113">
        <v>137.19999999999999</v>
      </c>
      <c r="H1118" s="113">
        <v>124.8</v>
      </c>
      <c r="I1118" s="113">
        <v>14.8</v>
      </c>
      <c r="J1118" s="113">
        <v>74.62</v>
      </c>
      <c r="K1118" s="113">
        <v>-52.3</v>
      </c>
    </row>
    <row r="1119" spans="2:11" x14ac:dyDescent="0.25">
      <c r="B1119" s="202"/>
      <c r="C1119" s="113">
        <v>227.06800000000001</v>
      </c>
      <c r="D1119" s="113">
        <v>8389</v>
      </c>
      <c r="E1119" s="113">
        <v>1116</v>
      </c>
      <c r="F1119" s="113">
        <v>137</v>
      </c>
      <c r="G1119" s="113">
        <v>136.80000000000001</v>
      </c>
      <c r="H1119" s="113">
        <v>124.5</v>
      </c>
      <c r="I1119" s="113">
        <v>15</v>
      </c>
      <c r="J1119" s="113">
        <v>72.95</v>
      </c>
      <c r="K1119" s="113">
        <v>-51.7</v>
      </c>
    </row>
    <row r="1120" spans="2:11" x14ac:dyDescent="0.25">
      <c r="B1120" s="202"/>
      <c r="C1120" s="113">
        <v>227.09399999999999</v>
      </c>
      <c r="D1120" s="113">
        <v>8390</v>
      </c>
      <c r="E1120" s="113">
        <v>1117</v>
      </c>
      <c r="F1120" s="113">
        <v>137</v>
      </c>
      <c r="G1120" s="113">
        <v>136.30000000000001</v>
      </c>
      <c r="H1120" s="113">
        <v>124.2</v>
      </c>
      <c r="I1120" s="113">
        <v>15.5</v>
      </c>
      <c r="J1120" s="113">
        <v>72.63</v>
      </c>
      <c r="K1120" s="113">
        <v>-50.7</v>
      </c>
    </row>
    <row r="1121" spans="2:11" x14ac:dyDescent="0.25">
      <c r="B1121" s="202"/>
      <c r="C1121" s="113">
        <v>227.12100000000001</v>
      </c>
      <c r="D1121" s="113">
        <v>8391</v>
      </c>
      <c r="E1121" s="113">
        <v>1118</v>
      </c>
      <c r="F1121" s="113">
        <v>136</v>
      </c>
      <c r="G1121" s="113">
        <v>135.9</v>
      </c>
      <c r="H1121" s="113">
        <v>123.8</v>
      </c>
      <c r="I1121" s="113">
        <v>14.9</v>
      </c>
      <c r="J1121" s="113">
        <v>70.7</v>
      </c>
      <c r="K1121" s="113">
        <v>-48.6</v>
      </c>
    </row>
    <row r="1122" spans="2:11" x14ac:dyDescent="0.25">
      <c r="B1122" s="202"/>
      <c r="C1122" s="113">
        <v>227.14699999999999</v>
      </c>
      <c r="D1122" s="113">
        <v>8392</v>
      </c>
      <c r="E1122" s="113">
        <v>1119</v>
      </c>
      <c r="F1122" s="113">
        <v>136</v>
      </c>
      <c r="G1122" s="113">
        <v>135.69999999999999</v>
      </c>
      <c r="H1122" s="113">
        <v>123.6</v>
      </c>
      <c r="I1122" s="113">
        <v>14</v>
      </c>
      <c r="J1122" s="113">
        <v>68.02</v>
      </c>
      <c r="K1122" s="113">
        <v>-42.1</v>
      </c>
    </row>
    <row r="1123" spans="2:11" x14ac:dyDescent="0.25">
      <c r="B1123" s="202"/>
      <c r="C1123" s="113">
        <v>227.173</v>
      </c>
      <c r="D1123" s="113">
        <v>8393</v>
      </c>
      <c r="E1123" s="113">
        <v>1120</v>
      </c>
      <c r="F1123" s="113">
        <v>136</v>
      </c>
      <c r="G1123" s="113">
        <v>135.30000000000001</v>
      </c>
      <c r="H1123" s="113">
        <v>123.2</v>
      </c>
      <c r="I1123" s="113">
        <v>13.3</v>
      </c>
      <c r="J1123" s="113">
        <v>67.95</v>
      </c>
      <c r="K1123" s="113">
        <v>-32.4</v>
      </c>
    </row>
    <row r="1124" spans="2:11" x14ac:dyDescent="0.25">
      <c r="B1124" s="202"/>
      <c r="C1124" s="113">
        <v>227.2</v>
      </c>
      <c r="D1124" s="113">
        <v>8394</v>
      </c>
      <c r="E1124" s="113">
        <v>1121</v>
      </c>
      <c r="F1124" s="113">
        <v>135</v>
      </c>
      <c r="G1124" s="113">
        <v>134.69999999999999</v>
      </c>
      <c r="H1124" s="113">
        <v>122.9</v>
      </c>
      <c r="I1124" s="113">
        <v>12.9</v>
      </c>
      <c r="J1124" s="113">
        <v>66.91</v>
      </c>
      <c r="K1124" s="113">
        <v>-25.5</v>
      </c>
    </row>
    <row r="1125" spans="2:11" x14ac:dyDescent="0.25">
      <c r="B1125" s="202"/>
      <c r="C1125" s="113">
        <v>227.226</v>
      </c>
      <c r="D1125" s="113">
        <v>8395</v>
      </c>
      <c r="E1125" s="113">
        <v>1122</v>
      </c>
      <c r="F1125" s="113">
        <v>135</v>
      </c>
      <c r="G1125" s="113">
        <v>134.5</v>
      </c>
      <c r="H1125" s="113">
        <v>122.7</v>
      </c>
      <c r="I1125" s="113">
        <v>12.9</v>
      </c>
      <c r="J1125" s="113">
        <v>66.63</v>
      </c>
      <c r="K1125" s="113">
        <v>-34.5</v>
      </c>
    </row>
    <row r="1126" spans="2:11" x14ac:dyDescent="0.25">
      <c r="B1126" s="202"/>
      <c r="C1126" s="113">
        <v>227.25299999999999</v>
      </c>
      <c r="D1126" s="113">
        <v>8396</v>
      </c>
      <c r="E1126" s="113">
        <v>1123</v>
      </c>
      <c r="F1126" s="113">
        <v>135</v>
      </c>
      <c r="G1126" s="113">
        <v>134.19999999999999</v>
      </c>
      <c r="H1126" s="113">
        <v>122.3</v>
      </c>
      <c r="I1126" s="113">
        <v>12.9</v>
      </c>
      <c r="J1126" s="113">
        <v>67.010000000000005</v>
      </c>
      <c r="K1126" s="113">
        <v>-47.8</v>
      </c>
    </row>
    <row r="1127" spans="2:11" x14ac:dyDescent="0.25">
      <c r="B1127" s="202"/>
      <c r="C1127" s="113">
        <v>227.28</v>
      </c>
      <c r="D1127" s="113">
        <v>8397</v>
      </c>
      <c r="E1127" s="113">
        <v>1124</v>
      </c>
      <c r="F1127" s="113">
        <v>134</v>
      </c>
      <c r="G1127" s="113">
        <v>133.80000000000001</v>
      </c>
      <c r="H1127" s="113">
        <v>121.9</v>
      </c>
      <c r="I1127" s="113">
        <v>12.6</v>
      </c>
      <c r="J1127" s="113">
        <v>66.150000000000006</v>
      </c>
      <c r="K1127" s="113">
        <v>-59.5</v>
      </c>
    </row>
    <row r="1128" spans="2:11" x14ac:dyDescent="0.25">
      <c r="B1128" s="202"/>
      <c r="C1128" s="113">
        <v>227.30699999999999</v>
      </c>
      <c r="D1128" s="113">
        <v>8398</v>
      </c>
      <c r="E1128" s="113">
        <v>1125</v>
      </c>
      <c r="F1128" s="113">
        <v>134</v>
      </c>
      <c r="G1128" s="113">
        <v>133.6</v>
      </c>
      <c r="H1128" s="113">
        <v>121.6</v>
      </c>
      <c r="I1128" s="113">
        <v>12.6</v>
      </c>
      <c r="J1128" s="113">
        <v>66.239999999999995</v>
      </c>
      <c r="K1128" s="113">
        <v>-59.2</v>
      </c>
    </row>
    <row r="1129" spans="2:11" x14ac:dyDescent="0.25">
      <c r="B1129" s="202"/>
      <c r="C1129" s="113">
        <v>227.333</v>
      </c>
      <c r="D1129" s="113">
        <v>8399</v>
      </c>
      <c r="E1129" s="113">
        <v>1126</v>
      </c>
      <c r="F1129" s="113">
        <v>134</v>
      </c>
      <c r="G1129" s="113">
        <v>133.30000000000001</v>
      </c>
      <c r="H1129" s="113">
        <v>121.3</v>
      </c>
      <c r="I1129" s="113">
        <v>12.7</v>
      </c>
      <c r="J1129" s="113">
        <v>68.239999999999995</v>
      </c>
      <c r="K1129" s="113">
        <v>-58.9</v>
      </c>
    </row>
    <row r="1130" spans="2:11" x14ac:dyDescent="0.25">
      <c r="B1130" s="202"/>
      <c r="C1130" s="113">
        <v>227.36099999999999</v>
      </c>
      <c r="D1130" s="113">
        <v>8400</v>
      </c>
      <c r="E1130" s="113">
        <v>1127</v>
      </c>
      <c r="F1130" s="113">
        <v>133</v>
      </c>
      <c r="G1130" s="113">
        <v>133.1</v>
      </c>
      <c r="H1130" s="113">
        <v>120.9</v>
      </c>
      <c r="I1130" s="113">
        <v>13.7</v>
      </c>
      <c r="J1130" s="113">
        <v>69.260000000000005</v>
      </c>
      <c r="K1130" s="113">
        <v>-58.6</v>
      </c>
    </row>
    <row r="1131" spans="2:11" x14ac:dyDescent="0.25">
      <c r="B1131" s="202"/>
      <c r="C1131" s="113">
        <v>227.387</v>
      </c>
      <c r="D1131" s="113">
        <v>8401</v>
      </c>
      <c r="E1131" s="113">
        <v>1128</v>
      </c>
      <c r="F1131" s="113">
        <v>133</v>
      </c>
      <c r="G1131" s="113">
        <v>132.69999999999999</v>
      </c>
      <c r="H1131" s="113">
        <v>120.6</v>
      </c>
      <c r="I1131" s="113">
        <v>14.8</v>
      </c>
      <c r="J1131" s="113">
        <v>70.41</v>
      </c>
      <c r="K1131" s="113">
        <v>-58.6</v>
      </c>
    </row>
    <row r="1132" spans="2:11" x14ac:dyDescent="0.25">
      <c r="B1132" s="202"/>
      <c r="C1132" s="113">
        <v>227.41399999999999</v>
      </c>
      <c r="D1132" s="113">
        <v>8402</v>
      </c>
      <c r="E1132" s="113">
        <v>1129</v>
      </c>
      <c r="F1132" s="113">
        <v>133</v>
      </c>
      <c r="G1132" s="113">
        <v>132</v>
      </c>
      <c r="H1132" s="113">
        <v>120.3</v>
      </c>
      <c r="I1132" s="113">
        <v>16.399999999999999</v>
      </c>
      <c r="J1132" s="113">
        <v>75.62</v>
      </c>
      <c r="K1132" s="113">
        <v>-58.6</v>
      </c>
    </row>
    <row r="1133" spans="2:11" x14ac:dyDescent="0.25">
      <c r="B1133" s="202"/>
      <c r="C1133" s="113">
        <v>227.441</v>
      </c>
      <c r="D1133" s="113">
        <v>8403</v>
      </c>
      <c r="E1133" s="113">
        <v>1130</v>
      </c>
      <c r="F1133" s="113">
        <v>132</v>
      </c>
      <c r="G1133" s="113">
        <v>131.30000000000001</v>
      </c>
      <c r="H1133" s="113">
        <v>119.9</v>
      </c>
      <c r="I1133" s="113">
        <v>17.7</v>
      </c>
      <c r="J1133" s="113">
        <v>75.069999999999993</v>
      </c>
      <c r="K1133" s="113">
        <v>-58.4</v>
      </c>
    </row>
    <row r="1134" spans="2:11" x14ac:dyDescent="0.25">
      <c r="B1134" s="202"/>
      <c r="C1134" s="113">
        <v>227.46899999999999</v>
      </c>
      <c r="D1134" s="113">
        <v>8404</v>
      </c>
      <c r="E1134" s="113">
        <v>1131</v>
      </c>
      <c r="F1134" s="113">
        <v>131</v>
      </c>
      <c r="G1134" s="113">
        <v>131.1</v>
      </c>
      <c r="H1134" s="113">
        <v>119.6</v>
      </c>
      <c r="I1134" s="113">
        <v>18.600000000000001</v>
      </c>
      <c r="J1134" s="113">
        <v>75.180000000000007</v>
      </c>
      <c r="K1134" s="113">
        <v>-57.4</v>
      </c>
    </row>
    <row r="1135" spans="2:11" x14ac:dyDescent="0.25">
      <c r="B1135" s="202"/>
      <c r="C1135" s="113">
        <v>227.49600000000001</v>
      </c>
      <c r="D1135" s="113">
        <v>8405</v>
      </c>
      <c r="E1135" s="113">
        <v>1132</v>
      </c>
      <c r="F1135" s="113">
        <v>131</v>
      </c>
      <c r="G1135" s="113">
        <v>130.80000000000001</v>
      </c>
      <c r="H1135" s="113">
        <v>119.3</v>
      </c>
      <c r="I1135" s="113">
        <v>18.3</v>
      </c>
      <c r="J1135" s="113">
        <v>74.66</v>
      </c>
      <c r="K1135" s="113">
        <v>-55.9</v>
      </c>
    </row>
    <row r="1136" spans="2:11" x14ac:dyDescent="0.25">
      <c r="B1136" s="202"/>
      <c r="C1136" s="113">
        <v>227.524</v>
      </c>
      <c r="D1136" s="113">
        <v>8406</v>
      </c>
      <c r="E1136" s="113">
        <v>1133</v>
      </c>
      <c r="F1136" s="113">
        <v>131</v>
      </c>
      <c r="G1136" s="113">
        <v>130.6</v>
      </c>
      <c r="H1136" s="113">
        <v>118.9</v>
      </c>
      <c r="I1136" s="113">
        <v>17</v>
      </c>
      <c r="J1136" s="113">
        <v>73.55</v>
      </c>
      <c r="K1136" s="113">
        <v>-54.7</v>
      </c>
    </row>
    <row r="1137" spans="2:11" x14ac:dyDescent="0.25">
      <c r="B1137" s="202"/>
      <c r="C1137" s="113">
        <v>227.55099999999999</v>
      </c>
      <c r="D1137" s="113">
        <v>8407</v>
      </c>
      <c r="E1137" s="113">
        <v>1134</v>
      </c>
      <c r="F1137" s="113">
        <v>131</v>
      </c>
      <c r="G1137" s="113">
        <v>130.19999999999999</v>
      </c>
      <c r="H1137" s="113">
        <v>118.5</v>
      </c>
      <c r="I1137" s="113">
        <v>15.7</v>
      </c>
      <c r="J1137" s="113">
        <v>73.319999999999993</v>
      </c>
      <c r="K1137" s="113">
        <v>-55</v>
      </c>
    </row>
    <row r="1138" spans="2:11" x14ac:dyDescent="0.25">
      <c r="B1138" s="202"/>
      <c r="C1138" s="113">
        <v>227.57900000000001</v>
      </c>
      <c r="D1138" s="113">
        <v>8408</v>
      </c>
      <c r="E1138" s="113">
        <v>1135</v>
      </c>
      <c r="F1138" s="113">
        <v>131</v>
      </c>
      <c r="G1138" s="113">
        <v>130</v>
      </c>
      <c r="H1138" s="113">
        <v>118.2</v>
      </c>
      <c r="I1138" s="113">
        <v>15.5</v>
      </c>
      <c r="J1138" s="113">
        <v>73.34</v>
      </c>
      <c r="K1138" s="113">
        <v>-55.2</v>
      </c>
    </row>
    <row r="1139" spans="2:11" x14ac:dyDescent="0.25">
      <c r="B1139" s="202"/>
      <c r="C1139" s="113">
        <v>227.60599999999999</v>
      </c>
      <c r="D1139" s="113">
        <v>8409</v>
      </c>
      <c r="E1139" s="113">
        <v>1136</v>
      </c>
      <c r="F1139" s="113">
        <v>130</v>
      </c>
      <c r="G1139" s="113">
        <v>129.6</v>
      </c>
      <c r="H1139" s="113">
        <v>117.8</v>
      </c>
      <c r="I1139" s="113">
        <v>15.5</v>
      </c>
      <c r="J1139" s="113">
        <v>73.47</v>
      </c>
      <c r="K1139" s="113">
        <v>-55.5</v>
      </c>
    </row>
    <row r="1140" spans="2:11" x14ac:dyDescent="0.25">
      <c r="B1140" s="202"/>
      <c r="C1140" s="113">
        <v>227.63399999999999</v>
      </c>
      <c r="D1140" s="113">
        <v>8410</v>
      </c>
      <c r="E1140" s="113">
        <v>1137</v>
      </c>
      <c r="F1140" s="113">
        <v>129</v>
      </c>
      <c r="G1140" s="113">
        <v>129.1</v>
      </c>
      <c r="H1140" s="113">
        <v>117.4</v>
      </c>
      <c r="I1140" s="113">
        <v>15.3</v>
      </c>
      <c r="J1140" s="113">
        <v>71.959999999999994</v>
      </c>
      <c r="K1140" s="113">
        <v>-55.3</v>
      </c>
    </row>
    <row r="1141" spans="2:11" x14ac:dyDescent="0.25">
      <c r="B1141" s="202"/>
      <c r="C1141" s="113">
        <v>227.66200000000001</v>
      </c>
      <c r="D1141" s="113">
        <v>8411</v>
      </c>
      <c r="E1141" s="113">
        <v>1138</v>
      </c>
      <c r="F1141" s="113">
        <v>129</v>
      </c>
      <c r="G1141" s="113">
        <v>128.80000000000001</v>
      </c>
      <c r="H1141" s="113">
        <v>117</v>
      </c>
      <c r="I1141" s="113">
        <v>14.6</v>
      </c>
      <c r="J1141" s="113">
        <v>71.900000000000006</v>
      </c>
      <c r="K1141" s="113">
        <v>-55.1</v>
      </c>
    </row>
    <row r="1142" spans="2:11" x14ac:dyDescent="0.25">
      <c r="B1142" s="202"/>
      <c r="C1142" s="113">
        <v>227.68899999999999</v>
      </c>
      <c r="D1142" s="113">
        <v>8412</v>
      </c>
      <c r="E1142" s="113">
        <v>1139</v>
      </c>
      <c r="F1142" s="113">
        <v>129</v>
      </c>
      <c r="G1142" s="113">
        <v>128.5</v>
      </c>
      <c r="H1142" s="113">
        <v>116.8</v>
      </c>
      <c r="I1142" s="113">
        <v>14.4</v>
      </c>
      <c r="J1142" s="113">
        <v>71.34</v>
      </c>
      <c r="K1142" s="113">
        <v>-55.1</v>
      </c>
    </row>
    <row r="1143" spans="2:11" x14ac:dyDescent="0.25">
      <c r="B1143" s="202"/>
      <c r="C1143" s="113">
        <v>227.71799999999999</v>
      </c>
      <c r="D1143" s="113">
        <v>8413</v>
      </c>
      <c r="E1143" s="113">
        <v>1140</v>
      </c>
      <c r="F1143" s="113">
        <v>129</v>
      </c>
      <c r="G1143" s="113">
        <v>127.8</v>
      </c>
      <c r="H1143" s="113">
        <v>116.3</v>
      </c>
      <c r="I1143" s="113">
        <v>15</v>
      </c>
      <c r="J1143" s="113">
        <v>70.849999999999994</v>
      </c>
      <c r="K1143" s="113">
        <v>-55.4</v>
      </c>
    </row>
    <row r="1144" spans="2:11" x14ac:dyDescent="0.25">
      <c r="B1144" s="202"/>
      <c r="C1144" s="113">
        <v>227.74600000000001</v>
      </c>
      <c r="D1144" s="113">
        <v>8414</v>
      </c>
      <c r="E1144" s="113">
        <v>1141</v>
      </c>
      <c r="F1144" s="113">
        <v>128</v>
      </c>
      <c r="G1144" s="113">
        <v>127.4</v>
      </c>
      <c r="H1144" s="113">
        <v>115.9</v>
      </c>
      <c r="I1144" s="113">
        <v>15.9</v>
      </c>
      <c r="J1144" s="113">
        <v>72.209999999999994</v>
      </c>
      <c r="K1144" s="113">
        <v>-55.7</v>
      </c>
    </row>
    <row r="1145" spans="2:11" x14ac:dyDescent="0.25">
      <c r="B1145" s="202"/>
      <c r="C1145" s="113">
        <v>227.774</v>
      </c>
      <c r="D1145" s="113">
        <v>8415</v>
      </c>
      <c r="E1145" s="113">
        <v>1142</v>
      </c>
      <c r="F1145" s="113">
        <v>128</v>
      </c>
      <c r="G1145" s="113">
        <v>127.1</v>
      </c>
      <c r="H1145" s="113">
        <v>115.6</v>
      </c>
      <c r="I1145" s="113">
        <v>16.600000000000001</v>
      </c>
      <c r="J1145" s="113">
        <v>71.56</v>
      </c>
      <c r="K1145" s="113">
        <v>-55.9</v>
      </c>
    </row>
    <row r="1146" spans="2:11" x14ac:dyDescent="0.25">
      <c r="B1146" s="202"/>
      <c r="C1146" s="113">
        <v>227.80199999999999</v>
      </c>
      <c r="D1146" s="113">
        <v>8416</v>
      </c>
      <c r="E1146" s="113">
        <v>1143</v>
      </c>
      <c r="F1146" s="113">
        <v>129</v>
      </c>
      <c r="G1146" s="113">
        <v>126.8</v>
      </c>
      <c r="H1146" s="113">
        <v>115.2</v>
      </c>
      <c r="I1146" s="113">
        <v>16.5</v>
      </c>
      <c r="J1146" s="113">
        <v>71.34</v>
      </c>
      <c r="K1146" s="113">
        <v>-55.9</v>
      </c>
    </row>
    <row r="1147" spans="2:11" x14ac:dyDescent="0.25">
      <c r="B1147" s="202"/>
      <c r="C1147" s="113">
        <v>227.83</v>
      </c>
      <c r="D1147" s="113">
        <v>8417</v>
      </c>
      <c r="E1147" s="113">
        <v>1144</v>
      </c>
      <c r="F1147" s="113">
        <v>128</v>
      </c>
      <c r="G1147" s="113">
        <v>126.6</v>
      </c>
      <c r="H1147" s="113">
        <v>114.8</v>
      </c>
      <c r="I1147" s="113">
        <v>16.2</v>
      </c>
      <c r="J1147" s="113">
        <v>71.81</v>
      </c>
      <c r="K1147" s="113">
        <v>-55.9</v>
      </c>
    </row>
    <row r="1148" spans="2:11" x14ac:dyDescent="0.25">
      <c r="B1148" s="202"/>
      <c r="C1148" s="113">
        <v>227.85900000000001</v>
      </c>
      <c r="D1148" s="113">
        <v>8418</v>
      </c>
      <c r="E1148" s="113">
        <v>1145</v>
      </c>
      <c r="F1148" s="113">
        <v>128</v>
      </c>
      <c r="G1148" s="113">
        <v>126.4</v>
      </c>
      <c r="H1148" s="113">
        <v>114.6</v>
      </c>
      <c r="I1148" s="113">
        <v>15.9</v>
      </c>
      <c r="J1148" s="113">
        <v>69.23</v>
      </c>
      <c r="K1148" s="113">
        <v>-55.6</v>
      </c>
    </row>
    <row r="1149" spans="2:11" x14ac:dyDescent="0.25">
      <c r="B1149" s="202"/>
      <c r="C1149" s="113">
        <v>227.887</v>
      </c>
      <c r="D1149" s="113">
        <v>8419</v>
      </c>
      <c r="E1149" s="113">
        <v>1146</v>
      </c>
      <c r="F1149" s="113">
        <v>128</v>
      </c>
      <c r="G1149" s="113">
        <v>126.1</v>
      </c>
      <c r="H1149" s="113">
        <v>114.3</v>
      </c>
      <c r="I1149" s="113">
        <v>15.3</v>
      </c>
      <c r="J1149" s="113">
        <v>69.19</v>
      </c>
      <c r="K1149" s="113">
        <v>-54.8</v>
      </c>
    </row>
    <row r="1150" spans="2:11" x14ac:dyDescent="0.25">
      <c r="B1150" s="202"/>
      <c r="C1150" s="113">
        <v>227.916</v>
      </c>
      <c r="D1150" s="113">
        <v>8420</v>
      </c>
      <c r="E1150" s="113">
        <v>1147</v>
      </c>
      <c r="F1150" s="113">
        <v>129</v>
      </c>
      <c r="G1150" s="113">
        <v>125.7</v>
      </c>
      <c r="H1150" s="113">
        <v>114</v>
      </c>
      <c r="I1150" s="113">
        <v>15.1</v>
      </c>
      <c r="J1150" s="113">
        <v>70.7</v>
      </c>
      <c r="K1150" s="113">
        <v>-54.1</v>
      </c>
    </row>
    <row r="1151" spans="2:11" x14ac:dyDescent="0.25">
      <c r="B1151" s="202"/>
      <c r="C1151" s="113">
        <v>227.94399999999999</v>
      </c>
      <c r="D1151" s="113">
        <v>8421</v>
      </c>
      <c r="E1151" s="113">
        <v>1148</v>
      </c>
      <c r="F1151" s="113">
        <v>128</v>
      </c>
      <c r="G1151" s="113">
        <v>125.4</v>
      </c>
      <c r="H1151" s="113">
        <v>113.8</v>
      </c>
      <c r="I1151" s="113">
        <v>15.9</v>
      </c>
      <c r="J1151" s="113">
        <v>67.92</v>
      </c>
      <c r="K1151" s="113">
        <v>-54</v>
      </c>
    </row>
    <row r="1152" spans="2:11" x14ac:dyDescent="0.25">
      <c r="B1152" s="202"/>
      <c r="C1152" s="113">
        <v>227.97200000000001</v>
      </c>
      <c r="D1152" s="113">
        <v>8422</v>
      </c>
      <c r="E1152" s="113">
        <v>1149</v>
      </c>
      <c r="F1152" s="113">
        <v>128</v>
      </c>
      <c r="G1152" s="113">
        <v>125.4</v>
      </c>
      <c r="H1152" s="113">
        <v>113.5</v>
      </c>
      <c r="I1152" s="113">
        <v>16.399999999999999</v>
      </c>
      <c r="J1152" s="113">
        <v>66.88</v>
      </c>
      <c r="K1152" s="113">
        <v>-54.1</v>
      </c>
    </row>
    <row r="1153" spans="2:11" x14ac:dyDescent="0.25">
      <c r="B1153" s="202"/>
      <c r="C1153" s="113">
        <v>228.001</v>
      </c>
      <c r="D1153" s="113">
        <v>8423</v>
      </c>
      <c r="E1153" s="113">
        <v>1150</v>
      </c>
      <c r="F1153" s="113">
        <v>129</v>
      </c>
      <c r="G1153" s="113">
        <v>125.4</v>
      </c>
      <c r="H1153" s="113">
        <v>113.3</v>
      </c>
      <c r="I1153" s="113">
        <v>15.3</v>
      </c>
      <c r="J1153" s="113">
        <v>67.27</v>
      </c>
      <c r="K1153" s="113">
        <v>-54.1</v>
      </c>
    </row>
    <row r="1154" spans="2:11" x14ac:dyDescent="0.25">
      <c r="B1154" s="202"/>
      <c r="C1154" s="113">
        <v>228.03</v>
      </c>
      <c r="D1154" s="113">
        <v>8424</v>
      </c>
      <c r="E1154" s="113">
        <v>1151</v>
      </c>
      <c r="F1154" s="113">
        <v>129</v>
      </c>
      <c r="G1154" s="113">
        <v>125.3</v>
      </c>
      <c r="H1154" s="113">
        <v>113</v>
      </c>
      <c r="I1154" s="113">
        <v>14.8</v>
      </c>
      <c r="J1154" s="113">
        <v>64.650000000000006</v>
      </c>
      <c r="K1154" s="113">
        <v>-52.9</v>
      </c>
    </row>
    <row r="1155" spans="2:11" x14ac:dyDescent="0.25">
      <c r="B1155" s="202"/>
      <c r="C1155" s="113">
        <v>228.05799999999999</v>
      </c>
      <c r="D1155" s="113">
        <v>8425</v>
      </c>
      <c r="E1155" s="113">
        <v>1152</v>
      </c>
      <c r="F1155" s="113">
        <v>129</v>
      </c>
      <c r="G1155" s="113">
        <v>125.1</v>
      </c>
      <c r="H1155" s="113">
        <v>113</v>
      </c>
      <c r="I1155" s="113">
        <v>15.8</v>
      </c>
      <c r="J1155" s="113">
        <v>66.540000000000006</v>
      </c>
      <c r="K1155" s="113">
        <v>-52.3</v>
      </c>
    </row>
    <row r="1156" spans="2:11" x14ac:dyDescent="0.25">
      <c r="B1156" s="202"/>
      <c r="C1156" s="113">
        <v>228.08699999999999</v>
      </c>
      <c r="D1156" s="113">
        <v>8426</v>
      </c>
      <c r="E1156" s="113">
        <v>1153</v>
      </c>
      <c r="F1156" s="113">
        <v>129</v>
      </c>
      <c r="G1156" s="113">
        <v>124.8</v>
      </c>
      <c r="H1156" s="113">
        <v>112.8</v>
      </c>
      <c r="I1156" s="113">
        <v>18.100000000000001</v>
      </c>
      <c r="J1156" s="113">
        <v>67.819999999999993</v>
      </c>
      <c r="K1156" s="113">
        <v>-50.1</v>
      </c>
    </row>
    <row r="1157" spans="2:11" x14ac:dyDescent="0.25">
      <c r="B1157" s="202"/>
      <c r="C1157" s="113">
        <v>228.11600000000001</v>
      </c>
      <c r="D1157" s="113">
        <v>8427</v>
      </c>
      <c r="E1157" s="113">
        <v>1154</v>
      </c>
      <c r="F1157" s="113">
        <v>128</v>
      </c>
      <c r="G1157" s="113">
        <v>124.5</v>
      </c>
      <c r="H1157" s="113">
        <v>112.7</v>
      </c>
      <c r="I1157" s="113">
        <v>19.399999999999999</v>
      </c>
      <c r="J1157" s="113">
        <v>66.72</v>
      </c>
      <c r="K1157" s="113">
        <v>-40.700000000000003</v>
      </c>
    </row>
    <row r="1158" spans="2:11" x14ac:dyDescent="0.25">
      <c r="B1158" s="202"/>
      <c r="C1158" s="113">
        <v>228.14500000000001</v>
      </c>
      <c r="D1158" s="113">
        <v>8428</v>
      </c>
      <c r="E1158" s="113">
        <v>1155</v>
      </c>
      <c r="F1158" s="113">
        <v>128</v>
      </c>
      <c r="G1158" s="113">
        <v>124.3</v>
      </c>
      <c r="H1158" s="113">
        <v>112.6</v>
      </c>
      <c r="I1158" s="113">
        <v>19.5</v>
      </c>
      <c r="J1158" s="113">
        <v>65.650000000000006</v>
      </c>
      <c r="K1158" s="113">
        <v>-31.2</v>
      </c>
    </row>
    <row r="1159" spans="2:11" x14ac:dyDescent="0.25">
      <c r="B1159" s="202"/>
      <c r="C1159" s="113">
        <v>228.17400000000001</v>
      </c>
      <c r="D1159" s="113">
        <v>8429</v>
      </c>
      <c r="E1159" s="113">
        <v>1156</v>
      </c>
      <c r="F1159" s="113">
        <v>128</v>
      </c>
      <c r="G1159" s="113">
        <v>124.1</v>
      </c>
      <c r="H1159" s="113">
        <v>112.5</v>
      </c>
      <c r="I1159" s="113">
        <v>18.399999999999999</v>
      </c>
      <c r="J1159" s="113">
        <v>63.34</v>
      </c>
      <c r="K1159" s="113">
        <v>-26.1</v>
      </c>
    </row>
    <row r="1160" spans="2:11" x14ac:dyDescent="0.25">
      <c r="B1160" s="202"/>
      <c r="C1160" s="113">
        <v>228.202</v>
      </c>
      <c r="D1160" s="113">
        <v>8430</v>
      </c>
      <c r="E1160" s="113">
        <v>1157</v>
      </c>
      <c r="F1160" s="113">
        <v>129</v>
      </c>
      <c r="G1160" s="113">
        <v>124</v>
      </c>
      <c r="H1160" s="113">
        <v>112.5</v>
      </c>
      <c r="I1160" s="113">
        <v>16.7</v>
      </c>
      <c r="J1160" s="113">
        <v>62.11</v>
      </c>
      <c r="K1160" s="113">
        <v>-26.1</v>
      </c>
    </row>
    <row r="1161" spans="2:11" x14ac:dyDescent="0.25">
      <c r="B1161" s="202"/>
      <c r="C1161" s="113">
        <v>228.23099999999999</v>
      </c>
      <c r="D1161" s="113">
        <v>8431</v>
      </c>
      <c r="E1161" s="113">
        <v>1158</v>
      </c>
      <c r="F1161" s="113">
        <v>130</v>
      </c>
      <c r="G1161" s="113">
        <v>124.3</v>
      </c>
      <c r="H1161" s="113">
        <v>112.5</v>
      </c>
      <c r="I1161" s="113">
        <v>15.3</v>
      </c>
      <c r="J1161" s="113">
        <v>59.31</v>
      </c>
      <c r="K1161" s="113">
        <v>-26.1</v>
      </c>
    </row>
    <row r="1162" spans="2:11" x14ac:dyDescent="0.25">
      <c r="B1162" s="202"/>
      <c r="C1162" s="113">
        <v>228.261</v>
      </c>
      <c r="D1162" s="113">
        <v>8432</v>
      </c>
      <c r="E1162" s="113">
        <v>1159</v>
      </c>
      <c r="F1162" s="113">
        <v>131</v>
      </c>
      <c r="G1162" s="113">
        <v>124.6</v>
      </c>
      <c r="H1162" s="113">
        <v>112.5</v>
      </c>
      <c r="I1162" s="113">
        <v>14.6</v>
      </c>
      <c r="J1162" s="113">
        <v>58.6</v>
      </c>
      <c r="K1162" s="113">
        <v>-36.299999999999997</v>
      </c>
    </row>
    <row r="1163" spans="2:11" x14ac:dyDescent="0.25">
      <c r="B1163" s="202"/>
      <c r="C1163" s="113">
        <v>228.28899999999999</v>
      </c>
      <c r="D1163" s="113">
        <v>8433</v>
      </c>
      <c r="E1163" s="113">
        <v>1160</v>
      </c>
      <c r="F1163" s="113">
        <v>131</v>
      </c>
      <c r="G1163" s="113">
        <v>124.8</v>
      </c>
      <c r="H1163" s="113">
        <v>112.5</v>
      </c>
      <c r="I1163" s="113">
        <v>14.4</v>
      </c>
      <c r="J1163" s="113">
        <v>59.45</v>
      </c>
      <c r="K1163" s="113">
        <v>-44.8</v>
      </c>
    </row>
    <row r="1164" spans="2:11" x14ac:dyDescent="0.25">
      <c r="B1164" s="202"/>
      <c r="C1164" s="113">
        <v>228.31800000000001</v>
      </c>
      <c r="D1164" s="113">
        <v>8434</v>
      </c>
      <c r="E1164" s="113">
        <v>1161</v>
      </c>
      <c r="F1164" s="113">
        <v>130</v>
      </c>
      <c r="G1164" s="113">
        <v>124.8</v>
      </c>
      <c r="H1164" s="113">
        <v>112.5</v>
      </c>
      <c r="I1164" s="113">
        <v>14.5</v>
      </c>
      <c r="J1164" s="113">
        <v>57.23</v>
      </c>
      <c r="K1164" s="113">
        <v>-57.6</v>
      </c>
    </row>
    <row r="1165" spans="2:11" x14ac:dyDescent="0.25">
      <c r="B1165" s="202"/>
      <c r="C1165" s="113">
        <v>228.34700000000001</v>
      </c>
      <c r="D1165" s="113">
        <v>8435</v>
      </c>
      <c r="E1165" s="113">
        <v>1162</v>
      </c>
      <c r="F1165" s="113">
        <v>130</v>
      </c>
      <c r="G1165" s="113">
        <v>124.8</v>
      </c>
      <c r="H1165" s="113">
        <v>112.5</v>
      </c>
      <c r="I1165" s="113">
        <v>16.899999999999999</v>
      </c>
      <c r="J1165" s="113">
        <v>57.2</v>
      </c>
      <c r="K1165" s="113">
        <v>-60</v>
      </c>
    </row>
    <row r="1166" spans="2:11" x14ac:dyDescent="0.25">
      <c r="B1166" s="202"/>
      <c r="C1166" s="113">
        <v>228.376</v>
      </c>
      <c r="D1166" s="113">
        <v>8436</v>
      </c>
      <c r="E1166" s="113">
        <v>1163</v>
      </c>
      <c r="F1166" s="113">
        <v>130</v>
      </c>
      <c r="G1166" s="113">
        <v>124.7</v>
      </c>
      <c r="H1166" s="113">
        <v>112.7</v>
      </c>
      <c r="I1166" s="113">
        <v>18.399999999999999</v>
      </c>
      <c r="J1166" s="113">
        <v>58.5</v>
      </c>
      <c r="K1166" s="113">
        <v>-59.5</v>
      </c>
    </row>
    <row r="1167" spans="2:11" x14ac:dyDescent="0.25">
      <c r="B1167" s="202"/>
      <c r="C1167" s="113">
        <v>228.404</v>
      </c>
      <c r="D1167" s="113">
        <v>8437</v>
      </c>
      <c r="E1167" s="113">
        <v>1164</v>
      </c>
      <c r="F1167" s="113">
        <v>130</v>
      </c>
      <c r="G1167" s="113">
        <v>124.3</v>
      </c>
      <c r="H1167" s="113">
        <v>112.8</v>
      </c>
      <c r="I1167" s="113">
        <v>19.5</v>
      </c>
      <c r="J1167" s="113">
        <v>57.19</v>
      </c>
      <c r="K1167" s="113">
        <v>-59.1</v>
      </c>
    </row>
    <row r="1168" spans="2:11" x14ac:dyDescent="0.25">
      <c r="B1168" s="202"/>
      <c r="C1168" s="113">
        <v>228.43299999999999</v>
      </c>
      <c r="D1168" s="113">
        <v>8438</v>
      </c>
      <c r="E1168" s="113">
        <v>1165</v>
      </c>
      <c r="F1168" s="113">
        <v>130</v>
      </c>
      <c r="G1168" s="113">
        <v>124.1</v>
      </c>
      <c r="H1168" s="113">
        <v>112.9</v>
      </c>
      <c r="I1168" s="113">
        <v>19.600000000000001</v>
      </c>
      <c r="J1168" s="113">
        <v>55.09</v>
      </c>
      <c r="K1168" s="113">
        <v>-58.2</v>
      </c>
    </row>
    <row r="1169" spans="2:11" x14ac:dyDescent="0.25">
      <c r="B1169" s="202"/>
      <c r="C1169" s="113">
        <v>228.46199999999999</v>
      </c>
      <c r="D1169" s="113">
        <v>8439</v>
      </c>
      <c r="E1169" s="113">
        <v>1166</v>
      </c>
      <c r="F1169" s="113">
        <v>130</v>
      </c>
      <c r="G1169" s="113">
        <v>123.9</v>
      </c>
      <c r="H1169" s="113">
        <v>113.1</v>
      </c>
      <c r="I1169" s="113">
        <v>18.5</v>
      </c>
      <c r="J1169" s="113">
        <v>52.66</v>
      </c>
      <c r="K1169" s="113">
        <v>-57.4</v>
      </c>
    </row>
    <row r="1170" spans="2:11" x14ac:dyDescent="0.25">
      <c r="B1170" s="202"/>
      <c r="C1170" s="113">
        <v>228.49100000000001</v>
      </c>
      <c r="D1170" s="113">
        <v>8440</v>
      </c>
      <c r="E1170" s="113">
        <v>1167</v>
      </c>
      <c r="F1170" s="113">
        <v>131</v>
      </c>
      <c r="G1170" s="113">
        <v>123.9</v>
      </c>
      <c r="H1170" s="113">
        <v>113.3</v>
      </c>
      <c r="I1170" s="113">
        <v>16.100000000000001</v>
      </c>
      <c r="J1170" s="113">
        <v>48.62</v>
      </c>
      <c r="K1170" s="113">
        <v>-56.9</v>
      </c>
    </row>
    <row r="1171" spans="2:11" x14ac:dyDescent="0.25">
      <c r="B1171" s="202"/>
      <c r="C1171" s="113">
        <v>228.52</v>
      </c>
      <c r="D1171" s="113">
        <v>8441</v>
      </c>
      <c r="E1171" s="113">
        <v>1168</v>
      </c>
      <c r="F1171" s="113">
        <v>132</v>
      </c>
      <c r="G1171" s="113">
        <v>124</v>
      </c>
      <c r="H1171" s="113">
        <v>113.5</v>
      </c>
      <c r="I1171" s="113">
        <v>12.7</v>
      </c>
      <c r="J1171" s="113">
        <v>45.33</v>
      </c>
      <c r="K1171" s="113">
        <v>-57.1</v>
      </c>
    </row>
    <row r="1172" spans="2:11" x14ac:dyDescent="0.25">
      <c r="B1172" s="202"/>
      <c r="C1172" s="113">
        <v>228.54900000000001</v>
      </c>
      <c r="D1172" s="113">
        <v>8442</v>
      </c>
      <c r="E1172" s="113">
        <v>1169</v>
      </c>
      <c r="F1172" s="113">
        <v>133</v>
      </c>
      <c r="G1172" s="113">
        <v>124.2</v>
      </c>
      <c r="H1172" s="113">
        <v>113.7</v>
      </c>
      <c r="I1172" s="113">
        <v>10.6</v>
      </c>
      <c r="J1172" s="113">
        <v>43.37</v>
      </c>
      <c r="K1172" s="113">
        <v>-57.1</v>
      </c>
    </row>
    <row r="1173" spans="2:11" x14ac:dyDescent="0.25">
      <c r="B1173" s="202"/>
      <c r="C1173" s="113">
        <v>228.577</v>
      </c>
      <c r="D1173" s="113">
        <v>8443</v>
      </c>
      <c r="E1173" s="113">
        <v>1170</v>
      </c>
      <c r="F1173" s="113">
        <v>133</v>
      </c>
      <c r="G1173" s="113">
        <v>124.6</v>
      </c>
      <c r="H1173" s="113">
        <v>113.9</v>
      </c>
      <c r="I1173" s="113">
        <v>9</v>
      </c>
      <c r="J1173" s="113">
        <v>38.85</v>
      </c>
      <c r="K1173" s="113">
        <v>-57.2</v>
      </c>
    </row>
    <row r="1174" spans="2:11" x14ac:dyDescent="0.25">
      <c r="B1174" s="202"/>
      <c r="C1174" s="113">
        <v>228.607</v>
      </c>
      <c r="D1174" s="113">
        <v>8444</v>
      </c>
      <c r="E1174" s="113">
        <v>1171</v>
      </c>
      <c r="F1174" s="113">
        <v>133</v>
      </c>
      <c r="G1174" s="113">
        <v>125.1</v>
      </c>
      <c r="H1174" s="113">
        <v>114.2</v>
      </c>
      <c r="I1174" s="113">
        <v>7.9</v>
      </c>
      <c r="J1174" s="113">
        <v>36.74</v>
      </c>
      <c r="K1174" s="113">
        <v>-57.2</v>
      </c>
    </row>
    <row r="1175" spans="2:11" x14ac:dyDescent="0.25">
      <c r="B1175" s="202"/>
      <c r="C1175" s="113">
        <v>228.636</v>
      </c>
      <c r="D1175" s="113">
        <v>8445</v>
      </c>
      <c r="E1175" s="113">
        <v>1172</v>
      </c>
      <c r="F1175" s="113">
        <v>133</v>
      </c>
      <c r="G1175" s="113">
        <v>125.3</v>
      </c>
      <c r="H1175" s="113">
        <v>114.4</v>
      </c>
      <c r="I1175" s="113">
        <v>7.6</v>
      </c>
      <c r="J1175" s="113">
        <v>36.58</v>
      </c>
      <c r="K1175" s="113">
        <v>-57.2</v>
      </c>
    </row>
    <row r="1176" spans="2:11" x14ac:dyDescent="0.25">
      <c r="B1176" s="202"/>
      <c r="C1176" s="113">
        <v>228.66399999999999</v>
      </c>
      <c r="D1176" s="113">
        <v>8446</v>
      </c>
      <c r="E1176" s="113">
        <v>1173</v>
      </c>
      <c r="F1176" s="113">
        <v>133</v>
      </c>
      <c r="G1176" s="113">
        <v>125.6</v>
      </c>
      <c r="H1176" s="113">
        <v>114.7</v>
      </c>
      <c r="I1176" s="113">
        <v>7.9</v>
      </c>
      <c r="J1176" s="113">
        <v>36.869999999999997</v>
      </c>
      <c r="K1176" s="113">
        <v>-55.3</v>
      </c>
    </row>
    <row r="1177" spans="2:11" x14ac:dyDescent="0.25">
      <c r="B1177" s="202"/>
      <c r="C1177" s="113">
        <v>228.69200000000001</v>
      </c>
      <c r="D1177" s="113">
        <v>8447</v>
      </c>
      <c r="E1177" s="113">
        <v>1174</v>
      </c>
      <c r="F1177" s="113">
        <v>133</v>
      </c>
      <c r="G1177" s="113">
        <v>125.7</v>
      </c>
      <c r="H1177" s="113">
        <v>115</v>
      </c>
      <c r="I1177" s="113">
        <v>10</v>
      </c>
      <c r="J1177" s="113">
        <v>35.75</v>
      </c>
      <c r="K1177" s="113">
        <v>-52.8</v>
      </c>
    </row>
    <row r="1178" spans="2:11" x14ac:dyDescent="0.25">
      <c r="B1178" s="202"/>
      <c r="C1178" s="113">
        <v>228.721</v>
      </c>
      <c r="D1178" s="113">
        <v>8448</v>
      </c>
      <c r="E1178" s="113">
        <v>1175</v>
      </c>
      <c r="F1178" s="113">
        <v>132</v>
      </c>
      <c r="G1178" s="113">
        <v>125.9</v>
      </c>
      <c r="H1178" s="113">
        <v>115.3</v>
      </c>
      <c r="I1178" s="113">
        <v>12.2</v>
      </c>
      <c r="J1178" s="113">
        <v>40.03</v>
      </c>
      <c r="K1178" s="113">
        <v>-50.6</v>
      </c>
    </row>
    <row r="1179" spans="2:11" x14ac:dyDescent="0.25">
      <c r="B1179" s="202"/>
      <c r="C1179" s="113">
        <v>228.749</v>
      </c>
      <c r="D1179" s="113">
        <v>8449</v>
      </c>
      <c r="E1179" s="113">
        <v>1176</v>
      </c>
      <c r="F1179" s="113">
        <v>132</v>
      </c>
      <c r="G1179" s="113">
        <v>126.1</v>
      </c>
      <c r="H1179" s="113">
        <v>115.4</v>
      </c>
      <c r="I1179" s="113">
        <v>13.4</v>
      </c>
      <c r="J1179" s="113">
        <v>44.66</v>
      </c>
      <c r="K1179" s="113">
        <v>-50</v>
      </c>
    </row>
    <row r="1180" spans="2:11" x14ac:dyDescent="0.25">
      <c r="B1180" s="202"/>
      <c r="C1180" s="113">
        <v>228.77799999999999</v>
      </c>
      <c r="D1180" s="113">
        <v>8450</v>
      </c>
      <c r="E1180" s="113">
        <v>1177</v>
      </c>
      <c r="F1180" s="113">
        <v>132</v>
      </c>
      <c r="G1180" s="113">
        <v>126.1</v>
      </c>
      <c r="H1180" s="113">
        <v>115.7</v>
      </c>
      <c r="I1180" s="113">
        <v>15.2</v>
      </c>
      <c r="J1180" s="113">
        <v>44.86</v>
      </c>
      <c r="K1180" s="113">
        <v>-49.2</v>
      </c>
    </row>
    <row r="1181" spans="2:11" x14ac:dyDescent="0.25">
      <c r="B1181" s="202"/>
      <c r="C1181" s="113">
        <v>228.80699999999999</v>
      </c>
      <c r="D1181" s="113">
        <v>8451</v>
      </c>
      <c r="E1181" s="113">
        <v>1178</v>
      </c>
      <c r="F1181" s="113">
        <v>131</v>
      </c>
      <c r="G1181" s="113">
        <v>125.8</v>
      </c>
      <c r="H1181" s="113">
        <v>116</v>
      </c>
      <c r="I1181" s="113">
        <v>18.3</v>
      </c>
      <c r="J1181" s="113">
        <v>49.12</v>
      </c>
      <c r="K1181" s="113">
        <v>-48.3</v>
      </c>
    </row>
    <row r="1182" spans="2:11" x14ac:dyDescent="0.25">
      <c r="B1182" s="202"/>
      <c r="C1182" s="113">
        <v>228.83500000000001</v>
      </c>
      <c r="D1182" s="113">
        <v>8452</v>
      </c>
      <c r="E1182" s="113">
        <v>1179</v>
      </c>
      <c r="F1182" s="113">
        <v>132</v>
      </c>
      <c r="G1182" s="113">
        <v>126.1</v>
      </c>
      <c r="H1182" s="113">
        <v>116.3</v>
      </c>
      <c r="I1182" s="113">
        <v>19.100000000000001</v>
      </c>
      <c r="J1182" s="113">
        <v>48.97</v>
      </c>
      <c r="K1182" s="113">
        <v>-47.3</v>
      </c>
    </row>
    <row r="1183" spans="2:11" x14ac:dyDescent="0.25">
      <c r="B1183" s="202"/>
      <c r="C1183" s="113">
        <v>228.864</v>
      </c>
      <c r="D1183" s="113">
        <v>8453</v>
      </c>
      <c r="E1183" s="113">
        <v>1180</v>
      </c>
      <c r="F1183" s="113">
        <v>132</v>
      </c>
      <c r="G1183" s="113">
        <v>126.1</v>
      </c>
      <c r="H1183" s="113">
        <v>116.5</v>
      </c>
      <c r="I1183" s="113">
        <v>19.5</v>
      </c>
      <c r="J1183" s="113">
        <v>49.56</v>
      </c>
      <c r="K1183" s="113">
        <v>-46.1</v>
      </c>
    </row>
    <row r="1184" spans="2:11" x14ac:dyDescent="0.25">
      <c r="B1184" s="202"/>
      <c r="C1184" s="113">
        <v>228.892</v>
      </c>
      <c r="D1184" s="113">
        <v>8454</v>
      </c>
      <c r="E1184" s="113">
        <v>1181</v>
      </c>
      <c r="F1184" s="113">
        <v>132</v>
      </c>
      <c r="G1184" s="113">
        <v>126.3</v>
      </c>
      <c r="H1184" s="113">
        <v>116.7</v>
      </c>
      <c r="I1184" s="113">
        <v>18.399999999999999</v>
      </c>
      <c r="J1184" s="113">
        <v>49.92</v>
      </c>
      <c r="K1184" s="113">
        <v>-46.5</v>
      </c>
    </row>
    <row r="1185" spans="2:11" x14ac:dyDescent="0.25">
      <c r="B1185" s="202"/>
      <c r="C1185" s="113">
        <v>228.92099999999999</v>
      </c>
      <c r="D1185" s="113">
        <v>8455</v>
      </c>
      <c r="E1185" s="113">
        <v>1182</v>
      </c>
      <c r="F1185" s="113">
        <v>133</v>
      </c>
      <c r="G1185" s="113">
        <v>126.6</v>
      </c>
      <c r="H1185" s="113">
        <v>117</v>
      </c>
      <c r="I1185" s="113">
        <v>17.5</v>
      </c>
      <c r="J1185" s="113">
        <v>45.06</v>
      </c>
      <c r="K1185" s="113">
        <v>-48.7</v>
      </c>
    </row>
    <row r="1186" spans="2:11" x14ac:dyDescent="0.25">
      <c r="B1186" s="202"/>
      <c r="C1186" s="113">
        <v>228.94900000000001</v>
      </c>
      <c r="D1186" s="113">
        <v>8456</v>
      </c>
      <c r="E1186" s="113">
        <v>1183</v>
      </c>
      <c r="F1186" s="113">
        <v>134</v>
      </c>
      <c r="G1186" s="113">
        <v>126.7</v>
      </c>
      <c r="H1186" s="113">
        <v>117.1</v>
      </c>
      <c r="I1186" s="113">
        <v>16.8</v>
      </c>
      <c r="J1186" s="113">
        <v>43.92</v>
      </c>
      <c r="K1186" s="113">
        <v>-50.1</v>
      </c>
    </row>
    <row r="1187" spans="2:11" x14ac:dyDescent="0.25">
      <c r="B1187" s="202"/>
      <c r="C1187" s="113">
        <v>228.977</v>
      </c>
      <c r="D1187" s="113">
        <v>8457</v>
      </c>
      <c r="E1187" s="113">
        <v>1184</v>
      </c>
      <c r="F1187" s="113">
        <v>135</v>
      </c>
      <c r="G1187" s="113">
        <v>126.9</v>
      </c>
      <c r="H1187" s="113">
        <v>117.4</v>
      </c>
      <c r="I1187" s="113">
        <v>14.8</v>
      </c>
      <c r="J1187" s="113">
        <v>43.14</v>
      </c>
      <c r="K1187" s="113">
        <v>-51.3</v>
      </c>
    </row>
    <row r="1188" spans="2:11" x14ac:dyDescent="0.25">
      <c r="B1188" s="202"/>
      <c r="C1188" s="113">
        <v>229.006</v>
      </c>
      <c r="D1188" s="113">
        <v>8458</v>
      </c>
      <c r="E1188" s="113">
        <v>1185</v>
      </c>
      <c r="F1188" s="113">
        <v>136</v>
      </c>
      <c r="G1188" s="113">
        <v>127.2</v>
      </c>
      <c r="H1188" s="113">
        <v>117.7</v>
      </c>
      <c r="I1188" s="113">
        <v>13.2</v>
      </c>
      <c r="J1188" s="113">
        <v>39.619999999999997</v>
      </c>
      <c r="K1188" s="113">
        <v>-51.3</v>
      </c>
    </row>
    <row r="1189" spans="2:11" x14ac:dyDescent="0.25">
      <c r="B1189" s="202"/>
      <c r="C1189" s="113">
        <v>229.03399999999999</v>
      </c>
      <c r="D1189" s="113">
        <v>8459</v>
      </c>
      <c r="E1189" s="113">
        <v>1186</v>
      </c>
      <c r="F1189" s="113">
        <v>136</v>
      </c>
      <c r="G1189" s="113">
        <v>128</v>
      </c>
      <c r="H1189" s="113">
        <v>118</v>
      </c>
      <c r="I1189" s="113">
        <v>11.8</v>
      </c>
      <c r="J1189" s="113">
        <v>37.15</v>
      </c>
      <c r="K1189" s="113">
        <v>-51.3</v>
      </c>
    </row>
    <row r="1190" spans="2:11" x14ac:dyDescent="0.25">
      <c r="B1190" s="202"/>
      <c r="C1190" s="113">
        <v>229.06200000000001</v>
      </c>
      <c r="D1190" s="113">
        <v>8460</v>
      </c>
      <c r="E1190" s="113">
        <v>1187</v>
      </c>
      <c r="F1190" s="113">
        <v>137</v>
      </c>
      <c r="G1190" s="113">
        <v>128.30000000000001</v>
      </c>
      <c r="H1190" s="113">
        <v>118.3</v>
      </c>
      <c r="I1190" s="113">
        <v>11.1</v>
      </c>
      <c r="J1190" s="113">
        <v>37.4</v>
      </c>
      <c r="K1190" s="113">
        <v>-50.6</v>
      </c>
    </row>
    <row r="1191" spans="2:11" x14ac:dyDescent="0.25">
      <c r="B1191" s="202"/>
      <c r="C1191" s="113">
        <v>229.09</v>
      </c>
      <c r="D1191" s="113">
        <v>8461</v>
      </c>
      <c r="E1191" s="113">
        <v>1188</v>
      </c>
      <c r="F1191" s="113">
        <v>137</v>
      </c>
      <c r="G1191" s="113">
        <v>128.5</v>
      </c>
      <c r="H1191" s="113">
        <v>118.7</v>
      </c>
      <c r="I1191" s="113">
        <v>11</v>
      </c>
      <c r="J1191" s="113">
        <v>37.04</v>
      </c>
      <c r="K1191" s="113">
        <v>-49.8</v>
      </c>
    </row>
    <row r="1192" spans="2:11" x14ac:dyDescent="0.25">
      <c r="B1192" s="202"/>
      <c r="C1192" s="113">
        <v>229.11799999999999</v>
      </c>
      <c r="D1192" s="113">
        <v>8462</v>
      </c>
      <c r="E1192" s="113">
        <v>1189</v>
      </c>
      <c r="F1192" s="113">
        <v>136</v>
      </c>
      <c r="G1192" s="113">
        <v>128.69999999999999</v>
      </c>
      <c r="H1192" s="113">
        <v>118.9</v>
      </c>
      <c r="I1192" s="113">
        <v>11.8</v>
      </c>
      <c r="J1192" s="113">
        <v>36.06</v>
      </c>
      <c r="K1192" s="113">
        <v>-49.3</v>
      </c>
    </row>
    <row r="1193" spans="2:11" x14ac:dyDescent="0.25">
      <c r="B1193" s="202"/>
      <c r="C1193" s="113">
        <v>229.14599999999999</v>
      </c>
      <c r="D1193" s="113">
        <v>8463</v>
      </c>
      <c r="E1193" s="113">
        <v>1190</v>
      </c>
      <c r="F1193" s="113">
        <v>137</v>
      </c>
      <c r="G1193" s="113">
        <v>129</v>
      </c>
      <c r="H1193" s="113">
        <v>119.3</v>
      </c>
      <c r="I1193" s="113">
        <v>12.7</v>
      </c>
      <c r="J1193" s="113">
        <v>35.97</v>
      </c>
      <c r="K1193" s="113">
        <v>-39.6</v>
      </c>
    </row>
    <row r="1194" spans="2:11" x14ac:dyDescent="0.25">
      <c r="B1194" s="202"/>
      <c r="C1194" s="113">
        <v>229.17400000000001</v>
      </c>
      <c r="D1194" s="113">
        <v>8464</v>
      </c>
      <c r="E1194" s="113">
        <v>1191</v>
      </c>
      <c r="F1194" s="113">
        <v>137</v>
      </c>
      <c r="G1194" s="113">
        <v>129.30000000000001</v>
      </c>
      <c r="H1194" s="113">
        <v>119.7</v>
      </c>
      <c r="I1194" s="113">
        <v>13.5</v>
      </c>
      <c r="J1194" s="113">
        <v>36.74</v>
      </c>
      <c r="K1194" s="113">
        <v>-27.7</v>
      </c>
    </row>
    <row r="1195" spans="2:11" x14ac:dyDescent="0.25">
      <c r="B1195" s="202"/>
      <c r="C1195" s="113">
        <v>229.20099999999999</v>
      </c>
      <c r="D1195" s="113">
        <v>8465</v>
      </c>
      <c r="E1195" s="113">
        <v>1192</v>
      </c>
      <c r="F1195" s="113">
        <v>137</v>
      </c>
      <c r="G1195" s="113">
        <v>129.6</v>
      </c>
      <c r="H1195" s="113">
        <v>120.1</v>
      </c>
      <c r="I1195" s="113">
        <v>14.3</v>
      </c>
      <c r="J1195" s="113">
        <v>35.270000000000003</v>
      </c>
      <c r="K1195" s="113">
        <v>-18.899999999999999</v>
      </c>
    </row>
    <row r="1196" spans="2:11" x14ac:dyDescent="0.25">
      <c r="B1196" s="202"/>
      <c r="C1196" s="113">
        <v>229.22900000000001</v>
      </c>
      <c r="D1196" s="113">
        <v>8466</v>
      </c>
      <c r="E1196" s="113">
        <v>1193</v>
      </c>
      <c r="F1196" s="113">
        <v>138</v>
      </c>
      <c r="G1196" s="113">
        <v>129.69999999999999</v>
      </c>
      <c r="H1196" s="113">
        <v>120.4</v>
      </c>
      <c r="I1196" s="113">
        <v>14.8</v>
      </c>
      <c r="J1196" s="113">
        <v>35.380000000000003</v>
      </c>
      <c r="K1196" s="113">
        <v>-27.7</v>
      </c>
    </row>
    <row r="1197" spans="2:11" x14ac:dyDescent="0.25">
      <c r="B1197" s="202"/>
      <c r="C1197" s="113">
        <v>229.25700000000001</v>
      </c>
      <c r="D1197" s="113">
        <v>8467</v>
      </c>
      <c r="E1197" s="113">
        <v>1194</v>
      </c>
      <c r="F1197" s="113">
        <v>138</v>
      </c>
      <c r="G1197" s="113">
        <v>129.9</v>
      </c>
      <c r="H1197" s="113">
        <v>120.8</v>
      </c>
      <c r="I1197" s="113">
        <v>14.9</v>
      </c>
      <c r="J1197" s="113">
        <v>35.479999999999997</v>
      </c>
      <c r="K1197" s="113">
        <v>-41.1</v>
      </c>
    </row>
    <row r="1198" spans="2:11" x14ac:dyDescent="0.25">
      <c r="B1198" s="202"/>
      <c r="C1198" s="113">
        <v>229.28399999999999</v>
      </c>
      <c r="D1198" s="113">
        <v>8468</v>
      </c>
      <c r="E1198" s="113">
        <v>1195</v>
      </c>
      <c r="F1198" s="113">
        <v>138</v>
      </c>
      <c r="G1198" s="113">
        <v>130</v>
      </c>
      <c r="H1198" s="113">
        <v>121.4</v>
      </c>
      <c r="I1198" s="113">
        <v>15.2</v>
      </c>
      <c r="J1198" s="113">
        <v>33.93</v>
      </c>
      <c r="K1198" s="113">
        <v>-52.8</v>
      </c>
    </row>
    <row r="1199" spans="2:11" x14ac:dyDescent="0.25">
      <c r="B1199" s="202"/>
      <c r="C1199" s="113">
        <v>229.31200000000001</v>
      </c>
      <c r="D1199" s="113">
        <v>8469</v>
      </c>
      <c r="E1199" s="113">
        <v>1196</v>
      </c>
      <c r="F1199" s="113">
        <v>139</v>
      </c>
      <c r="G1199" s="113">
        <v>130.30000000000001</v>
      </c>
      <c r="H1199" s="113">
        <v>121.9</v>
      </c>
      <c r="I1199" s="113">
        <v>14.7</v>
      </c>
      <c r="J1199" s="113">
        <v>30.68</v>
      </c>
      <c r="K1199" s="113">
        <v>-53</v>
      </c>
    </row>
    <row r="1200" spans="2:11" x14ac:dyDescent="0.25">
      <c r="B1200" s="202"/>
      <c r="C1200" s="113">
        <v>229.339</v>
      </c>
      <c r="D1200" s="113">
        <v>8470</v>
      </c>
      <c r="E1200" s="113">
        <v>1197</v>
      </c>
      <c r="F1200" s="113">
        <v>139</v>
      </c>
      <c r="G1200" s="113">
        <v>130.6</v>
      </c>
      <c r="H1200" s="113">
        <v>122.2</v>
      </c>
      <c r="I1200" s="113">
        <v>13.7</v>
      </c>
      <c r="J1200" s="113">
        <v>29.74</v>
      </c>
      <c r="K1200" s="113">
        <v>-53.1</v>
      </c>
    </row>
    <row r="1201" spans="2:11" x14ac:dyDescent="0.25">
      <c r="B1201" s="202"/>
      <c r="C1201" s="113">
        <v>229.36699999999999</v>
      </c>
      <c r="D1201" s="113">
        <v>8471</v>
      </c>
      <c r="E1201" s="113">
        <v>1198</v>
      </c>
      <c r="F1201" s="113">
        <v>140</v>
      </c>
      <c r="G1201" s="113">
        <v>131.1</v>
      </c>
      <c r="H1201" s="113">
        <v>122.8</v>
      </c>
      <c r="I1201" s="113">
        <v>11.2</v>
      </c>
      <c r="J1201" s="113">
        <v>27.64</v>
      </c>
      <c r="K1201" s="113">
        <v>-53.3</v>
      </c>
    </row>
    <row r="1202" spans="2:11" x14ac:dyDescent="0.25">
      <c r="B1202" s="202"/>
      <c r="C1202" s="113">
        <v>229.39400000000001</v>
      </c>
      <c r="D1202" s="113">
        <v>8472</v>
      </c>
      <c r="E1202" s="113">
        <v>1199</v>
      </c>
      <c r="F1202" s="113">
        <v>141</v>
      </c>
      <c r="G1202" s="113">
        <v>131.5</v>
      </c>
      <c r="H1202" s="113">
        <v>123.3</v>
      </c>
      <c r="I1202" s="113">
        <v>9.6999999999999993</v>
      </c>
      <c r="J1202" s="113">
        <v>26.8</v>
      </c>
      <c r="K1202" s="113">
        <v>-53.3</v>
      </c>
    </row>
    <row r="1203" spans="2:11" x14ac:dyDescent="0.25">
      <c r="B1203" s="202"/>
      <c r="C1203" s="113">
        <v>229.422</v>
      </c>
      <c r="D1203" s="113">
        <v>8473</v>
      </c>
      <c r="E1203" s="113">
        <v>1200</v>
      </c>
      <c r="F1203" s="113">
        <v>142</v>
      </c>
      <c r="G1203" s="113">
        <v>131.9</v>
      </c>
      <c r="H1203" s="113">
        <v>123.8</v>
      </c>
      <c r="I1203" s="113">
        <v>9</v>
      </c>
      <c r="J1203" s="113">
        <v>24.11</v>
      </c>
      <c r="K1203" s="113">
        <v>-53.3</v>
      </c>
    </row>
    <row r="1204" spans="2:11" x14ac:dyDescent="0.25">
      <c r="B1204" s="202"/>
      <c r="C1204" s="113">
        <v>229.44900000000001</v>
      </c>
      <c r="D1204" s="113">
        <v>8474</v>
      </c>
      <c r="E1204" s="113">
        <v>1201</v>
      </c>
      <c r="F1204" s="113">
        <v>142</v>
      </c>
      <c r="G1204" s="113">
        <v>132.30000000000001</v>
      </c>
      <c r="H1204" s="113">
        <v>124.2</v>
      </c>
      <c r="I1204" s="113">
        <v>9</v>
      </c>
      <c r="J1204" s="113">
        <v>23.88</v>
      </c>
      <c r="K1204" s="113">
        <v>-53.1</v>
      </c>
    </row>
    <row r="1205" spans="2:11" x14ac:dyDescent="0.25">
      <c r="B1205" s="202"/>
      <c r="C1205" s="113">
        <v>229.476</v>
      </c>
      <c r="D1205" s="113">
        <v>8475</v>
      </c>
      <c r="E1205" s="113">
        <v>1202</v>
      </c>
      <c r="F1205" s="113">
        <v>142</v>
      </c>
      <c r="G1205" s="113">
        <v>132.69999999999999</v>
      </c>
      <c r="H1205" s="113">
        <v>124.7</v>
      </c>
      <c r="I1205" s="113">
        <v>8.1999999999999993</v>
      </c>
      <c r="J1205" s="113">
        <v>23.41</v>
      </c>
      <c r="K1205" s="113">
        <v>-51.9</v>
      </c>
    </row>
    <row r="1206" spans="2:11" x14ac:dyDescent="0.25">
      <c r="B1206" s="202"/>
      <c r="C1206" s="113">
        <v>229.50299999999999</v>
      </c>
      <c r="D1206" s="113">
        <v>8476</v>
      </c>
      <c r="E1206" s="113">
        <v>1203</v>
      </c>
      <c r="F1206" s="113">
        <v>143</v>
      </c>
      <c r="G1206" s="113">
        <v>133.4</v>
      </c>
      <c r="H1206" s="113">
        <v>125.3</v>
      </c>
      <c r="I1206" s="113">
        <v>8.1</v>
      </c>
      <c r="J1206" s="113">
        <v>20.78</v>
      </c>
      <c r="K1206" s="113">
        <v>-50.7</v>
      </c>
    </row>
    <row r="1207" spans="2:11" x14ac:dyDescent="0.25">
      <c r="B1207" s="202"/>
      <c r="C1207" s="113">
        <v>229.53</v>
      </c>
      <c r="D1207" s="113">
        <v>8477</v>
      </c>
      <c r="E1207" s="113">
        <v>1204</v>
      </c>
      <c r="F1207" s="113">
        <v>143</v>
      </c>
      <c r="G1207" s="113">
        <v>134</v>
      </c>
      <c r="H1207" s="113">
        <v>125.8</v>
      </c>
      <c r="I1207" s="113">
        <v>8</v>
      </c>
      <c r="J1207" s="113">
        <v>21.23</v>
      </c>
      <c r="K1207" s="113">
        <v>-49.4</v>
      </c>
    </row>
    <row r="1208" spans="2:11" x14ac:dyDescent="0.25">
      <c r="B1208" s="202"/>
      <c r="C1208" s="113">
        <v>229.55699999999999</v>
      </c>
      <c r="D1208" s="113">
        <v>8478</v>
      </c>
      <c r="E1208" s="113">
        <v>1205</v>
      </c>
      <c r="F1208" s="113">
        <v>143</v>
      </c>
      <c r="G1208" s="113">
        <v>134.1</v>
      </c>
      <c r="H1208" s="113">
        <v>126.2</v>
      </c>
      <c r="I1208" s="113">
        <v>8.1</v>
      </c>
      <c r="J1208" s="113">
        <v>22.24</v>
      </c>
      <c r="K1208" s="113">
        <v>-48.3</v>
      </c>
    </row>
    <row r="1209" spans="2:11" x14ac:dyDescent="0.25">
      <c r="B1209" s="202"/>
      <c r="C1209" s="113">
        <v>229.584</v>
      </c>
      <c r="D1209" s="113">
        <v>8479</v>
      </c>
      <c r="E1209" s="113">
        <v>1206</v>
      </c>
      <c r="F1209" s="113">
        <v>144</v>
      </c>
      <c r="G1209" s="113">
        <v>134.5</v>
      </c>
      <c r="H1209" s="113">
        <v>126.7</v>
      </c>
      <c r="I1209" s="113">
        <v>9.6</v>
      </c>
      <c r="J1209" s="113">
        <v>25.16</v>
      </c>
      <c r="K1209" s="113">
        <v>-46.7</v>
      </c>
    </row>
    <row r="1210" spans="2:11" x14ac:dyDescent="0.25">
      <c r="B1210" s="202"/>
      <c r="C1210" s="113">
        <v>229.61</v>
      </c>
      <c r="D1210" s="113">
        <v>8480</v>
      </c>
      <c r="E1210" s="113">
        <v>1207</v>
      </c>
      <c r="F1210" s="113">
        <v>144</v>
      </c>
      <c r="G1210" s="113">
        <v>135</v>
      </c>
      <c r="H1210" s="113">
        <v>127.2</v>
      </c>
      <c r="I1210" s="113">
        <v>10.6</v>
      </c>
      <c r="J1210" s="113">
        <v>22.29</v>
      </c>
      <c r="K1210" s="113">
        <v>-46</v>
      </c>
    </row>
    <row r="1211" spans="2:11" x14ac:dyDescent="0.25">
      <c r="B1211" s="202"/>
      <c r="C1211" s="113">
        <v>229.637</v>
      </c>
      <c r="D1211" s="113">
        <v>8481</v>
      </c>
      <c r="E1211" s="113">
        <v>1208</v>
      </c>
      <c r="F1211" s="113">
        <v>144</v>
      </c>
      <c r="G1211" s="113">
        <v>135.4</v>
      </c>
      <c r="H1211" s="113">
        <v>127.6</v>
      </c>
      <c r="I1211" s="113">
        <v>10.9</v>
      </c>
      <c r="J1211" s="113">
        <v>22.92</v>
      </c>
      <c r="K1211" s="113">
        <v>-46.2</v>
      </c>
    </row>
    <row r="1212" spans="2:11" x14ac:dyDescent="0.25">
      <c r="B1212" s="202"/>
      <c r="C1212" s="113">
        <v>229.66399999999999</v>
      </c>
      <c r="D1212" s="113">
        <v>8482</v>
      </c>
      <c r="E1212" s="113">
        <v>1209</v>
      </c>
      <c r="F1212" s="113">
        <v>145</v>
      </c>
      <c r="G1212" s="113">
        <v>136</v>
      </c>
      <c r="H1212" s="113">
        <v>128.19999999999999</v>
      </c>
      <c r="I1212" s="113">
        <v>10.7</v>
      </c>
      <c r="J1212" s="113">
        <v>26.22</v>
      </c>
      <c r="K1212" s="113">
        <v>-46.6</v>
      </c>
    </row>
    <row r="1213" spans="2:11" x14ac:dyDescent="0.25">
      <c r="B1213" s="202"/>
      <c r="C1213" s="113">
        <v>229.69</v>
      </c>
      <c r="D1213" s="113">
        <v>8483</v>
      </c>
      <c r="E1213" s="113">
        <v>1210</v>
      </c>
      <c r="F1213" s="113">
        <v>146</v>
      </c>
      <c r="G1213" s="113">
        <v>136.4</v>
      </c>
      <c r="H1213" s="113">
        <v>128.69999999999999</v>
      </c>
      <c r="I1213" s="113">
        <v>10.6</v>
      </c>
      <c r="J1213" s="113">
        <v>23.93</v>
      </c>
      <c r="K1213" s="113">
        <v>-46</v>
      </c>
    </row>
    <row r="1214" spans="2:11" x14ac:dyDescent="0.25">
      <c r="B1214" s="202"/>
      <c r="C1214" s="113">
        <v>229.71600000000001</v>
      </c>
      <c r="D1214" s="113">
        <v>8484</v>
      </c>
      <c r="E1214" s="113">
        <v>1211</v>
      </c>
      <c r="F1214" s="113">
        <v>145</v>
      </c>
      <c r="G1214" s="113">
        <v>136.6</v>
      </c>
      <c r="H1214" s="113">
        <v>129.1</v>
      </c>
      <c r="I1214" s="113">
        <v>11.7</v>
      </c>
      <c r="J1214" s="113">
        <v>22.89</v>
      </c>
      <c r="K1214" s="113">
        <v>-44.8</v>
      </c>
    </row>
    <row r="1215" spans="2:11" x14ac:dyDescent="0.25">
      <c r="B1215" s="202"/>
      <c r="C1215" s="113">
        <v>229.74299999999999</v>
      </c>
      <c r="D1215" s="113">
        <v>8485</v>
      </c>
      <c r="E1215" s="113">
        <v>1212</v>
      </c>
      <c r="F1215" s="113">
        <v>146</v>
      </c>
      <c r="G1215" s="113">
        <v>136.9</v>
      </c>
      <c r="H1215" s="113">
        <v>129.69999999999999</v>
      </c>
      <c r="I1215" s="113">
        <v>12.6</v>
      </c>
      <c r="J1215" s="113">
        <v>33.31</v>
      </c>
      <c r="K1215" s="113">
        <v>-43.1</v>
      </c>
    </row>
    <row r="1216" spans="2:11" x14ac:dyDescent="0.25">
      <c r="B1216" s="202"/>
      <c r="C1216" s="113">
        <v>229.76900000000001</v>
      </c>
      <c r="D1216" s="113">
        <v>8486</v>
      </c>
      <c r="E1216" s="113">
        <v>1213</v>
      </c>
      <c r="F1216" s="113">
        <v>146</v>
      </c>
      <c r="G1216" s="113">
        <v>137.19999999999999</v>
      </c>
      <c r="H1216" s="113">
        <v>130.1</v>
      </c>
      <c r="I1216" s="113">
        <v>13</v>
      </c>
      <c r="J1216" s="113">
        <v>31.94</v>
      </c>
      <c r="K1216" s="113">
        <v>-42.1</v>
      </c>
    </row>
    <row r="1217" spans="2:11" x14ac:dyDescent="0.25">
      <c r="B1217" s="202"/>
      <c r="C1217" s="113">
        <v>229.79499999999999</v>
      </c>
      <c r="D1217" s="113">
        <v>8487</v>
      </c>
      <c r="E1217" s="113">
        <v>1214</v>
      </c>
      <c r="F1217" s="113">
        <v>146</v>
      </c>
      <c r="G1217" s="113">
        <v>137.69999999999999</v>
      </c>
      <c r="H1217" s="113">
        <v>130.6</v>
      </c>
      <c r="I1217" s="113">
        <v>15.3</v>
      </c>
      <c r="J1217" s="113">
        <v>29.51</v>
      </c>
      <c r="K1217" s="113">
        <v>-42.1</v>
      </c>
    </row>
    <row r="1218" spans="2:11" x14ac:dyDescent="0.25">
      <c r="B1218" s="202"/>
      <c r="C1218" s="113">
        <v>229.821</v>
      </c>
      <c r="D1218" s="113">
        <v>8488</v>
      </c>
      <c r="E1218" s="113">
        <v>1215</v>
      </c>
      <c r="F1218" s="113">
        <v>147</v>
      </c>
      <c r="G1218" s="113">
        <v>138.19999999999999</v>
      </c>
      <c r="H1218" s="113">
        <v>131.19999999999999</v>
      </c>
      <c r="I1218" s="113">
        <v>15.3</v>
      </c>
      <c r="J1218" s="113">
        <v>29.02</v>
      </c>
      <c r="K1218" s="113">
        <v>-42.1</v>
      </c>
    </row>
    <row r="1219" spans="2:11" x14ac:dyDescent="0.25">
      <c r="B1219" s="202"/>
      <c r="C1219" s="113">
        <v>229.84700000000001</v>
      </c>
      <c r="D1219" s="113">
        <v>8489</v>
      </c>
      <c r="E1219" s="113">
        <v>1216</v>
      </c>
      <c r="F1219" s="113">
        <v>147</v>
      </c>
      <c r="G1219" s="113">
        <v>138.5</v>
      </c>
      <c r="H1219" s="113">
        <v>131.6</v>
      </c>
      <c r="I1219" s="113">
        <v>14.6</v>
      </c>
      <c r="J1219" s="113">
        <v>29.11</v>
      </c>
      <c r="K1219" s="113">
        <v>-42.1</v>
      </c>
    </row>
    <row r="1220" spans="2:11" x14ac:dyDescent="0.25">
      <c r="B1220" s="202"/>
      <c r="C1220" s="113">
        <v>229.87299999999999</v>
      </c>
      <c r="D1220" s="113">
        <v>8490</v>
      </c>
      <c r="E1220" s="113">
        <v>1217</v>
      </c>
      <c r="F1220" s="113">
        <v>148</v>
      </c>
      <c r="G1220" s="113">
        <v>138.69999999999999</v>
      </c>
      <c r="H1220" s="113">
        <v>132.1</v>
      </c>
      <c r="I1220" s="113">
        <v>14.1</v>
      </c>
      <c r="J1220" s="113">
        <v>28.09</v>
      </c>
      <c r="K1220" s="113">
        <v>-42.1</v>
      </c>
    </row>
    <row r="1221" spans="2:11" x14ac:dyDescent="0.25">
      <c r="B1221" s="202"/>
      <c r="C1221" s="113">
        <v>229.899</v>
      </c>
      <c r="D1221" s="113">
        <v>8491</v>
      </c>
      <c r="E1221" s="113">
        <v>1218</v>
      </c>
      <c r="F1221" s="113">
        <v>148</v>
      </c>
      <c r="G1221" s="113">
        <v>138.9</v>
      </c>
      <c r="H1221" s="113">
        <v>132.4</v>
      </c>
      <c r="I1221" s="113">
        <v>14.2</v>
      </c>
      <c r="J1221" s="113">
        <v>27.35</v>
      </c>
      <c r="K1221" s="113">
        <v>-42.1</v>
      </c>
    </row>
    <row r="1222" spans="2:11" x14ac:dyDescent="0.25">
      <c r="B1222" s="202"/>
      <c r="C1222" s="113">
        <v>229.92500000000001</v>
      </c>
      <c r="D1222" s="113">
        <v>8492</v>
      </c>
      <c r="E1222" s="113">
        <v>1219</v>
      </c>
      <c r="F1222" s="113">
        <v>147</v>
      </c>
      <c r="G1222" s="113">
        <v>139.19999999999999</v>
      </c>
      <c r="H1222" s="113">
        <v>132.9</v>
      </c>
      <c r="I1222" s="113">
        <v>14.2</v>
      </c>
      <c r="J1222" s="113">
        <v>23.54</v>
      </c>
      <c r="K1222" s="113">
        <v>-42.3</v>
      </c>
    </row>
    <row r="1223" spans="2:11" x14ac:dyDescent="0.25">
      <c r="B1223" s="202"/>
      <c r="C1223" s="113">
        <v>229.95099999999999</v>
      </c>
      <c r="D1223" s="113">
        <v>8493</v>
      </c>
      <c r="E1223" s="113">
        <v>1220</v>
      </c>
      <c r="F1223" s="113">
        <v>148</v>
      </c>
      <c r="G1223" s="113">
        <v>139</v>
      </c>
      <c r="H1223" s="113">
        <v>133.4</v>
      </c>
      <c r="I1223" s="113">
        <v>13.4</v>
      </c>
      <c r="J1223" s="113">
        <v>22.23</v>
      </c>
      <c r="K1223" s="113">
        <v>-43.9</v>
      </c>
    </row>
    <row r="1224" spans="2:11" x14ac:dyDescent="0.25">
      <c r="B1224" s="202"/>
      <c r="C1224" s="113">
        <v>229.976</v>
      </c>
      <c r="D1224" s="113">
        <v>8494</v>
      </c>
      <c r="E1224" s="113">
        <v>1221</v>
      </c>
      <c r="F1224" s="113">
        <v>148</v>
      </c>
      <c r="G1224" s="113">
        <v>139.30000000000001</v>
      </c>
      <c r="H1224" s="113">
        <v>133.80000000000001</v>
      </c>
      <c r="I1224" s="113">
        <v>12.4</v>
      </c>
      <c r="J1224" s="113">
        <v>20.29</v>
      </c>
      <c r="K1224" s="113">
        <v>-45.1</v>
      </c>
    </row>
    <row r="1225" spans="2:11" x14ac:dyDescent="0.25">
      <c r="B1225" s="202"/>
      <c r="C1225" s="113">
        <v>230.00200000000001</v>
      </c>
      <c r="D1225" s="113">
        <v>8495</v>
      </c>
      <c r="E1225" s="113">
        <v>1222</v>
      </c>
      <c r="F1225" s="113">
        <v>148</v>
      </c>
      <c r="G1225" s="113">
        <v>140</v>
      </c>
      <c r="H1225" s="113">
        <v>134.30000000000001</v>
      </c>
      <c r="I1225" s="113">
        <v>11</v>
      </c>
      <c r="J1225" s="113">
        <v>16.64</v>
      </c>
      <c r="K1225" s="113">
        <v>-46.5</v>
      </c>
    </row>
    <row r="1226" spans="2:11" x14ac:dyDescent="0.25">
      <c r="B1226" s="202"/>
      <c r="C1226" s="113">
        <v>230.02799999999999</v>
      </c>
      <c r="D1226" s="113">
        <v>8496</v>
      </c>
      <c r="E1226" s="113">
        <v>1223</v>
      </c>
      <c r="F1226" s="113">
        <v>149</v>
      </c>
      <c r="G1226" s="113">
        <v>140.5</v>
      </c>
      <c r="H1226" s="113">
        <v>134.6</v>
      </c>
      <c r="I1226" s="113">
        <v>9.8000000000000007</v>
      </c>
      <c r="J1226" s="113">
        <v>17.62</v>
      </c>
      <c r="K1226" s="113">
        <v>-46.7</v>
      </c>
    </row>
    <row r="1227" spans="2:11" x14ac:dyDescent="0.25">
      <c r="B1227" s="202"/>
      <c r="C1227" s="113">
        <v>230.053</v>
      </c>
      <c r="D1227" s="113">
        <v>8497</v>
      </c>
      <c r="E1227" s="113">
        <v>1224</v>
      </c>
      <c r="F1227" s="113">
        <v>149</v>
      </c>
      <c r="G1227" s="113">
        <v>140.9</v>
      </c>
      <c r="H1227" s="113">
        <v>135.19999999999999</v>
      </c>
      <c r="I1227" s="113">
        <v>8.3000000000000007</v>
      </c>
      <c r="J1227" s="113">
        <v>18.54</v>
      </c>
      <c r="K1227" s="113">
        <v>-46.9</v>
      </c>
    </row>
    <row r="1228" spans="2:11" x14ac:dyDescent="0.25">
      <c r="B1228" s="202"/>
      <c r="C1228" s="113">
        <v>230.07900000000001</v>
      </c>
      <c r="D1228" s="113">
        <v>8498</v>
      </c>
      <c r="E1228" s="113">
        <v>1225</v>
      </c>
      <c r="F1228" s="113">
        <v>149</v>
      </c>
      <c r="G1228" s="113">
        <v>141</v>
      </c>
      <c r="H1228" s="113">
        <v>135.6</v>
      </c>
      <c r="I1228" s="113">
        <v>8.3000000000000007</v>
      </c>
      <c r="J1228" s="113">
        <v>18.48</v>
      </c>
      <c r="K1228" s="113">
        <v>-47.1</v>
      </c>
    </row>
    <row r="1229" spans="2:11" x14ac:dyDescent="0.25">
      <c r="B1229" s="202"/>
      <c r="C1229" s="113">
        <v>230.10400000000001</v>
      </c>
      <c r="D1229" s="113">
        <v>8499</v>
      </c>
      <c r="E1229" s="113">
        <v>1226</v>
      </c>
      <c r="F1229" s="113">
        <v>149</v>
      </c>
      <c r="G1229" s="113">
        <v>141.4</v>
      </c>
      <c r="H1229" s="113">
        <v>136.1</v>
      </c>
      <c r="I1229" s="113">
        <v>8.1</v>
      </c>
      <c r="J1229" s="113">
        <v>16.87</v>
      </c>
      <c r="K1229" s="113">
        <v>-37.1</v>
      </c>
    </row>
    <row r="1230" spans="2:11" x14ac:dyDescent="0.25">
      <c r="B1230" s="202"/>
      <c r="C1230" s="113">
        <v>230.12899999999999</v>
      </c>
      <c r="D1230" s="113">
        <v>8500</v>
      </c>
      <c r="E1230" s="113">
        <v>1227</v>
      </c>
      <c r="F1230" s="113">
        <v>149</v>
      </c>
      <c r="G1230" s="113">
        <v>141.69999999999999</v>
      </c>
      <c r="H1230" s="113">
        <v>136.5</v>
      </c>
      <c r="I1230" s="113">
        <v>7.3</v>
      </c>
      <c r="J1230" s="113">
        <v>16.63</v>
      </c>
      <c r="K1230" s="113">
        <v>-28.8</v>
      </c>
    </row>
    <row r="1231" spans="2:11" ht="15.75" thickBot="1" x14ac:dyDescent="0.3">
      <c r="B1231" s="202"/>
      <c r="C1231" s="113">
        <v>230.155</v>
      </c>
      <c r="D1231" s="113">
        <v>8501</v>
      </c>
      <c r="E1231" s="113">
        <v>1228</v>
      </c>
      <c r="F1231" s="113">
        <v>150</v>
      </c>
      <c r="G1231" s="113">
        <v>142.4</v>
      </c>
      <c r="H1231" s="113">
        <v>137.1</v>
      </c>
      <c r="I1231" s="113">
        <v>5.7</v>
      </c>
      <c r="J1231" s="113">
        <v>15.39</v>
      </c>
      <c r="K1231" s="113">
        <v>-16.2</v>
      </c>
    </row>
    <row r="1232" spans="2:11" x14ac:dyDescent="0.25">
      <c r="B1232" s="184" t="s">
        <v>193</v>
      </c>
      <c r="C1232" s="113">
        <v>230.18</v>
      </c>
      <c r="D1232" s="113">
        <v>8502</v>
      </c>
      <c r="E1232" s="113">
        <v>1229</v>
      </c>
      <c r="F1232" s="113">
        <v>150</v>
      </c>
      <c r="G1232" s="113">
        <v>142.6</v>
      </c>
      <c r="H1232" s="113">
        <v>137.69999999999999</v>
      </c>
      <c r="I1232" s="113">
        <v>5.0999999999999996</v>
      </c>
      <c r="J1232" s="113">
        <v>15.42</v>
      </c>
      <c r="K1232" s="113">
        <v>-13.6</v>
      </c>
    </row>
    <row r="1233" spans="2:11" x14ac:dyDescent="0.25">
      <c r="B1233" s="185"/>
      <c r="C1233" s="113">
        <v>230.20599999999999</v>
      </c>
      <c r="D1233" s="113">
        <v>8503</v>
      </c>
      <c r="E1233" s="113">
        <v>1230</v>
      </c>
      <c r="F1233" s="113">
        <v>150</v>
      </c>
      <c r="G1233" s="113">
        <v>142.80000000000001</v>
      </c>
      <c r="H1233" s="113">
        <v>138.1</v>
      </c>
      <c r="I1233" s="113">
        <v>5.0999999999999996</v>
      </c>
      <c r="J1233" s="113">
        <v>13.52</v>
      </c>
      <c r="K1233" s="113">
        <v>-13.6</v>
      </c>
    </row>
    <row r="1234" spans="2:11" x14ac:dyDescent="0.25">
      <c r="B1234" s="185"/>
      <c r="C1234" s="113">
        <v>230.23099999999999</v>
      </c>
      <c r="D1234" s="113">
        <v>8504</v>
      </c>
      <c r="E1234" s="113">
        <v>1231</v>
      </c>
      <c r="F1234" s="113">
        <v>149</v>
      </c>
      <c r="G1234" s="113">
        <v>143.1</v>
      </c>
      <c r="H1234" s="113">
        <v>138.6</v>
      </c>
      <c r="I1234" s="113">
        <v>5</v>
      </c>
      <c r="J1234" s="113">
        <v>12.85</v>
      </c>
      <c r="K1234" s="113">
        <v>-13.6</v>
      </c>
    </row>
    <row r="1235" spans="2:11" x14ac:dyDescent="0.25">
      <c r="B1235" s="185"/>
      <c r="C1235" s="113">
        <v>230.256</v>
      </c>
      <c r="D1235" s="113">
        <v>8505</v>
      </c>
      <c r="E1235" s="113">
        <v>1232</v>
      </c>
      <c r="F1235" s="113">
        <v>149</v>
      </c>
      <c r="G1235" s="113">
        <v>143.19999999999999</v>
      </c>
      <c r="H1235" s="113">
        <v>139.1</v>
      </c>
      <c r="I1235" s="113">
        <v>4.5999999999999996</v>
      </c>
      <c r="J1235" s="113">
        <v>11.85</v>
      </c>
      <c r="K1235" s="113">
        <v>-18.2</v>
      </c>
    </row>
    <row r="1236" spans="2:11" x14ac:dyDescent="0.25">
      <c r="B1236" s="185"/>
      <c r="C1236" s="113">
        <v>230.28100000000001</v>
      </c>
      <c r="D1236" s="113">
        <v>8506</v>
      </c>
      <c r="E1236" s="113">
        <v>1233</v>
      </c>
      <c r="F1236" s="113">
        <v>150</v>
      </c>
      <c r="G1236" s="113">
        <v>143.19999999999999</v>
      </c>
      <c r="H1236" s="113">
        <v>139.80000000000001</v>
      </c>
      <c r="I1236" s="113">
        <v>4.0999999999999996</v>
      </c>
      <c r="J1236" s="113">
        <v>10.82</v>
      </c>
      <c r="K1236" s="113">
        <v>-28.3</v>
      </c>
    </row>
    <row r="1237" spans="2:11" x14ac:dyDescent="0.25">
      <c r="B1237" s="185"/>
      <c r="C1237" s="113">
        <v>230.30600000000001</v>
      </c>
      <c r="D1237" s="113">
        <v>8507</v>
      </c>
      <c r="E1237" s="113">
        <v>1234</v>
      </c>
      <c r="F1237" s="113">
        <v>149</v>
      </c>
      <c r="G1237" s="113">
        <v>143.19999999999999</v>
      </c>
      <c r="H1237" s="113">
        <v>140.30000000000001</v>
      </c>
      <c r="I1237" s="113">
        <v>4</v>
      </c>
      <c r="J1237" s="113">
        <v>8.59</v>
      </c>
      <c r="K1237" s="113">
        <v>-35.1</v>
      </c>
    </row>
    <row r="1238" spans="2:11" x14ac:dyDescent="0.25">
      <c r="B1238" s="185"/>
      <c r="C1238" s="113">
        <v>230.33099999999999</v>
      </c>
      <c r="D1238" s="113">
        <v>8508</v>
      </c>
      <c r="E1238" s="113">
        <v>1235</v>
      </c>
      <c r="F1238" s="113">
        <v>149</v>
      </c>
      <c r="G1238" s="113">
        <v>143.6</v>
      </c>
      <c r="H1238" s="113">
        <v>141</v>
      </c>
      <c r="I1238" s="113">
        <v>3.9</v>
      </c>
      <c r="J1238" s="113">
        <v>6.88</v>
      </c>
      <c r="K1238" s="113">
        <v>-39.799999999999997</v>
      </c>
    </row>
    <row r="1239" spans="2:11" x14ac:dyDescent="0.25">
      <c r="B1239" s="185"/>
      <c r="C1239" s="113">
        <v>230.35599999999999</v>
      </c>
      <c r="D1239" s="113">
        <v>8509</v>
      </c>
      <c r="E1239" s="113">
        <v>1236</v>
      </c>
      <c r="F1239" s="113">
        <v>150</v>
      </c>
      <c r="G1239" s="113">
        <v>144.1</v>
      </c>
      <c r="H1239" s="113">
        <v>141.4</v>
      </c>
      <c r="I1239" s="113">
        <v>3.7</v>
      </c>
      <c r="J1239" s="113">
        <v>5.37</v>
      </c>
      <c r="K1239" s="113">
        <v>-38.700000000000003</v>
      </c>
    </row>
    <row r="1240" spans="2:11" x14ac:dyDescent="0.25">
      <c r="B1240" s="185"/>
      <c r="C1240" s="113">
        <v>230.381</v>
      </c>
      <c r="D1240" s="113">
        <v>8510</v>
      </c>
      <c r="E1240" s="113">
        <v>1237</v>
      </c>
      <c r="F1240" s="113">
        <v>151</v>
      </c>
      <c r="G1240" s="113">
        <v>145</v>
      </c>
      <c r="H1240" s="113">
        <v>142.1</v>
      </c>
      <c r="I1240" s="113">
        <v>3</v>
      </c>
      <c r="J1240" s="113">
        <v>5.36</v>
      </c>
      <c r="K1240" s="113">
        <v>-37.1</v>
      </c>
    </row>
    <row r="1241" spans="2:11" x14ac:dyDescent="0.25">
      <c r="B1241" s="185"/>
      <c r="C1241" s="113">
        <v>230.40600000000001</v>
      </c>
      <c r="D1241" s="113">
        <v>8511</v>
      </c>
      <c r="E1241" s="113">
        <v>1238</v>
      </c>
      <c r="F1241" s="113">
        <v>151</v>
      </c>
      <c r="G1241" s="113">
        <v>145.69999999999999</v>
      </c>
      <c r="H1241" s="113">
        <v>142.5</v>
      </c>
      <c r="I1241" s="113">
        <v>2.8</v>
      </c>
      <c r="J1241" s="113">
        <v>6.01</v>
      </c>
      <c r="K1241" s="113">
        <v>-35.4</v>
      </c>
    </row>
    <row r="1242" spans="2:11" x14ac:dyDescent="0.25">
      <c r="B1242" s="185"/>
      <c r="C1242" s="113">
        <v>230.43</v>
      </c>
      <c r="D1242" s="113">
        <v>8512</v>
      </c>
      <c r="E1242" s="113">
        <v>1239</v>
      </c>
      <c r="F1242" s="113">
        <v>151</v>
      </c>
      <c r="G1242" s="113">
        <v>146.19999999999999</v>
      </c>
      <c r="H1242" s="113">
        <v>143.19999999999999</v>
      </c>
      <c r="I1242" s="113">
        <v>2.8</v>
      </c>
      <c r="J1242" s="113">
        <v>8.5</v>
      </c>
      <c r="K1242" s="113">
        <v>-28</v>
      </c>
    </row>
    <row r="1243" spans="2:11" x14ac:dyDescent="0.25">
      <c r="B1243" s="185"/>
      <c r="C1243" s="113">
        <v>230.45500000000001</v>
      </c>
      <c r="D1243" s="113">
        <v>8513</v>
      </c>
      <c r="E1243" s="113">
        <v>1240</v>
      </c>
      <c r="F1243" s="113">
        <v>151</v>
      </c>
      <c r="G1243" s="113">
        <v>146.6</v>
      </c>
      <c r="H1243" s="113">
        <v>143.6</v>
      </c>
      <c r="I1243" s="113">
        <v>3.3</v>
      </c>
      <c r="J1243" s="113">
        <v>7.73</v>
      </c>
      <c r="K1243" s="113">
        <v>-23.1</v>
      </c>
    </row>
    <row r="1244" spans="2:11" x14ac:dyDescent="0.25">
      <c r="B1244" s="185"/>
      <c r="C1244" s="113">
        <v>230.47900000000001</v>
      </c>
      <c r="D1244" s="113">
        <v>8514</v>
      </c>
      <c r="E1244" s="113">
        <v>1241</v>
      </c>
      <c r="F1244" s="113">
        <v>151</v>
      </c>
      <c r="G1244" s="113">
        <v>147.19999999999999</v>
      </c>
      <c r="H1244" s="113">
        <v>144.1</v>
      </c>
      <c r="I1244" s="113">
        <v>3.8</v>
      </c>
      <c r="J1244" s="113">
        <v>8.2200000000000006</v>
      </c>
      <c r="K1244" s="113">
        <v>-18.100000000000001</v>
      </c>
    </row>
    <row r="1245" spans="2:11" x14ac:dyDescent="0.25">
      <c r="B1245" s="185"/>
      <c r="C1245" s="113">
        <v>230.50399999999999</v>
      </c>
      <c r="D1245" s="113">
        <v>8515</v>
      </c>
      <c r="E1245" s="113">
        <v>1242</v>
      </c>
      <c r="F1245" s="113">
        <v>152</v>
      </c>
      <c r="G1245" s="113">
        <v>147.6</v>
      </c>
      <c r="H1245" s="113">
        <v>144.69999999999999</v>
      </c>
      <c r="I1245" s="113">
        <v>4.0999999999999996</v>
      </c>
      <c r="J1245" s="113">
        <v>9.3699999999999992</v>
      </c>
      <c r="K1245" s="113">
        <v>-16.8</v>
      </c>
    </row>
    <row r="1246" spans="2:11" x14ac:dyDescent="0.25">
      <c r="B1246" s="185"/>
      <c r="C1246" s="113">
        <v>230.52799999999999</v>
      </c>
      <c r="D1246" s="113">
        <v>8516</v>
      </c>
      <c r="E1246" s="113">
        <v>1243</v>
      </c>
      <c r="F1246" s="113">
        <v>152</v>
      </c>
      <c r="G1246" s="113">
        <v>147.9</v>
      </c>
      <c r="H1246" s="113">
        <v>145.1</v>
      </c>
      <c r="I1246" s="113">
        <v>4.8</v>
      </c>
      <c r="J1246" s="113">
        <v>8.84</v>
      </c>
      <c r="K1246" s="113">
        <v>-16.899999999999999</v>
      </c>
    </row>
    <row r="1247" spans="2:11" x14ac:dyDescent="0.25">
      <c r="B1247" s="185"/>
      <c r="C1247" s="113">
        <v>230.553</v>
      </c>
      <c r="D1247" s="113">
        <v>8517</v>
      </c>
      <c r="E1247" s="113">
        <v>1244</v>
      </c>
      <c r="F1247" s="113">
        <v>152</v>
      </c>
      <c r="G1247" s="113">
        <v>148.69999999999999</v>
      </c>
      <c r="H1247" s="113">
        <v>145.80000000000001</v>
      </c>
      <c r="I1247" s="113">
        <v>5.6</v>
      </c>
      <c r="J1247" s="113">
        <v>9.57</v>
      </c>
      <c r="K1247" s="113">
        <v>-17.100000000000001</v>
      </c>
    </row>
    <row r="1248" spans="2:11" x14ac:dyDescent="0.25">
      <c r="B1248" s="185"/>
      <c r="C1248" s="113">
        <v>230.577</v>
      </c>
      <c r="D1248" s="113">
        <v>8518</v>
      </c>
      <c r="E1248" s="113">
        <v>1245</v>
      </c>
      <c r="F1248" s="113">
        <v>152</v>
      </c>
      <c r="G1248" s="113">
        <v>149</v>
      </c>
      <c r="H1248" s="113">
        <v>146.19999999999999</v>
      </c>
      <c r="I1248" s="113">
        <v>6.5</v>
      </c>
      <c r="J1248" s="113">
        <v>10.76</v>
      </c>
      <c r="K1248" s="113">
        <v>-17.2</v>
      </c>
    </row>
    <row r="1249" spans="2:11" x14ac:dyDescent="0.25">
      <c r="B1249" s="185"/>
      <c r="C1249" s="113">
        <v>230.601</v>
      </c>
      <c r="D1249" s="113">
        <v>8519</v>
      </c>
      <c r="E1249" s="113">
        <v>1246</v>
      </c>
      <c r="F1249" s="113">
        <v>152</v>
      </c>
      <c r="G1249" s="113">
        <v>149.1</v>
      </c>
      <c r="H1249" s="113">
        <v>146.80000000000001</v>
      </c>
      <c r="I1249" s="113">
        <v>7.9</v>
      </c>
      <c r="J1249" s="113">
        <v>11.08</v>
      </c>
      <c r="K1249" s="113">
        <v>-17.2</v>
      </c>
    </row>
    <row r="1250" spans="2:11" x14ac:dyDescent="0.25">
      <c r="B1250" s="185"/>
      <c r="C1250" s="113">
        <v>230.625</v>
      </c>
      <c r="D1250" s="113">
        <v>8520</v>
      </c>
      <c r="E1250" s="113">
        <v>1247</v>
      </c>
      <c r="F1250" s="113">
        <v>152</v>
      </c>
      <c r="G1250" s="113">
        <v>149.5</v>
      </c>
      <c r="H1250" s="113">
        <v>147.19999999999999</v>
      </c>
      <c r="I1250" s="113">
        <v>8.8000000000000007</v>
      </c>
      <c r="J1250" s="113">
        <v>10.14</v>
      </c>
      <c r="K1250" s="113">
        <v>-17.2</v>
      </c>
    </row>
    <row r="1251" spans="2:11" x14ac:dyDescent="0.25">
      <c r="B1251" s="185"/>
      <c r="C1251" s="113">
        <v>230.649</v>
      </c>
      <c r="D1251" s="113">
        <v>8521</v>
      </c>
      <c r="E1251" s="113">
        <v>1248</v>
      </c>
      <c r="F1251" s="113">
        <v>152</v>
      </c>
      <c r="G1251" s="113">
        <v>149.80000000000001</v>
      </c>
      <c r="H1251" s="113">
        <v>147.6</v>
      </c>
      <c r="I1251" s="113">
        <v>8.8000000000000007</v>
      </c>
      <c r="J1251" s="113">
        <v>10.5</v>
      </c>
      <c r="K1251" s="113">
        <v>-17.5</v>
      </c>
    </row>
    <row r="1252" spans="2:11" x14ac:dyDescent="0.25">
      <c r="B1252" s="185"/>
      <c r="C1252" s="113">
        <v>230.673</v>
      </c>
      <c r="D1252" s="113">
        <v>8522</v>
      </c>
      <c r="E1252" s="113">
        <v>1249</v>
      </c>
      <c r="F1252" s="113">
        <v>153</v>
      </c>
      <c r="G1252" s="113">
        <v>149.9</v>
      </c>
      <c r="H1252" s="113">
        <v>148.19999999999999</v>
      </c>
      <c r="I1252" s="113">
        <v>7.7</v>
      </c>
      <c r="J1252" s="113">
        <v>10.99</v>
      </c>
      <c r="K1252" s="113">
        <v>-19.3</v>
      </c>
    </row>
    <row r="1253" spans="2:11" x14ac:dyDescent="0.25">
      <c r="B1253" s="185"/>
      <c r="C1253" s="113">
        <v>230.697</v>
      </c>
      <c r="D1253" s="113">
        <v>8523</v>
      </c>
      <c r="E1253" s="113">
        <v>1250</v>
      </c>
      <c r="F1253" s="113">
        <v>153</v>
      </c>
      <c r="G1253" s="113">
        <v>149.9</v>
      </c>
      <c r="H1253" s="113">
        <v>148.6</v>
      </c>
      <c r="I1253" s="113">
        <v>6.9</v>
      </c>
      <c r="J1253" s="113">
        <v>11.08</v>
      </c>
      <c r="K1253" s="113">
        <v>-20.6</v>
      </c>
    </row>
    <row r="1254" spans="2:11" x14ac:dyDescent="0.25">
      <c r="B1254" s="185"/>
      <c r="C1254" s="113">
        <v>230.721</v>
      </c>
      <c r="D1254" s="113">
        <v>8524</v>
      </c>
      <c r="E1254" s="113">
        <v>1251</v>
      </c>
      <c r="F1254" s="113">
        <v>153</v>
      </c>
      <c r="G1254" s="113">
        <v>150</v>
      </c>
      <c r="H1254" s="113">
        <v>149.19999999999999</v>
      </c>
      <c r="I1254" s="113">
        <v>6.3</v>
      </c>
      <c r="J1254" s="113">
        <v>9.18</v>
      </c>
      <c r="K1254" s="113">
        <v>-22.2</v>
      </c>
    </row>
    <row r="1255" spans="2:11" x14ac:dyDescent="0.25">
      <c r="B1255" s="185"/>
      <c r="C1255" s="113">
        <v>230.744</v>
      </c>
      <c r="D1255" s="113">
        <v>8525</v>
      </c>
      <c r="E1255" s="113">
        <v>1252</v>
      </c>
      <c r="F1255" s="113">
        <v>154</v>
      </c>
      <c r="G1255" s="113">
        <v>150.30000000000001</v>
      </c>
      <c r="H1255" s="113">
        <v>149.6</v>
      </c>
      <c r="I1255" s="113">
        <v>5.4</v>
      </c>
      <c r="J1255" s="113">
        <v>8.81</v>
      </c>
      <c r="K1255" s="113">
        <v>-21.6</v>
      </c>
    </row>
    <row r="1256" spans="2:11" x14ac:dyDescent="0.25">
      <c r="B1256" s="185"/>
      <c r="C1256" s="113">
        <v>230.76900000000001</v>
      </c>
      <c r="D1256" s="113">
        <v>8526</v>
      </c>
      <c r="E1256" s="113">
        <v>1253</v>
      </c>
      <c r="F1256" s="113">
        <v>154</v>
      </c>
      <c r="G1256" s="113">
        <v>150.6</v>
      </c>
      <c r="H1256" s="113">
        <v>150</v>
      </c>
      <c r="I1256" s="113">
        <v>4.4000000000000004</v>
      </c>
      <c r="J1256" s="113">
        <v>7.89</v>
      </c>
      <c r="K1256" s="113">
        <v>-21.1</v>
      </c>
    </row>
    <row r="1257" spans="2:11" x14ac:dyDescent="0.25">
      <c r="B1257" s="185"/>
      <c r="C1257" s="113">
        <v>230.792</v>
      </c>
      <c r="D1257" s="113">
        <v>8527</v>
      </c>
      <c r="E1257" s="113">
        <v>1254</v>
      </c>
      <c r="F1257" s="113">
        <v>155</v>
      </c>
      <c r="G1257" s="113">
        <v>151.5</v>
      </c>
      <c r="H1257" s="113">
        <v>150.5</v>
      </c>
      <c r="I1257" s="113">
        <v>2.9</v>
      </c>
      <c r="J1257" s="113">
        <v>7.42</v>
      </c>
      <c r="K1257" s="113">
        <v>-20.3</v>
      </c>
    </row>
    <row r="1258" spans="2:11" x14ac:dyDescent="0.25">
      <c r="B1258" s="185"/>
      <c r="C1258" s="113">
        <v>230.816</v>
      </c>
      <c r="D1258" s="113">
        <v>8528</v>
      </c>
      <c r="E1258" s="113">
        <v>1255</v>
      </c>
      <c r="F1258" s="113">
        <v>155</v>
      </c>
      <c r="G1258" s="113">
        <v>151.80000000000001</v>
      </c>
      <c r="H1258" s="113">
        <v>150.9</v>
      </c>
      <c r="I1258" s="113">
        <v>2.4</v>
      </c>
      <c r="J1258" s="113">
        <v>6.91</v>
      </c>
      <c r="K1258" s="113">
        <v>-19.399999999999999</v>
      </c>
    </row>
    <row r="1259" spans="2:11" x14ac:dyDescent="0.25">
      <c r="B1259" s="185"/>
      <c r="C1259" s="113">
        <v>230.84</v>
      </c>
      <c r="D1259" s="113">
        <v>8529</v>
      </c>
      <c r="E1259" s="113">
        <v>1256</v>
      </c>
      <c r="F1259" s="113">
        <v>155</v>
      </c>
      <c r="G1259" s="113">
        <v>152.30000000000001</v>
      </c>
      <c r="H1259" s="113">
        <v>151.5</v>
      </c>
      <c r="I1259" s="113">
        <v>2.2999999999999998</v>
      </c>
      <c r="J1259" s="113">
        <v>7.82</v>
      </c>
      <c r="K1259" s="113">
        <v>-17.899999999999999</v>
      </c>
    </row>
    <row r="1260" spans="2:11" x14ac:dyDescent="0.25">
      <c r="B1260" s="185"/>
      <c r="C1260" s="113">
        <v>230.863</v>
      </c>
      <c r="D1260" s="113">
        <v>8530</v>
      </c>
      <c r="E1260" s="113">
        <v>1257</v>
      </c>
      <c r="F1260" s="113">
        <v>156</v>
      </c>
      <c r="G1260" s="113">
        <v>152.9</v>
      </c>
      <c r="H1260" s="113">
        <v>151.80000000000001</v>
      </c>
      <c r="I1260" s="113">
        <v>3.1</v>
      </c>
      <c r="J1260" s="113">
        <v>7.03</v>
      </c>
      <c r="K1260" s="113">
        <v>-16.8</v>
      </c>
    </row>
    <row r="1261" spans="2:11" x14ac:dyDescent="0.25">
      <c r="B1261" s="185"/>
      <c r="C1261" s="113">
        <v>230.887</v>
      </c>
      <c r="D1261" s="113">
        <v>8531</v>
      </c>
      <c r="E1261" s="113">
        <v>1258</v>
      </c>
      <c r="F1261" s="113">
        <v>156</v>
      </c>
      <c r="G1261" s="113">
        <v>153.5</v>
      </c>
      <c r="H1261" s="113">
        <v>152.1</v>
      </c>
      <c r="I1261" s="113">
        <v>3.9</v>
      </c>
      <c r="J1261" s="113">
        <v>7.14</v>
      </c>
      <c r="K1261" s="113">
        <v>-16</v>
      </c>
    </row>
    <row r="1262" spans="2:11" x14ac:dyDescent="0.25">
      <c r="B1262" s="185"/>
      <c r="C1262" s="113">
        <v>230.91</v>
      </c>
      <c r="D1262" s="113">
        <v>8532</v>
      </c>
      <c r="E1262" s="113">
        <v>1259</v>
      </c>
      <c r="F1262" s="113">
        <v>156</v>
      </c>
      <c r="G1262" s="113">
        <v>154.19999999999999</v>
      </c>
      <c r="H1262" s="113">
        <v>152.6</v>
      </c>
      <c r="I1262" s="113">
        <v>4.8</v>
      </c>
      <c r="J1262" s="113">
        <v>8.14</v>
      </c>
      <c r="K1262" s="113">
        <v>-15.7</v>
      </c>
    </row>
    <row r="1263" spans="2:11" x14ac:dyDescent="0.25">
      <c r="B1263" s="185"/>
      <c r="C1263" s="113">
        <v>230.934</v>
      </c>
      <c r="D1263" s="113">
        <v>8533</v>
      </c>
      <c r="E1263" s="113">
        <v>1260</v>
      </c>
      <c r="F1263" s="113">
        <v>156</v>
      </c>
      <c r="G1263" s="113">
        <v>154.6</v>
      </c>
      <c r="H1263" s="113">
        <v>152.9</v>
      </c>
      <c r="I1263" s="113">
        <v>5.6</v>
      </c>
      <c r="J1263" s="113">
        <v>10.199999999999999</v>
      </c>
      <c r="K1263" s="113">
        <v>-15.6</v>
      </c>
    </row>
    <row r="1264" spans="2:11" x14ac:dyDescent="0.25">
      <c r="B1264" s="185"/>
      <c r="C1264" s="113">
        <v>230.95699999999999</v>
      </c>
      <c r="D1264" s="113">
        <v>8534</v>
      </c>
      <c r="E1264" s="113">
        <v>1261</v>
      </c>
      <c r="F1264" s="113">
        <v>156</v>
      </c>
      <c r="G1264" s="113">
        <v>154.9</v>
      </c>
      <c r="H1264" s="113">
        <v>153.19999999999999</v>
      </c>
      <c r="I1264" s="113">
        <v>6.6</v>
      </c>
      <c r="J1264" s="113">
        <v>10.27</v>
      </c>
      <c r="K1264" s="113">
        <v>-15.5</v>
      </c>
    </row>
    <row r="1265" spans="2:11" x14ac:dyDescent="0.25">
      <c r="B1265" s="185"/>
      <c r="C1265" s="113">
        <v>230.98</v>
      </c>
      <c r="D1265" s="113">
        <v>8535</v>
      </c>
      <c r="E1265" s="113">
        <v>1262</v>
      </c>
      <c r="F1265" s="113">
        <v>157</v>
      </c>
      <c r="G1265" s="113">
        <v>155.19999999999999</v>
      </c>
      <c r="H1265" s="113">
        <v>153.69999999999999</v>
      </c>
      <c r="I1265" s="113">
        <v>7.8</v>
      </c>
      <c r="J1265" s="113">
        <v>11.23</v>
      </c>
      <c r="K1265" s="113">
        <v>-15.4</v>
      </c>
    </row>
    <row r="1266" spans="2:11" x14ac:dyDescent="0.25">
      <c r="B1266" s="185"/>
      <c r="C1266" s="113">
        <v>231.00299999999999</v>
      </c>
      <c r="D1266" s="113">
        <v>8536</v>
      </c>
      <c r="E1266" s="113">
        <v>1263</v>
      </c>
      <c r="F1266" s="113">
        <v>157</v>
      </c>
      <c r="G1266" s="113">
        <v>155.19999999999999</v>
      </c>
      <c r="H1266" s="113">
        <v>154</v>
      </c>
      <c r="I1266" s="113">
        <v>8</v>
      </c>
      <c r="J1266" s="113">
        <v>11.9</v>
      </c>
      <c r="K1266" s="113">
        <v>-15.4</v>
      </c>
    </row>
    <row r="1267" spans="2:11" x14ac:dyDescent="0.25">
      <c r="B1267" s="185"/>
      <c r="C1267" s="113">
        <v>231.02600000000001</v>
      </c>
      <c r="D1267" s="113">
        <v>8537</v>
      </c>
      <c r="E1267" s="113">
        <v>1264</v>
      </c>
      <c r="F1267" s="113">
        <v>158</v>
      </c>
      <c r="G1267" s="113">
        <v>155.19999999999999</v>
      </c>
      <c r="H1267" s="113">
        <v>154.30000000000001</v>
      </c>
      <c r="I1267" s="113">
        <v>7.9</v>
      </c>
      <c r="J1267" s="113">
        <v>11.79</v>
      </c>
      <c r="K1267" s="113">
        <v>-15.4</v>
      </c>
    </row>
    <row r="1268" spans="2:11" x14ac:dyDescent="0.25">
      <c r="B1268" s="185"/>
      <c r="C1268" s="113">
        <v>231.04900000000001</v>
      </c>
      <c r="D1268" s="113">
        <v>8538</v>
      </c>
      <c r="E1268" s="113">
        <v>1265</v>
      </c>
      <c r="F1268" s="113">
        <v>158</v>
      </c>
      <c r="G1268" s="113">
        <v>155.30000000000001</v>
      </c>
      <c r="H1268" s="113">
        <v>154.6</v>
      </c>
      <c r="I1268" s="113">
        <v>7.2</v>
      </c>
      <c r="J1268" s="113">
        <v>9.76</v>
      </c>
      <c r="K1268" s="113">
        <v>-15.3</v>
      </c>
    </row>
    <row r="1269" spans="2:11" x14ac:dyDescent="0.25">
      <c r="B1269" s="185"/>
      <c r="C1269" s="113">
        <v>231.072</v>
      </c>
      <c r="D1269" s="113">
        <v>8539</v>
      </c>
      <c r="E1269" s="113">
        <v>1266</v>
      </c>
      <c r="F1269" s="113">
        <v>159</v>
      </c>
      <c r="G1269" s="113">
        <v>155.9</v>
      </c>
      <c r="H1269" s="113">
        <v>155.19999999999999</v>
      </c>
      <c r="I1269" s="113">
        <v>4.9000000000000004</v>
      </c>
      <c r="J1269" s="113">
        <v>8.14</v>
      </c>
      <c r="K1269" s="113">
        <v>-14.1</v>
      </c>
    </row>
    <row r="1270" spans="2:11" x14ac:dyDescent="0.25">
      <c r="B1270" s="185"/>
      <c r="C1270" s="113">
        <v>231.096</v>
      </c>
      <c r="D1270" s="113">
        <v>8540</v>
      </c>
      <c r="E1270" s="113">
        <v>1267</v>
      </c>
      <c r="F1270" s="113">
        <v>159</v>
      </c>
      <c r="G1270" s="113">
        <v>156</v>
      </c>
      <c r="H1270" s="113">
        <v>155.5</v>
      </c>
      <c r="I1270" s="113">
        <v>3.1</v>
      </c>
      <c r="J1270" s="113">
        <v>7.99</v>
      </c>
      <c r="K1270" s="113">
        <v>-13.3</v>
      </c>
    </row>
    <row r="1271" spans="2:11" x14ac:dyDescent="0.25">
      <c r="B1271" s="185"/>
      <c r="C1271" s="113">
        <v>231.119</v>
      </c>
      <c r="D1271" s="113">
        <v>8541</v>
      </c>
      <c r="E1271" s="113">
        <v>1268</v>
      </c>
      <c r="F1271" s="113">
        <v>160</v>
      </c>
      <c r="G1271" s="113">
        <v>156.1</v>
      </c>
      <c r="H1271" s="113">
        <v>155.9</v>
      </c>
      <c r="I1271" s="113">
        <v>2</v>
      </c>
      <c r="J1271" s="113">
        <v>7.34</v>
      </c>
      <c r="K1271" s="113">
        <v>-12.7</v>
      </c>
    </row>
    <row r="1272" spans="2:11" x14ac:dyDescent="0.25">
      <c r="B1272" s="185"/>
      <c r="C1272" s="113">
        <v>231.142</v>
      </c>
      <c r="D1272" s="113">
        <v>8542</v>
      </c>
      <c r="E1272" s="113">
        <v>1269</v>
      </c>
      <c r="F1272" s="113">
        <v>161</v>
      </c>
      <c r="G1272" s="113">
        <v>156.5</v>
      </c>
      <c r="H1272" s="113">
        <v>156.4</v>
      </c>
      <c r="I1272" s="113">
        <v>1.1000000000000001</v>
      </c>
      <c r="J1272" s="113">
        <v>5.41</v>
      </c>
      <c r="K1272" s="113">
        <v>-9.6999999999999993</v>
      </c>
    </row>
    <row r="1273" spans="2:11" x14ac:dyDescent="0.25">
      <c r="B1273" s="185"/>
      <c r="C1273" s="113">
        <v>231.16399999999999</v>
      </c>
      <c r="D1273" s="113">
        <v>8543</v>
      </c>
      <c r="E1273" s="113">
        <v>1270</v>
      </c>
      <c r="F1273" s="113">
        <v>161</v>
      </c>
      <c r="G1273" s="113">
        <v>157</v>
      </c>
      <c r="H1273" s="113">
        <v>156.69999999999999</v>
      </c>
      <c r="I1273" s="113">
        <v>1</v>
      </c>
      <c r="J1273" s="113">
        <v>4.3499999999999996</v>
      </c>
      <c r="K1273" s="113">
        <v>-7.3</v>
      </c>
    </row>
    <row r="1274" spans="2:11" x14ac:dyDescent="0.25">
      <c r="B1274" s="185"/>
      <c r="C1274" s="113">
        <v>231.18799999999999</v>
      </c>
      <c r="D1274" s="113">
        <v>8544</v>
      </c>
      <c r="E1274" s="113">
        <v>1271</v>
      </c>
      <c r="F1274" s="113">
        <v>162</v>
      </c>
      <c r="G1274" s="113">
        <v>157.80000000000001</v>
      </c>
      <c r="H1274" s="113">
        <v>157.1</v>
      </c>
      <c r="I1274" s="113">
        <v>0.9</v>
      </c>
      <c r="J1274" s="113">
        <v>3.98</v>
      </c>
      <c r="K1274" s="113">
        <v>-5</v>
      </c>
    </row>
    <row r="1275" spans="2:11" x14ac:dyDescent="0.25">
      <c r="B1275" s="185"/>
      <c r="C1275" s="113">
        <v>231.21</v>
      </c>
      <c r="D1275" s="113">
        <v>8545</v>
      </c>
      <c r="E1275" s="113">
        <v>1272</v>
      </c>
      <c r="F1275" s="113">
        <v>162</v>
      </c>
      <c r="G1275" s="113">
        <v>158.69999999999999</v>
      </c>
      <c r="H1275" s="113">
        <v>157.6</v>
      </c>
      <c r="I1275" s="113">
        <v>1.2</v>
      </c>
      <c r="J1275" s="113">
        <v>4.42</v>
      </c>
      <c r="K1275" s="113">
        <v>-5.3</v>
      </c>
    </row>
    <row r="1276" spans="2:11" x14ac:dyDescent="0.25">
      <c r="B1276" s="185"/>
      <c r="C1276" s="113">
        <v>231.233</v>
      </c>
      <c r="D1276" s="113">
        <v>8546</v>
      </c>
      <c r="E1276" s="113">
        <v>1273</v>
      </c>
      <c r="F1276" s="113">
        <v>162</v>
      </c>
      <c r="G1276" s="113">
        <v>159.19999999999999</v>
      </c>
      <c r="H1276" s="113">
        <v>157.9</v>
      </c>
      <c r="I1276" s="113">
        <v>1.7</v>
      </c>
      <c r="J1276" s="113">
        <v>5.81</v>
      </c>
      <c r="K1276" s="113">
        <v>-8.5</v>
      </c>
    </row>
    <row r="1277" spans="2:11" x14ac:dyDescent="0.25">
      <c r="B1277" s="185"/>
      <c r="C1277" s="113">
        <v>231.256</v>
      </c>
      <c r="D1277" s="113">
        <v>8547</v>
      </c>
      <c r="E1277" s="113">
        <v>1274</v>
      </c>
      <c r="F1277" s="113">
        <v>162</v>
      </c>
      <c r="G1277" s="113">
        <v>159.9</v>
      </c>
      <c r="H1277" s="113">
        <v>158.30000000000001</v>
      </c>
      <c r="I1277" s="113">
        <v>3</v>
      </c>
      <c r="J1277" s="113">
        <v>6.28</v>
      </c>
      <c r="K1277" s="113">
        <v>-11.8</v>
      </c>
    </row>
    <row r="1278" spans="2:11" x14ac:dyDescent="0.25">
      <c r="B1278" s="185"/>
      <c r="C1278" s="113">
        <v>231.27799999999999</v>
      </c>
      <c r="D1278" s="113">
        <v>8548</v>
      </c>
      <c r="E1278" s="113">
        <v>1275</v>
      </c>
      <c r="F1278" s="113">
        <v>163</v>
      </c>
      <c r="G1278" s="113">
        <v>160.69999999999999</v>
      </c>
      <c r="H1278" s="113">
        <v>158.6</v>
      </c>
      <c r="I1278" s="113">
        <v>3.9</v>
      </c>
      <c r="J1278" s="113">
        <v>6.99</v>
      </c>
      <c r="K1278" s="113">
        <v>-15</v>
      </c>
    </row>
    <row r="1279" spans="2:11" x14ac:dyDescent="0.25">
      <c r="B1279" s="185"/>
      <c r="C1279" s="113">
        <v>231.3</v>
      </c>
      <c r="D1279" s="113">
        <v>8549</v>
      </c>
      <c r="E1279" s="113">
        <v>1276</v>
      </c>
      <c r="F1279" s="113">
        <v>162</v>
      </c>
      <c r="G1279" s="113">
        <v>161.4</v>
      </c>
      <c r="H1279" s="113">
        <v>159.1</v>
      </c>
      <c r="I1279" s="113">
        <v>5.5</v>
      </c>
      <c r="J1279" s="113">
        <v>8.73</v>
      </c>
      <c r="K1279" s="113">
        <v>-14.9</v>
      </c>
    </row>
    <row r="1280" spans="2:11" x14ac:dyDescent="0.25">
      <c r="B1280" s="185"/>
      <c r="C1280" s="113">
        <v>231.322</v>
      </c>
      <c r="D1280" s="113">
        <v>8550</v>
      </c>
      <c r="E1280" s="113">
        <v>1277</v>
      </c>
      <c r="F1280" s="113">
        <v>162</v>
      </c>
      <c r="G1280" s="113">
        <v>161.69999999999999</v>
      </c>
      <c r="H1280" s="113">
        <v>159.4</v>
      </c>
      <c r="I1280" s="113">
        <v>6.1</v>
      </c>
      <c r="J1280" s="113">
        <v>12.28</v>
      </c>
      <c r="K1280" s="113">
        <v>-14.1</v>
      </c>
    </row>
    <row r="1281" spans="2:11" x14ac:dyDescent="0.25">
      <c r="B1281" s="185"/>
      <c r="C1281" s="113">
        <v>231.345</v>
      </c>
      <c r="D1281" s="113">
        <v>8551</v>
      </c>
      <c r="E1281" s="113">
        <v>1278</v>
      </c>
      <c r="F1281" s="113">
        <v>160</v>
      </c>
      <c r="G1281" s="113">
        <v>161.80000000000001</v>
      </c>
      <c r="H1281" s="113">
        <v>159.69999999999999</v>
      </c>
      <c r="I1281" s="113">
        <v>8.4</v>
      </c>
      <c r="J1281" s="113">
        <v>15.02</v>
      </c>
      <c r="K1281" s="113">
        <v>-13.1</v>
      </c>
    </row>
    <row r="1282" spans="2:11" x14ac:dyDescent="0.25">
      <c r="B1282" s="185"/>
      <c r="C1282" s="113">
        <v>231.36699999999999</v>
      </c>
      <c r="D1282" s="113">
        <v>8552</v>
      </c>
      <c r="E1282" s="113">
        <v>1279</v>
      </c>
      <c r="F1282" s="113">
        <v>159</v>
      </c>
      <c r="G1282" s="113">
        <v>161.9</v>
      </c>
      <c r="H1282" s="113">
        <v>159.80000000000001</v>
      </c>
      <c r="I1282" s="113">
        <v>9.1999999999999993</v>
      </c>
      <c r="J1282" s="113">
        <v>21.45</v>
      </c>
      <c r="K1282" s="113">
        <v>-12.4</v>
      </c>
    </row>
    <row r="1283" spans="2:11" x14ac:dyDescent="0.25">
      <c r="B1283" s="185"/>
      <c r="C1283" s="113">
        <v>231.38900000000001</v>
      </c>
      <c r="D1283" s="113">
        <v>8553</v>
      </c>
      <c r="E1283" s="113">
        <v>1280</v>
      </c>
      <c r="F1283" s="113">
        <v>158</v>
      </c>
      <c r="G1283" s="113">
        <v>161.80000000000001</v>
      </c>
      <c r="H1283" s="113">
        <v>160</v>
      </c>
      <c r="I1283" s="113">
        <v>9.1</v>
      </c>
      <c r="J1283" s="113">
        <v>29.18</v>
      </c>
      <c r="K1283" s="113">
        <v>-12.4</v>
      </c>
    </row>
    <row r="1284" spans="2:11" x14ac:dyDescent="0.25">
      <c r="B1284" s="185"/>
      <c r="C1284" s="113">
        <v>231.411</v>
      </c>
      <c r="D1284" s="113">
        <v>8554</v>
      </c>
      <c r="E1284" s="113">
        <v>1281</v>
      </c>
      <c r="F1284" s="113">
        <v>156</v>
      </c>
      <c r="G1284" s="113">
        <v>161.19999999999999</v>
      </c>
      <c r="H1284" s="113">
        <v>160.19999999999999</v>
      </c>
      <c r="I1284" s="113">
        <v>8.4</v>
      </c>
      <c r="J1284" s="113">
        <v>41.96</v>
      </c>
      <c r="K1284" s="113">
        <v>-12.4</v>
      </c>
    </row>
    <row r="1285" spans="2:11" x14ac:dyDescent="0.25">
      <c r="B1285" s="185"/>
      <c r="C1285" s="113">
        <v>231.434</v>
      </c>
      <c r="D1285" s="113">
        <v>8555</v>
      </c>
      <c r="E1285" s="113">
        <v>1282</v>
      </c>
      <c r="F1285" s="113">
        <v>154</v>
      </c>
      <c r="G1285" s="113">
        <v>160.6</v>
      </c>
      <c r="H1285" s="113">
        <v>160.4</v>
      </c>
      <c r="I1285" s="113">
        <v>8.5</v>
      </c>
      <c r="J1285" s="113">
        <v>47.82</v>
      </c>
      <c r="K1285" s="113">
        <v>-12.4</v>
      </c>
    </row>
    <row r="1286" spans="2:11" x14ac:dyDescent="0.25">
      <c r="B1286" s="185"/>
      <c r="C1286" s="113">
        <v>231.45599999999999</v>
      </c>
      <c r="D1286" s="113">
        <v>8556</v>
      </c>
      <c r="E1286" s="113">
        <v>1283</v>
      </c>
      <c r="F1286" s="113">
        <v>154</v>
      </c>
      <c r="G1286" s="113">
        <v>159.9</v>
      </c>
      <c r="H1286" s="113">
        <v>160.30000000000001</v>
      </c>
      <c r="I1286" s="113">
        <v>7.8</v>
      </c>
      <c r="J1286" s="113">
        <v>58.09</v>
      </c>
      <c r="K1286" s="113">
        <v>-12.7</v>
      </c>
    </row>
    <row r="1287" spans="2:11" x14ac:dyDescent="0.25">
      <c r="B1287" s="185"/>
      <c r="C1287" s="113">
        <v>231.47800000000001</v>
      </c>
      <c r="D1287" s="113">
        <v>8557</v>
      </c>
      <c r="E1287" s="113">
        <v>1284</v>
      </c>
      <c r="F1287" s="113">
        <v>154</v>
      </c>
      <c r="G1287" s="113">
        <v>159.19999999999999</v>
      </c>
      <c r="H1287" s="113">
        <v>160.19999999999999</v>
      </c>
      <c r="I1287" s="113">
        <v>7.2</v>
      </c>
      <c r="J1287" s="113">
        <v>64.790000000000006</v>
      </c>
      <c r="K1287" s="113">
        <v>-13.2</v>
      </c>
    </row>
    <row r="1288" spans="2:11" x14ac:dyDescent="0.25">
      <c r="B1288" s="185"/>
      <c r="C1288" s="113">
        <v>231.501</v>
      </c>
      <c r="D1288" s="113">
        <v>8558</v>
      </c>
      <c r="E1288" s="113">
        <v>1285</v>
      </c>
      <c r="F1288" s="113">
        <v>155</v>
      </c>
      <c r="G1288" s="113">
        <v>158.5</v>
      </c>
      <c r="H1288" s="113">
        <v>160.1</v>
      </c>
      <c r="I1288" s="113">
        <v>6.6</v>
      </c>
      <c r="J1288" s="113">
        <v>72.8</v>
      </c>
      <c r="K1288" s="113">
        <v>-13.9</v>
      </c>
    </row>
    <row r="1289" spans="2:11" x14ac:dyDescent="0.25">
      <c r="B1289" s="185"/>
      <c r="C1289" s="113">
        <v>231.523</v>
      </c>
      <c r="D1289" s="113">
        <v>8559</v>
      </c>
      <c r="E1289" s="113">
        <v>1286</v>
      </c>
      <c r="F1289" s="113">
        <v>155</v>
      </c>
      <c r="G1289" s="113">
        <v>158.19999999999999</v>
      </c>
      <c r="H1289" s="113">
        <v>160</v>
      </c>
      <c r="I1289" s="113">
        <v>4.9000000000000004</v>
      </c>
      <c r="J1289" s="113">
        <v>77.400000000000006</v>
      </c>
      <c r="K1289" s="113">
        <v>-14.3</v>
      </c>
    </row>
    <row r="1290" spans="2:11" x14ac:dyDescent="0.25">
      <c r="B1290" s="185"/>
      <c r="C1290" s="113">
        <v>231.54599999999999</v>
      </c>
      <c r="D1290" s="113">
        <v>8560</v>
      </c>
      <c r="E1290" s="113">
        <v>1287</v>
      </c>
      <c r="F1290" s="113">
        <v>154</v>
      </c>
      <c r="G1290" s="113">
        <v>157.6</v>
      </c>
      <c r="H1290" s="113">
        <v>159.80000000000001</v>
      </c>
      <c r="I1290" s="113">
        <v>3.5</v>
      </c>
      <c r="J1290" s="113">
        <v>81.540000000000006</v>
      </c>
      <c r="K1290" s="113">
        <v>-14.1</v>
      </c>
    </row>
    <row r="1291" spans="2:11" x14ac:dyDescent="0.25">
      <c r="B1291" s="185"/>
      <c r="C1291" s="113">
        <v>231.56899999999999</v>
      </c>
      <c r="D1291" s="113">
        <v>8561</v>
      </c>
      <c r="E1291" s="113">
        <v>1288</v>
      </c>
      <c r="F1291" s="113">
        <v>153</v>
      </c>
      <c r="G1291" s="113">
        <v>157</v>
      </c>
      <c r="H1291" s="113">
        <v>159.4</v>
      </c>
      <c r="I1291" s="113">
        <v>2.1</v>
      </c>
      <c r="J1291" s="113">
        <v>81.69</v>
      </c>
      <c r="K1291" s="113">
        <v>-13.9</v>
      </c>
    </row>
    <row r="1292" spans="2:11" x14ac:dyDescent="0.25">
      <c r="B1292" s="185"/>
      <c r="C1292" s="113">
        <v>231.59200000000001</v>
      </c>
      <c r="D1292" s="113">
        <v>8562</v>
      </c>
      <c r="E1292" s="113">
        <v>1289</v>
      </c>
      <c r="F1292" s="113">
        <v>152</v>
      </c>
      <c r="G1292" s="113">
        <v>155.4</v>
      </c>
      <c r="H1292" s="113">
        <v>158.9</v>
      </c>
      <c r="I1292" s="113">
        <v>1.2</v>
      </c>
      <c r="J1292" s="113">
        <v>81.69</v>
      </c>
      <c r="K1292" s="113">
        <v>-13.7</v>
      </c>
    </row>
    <row r="1293" spans="2:11" x14ac:dyDescent="0.25">
      <c r="B1293" s="185"/>
      <c r="C1293" s="113">
        <v>231.614</v>
      </c>
      <c r="D1293" s="113">
        <v>8563</v>
      </c>
      <c r="E1293" s="113">
        <v>1290</v>
      </c>
      <c r="F1293" s="113">
        <v>151</v>
      </c>
      <c r="G1293" s="113">
        <v>154.69999999999999</v>
      </c>
      <c r="H1293" s="113">
        <v>158.5</v>
      </c>
      <c r="I1293" s="113">
        <v>0.4</v>
      </c>
      <c r="J1293" s="113">
        <v>81.8</v>
      </c>
      <c r="K1293" s="113">
        <v>-12.9</v>
      </c>
    </row>
    <row r="1294" spans="2:11" x14ac:dyDescent="0.25">
      <c r="B1294" s="185"/>
      <c r="C1294" s="113">
        <v>231.637</v>
      </c>
      <c r="D1294" s="113">
        <v>8564</v>
      </c>
      <c r="E1294" s="113">
        <v>1291</v>
      </c>
      <c r="F1294" s="113">
        <v>150</v>
      </c>
      <c r="G1294" s="113">
        <v>154.19999999999999</v>
      </c>
      <c r="H1294" s="113">
        <v>158.1</v>
      </c>
      <c r="I1294" s="113">
        <v>0</v>
      </c>
      <c r="J1294" s="113">
        <v>81.8</v>
      </c>
      <c r="K1294" s="113">
        <v>-12.1</v>
      </c>
    </row>
    <row r="1295" spans="2:11" x14ac:dyDescent="0.25">
      <c r="B1295" s="185"/>
      <c r="C1295" s="113">
        <v>231.661</v>
      </c>
      <c r="D1295" s="113">
        <v>8565</v>
      </c>
      <c r="E1295" s="113">
        <v>1292</v>
      </c>
      <c r="F1295" s="113">
        <v>149</v>
      </c>
      <c r="G1295" s="113">
        <v>153.1</v>
      </c>
      <c r="H1295" s="113">
        <v>157.30000000000001</v>
      </c>
      <c r="I1295" s="113">
        <v>-1.3</v>
      </c>
      <c r="J1295" s="113">
        <v>82.63</v>
      </c>
      <c r="K1295" s="113">
        <v>-10.7</v>
      </c>
    </row>
    <row r="1296" spans="2:11" x14ac:dyDescent="0.25">
      <c r="B1296" s="185"/>
      <c r="C1296" s="113">
        <v>231.684</v>
      </c>
      <c r="D1296" s="113">
        <v>8566</v>
      </c>
      <c r="E1296" s="113">
        <v>1293</v>
      </c>
      <c r="F1296" s="113">
        <v>148</v>
      </c>
      <c r="G1296" s="113">
        <v>152.4</v>
      </c>
      <c r="H1296" s="113">
        <v>156.69999999999999</v>
      </c>
      <c r="I1296" s="113">
        <v>-1.6</v>
      </c>
      <c r="J1296" s="113">
        <v>83.23</v>
      </c>
      <c r="K1296" s="113">
        <v>-10.3</v>
      </c>
    </row>
    <row r="1297" spans="2:11" x14ac:dyDescent="0.25">
      <c r="B1297" s="185"/>
      <c r="C1297" s="113">
        <v>231.708</v>
      </c>
      <c r="D1297" s="113">
        <v>8567</v>
      </c>
      <c r="E1297" s="113">
        <v>1294</v>
      </c>
      <c r="F1297" s="113">
        <v>147</v>
      </c>
      <c r="G1297" s="113">
        <v>151.6</v>
      </c>
      <c r="H1297" s="113">
        <v>156.1</v>
      </c>
      <c r="I1297" s="113">
        <v>-1.9</v>
      </c>
      <c r="J1297" s="113">
        <v>85.22</v>
      </c>
      <c r="K1297" s="113">
        <v>-12</v>
      </c>
    </row>
    <row r="1298" spans="2:11" x14ac:dyDescent="0.25">
      <c r="B1298" s="185"/>
      <c r="C1298" s="113">
        <v>231.732</v>
      </c>
      <c r="D1298" s="113">
        <v>8568</v>
      </c>
      <c r="E1298" s="113">
        <v>1295</v>
      </c>
      <c r="F1298" s="113">
        <v>146</v>
      </c>
      <c r="G1298" s="113">
        <v>150.5</v>
      </c>
      <c r="H1298" s="113">
        <v>155.19999999999999</v>
      </c>
      <c r="I1298" s="113">
        <v>-1.7</v>
      </c>
      <c r="J1298" s="113">
        <v>85.55</v>
      </c>
      <c r="K1298" s="113">
        <v>-14.4</v>
      </c>
    </row>
    <row r="1299" spans="2:11" x14ac:dyDescent="0.25">
      <c r="B1299" s="185"/>
      <c r="C1299" s="113">
        <v>231.756</v>
      </c>
      <c r="D1299" s="113">
        <v>8569</v>
      </c>
      <c r="E1299" s="113">
        <v>1296</v>
      </c>
      <c r="F1299" s="113">
        <v>145</v>
      </c>
      <c r="G1299" s="113">
        <v>149.69999999999999</v>
      </c>
      <c r="H1299" s="113">
        <v>154.5</v>
      </c>
      <c r="I1299" s="113">
        <v>-1.7</v>
      </c>
      <c r="J1299" s="113">
        <v>87.64</v>
      </c>
      <c r="K1299" s="113">
        <v>-16.100000000000001</v>
      </c>
    </row>
    <row r="1300" spans="2:11" x14ac:dyDescent="0.25">
      <c r="B1300" s="185"/>
      <c r="C1300" s="113">
        <v>231.779</v>
      </c>
      <c r="D1300" s="113">
        <v>8570</v>
      </c>
      <c r="E1300" s="113">
        <v>1297</v>
      </c>
      <c r="F1300" s="113">
        <v>144</v>
      </c>
      <c r="G1300" s="113">
        <v>148.9</v>
      </c>
      <c r="H1300" s="113">
        <v>153.69999999999999</v>
      </c>
      <c r="I1300" s="113">
        <v>-2</v>
      </c>
      <c r="J1300" s="113">
        <v>88.98</v>
      </c>
      <c r="K1300" s="113">
        <v>-16.600000000000001</v>
      </c>
    </row>
    <row r="1301" spans="2:11" x14ac:dyDescent="0.25">
      <c r="B1301" s="185"/>
      <c r="C1301" s="113">
        <v>231.803</v>
      </c>
      <c r="D1301" s="113">
        <v>8571</v>
      </c>
      <c r="E1301" s="113">
        <v>1298</v>
      </c>
      <c r="F1301" s="113">
        <v>143</v>
      </c>
      <c r="G1301" s="113">
        <v>147.6</v>
      </c>
      <c r="H1301" s="113">
        <v>152.6</v>
      </c>
      <c r="I1301" s="113">
        <v>-2.2999999999999998</v>
      </c>
      <c r="J1301" s="113">
        <v>89.1</v>
      </c>
      <c r="K1301" s="113">
        <v>-16.600000000000001</v>
      </c>
    </row>
    <row r="1302" spans="2:11" x14ac:dyDescent="0.25">
      <c r="B1302" s="185"/>
      <c r="C1302" s="113">
        <v>231.827</v>
      </c>
      <c r="D1302" s="113">
        <v>8572</v>
      </c>
      <c r="E1302" s="113">
        <v>1299</v>
      </c>
      <c r="F1302" s="113">
        <v>142</v>
      </c>
      <c r="G1302" s="113">
        <v>146.9</v>
      </c>
      <c r="H1302" s="113">
        <v>151.80000000000001</v>
      </c>
      <c r="I1302" s="113">
        <v>-2.4</v>
      </c>
      <c r="J1302" s="113">
        <v>89.39</v>
      </c>
      <c r="K1302" s="113">
        <v>-16.600000000000001</v>
      </c>
    </row>
    <row r="1303" spans="2:11" x14ac:dyDescent="0.25">
      <c r="B1303" s="185"/>
      <c r="C1303" s="113">
        <v>231.852</v>
      </c>
      <c r="D1303" s="113">
        <v>8573</v>
      </c>
      <c r="E1303" s="113">
        <v>1300</v>
      </c>
      <c r="F1303" s="113">
        <v>140</v>
      </c>
      <c r="G1303" s="113">
        <v>145.80000000000001</v>
      </c>
      <c r="H1303" s="113">
        <v>150.80000000000001</v>
      </c>
      <c r="I1303" s="113">
        <v>-3.2</v>
      </c>
      <c r="J1303" s="113">
        <v>91.47</v>
      </c>
      <c r="K1303" s="113">
        <v>-16.7</v>
      </c>
    </row>
    <row r="1304" spans="2:11" x14ac:dyDescent="0.25">
      <c r="B1304" s="185"/>
      <c r="C1304" s="113">
        <v>231.87700000000001</v>
      </c>
      <c r="D1304" s="113">
        <v>8574</v>
      </c>
      <c r="E1304" s="113">
        <v>1301</v>
      </c>
      <c r="F1304" s="113">
        <v>139</v>
      </c>
      <c r="G1304" s="113">
        <v>144.9</v>
      </c>
      <c r="H1304" s="113">
        <v>150.1</v>
      </c>
      <c r="I1304" s="113">
        <v>-3.3</v>
      </c>
      <c r="J1304" s="113">
        <v>92.37</v>
      </c>
      <c r="K1304" s="113">
        <v>-16.899999999999999</v>
      </c>
    </row>
    <row r="1305" spans="2:11" x14ac:dyDescent="0.25">
      <c r="B1305" s="185"/>
      <c r="C1305" s="113">
        <v>231.90100000000001</v>
      </c>
      <c r="D1305" s="113">
        <v>8575</v>
      </c>
      <c r="E1305" s="113">
        <v>1302</v>
      </c>
      <c r="F1305" s="113">
        <v>138</v>
      </c>
      <c r="G1305" s="113">
        <v>143.69999999999999</v>
      </c>
      <c r="H1305" s="113">
        <v>149</v>
      </c>
      <c r="I1305" s="113">
        <v>-3.5</v>
      </c>
      <c r="J1305" s="113">
        <v>93.98</v>
      </c>
      <c r="K1305" s="113">
        <v>-17.100000000000001</v>
      </c>
    </row>
    <row r="1306" spans="2:11" x14ac:dyDescent="0.25">
      <c r="B1306" s="185"/>
      <c r="C1306" s="113">
        <v>231.92599999999999</v>
      </c>
      <c r="D1306" s="113">
        <v>8576</v>
      </c>
      <c r="E1306" s="113">
        <v>1303</v>
      </c>
      <c r="F1306" s="113">
        <v>137</v>
      </c>
      <c r="G1306" s="113">
        <v>143</v>
      </c>
      <c r="H1306" s="113">
        <v>148.30000000000001</v>
      </c>
      <c r="I1306" s="113">
        <v>-3.5</v>
      </c>
      <c r="J1306" s="113">
        <v>94.78</v>
      </c>
      <c r="K1306" s="113">
        <v>-17.5</v>
      </c>
    </row>
    <row r="1307" spans="2:11" x14ac:dyDescent="0.25">
      <c r="B1307" s="185"/>
      <c r="C1307" s="113">
        <v>231.95099999999999</v>
      </c>
      <c r="D1307" s="113">
        <v>8577</v>
      </c>
      <c r="E1307" s="113">
        <v>1304</v>
      </c>
      <c r="F1307" s="113">
        <v>135</v>
      </c>
      <c r="G1307" s="113">
        <v>141.9</v>
      </c>
      <c r="H1307" s="113">
        <v>147.30000000000001</v>
      </c>
      <c r="I1307" s="113">
        <v>-3.7</v>
      </c>
      <c r="J1307" s="113">
        <v>95.55</v>
      </c>
      <c r="K1307" s="113">
        <v>-20.3</v>
      </c>
    </row>
    <row r="1308" spans="2:11" x14ac:dyDescent="0.25">
      <c r="B1308" s="185"/>
      <c r="C1308" s="113">
        <v>231.977</v>
      </c>
      <c r="D1308" s="113">
        <v>8578</v>
      </c>
      <c r="E1308" s="113">
        <v>1305</v>
      </c>
      <c r="F1308" s="113">
        <v>134</v>
      </c>
      <c r="G1308" s="113">
        <v>141</v>
      </c>
      <c r="H1308" s="113">
        <v>146.69999999999999</v>
      </c>
      <c r="I1308" s="113">
        <v>-3.8</v>
      </c>
      <c r="J1308" s="113">
        <v>96.02</v>
      </c>
      <c r="K1308" s="113">
        <v>-22.1</v>
      </c>
    </row>
    <row r="1309" spans="2:11" x14ac:dyDescent="0.25">
      <c r="B1309" s="185"/>
      <c r="C1309" s="113">
        <v>232.00200000000001</v>
      </c>
      <c r="D1309" s="113">
        <v>8579</v>
      </c>
      <c r="E1309" s="113">
        <v>1306</v>
      </c>
      <c r="F1309" s="113">
        <v>132</v>
      </c>
      <c r="G1309" s="113">
        <v>139.69999999999999</v>
      </c>
      <c r="H1309" s="113">
        <v>145.69999999999999</v>
      </c>
      <c r="I1309" s="113">
        <v>-3.8</v>
      </c>
      <c r="J1309" s="113">
        <v>95.94</v>
      </c>
      <c r="K1309" s="113">
        <v>-24.6</v>
      </c>
    </row>
    <row r="1310" spans="2:11" x14ac:dyDescent="0.25">
      <c r="B1310" s="185"/>
      <c r="C1310" s="113">
        <v>232.02799999999999</v>
      </c>
      <c r="D1310" s="113">
        <v>8580</v>
      </c>
      <c r="E1310" s="113">
        <v>1307</v>
      </c>
      <c r="F1310" s="113">
        <v>131</v>
      </c>
      <c r="G1310" s="113">
        <v>139.5</v>
      </c>
      <c r="H1310" s="113">
        <v>145</v>
      </c>
      <c r="I1310" s="113">
        <v>-3.8</v>
      </c>
      <c r="J1310" s="113">
        <v>95.92</v>
      </c>
      <c r="K1310" s="113">
        <v>-25</v>
      </c>
    </row>
    <row r="1311" spans="2:11" x14ac:dyDescent="0.25">
      <c r="B1311" s="185"/>
      <c r="C1311" s="113">
        <v>232.053</v>
      </c>
      <c r="D1311" s="113">
        <v>8581</v>
      </c>
      <c r="E1311" s="113">
        <v>1308</v>
      </c>
      <c r="F1311" s="113">
        <v>130</v>
      </c>
      <c r="G1311" s="113">
        <v>138.80000000000001</v>
      </c>
      <c r="H1311" s="113">
        <v>144.1</v>
      </c>
      <c r="I1311" s="113">
        <v>-3.8</v>
      </c>
      <c r="J1311" s="113">
        <v>95.71</v>
      </c>
      <c r="K1311" s="113">
        <v>-25.6</v>
      </c>
    </row>
    <row r="1312" spans="2:11" x14ac:dyDescent="0.25">
      <c r="B1312" s="185"/>
      <c r="C1312" s="113">
        <v>232.07900000000001</v>
      </c>
      <c r="D1312" s="113">
        <v>8582</v>
      </c>
      <c r="E1312" s="113">
        <v>1309</v>
      </c>
      <c r="F1312" s="113">
        <v>130</v>
      </c>
      <c r="G1312" s="113">
        <v>138</v>
      </c>
      <c r="H1312" s="113">
        <v>143.5</v>
      </c>
      <c r="I1312" s="113">
        <v>-3.8</v>
      </c>
      <c r="J1312" s="113">
        <v>95.77</v>
      </c>
      <c r="K1312" s="113">
        <v>-26</v>
      </c>
    </row>
    <row r="1313" spans="2:11" x14ac:dyDescent="0.25">
      <c r="B1313" s="185"/>
      <c r="C1313" s="113">
        <v>232.10499999999999</v>
      </c>
      <c r="D1313" s="113">
        <v>8583</v>
      </c>
      <c r="E1313" s="113">
        <v>1310</v>
      </c>
      <c r="F1313" s="113">
        <v>129</v>
      </c>
      <c r="G1313" s="113">
        <v>137.5</v>
      </c>
      <c r="H1313" s="113">
        <v>142.69999999999999</v>
      </c>
      <c r="I1313" s="113">
        <v>-3.6</v>
      </c>
      <c r="J1313" s="113">
        <v>95.63</v>
      </c>
      <c r="K1313" s="113">
        <v>-21.1</v>
      </c>
    </row>
    <row r="1314" spans="2:11" x14ac:dyDescent="0.25">
      <c r="B1314" s="185"/>
      <c r="C1314" s="113">
        <v>232.131</v>
      </c>
      <c r="D1314" s="113">
        <v>8584</v>
      </c>
      <c r="E1314" s="113">
        <v>1311</v>
      </c>
      <c r="F1314" s="113">
        <v>130</v>
      </c>
      <c r="G1314" s="113">
        <v>136.19999999999999</v>
      </c>
      <c r="H1314" s="113">
        <v>141.80000000000001</v>
      </c>
      <c r="I1314" s="113">
        <v>-3.3</v>
      </c>
      <c r="J1314" s="113">
        <v>95.75</v>
      </c>
      <c r="K1314" s="113">
        <v>-14.8</v>
      </c>
    </row>
    <row r="1315" spans="2:11" x14ac:dyDescent="0.25">
      <c r="B1315" s="185"/>
      <c r="C1315" s="113">
        <v>232.15700000000001</v>
      </c>
      <c r="D1315" s="113">
        <v>8585</v>
      </c>
      <c r="E1315" s="113">
        <v>1312</v>
      </c>
      <c r="F1315" s="113">
        <v>132</v>
      </c>
      <c r="G1315" s="113">
        <v>134.6</v>
      </c>
      <c r="H1315" s="113">
        <v>141.30000000000001</v>
      </c>
      <c r="I1315" s="113">
        <v>-3.2</v>
      </c>
      <c r="J1315" s="113">
        <v>95.53</v>
      </c>
      <c r="K1315" s="113">
        <v>-10.6</v>
      </c>
    </row>
    <row r="1316" spans="2:11" x14ac:dyDescent="0.25">
      <c r="B1316" s="185"/>
      <c r="C1316" s="113">
        <v>232.184</v>
      </c>
      <c r="D1316" s="113">
        <v>8586</v>
      </c>
      <c r="E1316" s="113">
        <v>1313</v>
      </c>
      <c r="F1316" s="113">
        <v>134</v>
      </c>
      <c r="G1316" s="113">
        <v>134.6</v>
      </c>
      <c r="H1316" s="113">
        <v>140.6</v>
      </c>
      <c r="I1316" s="113">
        <v>-1.9</v>
      </c>
      <c r="J1316" s="113">
        <v>94.48</v>
      </c>
      <c r="K1316" s="113">
        <v>-9.3000000000000007</v>
      </c>
    </row>
    <row r="1317" spans="2:11" x14ac:dyDescent="0.25">
      <c r="B1317" s="185"/>
      <c r="C1317" s="113">
        <v>232.21100000000001</v>
      </c>
      <c r="D1317" s="113">
        <v>8587</v>
      </c>
      <c r="E1317" s="113">
        <v>1314</v>
      </c>
      <c r="F1317" s="113">
        <v>134</v>
      </c>
      <c r="G1317" s="113">
        <v>134.30000000000001</v>
      </c>
      <c r="H1317" s="113">
        <v>139.80000000000001</v>
      </c>
      <c r="I1317" s="113">
        <v>-2.2999999999999998</v>
      </c>
      <c r="J1317" s="113">
        <v>94.41</v>
      </c>
      <c r="K1317" s="113">
        <v>-9.3000000000000007</v>
      </c>
    </row>
    <row r="1318" spans="2:11" x14ac:dyDescent="0.25">
      <c r="B1318" s="185"/>
      <c r="C1318" s="113">
        <v>232.238</v>
      </c>
      <c r="D1318" s="113">
        <v>8588</v>
      </c>
      <c r="E1318" s="113">
        <v>1315</v>
      </c>
      <c r="F1318" s="113">
        <v>134</v>
      </c>
      <c r="G1318" s="113">
        <v>133.30000000000001</v>
      </c>
      <c r="H1318" s="113">
        <v>139.30000000000001</v>
      </c>
      <c r="I1318" s="113">
        <v>-2.8</v>
      </c>
      <c r="J1318" s="113">
        <v>94.3</v>
      </c>
      <c r="K1318" s="113">
        <v>-9.3000000000000007</v>
      </c>
    </row>
    <row r="1319" spans="2:11" x14ac:dyDescent="0.25">
      <c r="B1319" s="185"/>
      <c r="C1319" s="113">
        <v>232.26400000000001</v>
      </c>
      <c r="D1319" s="113">
        <v>8589</v>
      </c>
      <c r="E1319" s="113">
        <v>1316</v>
      </c>
      <c r="F1319" s="113">
        <v>127</v>
      </c>
      <c r="G1319" s="113">
        <v>132.80000000000001</v>
      </c>
      <c r="H1319" s="113">
        <v>138.5</v>
      </c>
      <c r="I1319" s="113">
        <v>-1.2</v>
      </c>
      <c r="J1319" s="113">
        <v>92.82</v>
      </c>
      <c r="K1319" s="113">
        <v>-12.3</v>
      </c>
    </row>
    <row r="1320" spans="2:11" x14ac:dyDescent="0.25">
      <c r="B1320" s="185"/>
      <c r="C1320" s="113">
        <v>232.291</v>
      </c>
      <c r="D1320" s="113">
        <v>8590</v>
      </c>
      <c r="E1320" s="113">
        <v>1317</v>
      </c>
      <c r="F1320" s="113">
        <v>121</v>
      </c>
      <c r="G1320" s="113">
        <v>131.80000000000001</v>
      </c>
      <c r="H1320" s="113">
        <v>137.80000000000001</v>
      </c>
      <c r="I1320" s="113">
        <v>-1</v>
      </c>
      <c r="J1320" s="113">
        <v>93.04</v>
      </c>
      <c r="K1320" s="113">
        <v>-16.100000000000001</v>
      </c>
    </row>
    <row r="1321" spans="2:11" x14ac:dyDescent="0.25">
      <c r="B1321" s="185"/>
      <c r="C1321" s="113">
        <v>232.31899999999999</v>
      </c>
      <c r="D1321" s="113">
        <v>8591</v>
      </c>
      <c r="E1321" s="113">
        <v>1318</v>
      </c>
      <c r="F1321" s="113">
        <v>119</v>
      </c>
      <c r="G1321" s="113">
        <v>130.5</v>
      </c>
      <c r="H1321" s="113">
        <v>137.19999999999999</v>
      </c>
      <c r="I1321" s="113">
        <v>-1.2</v>
      </c>
      <c r="J1321" s="113">
        <v>92.99</v>
      </c>
      <c r="K1321" s="113">
        <v>-18.7</v>
      </c>
    </row>
    <row r="1322" spans="2:11" x14ac:dyDescent="0.25">
      <c r="B1322" s="185"/>
      <c r="C1322" s="113">
        <v>232.346</v>
      </c>
      <c r="D1322" s="113">
        <v>8592</v>
      </c>
      <c r="E1322" s="113">
        <v>1319</v>
      </c>
      <c r="F1322" s="113">
        <v>117</v>
      </c>
      <c r="G1322" s="113">
        <v>129.4</v>
      </c>
      <c r="H1322" s="113">
        <v>136.4</v>
      </c>
      <c r="I1322" s="113">
        <v>-1</v>
      </c>
      <c r="J1322" s="113">
        <v>93</v>
      </c>
      <c r="K1322" s="113">
        <v>-14.8</v>
      </c>
    </row>
    <row r="1323" spans="2:11" x14ac:dyDescent="0.25">
      <c r="B1323" s="185"/>
      <c r="C1323" s="113">
        <v>232.374</v>
      </c>
      <c r="D1323" s="113">
        <v>8593</v>
      </c>
      <c r="E1323" s="113">
        <v>1320</v>
      </c>
      <c r="F1323" s="113">
        <v>116</v>
      </c>
      <c r="G1323" s="113">
        <v>128.80000000000001</v>
      </c>
      <c r="H1323" s="113">
        <v>135.5</v>
      </c>
      <c r="I1323" s="113">
        <v>-0.8</v>
      </c>
      <c r="J1323" s="113">
        <v>92.17</v>
      </c>
      <c r="K1323" s="113">
        <v>-8.9</v>
      </c>
    </row>
    <row r="1324" spans="2:11" x14ac:dyDescent="0.25">
      <c r="B1324" s="185"/>
      <c r="C1324" s="113">
        <v>232.40199999999999</v>
      </c>
      <c r="D1324" s="113">
        <v>8594</v>
      </c>
      <c r="E1324" s="113">
        <v>1321</v>
      </c>
      <c r="F1324" s="113">
        <v>117</v>
      </c>
      <c r="G1324" s="113">
        <v>128.30000000000001</v>
      </c>
      <c r="H1324" s="113">
        <v>134.6</v>
      </c>
      <c r="I1324" s="113">
        <v>-1.3</v>
      </c>
      <c r="J1324" s="113">
        <v>92.65</v>
      </c>
      <c r="K1324" s="113">
        <v>-3.1</v>
      </c>
    </row>
    <row r="1325" spans="2:11" x14ac:dyDescent="0.25">
      <c r="B1325" s="185"/>
      <c r="C1325" s="113">
        <v>232.429</v>
      </c>
      <c r="D1325" s="113">
        <v>8595</v>
      </c>
      <c r="E1325" s="113">
        <v>1322</v>
      </c>
      <c r="F1325" s="113">
        <v>116</v>
      </c>
      <c r="G1325" s="113">
        <v>126.9</v>
      </c>
      <c r="H1325" s="113">
        <v>134</v>
      </c>
      <c r="I1325" s="113">
        <v>-2</v>
      </c>
      <c r="J1325" s="113">
        <v>92.54</v>
      </c>
      <c r="K1325" s="113">
        <v>0</v>
      </c>
    </row>
    <row r="1326" spans="2:11" x14ac:dyDescent="0.25">
      <c r="B1326" s="185"/>
      <c r="C1326" s="113">
        <v>232.458</v>
      </c>
      <c r="D1326" s="113">
        <v>8596</v>
      </c>
      <c r="E1326" s="113">
        <v>1323</v>
      </c>
      <c r="F1326" s="113">
        <v>115</v>
      </c>
      <c r="G1326" s="113">
        <v>125.7</v>
      </c>
      <c r="H1326" s="113">
        <v>133</v>
      </c>
      <c r="I1326" s="113">
        <v>-1.4</v>
      </c>
      <c r="J1326" s="113">
        <v>92.1</v>
      </c>
      <c r="K1326" s="113">
        <v>4.7</v>
      </c>
    </row>
    <row r="1327" spans="2:11" x14ac:dyDescent="0.25">
      <c r="B1327" s="185"/>
      <c r="C1327" s="113">
        <v>232.48599999999999</v>
      </c>
      <c r="D1327" s="113">
        <v>8597</v>
      </c>
      <c r="E1327" s="113">
        <v>1324</v>
      </c>
      <c r="F1327" s="113">
        <v>114</v>
      </c>
      <c r="G1327" s="113">
        <v>125.4</v>
      </c>
      <c r="H1327" s="113">
        <v>131.9</v>
      </c>
      <c r="I1327" s="113">
        <v>-1.2</v>
      </c>
      <c r="J1327" s="113">
        <v>92.29</v>
      </c>
      <c r="K1327" s="113">
        <v>8.4</v>
      </c>
    </row>
    <row r="1328" spans="2:11" x14ac:dyDescent="0.25">
      <c r="B1328" s="185"/>
      <c r="C1328" s="113">
        <v>232.51499999999999</v>
      </c>
      <c r="D1328" s="113">
        <v>8598</v>
      </c>
      <c r="E1328" s="113">
        <v>1325</v>
      </c>
      <c r="F1328" s="113">
        <v>113</v>
      </c>
      <c r="G1328" s="113">
        <v>123.3</v>
      </c>
      <c r="H1328" s="113">
        <v>130.9</v>
      </c>
      <c r="I1328" s="113">
        <v>-1.8</v>
      </c>
      <c r="J1328" s="113">
        <v>93.06</v>
      </c>
      <c r="K1328" s="113">
        <v>5.0999999999999996</v>
      </c>
    </row>
    <row r="1329" spans="2:11" x14ac:dyDescent="0.25">
      <c r="B1329" s="185"/>
      <c r="C1329" s="113">
        <v>232.54400000000001</v>
      </c>
      <c r="D1329" s="113">
        <v>8599</v>
      </c>
      <c r="E1329" s="113">
        <v>1326</v>
      </c>
      <c r="F1329" s="113">
        <v>112</v>
      </c>
      <c r="G1329" s="113">
        <v>122.7</v>
      </c>
      <c r="H1329" s="113">
        <v>129.80000000000001</v>
      </c>
      <c r="I1329" s="113">
        <v>-1.9</v>
      </c>
      <c r="J1329" s="113">
        <v>92.73</v>
      </c>
      <c r="K1329" s="113">
        <v>1.8</v>
      </c>
    </row>
    <row r="1330" spans="2:11" x14ac:dyDescent="0.25">
      <c r="B1330" s="185"/>
      <c r="C1330" s="113">
        <v>232.57300000000001</v>
      </c>
      <c r="D1330" s="113">
        <v>8600</v>
      </c>
      <c r="E1330" s="113">
        <v>1327</v>
      </c>
      <c r="F1330" s="113">
        <v>111</v>
      </c>
      <c r="G1330" s="113">
        <v>121.9</v>
      </c>
      <c r="H1330" s="113">
        <v>128.5</v>
      </c>
      <c r="I1330" s="113">
        <v>-2.4</v>
      </c>
      <c r="J1330" s="113">
        <v>92.76</v>
      </c>
      <c r="K1330" s="113">
        <v>0</v>
      </c>
    </row>
    <row r="1331" spans="2:11" x14ac:dyDescent="0.25">
      <c r="B1331" s="185"/>
      <c r="C1331" s="113">
        <v>232.602</v>
      </c>
      <c r="D1331" s="113">
        <v>8601</v>
      </c>
      <c r="E1331" s="113">
        <v>1328</v>
      </c>
      <c r="F1331" s="113">
        <v>110</v>
      </c>
      <c r="G1331" s="113">
        <v>120.4</v>
      </c>
      <c r="H1331" s="113">
        <v>127.3</v>
      </c>
      <c r="I1331" s="113">
        <v>-2.4</v>
      </c>
      <c r="J1331" s="113">
        <v>92.96</v>
      </c>
      <c r="K1331" s="113">
        <v>0</v>
      </c>
    </row>
    <row r="1332" spans="2:11" x14ac:dyDescent="0.25">
      <c r="B1332" s="185"/>
      <c r="C1332" s="113">
        <v>232.63200000000001</v>
      </c>
      <c r="D1332" s="113">
        <v>8602</v>
      </c>
      <c r="E1332" s="113">
        <v>1329</v>
      </c>
      <c r="F1332" s="113">
        <v>109</v>
      </c>
      <c r="G1332" s="113">
        <v>119.4</v>
      </c>
      <c r="H1332" s="113">
        <v>126</v>
      </c>
      <c r="I1332" s="113">
        <v>-2.6</v>
      </c>
      <c r="J1332" s="113">
        <v>92.61</v>
      </c>
      <c r="K1332" s="113">
        <v>0</v>
      </c>
    </row>
    <row r="1333" spans="2:11" x14ac:dyDescent="0.25">
      <c r="B1333" s="185"/>
      <c r="C1333" s="113">
        <v>232.66200000000001</v>
      </c>
      <c r="D1333" s="113">
        <v>8603</v>
      </c>
      <c r="E1333" s="113">
        <v>1330</v>
      </c>
      <c r="F1333" s="113">
        <v>108</v>
      </c>
      <c r="G1333" s="113">
        <v>118.8</v>
      </c>
      <c r="H1333" s="113">
        <v>124.5</v>
      </c>
      <c r="I1333" s="113">
        <v>-2.5</v>
      </c>
      <c r="J1333" s="113">
        <v>92.49</v>
      </c>
      <c r="K1333" s="113">
        <v>-10.6</v>
      </c>
    </row>
    <row r="1334" spans="2:11" x14ac:dyDescent="0.25">
      <c r="B1334" s="185"/>
      <c r="C1334" s="113">
        <v>232.69200000000001</v>
      </c>
      <c r="D1334" s="113">
        <v>8604</v>
      </c>
      <c r="E1334" s="113">
        <v>1331</v>
      </c>
      <c r="F1334" s="113">
        <v>107</v>
      </c>
      <c r="G1334" s="113">
        <v>118.1</v>
      </c>
      <c r="H1334" s="113">
        <v>123.1</v>
      </c>
      <c r="I1334" s="113">
        <v>-3.1</v>
      </c>
      <c r="J1334" s="113">
        <v>92.48</v>
      </c>
      <c r="K1334" s="113">
        <v>-24.1</v>
      </c>
    </row>
    <row r="1335" spans="2:11" x14ac:dyDescent="0.25">
      <c r="B1335" s="185"/>
      <c r="C1335" s="113">
        <v>232.72300000000001</v>
      </c>
      <c r="D1335" s="113">
        <v>8605</v>
      </c>
      <c r="E1335" s="113">
        <v>1332</v>
      </c>
      <c r="F1335" s="113">
        <v>106</v>
      </c>
      <c r="G1335" s="113">
        <v>117.2</v>
      </c>
      <c r="H1335" s="113">
        <v>121.7</v>
      </c>
      <c r="I1335" s="113">
        <v>-3.1</v>
      </c>
      <c r="J1335" s="113">
        <v>92.06</v>
      </c>
      <c r="K1335" s="113">
        <v>-35.4</v>
      </c>
    </row>
    <row r="1336" spans="2:11" x14ac:dyDescent="0.25">
      <c r="B1336" s="185"/>
      <c r="C1336" s="113">
        <v>232.75399999999999</v>
      </c>
      <c r="D1336" s="113">
        <v>8606</v>
      </c>
      <c r="E1336" s="113">
        <v>1333</v>
      </c>
      <c r="F1336" s="113">
        <v>104</v>
      </c>
      <c r="G1336" s="113">
        <v>116.9</v>
      </c>
      <c r="H1336" s="113">
        <v>120.2</v>
      </c>
      <c r="I1336" s="113">
        <v>-3.1</v>
      </c>
      <c r="J1336" s="113">
        <v>91.67</v>
      </c>
      <c r="K1336" s="113">
        <v>-32.4</v>
      </c>
    </row>
    <row r="1337" spans="2:11" x14ac:dyDescent="0.25">
      <c r="B1337" s="185"/>
      <c r="C1337" s="113">
        <v>232.78399999999999</v>
      </c>
      <c r="D1337" s="113">
        <v>8607</v>
      </c>
      <c r="E1337" s="113">
        <v>1334</v>
      </c>
      <c r="F1337" s="113">
        <v>103</v>
      </c>
      <c r="G1337" s="113">
        <v>116.4</v>
      </c>
      <c r="H1337" s="113">
        <v>118.8</v>
      </c>
      <c r="I1337" s="113">
        <v>-3.1</v>
      </c>
      <c r="J1337" s="113">
        <v>91.82</v>
      </c>
      <c r="K1337" s="113">
        <v>-29.3</v>
      </c>
    </row>
    <row r="1338" spans="2:11" x14ac:dyDescent="0.25">
      <c r="B1338" s="185"/>
      <c r="C1338" s="113">
        <v>232.815</v>
      </c>
      <c r="D1338" s="113">
        <v>8608</v>
      </c>
      <c r="E1338" s="113">
        <v>1335</v>
      </c>
      <c r="F1338" s="113">
        <v>103</v>
      </c>
      <c r="G1338" s="113">
        <v>115.4</v>
      </c>
      <c r="H1338" s="113">
        <v>117.3</v>
      </c>
      <c r="I1338" s="113">
        <v>-2.4</v>
      </c>
      <c r="J1338" s="113">
        <v>91.8</v>
      </c>
      <c r="K1338" s="113">
        <v>-28.2</v>
      </c>
    </row>
    <row r="1339" spans="2:11" x14ac:dyDescent="0.25">
      <c r="B1339" s="185"/>
      <c r="C1339" s="113">
        <v>232.846</v>
      </c>
      <c r="D1339" s="113">
        <v>8609</v>
      </c>
      <c r="E1339" s="113">
        <v>1336</v>
      </c>
      <c r="F1339" s="113">
        <v>102</v>
      </c>
      <c r="G1339" s="113">
        <v>114.2</v>
      </c>
      <c r="H1339" s="113">
        <v>116</v>
      </c>
      <c r="I1339" s="113">
        <v>-1.8</v>
      </c>
      <c r="J1339" s="113">
        <v>91.78</v>
      </c>
      <c r="K1339" s="113">
        <v>-29.3</v>
      </c>
    </row>
    <row r="1340" spans="2:11" x14ac:dyDescent="0.25">
      <c r="B1340" s="185"/>
      <c r="C1340" s="113">
        <v>232.87700000000001</v>
      </c>
      <c r="D1340" s="113">
        <v>8610</v>
      </c>
      <c r="E1340" s="113">
        <v>1337</v>
      </c>
      <c r="F1340" s="113">
        <v>102</v>
      </c>
      <c r="G1340" s="113">
        <v>113.5</v>
      </c>
      <c r="H1340" s="113">
        <v>114.8</v>
      </c>
      <c r="I1340" s="113">
        <v>-1.1000000000000001</v>
      </c>
      <c r="J1340" s="113">
        <v>91.76</v>
      </c>
      <c r="K1340" s="113">
        <v>-30.3</v>
      </c>
    </row>
    <row r="1341" spans="2:11" x14ac:dyDescent="0.25">
      <c r="B1341" s="185"/>
      <c r="C1341" s="113">
        <v>232.90899999999999</v>
      </c>
      <c r="D1341" s="113">
        <v>8611</v>
      </c>
      <c r="E1341" s="113">
        <v>1338</v>
      </c>
      <c r="F1341" s="113">
        <v>101</v>
      </c>
      <c r="G1341" s="113">
        <v>112.2</v>
      </c>
      <c r="H1341" s="113">
        <v>113.6</v>
      </c>
      <c r="I1341" s="113">
        <v>-1.1000000000000001</v>
      </c>
      <c r="J1341" s="113">
        <v>91.93</v>
      </c>
      <c r="K1341" s="113">
        <v>-30.3</v>
      </c>
    </row>
    <row r="1342" spans="2:11" x14ac:dyDescent="0.25">
      <c r="B1342" s="185"/>
      <c r="C1342" s="113">
        <v>232.941</v>
      </c>
      <c r="D1342" s="113">
        <v>8612</v>
      </c>
      <c r="E1342" s="113">
        <v>1339</v>
      </c>
      <c r="F1342" s="113">
        <v>101</v>
      </c>
      <c r="G1342" s="113">
        <v>111</v>
      </c>
      <c r="H1342" s="113">
        <v>112</v>
      </c>
      <c r="I1342" s="113">
        <v>-0.9</v>
      </c>
      <c r="J1342" s="113">
        <v>91.69</v>
      </c>
      <c r="K1342" s="113">
        <v>-29.9</v>
      </c>
    </row>
    <row r="1343" spans="2:11" x14ac:dyDescent="0.25">
      <c r="B1343" s="185"/>
      <c r="C1343" s="113">
        <v>232.97399999999999</v>
      </c>
      <c r="D1343" s="113">
        <v>8613</v>
      </c>
      <c r="E1343" s="113">
        <v>1340</v>
      </c>
      <c r="F1343" s="113">
        <v>101</v>
      </c>
      <c r="G1343" s="113">
        <v>110.4</v>
      </c>
      <c r="H1343" s="113">
        <v>110.9</v>
      </c>
      <c r="I1343" s="113">
        <v>-1</v>
      </c>
      <c r="J1343" s="113">
        <v>91.67</v>
      </c>
      <c r="K1343" s="113">
        <v>-29.7</v>
      </c>
    </row>
    <row r="1344" spans="2:11" x14ac:dyDescent="0.25">
      <c r="B1344" s="185"/>
      <c r="C1344" s="113">
        <v>233.006</v>
      </c>
      <c r="D1344" s="113">
        <v>8614</v>
      </c>
      <c r="E1344" s="113">
        <v>1341</v>
      </c>
      <c r="F1344" s="113">
        <v>100</v>
      </c>
      <c r="G1344" s="113">
        <v>109.8</v>
      </c>
      <c r="H1344" s="113">
        <v>109.7</v>
      </c>
      <c r="I1344" s="113">
        <v>-1.2</v>
      </c>
      <c r="J1344" s="113">
        <v>91.65</v>
      </c>
      <c r="K1344" s="113">
        <v>-29.7</v>
      </c>
    </row>
    <row r="1345" spans="2:11" x14ac:dyDescent="0.25">
      <c r="B1345" s="185"/>
      <c r="C1345" s="113">
        <v>233.03899999999999</v>
      </c>
      <c r="D1345" s="113">
        <v>8615</v>
      </c>
      <c r="E1345" s="113">
        <v>1342</v>
      </c>
      <c r="F1345" s="113">
        <v>99</v>
      </c>
      <c r="G1345" s="113">
        <v>109.4</v>
      </c>
      <c r="H1345" s="113">
        <v>108.6</v>
      </c>
      <c r="I1345" s="113">
        <v>-1.6</v>
      </c>
      <c r="J1345" s="113">
        <v>91.1</v>
      </c>
      <c r="K1345" s="113">
        <v>-29.7</v>
      </c>
    </row>
    <row r="1346" spans="2:11" x14ac:dyDescent="0.25">
      <c r="B1346" s="185"/>
      <c r="C1346" s="113">
        <v>233.071</v>
      </c>
      <c r="D1346" s="113">
        <v>8616</v>
      </c>
      <c r="E1346" s="113">
        <v>1343</v>
      </c>
      <c r="F1346" s="113">
        <v>99</v>
      </c>
      <c r="G1346" s="113">
        <v>108.7</v>
      </c>
      <c r="H1346" s="113">
        <v>107.2</v>
      </c>
      <c r="I1346" s="113">
        <v>-0.9</v>
      </c>
      <c r="J1346" s="113">
        <v>90.22</v>
      </c>
      <c r="K1346" s="113">
        <v>-29.9</v>
      </c>
    </row>
    <row r="1347" spans="2:11" x14ac:dyDescent="0.25">
      <c r="B1347" s="185"/>
      <c r="C1347" s="113">
        <v>233.10400000000001</v>
      </c>
      <c r="D1347" s="113">
        <v>8617</v>
      </c>
      <c r="E1347" s="113">
        <v>1344</v>
      </c>
      <c r="F1347" s="113">
        <v>98</v>
      </c>
      <c r="G1347" s="113">
        <v>107.7</v>
      </c>
      <c r="H1347" s="113">
        <v>106.1</v>
      </c>
      <c r="I1347" s="113">
        <v>-0.5</v>
      </c>
      <c r="J1347" s="113">
        <v>90.06</v>
      </c>
      <c r="K1347" s="113">
        <v>-30.1</v>
      </c>
    </row>
    <row r="1348" spans="2:11" ht="15.75" thickBot="1" x14ac:dyDescent="0.3">
      <c r="B1348" s="186"/>
      <c r="C1348" s="113">
        <v>233.137</v>
      </c>
      <c r="D1348" s="113">
        <v>8618</v>
      </c>
      <c r="E1348" s="113">
        <v>1345</v>
      </c>
      <c r="F1348" s="113">
        <v>98</v>
      </c>
      <c r="G1348" s="113">
        <v>106.8</v>
      </c>
      <c r="H1348" s="113">
        <v>105.1</v>
      </c>
      <c r="I1348" s="113">
        <v>0.2</v>
      </c>
      <c r="J1348" s="113">
        <v>89.03</v>
      </c>
      <c r="K1348" s="113">
        <v>-27.3</v>
      </c>
    </row>
    <row r="1349" spans="2:11" x14ac:dyDescent="0.25">
      <c r="B1349" s="201" t="s">
        <v>194</v>
      </c>
      <c r="C1349" s="113">
        <v>233.17099999999999</v>
      </c>
      <c r="D1349" s="113">
        <v>8619</v>
      </c>
      <c r="E1349" s="113">
        <v>1346</v>
      </c>
      <c r="F1349" s="113">
        <v>99</v>
      </c>
      <c r="G1349" s="113">
        <v>106.1</v>
      </c>
      <c r="H1349" s="113">
        <v>103.8</v>
      </c>
      <c r="I1349" s="113">
        <v>0.6</v>
      </c>
      <c r="J1349" s="113">
        <v>87.8</v>
      </c>
      <c r="K1349" s="113">
        <v>-18.7</v>
      </c>
    </row>
    <row r="1350" spans="2:11" x14ac:dyDescent="0.25">
      <c r="B1350" s="202"/>
      <c r="C1350" s="113">
        <v>233.20500000000001</v>
      </c>
      <c r="D1350" s="113">
        <v>8620</v>
      </c>
      <c r="E1350" s="113">
        <v>1347</v>
      </c>
      <c r="F1350" s="113">
        <v>98</v>
      </c>
      <c r="G1350" s="113">
        <v>105.6</v>
      </c>
      <c r="H1350" s="113">
        <v>102.8</v>
      </c>
      <c r="I1350" s="113">
        <v>0.6</v>
      </c>
      <c r="J1350" s="113">
        <v>86.5</v>
      </c>
      <c r="K1350" s="113">
        <v>-14.2</v>
      </c>
    </row>
    <row r="1351" spans="2:11" x14ac:dyDescent="0.25">
      <c r="B1351" s="202"/>
      <c r="C1351" s="113">
        <v>233.239</v>
      </c>
      <c r="D1351" s="113">
        <v>8621</v>
      </c>
      <c r="E1351" s="113">
        <v>1348</v>
      </c>
      <c r="F1351" s="113">
        <v>98</v>
      </c>
      <c r="G1351" s="113">
        <v>105.8</v>
      </c>
      <c r="H1351" s="113">
        <v>101.9</v>
      </c>
      <c r="I1351" s="113">
        <v>0.7</v>
      </c>
      <c r="J1351" s="113">
        <v>86.18</v>
      </c>
      <c r="K1351" s="113">
        <v>-23.5</v>
      </c>
    </row>
    <row r="1352" spans="2:11" x14ac:dyDescent="0.25">
      <c r="B1352" s="202"/>
      <c r="C1352" s="113">
        <v>233.273</v>
      </c>
      <c r="D1352" s="113">
        <v>8622</v>
      </c>
      <c r="E1352" s="113">
        <v>1349</v>
      </c>
      <c r="F1352" s="113">
        <v>98</v>
      </c>
      <c r="G1352" s="113">
        <v>105.2</v>
      </c>
      <c r="H1352" s="113">
        <v>100.5</v>
      </c>
      <c r="I1352" s="113">
        <v>1.7</v>
      </c>
      <c r="J1352" s="113">
        <v>86.39</v>
      </c>
      <c r="K1352" s="113">
        <v>-36.1</v>
      </c>
    </row>
    <row r="1353" spans="2:11" x14ac:dyDescent="0.25">
      <c r="B1353" s="202"/>
      <c r="C1353" s="113">
        <v>233.30699999999999</v>
      </c>
      <c r="D1353" s="113">
        <v>8623</v>
      </c>
      <c r="E1353" s="113">
        <v>1350</v>
      </c>
      <c r="F1353" s="113">
        <v>99</v>
      </c>
      <c r="G1353" s="113">
        <v>104.5</v>
      </c>
      <c r="H1353" s="113">
        <v>99.5</v>
      </c>
      <c r="I1353" s="113">
        <v>3.7</v>
      </c>
      <c r="J1353" s="113">
        <v>86.91</v>
      </c>
      <c r="K1353" s="113">
        <v>-36.700000000000003</v>
      </c>
    </row>
    <row r="1354" spans="2:11" x14ac:dyDescent="0.25">
      <c r="B1354" s="202"/>
      <c r="C1354" s="113">
        <v>233.34100000000001</v>
      </c>
      <c r="D1354" s="113">
        <v>8624</v>
      </c>
      <c r="E1354" s="113">
        <v>1351</v>
      </c>
      <c r="F1354" s="113">
        <v>100</v>
      </c>
      <c r="G1354" s="113">
        <v>103.8</v>
      </c>
      <c r="H1354" s="113">
        <v>98.3</v>
      </c>
      <c r="I1354" s="113">
        <v>5.4</v>
      </c>
      <c r="J1354" s="113">
        <v>86.96</v>
      </c>
      <c r="K1354" s="113">
        <v>-34.5</v>
      </c>
    </row>
    <row r="1355" spans="2:11" x14ac:dyDescent="0.25">
      <c r="B1355" s="202"/>
      <c r="C1355" s="113">
        <v>233.376</v>
      </c>
      <c r="D1355" s="113">
        <v>8625</v>
      </c>
      <c r="E1355" s="113">
        <v>1352</v>
      </c>
      <c r="F1355" s="113">
        <v>100</v>
      </c>
      <c r="G1355" s="113">
        <v>103.2</v>
      </c>
      <c r="H1355" s="113">
        <v>97.5</v>
      </c>
      <c r="I1355" s="113">
        <v>6.1</v>
      </c>
      <c r="J1355" s="113">
        <v>86.73</v>
      </c>
      <c r="K1355" s="113">
        <v>-33.6</v>
      </c>
    </row>
    <row r="1356" spans="2:11" x14ac:dyDescent="0.25">
      <c r="B1356" s="202"/>
      <c r="C1356" s="113">
        <v>233.411</v>
      </c>
      <c r="D1356" s="113">
        <v>8626</v>
      </c>
      <c r="E1356" s="113">
        <v>1353</v>
      </c>
      <c r="F1356" s="113">
        <v>101</v>
      </c>
      <c r="G1356" s="113">
        <v>102.9</v>
      </c>
      <c r="H1356" s="113">
        <v>96.4</v>
      </c>
      <c r="I1356" s="113">
        <v>6.7</v>
      </c>
      <c r="J1356" s="113">
        <v>86.01</v>
      </c>
      <c r="K1356" s="113">
        <v>-33.6</v>
      </c>
    </row>
    <row r="1357" spans="2:11" x14ac:dyDescent="0.25">
      <c r="B1357" s="202"/>
      <c r="C1357" s="113">
        <v>233.446</v>
      </c>
      <c r="D1357" s="113">
        <v>8627</v>
      </c>
      <c r="E1357" s="113">
        <v>1354</v>
      </c>
      <c r="F1357" s="113">
        <v>101</v>
      </c>
      <c r="G1357" s="113">
        <v>102.7</v>
      </c>
      <c r="H1357" s="113">
        <v>95.7</v>
      </c>
      <c r="I1357" s="113">
        <v>7.6</v>
      </c>
      <c r="J1357" s="113">
        <v>83.52</v>
      </c>
      <c r="K1357" s="113">
        <v>-34</v>
      </c>
    </row>
    <row r="1358" spans="2:11" x14ac:dyDescent="0.25">
      <c r="B1358" s="202"/>
      <c r="C1358" s="113">
        <v>233.48099999999999</v>
      </c>
      <c r="D1358" s="113">
        <v>8628</v>
      </c>
      <c r="E1358" s="113">
        <v>1355</v>
      </c>
      <c r="F1358" s="113">
        <v>100</v>
      </c>
      <c r="G1358" s="113">
        <v>102.9</v>
      </c>
      <c r="H1358" s="113">
        <v>94.9</v>
      </c>
      <c r="I1358" s="113">
        <v>8.1999999999999993</v>
      </c>
      <c r="J1358" s="113">
        <v>80.37</v>
      </c>
      <c r="K1358" s="113">
        <v>-38.299999999999997</v>
      </c>
    </row>
    <row r="1359" spans="2:11" x14ac:dyDescent="0.25">
      <c r="B1359" s="202"/>
      <c r="C1359" s="113">
        <v>233.51599999999999</v>
      </c>
      <c r="D1359" s="113">
        <v>8629</v>
      </c>
      <c r="E1359" s="113">
        <v>1356</v>
      </c>
      <c r="F1359" s="113">
        <v>101</v>
      </c>
      <c r="G1359" s="113">
        <v>102.5</v>
      </c>
      <c r="H1359" s="113">
        <v>94.3</v>
      </c>
      <c r="I1359" s="113">
        <v>8</v>
      </c>
      <c r="J1359" s="113">
        <v>78.33</v>
      </c>
      <c r="K1359" s="113">
        <v>-41.4</v>
      </c>
    </row>
    <row r="1360" spans="2:11" x14ac:dyDescent="0.25">
      <c r="B1360" s="202"/>
      <c r="C1360" s="113">
        <v>233.55099999999999</v>
      </c>
      <c r="D1360" s="113">
        <v>8630</v>
      </c>
      <c r="E1360" s="113">
        <v>1357</v>
      </c>
      <c r="F1360" s="113">
        <v>100</v>
      </c>
      <c r="G1360" s="113">
        <v>102.2</v>
      </c>
      <c r="H1360" s="113">
        <v>93.5</v>
      </c>
      <c r="I1360" s="113">
        <v>8.3000000000000007</v>
      </c>
      <c r="J1360" s="113">
        <v>70.91</v>
      </c>
      <c r="K1360" s="113">
        <v>-42</v>
      </c>
    </row>
    <row r="1361" spans="2:11" x14ac:dyDescent="0.25">
      <c r="B1361" s="202"/>
      <c r="C1361" s="113">
        <v>233.58600000000001</v>
      </c>
      <c r="D1361" s="113">
        <v>8631</v>
      </c>
      <c r="E1361" s="113">
        <v>1358</v>
      </c>
      <c r="F1361" s="113">
        <v>100</v>
      </c>
      <c r="G1361" s="113">
        <v>101.7</v>
      </c>
      <c r="H1361" s="113">
        <v>93</v>
      </c>
      <c r="I1361" s="113">
        <v>8.1999999999999993</v>
      </c>
      <c r="J1361" s="113">
        <v>69.61</v>
      </c>
      <c r="K1361" s="113">
        <v>-41.9</v>
      </c>
    </row>
    <row r="1362" spans="2:11" x14ac:dyDescent="0.25">
      <c r="B1362" s="202"/>
      <c r="C1362" s="113">
        <v>233.62100000000001</v>
      </c>
      <c r="D1362" s="113">
        <v>8632</v>
      </c>
      <c r="E1362" s="113">
        <v>1359</v>
      </c>
      <c r="F1362" s="113">
        <v>100</v>
      </c>
      <c r="G1362" s="113">
        <v>101.4</v>
      </c>
      <c r="H1362" s="113">
        <v>92.3</v>
      </c>
      <c r="I1362" s="113">
        <v>8.1999999999999993</v>
      </c>
      <c r="J1362" s="113">
        <v>65.930000000000007</v>
      </c>
      <c r="K1362" s="113">
        <v>-41.7</v>
      </c>
    </row>
    <row r="1363" spans="2:11" x14ac:dyDescent="0.25">
      <c r="B1363" s="202"/>
      <c r="C1363" s="113">
        <v>233.65600000000001</v>
      </c>
      <c r="D1363" s="113">
        <v>8633</v>
      </c>
      <c r="E1363" s="113">
        <v>1360</v>
      </c>
      <c r="F1363" s="113">
        <v>100</v>
      </c>
      <c r="G1363" s="113">
        <v>101.1</v>
      </c>
      <c r="H1363" s="113">
        <v>91.8</v>
      </c>
      <c r="I1363" s="113">
        <v>8.1999999999999993</v>
      </c>
      <c r="J1363" s="113">
        <v>66.010000000000005</v>
      </c>
      <c r="K1363" s="113">
        <v>-41.5</v>
      </c>
    </row>
    <row r="1364" spans="2:11" x14ac:dyDescent="0.25">
      <c r="B1364" s="202"/>
      <c r="C1364" s="113">
        <v>233.69200000000001</v>
      </c>
      <c r="D1364" s="113">
        <v>8634</v>
      </c>
      <c r="E1364" s="113">
        <v>1361</v>
      </c>
      <c r="F1364" s="113">
        <v>100</v>
      </c>
      <c r="G1364" s="113">
        <v>100.7</v>
      </c>
      <c r="H1364" s="113">
        <v>91.2</v>
      </c>
      <c r="I1364" s="113">
        <v>8.6999999999999993</v>
      </c>
      <c r="J1364" s="113">
        <v>65.19</v>
      </c>
      <c r="K1364" s="113">
        <v>-40.799999999999997</v>
      </c>
    </row>
    <row r="1365" spans="2:11" x14ac:dyDescent="0.25">
      <c r="B1365" s="202"/>
      <c r="C1365" s="113">
        <v>233.727</v>
      </c>
      <c r="D1365" s="113">
        <v>8635</v>
      </c>
      <c r="E1365" s="113">
        <v>1362</v>
      </c>
      <c r="F1365" s="113">
        <v>100</v>
      </c>
      <c r="G1365" s="113">
        <v>100.4</v>
      </c>
      <c r="H1365" s="113">
        <v>90.8</v>
      </c>
      <c r="I1365" s="113">
        <v>9.1</v>
      </c>
      <c r="J1365" s="113">
        <v>67.37</v>
      </c>
      <c r="K1365" s="113">
        <v>-39.700000000000003</v>
      </c>
    </row>
    <row r="1366" spans="2:11" x14ac:dyDescent="0.25">
      <c r="B1366" s="202"/>
      <c r="C1366" s="113">
        <v>233.76300000000001</v>
      </c>
      <c r="D1366" s="113">
        <v>8636</v>
      </c>
      <c r="E1366" s="113">
        <v>1363</v>
      </c>
      <c r="F1366" s="113">
        <v>99</v>
      </c>
      <c r="G1366" s="113">
        <v>99.9</v>
      </c>
      <c r="H1366" s="113">
        <v>90.3</v>
      </c>
      <c r="I1366" s="113">
        <v>11.5</v>
      </c>
      <c r="J1366" s="113">
        <v>69.599999999999994</v>
      </c>
      <c r="K1366" s="113">
        <v>-38.5</v>
      </c>
    </row>
    <row r="1367" spans="2:11" x14ac:dyDescent="0.25">
      <c r="B1367" s="202"/>
      <c r="C1367" s="113">
        <v>233.79900000000001</v>
      </c>
      <c r="D1367" s="113">
        <v>8637</v>
      </c>
      <c r="E1367" s="113">
        <v>1364</v>
      </c>
      <c r="F1367" s="113">
        <v>99</v>
      </c>
      <c r="G1367" s="113">
        <v>99.4</v>
      </c>
      <c r="H1367" s="113">
        <v>89.8</v>
      </c>
      <c r="I1367" s="113">
        <v>12.4</v>
      </c>
      <c r="J1367" s="113">
        <v>73.3</v>
      </c>
      <c r="K1367" s="113">
        <v>-38.5</v>
      </c>
    </row>
    <row r="1368" spans="2:11" x14ac:dyDescent="0.25">
      <c r="B1368" s="202"/>
      <c r="C1368" s="113">
        <v>233.83600000000001</v>
      </c>
      <c r="D1368" s="113">
        <v>8638</v>
      </c>
      <c r="E1368" s="113">
        <v>1365</v>
      </c>
      <c r="F1368" s="113">
        <v>98</v>
      </c>
      <c r="G1368" s="113">
        <v>99</v>
      </c>
      <c r="H1368" s="113">
        <v>89.3</v>
      </c>
      <c r="I1368" s="113">
        <v>15.6</v>
      </c>
      <c r="J1368" s="113">
        <v>73.680000000000007</v>
      </c>
      <c r="K1368" s="113">
        <v>-38.5</v>
      </c>
    </row>
    <row r="1369" spans="2:11" x14ac:dyDescent="0.25">
      <c r="B1369" s="202"/>
      <c r="C1369" s="113">
        <v>233.87200000000001</v>
      </c>
      <c r="D1369" s="113">
        <v>8639</v>
      </c>
      <c r="E1369" s="113">
        <v>1366</v>
      </c>
      <c r="F1369" s="113">
        <v>98</v>
      </c>
      <c r="G1369" s="113">
        <v>98.3</v>
      </c>
      <c r="H1369" s="113">
        <v>88.9</v>
      </c>
      <c r="I1369" s="113">
        <v>16.2</v>
      </c>
      <c r="J1369" s="113">
        <v>74.260000000000005</v>
      </c>
      <c r="K1369" s="113">
        <v>-42</v>
      </c>
    </row>
    <row r="1370" spans="2:11" x14ac:dyDescent="0.25">
      <c r="B1370" s="202"/>
      <c r="C1370" s="113">
        <v>233.90799999999999</v>
      </c>
      <c r="D1370" s="113">
        <v>8640</v>
      </c>
      <c r="E1370" s="113">
        <v>1367</v>
      </c>
      <c r="F1370" s="113">
        <v>98</v>
      </c>
      <c r="G1370" s="113">
        <v>98.2</v>
      </c>
      <c r="H1370" s="113">
        <v>88.7</v>
      </c>
      <c r="I1370" s="113">
        <v>16</v>
      </c>
      <c r="J1370" s="113">
        <v>72.12</v>
      </c>
      <c r="K1370" s="113">
        <v>-45.1</v>
      </c>
    </row>
    <row r="1371" spans="2:11" x14ac:dyDescent="0.25">
      <c r="B1371" s="202"/>
      <c r="C1371" s="113">
        <v>233.94399999999999</v>
      </c>
      <c r="D1371" s="113">
        <v>8641</v>
      </c>
      <c r="E1371" s="113">
        <v>1368</v>
      </c>
      <c r="F1371" s="113">
        <v>98</v>
      </c>
      <c r="G1371" s="113">
        <v>98.1</v>
      </c>
      <c r="H1371" s="113">
        <v>88.3</v>
      </c>
      <c r="I1371" s="113">
        <v>14.3</v>
      </c>
      <c r="J1371" s="113">
        <v>71.83</v>
      </c>
      <c r="K1371" s="113">
        <v>-47.2</v>
      </c>
    </row>
    <row r="1372" spans="2:11" x14ac:dyDescent="0.25">
      <c r="B1372" s="202"/>
      <c r="C1372" s="113">
        <v>233.98099999999999</v>
      </c>
      <c r="D1372" s="113">
        <v>8642</v>
      </c>
      <c r="E1372" s="113">
        <v>1369</v>
      </c>
      <c r="F1372" s="113">
        <v>97</v>
      </c>
      <c r="G1372" s="113">
        <v>97.7</v>
      </c>
      <c r="H1372" s="113">
        <v>88.1</v>
      </c>
      <c r="I1372" s="113">
        <v>13.8</v>
      </c>
      <c r="J1372" s="113">
        <v>71.52</v>
      </c>
      <c r="K1372" s="113">
        <v>-47.9</v>
      </c>
    </row>
    <row r="1373" spans="2:11" x14ac:dyDescent="0.25">
      <c r="B1373" s="202"/>
      <c r="C1373" s="113">
        <v>234.018</v>
      </c>
      <c r="D1373" s="113">
        <v>8643</v>
      </c>
      <c r="E1373" s="113">
        <v>1370</v>
      </c>
      <c r="F1373" s="113">
        <v>97</v>
      </c>
      <c r="G1373" s="113">
        <v>97.3</v>
      </c>
      <c r="H1373" s="113">
        <v>87.9</v>
      </c>
      <c r="I1373" s="113">
        <v>13.7</v>
      </c>
      <c r="J1373" s="113">
        <v>72.05</v>
      </c>
      <c r="K1373" s="113">
        <v>-48</v>
      </c>
    </row>
    <row r="1374" spans="2:11" x14ac:dyDescent="0.25">
      <c r="B1374" s="202"/>
      <c r="C1374" s="113">
        <v>234.05500000000001</v>
      </c>
      <c r="D1374" s="113">
        <v>8644</v>
      </c>
      <c r="E1374" s="113">
        <v>1371</v>
      </c>
      <c r="F1374" s="113">
        <v>97</v>
      </c>
      <c r="G1374" s="113">
        <v>97</v>
      </c>
      <c r="H1374" s="113">
        <v>87.8</v>
      </c>
      <c r="I1374" s="113">
        <v>13.6</v>
      </c>
      <c r="J1374" s="113">
        <v>72.63</v>
      </c>
      <c r="K1374" s="113">
        <v>-47.5</v>
      </c>
    </row>
    <row r="1375" spans="2:11" x14ac:dyDescent="0.25">
      <c r="B1375" s="202"/>
      <c r="C1375" s="113">
        <v>234.09200000000001</v>
      </c>
      <c r="D1375" s="113">
        <v>8645</v>
      </c>
      <c r="E1375" s="113">
        <v>1372</v>
      </c>
      <c r="F1375" s="113">
        <v>96</v>
      </c>
      <c r="G1375" s="113">
        <v>96.8</v>
      </c>
      <c r="H1375" s="113">
        <v>87.8</v>
      </c>
      <c r="I1375" s="113">
        <v>13.2</v>
      </c>
      <c r="J1375" s="113">
        <v>72.27</v>
      </c>
      <c r="K1375" s="113">
        <v>-41.1</v>
      </c>
    </row>
    <row r="1376" spans="2:11" x14ac:dyDescent="0.25">
      <c r="B1376" s="202"/>
      <c r="C1376" s="113">
        <v>234.12899999999999</v>
      </c>
      <c r="D1376" s="113">
        <v>8646</v>
      </c>
      <c r="E1376" s="113">
        <v>1373</v>
      </c>
      <c r="F1376" s="113">
        <v>96</v>
      </c>
      <c r="G1376" s="113">
        <v>96.1</v>
      </c>
      <c r="H1376" s="113">
        <v>87.7</v>
      </c>
      <c r="I1376" s="113">
        <v>16.3</v>
      </c>
      <c r="J1376" s="113">
        <v>74.42</v>
      </c>
      <c r="K1376" s="113">
        <v>-28.1</v>
      </c>
    </row>
    <row r="1377" spans="2:11" x14ac:dyDescent="0.25">
      <c r="B1377" s="202"/>
      <c r="C1377" s="113">
        <v>234.166</v>
      </c>
      <c r="D1377" s="113">
        <v>8647</v>
      </c>
      <c r="E1377" s="113">
        <v>1374</v>
      </c>
      <c r="F1377" s="113">
        <v>96</v>
      </c>
      <c r="G1377" s="113">
        <v>95.6</v>
      </c>
      <c r="H1377" s="113">
        <v>87.5</v>
      </c>
      <c r="I1377" s="113">
        <v>16.2</v>
      </c>
      <c r="J1377" s="113">
        <v>77.650000000000006</v>
      </c>
      <c r="K1377" s="113">
        <v>-12.4</v>
      </c>
    </row>
    <row r="1378" spans="2:11" x14ac:dyDescent="0.25">
      <c r="B1378" s="202"/>
      <c r="C1378" s="113">
        <v>234.20400000000001</v>
      </c>
      <c r="D1378" s="113">
        <v>8648</v>
      </c>
      <c r="E1378" s="113">
        <v>1375</v>
      </c>
      <c r="F1378" s="113">
        <v>95</v>
      </c>
      <c r="G1378" s="113">
        <v>95</v>
      </c>
      <c r="H1378" s="113">
        <v>87.2</v>
      </c>
      <c r="I1378" s="113">
        <v>17.899999999999999</v>
      </c>
      <c r="J1378" s="113">
        <v>75.94</v>
      </c>
      <c r="K1378" s="113">
        <v>-12.4</v>
      </c>
    </row>
    <row r="1379" spans="2:11" x14ac:dyDescent="0.25">
      <c r="B1379" s="202"/>
      <c r="C1379" s="113">
        <v>234.24100000000001</v>
      </c>
      <c r="D1379" s="113">
        <v>8649</v>
      </c>
      <c r="E1379" s="113">
        <v>1376</v>
      </c>
      <c r="F1379" s="113">
        <v>95</v>
      </c>
      <c r="G1379" s="113">
        <v>94.2</v>
      </c>
      <c r="H1379" s="113">
        <v>86.9</v>
      </c>
      <c r="I1379" s="113">
        <v>17.3</v>
      </c>
      <c r="J1379" s="113">
        <v>71.56</v>
      </c>
      <c r="K1379" s="113">
        <v>-13.3</v>
      </c>
    </row>
    <row r="1380" spans="2:11" x14ac:dyDescent="0.25">
      <c r="B1380" s="202"/>
      <c r="C1380" s="113">
        <v>234.279</v>
      </c>
      <c r="D1380" s="113">
        <v>8649</v>
      </c>
      <c r="E1380" s="113">
        <v>1377</v>
      </c>
      <c r="F1380" s="113">
        <v>94</v>
      </c>
      <c r="G1380" s="113">
        <v>94</v>
      </c>
      <c r="H1380" s="113">
        <v>86.6</v>
      </c>
      <c r="I1380" s="113">
        <v>15.2</v>
      </c>
      <c r="J1380" s="113">
        <v>68.37</v>
      </c>
      <c r="K1380" s="113">
        <v>-20.5</v>
      </c>
    </row>
    <row r="1381" spans="2:11" x14ac:dyDescent="0.25">
      <c r="B1381" s="202"/>
      <c r="C1381" s="113">
        <v>234.31800000000001</v>
      </c>
      <c r="D1381" s="113">
        <v>8651</v>
      </c>
      <c r="E1381" s="113">
        <v>1378</v>
      </c>
      <c r="F1381" s="113">
        <v>94</v>
      </c>
      <c r="G1381" s="113">
        <v>93.9</v>
      </c>
      <c r="H1381" s="113">
        <v>86.3</v>
      </c>
      <c r="I1381" s="113">
        <v>12.2</v>
      </c>
      <c r="J1381" s="113">
        <v>64.739999999999995</v>
      </c>
      <c r="K1381" s="113">
        <v>-30.1</v>
      </c>
    </row>
    <row r="1382" spans="2:11" x14ac:dyDescent="0.25">
      <c r="B1382" s="202"/>
      <c r="C1382" s="113">
        <v>234.35599999999999</v>
      </c>
      <c r="D1382" s="113">
        <v>8652</v>
      </c>
      <c r="E1382" s="113">
        <v>1379</v>
      </c>
      <c r="F1382" s="113">
        <v>94</v>
      </c>
      <c r="G1382" s="113">
        <v>94</v>
      </c>
      <c r="H1382" s="113">
        <v>85.9</v>
      </c>
      <c r="I1382" s="113">
        <v>11.3</v>
      </c>
      <c r="J1382" s="113">
        <v>66.400000000000006</v>
      </c>
      <c r="K1382" s="113">
        <v>-35.299999999999997</v>
      </c>
    </row>
    <row r="1383" spans="2:11" x14ac:dyDescent="0.25">
      <c r="B1383" s="202"/>
      <c r="C1383" s="113">
        <v>234.39400000000001</v>
      </c>
      <c r="D1383" s="113">
        <v>8653</v>
      </c>
      <c r="E1383" s="113">
        <v>1380</v>
      </c>
      <c r="F1383" s="113">
        <v>94</v>
      </c>
      <c r="G1383" s="113">
        <v>93.9</v>
      </c>
      <c r="H1383" s="113">
        <v>85.5</v>
      </c>
      <c r="I1383" s="113">
        <v>11.3</v>
      </c>
      <c r="J1383" s="113">
        <v>69.989999999999995</v>
      </c>
      <c r="K1383" s="113">
        <v>-39.799999999999997</v>
      </c>
    </row>
    <row r="1384" spans="2:11" x14ac:dyDescent="0.25">
      <c r="B1384" s="202"/>
      <c r="C1384" s="113">
        <v>234.43299999999999</v>
      </c>
      <c r="D1384" s="113">
        <v>8654</v>
      </c>
      <c r="E1384" s="113">
        <v>1381</v>
      </c>
      <c r="F1384" s="113">
        <v>94</v>
      </c>
      <c r="G1384" s="113">
        <v>92.8</v>
      </c>
      <c r="H1384" s="113">
        <v>85</v>
      </c>
      <c r="I1384" s="113">
        <v>13</v>
      </c>
      <c r="J1384" s="113">
        <v>69.2</v>
      </c>
      <c r="K1384" s="113">
        <v>-54.3</v>
      </c>
    </row>
    <row r="1385" spans="2:11" x14ac:dyDescent="0.25">
      <c r="B1385" s="202"/>
      <c r="C1385" s="113">
        <v>234.471</v>
      </c>
      <c r="D1385" s="113">
        <v>8655</v>
      </c>
      <c r="E1385" s="113">
        <v>1382</v>
      </c>
      <c r="F1385" s="113">
        <v>95</v>
      </c>
      <c r="G1385" s="113">
        <v>93</v>
      </c>
      <c r="H1385" s="113">
        <v>84.6</v>
      </c>
      <c r="I1385" s="113">
        <v>16.5</v>
      </c>
      <c r="J1385" s="113">
        <v>68.34</v>
      </c>
      <c r="K1385" s="113">
        <v>-70.5</v>
      </c>
    </row>
    <row r="1386" spans="2:11" x14ac:dyDescent="0.25">
      <c r="B1386" s="202"/>
      <c r="C1386" s="113">
        <v>234.51</v>
      </c>
      <c r="D1386" s="113">
        <v>8656</v>
      </c>
      <c r="E1386" s="113">
        <v>1383</v>
      </c>
      <c r="F1386" s="113">
        <v>95</v>
      </c>
      <c r="G1386" s="113">
        <v>92.8</v>
      </c>
      <c r="H1386" s="113">
        <v>84.1</v>
      </c>
      <c r="I1386" s="113">
        <v>15.6</v>
      </c>
      <c r="J1386" s="113">
        <v>65.52</v>
      </c>
      <c r="K1386" s="113">
        <v>-62.7</v>
      </c>
    </row>
    <row r="1387" spans="2:11" x14ac:dyDescent="0.25">
      <c r="B1387" s="202"/>
      <c r="C1387" s="113">
        <v>234.548</v>
      </c>
      <c r="D1387" s="113">
        <v>8657</v>
      </c>
      <c r="E1387" s="113">
        <v>1384</v>
      </c>
      <c r="F1387" s="113">
        <v>95</v>
      </c>
      <c r="G1387" s="113">
        <v>92.8</v>
      </c>
      <c r="H1387" s="113">
        <v>83.8</v>
      </c>
      <c r="I1387" s="113">
        <v>13.7</v>
      </c>
      <c r="J1387" s="113">
        <v>63.53</v>
      </c>
      <c r="K1387" s="113">
        <v>-53.5</v>
      </c>
    </row>
    <row r="1388" spans="2:11" x14ac:dyDescent="0.25">
      <c r="B1388" s="202"/>
      <c r="C1388" s="113">
        <v>234.58699999999999</v>
      </c>
      <c r="D1388" s="113">
        <v>8658</v>
      </c>
      <c r="E1388" s="113">
        <v>1385</v>
      </c>
      <c r="F1388" s="113">
        <v>96</v>
      </c>
      <c r="G1388" s="113">
        <v>93</v>
      </c>
      <c r="H1388" s="113">
        <v>83.7</v>
      </c>
      <c r="I1388" s="113">
        <v>14.1</v>
      </c>
      <c r="J1388" s="113">
        <v>63.28</v>
      </c>
      <c r="K1388" s="113">
        <v>-48.5</v>
      </c>
    </row>
    <row r="1389" spans="2:11" x14ac:dyDescent="0.25">
      <c r="B1389" s="202"/>
      <c r="C1389" s="113">
        <v>234.626</v>
      </c>
      <c r="D1389" s="113">
        <v>8659</v>
      </c>
      <c r="E1389" s="113">
        <v>1386</v>
      </c>
      <c r="F1389" s="113">
        <v>96</v>
      </c>
      <c r="G1389" s="113">
        <v>93.3</v>
      </c>
      <c r="H1389" s="113">
        <v>83.5</v>
      </c>
      <c r="I1389" s="113">
        <v>14.4</v>
      </c>
      <c r="J1389" s="113">
        <v>60.59</v>
      </c>
      <c r="K1389" s="113">
        <v>-48.5</v>
      </c>
    </row>
    <row r="1390" spans="2:11" x14ac:dyDescent="0.25">
      <c r="B1390" s="202"/>
      <c r="C1390" s="113">
        <v>234.66399999999999</v>
      </c>
      <c r="D1390" s="113">
        <v>8660</v>
      </c>
      <c r="E1390" s="113">
        <v>1387</v>
      </c>
      <c r="F1390" s="113">
        <v>96</v>
      </c>
      <c r="G1390" s="113">
        <v>93.3</v>
      </c>
      <c r="H1390" s="113">
        <v>83.5</v>
      </c>
      <c r="I1390" s="113">
        <v>16.2</v>
      </c>
      <c r="J1390" s="113">
        <v>60.51</v>
      </c>
      <c r="K1390" s="113">
        <v>-48</v>
      </c>
    </row>
    <row r="1391" spans="2:11" x14ac:dyDescent="0.25">
      <c r="B1391" s="202"/>
      <c r="C1391" s="113">
        <v>234.702</v>
      </c>
      <c r="D1391" s="113">
        <v>8661</v>
      </c>
      <c r="E1391" s="113">
        <v>1388</v>
      </c>
      <c r="F1391" s="113">
        <v>96</v>
      </c>
      <c r="G1391" s="113">
        <v>93.1</v>
      </c>
      <c r="H1391" s="113">
        <v>83.5</v>
      </c>
      <c r="I1391" s="113">
        <v>16.8</v>
      </c>
      <c r="J1391" s="113">
        <v>60.43</v>
      </c>
      <c r="K1391" s="113">
        <v>-47.1</v>
      </c>
    </row>
    <row r="1392" spans="2:11" x14ac:dyDescent="0.25">
      <c r="B1392" s="202"/>
      <c r="C1392" s="113">
        <v>234.74100000000001</v>
      </c>
      <c r="D1392" s="113">
        <v>8662</v>
      </c>
      <c r="E1392" s="113">
        <v>1389</v>
      </c>
      <c r="F1392" s="113">
        <v>96</v>
      </c>
      <c r="G1392" s="113">
        <v>93.1</v>
      </c>
      <c r="H1392" s="113">
        <v>83.5</v>
      </c>
      <c r="I1392" s="113">
        <v>18.100000000000001</v>
      </c>
      <c r="J1392" s="113">
        <v>60.44</v>
      </c>
      <c r="K1392" s="113">
        <v>-48.1</v>
      </c>
    </row>
    <row r="1393" spans="2:11" x14ac:dyDescent="0.25">
      <c r="B1393" s="202"/>
      <c r="C1393" s="113">
        <v>234.78</v>
      </c>
      <c r="D1393" s="113">
        <v>8663</v>
      </c>
      <c r="E1393" s="113">
        <v>1390</v>
      </c>
      <c r="F1393" s="113">
        <v>96</v>
      </c>
      <c r="G1393" s="113">
        <v>92.9</v>
      </c>
      <c r="H1393" s="113">
        <v>83.7</v>
      </c>
      <c r="I1393" s="113">
        <v>19.8</v>
      </c>
      <c r="J1393" s="113">
        <v>62.88</v>
      </c>
      <c r="K1393" s="113">
        <v>-50.1</v>
      </c>
    </row>
    <row r="1394" spans="2:11" x14ac:dyDescent="0.25">
      <c r="B1394" s="202"/>
      <c r="C1394" s="113">
        <v>234.81800000000001</v>
      </c>
      <c r="D1394" s="113">
        <v>8664</v>
      </c>
      <c r="E1394" s="113">
        <v>1391</v>
      </c>
      <c r="F1394" s="113">
        <v>96</v>
      </c>
      <c r="G1394" s="113">
        <v>92.7</v>
      </c>
      <c r="H1394" s="113">
        <v>83.7</v>
      </c>
      <c r="I1394" s="113">
        <v>19.600000000000001</v>
      </c>
      <c r="J1394" s="113">
        <v>60.01</v>
      </c>
      <c r="K1394" s="113">
        <v>-51.4</v>
      </c>
    </row>
    <row r="1395" spans="2:11" x14ac:dyDescent="0.25">
      <c r="B1395" s="202"/>
      <c r="C1395" s="113">
        <v>234.857</v>
      </c>
      <c r="D1395" s="113">
        <v>8665</v>
      </c>
      <c r="E1395" s="113">
        <v>1392</v>
      </c>
      <c r="F1395" s="113">
        <v>96</v>
      </c>
      <c r="G1395" s="113">
        <v>92.5</v>
      </c>
      <c r="H1395" s="113">
        <v>83.9</v>
      </c>
      <c r="I1395" s="113">
        <v>18.5</v>
      </c>
      <c r="J1395" s="113">
        <v>59.45</v>
      </c>
      <c r="K1395" s="113">
        <v>-52.4</v>
      </c>
    </row>
    <row r="1396" spans="2:11" x14ac:dyDescent="0.25">
      <c r="B1396" s="202"/>
      <c r="C1396" s="113">
        <v>234.89599999999999</v>
      </c>
      <c r="D1396" s="113">
        <v>8666</v>
      </c>
      <c r="E1396" s="113">
        <v>1393</v>
      </c>
      <c r="F1396" s="113">
        <v>96</v>
      </c>
      <c r="G1396" s="113">
        <v>92.4</v>
      </c>
      <c r="H1396" s="113">
        <v>84</v>
      </c>
      <c r="I1396" s="113">
        <v>17.2</v>
      </c>
      <c r="J1396" s="113">
        <v>55.05</v>
      </c>
      <c r="K1396" s="113">
        <v>-53.7</v>
      </c>
    </row>
    <row r="1397" spans="2:11" x14ac:dyDescent="0.25">
      <c r="B1397" s="202"/>
      <c r="C1397" s="113">
        <v>234.935</v>
      </c>
      <c r="D1397" s="113">
        <v>8667</v>
      </c>
      <c r="E1397" s="113">
        <v>1394</v>
      </c>
      <c r="F1397" s="113">
        <v>96</v>
      </c>
      <c r="G1397" s="113">
        <v>92.2</v>
      </c>
      <c r="H1397" s="113">
        <v>84.1</v>
      </c>
      <c r="I1397" s="113">
        <v>15.1</v>
      </c>
      <c r="J1397" s="113">
        <v>51.62</v>
      </c>
      <c r="K1397" s="113">
        <v>-55.1</v>
      </c>
    </row>
    <row r="1398" spans="2:11" x14ac:dyDescent="0.25">
      <c r="B1398" s="202"/>
      <c r="C1398" s="113">
        <v>234.97399999999999</v>
      </c>
      <c r="D1398" s="113">
        <v>8668</v>
      </c>
      <c r="E1398" s="113">
        <v>1395</v>
      </c>
      <c r="F1398" s="113">
        <v>97</v>
      </c>
      <c r="G1398" s="113">
        <v>92.3</v>
      </c>
      <c r="H1398" s="113">
        <v>84.3</v>
      </c>
      <c r="I1398" s="113">
        <v>11.4</v>
      </c>
      <c r="J1398" s="113">
        <v>46.75</v>
      </c>
      <c r="K1398" s="113">
        <v>-56.2</v>
      </c>
    </row>
    <row r="1399" spans="2:11" x14ac:dyDescent="0.25">
      <c r="B1399" s="202"/>
      <c r="C1399" s="113">
        <v>235.012</v>
      </c>
      <c r="D1399" s="113">
        <v>8669</v>
      </c>
      <c r="E1399" s="113">
        <v>1396</v>
      </c>
      <c r="F1399" s="113">
        <v>97</v>
      </c>
      <c r="G1399" s="113">
        <v>92.8</v>
      </c>
      <c r="H1399" s="113">
        <v>84.5</v>
      </c>
      <c r="I1399" s="113">
        <v>7.9</v>
      </c>
      <c r="J1399" s="113">
        <v>43.63</v>
      </c>
      <c r="K1399" s="113">
        <v>-56.2</v>
      </c>
    </row>
    <row r="1400" spans="2:11" x14ac:dyDescent="0.25">
      <c r="B1400" s="202"/>
      <c r="C1400" s="113">
        <v>235.05099999999999</v>
      </c>
      <c r="D1400" s="113">
        <v>8670</v>
      </c>
      <c r="E1400" s="113">
        <v>1397</v>
      </c>
      <c r="F1400" s="113">
        <v>97</v>
      </c>
      <c r="G1400" s="113">
        <v>93.3</v>
      </c>
      <c r="H1400" s="113">
        <v>84.7</v>
      </c>
      <c r="I1400" s="113">
        <v>6.4</v>
      </c>
      <c r="J1400" s="113">
        <v>42.28</v>
      </c>
      <c r="K1400" s="113">
        <v>-55.5</v>
      </c>
    </row>
    <row r="1401" spans="2:11" x14ac:dyDescent="0.25">
      <c r="B1401" s="202"/>
      <c r="C1401" s="113">
        <v>235.09</v>
      </c>
      <c r="D1401" s="113">
        <v>8671</v>
      </c>
      <c r="E1401" s="113">
        <v>1398</v>
      </c>
      <c r="F1401" s="113">
        <v>97</v>
      </c>
      <c r="G1401" s="113">
        <v>93.6</v>
      </c>
      <c r="H1401" s="113">
        <v>84.8</v>
      </c>
      <c r="I1401" s="113">
        <v>7</v>
      </c>
      <c r="J1401" s="113">
        <v>50.88</v>
      </c>
      <c r="K1401" s="113">
        <v>-53.7</v>
      </c>
    </row>
    <row r="1402" spans="2:11" x14ac:dyDescent="0.25">
      <c r="B1402" s="202"/>
      <c r="C1402" s="113">
        <v>235.12799999999999</v>
      </c>
      <c r="D1402" s="113">
        <v>8672</v>
      </c>
      <c r="E1402" s="113">
        <v>1399</v>
      </c>
      <c r="F1402" s="113">
        <v>96</v>
      </c>
      <c r="G1402" s="113">
        <v>93.4</v>
      </c>
      <c r="H1402" s="113">
        <v>84.9</v>
      </c>
      <c r="I1402" s="113">
        <v>9.6999999999999993</v>
      </c>
      <c r="J1402" s="113">
        <v>53.45</v>
      </c>
      <c r="K1402" s="113">
        <v>-50.7</v>
      </c>
    </row>
    <row r="1403" spans="2:11" x14ac:dyDescent="0.25">
      <c r="B1403" s="202"/>
      <c r="C1403" s="113">
        <v>235.166</v>
      </c>
      <c r="D1403" s="113">
        <v>8673</v>
      </c>
      <c r="E1403" s="113">
        <v>1400</v>
      </c>
      <c r="F1403" s="113">
        <v>95</v>
      </c>
      <c r="G1403" s="113">
        <v>93.3</v>
      </c>
      <c r="H1403" s="113">
        <v>85</v>
      </c>
      <c r="I1403" s="113">
        <v>14.1</v>
      </c>
      <c r="J1403" s="113">
        <v>57.27</v>
      </c>
      <c r="K1403" s="113">
        <v>-31.9</v>
      </c>
    </row>
    <row r="1404" spans="2:11" x14ac:dyDescent="0.25">
      <c r="B1404" s="202"/>
      <c r="C1404" s="113">
        <v>235.20500000000001</v>
      </c>
      <c r="D1404" s="113">
        <v>8674</v>
      </c>
      <c r="E1404" s="113">
        <v>1401</v>
      </c>
      <c r="F1404" s="113">
        <v>94</v>
      </c>
      <c r="G1404" s="113">
        <v>93</v>
      </c>
      <c r="H1404" s="113">
        <v>85.1</v>
      </c>
      <c r="I1404" s="113">
        <v>16.600000000000001</v>
      </c>
      <c r="J1404" s="113">
        <v>61.5</v>
      </c>
      <c r="K1404" s="113">
        <v>-16.5</v>
      </c>
    </row>
    <row r="1405" spans="2:11" x14ac:dyDescent="0.25">
      <c r="B1405" s="202"/>
      <c r="C1405" s="113">
        <v>235.244</v>
      </c>
      <c r="D1405" s="113">
        <v>8675</v>
      </c>
      <c r="E1405" s="113">
        <v>1402</v>
      </c>
      <c r="F1405" s="113">
        <v>95</v>
      </c>
      <c r="G1405" s="113">
        <v>93</v>
      </c>
      <c r="H1405" s="113">
        <v>85.1</v>
      </c>
      <c r="I1405" s="113">
        <v>16.3</v>
      </c>
      <c r="J1405" s="113">
        <v>60.7</v>
      </c>
      <c r="K1405" s="113">
        <v>-33.9</v>
      </c>
    </row>
    <row r="1406" spans="2:11" x14ac:dyDescent="0.25">
      <c r="B1406" s="202"/>
      <c r="C1406" s="113">
        <v>235.28200000000001</v>
      </c>
      <c r="D1406" s="113">
        <v>8676</v>
      </c>
      <c r="E1406" s="113">
        <v>1403</v>
      </c>
      <c r="F1406" s="113">
        <v>95</v>
      </c>
      <c r="G1406" s="113">
        <v>93.2</v>
      </c>
      <c r="H1406" s="113">
        <v>85.1</v>
      </c>
      <c r="I1406" s="113">
        <v>15.9</v>
      </c>
      <c r="J1406" s="113">
        <v>65.2</v>
      </c>
      <c r="K1406" s="113">
        <v>-50.1</v>
      </c>
    </row>
    <row r="1407" spans="2:11" x14ac:dyDescent="0.25">
      <c r="B1407" s="202"/>
      <c r="C1407" s="113">
        <v>235.321</v>
      </c>
      <c r="D1407" s="113">
        <v>8677</v>
      </c>
      <c r="E1407" s="113">
        <v>1404</v>
      </c>
      <c r="F1407" s="113">
        <v>95</v>
      </c>
      <c r="G1407" s="113">
        <v>92.2</v>
      </c>
      <c r="H1407" s="113">
        <v>85.1</v>
      </c>
      <c r="I1407" s="113">
        <v>16.5</v>
      </c>
      <c r="J1407" s="113">
        <v>71.069999999999993</v>
      </c>
      <c r="K1407" s="113">
        <v>-53.5</v>
      </c>
    </row>
    <row r="1408" spans="2:11" x14ac:dyDescent="0.25">
      <c r="B1408" s="202"/>
      <c r="C1408" s="113">
        <v>235.35900000000001</v>
      </c>
      <c r="D1408" s="113">
        <v>8678</v>
      </c>
      <c r="E1408" s="113">
        <v>1405</v>
      </c>
      <c r="F1408" s="113">
        <v>92</v>
      </c>
      <c r="G1408" s="113">
        <v>91.3</v>
      </c>
      <c r="H1408" s="113">
        <v>85</v>
      </c>
      <c r="I1408" s="113">
        <v>16.8</v>
      </c>
      <c r="J1408" s="113">
        <v>61.36</v>
      </c>
      <c r="K1408" s="113">
        <v>-56</v>
      </c>
    </row>
    <row r="1409" spans="2:11" x14ac:dyDescent="0.25">
      <c r="B1409" s="202"/>
      <c r="C1409" s="113">
        <v>235.399</v>
      </c>
      <c r="D1409" s="113">
        <v>8679</v>
      </c>
      <c r="E1409" s="113">
        <v>1406</v>
      </c>
      <c r="F1409" s="113">
        <v>91</v>
      </c>
      <c r="G1409" s="113">
        <v>92.3</v>
      </c>
      <c r="H1409" s="113">
        <v>84.9</v>
      </c>
      <c r="I1409" s="113">
        <v>15.1</v>
      </c>
      <c r="J1409" s="113">
        <v>74</v>
      </c>
      <c r="K1409" s="113">
        <v>-56.5</v>
      </c>
    </row>
    <row r="1410" spans="2:11" x14ac:dyDescent="0.25">
      <c r="B1410" s="202"/>
      <c r="C1410" s="113">
        <v>235.43799999999999</v>
      </c>
      <c r="D1410" s="113">
        <v>8680</v>
      </c>
      <c r="E1410" s="113">
        <v>1407</v>
      </c>
      <c r="F1410" s="113">
        <v>91</v>
      </c>
      <c r="G1410" s="113">
        <v>91.9</v>
      </c>
      <c r="H1410" s="113">
        <v>84.7</v>
      </c>
      <c r="I1410" s="113">
        <v>9.3000000000000007</v>
      </c>
      <c r="J1410" s="113">
        <v>68.58</v>
      </c>
      <c r="K1410" s="113">
        <v>-56.5</v>
      </c>
    </row>
    <row r="1411" spans="2:11" x14ac:dyDescent="0.25">
      <c r="B1411" s="202"/>
      <c r="C1411" s="113">
        <v>235.477</v>
      </c>
      <c r="D1411" s="113">
        <v>8681</v>
      </c>
      <c r="E1411" s="113">
        <v>1408</v>
      </c>
      <c r="F1411" s="113">
        <v>91</v>
      </c>
      <c r="G1411" s="113">
        <v>91.7</v>
      </c>
      <c r="H1411" s="113">
        <v>84.5</v>
      </c>
      <c r="I1411" s="113">
        <v>13.3</v>
      </c>
      <c r="J1411" s="113">
        <v>81.67</v>
      </c>
      <c r="K1411" s="113">
        <v>-55.4</v>
      </c>
    </row>
    <row r="1412" spans="2:11" x14ac:dyDescent="0.25">
      <c r="B1412" s="202"/>
      <c r="C1412" s="113">
        <v>235.51599999999999</v>
      </c>
      <c r="D1412" s="113">
        <v>8682</v>
      </c>
      <c r="E1412" s="113">
        <v>1409</v>
      </c>
      <c r="F1412" s="113">
        <v>90</v>
      </c>
      <c r="G1412" s="113">
        <v>91.1</v>
      </c>
      <c r="H1412" s="113">
        <v>84.3</v>
      </c>
      <c r="I1412" s="113">
        <v>17.8</v>
      </c>
      <c r="J1412" s="113">
        <v>81.209999999999994</v>
      </c>
      <c r="K1412" s="113">
        <v>-54.1</v>
      </c>
    </row>
    <row r="1413" spans="2:11" x14ac:dyDescent="0.25">
      <c r="B1413" s="202"/>
      <c r="C1413" s="113">
        <v>235.55600000000001</v>
      </c>
      <c r="D1413" s="113">
        <v>8683</v>
      </c>
      <c r="E1413" s="113">
        <v>1410</v>
      </c>
      <c r="F1413" s="113">
        <v>90</v>
      </c>
      <c r="G1413" s="113">
        <v>90.5</v>
      </c>
      <c r="H1413" s="113">
        <v>83.9</v>
      </c>
      <c r="I1413" s="113">
        <v>17.600000000000001</v>
      </c>
      <c r="J1413" s="113">
        <v>78.13</v>
      </c>
      <c r="K1413" s="113">
        <v>-53.3</v>
      </c>
    </row>
    <row r="1414" spans="2:11" x14ac:dyDescent="0.25">
      <c r="B1414" s="202"/>
      <c r="C1414" s="113">
        <v>235.595</v>
      </c>
      <c r="D1414" s="113">
        <v>8684</v>
      </c>
      <c r="E1414" s="113">
        <v>1411</v>
      </c>
      <c r="F1414" s="113">
        <v>90</v>
      </c>
      <c r="G1414" s="113">
        <v>90.4</v>
      </c>
      <c r="H1414" s="113">
        <v>83.6</v>
      </c>
      <c r="I1414" s="113">
        <v>15.8</v>
      </c>
      <c r="J1414" s="113">
        <v>75.650000000000006</v>
      </c>
      <c r="K1414" s="113">
        <v>-52.6</v>
      </c>
    </row>
    <row r="1415" spans="2:11" x14ac:dyDescent="0.25">
      <c r="B1415" s="202"/>
      <c r="C1415" s="113">
        <v>235.63499999999999</v>
      </c>
      <c r="D1415" s="113">
        <v>8685</v>
      </c>
      <c r="E1415" s="113">
        <v>1412</v>
      </c>
      <c r="F1415" s="113">
        <v>89</v>
      </c>
      <c r="G1415" s="113">
        <v>89.5</v>
      </c>
      <c r="H1415" s="113">
        <v>83.2</v>
      </c>
      <c r="I1415" s="113">
        <v>15.9</v>
      </c>
      <c r="J1415" s="113">
        <v>75.66</v>
      </c>
      <c r="K1415" s="113">
        <v>-51.3</v>
      </c>
    </row>
    <row r="1416" spans="2:11" x14ac:dyDescent="0.25">
      <c r="B1416" s="202"/>
      <c r="C1416" s="113">
        <v>235.67500000000001</v>
      </c>
      <c r="D1416" s="113">
        <v>8686</v>
      </c>
      <c r="E1416" s="113">
        <v>1413</v>
      </c>
      <c r="F1416" s="113">
        <v>89</v>
      </c>
      <c r="G1416" s="113">
        <v>89.1</v>
      </c>
      <c r="H1416" s="113">
        <v>82.8</v>
      </c>
      <c r="I1416" s="113">
        <v>18.8</v>
      </c>
      <c r="J1416" s="113">
        <v>85.02</v>
      </c>
      <c r="K1416" s="113">
        <v>-49.7</v>
      </c>
    </row>
    <row r="1417" spans="2:11" x14ac:dyDescent="0.25">
      <c r="B1417" s="202"/>
      <c r="C1417" s="113">
        <v>235.715</v>
      </c>
      <c r="D1417" s="113">
        <v>8687</v>
      </c>
      <c r="E1417" s="113">
        <v>1414</v>
      </c>
      <c r="F1417" s="113">
        <v>88</v>
      </c>
      <c r="G1417" s="113">
        <v>88.2</v>
      </c>
      <c r="H1417" s="113">
        <v>82.4</v>
      </c>
      <c r="I1417" s="113">
        <v>21.2</v>
      </c>
      <c r="J1417" s="113">
        <v>85.88</v>
      </c>
      <c r="K1417" s="113">
        <v>-52</v>
      </c>
    </row>
    <row r="1418" spans="2:11" x14ac:dyDescent="0.25">
      <c r="B1418" s="202"/>
      <c r="C1418" s="113">
        <v>235.756</v>
      </c>
      <c r="D1418" s="113">
        <v>8688</v>
      </c>
      <c r="E1418" s="113">
        <v>1415</v>
      </c>
      <c r="F1418" s="113">
        <v>88</v>
      </c>
      <c r="G1418" s="113">
        <v>87.6</v>
      </c>
      <c r="H1418" s="113">
        <v>82</v>
      </c>
      <c r="I1418" s="113">
        <v>22</v>
      </c>
      <c r="J1418" s="113">
        <v>81.86</v>
      </c>
      <c r="K1418" s="113">
        <v>-55</v>
      </c>
    </row>
    <row r="1419" spans="2:11" x14ac:dyDescent="0.25">
      <c r="B1419" s="202"/>
      <c r="C1419" s="113">
        <v>235.797</v>
      </c>
      <c r="D1419" s="113">
        <v>8689</v>
      </c>
      <c r="E1419" s="113">
        <v>1416</v>
      </c>
      <c r="F1419" s="113">
        <v>88</v>
      </c>
      <c r="G1419" s="113">
        <v>86.8</v>
      </c>
      <c r="H1419" s="113">
        <v>81.599999999999994</v>
      </c>
      <c r="I1419" s="113">
        <v>20.100000000000001</v>
      </c>
      <c r="J1419" s="113">
        <v>78.260000000000005</v>
      </c>
      <c r="K1419" s="113">
        <v>-55.5</v>
      </c>
    </row>
    <row r="1420" spans="2:11" x14ac:dyDescent="0.25">
      <c r="B1420" s="202"/>
      <c r="C1420" s="113">
        <v>235.83799999999999</v>
      </c>
      <c r="D1420" s="113">
        <v>8690</v>
      </c>
      <c r="E1420" s="113">
        <v>1417</v>
      </c>
      <c r="F1420" s="113">
        <v>88</v>
      </c>
      <c r="G1420" s="113">
        <v>86.9</v>
      </c>
      <c r="H1420" s="113">
        <v>81.2</v>
      </c>
      <c r="I1420" s="113">
        <v>16.7</v>
      </c>
      <c r="J1420" s="113">
        <v>70.3</v>
      </c>
      <c r="K1420" s="113">
        <v>-55.5</v>
      </c>
    </row>
    <row r="1421" spans="2:11" x14ac:dyDescent="0.25">
      <c r="B1421" s="202"/>
      <c r="C1421" s="113">
        <v>235.87899999999999</v>
      </c>
      <c r="D1421" s="113">
        <v>8691</v>
      </c>
      <c r="E1421" s="113">
        <v>1418</v>
      </c>
      <c r="F1421" s="113">
        <v>89</v>
      </c>
      <c r="G1421" s="113">
        <v>86.6</v>
      </c>
      <c r="H1421" s="113">
        <v>80.900000000000006</v>
      </c>
      <c r="I1421" s="113">
        <v>14.5</v>
      </c>
      <c r="J1421" s="113">
        <v>69.87</v>
      </c>
      <c r="K1421" s="113">
        <v>-57.3</v>
      </c>
    </row>
    <row r="1422" spans="2:11" x14ac:dyDescent="0.25">
      <c r="B1422" s="202"/>
      <c r="C1422" s="113">
        <v>235.92099999999999</v>
      </c>
      <c r="D1422" s="113">
        <v>8692</v>
      </c>
      <c r="E1422" s="113">
        <v>1419</v>
      </c>
      <c r="F1422" s="113">
        <v>88</v>
      </c>
      <c r="G1422" s="113">
        <v>86.4</v>
      </c>
      <c r="H1422" s="113">
        <v>80.5</v>
      </c>
      <c r="I1422" s="113">
        <v>13.4</v>
      </c>
      <c r="J1422" s="113">
        <v>66.95</v>
      </c>
      <c r="K1422" s="113">
        <v>-59.7</v>
      </c>
    </row>
    <row r="1423" spans="2:11" x14ac:dyDescent="0.25">
      <c r="B1423" s="202"/>
      <c r="C1423" s="113">
        <v>235.96299999999999</v>
      </c>
      <c r="D1423" s="113">
        <v>8693</v>
      </c>
      <c r="E1423" s="113">
        <v>1420</v>
      </c>
      <c r="F1423" s="113">
        <v>88</v>
      </c>
      <c r="G1423" s="113">
        <v>86.2</v>
      </c>
      <c r="H1423" s="113">
        <v>80.2</v>
      </c>
      <c r="I1423" s="113">
        <v>14</v>
      </c>
      <c r="J1423" s="113">
        <v>67.09</v>
      </c>
      <c r="K1423" s="113">
        <v>-58.1</v>
      </c>
    </row>
    <row r="1424" spans="2:11" x14ac:dyDescent="0.25">
      <c r="B1424" s="202"/>
      <c r="C1424" s="113">
        <v>236.00399999999999</v>
      </c>
      <c r="D1424" s="113">
        <v>8694</v>
      </c>
      <c r="E1424" s="113">
        <v>1421</v>
      </c>
      <c r="F1424" s="113">
        <v>90</v>
      </c>
      <c r="G1424" s="113">
        <v>87.1</v>
      </c>
      <c r="H1424" s="113">
        <v>80</v>
      </c>
      <c r="I1424" s="113">
        <v>14.2</v>
      </c>
      <c r="J1424" s="113">
        <v>67.78</v>
      </c>
      <c r="K1424" s="113">
        <v>-56.3</v>
      </c>
    </row>
    <row r="1425" spans="2:11" x14ac:dyDescent="0.25">
      <c r="B1425" s="202"/>
      <c r="C1425" s="113">
        <v>236.04599999999999</v>
      </c>
      <c r="D1425" s="113">
        <v>8695</v>
      </c>
      <c r="E1425" s="113">
        <v>1422</v>
      </c>
      <c r="F1425" s="113">
        <v>90</v>
      </c>
      <c r="G1425" s="113">
        <v>86.5</v>
      </c>
      <c r="H1425" s="113">
        <v>79.8</v>
      </c>
      <c r="I1425" s="113">
        <v>15.4</v>
      </c>
      <c r="J1425" s="113">
        <v>60.61</v>
      </c>
      <c r="K1425" s="113">
        <v>-54.9</v>
      </c>
    </row>
    <row r="1426" spans="2:11" x14ac:dyDescent="0.25">
      <c r="B1426" s="202"/>
      <c r="C1426" s="113">
        <v>236.08699999999999</v>
      </c>
      <c r="D1426" s="113">
        <v>8696</v>
      </c>
      <c r="E1426" s="113">
        <v>1423</v>
      </c>
      <c r="F1426" s="113">
        <v>89</v>
      </c>
      <c r="G1426" s="113">
        <v>86.7</v>
      </c>
      <c r="H1426" s="113">
        <v>79.7</v>
      </c>
      <c r="I1426" s="113">
        <v>17.3</v>
      </c>
      <c r="J1426" s="113">
        <v>64.040000000000006</v>
      </c>
      <c r="K1426" s="113">
        <v>-51.7</v>
      </c>
    </row>
    <row r="1427" spans="2:11" x14ac:dyDescent="0.25">
      <c r="B1427" s="202"/>
      <c r="C1427" s="113">
        <v>236.12799999999999</v>
      </c>
      <c r="D1427" s="113">
        <v>8697</v>
      </c>
      <c r="E1427" s="113">
        <v>1424</v>
      </c>
      <c r="F1427" s="113">
        <v>90</v>
      </c>
      <c r="G1427" s="113">
        <v>86.5</v>
      </c>
      <c r="H1427" s="113">
        <v>79.5</v>
      </c>
      <c r="I1427" s="113">
        <v>17.2</v>
      </c>
      <c r="J1427" s="113">
        <v>61.06</v>
      </c>
      <c r="K1427" s="113">
        <v>-32.1</v>
      </c>
    </row>
    <row r="1428" spans="2:11" x14ac:dyDescent="0.25">
      <c r="B1428" s="202"/>
      <c r="C1428" s="113">
        <v>236.17</v>
      </c>
      <c r="D1428" s="113">
        <v>8698</v>
      </c>
      <c r="E1428" s="113">
        <v>1425</v>
      </c>
      <c r="F1428" s="113">
        <v>90</v>
      </c>
      <c r="G1428" s="113">
        <v>86.9</v>
      </c>
      <c r="H1428" s="113">
        <v>79.400000000000006</v>
      </c>
      <c r="I1428" s="113">
        <v>17.7</v>
      </c>
      <c r="J1428" s="113">
        <v>60.05</v>
      </c>
      <c r="K1428" s="113">
        <v>-14.3</v>
      </c>
    </row>
    <row r="1429" spans="2:11" x14ac:dyDescent="0.25">
      <c r="B1429" s="202"/>
      <c r="C1429" s="113">
        <v>236.21100000000001</v>
      </c>
      <c r="D1429" s="113">
        <v>8699</v>
      </c>
      <c r="E1429" s="113">
        <v>1426</v>
      </c>
      <c r="F1429" s="113">
        <v>90</v>
      </c>
      <c r="G1429" s="113">
        <v>86.9</v>
      </c>
      <c r="H1429" s="113">
        <v>79.3</v>
      </c>
      <c r="I1429" s="113">
        <v>18.2</v>
      </c>
      <c r="J1429" s="113">
        <v>58.75</v>
      </c>
      <c r="K1429" s="113">
        <v>-14.3</v>
      </c>
    </row>
    <row r="1430" spans="2:11" x14ac:dyDescent="0.25">
      <c r="B1430" s="202"/>
      <c r="C1430" s="113">
        <v>236.25200000000001</v>
      </c>
      <c r="D1430" s="113">
        <v>8700</v>
      </c>
      <c r="E1430" s="113">
        <v>1427</v>
      </c>
      <c r="F1430" s="113">
        <v>91</v>
      </c>
      <c r="G1430" s="113">
        <v>87.3</v>
      </c>
      <c r="H1430" s="113">
        <v>79.3</v>
      </c>
      <c r="I1430" s="113">
        <v>17.7</v>
      </c>
      <c r="J1430" s="113">
        <v>53.47</v>
      </c>
      <c r="K1430" s="113">
        <v>-16.100000000000001</v>
      </c>
    </row>
    <row r="1431" spans="2:11" x14ac:dyDescent="0.25">
      <c r="B1431" s="202"/>
      <c r="C1431" s="113">
        <v>236.29400000000001</v>
      </c>
      <c r="D1431" s="113">
        <v>8701</v>
      </c>
      <c r="E1431" s="113">
        <v>1428</v>
      </c>
      <c r="F1431" s="113">
        <v>92</v>
      </c>
      <c r="G1431" s="113">
        <v>87.6</v>
      </c>
      <c r="H1431" s="113">
        <v>79.3</v>
      </c>
      <c r="I1431" s="113">
        <v>16.5</v>
      </c>
      <c r="J1431" s="113">
        <v>51.17</v>
      </c>
      <c r="K1431" s="113">
        <v>-21.1</v>
      </c>
    </row>
    <row r="1432" spans="2:11" x14ac:dyDescent="0.25">
      <c r="B1432" s="202"/>
      <c r="C1432" s="113">
        <v>236.334</v>
      </c>
      <c r="D1432" s="113">
        <v>8702</v>
      </c>
      <c r="E1432" s="113">
        <v>1429</v>
      </c>
      <c r="F1432" s="113">
        <v>93</v>
      </c>
      <c r="G1432" s="113">
        <v>87.9</v>
      </c>
      <c r="H1432" s="113">
        <v>79.400000000000006</v>
      </c>
      <c r="I1432" s="113">
        <v>14.8</v>
      </c>
      <c r="J1432" s="113">
        <v>43.42</v>
      </c>
      <c r="K1432" s="113">
        <v>-26.3</v>
      </c>
    </row>
    <row r="1433" spans="2:11" x14ac:dyDescent="0.25">
      <c r="B1433" s="202"/>
      <c r="C1433" s="113">
        <v>236.376</v>
      </c>
      <c r="D1433" s="113">
        <v>8703</v>
      </c>
      <c r="E1433" s="113">
        <v>1430</v>
      </c>
      <c r="F1433" s="113">
        <v>94</v>
      </c>
      <c r="G1433" s="113">
        <v>88.3</v>
      </c>
      <c r="H1433" s="113">
        <v>79.8</v>
      </c>
      <c r="I1433" s="113">
        <v>13</v>
      </c>
      <c r="J1433" s="113">
        <v>39.979999999999997</v>
      </c>
      <c r="K1433" s="113">
        <v>-31.5</v>
      </c>
    </row>
    <row r="1434" spans="2:11" x14ac:dyDescent="0.25">
      <c r="B1434" s="202"/>
      <c r="C1434" s="113">
        <v>236.416</v>
      </c>
      <c r="D1434" s="113">
        <v>8704</v>
      </c>
      <c r="E1434" s="113">
        <v>1431</v>
      </c>
      <c r="F1434" s="113">
        <v>95</v>
      </c>
      <c r="G1434" s="113">
        <v>88.8</v>
      </c>
      <c r="H1434" s="113">
        <v>80.2</v>
      </c>
      <c r="I1434" s="113">
        <v>10.199999999999999</v>
      </c>
      <c r="J1434" s="113">
        <v>36.299999999999997</v>
      </c>
      <c r="K1434" s="113">
        <v>-36.700000000000003</v>
      </c>
    </row>
    <row r="1435" spans="2:11" x14ac:dyDescent="0.25">
      <c r="B1435" s="202"/>
      <c r="C1435" s="113">
        <v>236.45599999999999</v>
      </c>
      <c r="D1435" s="113">
        <v>8705</v>
      </c>
      <c r="E1435" s="113">
        <v>1432</v>
      </c>
      <c r="F1435" s="113">
        <v>95</v>
      </c>
      <c r="G1435" s="113">
        <v>89.4</v>
      </c>
      <c r="H1435" s="113">
        <v>80.599999999999994</v>
      </c>
      <c r="I1435" s="113">
        <v>9.6999999999999993</v>
      </c>
      <c r="J1435" s="113">
        <v>33.020000000000003</v>
      </c>
      <c r="K1435" s="113">
        <v>-41.7</v>
      </c>
    </row>
    <row r="1436" spans="2:11" x14ac:dyDescent="0.25">
      <c r="B1436" s="202"/>
      <c r="C1436" s="113">
        <v>236.49700000000001</v>
      </c>
      <c r="D1436" s="113">
        <v>8706</v>
      </c>
      <c r="E1436" s="113">
        <v>1433</v>
      </c>
      <c r="F1436" s="113">
        <v>96</v>
      </c>
      <c r="G1436" s="113">
        <v>90</v>
      </c>
      <c r="H1436" s="113">
        <v>81.2</v>
      </c>
      <c r="I1436" s="113">
        <v>9.6999999999999993</v>
      </c>
      <c r="J1436" s="113">
        <v>33.46</v>
      </c>
      <c r="K1436" s="113">
        <v>-45.1</v>
      </c>
    </row>
    <row r="1437" spans="2:11" x14ac:dyDescent="0.25">
      <c r="B1437" s="202"/>
      <c r="C1437" s="113">
        <v>236.536</v>
      </c>
      <c r="D1437" s="113">
        <v>8707</v>
      </c>
      <c r="E1437" s="113">
        <v>1434</v>
      </c>
      <c r="F1437" s="113">
        <v>96</v>
      </c>
      <c r="G1437" s="113">
        <v>90.4</v>
      </c>
      <c r="H1437" s="113">
        <v>81.8</v>
      </c>
      <c r="I1437" s="113">
        <v>10.199999999999999</v>
      </c>
      <c r="J1437" s="113">
        <v>29.77</v>
      </c>
      <c r="K1437" s="113">
        <v>-45.1</v>
      </c>
    </row>
    <row r="1438" spans="2:11" x14ac:dyDescent="0.25">
      <c r="B1438" s="202"/>
      <c r="C1438" s="113">
        <v>236.57599999999999</v>
      </c>
      <c r="D1438" s="113">
        <v>8708</v>
      </c>
      <c r="E1438" s="113">
        <v>1435</v>
      </c>
      <c r="F1438" s="113">
        <v>96</v>
      </c>
      <c r="G1438" s="113">
        <v>91.2</v>
      </c>
      <c r="H1438" s="113">
        <v>82.5</v>
      </c>
      <c r="I1438" s="113">
        <v>10.6</v>
      </c>
      <c r="J1438" s="113">
        <v>27.99</v>
      </c>
      <c r="K1438" s="113">
        <v>-45.4</v>
      </c>
    </row>
    <row r="1439" spans="2:11" x14ac:dyDescent="0.25">
      <c r="B1439" s="202"/>
      <c r="C1439" s="113">
        <v>236.61600000000001</v>
      </c>
      <c r="D1439" s="113">
        <v>8709</v>
      </c>
      <c r="E1439" s="113">
        <v>1436</v>
      </c>
      <c r="F1439" s="113">
        <v>98</v>
      </c>
      <c r="G1439" s="113">
        <v>91.8</v>
      </c>
      <c r="H1439" s="113">
        <v>83.3</v>
      </c>
      <c r="I1439" s="113">
        <v>10.5</v>
      </c>
      <c r="J1439" s="113">
        <v>32.64</v>
      </c>
      <c r="K1439" s="113">
        <v>-46.3</v>
      </c>
    </row>
    <row r="1440" spans="2:11" x14ac:dyDescent="0.25">
      <c r="B1440" s="202"/>
      <c r="C1440" s="113">
        <v>236.654</v>
      </c>
      <c r="D1440" s="113">
        <v>8710</v>
      </c>
      <c r="E1440" s="113">
        <v>1437</v>
      </c>
      <c r="F1440" s="113">
        <v>99</v>
      </c>
      <c r="G1440" s="113">
        <v>92.8</v>
      </c>
      <c r="H1440" s="113">
        <v>84.1</v>
      </c>
      <c r="I1440" s="113">
        <v>11.1</v>
      </c>
      <c r="J1440" s="113">
        <v>36.32</v>
      </c>
      <c r="K1440" s="113">
        <v>-52.2</v>
      </c>
    </row>
    <row r="1441" spans="2:11" x14ac:dyDescent="0.25">
      <c r="B1441" s="202"/>
      <c r="C1441" s="113">
        <v>236.69300000000001</v>
      </c>
      <c r="D1441" s="113">
        <v>8711</v>
      </c>
      <c r="E1441" s="113">
        <v>1438</v>
      </c>
      <c r="F1441" s="113">
        <v>99</v>
      </c>
      <c r="G1441" s="113">
        <v>93.5</v>
      </c>
      <c r="H1441" s="113">
        <v>85</v>
      </c>
      <c r="I1441" s="113">
        <v>13.9</v>
      </c>
      <c r="J1441" s="113">
        <v>36.85</v>
      </c>
      <c r="K1441" s="113">
        <v>-67.900000000000006</v>
      </c>
    </row>
    <row r="1442" spans="2:11" x14ac:dyDescent="0.25">
      <c r="B1442" s="202"/>
      <c r="C1442" s="113">
        <v>236.732</v>
      </c>
      <c r="D1442" s="113">
        <v>8712</v>
      </c>
      <c r="E1442" s="113">
        <v>1439</v>
      </c>
      <c r="F1442" s="113">
        <v>99</v>
      </c>
      <c r="G1442" s="113">
        <v>93.6</v>
      </c>
      <c r="H1442" s="113">
        <v>85.9</v>
      </c>
      <c r="I1442" s="113">
        <v>17.899999999999999</v>
      </c>
      <c r="J1442" s="113">
        <v>35.69</v>
      </c>
      <c r="K1442" s="114">
        <v>-73.7</v>
      </c>
    </row>
    <row r="1443" spans="2:11" x14ac:dyDescent="0.25">
      <c r="B1443" s="202"/>
      <c r="C1443" s="113">
        <v>236.77</v>
      </c>
      <c r="D1443" s="113">
        <v>8713</v>
      </c>
      <c r="E1443" s="113">
        <v>1440</v>
      </c>
      <c r="F1443" s="113">
        <v>99</v>
      </c>
      <c r="G1443" s="113">
        <v>94.1</v>
      </c>
      <c r="H1443" s="113">
        <v>86.7</v>
      </c>
      <c r="I1443" s="113">
        <v>18</v>
      </c>
      <c r="J1443" s="113">
        <v>33.19</v>
      </c>
      <c r="K1443" s="113">
        <v>-60.5</v>
      </c>
    </row>
    <row r="1444" spans="2:11" x14ac:dyDescent="0.25">
      <c r="B1444" s="202"/>
      <c r="C1444" s="113">
        <v>236.80799999999999</v>
      </c>
      <c r="D1444" s="113">
        <v>8714</v>
      </c>
      <c r="E1444" s="113">
        <v>1441</v>
      </c>
      <c r="F1444" s="113">
        <v>100</v>
      </c>
      <c r="G1444" s="113">
        <v>94.5</v>
      </c>
      <c r="H1444" s="113">
        <v>87.2</v>
      </c>
      <c r="I1444" s="113">
        <v>17.2</v>
      </c>
      <c r="J1444" s="113">
        <v>32.71</v>
      </c>
      <c r="K1444" s="113">
        <v>-51.7</v>
      </c>
    </row>
    <row r="1445" spans="2:11" x14ac:dyDescent="0.25">
      <c r="B1445" s="202"/>
      <c r="C1445" s="113">
        <v>236.846</v>
      </c>
      <c r="D1445" s="113">
        <v>8715</v>
      </c>
      <c r="E1445" s="113">
        <v>1442</v>
      </c>
      <c r="F1445" s="113">
        <v>101</v>
      </c>
      <c r="G1445" s="113">
        <v>95.1</v>
      </c>
      <c r="H1445" s="113">
        <v>87.9</v>
      </c>
      <c r="I1445" s="113">
        <v>15.5</v>
      </c>
      <c r="J1445" s="113">
        <v>31.28</v>
      </c>
      <c r="K1445" s="113">
        <v>-49.9</v>
      </c>
    </row>
    <row r="1446" spans="2:11" x14ac:dyDescent="0.25">
      <c r="B1446" s="202"/>
      <c r="C1446" s="113">
        <v>236.88399999999999</v>
      </c>
      <c r="D1446" s="113">
        <v>8716</v>
      </c>
      <c r="E1446" s="113">
        <v>1443</v>
      </c>
      <c r="F1446" s="113">
        <v>102</v>
      </c>
      <c r="G1446" s="113">
        <v>95.7</v>
      </c>
      <c r="H1446" s="113">
        <v>88.7</v>
      </c>
      <c r="I1446" s="113">
        <v>13.9</v>
      </c>
      <c r="J1446" s="113">
        <v>26.1</v>
      </c>
      <c r="K1446" s="113">
        <v>-48.3</v>
      </c>
    </row>
    <row r="1447" spans="2:11" x14ac:dyDescent="0.25">
      <c r="B1447" s="202"/>
      <c r="C1447" s="113">
        <v>236.92099999999999</v>
      </c>
      <c r="D1447" s="113">
        <v>8717</v>
      </c>
      <c r="E1447" s="113">
        <v>1444</v>
      </c>
      <c r="F1447" s="113">
        <v>103</v>
      </c>
      <c r="G1447" s="113">
        <v>96.4</v>
      </c>
      <c r="H1447" s="113">
        <v>89.4</v>
      </c>
      <c r="I1447" s="113">
        <v>11.5</v>
      </c>
      <c r="J1447" s="113">
        <v>25.41</v>
      </c>
      <c r="K1447" s="113">
        <v>-49.2</v>
      </c>
    </row>
    <row r="1448" spans="2:11" x14ac:dyDescent="0.25">
      <c r="B1448" s="202"/>
      <c r="C1448" s="113">
        <v>236.959</v>
      </c>
      <c r="D1448" s="113">
        <v>8718</v>
      </c>
      <c r="E1448" s="113">
        <v>1445</v>
      </c>
      <c r="F1448" s="113">
        <v>105</v>
      </c>
      <c r="G1448" s="113">
        <v>96.9</v>
      </c>
      <c r="H1448" s="113">
        <v>90</v>
      </c>
      <c r="I1448" s="113">
        <v>8.6</v>
      </c>
      <c r="J1448" s="113">
        <v>21.78</v>
      </c>
      <c r="K1448" s="113">
        <v>-49.9</v>
      </c>
    </row>
    <row r="1449" spans="2:11" x14ac:dyDescent="0.25">
      <c r="B1449" s="202"/>
      <c r="C1449" s="113">
        <v>236.99600000000001</v>
      </c>
      <c r="D1449" s="113">
        <v>8719</v>
      </c>
      <c r="E1449" s="113">
        <v>1446</v>
      </c>
      <c r="F1449" s="113">
        <v>105</v>
      </c>
      <c r="G1449" s="113">
        <v>98.1</v>
      </c>
      <c r="H1449" s="113">
        <v>90.7</v>
      </c>
      <c r="I1449" s="113">
        <v>6.8</v>
      </c>
      <c r="J1449" s="113">
        <v>19.53</v>
      </c>
      <c r="K1449" s="113">
        <v>-50.1</v>
      </c>
    </row>
    <row r="1450" spans="2:11" x14ac:dyDescent="0.25">
      <c r="B1450" s="202"/>
      <c r="C1450" s="113">
        <v>237.03200000000001</v>
      </c>
      <c r="D1450" s="113">
        <v>8720</v>
      </c>
      <c r="E1450" s="113">
        <v>1447</v>
      </c>
      <c r="F1450" s="113">
        <v>106</v>
      </c>
      <c r="G1450" s="113">
        <v>98.8</v>
      </c>
      <c r="H1450" s="113">
        <v>91.4</v>
      </c>
      <c r="I1450" s="113">
        <v>5.9</v>
      </c>
      <c r="J1450" s="113">
        <v>20.47</v>
      </c>
      <c r="K1450" s="113">
        <v>-50.1</v>
      </c>
    </row>
    <row r="1451" spans="2:11" x14ac:dyDescent="0.25">
      <c r="B1451" s="202"/>
      <c r="C1451" s="113">
        <v>237.06899999999999</v>
      </c>
      <c r="D1451" s="113">
        <v>8721</v>
      </c>
      <c r="E1451" s="113">
        <v>1448</v>
      </c>
      <c r="F1451" s="113">
        <v>107</v>
      </c>
      <c r="G1451" s="113">
        <v>99.5</v>
      </c>
      <c r="H1451" s="113">
        <v>91.9</v>
      </c>
      <c r="I1451" s="113">
        <v>5.7</v>
      </c>
      <c r="J1451" s="113">
        <v>19.5</v>
      </c>
      <c r="K1451" s="113">
        <v>-48.9</v>
      </c>
    </row>
    <row r="1452" spans="2:11" x14ac:dyDescent="0.25">
      <c r="B1452" s="202"/>
      <c r="C1452" s="113">
        <v>237.10499999999999</v>
      </c>
      <c r="D1452" s="113">
        <v>8722</v>
      </c>
      <c r="E1452" s="113">
        <v>1449</v>
      </c>
      <c r="F1452" s="113">
        <v>108</v>
      </c>
      <c r="G1452" s="113">
        <v>100.5</v>
      </c>
      <c r="H1452" s="113">
        <v>92.6</v>
      </c>
      <c r="I1452" s="113">
        <v>6.4</v>
      </c>
      <c r="J1452" s="113">
        <v>17.61</v>
      </c>
      <c r="K1452" s="113">
        <v>-47</v>
      </c>
    </row>
    <row r="1453" spans="2:11" x14ac:dyDescent="0.25">
      <c r="B1453" s="202"/>
      <c r="C1453" s="113">
        <v>237.14099999999999</v>
      </c>
      <c r="D1453" s="113">
        <v>8723</v>
      </c>
      <c r="E1453" s="113">
        <v>1450</v>
      </c>
      <c r="F1453" s="113">
        <v>109</v>
      </c>
      <c r="G1453" s="113">
        <v>101.5</v>
      </c>
      <c r="H1453" s="113">
        <v>93.2</v>
      </c>
      <c r="I1453" s="113">
        <v>7.2</v>
      </c>
      <c r="J1453" s="113">
        <v>23.92</v>
      </c>
      <c r="K1453" s="113">
        <v>-40.9</v>
      </c>
    </row>
    <row r="1454" spans="2:11" x14ac:dyDescent="0.25">
      <c r="B1454" s="202"/>
      <c r="C1454" s="113">
        <v>237.17599999999999</v>
      </c>
      <c r="D1454" s="113">
        <v>8724</v>
      </c>
      <c r="E1454" s="113">
        <v>1451</v>
      </c>
      <c r="F1454" s="113">
        <v>109</v>
      </c>
      <c r="G1454" s="113">
        <v>102.2</v>
      </c>
      <c r="H1454" s="113">
        <v>93.7</v>
      </c>
      <c r="I1454" s="113">
        <v>9.5</v>
      </c>
      <c r="J1454" s="113">
        <v>23.26</v>
      </c>
      <c r="K1454" s="113">
        <v>-34.1</v>
      </c>
    </row>
    <row r="1455" spans="2:11" x14ac:dyDescent="0.25">
      <c r="B1455" s="202"/>
      <c r="C1455" s="113">
        <v>237.21100000000001</v>
      </c>
      <c r="D1455" s="113">
        <v>8725</v>
      </c>
      <c r="E1455" s="113">
        <v>1452</v>
      </c>
      <c r="F1455" s="113">
        <v>109</v>
      </c>
      <c r="G1455" s="113">
        <v>103</v>
      </c>
      <c r="H1455" s="113">
        <v>94.3</v>
      </c>
      <c r="I1455" s="113">
        <v>12.6</v>
      </c>
      <c r="J1455" s="113">
        <v>21.05</v>
      </c>
      <c r="K1455" s="113">
        <v>-27.9</v>
      </c>
    </row>
    <row r="1456" spans="2:11" x14ac:dyDescent="0.25">
      <c r="B1456" s="202"/>
      <c r="C1456" s="113">
        <v>237.24600000000001</v>
      </c>
      <c r="D1456" s="113">
        <v>8726</v>
      </c>
      <c r="E1456" s="113">
        <v>1453</v>
      </c>
      <c r="F1456" s="113">
        <v>109</v>
      </c>
      <c r="G1456" s="113">
        <v>103.3</v>
      </c>
      <c r="H1456" s="113">
        <v>94.8</v>
      </c>
      <c r="I1456" s="113">
        <v>13.3</v>
      </c>
      <c r="J1456" s="113">
        <v>21.59</v>
      </c>
      <c r="K1456" s="113">
        <v>-27.3</v>
      </c>
    </row>
    <row r="1457" spans="2:11" x14ac:dyDescent="0.25">
      <c r="B1457" s="202"/>
      <c r="C1457" s="113">
        <v>237.28100000000001</v>
      </c>
      <c r="D1457" s="113">
        <v>8727</v>
      </c>
      <c r="E1457" s="113">
        <v>1454</v>
      </c>
      <c r="F1457" s="113">
        <v>111</v>
      </c>
      <c r="G1457" s="113">
        <v>103.9</v>
      </c>
      <c r="H1457" s="113">
        <v>95.5</v>
      </c>
      <c r="I1457" s="113">
        <v>12.8</v>
      </c>
      <c r="J1457" s="113">
        <v>19.96</v>
      </c>
      <c r="K1457" s="113">
        <v>-26.6</v>
      </c>
    </row>
    <row r="1458" spans="2:11" x14ac:dyDescent="0.25">
      <c r="B1458" s="202"/>
      <c r="C1458" s="113">
        <v>237.315</v>
      </c>
      <c r="D1458" s="113">
        <v>8728</v>
      </c>
      <c r="E1458" s="113">
        <v>1455</v>
      </c>
      <c r="F1458" s="113">
        <v>112</v>
      </c>
      <c r="G1458" s="113">
        <v>104.9</v>
      </c>
      <c r="H1458" s="113">
        <v>96.1</v>
      </c>
      <c r="I1458" s="113">
        <v>12</v>
      </c>
      <c r="J1458" s="113">
        <v>18.22</v>
      </c>
      <c r="K1458" s="113">
        <v>-26.6</v>
      </c>
    </row>
    <row r="1459" spans="2:11" x14ac:dyDescent="0.25">
      <c r="B1459" s="202"/>
      <c r="C1459" s="113">
        <v>237.34899999999999</v>
      </c>
      <c r="D1459" s="113">
        <v>8729</v>
      </c>
      <c r="E1459" s="113">
        <v>1456</v>
      </c>
      <c r="F1459" s="113">
        <v>113</v>
      </c>
      <c r="G1459" s="113">
        <v>105.6</v>
      </c>
      <c r="H1459" s="113">
        <v>96.8</v>
      </c>
      <c r="I1459" s="113">
        <v>11.3</v>
      </c>
      <c r="J1459" s="113">
        <v>19.18</v>
      </c>
      <c r="K1459" s="113">
        <v>-26.6</v>
      </c>
    </row>
    <row r="1460" spans="2:11" x14ac:dyDescent="0.25">
      <c r="B1460" s="202"/>
      <c r="C1460" s="113">
        <v>237.38300000000001</v>
      </c>
      <c r="D1460" s="113">
        <v>8730</v>
      </c>
      <c r="E1460" s="113">
        <v>1457</v>
      </c>
      <c r="F1460" s="113">
        <v>114</v>
      </c>
      <c r="G1460" s="113">
        <v>106.5</v>
      </c>
      <c r="H1460" s="113">
        <v>97.9</v>
      </c>
      <c r="I1460" s="113">
        <v>10.8</v>
      </c>
      <c r="J1460" s="113">
        <v>21.53</v>
      </c>
      <c r="K1460" s="113">
        <v>-26.1</v>
      </c>
    </row>
    <row r="1461" spans="2:11" x14ac:dyDescent="0.25">
      <c r="B1461" s="202"/>
      <c r="C1461" s="113">
        <v>237.417</v>
      </c>
      <c r="D1461" s="113">
        <v>8731</v>
      </c>
      <c r="E1461" s="113">
        <v>1458</v>
      </c>
      <c r="F1461" s="113">
        <v>114</v>
      </c>
      <c r="G1461" s="113">
        <v>107.1</v>
      </c>
      <c r="H1461" s="113">
        <v>98.8</v>
      </c>
      <c r="I1461" s="113">
        <v>10.9</v>
      </c>
      <c r="J1461" s="113">
        <v>17.600000000000001</v>
      </c>
      <c r="K1461" s="113">
        <v>-25.5</v>
      </c>
    </row>
    <row r="1462" spans="2:11" x14ac:dyDescent="0.25">
      <c r="B1462" s="202"/>
      <c r="C1462" s="113">
        <v>237.45099999999999</v>
      </c>
      <c r="D1462" s="113">
        <v>8732</v>
      </c>
      <c r="E1462" s="113">
        <v>1459</v>
      </c>
      <c r="F1462" s="113">
        <v>114</v>
      </c>
      <c r="G1462" s="113">
        <v>107.8</v>
      </c>
      <c r="H1462" s="113">
        <v>100.1</v>
      </c>
      <c r="I1462" s="113">
        <v>12.1</v>
      </c>
      <c r="J1462" s="113">
        <v>18.09</v>
      </c>
      <c r="K1462" s="113">
        <v>-25.1</v>
      </c>
    </row>
    <row r="1463" spans="2:11" x14ac:dyDescent="0.25">
      <c r="B1463" s="202"/>
      <c r="C1463" s="113">
        <v>237.48400000000001</v>
      </c>
      <c r="D1463" s="113">
        <v>8733</v>
      </c>
      <c r="E1463" s="113">
        <v>1460</v>
      </c>
      <c r="F1463" s="113">
        <v>115</v>
      </c>
      <c r="G1463" s="113">
        <v>108</v>
      </c>
      <c r="H1463" s="113">
        <v>101.1</v>
      </c>
      <c r="I1463" s="113">
        <v>12</v>
      </c>
      <c r="J1463" s="113">
        <v>15.72</v>
      </c>
      <c r="K1463" s="113">
        <v>-25.3</v>
      </c>
    </row>
    <row r="1464" spans="2:11" x14ac:dyDescent="0.25">
      <c r="B1464" s="202"/>
      <c r="C1464" s="113">
        <v>237.517</v>
      </c>
      <c r="D1464" s="113">
        <v>8734</v>
      </c>
      <c r="E1464" s="113">
        <v>1461</v>
      </c>
      <c r="F1464" s="113">
        <v>116</v>
      </c>
      <c r="G1464" s="113">
        <v>108.8</v>
      </c>
      <c r="H1464" s="113">
        <v>102.1</v>
      </c>
      <c r="I1464" s="113">
        <v>11.5</v>
      </c>
      <c r="J1464" s="113">
        <v>12.87</v>
      </c>
      <c r="K1464" s="113">
        <v>-25.5</v>
      </c>
    </row>
    <row r="1465" spans="2:11" x14ac:dyDescent="0.25">
      <c r="B1465" s="202"/>
      <c r="C1465" s="113">
        <v>237.55</v>
      </c>
      <c r="D1465" s="113">
        <v>8735</v>
      </c>
      <c r="E1465" s="113">
        <v>1462</v>
      </c>
      <c r="F1465" s="113">
        <v>117</v>
      </c>
      <c r="G1465" s="113">
        <v>109.6</v>
      </c>
      <c r="H1465" s="113">
        <v>103.6</v>
      </c>
      <c r="I1465" s="113">
        <v>10</v>
      </c>
      <c r="J1465" s="113">
        <v>12.32</v>
      </c>
      <c r="K1465" s="113">
        <v>-32.5</v>
      </c>
    </row>
    <row r="1466" spans="2:11" x14ac:dyDescent="0.25">
      <c r="B1466" s="202"/>
      <c r="C1466" s="113">
        <v>237.583</v>
      </c>
      <c r="D1466" s="113">
        <v>8736</v>
      </c>
      <c r="E1466" s="113">
        <v>1463</v>
      </c>
      <c r="F1466" s="113">
        <v>117</v>
      </c>
      <c r="G1466" s="113">
        <v>109.4</v>
      </c>
      <c r="H1466" s="113">
        <v>104.8</v>
      </c>
      <c r="I1466" s="113">
        <v>9.3000000000000007</v>
      </c>
      <c r="J1466" s="113">
        <v>11.78</v>
      </c>
      <c r="K1466" s="113">
        <v>-38.5</v>
      </c>
    </row>
    <row r="1467" spans="2:11" x14ac:dyDescent="0.25">
      <c r="B1467" s="202"/>
      <c r="C1467" s="113">
        <v>237.61600000000001</v>
      </c>
      <c r="D1467" s="113">
        <v>8737</v>
      </c>
      <c r="E1467" s="113">
        <v>1464</v>
      </c>
      <c r="F1467" s="113">
        <v>117</v>
      </c>
      <c r="G1467" s="113">
        <v>109.7</v>
      </c>
      <c r="H1467" s="113">
        <v>106</v>
      </c>
      <c r="I1467" s="113">
        <v>9.1</v>
      </c>
      <c r="J1467" s="113">
        <v>8.06</v>
      </c>
      <c r="K1467" s="113">
        <v>-47.5</v>
      </c>
    </row>
    <row r="1468" spans="2:11" x14ac:dyDescent="0.25">
      <c r="B1468" s="202"/>
      <c r="C1468" s="113">
        <v>237.648</v>
      </c>
      <c r="D1468" s="113">
        <v>8738</v>
      </c>
      <c r="E1468" s="113">
        <v>1465</v>
      </c>
      <c r="F1468" s="113">
        <v>118</v>
      </c>
      <c r="G1468" s="113">
        <v>110.7</v>
      </c>
      <c r="H1468" s="113">
        <v>107.2</v>
      </c>
      <c r="I1468" s="113">
        <v>6.6</v>
      </c>
      <c r="J1468" s="113">
        <v>5.48</v>
      </c>
      <c r="K1468" s="113">
        <v>-59.9</v>
      </c>
    </row>
    <row r="1469" spans="2:11" x14ac:dyDescent="0.25">
      <c r="B1469" s="202"/>
      <c r="C1469" s="113">
        <v>237.68100000000001</v>
      </c>
      <c r="D1469" s="113">
        <v>8739</v>
      </c>
      <c r="E1469" s="113">
        <v>1466</v>
      </c>
      <c r="F1469" s="113">
        <v>119</v>
      </c>
      <c r="G1469" s="113">
        <v>112.1</v>
      </c>
      <c r="H1469" s="113">
        <v>108.8</v>
      </c>
      <c r="I1469" s="113">
        <v>3.5</v>
      </c>
      <c r="J1469" s="113">
        <v>5.82</v>
      </c>
      <c r="K1469" s="113">
        <v>-73.5</v>
      </c>
    </row>
    <row r="1470" spans="2:11" x14ac:dyDescent="0.25">
      <c r="B1470" s="202"/>
      <c r="C1470" s="113">
        <v>237.71299999999999</v>
      </c>
      <c r="D1470" s="113">
        <v>8740</v>
      </c>
      <c r="E1470" s="113">
        <v>1467</v>
      </c>
      <c r="F1470" s="113">
        <v>120</v>
      </c>
      <c r="G1470" s="113">
        <v>112.5</v>
      </c>
      <c r="H1470" s="113">
        <v>110</v>
      </c>
      <c r="I1470" s="113">
        <v>3</v>
      </c>
      <c r="J1470" s="113">
        <v>5.37</v>
      </c>
      <c r="K1470" s="113">
        <v>-62.7</v>
      </c>
    </row>
    <row r="1471" spans="2:11" x14ac:dyDescent="0.25">
      <c r="B1471" s="202"/>
      <c r="C1471" s="113">
        <v>237.745</v>
      </c>
      <c r="D1471" s="113">
        <v>8741</v>
      </c>
      <c r="E1471" s="113">
        <v>1468</v>
      </c>
      <c r="F1471" s="113">
        <v>120</v>
      </c>
      <c r="G1471" s="113">
        <v>114</v>
      </c>
      <c r="H1471" s="113">
        <v>111.2</v>
      </c>
      <c r="I1471" s="113">
        <v>3.9</v>
      </c>
      <c r="J1471" s="113">
        <v>3.36</v>
      </c>
      <c r="K1471" s="113">
        <v>-52</v>
      </c>
    </row>
    <row r="1472" spans="2:11" x14ac:dyDescent="0.25">
      <c r="B1472" s="202"/>
      <c r="C1472" s="113">
        <v>237.77600000000001</v>
      </c>
      <c r="D1472" s="113">
        <v>8742</v>
      </c>
      <c r="E1472" s="113">
        <v>1469</v>
      </c>
      <c r="F1472" s="113">
        <v>120</v>
      </c>
      <c r="G1472" s="113">
        <v>115.2</v>
      </c>
      <c r="H1472" s="113">
        <v>112.1</v>
      </c>
      <c r="I1472" s="113">
        <v>3.5</v>
      </c>
      <c r="J1472" s="113">
        <v>10.94</v>
      </c>
      <c r="K1472" s="113">
        <v>-46.2</v>
      </c>
    </row>
    <row r="1473" spans="2:11" x14ac:dyDescent="0.25">
      <c r="B1473" s="202"/>
      <c r="C1473" s="113">
        <v>237.80799999999999</v>
      </c>
      <c r="D1473" s="113">
        <v>8743</v>
      </c>
      <c r="E1473" s="113">
        <v>1470</v>
      </c>
      <c r="F1473" s="113">
        <v>121</v>
      </c>
      <c r="G1473" s="113">
        <v>115.5</v>
      </c>
      <c r="H1473" s="113">
        <v>113.1</v>
      </c>
      <c r="I1473" s="113">
        <v>3.6</v>
      </c>
      <c r="J1473" s="113">
        <v>14</v>
      </c>
      <c r="K1473" s="113">
        <v>-46.2</v>
      </c>
    </row>
    <row r="1474" spans="2:11" x14ac:dyDescent="0.25">
      <c r="B1474" s="202"/>
      <c r="C1474" s="113">
        <v>237.839</v>
      </c>
      <c r="D1474" s="113">
        <v>8744</v>
      </c>
      <c r="E1474" s="113">
        <v>1471</v>
      </c>
      <c r="F1474" s="113">
        <v>121</v>
      </c>
      <c r="G1474" s="113">
        <v>116.5</v>
      </c>
      <c r="H1474" s="113">
        <v>114.1</v>
      </c>
      <c r="I1474" s="113">
        <v>4.5999999999999996</v>
      </c>
      <c r="J1474" s="113">
        <v>11.14</v>
      </c>
      <c r="K1474" s="113">
        <v>-46.2</v>
      </c>
    </row>
    <row r="1475" spans="2:11" x14ac:dyDescent="0.25">
      <c r="B1475" s="202"/>
      <c r="C1475" s="113">
        <v>237.869</v>
      </c>
      <c r="D1475" s="113">
        <v>8745</v>
      </c>
      <c r="E1475" s="113">
        <v>1472</v>
      </c>
      <c r="F1475" s="113">
        <v>121</v>
      </c>
      <c r="G1475" s="113">
        <v>116.8</v>
      </c>
      <c r="H1475" s="113">
        <v>114.9</v>
      </c>
      <c r="I1475" s="113">
        <v>5.2</v>
      </c>
      <c r="J1475" s="113">
        <v>10.09</v>
      </c>
      <c r="K1475" s="113">
        <v>-48.9</v>
      </c>
    </row>
    <row r="1476" spans="2:11" x14ac:dyDescent="0.25">
      <c r="B1476" s="202"/>
      <c r="C1476" s="113">
        <v>237.9</v>
      </c>
      <c r="D1476" s="113">
        <v>8746</v>
      </c>
      <c r="E1476" s="113">
        <v>1473</v>
      </c>
      <c r="F1476" s="113">
        <v>121</v>
      </c>
      <c r="G1476" s="113">
        <v>116.6</v>
      </c>
      <c r="H1476" s="113">
        <v>116</v>
      </c>
      <c r="I1476" s="113">
        <v>5.2</v>
      </c>
      <c r="J1476" s="113">
        <v>8.93</v>
      </c>
      <c r="K1476" s="113">
        <v>-53.3</v>
      </c>
    </row>
    <row r="1477" spans="2:11" x14ac:dyDescent="0.25">
      <c r="B1477" s="202"/>
      <c r="C1477" s="113">
        <v>237.93100000000001</v>
      </c>
      <c r="D1477" s="113">
        <v>8747</v>
      </c>
      <c r="E1477" s="113">
        <v>1474</v>
      </c>
      <c r="F1477" s="113">
        <v>121</v>
      </c>
      <c r="G1477" s="113">
        <v>116.5</v>
      </c>
      <c r="H1477" s="113">
        <v>116.9</v>
      </c>
      <c r="I1477" s="113">
        <v>5.3</v>
      </c>
      <c r="J1477" s="113">
        <v>5.97</v>
      </c>
      <c r="K1477" s="113">
        <v>-50.1</v>
      </c>
    </row>
    <row r="1478" spans="2:11" x14ac:dyDescent="0.25">
      <c r="B1478" s="202"/>
      <c r="C1478" s="113">
        <v>237.96199999999999</v>
      </c>
      <c r="D1478" s="113">
        <v>8748</v>
      </c>
      <c r="E1478" s="113">
        <v>1475</v>
      </c>
      <c r="F1478" s="113">
        <v>121</v>
      </c>
      <c r="G1478" s="113">
        <v>116.4</v>
      </c>
      <c r="H1478" s="113">
        <v>117.6</v>
      </c>
      <c r="I1478" s="113">
        <v>4.5</v>
      </c>
      <c r="J1478" s="113">
        <v>4.2699999999999996</v>
      </c>
      <c r="K1478" s="113">
        <v>-39</v>
      </c>
    </row>
    <row r="1479" spans="2:11" x14ac:dyDescent="0.25">
      <c r="B1479" s="202"/>
      <c r="C1479" s="113">
        <v>237.99299999999999</v>
      </c>
      <c r="D1479" s="113">
        <v>8749</v>
      </c>
      <c r="E1479" s="113">
        <v>1476</v>
      </c>
      <c r="F1479" s="113">
        <v>123</v>
      </c>
      <c r="G1479" s="113">
        <v>116.3</v>
      </c>
      <c r="H1479" s="113">
        <v>118.3</v>
      </c>
      <c r="I1479" s="113">
        <v>2.9</v>
      </c>
      <c r="J1479" s="113">
        <v>1.83</v>
      </c>
      <c r="K1479" s="113">
        <v>-27.9</v>
      </c>
    </row>
    <row r="1480" spans="2:11" x14ac:dyDescent="0.25">
      <c r="B1480" s="202"/>
      <c r="C1480" s="113">
        <v>238.023</v>
      </c>
      <c r="D1480" s="113">
        <v>8750</v>
      </c>
      <c r="E1480" s="113">
        <v>1477</v>
      </c>
      <c r="F1480" s="113">
        <v>123</v>
      </c>
      <c r="G1480" s="113">
        <v>115.9</v>
      </c>
      <c r="H1480" s="113">
        <v>119.1</v>
      </c>
      <c r="I1480" s="113">
        <v>1.9</v>
      </c>
      <c r="J1480" s="113">
        <v>0.66</v>
      </c>
      <c r="K1480" s="113">
        <v>-25.9</v>
      </c>
    </row>
    <row r="1481" spans="2:11" x14ac:dyDescent="0.25">
      <c r="B1481" s="202"/>
      <c r="C1481" s="113">
        <v>238.054</v>
      </c>
      <c r="D1481" s="113">
        <v>8751</v>
      </c>
      <c r="E1481" s="113">
        <v>1478</v>
      </c>
      <c r="F1481" s="113">
        <v>123</v>
      </c>
      <c r="G1481" s="113">
        <v>115.6</v>
      </c>
      <c r="H1481" s="113">
        <v>119.8</v>
      </c>
      <c r="I1481" s="113">
        <v>1.9</v>
      </c>
      <c r="J1481" s="113">
        <v>0.02</v>
      </c>
      <c r="K1481" s="113">
        <v>-26.3</v>
      </c>
    </row>
    <row r="1482" spans="2:11" x14ac:dyDescent="0.25">
      <c r="B1482" s="202"/>
      <c r="C1482" s="113">
        <v>238.08600000000001</v>
      </c>
      <c r="D1482" s="113">
        <v>8752</v>
      </c>
      <c r="E1482" s="113">
        <v>1479</v>
      </c>
      <c r="F1482" s="113">
        <v>123</v>
      </c>
      <c r="G1482" s="113">
        <v>115.3</v>
      </c>
      <c r="H1482" s="113">
        <v>120.6</v>
      </c>
      <c r="I1482" s="113">
        <v>2.4</v>
      </c>
      <c r="J1482" s="113">
        <v>-0.06</v>
      </c>
      <c r="K1482" s="113">
        <v>-25.6</v>
      </c>
    </row>
    <row r="1483" spans="2:11" x14ac:dyDescent="0.25">
      <c r="B1483" s="202"/>
      <c r="C1483" s="113">
        <v>238.11600000000001</v>
      </c>
      <c r="D1483" s="113">
        <v>8753</v>
      </c>
      <c r="E1483" s="113">
        <v>1480</v>
      </c>
      <c r="F1483" s="113">
        <v>124</v>
      </c>
      <c r="G1483" s="113">
        <v>115.1</v>
      </c>
      <c r="H1483" s="113">
        <v>121.4</v>
      </c>
      <c r="I1483" s="113">
        <v>2.7</v>
      </c>
      <c r="J1483" s="113">
        <v>-0.03</v>
      </c>
      <c r="K1483" s="113">
        <v>-17.5</v>
      </c>
    </row>
    <row r="1484" spans="2:11" x14ac:dyDescent="0.25">
      <c r="B1484" s="202"/>
      <c r="C1484" s="113">
        <v>238.148</v>
      </c>
      <c r="D1484" s="113">
        <v>8754</v>
      </c>
      <c r="E1484" s="113">
        <v>1481</v>
      </c>
      <c r="F1484" s="113">
        <v>125</v>
      </c>
      <c r="G1484" s="113">
        <v>116.3</v>
      </c>
      <c r="H1484" s="113">
        <v>122.1</v>
      </c>
      <c r="I1484" s="113">
        <v>2.2000000000000002</v>
      </c>
      <c r="J1484" s="113">
        <v>-0.1</v>
      </c>
      <c r="K1484" s="113">
        <v>-9.4</v>
      </c>
    </row>
    <row r="1485" spans="2:11" ht="15.75" thickBot="1" x14ac:dyDescent="0.3">
      <c r="B1485" s="202"/>
      <c r="C1485" s="113">
        <v>238.179</v>
      </c>
      <c r="D1485" s="113">
        <v>8755</v>
      </c>
      <c r="E1485" s="113">
        <v>1482</v>
      </c>
      <c r="F1485" s="113">
        <v>126</v>
      </c>
      <c r="G1485" s="113">
        <v>118.8</v>
      </c>
      <c r="H1485" s="113">
        <v>122.9</v>
      </c>
      <c r="I1485" s="113">
        <v>2.2000000000000002</v>
      </c>
      <c r="J1485" s="113">
        <v>0.08</v>
      </c>
      <c r="K1485" s="113">
        <v>-5</v>
      </c>
    </row>
    <row r="1486" spans="2:11" x14ac:dyDescent="0.25">
      <c r="B1486" s="184" t="s">
        <v>195</v>
      </c>
      <c r="C1486" s="113">
        <v>238.209</v>
      </c>
      <c r="D1486" s="113">
        <v>8756</v>
      </c>
      <c r="E1486" s="113">
        <v>1483</v>
      </c>
      <c r="F1486" s="113">
        <v>126</v>
      </c>
      <c r="G1486" s="113">
        <v>122.4</v>
      </c>
      <c r="H1486" s="113">
        <v>123.6</v>
      </c>
      <c r="I1486" s="113">
        <v>2.8</v>
      </c>
      <c r="J1486" s="113">
        <v>4.62</v>
      </c>
      <c r="K1486" s="113">
        <v>-5</v>
      </c>
    </row>
    <row r="1487" spans="2:11" x14ac:dyDescent="0.25">
      <c r="B1487" s="185"/>
      <c r="C1487" s="113">
        <v>238.238</v>
      </c>
      <c r="D1487" s="113">
        <v>8757</v>
      </c>
      <c r="E1487" s="113">
        <v>1484</v>
      </c>
      <c r="F1487" s="113">
        <v>127</v>
      </c>
      <c r="G1487" s="113">
        <v>124.7</v>
      </c>
      <c r="H1487" s="113">
        <v>124.3</v>
      </c>
      <c r="I1487" s="113">
        <v>4</v>
      </c>
      <c r="J1487" s="113">
        <v>6.76</v>
      </c>
      <c r="K1487" s="113">
        <v>-5</v>
      </c>
    </row>
    <row r="1488" spans="2:11" x14ac:dyDescent="0.25">
      <c r="B1488" s="185"/>
      <c r="C1488" s="113">
        <v>238.267</v>
      </c>
      <c r="D1488" s="113">
        <v>8758</v>
      </c>
      <c r="E1488" s="113">
        <v>1485</v>
      </c>
      <c r="F1488" s="113">
        <v>127</v>
      </c>
      <c r="G1488" s="113">
        <v>125.6</v>
      </c>
      <c r="H1488" s="113">
        <v>125.2</v>
      </c>
      <c r="I1488" s="113">
        <v>5.2</v>
      </c>
      <c r="J1488" s="113">
        <v>9.5299999999999994</v>
      </c>
      <c r="K1488" s="113">
        <v>-7</v>
      </c>
    </row>
    <row r="1489" spans="2:11" x14ac:dyDescent="0.25">
      <c r="B1489" s="185"/>
      <c r="C1489" s="113">
        <v>238.29599999999999</v>
      </c>
      <c r="D1489" s="113">
        <v>8759</v>
      </c>
      <c r="E1489" s="113">
        <v>1486</v>
      </c>
      <c r="F1489" s="113">
        <v>127</v>
      </c>
      <c r="G1489" s="113">
        <v>125.9</v>
      </c>
      <c r="H1489" s="113">
        <v>126</v>
      </c>
      <c r="I1489" s="113">
        <v>5.4</v>
      </c>
      <c r="J1489" s="113">
        <v>9.64</v>
      </c>
      <c r="K1489" s="113">
        <v>-9.6</v>
      </c>
    </row>
    <row r="1490" spans="2:11" x14ac:dyDescent="0.25">
      <c r="B1490" s="185"/>
      <c r="C1490" s="113">
        <v>238.32400000000001</v>
      </c>
      <c r="D1490" s="113">
        <v>8760</v>
      </c>
      <c r="E1490" s="113">
        <v>1487</v>
      </c>
      <c r="F1490" s="113">
        <v>128</v>
      </c>
      <c r="G1490" s="113">
        <v>126</v>
      </c>
      <c r="H1490" s="113">
        <v>126.9</v>
      </c>
      <c r="I1490" s="113">
        <v>5.4</v>
      </c>
      <c r="J1490" s="113">
        <v>7.44</v>
      </c>
      <c r="K1490" s="113">
        <v>-11.7</v>
      </c>
    </row>
    <row r="1491" spans="2:11" x14ac:dyDescent="0.25">
      <c r="B1491" s="185"/>
      <c r="C1491" s="113">
        <v>238.352</v>
      </c>
      <c r="D1491" s="113">
        <v>8761</v>
      </c>
      <c r="E1491" s="113">
        <v>1488</v>
      </c>
      <c r="F1491" s="113">
        <v>130</v>
      </c>
      <c r="G1491" s="113">
        <v>126.6</v>
      </c>
      <c r="H1491" s="113">
        <v>127.7</v>
      </c>
      <c r="I1491" s="113">
        <v>4</v>
      </c>
      <c r="J1491" s="113">
        <v>5.98</v>
      </c>
      <c r="K1491" s="113">
        <v>-11.1</v>
      </c>
    </row>
    <row r="1492" spans="2:11" x14ac:dyDescent="0.25">
      <c r="B1492" s="185"/>
      <c r="C1492" s="113">
        <v>238.381</v>
      </c>
      <c r="D1492" s="113">
        <v>8762</v>
      </c>
      <c r="E1492" s="113">
        <v>1489</v>
      </c>
      <c r="F1492" s="113">
        <v>131</v>
      </c>
      <c r="G1492" s="113">
        <v>126.5</v>
      </c>
      <c r="H1492" s="113">
        <v>128.6</v>
      </c>
      <c r="I1492" s="113">
        <v>2.7</v>
      </c>
      <c r="J1492" s="113">
        <v>4.3600000000000003</v>
      </c>
      <c r="K1492" s="113">
        <v>-10.4</v>
      </c>
    </row>
    <row r="1493" spans="2:11" x14ac:dyDescent="0.25">
      <c r="B1493" s="185"/>
      <c r="C1493" s="113">
        <v>238.40899999999999</v>
      </c>
      <c r="D1493" s="113">
        <v>8763</v>
      </c>
      <c r="E1493" s="113">
        <v>1490</v>
      </c>
      <c r="F1493" s="113">
        <v>132</v>
      </c>
      <c r="G1493" s="113">
        <v>126.3</v>
      </c>
      <c r="H1493" s="113">
        <v>129.1</v>
      </c>
      <c r="I1493" s="113">
        <v>1.9</v>
      </c>
      <c r="J1493" s="113">
        <v>3.03</v>
      </c>
      <c r="K1493" s="113">
        <v>-9.8000000000000007</v>
      </c>
    </row>
    <row r="1494" spans="2:11" x14ac:dyDescent="0.25">
      <c r="B1494" s="185"/>
      <c r="C1494" s="113">
        <v>238.43799999999999</v>
      </c>
      <c r="D1494" s="113">
        <v>8764</v>
      </c>
      <c r="E1494" s="113">
        <v>1491</v>
      </c>
      <c r="F1494" s="113">
        <v>132</v>
      </c>
      <c r="G1494" s="113">
        <v>125.9</v>
      </c>
      <c r="H1494" s="113">
        <v>129.9</v>
      </c>
      <c r="I1494" s="113">
        <v>1.8</v>
      </c>
      <c r="J1494" s="113">
        <v>1.34</v>
      </c>
      <c r="K1494" s="113">
        <v>-8.1</v>
      </c>
    </row>
    <row r="1495" spans="2:11" x14ac:dyDescent="0.25">
      <c r="B1495" s="185"/>
      <c r="C1495" s="113">
        <v>238.46600000000001</v>
      </c>
      <c r="D1495" s="113">
        <v>8765</v>
      </c>
      <c r="E1495" s="113">
        <v>1492</v>
      </c>
      <c r="F1495" s="113">
        <v>133</v>
      </c>
      <c r="G1495" s="113">
        <v>125.6</v>
      </c>
      <c r="H1495" s="113">
        <v>130.69999999999999</v>
      </c>
      <c r="I1495" s="113">
        <v>1.7</v>
      </c>
      <c r="J1495" s="113">
        <v>0.45</v>
      </c>
      <c r="K1495" s="113">
        <v>-6.5</v>
      </c>
    </row>
    <row r="1496" spans="2:11" x14ac:dyDescent="0.25">
      <c r="B1496" s="185"/>
      <c r="C1496" s="113">
        <v>238.495</v>
      </c>
      <c r="D1496" s="113">
        <v>8766</v>
      </c>
      <c r="E1496" s="113">
        <v>1493</v>
      </c>
      <c r="F1496" s="113">
        <v>134</v>
      </c>
      <c r="G1496" s="113">
        <v>125.3</v>
      </c>
      <c r="H1496" s="113">
        <v>131.5</v>
      </c>
      <c r="I1496" s="113">
        <v>1.5</v>
      </c>
      <c r="J1496" s="113">
        <v>-0.03</v>
      </c>
      <c r="K1496" s="113">
        <v>-4.2</v>
      </c>
    </row>
    <row r="1497" spans="2:11" x14ac:dyDescent="0.25">
      <c r="B1497" s="185"/>
      <c r="C1497" s="113">
        <v>238.524</v>
      </c>
      <c r="D1497" s="113">
        <v>8767</v>
      </c>
      <c r="E1497" s="113">
        <v>1494</v>
      </c>
      <c r="F1497" s="113">
        <v>134</v>
      </c>
      <c r="G1497" s="113">
        <v>125.4</v>
      </c>
      <c r="H1497" s="113">
        <v>132.30000000000001</v>
      </c>
      <c r="I1497" s="113">
        <v>1.7</v>
      </c>
      <c r="J1497" s="113">
        <v>-0.08</v>
      </c>
      <c r="K1497" s="113">
        <v>-1.1000000000000001</v>
      </c>
    </row>
    <row r="1498" spans="2:11" x14ac:dyDescent="0.25">
      <c r="B1498" s="185"/>
      <c r="C1498" s="113">
        <v>238.55199999999999</v>
      </c>
      <c r="D1498" s="113">
        <v>8768</v>
      </c>
      <c r="E1498" s="113">
        <v>1495</v>
      </c>
      <c r="F1498" s="113">
        <v>135</v>
      </c>
      <c r="G1498" s="113">
        <v>127.6</v>
      </c>
      <c r="H1498" s="113">
        <v>133</v>
      </c>
      <c r="I1498" s="113">
        <v>3.2</v>
      </c>
      <c r="J1498" s="113">
        <v>-0.02</v>
      </c>
      <c r="K1498" s="113">
        <v>1.9</v>
      </c>
    </row>
    <row r="1499" spans="2:11" x14ac:dyDescent="0.25">
      <c r="B1499" s="185"/>
      <c r="C1499" s="113">
        <v>238.58099999999999</v>
      </c>
      <c r="D1499" s="113">
        <v>8769</v>
      </c>
      <c r="E1499" s="113">
        <v>1496</v>
      </c>
      <c r="F1499" s="113">
        <v>135</v>
      </c>
      <c r="G1499" s="113">
        <v>130.80000000000001</v>
      </c>
      <c r="H1499" s="113">
        <v>133.80000000000001</v>
      </c>
      <c r="I1499" s="113">
        <v>3.6</v>
      </c>
      <c r="J1499" s="113">
        <v>2.4300000000000002</v>
      </c>
      <c r="K1499" s="113">
        <v>2.5</v>
      </c>
    </row>
    <row r="1500" spans="2:11" x14ac:dyDescent="0.25">
      <c r="B1500" s="185"/>
      <c r="C1500" s="113">
        <v>238.608</v>
      </c>
      <c r="D1500" s="113">
        <v>8770</v>
      </c>
      <c r="E1500" s="113">
        <v>1497</v>
      </c>
      <c r="F1500" s="113">
        <v>135</v>
      </c>
      <c r="G1500" s="113">
        <v>132.80000000000001</v>
      </c>
      <c r="H1500" s="113">
        <v>134.30000000000001</v>
      </c>
      <c r="I1500" s="113">
        <v>5.2</v>
      </c>
      <c r="J1500" s="113">
        <v>5.33</v>
      </c>
      <c r="K1500" s="113">
        <v>2.5</v>
      </c>
    </row>
    <row r="1501" spans="2:11" x14ac:dyDescent="0.25">
      <c r="B1501" s="185"/>
      <c r="C1501" s="113">
        <v>238.63499999999999</v>
      </c>
      <c r="D1501" s="113">
        <v>8771</v>
      </c>
      <c r="E1501" s="113">
        <v>1498</v>
      </c>
      <c r="F1501" s="113">
        <v>137</v>
      </c>
      <c r="G1501" s="113">
        <v>134.9</v>
      </c>
      <c r="H1501" s="113">
        <v>135.1</v>
      </c>
      <c r="I1501" s="113">
        <v>5.6</v>
      </c>
      <c r="J1501" s="113">
        <v>8.83</v>
      </c>
      <c r="K1501" s="113">
        <v>2.5</v>
      </c>
    </row>
    <row r="1502" spans="2:11" x14ac:dyDescent="0.25">
      <c r="B1502" s="185"/>
      <c r="C1502" s="113">
        <v>238.66200000000001</v>
      </c>
      <c r="D1502" s="113">
        <v>8772</v>
      </c>
      <c r="E1502" s="113">
        <v>1499</v>
      </c>
      <c r="F1502" s="113">
        <v>138</v>
      </c>
      <c r="G1502" s="113">
        <v>135.80000000000001</v>
      </c>
      <c r="H1502" s="113">
        <v>135.80000000000001</v>
      </c>
      <c r="I1502" s="113">
        <v>5.4</v>
      </c>
      <c r="J1502" s="113">
        <v>11.81</v>
      </c>
      <c r="K1502" s="113">
        <v>2.7</v>
      </c>
    </row>
    <row r="1503" spans="2:11" x14ac:dyDescent="0.25">
      <c r="B1503" s="185"/>
      <c r="C1503" s="113">
        <v>238.68799999999999</v>
      </c>
      <c r="D1503" s="113">
        <v>8773</v>
      </c>
      <c r="E1503" s="113">
        <v>1500</v>
      </c>
      <c r="F1503" s="113">
        <v>138</v>
      </c>
      <c r="G1503" s="113">
        <v>136.19999999999999</v>
      </c>
      <c r="H1503" s="113">
        <v>136.30000000000001</v>
      </c>
      <c r="I1503" s="113">
        <v>5.2</v>
      </c>
      <c r="J1503" s="113">
        <v>11.74</v>
      </c>
      <c r="K1503" s="113">
        <v>2.8</v>
      </c>
    </row>
    <row r="1504" spans="2:11" x14ac:dyDescent="0.25">
      <c r="B1504" s="185"/>
      <c r="C1504" s="113">
        <v>238.714</v>
      </c>
      <c r="D1504" s="113">
        <v>8774</v>
      </c>
      <c r="E1504" s="113">
        <v>1501</v>
      </c>
      <c r="F1504" s="113">
        <v>138</v>
      </c>
      <c r="G1504" s="113">
        <v>136.6</v>
      </c>
      <c r="H1504" s="113">
        <v>137.1</v>
      </c>
      <c r="I1504" s="113">
        <v>5.3</v>
      </c>
      <c r="J1504" s="113">
        <v>10.08</v>
      </c>
      <c r="K1504" s="113">
        <v>3.1</v>
      </c>
    </row>
    <row r="1505" spans="2:11" x14ac:dyDescent="0.25">
      <c r="B1505" s="185"/>
      <c r="C1505" s="113">
        <v>238.74100000000001</v>
      </c>
      <c r="D1505" s="113">
        <v>8775</v>
      </c>
      <c r="E1505" s="113">
        <v>1502</v>
      </c>
      <c r="F1505" s="113">
        <v>139</v>
      </c>
      <c r="G1505" s="113">
        <v>137.19999999999999</v>
      </c>
      <c r="H1505" s="113">
        <v>137.80000000000001</v>
      </c>
      <c r="I1505" s="113">
        <v>4.7</v>
      </c>
      <c r="J1505" s="113">
        <v>7.8</v>
      </c>
      <c r="K1505" s="113">
        <v>3.5</v>
      </c>
    </row>
    <row r="1506" spans="2:11" x14ac:dyDescent="0.25">
      <c r="B1506" s="185"/>
      <c r="C1506" s="113">
        <v>238.767</v>
      </c>
      <c r="D1506" s="113">
        <v>8776</v>
      </c>
      <c r="E1506" s="113">
        <v>1503</v>
      </c>
      <c r="F1506" s="113">
        <v>140</v>
      </c>
      <c r="G1506" s="113">
        <v>137.69999999999999</v>
      </c>
      <c r="H1506" s="113">
        <v>138.30000000000001</v>
      </c>
      <c r="I1506" s="113">
        <v>3.5</v>
      </c>
      <c r="J1506" s="113">
        <v>7.83</v>
      </c>
      <c r="K1506" s="113">
        <v>3.8</v>
      </c>
    </row>
    <row r="1507" spans="2:11" x14ac:dyDescent="0.25">
      <c r="B1507" s="185"/>
      <c r="C1507" s="113">
        <v>238.79300000000001</v>
      </c>
      <c r="D1507" s="113">
        <v>8777</v>
      </c>
      <c r="E1507" s="113">
        <v>1504</v>
      </c>
      <c r="F1507" s="113">
        <v>141</v>
      </c>
      <c r="G1507" s="113">
        <v>138.1</v>
      </c>
      <c r="H1507" s="113">
        <v>139</v>
      </c>
      <c r="I1507" s="113">
        <v>2.7</v>
      </c>
      <c r="J1507" s="113">
        <v>6.34</v>
      </c>
      <c r="K1507" s="113">
        <v>4.3</v>
      </c>
    </row>
    <row r="1508" spans="2:11" x14ac:dyDescent="0.25">
      <c r="B1508" s="185"/>
      <c r="C1508" s="113">
        <v>238.81899999999999</v>
      </c>
      <c r="D1508" s="113">
        <v>8778</v>
      </c>
      <c r="E1508" s="113">
        <v>1505</v>
      </c>
      <c r="F1508" s="113">
        <v>141</v>
      </c>
      <c r="G1508" s="113">
        <v>138.69999999999999</v>
      </c>
      <c r="H1508" s="113">
        <v>139.5</v>
      </c>
      <c r="I1508" s="113">
        <v>2.6</v>
      </c>
      <c r="J1508" s="113">
        <v>4.7300000000000004</v>
      </c>
      <c r="K1508" s="113">
        <v>4.3</v>
      </c>
    </row>
    <row r="1509" spans="2:11" x14ac:dyDescent="0.25">
      <c r="B1509" s="185"/>
      <c r="C1509" s="113">
        <v>238.845</v>
      </c>
      <c r="D1509" s="113">
        <v>8779</v>
      </c>
      <c r="E1509" s="113">
        <v>1506</v>
      </c>
      <c r="F1509" s="113">
        <v>142</v>
      </c>
      <c r="G1509" s="113">
        <v>139.69999999999999</v>
      </c>
      <c r="H1509" s="113">
        <v>140.1</v>
      </c>
      <c r="I1509" s="113">
        <v>2.2999999999999998</v>
      </c>
      <c r="J1509" s="113">
        <v>5.94</v>
      </c>
      <c r="K1509" s="113">
        <v>4</v>
      </c>
    </row>
    <row r="1510" spans="2:11" x14ac:dyDescent="0.25">
      <c r="B1510" s="185"/>
      <c r="C1510" s="113">
        <v>238.87100000000001</v>
      </c>
      <c r="D1510" s="113">
        <v>8780</v>
      </c>
      <c r="E1510" s="113">
        <v>1507</v>
      </c>
      <c r="F1510" s="113">
        <v>142</v>
      </c>
      <c r="G1510" s="113">
        <v>139.4</v>
      </c>
      <c r="H1510" s="113">
        <v>140.69999999999999</v>
      </c>
      <c r="I1510" s="113">
        <v>3.2</v>
      </c>
      <c r="J1510" s="113">
        <v>6.36</v>
      </c>
      <c r="K1510" s="113">
        <v>3.7</v>
      </c>
    </row>
    <row r="1511" spans="2:11" x14ac:dyDescent="0.25">
      <c r="B1511" s="185"/>
      <c r="C1511" s="113">
        <v>238.89699999999999</v>
      </c>
      <c r="D1511" s="113">
        <v>8781</v>
      </c>
      <c r="E1511" s="113">
        <v>1508</v>
      </c>
      <c r="F1511" s="113">
        <v>141</v>
      </c>
      <c r="G1511" s="113">
        <v>140.19999999999999</v>
      </c>
      <c r="H1511" s="113">
        <v>141.1</v>
      </c>
      <c r="I1511" s="113">
        <v>4.2</v>
      </c>
      <c r="J1511" s="113">
        <v>5.22</v>
      </c>
      <c r="K1511" s="113">
        <v>3.6</v>
      </c>
    </row>
    <row r="1512" spans="2:11" x14ac:dyDescent="0.25">
      <c r="B1512" s="185"/>
      <c r="C1512" s="113">
        <v>238.923</v>
      </c>
      <c r="D1512" s="113">
        <v>8782</v>
      </c>
      <c r="E1512" s="113">
        <v>1509</v>
      </c>
      <c r="F1512" s="113">
        <v>140</v>
      </c>
      <c r="G1512" s="113">
        <v>142.1</v>
      </c>
      <c r="H1512" s="113">
        <v>141.6</v>
      </c>
      <c r="I1512" s="113">
        <v>5</v>
      </c>
      <c r="J1512" s="113">
        <v>6.06</v>
      </c>
      <c r="K1512" s="113">
        <v>3.4</v>
      </c>
    </row>
    <row r="1513" spans="2:11" x14ac:dyDescent="0.25">
      <c r="B1513" s="185"/>
      <c r="C1513" s="113">
        <v>238.947</v>
      </c>
      <c r="D1513" s="113">
        <v>8783</v>
      </c>
      <c r="E1513" s="113">
        <v>1510</v>
      </c>
      <c r="F1513" s="113">
        <v>144</v>
      </c>
      <c r="G1513" s="113">
        <v>142.80000000000001</v>
      </c>
      <c r="H1513" s="113">
        <v>142</v>
      </c>
      <c r="I1513" s="113">
        <v>3</v>
      </c>
      <c r="J1513" s="113">
        <v>15.17</v>
      </c>
      <c r="K1513" s="113">
        <v>3.2</v>
      </c>
    </row>
    <row r="1514" spans="2:11" x14ac:dyDescent="0.25">
      <c r="B1514" s="185"/>
      <c r="C1514" s="113">
        <v>238.97200000000001</v>
      </c>
      <c r="D1514" s="113">
        <v>8784</v>
      </c>
      <c r="E1514" s="113">
        <v>1511</v>
      </c>
      <c r="F1514" s="113">
        <v>145</v>
      </c>
      <c r="G1514" s="113">
        <v>143.4</v>
      </c>
      <c r="H1514" s="113">
        <v>142.6</v>
      </c>
      <c r="I1514" s="113">
        <v>2.1</v>
      </c>
      <c r="J1514" s="113">
        <v>26.44</v>
      </c>
      <c r="K1514" s="113">
        <v>3.1</v>
      </c>
    </row>
    <row r="1515" spans="2:11" x14ac:dyDescent="0.25">
      <c r="B1515" s="185"/>
      <c r="C1515" s="113">
        <v>238.99799999999999</v>
      </c>
      <c r="D1515" s="113">
        <v>8785</v>
      </c>
      <c r="E1515" s="113">
        <v>1512</v>
      </c>
      <c r="F1515" s="113">
        <v>143</v>
      </c>
      <c r="G1515" s="113">
        <v>143.19999999999999</v>
      </c>
      <c r="H1515" s="113">
        <v>142.9</v>
      </c>
      <c r="I1515" s="113">
        <v>7</v>
      </c>
      <c r="J1515" s="113">
        <v>22.06</v>
      </c>
      <c r="K1515" s="113">
        <v>3.1</v>
      </c>
    </row>
    <row r="1516" spans="2:11" x14ac:dyDescent="0.25">
      <c r="B1516" s="185"/>
      <c r="C1516" s="113">
        <v>239.023</v>
      </c>
      <c r="D1516" s="113">
        <v>8786</v>
      </c>
      <c r="E1516" s="113">
        <v>1513</v>
      </c>
      <c r="F1516" s="113">
        <v>143</v>
      </c>
      <c r="G1516" s="113">
        <v>143.80000000000001</v>
      </c>
      <c r="H1516" s="113">
        <v>143.5</v>
      </c>
      <c r="I1516" s="113">
        <v>10.3</v>
      </c>
      <c r="J1516" s="113">
        <v>18.940000000000001</v>
      </c>
      <c r="K1516" s="113">
        <v>3.1</v>
      </c>
    </row>
    <row r="1517" spans="2:11" x14ac:dyDescent="0.25">
      <c r="B1517" s="185"/>
      <c r="C1517" s="113">
        <v>239.048</v>
      </c>
      <c r="D1517" s="113">
        <v>8787</v>
      </c>
      <c r="E1517" s="113">
        <v>1514</v>
      </c>
      <c r="F1517" s="113">
        <v>144</v>
      </c>
      <c r="G1517" s="113">
        <v>144.1</v>
      </c>
      <c r="H1517" s="113">
        <v>143.80000000000001</v>
      </c>
      <c r="I1517" s="113">
        <v>8.4</v>
      </c>
      <c r="J1517" s="113">
        <v>19.91</v>
      </c>
      <c r="K1517" s="113">
        <v>3.3</v>
      </c>
    </row>
    <row r="1518" spans="2:11" x14ac:dyDescent="0.25">
      <c r="B1518" s="185"/>
      <c r="C1518" s="113">
        <v>239.072</v>
      </c>
      <c r="D1518" s="113">
        <v>8788</v>
      </c>
      <c r="E1518" s="113">
        <v>1515</v>
      </c>
      <c r="F1518" s="113">
        <v>148</v>
      </c>
      <c r="G1518" s="113">
        <v>143.5</v>
      </c>
      <c r="H1518" s="113">
        <v>144.30000000000001</v>
      </c>
      <c r="I1518" s="113">
        <v>3.9</v>
      </c>
      <c r="J1518" s="113">
        <v>18.18</v>
      </c>
      <c r="K1518" s="113">
        <v>5.2</v>
      </c>
    </row>
    <row r="1519" spans="2:11" x14ac:dyDescent="0.25">
      <c r="B1519" s="185"/>
      <c r="C1519" s="113">
        <v>239.09700000000001</v>
      </c>
      <c r="D1519" s="113">
        <v>8789</v>
      </c>
      <c r="E1519" s="113">
        <v>1516</v>
      </c>
      <c r="F1519" s="113">
        <v>147</v>
      </c>
      <c r="G1519" s="113">
        <v>143.6</v>
      </c>
      <c r="H1519" s="113">
        <v>144.6</v>
      </c>
      <c r="I1519" s="113">
        <v>3.4</v>
      </c>
      <c r="J1519" s="113">
        <v>13.23</v>
      </c>
      <c r="K1519" s="113">
        <v>6.5</v>
      </c>
    </row>
    <row r="1520" spans="2:11" x14ac:dyDescent="0.25">
      <c r="B1520" s="185"/>
      <c r="C1520" s="113">
        <v>239.12299999999999</v>
      </c>
      <c r="D1520" s="113">
        <v>8790</v>
      </c>
      <c r="E1520" s="113">
        <v>1517</v>
      </c>
      <c r="F1520" s="113">
        <v>146</v>
      </c>
      <c r="G1520" s="113">
        <v>144.4</v>
      </c>
      <c r="H1520" s="113">
        <v>145.1</v>
      </c>
      <c r="I1520" s="113">
        <v>4.2</v>
      </c>
      <c r="J1520" s="113">
        <v>8.51</v>
      </c>
      <c r="K1520" s="113">
        <v>7.8</v>
      </c>
    </row>
    <row r="1521" spans="2:11" x14ac:dyDescent="0.25">
      <c r="B1521" s="185"/>
      <c r="C1521" s="113">
        <v>239.148</v>
      </c>
      <c r="D1521" s="113">
        <v>8791</v>
      </c>
      <c r="E1521" s="113">
        <v>1518</v>
      </c>
      <c r="F1521" s="113">
        <v>147</v>
      </c>
      <c r="G1521" s="113">
        <v>145.69999999999999</v>
      </c>
      <c r="H1521" s="113">
        <v>145.4</v>
      </c>
      <c r="I1521" s="113">
        <v>3.2</v>
      </c>
      <c r="J1521" s="113">
        <v>7.48</v>
      </c>
      <c r="K1521" s="113">
        <v>6.1</v>
      </c>
    </row>
    <row r="1522" spans="2:11" x14ac:dyDescent="0.25">
      <c r="B1522" s="185"/>
      <c r="C1522" s="113">
        <v>239.173</v>
      </c>
      <c r="D1522" s="113">
        <v>8792</v>
      </c>
      <c r="E1522" s="113">
        <v>1519</v>
      </c>
      <c r="F1522" s="113">
        <v>148</v>
      </c>
      <c r="G1522" s="113">
        <v>146.80000000000001</v>
      </c>
      <c r="H1522" s="113">
        <v>145.9</v>
      </c>
      <c r="I1522" s="113">
        <v>2</v>
      </c>
      <c r="J1522" s="113">
        <v>12.25</v>
      </c>
      <c r="K1522" s="113">
        <v>3.5</v>
      </c>
    </row>
    <row r="1523" spans="2:11" x14ac:dyDescent="0.25">
      <c r="B1523" s="185"/>
      <c r="C1523" s="113">
        <v>239.197</v>
      </c>
      <c r="D1523" s="113">
        <v>8793</v>
      </c>
      <c r="E1523" s="113">
        <v>1520</v>
      </c>
      <c r="F1523" s="113">
        <v>148</v>
      </c>
      <c r="G1523" s="113">
        <v>146.80000000000001</v>
      </c>
      <c r="H1523" s="113">
        <v>146.19999999999999</v>
      </c>
      <c r="I1523" s="113">
        <v>2.2999999999999998</v>
      </c>
      <c r="J1523" s="113">
        <v>13.52</v>
      </c>
      <c r="K1523" s="113">
        <v>1.7</v>
      </c>
    </row>
    <row r="1524" spans="2:11" x14ac:dyDescent="0.25">
      <c r="B1524" s="185"/>
      <c r="C1524" s="113">
        <v>239.221</v>
      </c>
      <c r="D1524" s="113">
        <v>8794</v>
      </c>
      <c r="E1524" s="113">
        <v>1521</v>
      </c>
      <c r="F1524" s="113">
        <v>148</v>
      </c>
      <c r="G1524" s="113">
        <v>147.1</v>
      </c>
      <c r="H1524" s="113">
        <v>146.69999999999999</v>
      </c>
      <c r="I1524" s="113">
        <v>6.4</v>
      </c>
      <c r="J1524" s="113">
        <v>12.46</v>
      </c>
      <c r="K1524" s="113">
        <v>1.8</v>
      </c>
    </row>
    <row r="1525" spans="2:11" x14ac:dyDescent="0.25">
      <c r="B1525" s="185"/>
      <c r="C1525" s="113">
        <v>239.24600000000001</v>
      </c>
      <c r="D1525" s="113">
        <v>8795</v>
      </c>
      <c r="E1525" s="113">
        <v>1522</v>
      </c>
      <c r="F1525" s="113">
        <v>148</v>
      </c>
      <c r="G1525" s="113">
        <v>147.30000000000001</v>
      </c>
      <c r="H1525" s="113">
        <v>147</v>
      </c>
      <c r="I1525" s="113">
        <v>8</v>
      </c>
      <c r="J1525" s="113">
        <v>10.67</v>
      </c>
      <c r="K1525" s="113">
        <v>2.2000000000000002</v>
      </c>
    </row>
    <row r="1526" spans="2:11" x14ac:dyDescent="0.25">
      <c r="B1526" s="185"/>
      <c r="C1526" s="113">
        <v>239.27</v>
      </c>
      <c r="D1526" s="113">
        <v>8796</v>
      </c>
      <c r="E1526" s="113">
        <v>1523</v>
      </c>
      <c r="F1526" s="113">
        <v>150</v>
      </c>
      <c r="G1526" s="113">
        <v>148.1</v>
      </c>
      <c r="H1526" s="113">
        <v>147.6</v>
      </c>
      <c r="I1526" s="113">
        <v>7.8</v>
      </c>
      <c r="J1526" s="113">
        <v>10.45</v>
      </c>
      <c r="K1526" s="113">
        <v>2.9</v>
      </c>
    </row>
    <row r="1527" spans="2:11" x14ac:dyDescent="0.25">
      <c r="B1527" s="185"/>
      <c r="C1527" s="113">
        <v>239.29400000000001</v>
      </c>
      <c r="D1527" s="113">
        <v>8797</v>
      </c>
      <c r="E1527" s="113">
        <v>1524</v>
      </c>
      <c r="F1527" s="113">
        <v>150</v>
      </c>
      <c r="G1527" s="113">
        <v>148.4</v>
      </c>
      <c r="H1527" s="113">
        <v>148</v>
      </c>
      <c r="I1527" s="113">
        <v>6.7</v>
      </c>
      <c r="J1527" s="113">
        <v>9.9700000000000006</v>
      </c>
      <c r="K1527" s="113">
        <v>3.8</v>
      </c>
    </row>
    <row r="1528" spans="2:11" x14ac:dyDescent="0.25">
      <c r="B1528" s="185"/>
      <c r="C1528" s="113">
        <v>239.31899999999999</v>
      </c>
      <c r="D1528" s="113">
        <v>8798</v>
      </c>
      <c r="E1528" s="113">
        <v>1525</v>
      </c>
      <c r="F1528" s="113">
        <v>151</v>
      </c>
      <c r="G1528" s="113">
        <v>148.5</v>
      </c>
      <c r="H1528" s="113">
        <v>148.4</v>
      </c>
      <c r="I1528" s="113">
        <v>6</v>
      </c>
      <c r="J1528" s="113">
        <v>12.03</v>
      </c>
      <c r="K1528" s="113">
        <v>4.9000000000000004</v>
      </c>
    </row>
    <row r="1529" spans="2:11" x14ac:dyDescent="0.25">
      <c r="B1529" s="185"/>
      <c r="C1529" s="113">
        <v>239.34299999999999</v>
      </c>
      <c r="D1529" s="113">
        <v>8799</v>
      </c>
      <c r="E1529" s="113">
        <v>1526</v>
      </c>
      <c r="F1529" s="113">
        <v>150</v>
      </c>
      <c r="G1529" s="113">
        <v>149.19999999999999</v>
      </c>
      <c r="H1529" s="113">
        <v>149</v>
      </c>
      <c r="I1529" s="113">
        <v>5.9</v>
      </c>
      <c r="J1529" s="113">
        <v>11.35</v>
      </c>
      <c r="K1529" s="113">
        <v>6.5</v>
      </c>
    </row>
    <row r="1530" spans="2:11" x14ac:dyDescent="0.25">
      <c r="B1530" s="185"/>
      <c r="C1530" s="113">
        <v>239.36699999999999</v>
      </c>
      <c r="D1530" s="113">
        <v>8800</v>
      </c>
      <c r="E1530" s="113">
        <v>1527</v>
      </c>
      <c r="F1530" s="113">
        <v>150</v>
      </c>
      <c r="G1530" s="113">
        <v>149.6</v>
      </c>
      <c r="H1530" s="113">
        <v>149.30000000000001</v>
      </c>
      <c r="I1530" s="113">
        <v>5.9</v>
      </c>
      <c r="J1530" s="113">
        <v>11.13</v>
      </c>
      <c r="K1530" s="113">
        <v>7.4</v>
      </c>
    </row>
    <row r="1531" spans="2:11" x14ac:dyDescent="0.25">
      <c r="B1531" s="185"/>
      <c r="C1531" s="113">
        <v>239.39099999999999</v>
      </c>
      <c r="D1531" s="113">
        <v>8801</v>
      </c>
      <c r="E1531" s="113">
        <v>1528</v>
      </c>
      <c r="F1531" s="113">
        <v>152</v>
      </c>
      <c r="G1531" s="113">
        <v>150.30000000000001</v>
      </c>
      <c r="H1531" s="113">
        <v>149.9</v>
      </c>
      <c r="I1531" s="113">
        <v>4.2</v>
      </c>
      <c r="J1531" s="113">
        <v>11.43</v>
      </c>
      <c r="K1531" s="113">
        <v>7.4</v>
      </c>
    </row>
    <row r="1532" spans="2:11" x14ac:dyDescent="0.25">
      <c r="B1532" s="185"/>
      <c r="C1532" s="113">
        <v>239.41499999999999</v>
      </c>
      <c r="D1532" s="113">
        <v>8802</v>
      </c>
      <c r="E1532" s="113">
        <v>1529</v>
      </c>
      <c r="F1532" s="113">
        <v>152</v>
      </c>
      <c r="G1532" s="113">
        <v>150.30000000000001</v>
      </c>
      <c r="H1532" s="113">
        <v>150.30000000000001</v>
      </c>
      <c r="I1532" s="113">
        <v>3.4</v>
      </c>
      <c r="J1532" s="113">
        <v>11.99</v>
      </c>
      <c r="K1532" s="113">
        <v>7.4</v>
      </c>
    </row>
    <row r="1533" spans="2:11" x14ac:dyDescent="0.25">
      <c r="B1533" s="185"/>
      <c r="C1533" s="113">
        <v>239.43899999999999</v>
      </c>
      <c r="D1533" s="113">
        <v>8803</v>
      </c>
      <c r="E1533" s="113">
        <v>1530</v>
      </c>
      <c r="F1533" s="113">
        <v>153</v>
      </c>
      <c r="G1533" s="113">
        <v>150.19999999999999</v>
      </c>
      <c r="H1533" s="113">
        <v>150.6</v>
      </c>
      <c r="I1533" s="113">
        <v>3</v>
      </c>
      <c r="J1533" s="113">
        <v>10.86</v>
      </c>
      <c r="K1533" s="113">
        <v>7.4</v>
      </c>
    </row>
    <row r="1534" spans="2:11" x14ac:dyDescent="0.25">
      <c r="B1534" s="185"/>
      <c r="C1534" s="113">
        <v>239.46299999999999</v>
      </c>
      <c r="D1534" s="113">
        <v>8804</v>
      </c>
      <c r="E1534" s="113">
        <v>1531</v>
      </c>
      <c r="F1534" s="113">
        <v>153</v>
      </c>
      <c r="G1534" s="113">
        <v>151.30000000000001</v>
      </c>
      <c r="H1534" s="113">
        <v>151.19999999999999</v>
      </c>
      <c r="I1534" s="113">
        <v>3.2</v>
      </c>
      <c r="J1534" s="113">
        <v>8.2899999999999991</v>
      </c>
      <c r="K1534" s="113">
        <v>7.8</v>
      </c>
    </row>
    <row r="1535" spans="2:11" x14ac:dyDescent="0.25">
      <c r="B1535" s="185"/>
      <c r="C1535" s="113">
        <v>239.48599999999999</v>
      </c>
      <c r="D1535" s="113">
        <v>8805</v>
      </c>
      <c r="E1535" s="113">
        <v>1532</v>
      </c>
      <c r="F1535" s="113">
        <v>153</v>
      </c>
      <c r="G1535" s="113">
        <v>152.1</v>
      </c>
      <c r="H1535" s="113">
        <v>151.6</v>
      </c>
      <c r="I1535" s="113">
        <v>3.3</v>
      </c>
      <c r="J1535" s="113">
        <v>7.17</v>
      </c>
      <c r="K1535" s="113">
        <v>8.1</v>
      </c>
    </row>
    <row r="1536" spans="2:11" x14ac:dyDescent="0.25">
      <c r="B1536" s="185"/>
      <c r="C1536" s="113">
        <v>239.51</v>
      </c>
      <c r="D1536" s="113">
        <v>8806</v>
      </c>
      <c r="E1536" s="113">
        <v>1533</v>
      </c>
      <c r="F1536" s="113">
        <v>155</v>
      </c>
      <c r="G1536" s="113">
        <v>152.80000000000001</v>
      </c>
      <c r="H1536" s="113">
        <v>152.19999999999999</v>
      </c>
      <c r="I1536" s="113">
        <v>3.2</v>
      </c>
      <c r="J1536" s="113">
        <v>10.56</v>
      </c>
      <c r="K1536" s="113">
        <v>8.6999999999999993</v>
      </c>
    </row>
    <row r="1537" spans="2:11" x14ac:dyDescent="0.25">
      <c r="B1537" s="185"/>
      <c r="C1537" s="113">
        <v>239.53399999999999</v>
      </c>
      <c r="D1537" s="113">
        <v>8807</v>
      </c>
      <c r="E1537" s="113">
        <v>1534</v>
      </c>
      <c r="F1537" s="113">
        <v>155</v>
      </c>
      <c r="G1537" s="113">
        <v>153.30000000000001</v>
      </c>
      <c r="H1537" s="113">
        <v>152.6</v>
      </c>
      <c r="I1537" s="113">
        <v>3.3</v>
      </c>
      <c r="J1537" s="113">
        <v>11.51</v>
      </c>
      <c r="K1537" s="113">
        <v>8.3000000000000007</v>
      </c>
    </row>
    <row r="1538" spans="2:11" x14ac:dyDescent="0.25">
      <c r="B1538" s="185"/>
      <c r="C1538" s="113">
        <v>239.55699999999999</v>
      </c>
      <c r="D1538" s="113">
        <v>8808</v>
      </c>
      <c r="E1538" s="113">
        <v>1535</v>
      </c>
      <c r="F1538" s="113">
        <v>154</v>
      </c>
      <c r="G1538" s="113">
        <v>153.69999999999999</v>
      </c>
      <c r="H1538" s="113">
        <v>152.9</v>
      </c>
      <c r="I1538" s="113">
        <v>4.8</v>
      </c>
      <c r="J1538" s="113">
        <v>10.8</v>
      </c>
      <c r="K1538" s="113">
        <v>7.7</v>
      </c>
    </row>
    <row r="1539" spans="2:11" x14ac:dyDescent="0.25">
      <c r="B1539" s="185"/>
      <c r="C1539" s="113">
        <v>239.58099999999999</v>
      </c>
      <c r="D1539" s="113">
        <v>8809</v>
      </c>
      <c r="E1539" s="113">
        <v>1536</v>
      </c>
      <c r="F1539" s="113">
        <v>155</v>
      </c>
      <c r="G1539" s="113">
        <v>154.19999999999999</v>
      </c>
      <c r="H1539" s="113">
        <v>153.5</v>
      </c>
      <c r="I1539" s="113">
        <v>5.9</v>
      </c>
      <c r="J1539" s="113">
        <v>11.43</v>
      </c>
      <c r="K1539" s="113">
        <v>6.7</v>
      </c>
    </row>
    <row r="1540" spans="2:11" x14ac:dyDescent="0.25">
      <c r="B1540" s="185"/>
      <c r="C1540" s="113">
        <v>239.60400000000001</v>
      </c>
      <c r="D1540" s="113">
        <v>8810</v>
      </c>
      <c r="E1540" s="113">
        <v>1537</v>
      </c>
      <c r="F1540" s="113">
        <v>156</v>
      </c>
      <c r="G1540" s="113">
        <v>154.4</v>
      </c>
      <c r="H1540" s="113">
        <v>153.9</v>
      </c>
      <c r="I1540" s="113">
        <v>6.3</v>
      </c>
      <c r="J1540" s="113">
        <v>12.52</v>
      </c>
      <c r="K1540" s="113">
        <v>6.3</v>
      </c>
    </row>
    <row r="1541" spans="2:11" x14ac:dyDescent="0.25">
      <c r="B1541" s="185"/>
      <c r="C1541" s="113">
        <v>239.62700000000001</v>
      </c>
      <c r="D1541" s="113">
        <v>8811</v>
      </c>
      <c r="E1541" s="113">
        <v>1538</v>
      </c>
      <c r="F1541" s="113">
        <v>156</v>
      </c>
      <c r="G1541" s="113">
        <v>154.9</v>
      </c>
      <c r="H1541" s="113">
        <v>154.19999999999999</v>
      </c>
      <c r="I1541" s="113">
        <v>6.2</v>
      </c>
      <c r="J1541" s="113">
        <v>12.52</v>
      </c>
      <c r="K1541" s="113">
        <v>7.1</v>
      </c>
    </row>
    <row r="1542" spans="2:11" x14ac:dyDescent="0.25">
      <c r="B1542" s="185"/>
      <c r="C1542" s="113">
        <v>239.65</v>
      </c>
      <c r="D1542" s="113">
        <v>8812</v>
      </c>
      <c r="E1542" s="113">
        <v>1539</v>
      </c>
      <c r="F1542" s="113">
        <v>156</v>
      </c>
      <c r="G1542" s="113">
        <v>155.30000000000001</v>
      </c>
      <c r="H1542" s="113">
        <v>154.80000000000001</v>
      </c>
      <c r="I1542" s="113">
        <v>6.2</v>
      </c>
      <c r="J1542" s="113">
        <v>11.17</v>
      </c>
      <c r="K1542" s="113">
        <v>8.3000000000000007</v>
      </c>
    </row>
    <row r="1543" spans="2:11" x14ac:dyDescent="0.25">
      <c r="B1543" s="185"/>
      <c r="C1543" s="113">
        <v>239.673</v>
      </c>
      <c r="D1543" s="113">
        <v>8813</v>
      </c>
      <c r="E1543" s="113">
        <v>1540</v>
      </c>
      <c r="F1543" s="113">
        <v>157</v>
      </c>
      <c r="G1543" s="113">
        <v>155.4</v>
      </c>
      <c r="H1543" s="113">
        <v>155.19999999999999</v>
      </c>
      <c r="I1543" s="113">
        <v>5.9</v>
      </c>
      <c r="J1543" s="113">
        <v>13.05</v>
      </c>
      <c r="K1543" s="113">
        <v>9.1</v>
      </c>
    </row>
    <row r="1544" spans="2:11" x14ac:dyDescent="0.25">
      <c r="B1544" s="185"/>
      <c r="C1544" s="113">
        <v>239.696</v>
      </c>
      <c r="D1544" s="113">
        <v>8814</v>
      </c>
      <c r="E1544" s="113">
        <v>1541</v>
      </c>
      <c r="F1544" s="113">
        <v>157</v>
      </c>
      <c r="G1544" s="113">
        <v>155.69999999999999</v>
      </c>
      <c r="H1544" s="113">
        <v>155.5</v>
      </c>
      <c r="I1544" s="113">
        <v>5.8</v>
      </c>
      <c r="J1544" s="113">
        <v>12.41</v>
      </c>
      <c r="K1544" s="113">
        <v>9.3000000000000007</v>
      </c>
    </row>
    <row r="1545" spans="2:11" x14ac:dyDescent="0.25">
      <c r="B1545" s="185"/>
      <c r="C1545" s="113">
        <v>239.71899999999999</v>
      </c>
      <c r="D1545" s="113">
        <v>8815</v>
      </c>
      <c r="E1545" s="113">
        <v>1542</v>
      </c>
      <c r="F1545" s="113">
        <v>158</v>
      </c>
      <c r="G1545" s="113">
        <v>156</v>
      </c>
      <c r="H1545" s="113">
        <v>155.9</v>
      </c>
      <c r="I1545" s="113">
        <v>5.0999999999999996</v>
      </c>
      <c r="J1545" s="113">
        <v>11.9</v>
      </c>
      <c r="K1545" s="113">
        <v>9.3000000000000007</v>
      </c>
    </row>
    <row r="1546" spans="2:11" x14ac:dyDescent="0.25">
      <c r="B1546" s="185"/>
      <c r="C1546" s="113">
        <v>239.74299999999999</v>
      </c>
      <c r="D1546" s="113">
        <v>8816</v>
      </c>
      <c r="E1546" s="113">
        <v>1543</v>
      </c>
      <c r="F1546" s="113">
        <v>159</v>
      </c>
      <c r="G1546" s="113">
        <v>156.69999999999999</v>
      </c>
      <c r="H1546" s="113">
        <v>156.4</v>
      </c>
      <c r="I1546" s="113">
        <v>4.2</v>
      </c>
      <c r="J1546" s="113">
        <v>9.84</v>
      </c>
      <c r="K1546" s="113">
        <v>9.3000000000000007</v>
      </c>
    </row>
    <row r="1547" spans="2:11" x14ac:dyDescent="0.25">
      <c r="B1547" s="185"/>
      <c r="C1547" s="113">
        <v>239.76599999999999</v>
      </c>
      <c r="D1547" s="113">
        <v>8817</v>
      </c>
      <c r="E1547" s="113">
        <v>1544</v>
      </c>
      <c r="F1547" s="113">
        <v>159</v>
      </c>
      <c r="G1547" s="113">
        <v>157.19999999999999</v>
      </c>
      <c r="H1547" s="113">
        <v>156.80000000000001</v>
      </c>
      <c r="I1547" s="113">
        <v>3.1</v>
      </c>
      <c r="J1547" s="113">
        <v>9.99</v>
      </c>
      <c r="K1547" s="113">
        <v>9.3000000000000007</v>
      </c>
    </row>
    <row r="1548" spans="2:11" x14ac:dyDescent="0.25">
      <c r="B1548" s="185"/>
      <c r="C1548" s="113">
        <v>239.78800000000001</v>
      </c>
      <c r="D1548" s="113">
        <v>8818</v>
      </c>
      <c r="E1548" s="113">
        <v>1545</v>
      </c>
      <c r="F1548" s="113">
        <v>160</v>
      </c>
      <c r="G1548" s="113">
        <v>157.1</v>
      </c>
      <c r="H1548" s="113">
        <v>157.19999999999999</v>
      </c>
      <c r="I1548" s="113">
        <v>2.7</v>
      </c>
      <c r="J1548" s="113">
        <v>9.57</v>
      </c>
      <c r="K1548" s="113">
        <v>9.3000000000000007</v>
      </c>
    </row>
    <row r="1549" spans="2:11" x14ac:dyDescent="0.25">
      <c r="B1549" s="185"/>
      <c r="C1549" s="113">
        <v>239.81100000000001</v>
      </c>
      <c r="D1549" s="113">
        <v>8819</v>
      </c>
      <c r="E1549" s="113">
        <v>1546</v>
      </c>
      <c r="F1549" s="113">
        <v>160</v>
      </c>
      <c r="G1549" s="113">
        <v>157.1</v>
      </c>
      <c r="H1549" s="113">
        <v>157.69999999999999</v>
      </c>
      <c r="I1549" s="113">
        <v>2.6</v>
      </c>
      <c r="J1549" s="113">
        <v>8.61</v>
      </c>
      <c r="K1549" s="113">
        <v>9.3000000000000007</v>
      </c>
    </row>
    <row r="1550" spans="2:11" x14ac:dyDescent="0.25">
      <c r="B1550" s="185"/>
      <c r="C1550" s="113">
        <v>239.834</v>
      </c>
      <c r="D1550" s="113">
        <v>8820</v>
      </c>
      <c r="E1550" s="113">
        <v>1547</v>
      </c>
      <c r="F1550" s="113">
        <v>160</v>
      </c>
      <c r="G1550" s="113">
        <v>157.19999999999999</v>
      </c>
      <c r="H1550" s="113">
        <v>158.1</v>
      </c>
      <c r="I1550" s="113">
        <v>3.4</v>
      </c>
      <c r="J1550" s="113">
        <v>6.01</v>
      </c>
      <c r="K1550" s="113">
        <v>9.3000000000000007</v>
      </c>
    </row>
    <row r="1551" spans="2:11" x14ac:dyDescent="0.25">
      <c r="B1551" s="185"/>
      <c r="C1551" s="113">
        <v>239.857</v>
      </c>
      <c r="D1551" s="113">
        <v>8821</v>
      </c>
      <c r="E1551" s="113">
        <v>1548</v>
      </c>
      <c r="F1551" s="113">
        <v>160</v>
      </c>
      <c r="G1551" s="113">
        <v>157.6</v>
      </c>
      <c r="H1551" s="113">
        <v>158.4</v>
      </c>
      <c r="I1551" s="113">
        <v>3.3</v>
      </c>
      <c r="J1551" s="113">
        <v>5.25</v>
      </c>
      <c r="K1551" s="113">
        <v>9.1</v>
      </c>
    </row>
    <row r="1552" spans="2:11" x14ac:dyDescent="0.25">
      <c r="B1552" s="185"/>
      <c r="C1552" s="113">
        <v>239.87899999999999</v>
      </c>
      <c r="D1552" s="113">
        <v>8822</v>
      </c>
      <c r="E1552" s="113">
        <v>1549</v>
      </c>
      <c r="F1552" s="113">
        <v>161</v>
      </c>
      <c r="G1552" s="113">
        <v>158.30000000000001</v>
      </c>
      <c r="H1552" s="113">
        <v>158.69999999999999</v>
      </c>
      <c r="I1552" s="113">
        <v>3.2</v>
      </c>
      <c r="J1552" s="113">
        <v>4.76</v>
      </c>
      <c r="K1552" s="113">
        <v>8.8000000000000007</v>
      </c>
    </row>
    <row r="1553" spans="2:11" x14ac:dyDescent="0.25">
      <c r="B1553" s="185"/>
      <c r="C1553" s="113">
        <v>239.90299999999999</v>
      </c>
      <c r="D1553" s="113">
        <v>8823</v>
      </c>
      <c r="E1553" s="113">
        <v>1550</v>
      </c>
      <c r="F1553" s="113">
        <v>162</v>
      </c>
      <c r="G1553" s="113">
        <v>159.30000000000001</v>
      </c>
      <c r="H1553" s="113">
        <v>159.19999999999999</v>
      </c>
      <c r="I1553" s="113">
        <v>2.5</v>
      </c>
      <c r="J1553" s="113">
        <v>6.19</v>
      </c>
      <c r="K1553" s="113">
        <v>8.3000000000000007</v>
      </c>
    </row>
    <row r="1554" spans="2:11" x14ac:dyDescent="0.25">
      <c r="B1554" s="185"/>
      <c r="C1554" s="113">
        <v>239.92500000000001</v>
      </c>
      <c r="D1554" s="113">
        <v>8824</v>
      </c>
      <c r="E1554" s="113">
        <v>1551</v>
      </c>
      <c r="F1554" s="113">
        <v>162</v>
      </c>
      <c r="G1554" s="113">
        <v>159.9</v>
      </c>
      <c r="H1554" s="113">
        <v>159.5</v>
      </c>
      <c r="I1554" s="113">
        <v>2.6</v>
      </c>
      <c r="J1554" s="113">
        <v>5.76</v>
      </c>
      <c r="K1554" s="113">
        <v>7.8</v>
      </c>
    </row>
    <row r="1555" spans="2:11" x14ac:dyDescent="0.25">
      <c r="B1555" s="185"/>
      <c r="C1555" s="113">
        <v>239.947</v>
      </c>
      <c r="D1555" s="113">
        <v>8825</v>
      </c>
      <c r="E1555" s="113">
        <v>1552</v>
      </c>
      <c r="F1555" s="113">
        <v>163</v>
      </c>
      <c r="G1555" s="113">
        <v>160.6</v>
      </c>
      <c r="H1555" s="113">
        <v>159.80000000000001</v>
      </c>
      <c r="I1555" s="113">
        <v>2.6</v>
      </c>
      <c r="J1555" s="113">
        <v>6.89</v>
      </c>
      <c r="K1555" s="113">
        <v>6.2</v>
      </c>
    </row>
    <row r="1556" spans="2:11" x14ac:dyDescent="0.25">
      <c r="B1556" s="185"/>
      <c r="C1556" s="113">
        <v>239.97</v>
      </c>
      <c r="D1556" s="113">
        <v>8826</v>
      </c>
      <c r="E1556" s="113">
        <v>1553</v>
      </c>
      <c r="F1556" s="113">
        <v>163</v>
      </c>
      <c r="G1556" s="113">
        <v>161.4</v>
      </c>
      <c r="H1556" s="113">
        <v>160.30000000000001</v>
      </c>
      <c r="I1556" s="113">
        <v>2.8</v>
      </c>
      <c r="J1556" s="113">
        <v>9.08</v>
      </c>
      <c r="K1556" s="113">
        <v>3.9</v>
      </c>
    </row>
    <row r="1557" spans="2:11" x14ac:dyDescent="0.25">
      <c r="B1557" s="185"/>
      <c r="C1557" s="113">
        <v>239.99199999999999</v>
      </c>
      <c r="D1557" s="113">
        <v>8827</v>
      </c>
      <c r="E1557" s="113">
        <v>1554</v>
      </c>
      <c r="F1557" s="113">
        <v>163</v>
      </c>
      <c r="G1557" s="113">
        <v>161.9</v>
      </c>
      <c r="H1557" s="113">
        <v>160.69999999999999</v>
      </c>
      <c r="I1557" s="113">
        <v>3.7</v>
      </c>
      <c r="J1557" s="113">
        <v>10.37</v>
      </c>
      <c r="K1557" s="113">
        <v>2.2999999999999998</v>
      </c>
    </row>
    <row r="1558" spans="2:11" x14ac:dyDescent="0.25">
      <c r="B1558" s="185"/>
      <c r="C1558" s="113">
        <v>240.01400000000001</v>
      </c>
      <c r="D1558" s="113">
        <v>8828</v>
      </c>
      <c r="E1558" s="113">
        <v>1555</v>
      </c>
      <c r="F1558" s="113">
        <v>163</v>
      </c>
      <c r="G1558" s="113">
        <v>162.30000000000001</v>
      </c>
      <c r="H1558" s="113">
        <v>161</v>
      </c>
      <c r="I1558" s="113">
        <v>4.7</v>
      </c>
      <c r="J1558" s="113">
        <v>10.41</v>
      </c>
      <c r="K1558" s="113">
        <v>2.5</v>
      </c>
    </row>
    <row r="1559" spans="2:11" x14ac:dyDescent="0.25">
      <c r="B1559" s="185"/>
      <c r="C1559" s="113">
        <v>240.036</v>
      </c>
      <c r="D1559" s="113">
        <v>8829</v>
      </c>
      <c r="E1559" s="113">
        <v>1556</v>
      </c>
      <c r="F1559" s="113">
        <v>164</v>
      </c>
      <c r="G1559" s="113">
        <v>162.80000000000001</v>
      </c>
      <c r="H1559" s="113">
        <v>161.30000000000001</v>
      </c>
      <c r="I1559" s="113">
        <v>5.5</v>
      </c>
      <c r="J1559" s="113">
        <v>10.5</v>
      </c>
      <c r="K1559" s="113">
        <v>3.4</v>
      </c>
    </row>
    <row r="1560" spans="2:11" x14ac:dyDescent="0.25">
      <c r="B1560" s="185"/>
      <c r="C1560" s="113">
        <v>240.05799999999999</v>
      </c>
      <c r="D1560" s="113">
        <v>8830</v>
      </c>
      <c r="E1560" s="113">
        <v>1557</v>
      </c>
      <c r="F1560" s="113">
        <v>164</v>
      </c>
      <c r="G1560" s="113">
        <v>163</v>
      </c>
      <c r="H1560" s="113">
        <v>161.69999999999999</v>
      </c>
      <c r="I1560" s="113">
        <v>6.1</v>
      </c>
      <c r="J1560" s="113">
        <v>10.43</v>
      </c>
      <c r="K1560" s="113">
        <v>4.3</v>
      </c>
    </row>
    <row r="1561" spans="2:11" x14ac:dyDescent="0.25">
      <c r="B1561" s="185"/>
      <c r="C1561" s="113">
        <v>240.08099999999999</v>
      </c>
      <c r="D1561" s="113">
        <v>8831</v>
      </c>
      <c r="E1561" s="113">
        <v>1558</v>
      </c>
      <c r="F1561" s="113">
        <v>165</v>
      </c>
      <c r="G1561" s="113">
        <v>163.30000000000001</v>
      </c>
      <c r="H1561" s="113">
        <v>162.19999999999999</v>
      </c>
      <c r="I1561" s="113">
        <v>6.1</v>
      </c>
      <c r="J1561" s="113">
        <v>11.77</v>
      </c>
      <c r="K1561" s="113">
        <v>5.3</v>
      </c>
    </row>
    <row r="1562" spans="2:11" x14ac:dyDescent="0.25">
      <c r="B1562" s="185"/>
      <c r="C1562" s="113">
        <v>240.102</v>
      </c>
      <c r="D1562" s="113">
        <v>8832</v>
      </c>
      <c r="E1562" s="113">
        <v>1559</v>
      </c>
      <c r="F1562" s="113">
        <v>166</v>
      </c>
      <c r="G1562" s="113">
        <v>163.5</v>
      </c>
      <c r="H1562" s="113">
        <v>162.5</v>
      </c>
      <c r="I1562" s="113">
        <v>6</v>
      </c>
      <c r="J1562" s="113">
        <v>11.48</v>
      </c>
      <c r="K1562" s="113">
        <v>4.0999999999999996</v>
      </c>
    </row>
    <row r="1563" spans="2:11" x14ac:dyDescent="0.25">
      <c r="B1563" s="185"/>
      <c r="C1563" s="113">
        <v>240.124</v>
      </c>
      <c r="D1563" s="113">
        <v>8833</v>
      </c>
      <c r="E1563" s="113">
        <v>1560</v>
      </c>
      <c r="F1563" s="113">
        <v>166</v>
      </c>
      <c r="G1563" s="113">
        <v>163.69999999999999</v>
      </c>
      <c r="H1563" s="113">
        <v>162.9</v>
      </c>
      <c r="I1563" s="113">
        <v>5.6</v>
      </c>
      <c r="J1563" s="113">
        <v>10.130000000000001</v>
      </c>
      <c r="K1563" s="113">
        <v>2.9</v>
      </c>
    </row>
    <row r="1564" spans="2:11" x14ac:dyDescent="0.25">
      <c r="B1564" s="185"/>
      <c r="C1564" s="113">
        <v>240.14599999999999</v>
      </c>
      <c r="D1564" s="113">
        <v>8834</v>
      </c>
      <c r="E1564" s="113">
        <v>1561</v>
      </c>
      <c r="F1564" s="113">
        <v>167</v>
      </c>
      <c r="G1564" s="113">
        <v>164.2</v>
      </c>
      <c r="H1564" s="113">
        <v>163.19999999999999</v>
      </c>
      <c r="I1564" s="113">
        <v>5</v>
      </c>
      <c r="J1564" s="113">
        <v>9.74</v>
      </c>
      <c r="K1564" s="113">
        <v>1.6</v>
      </c>
    </row>
    <row r="1565" spans="2:11" x14ac:dyDescent="0.25">
      <c r="B1565" s="185"/>
      <c r="C1565" s="113">
        <v>240.16800000000001</v>
      </c>
      <c r="D1565" s="113">
        <v>8835</v>
      </c>
      <c r="E1565" s="113">
        <v>1562</v>
      </c>
      <c r="F1565" s="113">
        <v>167</v>
      </c>
      <c r="G1565" s="113">
        <v>164.7</v>
      </c>
      <c r="H1565" s="113">
        <v>163.5</v>
      </c>
      <c r="I1565" s="113">
        <v>3.9</v>
      </c>
      <c r="J1565" s="113">
        <v>9.9</v>
      </c>
      <c r="K1565" s="113">
        <v>0.6</v>
      </c>
    </row>
    <row r="1566" spans="2:11" x14ac:dyDescent="0.25">
      <c r="B1566" s="185"/>
      <c r="C1566" s="113">
        <v>240.19</v>
      </c>
      <c r="D1566" s="113">
        <v>8836</v>
      </c>
      <c r="E1566" s="113">
        <v>1563</v>
      </c>
      <c r="F1566" s="113">
        <v>168</v>
      </c>
      <c r="G1566" s="113">
        <v>165.5</v>
      </c>
      <c r="H1566" s="113">
        <v>164</v>
      </c>
      <c r="I1566" s="113">
        <v>2.8</v>
      </c>
      <c r="J1566" s="113">
        <v>11.43</v>
      </c>
      <c r="K1566" s="113">
        <v>0.6</v>
      </c>
    </row>
    <row r="1567" spans="2:11" x14ac:dyDescent="0.25">
      <c r="B1567" s="185"/>
      <c r="C1567" s="113">
        <v>240.21199999999999</v>
      </c>
      <c r="D1567" s="113">
        <v>8837</v>
      </c>
      <c r="E1567" s="113">
        <v>1564</v>
      </c>
      <c r="F1567" s="113">
        <v>167</v>
      </c>
      <c r="G1567" s="113">
        <v>165.9</v>
      </c>
      <c r="H1567" s="113">
        <v>164.3</v>
      </c>
      <c r="I1567" s="113">
        <v>2.6</v>
      </c>
      <c r="J1567" s="113">
        <v>12.46</v>
      </c>
      <c r="K1567" s="113">
        <v>0.6</v>
      </c>
    </row>
    <row r="1568" spans="2:11" x14ac:dyDescent="0.25">
      <c r="B1568" s="185"/>
      <c r="C1568" s="113">
        <v>240.233</v>
      </c>
      <c r="D1568" s="113">
        <v>8838</v>
      </c>
      <c r="E1568" s="113">
        <v>1565</v>
      </c>
      <c r="F1568" s="113">
        <v>166</v>
      </c>
      <c r="G1568" s="113">
        <v>166.3</v>
      </c>
      <c r="H1568" s="113">
        <v>164.6</v>
      </c>
      <c r="I1568" s="113">
        <v>3.4</v>
      </c>
      <c r="J1568" s="113">
        <v>13.12</v>
      </c>
      <c r="K1568" s="113">
        <v>0.6</v>
      </c>
    </row>
    <row r="1569" spans="2:11" x14ac:dyDescent="0.25">
      <c r="B1569" s="185"/>
      <c r="C1569" s="113">
        <v>240.255</v>
      </c>
      <c r="D1569" s="113">
        <v>8839</v>
      </c>
      <c r="E1569" s="113">
        <v>1566</v>
      </c>
      <c r="F1569" s="113">
        <v>166</v>
      </c>
      <c r="G1569" s="113">
        <v>166.9</v>
      </c>
      <c r="H1569" s="113">
        <v>165</v>
      </c>
      <c r="I1569" s="113">
        <v>5.2</v>
      </c>
      <c r="J1569" s="113">
        <v>13.68</v>
      </c>
      <c r="K1569" s="113">
        <v>1.3</v>
      </c>
    </row>
    <row r="1570" spans="2:11" x14ac:dyDescent="0.25">
      <c r="B1570" s="185"/>
      <c r="C1570" s="113">
        <v>240.27699999999999</v>
      </c>
      <c r="D1570" s="113">
        <v>8840</v>
      </c>
      <c r="E1570" s="113">
        <v>1567</v>
      </c>
      <c r="F1570" s="113">
        <v>168</v>
      </c>
      <c r="G1570" s="113">
        <v>167.5</v>
      </c>
      <c r="H1570" s="113">
        <v>165.3</v>
      </c>
      <c r="I1570" s="113">
        <v>5</v>
      </c>
      <c r="J1570" s="113">
        <v>21.61</v>
      </c>
      <c r="K1570" s="113">
        <v>2.2000000000000002</v>
      </c>
    </row>
    <row r="1571" spans="2:11" x14ac:dyDescent="0.25">
      <c r="B1571" s="185"/>
      <c r="C1571" s="113">
        <v>240.298</v>
      </c>
      <c r="D1571" s="113">
        <v>8841</v>
      </c>
      <c r="E1571" s="113">
        <v>1568</v>
      </c>
      <c r="F1571" s="113">
        <v>169</v>
      </c>
      <c r="G1571" s="113">
        <v>167.5</v>
      </c>
      <c r="H1571" s="113">
        <v>165.7</v>
      </c>
      <c r="I1571" s="113">
        <v>2.9</v>
      </c>
      <c r="J1571" s="113">
        <v>27.43</v>
      </c>
      <c r="K1571" s="113">
        <v>3.1</v>
      </c>
    </row>
    <row r="1572" spans="2:11" x14ac:dyDescent="0.25">
      <c r="B1572" s="185"/>
      <c r="C1572" s="113">
        <v>240.31899999999999</v>
      </c>
      <c r="D1572" s="113">
        <v>8842</v>
      </c>
      <c r="E1572" s="113">
        <v>1569</v>
      </c>
      <c r="F1572" s="113">
        <v>168</v>
      </c>
      <c r="G1572" s="113">
        <v>167.3</v>
      </c>
      <c r="H1572" s="113">
        <v>166</v>
      </c>
      <c r="I1572" s="113">
        <v>3.8</v>
      </c>
      <c r="J1572" s="113">
        <v>25.95</v>
      </c>
      <c r="K1572" s="113">
        <v>4.0999999999999996</v>
      </c>
    </row>
    <row r="1573" spans="2:11" x14ac:dyDescent="0.25">
      <c r="B1573" s="185"/>
      <c r="C1573" s="113">
        <v>240.34100000000001</v>
      </c>
      <c r="D1573" s="113">
        <v>8843</v>
      </c>
      <c r="E1573" s="113">
        <v>1570</v>
      </c>
      <c r="F1573" s="113">
        <v>167</v>
      </c>
      <c r="G1573" s="113">
        <v>167.9</v>
      </c>
      <c r="H1573" s="113">
        <v>166.6</v>
      </c>
      <c r="I1573" s="113">
        <v>9.5</v>
      </c>
      <c r="J1573" s="113">
        <v>18.77</v>
      </c>
      <c r="K1573" s="113">
        <v>3.6</v>
      </c>
    </row>
    <row r="1574" spans="2:11" x14ac:dyDescent="0.25">
      <c r="B1574" s="185"/>
      <c r="C1574" s="113">
        <v>240.363</v>
      </c>
      <c r="D1574" s="113">
        <v>8844</v>
      </c>
      <c r="E1574" s="113">
        <v>1571</v>
      </c>
      <c r="F1574" s="113">
        <v>168</v>
      </c>
      <c r="G1574" s="113">
        <v>168.3</v>
      </c>
      <c r="H1574" s="113">
        <v>166.9</v>
      </c>
      <c r="I1574" s="113">
        <v>9.1999999999999993</v>
      </c>
      <c r="J1574" s="113">
        <v>20.85</v>
      </c>
      <c r="K1574" s="113">
        <v>3</v>
      </c>
    </row>
    <row r="1575" spans="2:11" x14ac:dyDescent="0.25">
      <c r="B1575" s="185"/>
      <c r="C1575" s="113">
        <v>240.38399999999999</v>
      </c>
      <c r="D1575" s="113">
        <v>8845</v>
      </c>
      <c r="E1575" s="113">
        <v>1572</v>
      </c>
      <c r="F1575" s="113">
        <v>170</v>
      </c>
      <c r="G1575" s="113">
        <v>168</v>
      </c>
      <c r="H1575" s="113">
        <v>167.2</v>
      </c>
      <c r="I1575" s="113">
        <v>6</v>
      </c>
      <c r="J1575" s="113">
        <v>21.74</v>
      </c>
      <c r="K1575" s="113">
        <v>2.2999999999999998</v>
      </c>
    </row>
    <row r="1576" spans="2:11" x14ac:dyDescent="0.25">
      <c r="B1576" s="185"/>
      <c r="C1576" s="113">
        <v>240.405</v>
      </c>
      <c r="D1576" s="113">
        <v>8846</v>
      </c>
      <c r="E1576" s="113">
        <v>1573</v>
      </c>
      <c r="F1576" s="113">
        <v>172</v>
      </c>
      <c r="G1576" s="113">
        <v>167.9</v>
      </c>
      <c r="H1576" s="113">
        <v>167.5</v>
      </c>
      <c r="I1576" s="113">
        <v>4.5999999999999996</v>
      </c>
      <c r="J1576" s="113">
        <v>20.13</v>
      </c>
      <c r="K1576" s="113">
        <v>2</v>
      </c>
    </row>
    <row r="1577" spans="2:11" x14ac:dyDescent="0.25">
      <c r="B1577" s="185"/>
      <c r="C1577" s="113">
        <v>240.42599999999999</v>
      </c>
      <c r="D1577" s="113">
        <v>8847</v>
      </c>
      <c r="E1577" s="113">
        <v>1574</v>
      </c>
      <c r="F1577" s="113">
        <v>170</v>
      </c>
      <c r="G1577" s="113">
        <v>168.6</v>
      </c>
      <c r="H1577" s="113">
        <v>167.8</v>
      </c>
      <c r="I1577" s="113">
        <v>5</v>
      </c>
      <c r="J1577" s="113">
        <v>16.48</v>
      </c>
      <c r="K1577" s="113">
        <v>2.9</v>
      </c>
    </row>
    <row r="1578" spans="2:11" x14ac:dyDescent="0.25">
      <c r="B1578" s="185"/>
      <c r="C1578" s="113">
        <v>240.447</v>
      </c>
      <c r="D1578" s="113">
        <v>8848</v>
      </c>
      <c r="E1578" s="113">
        <v>1575</v>
      </c>
      <c r="F1578" s="113">
        <v>169</v>
      </c>
      <c r="G1578" s="113">
        <v>169.2</v>
      </c>
      <c r="H1578" s="113">
        <v>168.1</v>
      </c>
      <c r="I1578" s="113">
        <v>5.4</v>
      </c>
      <c r="J1578" s="113">
        <v>15.61</v>
      </c>
      <c r="K1578" s="113">
        <v>3.9</v>
      </c>
    </row>
    <row r="1579" spans="2:11" x14ac:dyDescent="0.25">
      <c r="B1579" s="185"/>
      <c r="C1579" s="113">
        <v>240.46899999999999</v>
      </c>
      <c r="D1579" s="113">
        <v>8849</v>
      </c>
      <c r="E1579" s="113">
        <v>1576</v>
      </c>
      <c r="F1579" s="113">
        <v>171</v>
      </c>
      <c r="G1579" s="113">
        <v>169.8</v>
      </c>
      <c r="H1579" s="113">
        <v>168.4</v>
      </c>
      <c r="I1579" s="113">
        <v>5.0999999999999996</v>
      </c>
      <c r="J1579" s="113">
        <v>15.8</v>
      </c>
      <c r="K1579" s="113">
        <v>4.9000000000000004</v>
      </c>
    </row>
    <row r="1580" spans="2:11" x14ac:dyDescent="0.25">
      <c r="B1580" s="185"/>
      <c r="C1580" s="113">
        <v>240.49</v>
      </c>
      <c r="D1580" s="113">
        <v>8850</v>
      </c>
      <c r="E1580" s="113">
        <v>1577</v>
      </c>
      <c r="F1580" s="113">
        <v>172</v>
      </c>
      <c r="G1580" s="113">
        <v>170</v>
      </c>
      <c r="H1580" s="113">
        <v>168.8</v>
      </c>
      <c r="I1580" s="113">
        <v>3.9</v>
      </c>
      <c r="J1580" s="113">
        <v>22.18</v>
      </c>
      <c r="K1580" s="113">
        <v>5.5</v>
      </c>
    </row>
    <row r="1581" spans="2:11" x14ac:dyDescent="0.25">
      <c r="B1581" s="185"/>
      <c r="C1581" s="113">
        <v>240.511</v>
      </c>
      <c r="D1581" s="113">
        <v>8851</v>
      </c>
      <c r="E1581" s="113">
        <v>1578</v>
      </c>
      <c r="F1581" s="113">
        <v>171</v>
      </c>
      <c r="G1581" s="113">
        <v>169.6</v>
      </c>
      <c r="H1581" s="113">
        <v>169.1</v>
      </c>
      <c r="I1581" s="113">
        <v>4.4000000000000004</v>
      </c>
      <c r="J1581" s="113">
        <v>20.079999999999998</v>
      </c>
      <c r="K1581" s="113">
        <v>5.3</v>
      </c>
    </row>
    <row r="1582" spans="2:11" x14ac:dyDescent="0.25">
      <c r="B1582" s="185"/>
      <c r="C1582" s="113">
        <v>240.53200000000001</v>
      </c>
      <c r="D1582" s="113">
        <v>8852</v>
      </c>
      <c r="E1582" s="113">
        <v>1579</v>
      </c>
      <c r="F1582" s="113">
        <v>171</v>
      </c>
      <c r="G1582" s="113">
        <v>170.1</v>
      </c>
      <c r="H1582" s="113">
        <v>169.4</v>
      </c>
      <c r="I1582" s="113">
        <v>6.7</v>
      </c>
      <c r="J1582" s="113">
        <v>15.98</v>
      </c>
      <c r="K1582" s="113">
        <v>5.2</v>
      </c>
    </row>
    <row r="1583" spans="2:11" x14ac:dyDescent="0.25">
      <c r="B1583" s="185"/>
      <c r="C1583" s="113">
        <v>240.554</v>
      </c>
      <c r="D1583" s="113">
        <v>8853</v>
      </c>
      <c r="E1583" s="113">
        <v>1580</v>
      </c>
      <c r="F1583" s="113">
        <v>171</v>
      </c>
      <c r="G1583" s="113">
        <v>171</v>
      </c>
      <c r="H1583" s="113">
        <v>169.7</v>
      </c>
      <c r="I1583" s="113">
        <v>7.2</v>
      </c>
      <c r="J1583" s="113">
        <v>13.79</v>
      </c>
      <c r="K1583" s="113">
        <v>5.0999999999999996</v>
      </c>
    </row>
    <row r="1584" spans="2:11" x14ac:dyDescent="0.25">
      <c r="B1584" s="185"/>
      <c r="C1584" s="113">
        <v>240.57400000000001</v>
      </c>
      <c r="D1584" s="113">
        <v>8854</v>
      </c>
      <c r="E1584" s="113">
        <v>1581</v>
      </c>
      <c r="F1584" s="113">
        <v>172</v>
      </c>
      <c r="G1584" s="113">
        <v>171.4</v>
      </c>
      <c r="H1584" s="113">
        <v>170</v>
      </c>
      <c r="I1584" s="113">
        <v>5.8</v>
      </c>
      <c r="J1584" s="113">
        <v>14.33</v>
      </c>
      <c r="K1584" s="113">
        <v>5</v>
      </c>
    </row>
    <row r="1585" spans="2:11" x14ac:dyDescent="0.25">
      <c r="B1585" s="185"/>
      <c r="C1585" s="113">
        <v>240.596</v>
      </c>
      <c r="D1585" s="113">
        <v>8855</v>
      </c>
      <c r="E1585" s="113">
        <v>1582</v>
      </c>
      <c r="F1585" s="113">
        <v>174</v>
      </c>
      <c r="G1585" s="113">
        <v>171.5</v>
      </c>
      <c r="H1585" s="113">
        <v>170.2</v>
      </c>
      <c r="I1585" s="113">
        <v>4</v>
      </c>
      <c r="J1585" s="113">
        <v>16.079999999999998</v>
      </c>
      <c r="K1585" s="113">
        <v>5</v>
      </c>
    </row>
    <row r="1586" spans="2:11" x14ac:dyDescent="0.25">
      <c r="B1586" s="185"/>
      <c r="C1586" s="113">
        <v>240.61600000000001</v>
      </c>
      <c r="D1586" s="113">
        <v>8856</v>
      </c>
      <c r="E1586" s="113">
        <v>1583</v>
      </c>
      <c r="F1586" s="113">
        <v>173</v>
      </c>
      <c r="G1586" s="113">
        <v>171.8</v>
      </c>
      <c r="H1586" s="113">
        <v>170.5</v>
      </c>
      <c r="I1586" s="113">
        <v>4</v>
      </c>
      <c r="J1586" s="113">
        <v>17.59</v>
      </c>
      <c r="K1586" s="113">
        <v>5</v>
      </c>
    </row>
    <row r="1587" spans="2:11" x14ac:dyDescent="0.25">
      <c r="B1587" s="185"/>
      <c r="C1587" s="113">
        <v>240.637</v>
      </c>
      <c r="D1587" s="113">
        <v>8857</v>
      </c>
      <c r="E1587" s="113">
        <v>1584</v>
      </c>
      <c r="F1587" s="113">
        <v>172</v>
      </c>
      <c r="G1587" s="113">
        <v>172.2</v>
      </c>
      <c r="H1587" s="113">
        <v>170.8</v>
      </c>
      <c r="I1587" s="113">
        <v>5.4</v>
      </c>
      <c r="J1587" s="113">
        <v>15.78</v>
      </c>
      <c r="K1587" s="113">
        <v>5</v>
      </c>
    </row>
    <row r="1588" spans="2:11" x14ac:dyDescent="0.25">
      <c r="B1588" s="185"/>
      <c r="C1588" s="113">
        <v>240.65799999999999</v>
      </c>
      <c r="D1588" s="113">
        <v>8858</v>
      </c>
      <c r="E1588" s="113">
        <v>1585</v>
      </c>
      <c r="F1588" s="113">
        <v>173</v>
      </c>
      <c r="G1588" s="113">
        <v>172.4</v>
      </c>
      <c r="H1588" s="113">
        <v>171.1</v>
      </c>
      <c r="I1588" s="113">
        <v>6.2</v>
      </c>
      <c r="J1588" s="113">
        <v>15.46</v>
      </c>
      <c r="K1588" s="113">
        <v>4.7</v>
      </c>
    </row>
    <row r="1589" spans="2:11" x14ac:dyDescent="0.25">
      <c r="B1589" s="185"/>
      <c r="C1589" s="113">
        <v>240.679</v>
      </c>
      <c r="D1589" s="113">
        <v>8859</v>
      </c>
      <c r="E1589" s="113">
        <v>1586</v>
      </c>
      <c r="F1589" s="113">
        <v>174</v>
      </c>
      <c r="G1589" s="113">
        <v>172.6</v>
      </c>
      <c r="H1589" s="113">
        <v>171.4</v>
      </c>
      <c r="I1589" s="113">
        <v>6.2</v>
      </c>
      <c r="J1589" s="113">
        <v>17.21</v>
      </c>
      <c r="K1589" s="113">
        <v>4.2</v>
      </c>
    </row>
    <row r="1590" spans="2:11" x14ac:dyDescent="0.25">
      <c r="B1590" s="185"/>
      <c r="C1590" s="113">
        <v>240.7</v>
      </c>
      <c r="D1590" s="113">
        <v>8860</v>
      </c>
      <c r="E1590" s="113">
        <v>1587</v>
      </c>
      <c r="F1590" s="113">
        <v>174</v>
      </c>
      <c r="G1590" s="113">
        <v>172.9</v>
      </c>
      <c r="H1590" s="113">
        <v>171.8</v>
      </c>
      <c r="I1590" s="113">
        <v>5.8</v>
      </c>
      <c r="J1590" s="113">
        <v>18.87</v>
      </c>
      <c r="K1590" s="113">
        <v>3.5</v>
      </c>
    </row>
    <row r="1591" spans="2:11" x14ac:dyDescent="0.25">
      <c r="B1591" s="185"/>
      <c r="C1591" s="113">
        <v>240.721</v>
      </c>
      <c r="D1591" s="113">
        <v>8861</v>
      </c>
      <c r="E1591" s="113">
        <v>1588</v>
      </c>
      <c r="F1591" s="113">
        <v>174</v>
      </c>
      <c r="G1591" s="113">
        <v>173.1</v>
      </c>
      <c r="H1591" s="113">
        <v>172.1</v>
      </c>
      <c r="I1591" s="113">
        <v>5.8</v>
      </c>
      <c r="J1591" s="113">
        <v>16.82</v>
      </c>
      <c r="K1591" s="113">
        <v>3.4</v>
      </c>
    </row>
    <row r="1592" spans="2:11" x14ac:dyDescent="0.25">
      <c r="B1592" s="185"/>
      <c r="C1592" s="113">
        <v>240.74100000000001</v>
      </c>
      <c r="D1592" s="113">
        <v>8862</v>
      </c>
      <c r="E1592" s="113">
        <v>1589</v>
      </c>
      <c r="F1592" s="113">
        <v>175</v>
      </c>
      <c r="G1592" s="113">
        <v>173.4</v>
      </c>
      <c r="H1592" s="113">
        <v>172.3</v>
      </c>
      <c r="I1592" s="113">
        <v>5.8</v>
      </c>
      <c r="J1592" s="113">
        <v>15.65</v>
      </c>
      <c r="K1592" s="113">
        <v>4.9000000000000004</v>
      </c>
    </row>
    <row r="1593" spans="2:11" x14ac:dyDescent="0.25">
      <c r="B1593" s="185"/>
      <c r="C1593" s="113">
        <v>240.762</v>
      </c>
      <c r="D1593" s="113">
        <v>8863</v>
      </c>
      <c r="E1593" s="113">
        <v>1590</v>
      </c>
      <c r="F1593" s="113">
        <v>175</v>
      </c>
      <c r="G1593" s="113">
        <v>173.6</v>
      </c>
      <c r="H1593" s="113">
        <v>172.6</v>
      </c>
      <c r="I1593" s="113">
        <v>5</v>
      </c>
      <c r="J1593" s="113">
        <v>17.309999999999999</v>
      </c>
      <c r="K1593" s="113">
        <v>6.5</v>
      </c>
    </row>
    <row r="1594" spans="2:11" x14ac:dyDescent="0.25">
      <c r="B1594" s="185"/>
      <c r="C1594" s="113">
        <v>240.78200000000001</v>
      </c>
      <c r="D1594" s="113">
        <v>8864</v>
      </c>
      <c r="E1594" s="113">
        <v>1591</v>
      </c>
      <c r="F1594" s="113">
        <v>176</v>
      </c>
      <c r="G1594" s="113">
        <v>173.5</v>
      </c>
      <c r="H1594" s="113">
        <v>172.9</v>
      </c>
      <c r="I1594" s="113">
        <v>4.5999999999999996</v>
      </c>
      <c r="J1594" s="113">
        <v>16.39</v>
      </c>
      <c r="K1594" s="113">
        <v>8</v>
      </c>
    </row>
    <row r="1595" spans="2:11" x14ac:dyDescent="0.25">
      <c r="B1595" s="185"/>
      <c r="C1595" s="113">
        <v>240.803</v>
      </c>
      <c r="D1595" s="113">
        <v>8865</v>
      </c>
      <c r="E1595" s="113">
        <v>1592</v>
      </c>
      <c r="F1595" s="113">
        <v>176</v>
      </c>
      <c r="G1595" s="113">
        <v>173.5</v>
      </c>
      <c r="H1595" s="113">
        <v>173.2</v>
      </c>
      <c r="I1595" s="113">
        <v>3.7</v>
      </c>
      <c r="J1595" s="113">
        <v>14.64</v>
      </c>
      <c r="K1595" s="113">
        <v>9.1</v>
      </c>
    </row>
    <row r="1596" spans="2:11" x14ac:dyDescent="0.25">
      <c r="B1596" s="185"/>
      <c r="C1596" s="113">
        <v>240.82400000000001</v>
      </c>
      <c r="D1596" s="113">
        <v>8866</v>
      </c>
      <c r="E1596" s="113">
        <v>1593</v>
      </c>
      <c r="F1596" s="113">
        <v>176</v>
      </c>
      <c r="G1596" s="113">
        <v>173.9</v>
      </c>
      <c r="H1596" s="113">
        <v>173.4</v>
      </c>
      <c r="I1596" s="113">
        <v>3.6</v>
      </c>
      <c r="J1596" s="113">
        <v>12.09</v>
      </c>
      <c r="K1596" s="113">
        <v>8.3000000000000007</v>
      </c>
    </row>
    <row r="1597" spans="2:11" x14ac:dyDescent="0.25">
      <c r="B1597" s="185"/>
      <c r="C1597" s="113">
        <v>240.845</v>
      </c>
      <c r="D1597" s="113">
        <v>8867</v>
      </c>
      <c r="E1597" s="113">
        <v>1594</v>
      </c>
      <c r="F1597" s="113">
        <v>176</v>
      </c>
      <c r="G1597" s="113">
        <v>174.2</v>
      </c>
      <c r="H1597" s="113">
        <v>173.7</v>
      </c>
      <c r="I1597" s="113">
        <v>2.9</v>
      </c>
      <c r="J1597" s="113">
        <v>11.86</v>
      </c>
      <c r="K1597" s="113">
        <v>7.6</v>
      </c>
    </row>
    <row r="1598" spans="2:11" x14ac:dyDescent="0.25">
      <c r="B1598" s="185"/>
      <c r="C1598" s="113">
        <v>240.86600000000001</v>
      </c>
      <c r="D1598" s="113">
        <v>8868</v>
      </c>
      <c r="E1598" s="113">
        <v>1595</v>
      </c>
      <c r="F1598" s="113">
        <v>177</v>
      </c>
      <c r="G1598" s="113">
        <v>174.5</v>
      </c>
      <c r="H1598" s="113">
        <v>173.9</v>
      </c>
      <c r="I1598" s="113">
        <v>2.6</v>
      </c>
      <c r="J1598" s="113">
        <v>10.4</v>
      </c>
      <c r="K1598" s="113">
        <v>6.9</v>
      </c>
    </row>
    <row r="1599" spans="2:11" x14ac:dyDescent="0.25">
      <c r="B1599" s="185"/>
      <c r="C1599" s="113">
        <v>240.886</v>
      </c>
      <c r="D1599" s="113">
        <v>8869</v>
      </c>
      <c r="E1599" s="113">
        <v>1596</v>
      </c>
      <c r="F1599" s="113">
        <v>178</v>
      </c>
      <c r="G1599" s="113">
        <v>174.8</v>
      </c>
      <c r="H1599" s="113">
        <v>174.2</v>
      </c>
      <c r="I1599" s="113">
        <v>1.8</v>
      </c>
      <c r="J1599" s="113">
        <v>10.38</v>
      </c>
      <c r="K1599" s="113">
        <v>5.9</v>
      </c>
    </row>
    <row r="1600" spans="2:11" x14ac:dyDescent="0.25">
      <c r="B1600" s="185"/>
      <c r="C1600" s="113">
        <v>240.90600000000001</v>
      </c>
      <c r="D1600" s="113">
        <v>8870</v>
      </c>
      <c r="E1600" s="113">
        <v>1597</v>
      </c>
      <c r="F1600" s="113">
        <v>178</v>
      </c>
      <c r="G1600" s="113">
        <v>174.9</v>
      </c>
      <c r="H1600" s="113">
        <v>174.4</v>
      </c>
      <c r="I1600" s="113">
        <v>1.7</v>
      </c>
      <c r="J1600" s="113">
        <v>9.61</v>
      </c>
      <c r="K1600" s="113">
        <v>4</v>
      </c>
    </row>
    <row r="1601" spans="2:11" x14ac:dyDescent="0.25">
      <c r="B1601" s="185"/>
      <c r="C1601" s="113">
        <v>240.92699999999999</v>
      </c>
      <c r="D1601" s="113">
        <v>8870</v>
      </c>
      <c r="E1601" s="113">
        <v>1598</v>
      </c>
      <c r="F1601" s="113">
        <v>178</v>
      </c>
      <c r="G1601" s="113">
        <v>175</v>
      </c>
      <c r="H1601" s="113">
        <v>174.6</v>
      </c>
      <c r="I1601" s="113">
        <v>1.8</v>
      </c>
      <c r="J1601" s="113">
        <v>8.61</v>
      </c>
      <c r="K1601" s="113">
        <v>2.1</v>
      </c>
    </row>
    <row r="1602" spans="2:11" x14ac:dyDescent="0.25">
      <c r="B1602" s="185"/>
      <c r="C1602" s="113">
        <v>240.947</v>
      </c>
      <c r="D1602" s="113">
        <v>8872</v>
      </c>
      <c r="E1602" s="113">
        <v>1599</v>
      </c>
      <c r="F1602" s="113">
        <v>178</v>
      </c>
      <c r="G1602" s="113">
        <v>175.6</v>
      </c>
      <c r="H1602" s="113">
        <v>174.9</v>
      </c>
      <c r="I1602" s="113">
        <v>2.2999999999999998</v>
      </c>
      <c r="J1602" s="113">
        <v>6.91</v>
      </c>
      <c r="K1602" s="113">
        <v>0.3</v>
      </c>
    </row>
    <row r="1603" spans="2:11" x14ac:dyDescent="0.25">
      <c r="B1603" s="185"/>
      <c r="C1603" s="113">
        <v>240.96799999999999</v>
      </c>
      <c r="D1603" s="113">
        <v>8873</v>
      </c>
      <c r="E1603" s="113">
        <v>1600</v>
      </c>
      <c r="F1603" s="113">
        <v>178</v>
      </c>
      <c r="G1603" s="113">
        <v>176.2</v>
      </c>
      <c r="H1603" s="113">
        <v>175.1</v>
      </c>
      <c r="I1603" s="113">
        <v>2.2000000000000002</v>
      </c>
      <c r="J1603" s="113">
        <v>9.91</v>
      </c>
      <c r="K1603" s="113">
        <v>-1.2</v>
      </c>
    </row>
    <row r="1604" spans="2:11" x14ac:dyDescent="0.25">
      <c r="B1604" s="185"/>
      <c r="C1604" s="113">
        <v>240.988</v>
      </c>
      <c r="D1604" s="113">
        <v>8874</v>
      </c>
      <c r="E1604" s="113">
        <v>1601</v>
      </c>
      <c r="F1604" s="113">
        <v>179</v>
      </c>
      <c r="G1604" s="113">
        <v>176.4</v>
      </c>
      <c r="H1604" s="113">
        <v>175.4</v>
      </c>
      <c r="I1604" s="113">
        <v>2.2000000000000002</v>
      </c>
      <c r="J1604" s="113">
        <v>9.77</v>
      </c>
      <c r="K1604" s="113">
        <v>-1.2</v>
      </c>
    </row>
    <row r="1605" spans="2:11" x14ac:dyDescent="0.25">
      <c r="B1605" s="185"/>
      <c r="C1605" s="113">
        <v>241.00899999999999</v>
      </c>
      <c r="D1605" s="113">
        <v>8875</v>
      </c>
      <c r="E1605" s="113">
        <v>1602</v>
      </c>
      <c r="F1605" s="113">
        <v>179</v>
      </c>
      <c r="G1605" s="113">
        <v>176.7</v>
      </c>
      <c r="H1605" s="113">
        <v>175.6</v>
      </c>
      <c r="I1605" s="113">
        <v>2.4</v>
      </c>
      <c r="J1605" s="113">
        <v>9.6199999999999992</v>
      </c>
      <c r="K1605" s="113">
        <v>-1.2</v>
      </c>
    </row>
    <row r="1606" spans="2:11" x14ac:dyDescent="0.25">
      <c r="B1606" s="185"/>
      <c r="C1606" s="113">
        <v>241.029</v>
      </c>
      <c r="D1606" s="113">
        <v>8876</v>
      </c>
      <c r="E1606" s="113">
        <v>1603</v>
      </c>
      <c r="F1606" s="113">
        <v>179</v>
      </c>
      <c r="G1606" s="113">
        <v>177.2</v>
      </c>
      <c r="H1606" s="113">
        <v>175.9</v>
      </c>
      <c r="I1606" s="113">
        <v>3.5</v>
      </c>
      <c r="J1606" s="113">
        <v>8.7100000000000009</v>
      </c>
      <c r="K1606" s="113">
        <v>-1.2</v>
      </c>
    </row>
    <row r="1607" spans="2:11" x14ac:dyDescent="0.25">
      <c r="B1607" s="185"/>
      <c r="C1607" s="113">
        <v>241.04900000000001</v>
      </c>
      <c r="D1607" s="113">
        <v>8877</v>
      </c>
      <c r="E1607" s="113">
        <v>1604</v>
      </c>
      <c r="F1607" s="113">
        <v>179</v>
      </c>
      <c r="G1607" s="113">
        <v>177.7</v>
      </c>
      <c r="H1607" s="113">
        <v>176.1</v>
      </c>
      <c r="I1607" s="113">
        <v>3.7</v>
      </c>
      <c r="J1607" s="113">
        <v>10.46</v>
      </c>
      <c r="K1607" s="113">
        <v>-1.1000000000000001</v>
      </c>
    </row>
    <row r="1608" spans="2:11" x14ac:dyDescent="0.25">
      <c r="B1608" s="185"/>
      <c r="C1608" s="113">
        <v>241.06899999999999</v>
      </c>
      <c r="D1608" s="113">
        <v>8878</v>
      </c>
      <c r="E1608" s="113">
        <v>1605</v>
      </c>
      <c r="F1608" s="113">
        <v>180</v>
      </c>
      <c r="G1608" s="113">
        <v>178</v>
      </c>
      <c r="H1608" s="113">
        <v>176.4</v>
      </c>
      <c r="I1608" s="113">
        <v>3.8</v>
      </c>
      <c r="J1608" s="113">
        <v>10.86</v>
      </c>
      <c r="K1608" s="113">
        <v>-0.9</v>
      </c>
    </row>
    <row r="1609" spans="2:11" x14ac:dyDescent="0.25">
      <c r="B1609" s="185"/>
      <c r="C1609" s="113">
        <v>241.09</v>
      </c>
      <c r="D1609" s="113">
        <v>8879</v>
      </c>
      <c r="E1609" s="113">
        <v>1606</v>
      </c>
      <c r="F1609" s="113">
        <v>180</v>
      </c>
      <c r="G1609" s="113">
        <v>178.4</v>
      </c>
      <c r="H1609" s="113">
        <v>176.8</v>
      </c>
      <c r="I1609" s="113">
        <v>4.0999999999999996</v>
      </c>
      <c r="J1609" s="113">
        <v>12.45</v>
      </c>
      <c r="K1609" s="113">
        <v>-0.4</v>
      </c>
    </row>
    <row r="1610" spans="2:11" x14ac:dyDescent="0.25">
      <c r="B1610" s="185"/>
      <c r="C1610" s="113">
        <v>241.11</v>
      </c>
      <c r="D1610" s="113">
        <v>8880</v>
      </c>
      <c r="E1610" s="113">
        <v>1607</v>
      </c>
      <c r="F1610" s="113">
        <v>180</v>
      </c>
      <c r="G1610" s="113">
        <v>178.8</v>
      </c>
      <c r="H1610" s="113">
        <v>177.1</v>
      </c>
      <c r="I1610" s="113">
        <v>4.7</v>
      </c>
      <c r="J1610" s="113">
        <v>12.44</v>
      </c>
      <c r="K1610" s="113">
        <v>-0.1</v>
      </c>
    </row>
    <row r="1611" spans="2:11" x14ac:dyDescent="0.25">
      <c r="B1611" s="185"/>
      <c r="C1611" s="113">
        <v>241.13</v>
      </c>
      <c r="D1611" s="113">
        <v>8881</v>
      </c>
      <c r="E1611" s="113">
        <v>1608</v>
      </c>
      <c r="F1611" s="113">
        <v>180</v>
      </c>
      <c r="G1611" s="113">
        <v>179.3</v>
      </c>
      <c r="H1611" s="113">
        <v>177.4</v>
      </c>
      <c r="I1611" s="113">
        <v>4.9000000000000004</v>
      </c>
      <c r="J1611" s="113">
        <v>12.04</v>
      </c>
      <c r="K1611" s="113">
        <v>0</v>
      </c>
    </row>
    <row r="1612" spans="2:11" x14ac:dyDescent="0.25">
      <c r="B1612" s="185"/>
      <c r="C1612" s="113">
        <v>241.15</v>
      </c>
      <c r="D1612" s="113">
        <v>8882</v>
      </c>
      <c r="E1612" s="113">
        <v>1609</v>
      </c>
      <c r="F1612" s="113">
        <v>181</v>
      </c>
      <c r="G1612" s="113">
        <v>179.8</v>
      </c>
      <c r="H1612" s="113">
        <v>177.7</v>
      </c>
      <c r="I1612" s="113">
        <v>4.9000000000000004</v>
      </c>
      <c r="J1612" s="113">
        <v>14.84</v>
      </c>
      <c r="K1612" s="113">
        <v>0</v>
      </c>
    </row>
    <row r="1613" spans="2:11" x14ac:dyDescent="0.25">
      <c r="B1613" s="185"/>
      <c r="C1613" s="113">
        <v>241.17</v>
      </c>
      <c r="D1613" s="113">
        <v>8883</v>
      </c>
      <c r="E1613" s="113">
        <v>1610</v>
      </c>
      <c r="F1613" s="113">
        <v>181</v>
      </c>
      <c r="G1613" s="113">
        <v>180.2</v>
      </c>
      <c r="H1613" s="113">
        <v>177.9</v>
      </c>
      <c r="I1613" s="113">
        <v>4.5999999999999996</v>
      </c>
      <c r="J1613" s="113">
        <v>14.94</v>
      </c>
      <c r="K1613" s="113">
        <v>0</v>
      </c>
    </row>
    <row r="1614" spans="2:11" x14ac:dyDescent="0.25">
      <c r="B1614" s="185"/>
      <c r="C1614" s="113">
        <v>241.19</v>
      </c>
      <c r="D1614" s="113">
        <v>8884</v>
      </c>
      <c r="E1614" s="113">
        <v>1611</v>
      </c>
      <c r="F1614" s="113">
        <v>181</v>
      </c>
      <c r="G1614" s="113">
        <v>180.6</v>
      </c>
      <c r="H1614" s="113">
        <v>178.2</v>
      </c>
      <c r="I1614" s="113">
        <v>4.5999999999999996</v>
      </c>
      <c r="J1614" s="113">
        <v>16.350000000000001</v>
      </c>
      <c r="K1614" s="113">
        <v>0</v>
      </c>
    </row>
    <row r="1615" spans="2:11" x14ac:dyDescent="0.25">
      <c r="B1615" s="185"/>
      <c r="C1615" s="113">
        <v>241.21</v>
      </c>
      <c r="D1615" s="113">
        <v>8885</v>
      </c>
      <c r="E1615" s="113">
        <v>1612</v>
      </c>
      <c r="F1615" s="113">
        <v>181</v>
      </c>
      <c r="G1615" s="113">
        <v>180.7</v>
      </c>
      <c r="H1615" s="113">
        <v>178.5</v>
      </c>
      <c r="I1615" s="113">
        <v>4.8</v>
      </c>
      <c r="J1615" s="113">
        <v>17.77</v>
      </c>
      <c r="K1615" s="113">
        <v>0.7</v>
      </c>
    </row>
    <row r="1616" spans="2:11" x14ac:dyDescent="0.25">
      <c r="B1616" s="185"/>
      <c r="C1616" s="113">
        <v>241.23</v>
      </c>
      <c r="D1616" s="113">
        <v>8886</v>
      </c>
      <c r="E1616" s="113">
        <v>1613</v>
      </c>
      <c r="F1616" s="113">
        <v>182</v>
      </c>
      <c r="G1616" s="113">
        <v>180.6</v>
      </c>
      <c r="H1616" s="113">
        <v>178.8</v>
      </c>
      <c r="I1616" s="113">
        <v>5.8</v>
      </c>
      <c r="J1616" s="113">
        <v>18.28</v>
      </c>
      <c r="K1616" s="113">
        <v>1.5</v>
      </c>
    </row>
    <row r="1617" spans="2:11" x14ac:dyDescent="0.25">
      <c r="B1617" s="185"/>
      <c r="C1617" s="113">
        <v>241.249</v>
      </c>
      <c r="D1617" s="113">
        <v>8887</v>
      </c>
      <c r="E1617" s="113">
        <v>1614</v>
      </c>
      <c r="F1617" s="113">
        <v>182</v>
      </c>
      <c r="G1617" s="113">
        <v>180.6</v>
      </c>
      <c r="H1617" s="113">
        <v>179</v>
      </c>
      <c r="I1617" s="113">
        <v>6</v>
      </c>
      <c r="J1617" s="113">
        <v>17.21</v>
      </c>
      <c r="K1617" s="113">
        <v>2.1</v>
      </c>
    </row>
    <row r="1618" spans="2:11" x14ac:dyDescent="0.25">
      <c r="B1618" s="185"/>
      <c r="C1618" s="113">
        <v>241.26900000000001</v>
      </c>
      <c r="D1618" s="113">
        <v>8888</v>
      </c>
      <c r="E1618" s="113">
        <v>1615</v>
      </c>
      <c r="F1618" s="113">
        <v>183</v>
      </c>
      <c r="G1618" s="113">
        <v>180.8</v>
      </c>
      <c r="H1618" s="113">
        <v>179.3</v>
      </c>
      <c r="I1618" s="113">
        <v>6.2</v>
      </c>
      <c r="J1618" s="113">
        <v>15.6</v>
      </c>
      <c r="K1618" s="113">
        <v>2.9</v>
      </c>
    </row>
    <row r="1619" spans="2:11" x14ac:dyDescent="0.25">
      <c r="B1619" s="185"/>
      <c r="C1619" s="113">
        <v>241.28899999999999</v>
      </c>
      <c r="D1619" s="113">
        <v>8889</v>
      </c>
      <c r="E1619" s="113">
        <v>1616</v>
      </c>
      <c r="F1619" s="113">
        <v>183</v>
      </c>
      <c r="G1619" s="113">
        <v>181</v>
      </c>
      <c r="H1619" s="113">
        <v>179.6</v>
      </c>
      <c r="I1619" s="113">
        <v>5.7</v>
      </c>
      <c r="J1619" s="113">
        <v>14</v>
      </c>
      <c r="K1619" s="113">
        <v>3.9</v>
      </c>
    </row>
    <row r="1620" spans="2:11" x14ac:dyDescent="0.25">
      <c r="B1620" s="185"/>
      <c r="C1620" s="113">
        <v>241.309</v>
      </c>
      <c r="D1620" s="113">
        <v>8890</v>
      </c>
      <c r="E1620" s="113">
        <v>1617</v>
      </c>
      <c r="F1620" s="113">
        <v>184</v>
      </c>
      <c r="G1620" s="113">
        <v>181.3</v>
      </c>
      <c r="H1620" s="113">
        <v>180</v>
      </c>
      <c r="I1620" s="113">
        <v>4.5999999999999996</v>
      </c>
      <c r="J1620" s="113">
        <v>12.85</v>
      </c>
      <c r="K1620" s="113">
        <v>4.7</v>
      </c>
    </row>
    <row r="1621" spans="2:11" x14ac:dyDescent="0.25">
      <c r="B1621" s="185"/>
      <c r="C1621" s="113">
        <v>241.32900000000001</v>
      </c>
      <c r="D1621" s="113">
        <v>8891</v>
      </c>
      <c r="E1621" s="113">
        <v>1618</v>
      </c>
      <c r="F1621" s="113">
        <v>184</v>
      </c>
      <c r="G1621" s="113">
        <v>181.7</v>
      </c>
      <c r="H1621" s="113">
        <v>180.3</v>
      </c>
      <c r="I1621" s="113">
        <v>3.5</v>
      </c>
      <c r="J1621" s="113">
        <v>11.99</v>
      </c>
      <c r="K1621" s="113">
        <v>5.5</v>
      </c>
    </row>
    <row r="1622" spans="2:11" x14ac:dyDescent="0.25">
      <c r="B1622" s="185"/>
      <c r="C1622" s="113">
        <v>241.34899999999999</v>
      </c>
      <c r="D1622" s="113">
        <v>8892</v>
      </c>
      <c r="E1622" s="113">
        <v>1619</v>
      </c>
      <c r="F1622" s="113">
        <v>185</v>
      </c>
      <c r="G1622" s="113">
        <v>182.2</v>
      </c>
      <c r="H1622" s="113">
        <v>180.6</v>
      </c>
      <c r="I1622" s="113">
        <v>2.9</v>
      </c>
      <c r="J1622" s="113">
        <v>12.03</v>
      </c>
      <c r="K1622" s="113">
        <v>6.3</v>
      </c>
    </row>
    <row r="1623" spans="2:11" x14ac:dyDescent="0.25">
      <c r="B1623" s="185"/>
      <c r="C1623" s="113">
        <v>241.369</v>
      </c>
      <c r="D1623" s="113">
        <v>8893</v>
      </c>
      <c r="E1623" s="113">
        <v>1620</v>
      </c>
      <c r="F1623" s="113">
        <v>185</v>
      </c>
      <c r="G1623" s="113">
        <v>182.7</v>
      </c>
      <c r="H1623" s="113">
        <v>180.9</v>
      </c>
      <c r="I1623" s="113">
        <v>2.7</v>
      </c>
      <c r="J1623" s="113">
        <v>10.78</v>
      </c>
      <c r="K1623" s="113">
        <v>6.9</v>
      </c>
    </row>
    <row r="1624" spans="2:11" x14ac:dyDescent="0.25">
      <c r="B1624" s="185"/>
      <c r="C1624" s="113">
        <v>241.38800000000001</v>
      </c>
      <c r="D1624" s="113">
        <v>8894</v>
      </c>
      <c r="E1624" s="113">
        <v>1621</v>
      </c>
      <c r="F1624" s="113">
        <v>185</v>
      </c>
      <c r="G1624" s="113">
        <v>183</v>
      </c>
      <c r="H1624" s="113">
        <v>181.3</v>
      </c>
      <c r="I1624" s="113">
        <v>2.7</v>
      </c>
      <c r="J1624" s="113">
        <v>12.13</v>
      </c>
      <c r="K1624" s="113">
        <v>6.9</v>
      </c>
    </row>
    <row r="1625" spans="2:11" x14ac:dyDescent="0.25">
      <c r="B1625" s="185"/>
      <c r="C1625" s="113">
        <v>241.40799999999999</v>
      </c>
      <c r="D1625" s="113">
        <v>8895</v>
      </c>
      <c r="E1625" s="113">
        <v>1622</v>
      </c>
      <c r="F1625" s="113">
        <v>185</v>
      </c>
      <c r="G1625" s="113">
        <v>183.2</v>
      </c>
      <c r="H1625" s="113">
        <v>181.6</v>
      </c>
      <c r="I1625" s="113">
        <v>3.1</v>
      </c>
      <c r="J1625" s="113">
        <v>13.95</v>
      </c>
      <c r="K1625" s="113">
        <v>6.9</v>
      </c>
    </row>
    <row r="1626" spans="2:11" x14ac:dyDescent="0.25">
      <c r="B1626" s="185"/>
      <c r="C1626" s="113">
        <v>241.428</v>
      </c>
      <c r="D1626" s="113">
        <v>8896</v>
      </c>
      <c r="E1626" s="113">
        <v>1623</v>
      </c>
      <c r="F1626" s="113">
        <v>185</v>
      </c>
      <c r="G1626" s="113">
        <v>183.6</v>
      </c>
      <c r="H1626" s="113">
        <v>181.9</v>
      </c>
      <c r="I1626" s="113">
        <v>4.4000000000000004</v>
      </c>
      <c r="J1626" s="113">
        <v>14.63</v>
      </c>
      <c r="K1626" s="113">
        <v>6.9</v>
      </c>
    </row>
    <row r="1627" spans="2:11" x14ac:dyDescent="0.25">
      <c r="B1627" s="185"/>
      <c r="C1627" s="113">
        <v>241.447</v>
      </c>
      <c r="D1627" s="113">
        <v>8897</v>
      </c>
      <c r="E1627" s="113">
        <v>1624</v>
      </c>
      <c r="F1627" s="113">
        <v>185</v>
      </c>
      <c r="G1627" s="113">
        <v>184</v>
      </c>
      <c r="H1627" s="113">
        <v>182.2</v>
      </c>
      <c r="I1627" s="113">
        <v>5.6</v>
      </c>
      <c r="J1627" s="113">
        <v>12.23</v>
      </c>
      <c r="K1627" s="113">
        <v>6.8</v>
      </c>
    </row>
    <row r="1628" spans="2:11" x14ac:dyDescent="0.25">
      <c r="B1628" s="185"/>
      <c r="C1628" s="113">
        <v>241.46600000000001</v>
      </c>
      <c r="D1628" s="113">
        <v>8898</v>
      </c>
      <c r="E1628" s="113">
        <v>1625</v>
      </c>
      <c r="F1628" s="113">
        <v>186</v>
      </c>
      <c r="G1628" s="113">
        <v>184.5</v>
      </c>
      <c r="H1628" s="113">
        <v>182.5</v>
      </c>
      <c r="I1628" s="113">
        <v>5.7</v>
      </c>
      <c r="J1628" s="113">
        <v>13.17</v>
      </c>
      <c r="K1628" s="113">
        <v>6.1</v>
      </c>
    </row>
    <row r="1629" spans="2:11" x14ac:dyDescent="0.25">
      <c r="B1629" s="185"/>
      <c r="C1629" s="113">
        <v>241.48599999999999</v>
      </c>
      <c r="D1629" s="113">
        <v>8900</v>
      </c>
      <c r="E1629" s="113">
        <v>1626</v>
      </c>
      <c r="F1629" s="113">
        <v>186</v>
      </c>
      <c r="G1629" s="113">
        <v>184.9</v>
      </c>
      <c r="H1629" s="113">
        <v>182.8</v>
      </c>
      <c r="I1629" s="113">
        <v>5.6</v>
      </c>
      <c r="J1629" s="113">
        <v>13.72</v>
      </c>
      <c r="K1629" s="113">
        <v>5.5</v>
      </c>
    </row>
    <row r="1630" spans="2:11" x14ac:dyDescent="0.25">
      <c r="B1630" s="185"/>
      <c r="C1630" s="113">
        <v>241.506</v>
      </c>
      <c r="D1630" s="113">
        <v>8901</v>
      </c>
      <c r="E1630" s="113">
        <v>1627</v>
      </c>
      <c r="F1630" s="113">
        <v>186</v>
      </c>
      <c r="G1630" s="113">
        <v>185</v>
      </c>
      <c r="H1630" s="113">
        <v>183.1</v>
      </c>
      <c r="I1630" s="113">
        <v>5.5</v>
      </c>
      <c r="J1630" s="113">
        <v>14.92</v>
      </c>
      <c r="K1630" s="113">
        <v>4.9000000000000004</v>
      </c>
    </row>
    <row r="1631" spans="2:11" x14ac:dyDescent="0.25">
      <c r="B1631" s="185"/>
      <c r="C1631" s="113">
        <v>241.52500000000001</v>
      </c>
      <c r="D1631" s="113">
        <v>8901</v>
      </c>
      <c r="E1631" s="113">
        <v>1628</v>
      </c>
      <c r="F1631" s="113">
        <v>186</v>
      </c>
      <c r="G1631" s="113">
        <v>185.1</v>
      </c>
      <c r="H1631" s="113">
        <v>183.3</v>
      </c>
      <c r="I1631" s="113">
        <v>5.5</v>
      </c>
      <c r="J1631" s="113">
        <v>16.64</v>
      </c>
      <c r="K1631" s="113">
        <v>4.5</v>
      </c>
    </row>
    <row r="1632" spans="2:11" x14ac:dyDescent="0.25">
      <c r="B1632" s="185"/>
      <c r="C1632" s="113">
        <v>241.54400000000001</v>
      </c>
      <c r="D1632" s="113">
        <v>8902</v>
      </c>
      <c r="E1632" s="113">
        <v>1629</v>
      </c>
      <c r="F1632" s="113">
        <v>186</v>
      </c>
      <c r="G1632" s="113">
        <v>185.5</v>
      </c>
      <c r="H1632" s="113">
        <v>183.6</v>
      </c>
      <c r="I1632" s="113">
        <v>6.2</v>
      </c>
      <c r="J1632" s="113">
        <v>17.62</v>
      </c>
      <c r="K1632" s="113">
        <v>5.5</v>
      </c>
    </row>
    <row r="1633" spans="2:11" x14ac:dyDescent="0.25">
      <c r="B1633" s="185"/>
      <c r="C1633" s="113">
        <v>241.56399999999999</v>
      </c>
      <c r="D1633" s="113">
        <v>8903</v>
      </c>
      <c r="E1633" s="113">
        <v>1630</v>
      </c>
      <c r="F1633" s="113">
        <v>186</v>
      </c>
      <c r="G1633" s="113">
        <v>185.8</v>
      </c>
      <c r="H1633" s="113">
        <v>183.9</v>
      </c>
      <c r="I1633" s="113">
        <v>6.8</v>
      </c>
      <c r="J1633" s="113">
        <v>15.81</v>
      </c>
      <c r="K1633" s="113">
        <v>6.5</v>
      </c>
    </row>
    <row r="1634" spans="2:11" x14ac:dyDescent="0.25">
      <c r="B1634" s="185"/>
      <c r="C1634" s="113">
        <v>241.583</v>
      </c>
      <c r="D1634" s="113">
        <v>8904</v>
      </c>
      <c r="E1634" s="113">
        <v>1631</v>
      </c>
      <c r="F1634" s="113">
        <v>187</v>
      </c>
      <c r="G1634" s="113">
        <v>186.1</v>
      </c>
      <c r="H1634" s="113">
        <v>184.2</v>
      </c>
      <c r="I1634" s="113">
        <v>6.5</v>
      </c>
      <c r="J1634" s="113">
        <v>15.43</v>
      </c>
      <c r="K1634" s="113">
        <v>7.3</v>
      </c>
    </row>
    <row r="1635" spans="2:11" x14ac:dyDescent="0.25">
      <c r="B1635" s="185"/>
      <c r="C1635" s="113">
        <v>241.602</v>
      </c>
      <c r="D1635" s="113">
        <v>8905</v>
      </c>
      <c r="E1635" s="113">
        <v>1632</v>
      </c>
      <c r="F1635" s="113">
        <v>188</v>
      </c>
      <c r="G1635" s="113">
        <v>186.3</v>
      </c>
      <c r="H1635" s="113">
        <v>184.5</v>
      </c>
      <c r="I1635" s="113">
        <v>5.5</v>
      </c>
      <c r="J1635" s="113">
        <v>17.38</v>
      </c>
      <c r="K1635" s="113">
        <v>7.8</v>
      </c>
    </row>
    <row r="1636" spans="2:11" x14ac:dyDescent="0.25">
      <c r="B1636" s="185"/>
      <c r="C1636" s="113">
        <v>241.62100000000001</v>
      </c>
      <c r="D1636" s="113">
        <v>8906</v>
      </c>
      <c r="E1636" s="113">
        <v>1633</v>
      </c>
      <c r="F1636" s="113">
        <v>188</v>
      </c>
      <c r="G1636" s="113">
        <v>186.3</v>
      </c>
      <c r="H1636" s="113">
        <v>184.8</v>
      </c>
      <c r="I1636" s="113">
        <v>5.0999999999999996</v>
      </c>
      <c r="J1636" s="113">
        <v>18.670000000000002</v>
      </c>
      <c r="K1636" s="113">
        <v>6.1</v>
      </c>
    </row>
    <row r="1637" spans="2:11" x14ac:dyDescent="0.25">
      <c r="B1637" s="185"/>
      <c r="C1637" s="113">
        <v>241.64099999999999</v>
      </c>
      <c r="D1637" s="113">
        <v>8907</v>
      </c>
      <c r="E1637" s="113">
        <v>1634</v>
      </c>
      <c r="F1637" s="113">
        <v>188</v>
      </c>
      <c r="G1637" s="113">
        <v>186.3</v>
      </c>
      <c r="H1637" s="113">
        <v>185.1</v>
      </c>
      <c r="I1637" s="113">
        <v>5.0999999999999996</v>
      </c>
      <c r="J1637" s="113">
        <v>16.57</v>
      </c>
      <c r="K1637" s="113">
        <v>4.3</v>
      </c>
    </row>
    <row r="1638" spans="2:11" x14ac:dyDescent="0.25">
      <c r="B1638" s="185"/>
      <c r="C1638" s="113">
        <v>241.66</v>
      </c>
      <c r="D1638" s="113">
        <v>8908</v>
      </c>
      <c r="E1638" s="113">
        <v>1635</v>
      </c>
      <c r="F1638" s="113">
        <v>189</v>
      </c>
      <c r="G1638" s="113">
        <v>186.6</v>
      </c>
      <c r="H1638" s="113">
        <v>185.3</v>
      </c>
      <c r="I1638" s="113">
        <v>5</v>
      </c>
      <c r="J1638" s="113">
        <v>13.91</v>
      </c>
      <c r="K1638" s="113">
        <v>2.6</v>
      </c>
    </row>
    <row r="1639" spans="2:11" x14ac:dyDescent="0.25">
      <c r="B1639" s="185"/>
      <c r="C1639" s="113">
        <v>241.679</v>
      </c>
      <c r="D1639" s="113">
        <v>8909</v>
      </c>
      <c r="E1639" s="113">
        <v>1636</v>
      </c>
      <c r="F1639" s="113">
        <v>189</v>
      </c>
      <c r="G1639" s="113">
        <v>186.8</v>
      </c>
      <c r="H1639" s="113">
        <v>185.5</v>
      </c>
      <c r="I1639" s="113">
        <v>4.5</v>
      </c>
      <c r="J1639" s="113">
        <v>13.54</v>
      </c>
      <c r="K1639" s="113">
        <v>1.7</v>
      </c>
    </row>
    <row r="1640" spans="2:11" x14ac:dyDescent="0.25">
      <c r="B1640" s="185"/>
      <c r="C1640" s="113">
        <v>241.69900000000001</v>
      </c>
      <c r="D1640" s="113">
        <v>8910</v>
      </c>
      <c r="E1640" s="113">
        <v>1637</v>
      </c>
      <c r="F1640" s="113">
        <v>189</v>
      </c>
      <c r="G1640" s="113">
        <v>186.8</v>
      </c>
      <c r="H1640" s="113">
        <v>185.7</v>
      </c>
      <c r="I1640" s="113">
        <v>3.5</v>
      </c>
      <c r="J1640" s="113">
        <v>13.85</v>
      </c>
      <c r="K1640" s="113">
        <v>0.7</v>
      </c>
    </row>
    <row r="1641" spans="2:11" x14ac:dyDescent="0.25">
      <c r="B1641" s="185"/>
      <c r="C1641" s="113">
        <v>241.71799999999999</v>
      </c>
      <c r="D1641" s="113">
        <v>8911</v>
      </c>
      <c r="E1641" s="113">
        <v>1638</v>
      </c>
      <c r="F1641" s="113">
        <v>190</v>
      </c>
      <c r="G1641" s="113">
        <v>186.8</v>
      </c>
      <c r="H1641" s="113">
        <v>186</v>
      </c>
      <c r="I1641" s="113">
        <v>2.7</v>
      </c>
      <c r="J1641" s="113">
        <v>11.69</v>
      </c>
      <c r="K1641" s="113">
        <v>-0.1</v>
      </c>
    </row>
    <row r="1642" spans="2:11" x14ac:dyDescent="0.25">
      <c r="B1642" s="185"/>
      <c r="C1642" s="113">
        <v>241.73699999999999</v>
      </c>
      <c r="D1642" s="113">
        <v>8912</v>
      </c>
      <c r="E1642" s="113">
        <v>1639</v>
      </c>
      <c r="F1642" s="113">
        <v>190</v>
      </c>
      <c r="G1642" s="113">
        <v>187.1</v>
      </c>
      <c r="H1642" s="113">
        <v>186.3</v>
      </c>
      <c r="I1642" s="113">
        <v>2.1</v>
      </c>
      <c r="J1642" s="113">
        <v>10.119999999999999</v>
      </c>
      <c r="K1642" s="113">
        <v>-0.9</v>
      </c>
    </row>
    <row r="1643" spans="2:11" x14ac:dyDescent="0.25">
      <c r="B1643" s="185"/>
      <c r="C1643" s="113">
        <v>241.756</v>
      </c>
      <c r="D1643" s="113">
        <v>8913</v>
      </c>
      <c r="E1643" s="113">
        <v>1640</v>
      </c>
      <c r="F1643" s="113">
        <v>190</v>
      </c>
      <c r="G1643" s="113">
        <v>187.6</v>
      </c>
      <c r="H1643" s="113">
        <v>186.5</v>
      </c>
      <c r="I1643" s="113">
        <v>2</v>
      </c>
      <c r="J1643" s="113">
        <v>9.51</v>
      </c>
      <c r="K1643" s="113">
        <v>-1.5</v>
      </c>
    </row>
    <row r="1644" spans="2:11" x14ac:dyDescent="0.25">
      <c r="B1644" s="185"/>
      <c r="C1644" s="113">
        <v>241.77600000000001</v>
      </c>
      <c r="D1644" s="113">
        <v>8914</v>
      </c>
      <c r="E1644" s="113">
        <v>1641</v>
      </c>
      <c r="F1644" s="113">
        <v>190</v>
      </c>
      <c r="G1644" s="113">
        <v>187.9</v>
      </c>
      <c r="H1644" s="113">
        <v>186.8</v>
      </c>
      <c r="I1644" s="113">
        <v>1.8</v>
      </c>
      <c r="J1644" s="113">
        <v>8.2799999999999994</v>
      </c>
      <c r="K1644" s="113">
        <v>-1.8</v>
      </c>
    </row>
    <row r="1645" spans="2:11" x14ac:dyDescent="0.25">
      <c r="B1645" s="185"/>
      <c r="C1645" s="113">
        <v>241.79400000000001</v>
      </c>
      <c r="D1645" s="113">
        <v>8915</v>
      </c>
      <c r="E1645" s="113">
        <v>1642</v>
      </c>
      <c r="F1645" s="113">
        <v>191</v>
      </c>
      <c r="G1645" s="113">
        <v>188.2</v>
      </c>
      <c r="H1645" s="113">
        <v>187.1</v>
      </c>
      <c r="I1645" s="113">
        <v>1.8</v>
      </c>
      <c r="J1645" s="113">
        <v>10.029999999999999</v>
      </c>
      <c r="K1645" s="113">
        <v>-1.8</v>
      </c>
    </row>
    <row r="1646" spans="2:11" x14ac:dyDescent="0.25">
      <c r="B1646" s="185"/>
      <c r="C1646" s="113">
        <v>241.81399999999999</v>
      </c>
      <c r="D1646" s="113">
        <v>8916</v>
      </c>
      <c r="E1646" s="113">
        <v>1643</v>
      </c>
      <c r="F1646" s="113">
        <v>191</v>
      </c>
      <c r="G1646" s="113">
        <v>188.4</v>
      </c>
      <c r="H1646" s="113">
        <v>187.3</v>
      </c>
      <c r="I1646" s="113">
        <v>2.5</v>
      </c>
      <c r="J1646" s="113">
        <v>10.63</v>
      </c>
      <c r="K1646" s="113">
        <v>-1.8</v>
      </c>
    </row>
    <row r="1647" spans="2:11" x14ac:dyDescent="0.25">
      <c r="B1647" s="185"/>
      <c r="C1647" s="113">
        <v>241.833</v>
      </c>
      <c r="D1647" s="113">
        <v>8917</v>
      </c>
      <c r="E1647" s="113">
        <v>1644</v>
      </c>
      <c r="F1647" s="113">
        <v>191</v>
      </c>
      <c r="G1647" s="113">
        <v>188.8</v>
      </c>
      <c r="H1647" s="113">
        <v>187.6</v>
      </c>
      <c r="I1647" s="113">
        <v>3.1</v>
      </c>
      <c r="J1647" s="113">
        <v>10.29</v>
      </c>
      <c r="K1647" s="113">
        <v>-1.8</v>
      </c>
    </row>
    <row r="1648" spans="2:11" x14ac:dyDescent="0.25">
      <c r="B1648" s="185"/>
      <c r="C1648" s="113">
        <v>241.852</v>
      </c>
      <c r="D1648" s="113">
        <v>8918</v>
      </c>
      <c r="E1648" s="113">
        <v>1645</v>
      </c>
      <c r="F1648" s="113">
        <v>191</v>
      </c>
      <c r="G1648" s="113">
        <v>189.3</v>
      </c>
      <c r="H1648" s="113">
        <v>187.8</v>
      </c>
      <c r="I1648" s="113">
        <v>4.0999999999999996</v>
      </c>
      <c r="J1648" s="113">
        <v>9.4</v>
      </c>
      <c r="K1648" s="113">
        <v>-1.4</v>
      </c>
    </row>
    <row r="1649" spans="2:11" x14ac:dyDescent="0.25">
      <c r="B1649" s="185"/>
      <c r="C1649" s="113">
        <v>241.87100000000001</v>
      </c>
      <c r="D1649" s="113">
        <v>8919</v>
      </c>
      <c r="E1649" s="113">
        <v>1646</v>
      </c>
      <c r="F1649" s="113">
        <v>192</v>
      </c>
      <c r="G1649" s="113">
        <v>189.9</v>
      </c>
      <c r="H1649" s="113">
        <v>188</v>
      </c>
      <c r="I1649" s="113">
        <v>4.0999999999999996</v>
      </c>
      <c r="J1649" s="113">
        <v>10.95</v>
      </c>
      <c r="K1649" s="113">
        <v>-0.8</v>
      </c>
    </row>
    <row r="1650" spans="2:11" x14ac:dyDescent="0.25">
      <c r="B1650" s="185"/>
      <c r="C1650" s="113">
        <v>241.88900000000001</v>
      </c>
      <c r="D1650" s="113">
        <v>8920</v>
      </c>
      <c r="E1650" s="113">
        <v>1647</v>
      </c>
      <c r="F1650" s="113">
        <v>192</v>
      </c>
      <c r="G1650" s="113">
        <v>190.2</v>
      </c>
      <c r="H1650" s="113">
        <v>188.1</v>
      </c>
      <c r="I1650" s="113">
        <v>4.0999999999999996</v>
      </c>
      <c r="J1650" s="113">
        <v>10.79</v>
      </c>
      <c r="K1650" s="113">
        <v>-0.5</v>
      </c>
    </row>
    <row r="1651" spans="2:11" x14ac:dyDescent="0.25">
      <c r="B1651" s="185"/>
      <c r="C1651" s="113">
        <v>241.90899999999999</v>
      </c>
      <c r="D1651" s="113">
        <v>8921</v>
      </c>
      <c r="E1651" s="113">
        <v>1648</v>
      </c>
      <c r="F1651" s="113">
        <v>192</v>
      </c>
      <c r="G1651" s="113">
        <v>190.6</v>
      </c>
      <c r="H1651" s="113">
        <v>188.3</v>
      </c>
      <c r="I1651" s="113">
        <v>4.0999999999999996</v>
      </c>
      <c r="J1651" s="113">
        <v>12.46</v>
      </c>
      <c r="K1651" s="113">
        <v>0.1</v>
      </c>
    </row>
    <row r="1652" spans="2:11" x14ac:dyDescent="0.25">
      <c r="B1652" s="185"/>
      <c r="C1652" s="113">
        <v>241.928</v>
      </c>
      <c r="D1652" s="113">
        <v>8922</v>
      </c>
      <c r="E1652" s="113">
        <v>1649</v>
      </c>
      <c r="F1652" s="113">
        <v>192</v>
      </c>
      <c r="G1652" s="113">
        <v>190.9</v>
      </c>
      <c r="H1652" s="113">
        <v>188.5</v>
      </c>
      <c r="I1652" s="113">
        <v>4.7</v>
      </c>
      <c r="J1652" s="113">
        <v>14.19</v>
      </c>
      <c r="K1652" s="113">
        <v>0.9</v>
      </c>
    </row>
    <row r="1653" spans="2:11" x14ac:dyDescent="0.25">
      <c r="B1653" s="185"/>
      <c r="C1653" s="113">
        <v>241.946</v>
      </c>
      <c r="D1653" s="113">
        <v>8923</v>
      </c>
      <c r="E1653" s="113">
        <v>1650</v>
      </c>
      <c r="F1653" s="113">
        <v>192</v>
      </c>
      <c r="G1653" s="113">
        <v>191</v>
      </c>
      <c r="H1653" s="113">
        <v>188.7</v>
      </c>
      <c r="I1653" s="113">
        <v>5.4</v>
      </c>
      <c r="J1653" s="113">
        <v>15.63</v>
      </c>
      <c r="K1653" s="113">
        <v>2.2999999999999998</v>
      </c>
    </row>
    <row r="1654" spans="2:11" x14ac:dyDescent="0.25">
      <c r="B1654" s="185"/>
      <c r="C1654" s="113">
        <v>241.965</v>
      </c>
      <c r="D1654" s="113">
        <v>8925</v>
      </c>
      <c r="E1654" s="113">
        <v>1651</v>
      </c>
      <c r="F1654" s="113">
        <v>192</v>
      </c>
      <c r="G1654" s="113">
        <v>191.1</v>
      </c>
      <c r="H1654" s="113">
        <v>188.9</v>
      </c>
      <c r="I1654" s="113">
        <v>6.7</v>
      </c>
      <c r="J1654" s="113">
        <v>15.87</v>
      </c>
      <c r="K1654" s="113">
        <v>3.7</v>
      </c>
    </row>
    <row r="1655" spans="2:11" x14ac:dyDescent="0.25">
      <c r="B1655" s="185"/>
      <c r="C1655" s="113">
        <v>241.98400000000001</v>
      </c>
      <c r="D1655" s="113">
        <v>8925</v>
      </c>
      <c r="E1655" s="113">
        <v>1652</v>
      </c>
      <c r="F1655" s="113">
        <v>193</v>
      </c>
      <c r="G1655" s="113">
        <v>191.3</v>
      </c>
      <c r="H1655" s="113">
        <v>189.1</v>
      </c>
      <c r="I1655" s="113">
        <v>7</v>
      </c>
      <c r="J1655" s="113">
        <v>16.399999999999999</v>
      </c>
      <c r="K1655" s="113">
        <v>5.0999999999999996</v>
      </c>
    </row>
    <row r="1656" spans="2:11" x14ac:dyDescent="0.25">
      <c r="B1656" s="185"/>
      <c r="C1656" s="113">
        <v>242.00200000000001</v>
      </c>
      <c r="D1656" s="113">
        <v>8926</v>
      </c>
      <c r="E1656" s="113">
        <v>1653</v>
      </c>
      <c r="F1656" s="113">
        <v>193</v>
      </c>
      <c r="G1656" s="113">
        <v>191.5</v>
      </c>
      <c r="H1656" s="113">
        <v>189.3</v>
      </c>
      <c r="I1656" s="113">
        <v>7.3</v>
      </c>
      <c r="J1656" s="113">
        <v>15.26</v>
      </c>
      <c r="K1656" s="113">
        <v>6.1</v>
      </c>
    </row>
    <row r="1657" spans="2:11" x14ac:dyDescent="0.25">
      <c r="B1657" s="185"/>
      <c r="C1657" s="113">
        <v>242.02099999999999</v>
      </c>
      <c r="D1657" s="113">
        <v>8927</v>
      </c>
      <c r="E1657" s="113">
        <v>1654</v>
      </c>
      <c r="F1657" s="113">
        <v>194</v>
      </c>
      <c r="G1657" s="113">
        <v>191.6</v>
      </c>
      <c r="H1657" s="113">
        <v>189.4</v>
      </c>
      <c r="I1657" s="113">
        <v>6.4</v>
      </c>
      <c r="J1657" s="113">
        <v>14.58</v>
      </c>
      <c r="K1657" s="113">
        <v>5.3</v>
      </c>
    </row>
    <row r="1658" spans="2:11" x14ac:dyDescent="0.25">
      <c r="B1658" s="185"/>
      <c r="C1658" s="113">
        <v>242.04</v>
      </c>
      <c r="D1658" s="113">
        <v>8928</v>
      </c>
      <c r="E1658" s="113">
        <v>1655</v>
      </c>
      <c r="F1658" s="113">
        <v>194</v>
      </c>
      <c r="G1658" s="113">
        <v>191.7</v>
      </c>
      <c r="H1658" s="113">
        <v>189.6</v>
      </c>
      <c r="I1658" s="113">
        <v>5.6</v>
      </c>
      <c r="J1658" s="113">
        <v>15.81</v>
      </c>
      <c r="K1658" s="113">
        <v>4.5</v>
      </c>
    </row>
    <row r="1659" spans="2:11" x14ac:dyDescent="0.25">
      <c r="B1659" s="185"/>
      <c r="C1659" s="113">
        <v>242.059</v>
      </c>
      <c r="D1659" s="113">
        <v>8929</v>
      </c>
      <c r="E1659" s="113">
        <v>1656</v>
      </c>
      <c r="F1659" s="113">
        <v>194</v>
      </c>
      <c r="G1659" s="113">
        <v>192</v>
      </c>
      <c r="H1659" s="113">
        <v>189.7</v>
      </c>
      <c r="I1659" s="113">
        <v>5</v>
      </c>
      <c r="J1659" s="113">
        <v>16.27</v>
      </c>
      <c r="K1659" s="113">
        <v>4.0999999999999996</v>
      </c>
    </row>
    <row r="1660" spans="2:11" x14ac:dyDescent="0.25">
      <c r="B1660" s="185"/>
      <c r="C1660" s="113">
        <v>242.077</v>
      </c>
      <c r="D1660" s="113">
        <v>8930</v>
      </c>
      <c r="E1660" s="113">
        <v>1657</v>
      </c>
      <c r="F1660" s="113">
        <v>194</v>
      </c>
      <c r="G1660" s="113">
        <v>192.4</v>
      </c>
      <c r="H1660" s="113">
        <v>189.9</v>
      </c>
      <c r="I1660" s="113">
        <v>4.7</v>
      </c>
      <c r="J1660" s="113">
        <v>14.23</v>
      </c>
      <c r="K1660" s="113">
        <v>3.3</v>
      </c>
    </row>
    <row r="1661" spans="2:11" x14ac:dyDescent="0.25">
      <c r="B1661" s="185"/>
      <c r="C1661" s="113">
        <v>242.096</v>
      </c>
      <c r="D1661" s="113">
        <v>8931</v>
      </c>
      <c r="E1661" s="113">
        <v>1658</v>
      </c>
      <c r="F1661" s="113">
        <v>194</v>
      </c>
      <c r="G1661" s="113">
        <v>192.9</v>
      </c>
      <c r="H1661" s="113">
        <v>190</v>
      </c>
      <c r="I1661" s="113">
        <v>4</v>
      </c>
      <c r="J1661" s="113">
        <v>13.58</v>
      </c>
      <c r="K1661" s="113">
        <v>2.4</v>
      </c>
    </row>
    <row r="1662" spans="2:11" x14ac:dyDescent="0.25">
      <c r="B1662" s="185"/>
      <c r="C1662" s="113">
        <v>242.11500000000001</v>
      </c>
      <c r="D1662" s="113">
        <v>8932</v>
      </c>
      <c r="E1662" s="113">
        <v>1659</v>
      </c>
      <c r="F1662" s="113">
        <v>195</v>
      </c>
      <c r="G1662" s="113">
        <v>193.2</v>
      </c>
      <c r="H1662" s="113">
        <v>190.2</v>
      </c>
      <c r="I1662" s="113">
        <v>3.5</v>
      </c>
      <c r="J1662" s="113">
        <v>14.63</v>
      </c>
      <c r="K1662" s="113">
        <v>1.3</v>
      </c>
    </row>
    <row r="1663" spans="2:11" x14ac:dyDescent="0.25">
      <c r="B1663" s="185"/>
      <c r="C1663" s="113">
        <v>242.13300000000001</v>
      </c>
      <c r="D1663" s="113">
        <v>8933</v>
      </c>
      <c r="E1663" s="113">
        <v>1660</v>
      </c>
      <c r="F1663" s="113">
        <v>195</v>
      </c>
      <c r="G1663" s="113">
        <v>193.4</v>
      </c>
      <c r="H1663" s="113">
        <v>190.4</v>
      </c>
      <c r="I1663" s="113">
        <v>3.1</v>
      </c>
      <c r="J1663" s="113">
        <v>15.14</v>
      </c>
      <c r="K1663" s="113">
        <v>0.2</v>
      </c>
    </row>
    <row r="1664" spans="2:11" x14ac:dyDescent="0.25">
      <c r="B1664" s="185"/>
      <c r="C1664" s="113">
        <v>242.15199999999999</v>
      </c>
      <c r="D1664" s="113">
        <v>8934</v>
      </c>
      <c r="E1664" s="113">
        <v>1661</v>
      </c>
      <c r="F1664" s="113">
        <v>194</v>
      </c>
      <c r="G1664" s="113">
        <v>193.5</v>
      </c>
      <c r="H1664" s="113">
        <v>190.5</v>
      </c>
      <c r="I1664" s="113">
        <v>3.5</v>
      </c>
      <c r="J1664" s="113">
        <v>15.31</v>
      </c>
      <c r="K1664" s="113">
        <v>-0.9</v>
      </c>
    </row>
    <row r="1665" spans="2:11" x14ac:dyDescent="0.25">
      <c r="B1665" s="185"/>
      <c r="C1665" s="113">
        <v>242.17099999999999</v>
      </c>
      <c r="D1665" s="113">
        <v>8935</v>
      </c>
      <c r="E1665" s="113">
        <v>1662</v>
      </c>
      <c r="F1665" s="113">
        <v>194</v>
      </c>
      <c r="G1665" s="113">
        <v>193.7</v>
      </c>
      <c r="H1665" s="113">
        <v>190.7</v>
      </c>
      <c r="I1665" s="113">
        <v>5.6</v>
      </c>
      <c r="J1665" s="113">
        <v>15.56</v>
      </c>
      <c r="K1665" s="113">
        <v>-1.2</v>
      </c>
    </row>
    <row r="1666" spans="2:11" x14ac:dyDescent="0.25">
      <c r="B1666" s="185"/>
      <c r="C1666" s="113">
        <v>242.18899999999999</v>
      </c>
      <c r="D1666" s="113">
        <v>8936</v>
      </c>
      <c r="E1666" s="113">
        <v>1663</v>
      </c>
      <c r="F1666" s="113">
        <v>193</v>
      </c>
      <c r="G1666" s="113">
        <v>193.9</v>
      </c>
      <c r="H1666" s="113">
        <v>190.8</v>
      </c>
      <c r="I1666" s="113">
        <v>6.8</v>
      </c>
      <c r="J1666" s="113">
        <v>16.690000000000001</v>
      </c>
      <c r="K1666" s="113">
        <v>-1.2</v>
      </c>
    </row>
    <row r="1667" spans="2:11" x14ac:dyDescent="0.25">
      <c r="B1667" s="185"/>
      <c r="C1667" s="113">
        <v>242.208</v>
      </c>
      <c r="D1667" s="113">
        <v>8937</v>
      </c>
      <c r="E1667" s="113">
        <v>1664</v>
      </c>
      <c r="F1667" s="113">
        <v>193</v>
      </c>
      <c r="G1667" s="113">
        <v>194.2</v>
      </c>
      <c r="H1667" s="113">
        <v>190.9</v>
      </c>
      <c r="I1667" s="113">
        <v>7</v>
      </c>
      <c r="J1667" s="113">
        <v>21.41</v>
      </c>
      <c r="K1667" s="113">
        <v>-1.2</v>
      </c>
    </row>
    <row r="1668" spans="2:11" x14ac:dyDescent="0.25">
      <c r="B1668" s="185"/>
      <c r="C1668" s="113">
        <v>242.226</v>
      </c>
      <c r="D1668" s="113">
        <v>8938</v>
      </c>
      <c r="E1668" s="113">
        <v>1665</v>
      </c>
      <c r="F1668" s="113">
        <v>194</v>
      </c>
      <c r="G1668" s="113">
        <v>194.4</v>
      </c>
      <c r="H1668" s="113">
        <v>191.1</v>
      </c>
      <c r="I1668" s="113">
        <v>5.0999999999999996</v>
      </c>
      <c r="J1668" s="113">
        <v>25.82</v>
      </c>
      <c r="K1668" s="113">
        <v>-1.2</v>
      </c>
    </row>
    <row r="1669" spans="2:11" x14ac:dyDescent="0.25">
      <c r="B1669" s="185"/>
      <c r="C1669" s="113">
        <v>242.244</v>
      </c>
      <c r="D1669" s="113">
        <v>8940</v>
      </c>
      <c r="E1669" s="113">
        <v>1666</v>
      </c>
      <c r="F1669" s="113">
        <v>195</v>
      </c>
      <c r="G1669" s="113">
        <v>194.6</v>
      </c>
      <c r="H1669" s="113">
        <v>191.3</v>
      </c>
      <c r="I1669" s="113">
        <v>5.5</v>
      </c>
      <c r="J1669" s="113">
        <v>26.5</v>
      </c>
      <c r="K1669" s="113">
        <v>-1.5</v>
      </c>
    </row>
    <row r="1670" spans="2:11" x14ac:dyDescent="0.25">
      <c r="B1670" s="185"/>
      <c r="C1670" s="113">
        <v>242.26300000000001</v>
      </c>
      <c r="D1670" s="113">
        <v>8941</v>
      </c>
      <c r="E1670" s="113">
        <v>1667</v>
      </c>
      <c r="F1670" s="113">
        <v>194</v>
      </c>
      <c r="G1670" s="113">
        <v>194.7</v>
      </c>
      <c r="H1670" s="113">
        <v>191.5</v>
      </c>
      <c r="I1670" s="113">
        <v>5.8</v>
      </c>
      <c r="J1670" s="113">
        <v>26.76</v>
      </c>
      <c r="K1670" s="113">
        <v>-3.5</v>
      </c>
    </row>
    <row r="1671" spans="2:11" x14ac:dyDescent="0.25">
      <c r="B1671" s="185"/>
      <c r="C1671" s="113">
        <v>242.28100000000001</v>
      </c>
      <c r="D1671" s="113">
        <v>8941</v>
      </c>
      <c r="E1671" s="113">
        <v>1668</v>
      </c>
      <c r="F1671" s="113">
        <v>193</v>
      </c>
      <c r="G1671" s="113">
        <v>194.7</v>
      </c>
      <c r="H1671" s="113">
        <v>191.7</v>
      </c>
      <c r="I1671" s="113">
        <v>6.5</v>
      </c>
      <c r="J1671" s="113">
        <v>27.14</v>
      </c>
      <c r="K1671" s="113">
        <v>-5.3</v>
      </c>
    </row>
    <row r="1672" spans="2:11" x14ac:dyDescent="0.25">
      <c r="B1672" s="185"/>
      <c r="C1672" s="113">
        <v>242.3</v>
      </c>
      <c r="D1672" s="113">
        <v>8942</v>
      </c>
      <c r="E1672" s="113">
        <v>1669</v>
      </c>
      <c r="F1672" s="113">
        <v>195</v>
      </c>
      <c r="G1672" s="113">
        <v>194.6</v>
      </c>
      <c r="H1672" s="113">
        <v>192</v>
      </c>
      <c r="I1672" s="113">
        <v>6.5</v>
      </c>
      <c r="J1672" s="113">
        <v>28.36</v>
      </c>
      <c r="K1672" s="113">
        <v>-7.3</v>
      </c>
    </row>
    <row r="1673" spans="2:11" x14ac:dyDescent="0.25">
      <c r="B1673" s="185"/>
      <c r="C1673" s="113">
        <v>242.31800000000001</v>
      </c>
      <c r="D1673" s="113">
        <v>8943</v>
      </c>
      <c r="E1673" s="113">
        <v>1670</v>
      </c>
      <c r="F1673" s="113">
        <v>196</v>
      </c>
      <c r="G1673" s="113">
        <v>194.5</v>
      </c>
      <c r="H1673" s="113">
        <v>192.1</v>
      </c>
      <c r="I1673" s="113">
        <v>6.2</v>
      </c>
      <c r="J1673" s="113">
        <v>27.39</v>
      </c>
      <c r="K1673" s="113">
        <v>-8.1999999999999993</v>
      </c>
    </row>
    <row r="1674" spans="2:11" x14ac:dyDescent="0.25">
      <c r="B1674" s="185"/>
      <c r="C1674" s="113">
        <v>242.33699999999999</v>
      </c>
      <c r="D1674" s="113">
        <v>8944</v>
      </c>
      <c r="E1674" s="113">
        <v>1671</v>
      </c>
      <c r="F1674" s="113">
        <v>196</v>
      </c>
      <c r="G1674" s="113">
        <v>194.6</v>
      </c>
      <c r="H1674" s="113">
        <v>192.3</v>
      </c>
      <c r="I1674" s="113">
        <v>5.2</v>
      </c>
      <c r="J1674" s="113">
        <v>25.74</v>
      </c>
      <c r="K1674" s="113">
        <v>-3.9</v>
      </c>
    </row>
    <row r="1675" spans="2:11" x14ac:dyDescent="0.25">
      <c r="B1675" s="185"/>
      <c r="C1675" s="113">
        <v>242.35499999999999</v>
      </c>
      <c r="D1675" s="113">
        <v>8945</v>
      </c>
      <c r="E1675" s="113">
        <v>1672</v>
      </c>
      <c r="F1675" s="113">
        <v>196</v>
      </c>
      <c r="G1675" s="113">
        <v>194.8</v>
      </c>
      <c r="H1675" s="113">
        <v>192.5</v>
      </c>
      <c r="I1675" s="113">
        <v>4.7</v>
      </c>
      <c r="J1675" s="113">
        <v>21.44</v>
      </c>
      <c r="K1675" s="113">
        <v>3.1</v>
      </c>
    </row>
    <row r="1676" spans="2:11" x14ac:dyDescent="0.25">
      <c r="B1676" s="185"/>
      <c r="C1676" s="113">
        <v>242.374</v>
      </c>
      <c r="D1676" s="113">
        <v>8946</v>
      </c>
      <c r="E1676" s="113">
        <v>1673</v>
      </c>
      <c r="F1676" s="113">
        <v>196</v>
      </c>
      <c r="G1676" s="113">
        <v>195</v>
      </c>
      <c r="H1676" s="113">
        <v>192.7</v>
      </c>
      <c r="I1676" s="113">
        <v>4.3</v>
      </c>
      <c r="J1676" s="113">
        <v>19.46</v>
      </c>
      <c r="K1676" s="113">
        <v>10.199999999999999</v>
      </c>
    </row>
    <row r="1677" spans="2:11" x14ac:dyDescent="0.25">
      <c r="B1677" s="185"/>
      <c r="C1677" s="113">
        <v>242.392</v>
      </c>
      <c r="D1677" s="113">
        <v>8947</v>
      </c>
      <c r="E1677" s="113">
        <v>1674</v>
      </c>
      <c r="F1677" s="113">
        <v>197</v>
      </c>
      <c r="G1677" s="113">
        <v>195.5</v>
      </c>
      <c r="H1677" s="113">
        <v>192.9</v>
      </c>
      <c r="I1677" s="113">
        <v>3.8</v>
      </c>
      <c r="J1677" s="113">
        <v>17.95</v>
      </c>
      <c r="K1677" s="113">
        <v>17.3</v>
      </c>
    </row>
    <row r="1678" spans="2:11" x14ac:dyDescent="0.25">
      <c r="B1678" s="185"/>
      <c r="C1678" s="113">
        <v>242.411</v>
      </c>
      <c r="D1678" s="113">
        <v>8948</v>
      </c>
      <c r="E1678" s="113">
        <v>1675</v>
      </c>
      <c r="F1678" s="113">
        <v>197</v>
      </c>
      <c r="G1678" s="113">
        <v>195.5</v>
      </c>
      <c r="H1678" s="113">
        <v>193.2</v>
      </c>
      <c r="I1678" s="113">
        <v>3.4</v>
      </c>
      <c r="J1678" s="113">
        <v>17.59</v>
      </c>
      <c r="K1678" s="113">
        <v>12.4</v>
      </c>
    </row>
    <row r="1679" spans="2:11" x14ac:dyDescent="0.25">
      <c r="B1679" s="185"/>
      <c r="C1679" s="113">
        <v>242.429</v>
      </c>
      <c r="D1679" s="113">
        <v>8949</v>
      </c>
      <c r="E1679" s="113">
        <v>1676</v>
      </c>
      <c r="F1679" s="113">
        <v>197</v>
      </c>
      <c r="G1679" s="113">
        <v>195.4</v>
      </c>
      <c r="H1679" s="113">
        <v>193.3</v>
      </c>
      <c r="I1679" s="113">
        <v>3.4</v>
      </c>
      <c r="J1679" s="113">
        <v>16.690000000000001</v>
      </c>
      <c r="K1679" s="113">
        <v>7.3</v>
      </c>
    </row>
    <row r="1680" spans="2:11" x14ac:dyDescent="0.25">
      <c r="B1680" s="185"/>
      <c r="C1680" s="113">
        <v>242.447</v>
      </c>
      <c r="D1680" s="113">
        <v>8950</v>
      </c>
      <c r="E1680" s="113">
        <v>1677</v>
      </c>
      <c r="F1680" s="113">
        <v>197</v>
      </c>
      <c r="G1680" s="113">
        <v>195.2</v>
      </c>
      <c r="H1680" s="113">
        <v>193.5</v>
      </c>
      <c r="I1680" s="113">
        <v>3.7</v>
      </c>
      <c r="J1680" s="113">
        <v>16.16</v>
      </c>
      <c r="K1680" s="113">
        <v>-3.1</v>
      </c>
    </row>
    <row r="1681" spans="2:11" x14ac:dyDescent="0.25">
      <c r="B1681" s="185"/>
      <c r="C1681" s="113">
        <v>242.46600000000001</v>
      </c>
      <c r="D1681" s="113">
        <v>8951</v>
      </c>
      <c r="E1681" s="113">
        <v>1678</v>
      </c>
      <c r="F1681" s="113">
        <v>197</v>
      </c>
      <c r="G1681" s="113">
        <v>195.2</v>
      </c>
      <c r="H1681" s="113">
        <v>193.7</v>
      </c>
      <c r="I1681" s="113">
        <v>4.5</v>
      </c>
      <c r="J1681" s="113">
        <v>13.33</v>
      </c>
      <c r="K1681" s="113">
        <v>-13.3</v>
      </c>
    </row>
    <row r="1682" spans="2:11" x14ac:dyDescent="0.25">
      <c r="B1682" s="185"/>
      <c r="C1682" s="113">
        <v>242.48400000000001</v>
      </c>
      <c r="D1682" s="113">
        <v>8953</v>
      </c>
      <c r="E1682" s="113">
        <v>1679</v>
      </c>
      <c r="F1682" s="113">
        <v>197</v>
      </c>
      <c r="G1682" s="113">
        <v>195.2</v>
      </c>
      <c r="H1682" s="113">
        <v>194</v>
      </c>
      <c r="I1682" s="113">
        <v>4.5</v>
      </c>
      <c r="J1682" s="113">
        <v>13.04</v>
      </c>
      <c r="K1682" s="113">
        <v>-20.5</v>
      </c>
    </row>
    <row r="1683" spans="2:11" x14ac:dyDescent="0.25">
      <c r="B1683" s="185"/>
      <c r="C1683" s="113">
        <v>242.50200000000001</v>
      </c>
      <c r="D1683" s="113">
        <v>8954</v>
      </c>
      <c r="E1683" s="113">
        <v>1680</v>
      </c>
      <c r="F1683" s="113">
        <v>198</v>
      </c>
      <c r="G1683" s="113">
        <v>195.4</v>
      </c>
      <c r="H1683" s="113">
        <v>194.2</v>
      </c>
      <c r="I1683" s="113">
        <v>3.9</v>
      </c>
      <c r="J1683" s="113">
        <v>12.37</v>
      </c>
      <c r="K1683" s="113">
        <v>-13.9</v>
      </c>
    </row>
    <row r="1684" spans="2:11" x14ac:dyDescent="0.25">
      <c r="B1684" s="185"/>
      <c r="C1684" s="113">
        <v>242.52099999999999</v>
      </c>
      <c r="D1684" s="113">
        <v>8954</v>
      </c>
      <c r="E1684" s="113">
        <v>1681</v>
      </c>
      <c r="F1684" s="113">
        <v>198</v>
      </c>
      <c r="G1684" s="113">
        <v>195.6</v>
      </c>
      <c r="H1684" s="113">
        <v>194.4</v>
      </c>
      <c r="I1684" s="113">
        <v>2.8</v>
      </c>
      <c r="J1684" s="113">
        <v>10.81</v>
      </c>
      <c r="K1684" s="113">
        <v>-7.4</v>
      </c>
    </row>
    <row r="1685" spans="2:11" x14ac:dyDescent="0.25">
      <c r="B1685" s="185"/>
      <c r="C1685" s="113">
        <v>242.53899999999999</v>
      </c>
      <c r="D1685" s="113">
        <v>8955</v>
      </c>
      <c r="E1685" s="113">
        <v>1682</v>
      </c>
      <c r="F1685" s="113">
        <v>198</v>
      </c>
      <c r="G1685" s="113">
        <v>195.8</v>
      </c>
      <c r="H1685" s="113">
        <v>194.5</v>
      </c>
      <c r="I1685" s="113">
        <v>2.4</v>
      </c>
      <c r="J1685" s="113">
        <v>9.99</v>
      </c>
      <c r="K1685" s="113">
        <v>-4.2</v>
      </c>
    </row>
    <row r="1686" spans="2:11" x14ac:dyDescent="0.25">
      <c r="B1686" s="185"/>
      <c r="C1686" s="113">
        <v>242.55799999999999</v>
      </c>
      <c r="D1686" s="113">
        <v>8956</v>
      </c>
      <c r="E1686" s="113">
        <v>1683</v>
      </c>
      <c r="F1686" s="113">
        <v>199</v>
      </c>
      <c r="G1686" s="113">
        <v>196.2</v>
      </c>
      <c r="H1686" s="113">
        <v>194.8</v>
      </c>
      <c r="I1686" s="113">
        <v>1.7</v>
      </c>
      <c r="J1686" s="113">
        <v>10.32</v>
      </c>
      <c r="K1686" s="113">
        <v>2.4</v>
      </c>
    </row>
    <row r="1687" spans="2:11" x14ac:dyDescent="0.25">
      <c r="B1687" s="185"/>
      <c r="C1687" s="113">
        <v>242.57599999999999</v>
      </c>
      <c r="D1687" s="113">
        <v>8957</v>
      </c>
      <c r="E1687" s="113">
        <v>1684</v>
      </c>
      <c r="F1687" s="113">
        <v>199</v>
      </c>
      <c r="G1687" s="113">
        <v>196.5</v>
      </c>
      <c r="H1687" s="113">
        <v>195</v>
      </c>
      <c r="I1687" s="113">
        <v>1.7</v>
      </c>
      <c r="J1687" s="113">
        <v>10.15</v>
      </c>
      <c r="K1687" s="113">
        <v>4.4000000000000004</v>
      </c>
    </row>
    <row r="1688" spans="2:11" x14ac:dyDescent="0.25">
      <c r="B1688" s="185"/>
      <c r="C1688" s="113">
        <v>242.59399999999999</v>
      </c>
      <c r="D1688" s="113">
        <v>8958</v>
      </c>
      <c r="E1688" s="113">
        <v>1685</v>
      </c>
      <c r="F1688" s="113">
        <v>199</v>
      </c>
      <c r="G1688" s="113">
        <v>196.7</v>
      </c>
      <c r="H1688" s="113">
        <v>195.3</v>
      </c>
      <c r="I1688" s="113">
        <v>2.4</v>
      </c>
      <c r="J1688" s="113">
        <v>10.23</v>
      </c>
      <c r="K1688" s="113">
        <v>4.4000000000000004</v>
      </c>
    </row>
    <row r="1689" spans="2:11" x14ac:dyDescent="0.25">
      <c r="B1689" s="185"/>
      <c r="C1689" s="113">
        <v>242.613</v>
      </c>
      <c r="D1689" s="113">
        <v>8959</v>
      </c>
      <c r="E1689" s="113">
        <v>1686</v>
      </c>
      <c r="F1689" s="113">
        <v>199</v>
      </c>
      <c r="G1689" s="113">
        <v>197</v>
      </c>
      <c r="H1689" s="113">
        <v>195.5</v>
      </c>
      <c r="I1689" s="113">
        <v>3.5</v>
      </c>
      <c r="J1689" s="113">
        <v>10.88</v>
      </c>
      <c r="K1689" s="113">
        <v>4.4000000000000004</v>
      </c>
    </row>
    <row r="1690" spans="2:11" x14ac:dyDescent="0.25">
      <c r="B1690" s="185"/>
      <c r="C1690" s="113">
        <v>242.631</v>
      </c>
      <c r="D1690" s="113">
        <v>8960</v>
      </c>
      <c r="E1690" s="113">
        <v>1687</v>
      </c>
      <c r="F1690" s="113">
        <v>199</v>
      </c>
      <c r="G1690" s="113">
        <v>197.4</v>
      </c>
      <c r="H1690" s="113">
        <v>195.7</v>
      </c>
      <c r="I1690" s="113">
        <v>4</v>
      </c>
      <c r="J1690" s="113">
        <v>11.92</v>
      </c>
      <c r="K1690" s="113">
        <v>4.4000000000000004</v>
      </c>
    </row>
    <row r="1691" spans="2:11" x14ac:dyDescent="0.25">
      <c r="B1691" s="185"/>
      <c r="C1691" s="113">
        <v>242.649</v>
      </c>
      <c r="D1691" s="113">
        <v>8961</v>
      </c>
      <c r="E1691" s="113">
        <v>1688</v>
      </c>
      <c r="F1691" s="113">
        <v>199</v>
      </c>
      <c r="G1691" s="113">
        <v>197.5</v>
      </c>
      <c r="H1691" s="113">
        <v>195.8</v>
      </c>
      <c r="I1691" s="113">
        <v>4</v>
      </c>
      <c r="J1691" s="113">
        <v>12.35</v>
      </c>
      <c r="K1691" s="113">
        <v>3.1</v>
      </c>
    </row>
    <row r="1692" spans="2:11" x14ac:dyDescent="0.25">
      <c r="B1692" s="185"/>
      <c r="C1692" s="113">
        <v>242.667</v>
      </c>
      <c r="D1692" s="113">
        <v>8962</v>
      </c>
      <c r="E1692" s="113">
        <v>1689</v>
      </c>
      <c r="F1692" s="113">
        <v>200</v>
      </c>
      <c r="G1692" s="113">
        <v>197.9</v>
      </c>
      <c r="H1692" s="113">
        <v>196</v>
      </c>
      <c r="I1692" s="113">
        <v>3.8</v>
      </c>
      <c r="J1692" s="113">
        <v>13.33</v>
      </c>
      <c r="K1692" s="113">
        <v>-3.9</v>
      </c>
    </row>
    <row r="1693" spans="2:11" x14ac:dyDescent="0.25">
      <c r="B1693" s="185"/>
      <c r="C1693" s="113">
        <v>242.685</v>
      </c>
      <c r="D1693" s="113">
        <v>8963</v>
      </c>
      <c r="E1693" s="113">
        <v>1690</v>
      </c>
      <c r="F1693" s="113">
        <v>200</v>
      </c>
      <c r="G1693" s="113">
        <v>198.1</v>
      </c>
      <c r="H1693" s="113">
        <v>196.2</v>
      </c>
      <c r="I1693" s="113">
        <v>2.9</v>
      </c>
      <c r="J1693" s="113">
        <v>14.03</v>
      </c>
      <c r="K1693" s="113">
        <v>-10.8</v>
      </c>
    </row>
    <row r="1694" spans="2:11" x14ac:dyDescent="0.25">
      <c r="B1694" s="185"/>
      <c r="C1694" s="113">
        <v>242.703</v>
      </c>
      <c r="D1694" s="113">
        <v>8964</v>
      </c>
      <c r="E1694" s="113">
        <v>1691</v>
      </c>
      <c r="F1694" s="113">
        <v>201</v>
      </c>
      <c r="G1694" s="113">
        <v>198.3</v>
      </c>
      <c r="H1694" s="113">
        <v>196.4</v>
      </c>
      <c r="I1694" s="113">
        <v>2.4</v>
      </c>
      <c r="J1694" s="113">
        <v>13.49</v>
      </c>
      <c r="K1694" s="113">
        <v>-17.8</v>
      </c>
    </row>
    <row r="1695" spans="2:11" x14ac:dyDescent="0.25">
      <c r="B1695" s="185"/>
      <c r="C1695" s="113">
        <v>242.721</v>
      </c>
      <c r="D1695" s="113">
        <v>8965</v>
      </c>
      <c r="E1695" s="113">
        <v>1692</v>
      </c>
      <c r="F1695" s="113">
        <v>201</v>
      </c>
      <c r="G1695" s="113">
        <v>198.4</v>
      </c>
      <c r="H1695" s="113">
        <v>196.6</v>
      </c>
      <c r="I1695" s="113">
        <v>2.2999999999999998</v>
      </c>
      <c r="J1695" s="113">
        <v>13.3</v>
      </c>
      <c r="K1695" s="113">
        <v>-21.9</v>
      </c>
    </row>
    <row r="1696" spans="2:11" x14ac:dyDescent="0.25">
      <c r="B1696" s="185"/>
      <c r="C1696" s="113">
        <v>242.739</v>
      </c>
      <c r="D1696" s="113">
        <v>8966</v>
      </c>
      <c r="E1696" s="113">
        <v>1693</v>
      </c>
      <c r="F1696" s="113">
        <v>201</v>
      </c>
      <c r="G1696" s="113">
        <v>198.4</v>
      </c>
      <c r="H1696" s="113">
        <v>196.8</v>
      </c>
      <c r="I1696" s="113">
        <v>2.2000000000000002</v>
      </c>
      <c r="J1696" s="113">
        <v>12.85</v>
      </c>
      <c r="K1696" s="113">
        <v>-17.7</v>
      </c>
    </row>
    <row r="1697" spans="2:11" x14ac:dyDescent="0.25">
      <c r="B1697" s="185"/>
      <c r="C1697" s="113">
        <v>242.75700000000001</v>
      </c>
      <c r="D1697" s="113">
        <v>8967</v>
      </c>
      <c r="E1697" s="113">
        <v>1694</v>
      </c>
      <c r="F1697" s="113">
        <v>201</v>
      </c>
      <c r="G1697" s="113">
        <v>198.4</v>
      </c>
      <c r="H1697" s="113">
        <v>197</v>
      </c>
      <c r="I1697" s="113">
        <v>2.6</v>
      </c>
      <c r="J1697" s="113">
        <v>12.7</v>
      </c>
      <c r="K1697" s="113">
        <v>-9.3000000000000007</v>
      </c>
    </row>
    <row r="1698" spans="2:11" x14ac:dyDescent="0.25">
      <c r="B1698" s="185"/>
      <c r="C1698" s="113">
        <v>242.77600000000001</v>
      </c>
      <c r="D1698" s="113">
        <v>8968</v>
      </c>
      <c r="E1698" s="113">
        <v>1695</v>
      </c>
      <c r="F1698" s="113">
        <v>201</v>
      </c>
      <c r="G1698" s="113">
        <v>198.8</v>
      </c>
      <c r="H1698" s="113">
        <v>197.2</v>
      </c>
      <c r="I1698" s="113">
        <v>3</v>
      </c>
      <c r="J1698" s="113">
        <v>10.1</v>
      </c>
      <c r="K1698" s="113">
        <v>-0.9</v>
      </c>
    </row>
    <row r="1699" spans="2:11" x14ac:dyDescent="0.25">
      <c r="B1699" s="185"/>
      <c r="C1699" s="113">
        <v>242.79400000000001</v>
      </c>
      <c r="D1699" s="113">
        <v>8969</v>
      </c>
      <c r="E1699" s="113">
        <v>1696</v>
      </c>
      <c r="F1699" s="113">
        <v>202</v>
      </c>
      <c r="G1699" s="113">
        <v>199.4</v>
      </c>
      <c r="H1699" s="113">
        <v>197.4</v>
      </c>
      <c r="I1699" s="113">
        <v>3.2</v>
      </c>
      <c r="J1699" s="113">
        <v>9.5299999999999994</v>
      </c>
      <c r="K1699" s="113">
        <v>7.4</v>
      </c>
    </row>
    <row r="1700" spans="2:11" x14ac:dyDescent="0.25">
      <c r="B1700" s="185"/>
      <c r="C1700" s="113">
        <v>242.81200000000001</v>
      </c>
      <c r="D1700" s="113">
        <v>8970</v>
      </c>
      <c r="E1700" s="113">
        <v>1697</v>
      </c>
      <c r="F1700" s="113">
        <v>202</v>
      </c>
      <c r="G1700" s="113">
        <v>199.9</v>
      </c>
      <c r="H1700" s="113">
        <v>197.6</v>
      </c>
      <c r="I1700" s="113">
        <v>3.2</v>
      </c>
      <c r="J1700" s="113">
        <v>9.83</v>
      </c>
      <c r="K1700" s="113">
        <v>5.6</v>
      </c>
    </row>
    <row r="1701" spans="2:11" x14ac:dyDescent="0.25">
      <c r="B1701" s="185"/>
      <c r="C1701" s="113">
        <v>242.82900000000001</v>
      </c>
      <c r="D1701" s="113">
        <v>8971</v>
      </c>
      <c r="E1701" s="113">
        <v>1698</v>
      </c>
      <c r="F1701" s="113">
        <v>202</v>
      </c>
      <c r="G1701" s="113">
        <v>200.2</v>
      </c>
      <c r="H1701" s="113">
        <v>197.7</v>
      </c>
      <c r="I1701" s="113">
        <v>3.2</v>
      </c>
      <c r="J1701" s="113">
        <v>11.56</v>
      </c>
      <c r="K1701" s="113">
        <v>2.5</v>
      </c>
    </row>
    <row r="1702" spans="2:11" x14ac:dyDescent="0.25">
      <c r="B1702" s="185"/>
      <c r="C1702" s="113">
        <v>242.84700000000001</v>
      </c>
      <c r="D1702" s="113">
        <v>8972</v>
      </c>
      <c r="E1702" s="113">
        <v>1699</v>
      </c>
      <c r="F1702" s="113">
        <v>202</v>
      </c>
      <c r="G1702" s="113">
        <v>200.5</v>
      </c>
      <c r="H1702" s="113">
        <v>197.9</v>
      </c>
      <c r="I1702" s="113">
        <v>3.5</v>
      </c>
      <c r="J1702" s="113">
        <v>13.58</v>
      </c>
      <c r="K1702" s="113">
        <v>-3.9</v>
      </c>
    </row>
    <row r="1703" spans="2:11" x14ac:dyDescent="0.25">
      <c r="B1703" s="185"/>
      <c r="C1703" s="113">
        <v>242.86600000000001</v>
      </c>
      <c r="D1703" s="113">
        <v>8973</v>
      </c>
      <c r="E1703" s="113">
        <v>1700</v>
      </c>
      <c r="F1703" s="113">
        <v>201</v>
      </c>
      <c r="G1703" s="113">
        <v>200.7</v>
      </c>
      <c r="H1703" s="113">
        <v>198.1</v>
      </c>
      <c r="I1703" s="113">
        <v>4.5999999999999996</v>
      </c>
      <c r="J1703" s="113">
        <v>15.53</v>
      </c>
      <c r="K1703" s="113">
        <v>-10.199999999999999</v>
      </c>
    </row>
    <row r="1704" spans="2:11" x14ac:dyDescent="0.25">
      <c r="B1704" s="185"/>
      <c r="C1704" s="113">
        <v>242.88300000000001</v>
      </c>
      <c r="D1704" s="113">
        <v>8975</v>
      </c>
      <c r="E1704" s="113">
        <v>1701</v>
      </c>
      <c r="F1704" s="113">
        <v>201</v>
      </c>
      <c r="G1704" s="113">
        <v>200.9</v>
      </c>
      <c r="H1704" s="113">
        <v>198.3</v>
      </c>
      <c r="I1704" s="113">
        <v>5.7</v>
      </c>
      <c r="J1704" s="113">
        <v>16.600000000000001</v>
      </c>
      <c r="K1704" s="113">
        <v>-15.1</v>
      </c>
    </row>
    <row r="1705" spans="2:11" x14ac:dyDescent="0.25">
      <c r="B1705" s="185"/>
      <c r="C1705" s="113">
        <v>242.90100000000001</v>
      </c>
      <c r="D1705" s="113">
        <v>8976</v>
      </c>
      <c r="E1705" s="113">
        <v>1702</v>
      </c>
      <c r="F1705" s="113">
        <v>202</v>
      </c>
      <c r="G1705" s="113">
        <v>200.7</v>
      </c>
      <c r="H1705" s="113">
        <v>198.5</v>
      </c>
      <c r="I1705" s="113">
        <v>6.5</v>
      </c>
      <c r="J1705" s="113">
        <v>18.100000000000001</v>
      </c>
      <c r="K1705" s="113">
        <v>-13.6</v>
      </c>
    </row>
    <row r="1706" spans="2:11" x14ac:dyDescent="0.25">
      <c r="B1706" s="185"/>
      <c r="C1706" s="113">
        <v>242.91900000000001</v>
      </c>
      <c r="D1706" s="113">
        <v>8976</v>
      </c>
      <c r="E1706" s="113">
        <v>1703</v>
      </c>
      <c r="F1706" s="113">
        <v>202</v>
      </c>
      <c r="G1706" s="113">
        <v>200.7</v>
      </c>
      <c r="H1706" s="113">
        <v>198.6</v>
      </c>
      <c r="I1706" s="113">
        <v>7</v>
      </c>
      <c r="J1706" s="113">
        <v>16.82</v>
      </c>
      <c r="K1706" s="113">
        <v>-12.8</v>
      </c>
    </row>
    <row r="1707" spans="2:11" x14ac:dyDescent="0.25">
      <c r="B1707" s="185"/>
      <c r="C1707" s="113">
        <v>242.93700000000001</v>
      </c>
      <c r="D1707" s="113">
        <v>8977</v>
      </c>
      <c r="E1707" s="113">
        <v>1704</v>
      </c>
      <c r="F1707" s="113">
        <v>202</v>
      </c>
      <c r="G1707" s="113">
        <v>201.2</v>
      </c>
      <c r="H1707" s="113">
        <v>198.7</v>
      </c>
      <c r="I1707" s="113">
        <v>7.3</v>
      </c>
      <c r="J1707" s="113">
        <v>15.18</v>
      </c>
      <c r="K1707" s="113">
        <v>-11.3</v>
      </c>
    </row>
    <row r="1708" spans="2:11" x14ac:dyDescent="0.25">
      <c r="B1708" s="185"/>
      <c r="C1708" s="113">
        <v>242.95500000000001</v>
      </c>
      <c r="D1708" s="113">
        <v>8978</v>
      </c>
      <c r="E1708" s="113">
        <v>1705</v>
      </c>
      <c r="F1708" s="113">
        <v>203</v>
      </c>
      <c r="G1708" s="113">
        <v>201.9</v>
      </c>
      <c r="H1708" s="113">
        <v>198.8</v>
      </c>
      <c r="I1708" s="113">
        <v>7</v>
      </c>
      <c r="J1708" s="113">
        <v>14.03</v>
      </c>
      <c r="K1708" s="113">
        <v>-9.8000000000000007</v>
      </c>
    </row>
    <row r="1709" spans="2:11" x14ac:dyDescent="0.25">
      <c r="B1709" s="185"/>
      <c r="C1709" s="113">
        <v>242.97200000000001</v>
      </c>
      <c r="D1709" s="113">
        <v>8979</v>
      </c>
      <c r="E1709" s="113">
        <v>1706</v>
      </c>
      <c r="F1709" s="113">
        <v>203</v>
      </c>
      <c r="G1709" s="113">
        <v>202.1</v>
      </c>
      <c r="H1709" s="113">
        <v>199</v>
      </c>
      <c r="I1709" s="113">
        <v>5.7</v>
      </c>
      <c r="J1709" s="113">
        <v>14.21</v>
      </c>
      <c r="K1709" s="113">
        <v>-9.3000000000000007</v>
      </c>
    </row>
    <row r="1710" spans="2:11" x14ac:dyDescent="0.25">
      <c r="B1710" s="185"/>
      <c r="C1710" s="113">
        <v>242.99100000000001</v>
      </c>
      <c r="D1710" s="113">
        <v>8980</v>
      </c>
      <c r="E1710" s="113">
        <v>1707</v>
      </c>
      <c r="F1710" s="113">
        <v>204</v>
      </c>
      <c r="G1710" s="113">
        <v>202.1</v>
      </c>
      <c r="H1710" s="113">
        <v>199.1</v>
      </c>
      <c r="I1710" s="113">
        <v>5.0999999999999996</v>
      </c>
      <c r="J1710" s="113">
        <v>18.34</v>
      </c>
      <c r="K1710" s="113">
        <v>-9.3000000000000007</v>
      </c>
    </row>
    <row r="1711" spans="2:11" x14ac:dyDescent="0.25">
      <c r="B1711" s="185"/>
      <c r="C1711" s="113">
        <v>243.00800000000001</v>
      </c>
      <c r="D1711" s="113">
        <v>8981</v>
      </c>
      <c r="E1711" s="113">
        <v>1708</v>
      </c>
      <c r="F1711" s="113">
        <v>204</v>
      </c>
      <c r="G1711" s="113">
        <v>202.1</v>
      </c>
      <c r="H1711" s="113">
        <v>199.1</v>
      </c>
      <c r="I1711" s="113">
        <v>5.0999999999999996</v>
      </c>
      <c r="J1711" s="113">
        <v>21.91</v>
      </c>
      <c r="K1711" s="113">
        <v>-9.3000000000000007</v>
      </c>
    </row>
    <row r="1712" spans="2:11" x14ac:dyDescent="0.25">
      <c r="B1712" s="185"/>
      <c r="C1712" s="113">
        <v>243.02600000000001</v>
      </c>
      <c r="D1712" s="113">
        <v>8982</v>
      </c>
      <c r="E1712" s="113">
        <v>1709</v>
      </c>
      <c r="F1712" s="113">
        <v>203</v>
      </c>
      <c r="G1712" s="113">
        <v>202.4</v>
      </c>
      <c r="H1712" s="113">
        <v>199.2</v>
      </c>
      <c r="I1712" s="113">
        <v>6.2</v>
      </c>
      <c r="J1712" s="113">
        <v>21.57</v>
      </c>
      <c r="K1712" s="113">
        <v>-9.3000000000000007</v>
      </c>
    </row>
    <row r="1713" spans="2:11" x14ac:dyDescent="0.25">
      <c r="B1713" s="185"/>
      <c r="C1713" s="113">
        <v>243.04400000000001</v>
      </c>
      <c r="D1713" s="113">
        <v>8984</v>
      </c>
      <c r="E1713" s="113">
        <v>1710</v>
      </c>
      <c r="F1713" s="113">
        <v>203</v>
      </c>
      <c r="G1713" s="113">
        <v>202.7</v>
      </c>
      <c r="H1713" s="113">
        <v>199.3</v>
      </c>
      <c r="I1713" s="113">
        <v>7</v>
      </c>
      <c r="J1713" s="113">
        <v>20.010000000000002</v>
      </c>
      <c r="K1713" s="113">
        <v>-9.9</v>
      </c>
    </row>
    <row r="1714" spans="2:11" x14ac:dyDescent="0.25">
      <c r="B1714" s="185"/>
      <c r="C1714" s="113">
        <v>243.06100000000001</v>
      </c>
      <c r="D1714" s="113">
        <v>8985</v>
      </c>
      <c r="E1714" s="113">
        <v>1711</v>
      </c>
      <c r="F1714" s="113">
        <v>204</v>
      </c>
      <c r="G1714" s="113">
        <v>203.2</v>
      </c>
      <c r="H1714" s="113">
        <v>199.3</v>
      </c>
      <c r="I1714" s="113">
        <v>6.6</v>
      </c>
      <c r="J1714" s="113">
        <v>23.1</v>
      </c>
      <c r="K1714" s="113">
        <v>-13.2</v>
      </c>
    </row>
    <row r="1715" spans="2:11" x14ac:dyDescent="0.25">
      <c r="B1715" s="185"/>
      <c r="C1715" s="113">
        <v>243.07900000000001</v>
      </c>
      <c r="D1715" s="113">
        <v>8985</v>
      </c>
      <c r="E1715" s="113">
        <v>1712</v>
      </c>
      <c r="F1715" s="113">
        <v>204</v>
      </c>
      <c r="G1715" s="113">
        <v>203.5</v>
      </c>
      <c r="H1715" s="113">
        <v>199.3</v>
      </c>
      <c r="I1715" s="113">
        <v>6</v>
      </c>
      <c r="J1715" s="113">
        <v>24.32</v>
      </c>
      <c r="K1715" s="113">
        <v>-14.8</v>
      </c>
    </row>
    <row r="1716" spans="2:11" x14ac:dyDescent="0.25">
      <c r="B1716" s="185"/>
      <c r="C1716" s="113">
        <v>243.09700000000001</v>
      </c>
      <c r="D1716" s="113">
        <v>8986</v>
      </c>
      <c r="E1716" s="113">
        <v>1713</v>
      </c>
      <c r="F1716" s="113">
        <v>204</v>
      </c>
      <c r="G1716" s="113">
        <v>203.5</v>
      </c>
      <c r="H1716" s="113">
        <v>199.4</v>
      </c>
      <c r="I1716" s="113">
        <v>5</v>
      </c>
      <c r="J1716" s="113">
        <v>24.39</v>
      </c>
      <c r="K1716" s="113">
        <v>-18</v>
      </c>
    </row>
    <row r="1717" spans="2:11" x14ac:dyDescent="0.25">
      <c r="B1717" s="185"/>
      <c r="C1717" s="113">
        <v>243.114</v>
      </c>
      <c r="D1717" s="113">
        <v>8987</v>
      </c>
      <c r="E1717" s="113">
        <v>1714</v>
      </c>
      <c r="F1717" s="113">
        <v>204</v>
      </c>
      <c r="G1717" s="113">
        <v>203.5</v>
      </c>
      <c r="H1717" s="113">
        <v>199.4</v>
      </c>
      <c r="I1717" s="113">
        <v>4.5</v>
      </c>
      <c r="J1717" s="113">
        <v>24.96</v>
      </c>
      <c r="K1717" s="113">
        <v>-21.3</v>
      </c>
    </row>
    <row r="1718" spans="2:11" x14ac:dyDescent="0.25">
      <c r="B1718" s="185"/>
      <c r="C1718" s="113">
        <v>243.13200000000001</v>
      </c>
      <c r="D1718" s="113">
        <v>8988</v>
      </c>
      <c r="E1718" s="113">
        <v>1715</v>
      </c>
      <c r="F1718" s="113">
        <v>204</v>
      </c>
      <c r="G1718" s="113">
        <v>203.9</v>
      </c>
      <c r="H1718" s="113">
        <v>199.4</v>
      </c>
      <c r="I1718" s="113">
        <v>4.5</v>
      </c>
      <c r="J1718" s="113">
        <v>23.36</v>
      </c>
      <c r="K1718" s="113">
        <v>-18.100000000000001</v>
      </c>
    </row>
    <row r="1719" spans="2:11" x14ac:dyDescent="0.25">
      <c r="B1719" s="185"/>
      <c r="C1719" s="113">
        <v>243.149</v>
      </c>
      <c r="D1719" s="113">
        <v>8989</v>
      </c>
      <c r="E1719" s="113">
        <v>1716</v>
      </c>
      <c r="F1719" s="113">
        <v>204</v>
      </c>
      <c r="G1719" s="113">
        <v>204.2</v>
      </c>
      <c r="H1719" s="113">
        <v>199.4</v>
      </c>
      <c r="I1719" s="113">
        <v>4.5</v>
      </c>
      <c r="J1719" s="113">
        <v>22.35</v>
      </c>
      <c r="K1719" s="113">
        <v>-15.1</v>
      </c>
    </row>
    <row r="1720" spans="2:11" x14ac:dyDescent="0.25">
      <c r="B1720" s="185"/>
      <c r="C1720" s="113">
        <v>243.167</v>
      </c>
      <c r="D1720" s="113">
        <v>8990</v>
      </c>
      <c r="E1720" s="113">
        <v>1717</v>
      </c>
      <c r="F1720" s="113">
        <v>204</v>
      </c>
      <c r="G1720" s="113">
        <v>204.7</v>
      </c>
      <c r="H1720" s="113">
        <v>199.3</v>
      </c>
      <c r="I1720" s="113">
        <v>4.3</v>
      </c>
      <c r="J1720" s="113">
        <v>23.28</v>
      </c>
      <c r="K1720" s="113">
        <v>-9.1</v>
      </c>
    </row>
    <row r="1721" spans="2:11" x14ac:dyDescent="0.25">
      <c r="B1721" s="185"/>
      <c r="C1721" s="113">
        <v>243.185</v>
      </c>
      <c r="D1721" s="113">
        <v>8991</v>
      </c>
      <c r="E1721" s="113">
        <v>1718</v>
      </c>
      <c r="F1721" s="113">
        <v>204</v>
      </c>
      <c r="G1721" s="113">
        <v>204.7</v>
      </c>
      <c r="H1721" s="113">
        <v>199.2</v>
      </c>
      <c r="I1721" s="113">
        <v>4.0999999999999996</v>
      </c>
      <c r="J1721" s="113">
        <v>25.69</v>
      </c>
      <c r="K1721" s="113">
        <v>-3.1</v>
      </c>
    </row>
    <row r="1722" spans="2:11" x14ac:dyDescent="0.25">
      <c r="B1722" s="185"/>
      <c r="C1722" s="113">
        <v>243.202</v>
      </c>
      <c r="D1722" s="113">
        <v>8993</v>
      </c>
      <c r="E1722" s="113">
        <v>1719</v>
      </c>
      <c r="F1722" s="113">
        <v>204</v>
      </c>
      <c r="G1722" s="113">
        <v>204.7</v>
      </c>
      <c r="H1722" s="113">
        <v>199.1</v>
      </c>
      <c r="I1722" s="113">
        <v>4.0999999999999996</v>
      </c>
      <c r="J1722" s="113">
        <v>29.73</v>
      </c>
      <c r="K1722" s="113">
        <v>0.5</v>
      </c>
    </row>
    <row r="1723" spans="2:11" x14ac:dyDescent="0.25">
      <c r="B1723" s="185"/>
      <c r="C1723" s="113">
        <v>243.22</v>
      </c>
      <c r="D1723" s="113">
        <v>8994</v>
      </c>
      <c r="E1723" s="113">
        <v>1720</v>
      </c>
      <c r="F1723" s="113">
        <v>203</v>
      </c>
      <c r="G1723" s="113">
        <v>204.3</v>
      </c>
      <c r="H1723" s="113">
        <v>199</v>
      </c>
      <c r="I1723" s="113">
        <v>5.6</v>
      </c>
      <c r="J1723" s="113">
        <v>30.93</v>
      </c>
      <c r="K1723" s="113">
        <v>-6.1</v>
      </c>
    </row>
    <row r="1724" spans="2:11" x14ac:dyDescent="0.25">
      <c r="B1724" s="185"/>
      <c r="C1724" s="113">
        <v>243.238</v>
      </c>
      <c r="D1724" s="113">
        <v>8994</v>
      </c>
      <c r="E1724" s="113">
        <v>1721</v>
      </c>
      <c r="F1724" s="113">
        <v>203</v>
      </c>
      <c r="G1724" s="113">
        <v>204.2</v>
      </c>
      <c r="H1724" s="113">
        <v>198.9</v>
      </c>
      <c r="I1724" s="113">
        <v>6.2</v>
      </c>
      <c r="J1724" s="113">
        <v>31.2</v>
      </c>
      <c r="K1724" s="113">
        <v>-9.5</v>
      </c>
    </row>
    <row r="1725" spans="2:11" x14ac:dyDescent="0.25">
      <c r="B1725" s="185"/>
      <c r="C1725" s="113">
        <v>243.255</v>
      </c>
      <c r="D1725" s="113">
        <v>8995</v>
      </c>
      <c r="E1725" s="113">
        <v>1722</v>
      </c>
      <c r="F1725" s="113">
        <v>203</v>
      </c>
      <c r="G1725" s="113">
        <v>204.1</v>
      </c>
      <c r="H1725" s="113">
        <v>198.7</v>
      </c>
      <c r="I1725" s="113">
        <v>7.1</v>
      </c>
      <c r="J1725" s="113">
        <v>27.93</v>
      </c>
      <c r="K1725" s="113">
        <v>-16.2</v>
      </c>
    </row>
    <row r="1726" spans="2:11" x14ac:dyDescent="0.25">
      <c r="B1726" s="185"/>
      <c r="C1726" s="113">
        <v>243.273</v>
      </c>
      <c r="D1726" s="113">
        <v>8996</v>
      </c>
      <c r="E1726" s="113">
        <v>1723</v>
      </c>
      <c r="F1726" s="113">
        <v>204</v>
      </c>
      <c r="G1726" s="113">
        <v>204.2</v>
      </c>
      <c r="H1726" s="113">
        <v>198.5</v>
      </c>
      <c r="I1726" s="113">
        <v>5.6</v>
      </c>
      <c r="J1726" s="113">
        <v>25.75</v>
      </c>
      <c r="K1726" s="113">
        <v>-22.9</v>
      </c>
    </row>
    <row r="1727" spans="2:11" x14ac:dyDescent="0.25">
      <c r="B1727" s="185"/>
      <c r="C1727" s="113">
        <v>243.29</v>
      </c>
      <c r="D1727" s="113">
        <v>8997</v>
      </c>
      <c r="E1727" s="113">
        <v>1724</v>
      </c>
      <c r="F1727" s="113">
        <v>204</v>
      </c>
      <c r="G1727" s="113">
        <v>204.4</v>
      </c>
      <c r="H1727" s="113">
        <v>198.3</v>
      </c>
      <c r="I1727" s="113">
        <v>2.8</v>
      </c>
      <c r="J1727" s="113">
        <v>26.55</v>
      </c>
      <c r="K1727" s="113">
        <v>-24.1</v>
      </c>
    </row>
    <row r="1728" spans="2:11" x14ac:dyDescent="0.25">
      <c r="B1728" s="185"/>
      <c r="C1728" s="113">
        <v>243.30799999999999</v>
      </c>
      <c r="D1728" s="113">
        <v>8998</v>
      </c>
      <c r="E1728" s="113">
        <v>1725</v>
      </c>
      <c r="F1728" s="113">
        <v>204</v>
      </c>
      <c r="G1728" s="113">
        <v>204.5</v>
      </c>
      <c r="H1728" s="113">
        <v>198.2</v>
      </c>
      <c r="I1728" s="113">
        <v>1.6</v>
      </c>
      <c r="J1728" s="113">
        <v>26.07</v>
      </c>
      <c r="K1728" s="113">
        <v>-23.5</v>
      </c>
    </row>
    <row r="1729" spans="2:11" x14ac:dyDescent="0.25">
      <c r="B1729" s="185"/>
      <c r="C1729" s="113">
        <v>243.32599999999999</v>
      </c>
      <c r="D1729" s="113">
        <v>8999</v>
      </c>
      <c r="E1729" s="113">
        <v>1726</v>
      </c>
      <c r="F1729" s="113">
        <v>204</v>
      </c>
      <c r="G1729" s="113">
        <v>204.7</v>
      </c>
      <c r="H1729" s="113">
        <v>198</v>
      </c>
      <c r="I1729" s="113">
        <v>1.3</v>
      </c>
      <c r="J1729" s="113">
        <v>21.57</v>
      </c>
      <c r="K1729" s="113">
        <v>-22.3</v>
      </c>
    </row>
    <row r="1730" spans="2:11" x14ac:dyDescent="0.25">
      <c r="B1730" s="185"/>
      <c r="C1730" s="113">
        <v>243.34299999999999</v>
      </c>
      <c r="D1730" s="113">
        <v>9000</v>
      </c>
      <c r="E1730" s="113">
        <v>1727</v>
      </c>
      <c r="F1730" s="113">
        <v>204</v>
      </c>
      <c r="G1730" s="113">
        <v>204.7</v>
      </c>
      <c r="H1730" s="113">
        <v>197.7</v>
      </c>
      <c r="I1730" s="113">
        <v>1.1000000000000001</v>
      </c>
      <c r="J1730" s="113">
        <v>22.69</v>
      </c>
      <c r="K1730" s="113">
        <v>-21.1</v>
      </c>
    </row>
    <row r="1731" spans="2:11" x14ac:dyDescent="0.25">
      <c r="B1731" s="185"/>
      <c r="C1731" s="113">
        <v>243.36099999999999</v>
      </c>
      <c r="D1731" s="113">
        <v>9002</v>
      </c>
      <c r="E1731" s="113">
        <v>1728</v>
      </c>
      <c r="F1731" s="113">
        <v>204</v>
      </c>
      <c r="G1731" s="113">
        <v>204.7</v>
      </c>
      <c r="H1731" s="113">
        <v>197.4</v>
      </c>
      <c r="I1731" s="113">
        <v>2.1</v>
      </c>
      <c r="J1731" s="113">
        <v>23.03</v>
      </c>
      <c r="K1731" s="113">
        <v>-20.100000000000001</v>
      </c>
    </row>
    <row r="1732" spans="2:11" x14ac:dyDescent="0.25">
      <c r="B1732" s="185"/>
      <c r="C1732" s="113">
        <v>243.37799999999999</v>
      </c>
      <c r="D1732" s="113">
        <v>9002</v>
      </c>
      <c r="E1732" s="113">
        <v>1729</v>
      </c>
      <c r="F1732" s="113">
        <v>202</v>
      </c>
      <c r="G1732" s="113">
        <v>204.8</v>
      </c>
      <c r="H1732" s="113">
        <v>197.3</v>
      </c>
      <c r="I1732" s="113">
        <v>2.7</v>
      </c>
      <c r="J1732" s="113">
        <v>22.97</v>
      </c>
      <c r="K1732" s="113">
        <v>-20.100000000000001</v>
      </c>
    </row>
    <row r="1733" spans="2:11" x14ac:dyDescent="0.25">
      <c r="B1733" s="185"/>
      <c r="C1733" s="113">
        <v>243.39599999999999</v>
      </c>
      <c r="D1733" s="113">
        <v>9003</v>
      </c>
      <c r="E1733" s="113">
        <v>1730</v>
      </c>
      <c r="F1733" s="113">
        <v>200</v>
      </c>
      <c r="G1733" s="113">
        <v>204.8</v>
      </c>
      <c r="H1733" s="113">
        <v>196.9</v>
      </c>
      <c r="I1733" s="113">
        <v>3.5</v>
      </c>
      <c r="J1733" s="113">
        <v>24.66</v>
      </c>
      <c r="K1733" s="113">
        <v>-20.100000000000001</v>
      </c>
    </row>
    <row r="1734" spans="2:11" x14ac:dyDescent="0.25">
      <c r="B1734" s="185"/>
      <c r="C1734" s="113">
        <v>243.41300000000001</v>
      </c>
      <c r="D1734" s="113">
        <v>9004</v>
      </c>
      <c r="E1734" s="113">
        <v>1731</v>
      </c>
      <c r="F1734" s="113">
        <v>199</v>
      </c>
      <c r="G1734" s="113">
        <v>204.6</v>
      </c>
      <c r="H1734" s="113">
        <v>196.6</v>
      </c>
      <c r="I1734" s="113">
        <v>3.4</v>
      </c>
      <c r="J1734" s="113">
        <v>37.08</v>
      </c>
      <c r="K1734" s="113">
        <v>-20.100000000000001</v>
      </c>
    </row>
    <row r="1735" spans="2:11" x14ac:dyDescent="0.25">
      <c r="B1735" s="185"/>
      <c r="C1735" s="113">
        <v>243.43100000000001</v>
      </c>
      <c r="D1735" s="113">
        <v>9005</v>
      </c>
      <c r="E1735" s="113">
        <v>1732</v>
      </c>
      <c r="F1735" s="113">
        <v>198</v>
      </c>
      <c r="G1735" s="113">
        <v>204.2</v>
      </c>
      <c r="H1735" s="113">
        <v>196.3</v>
      </c>
      <c r="I1735" s="113">
        <v>4.7</v>
      </c>
      <c r="J1735" s="113">
        <v>45.21</v>
      </c>
      <c r="K1735" s="113">
        <v>-20.100000000000001</v>
      </c>
    </row>
    <row r="1736" spans="2:11" x14ac:dyDescent="0.25">
      <c r="B1736" s="185"/>
      <c r="C1736" s="113">
        <v>243.44800000000001</v>
      </c>
      <c r="D1736" s="113">
        <v>9006</v>
      </c>
      <c r="E1736" s="113">
        <v>1733</v>
      </c>
      <c r="F1736" s="113">
        <v>198</v>
      </c>
      <c r="G1736" s="113">
        <v>204</v>
      </c>
      <c r="H1736" s="113">
        <v>196.1</v>
      </c>
      <c r="I1736" s="113">
        <v>6.8</v>
      </c>
      <c r="J1736" s="113">
        <v>47.71</v>
      </c>
      <c r="K1736" s="113">
        <v>-19.899999999999999</v>
      </c>
    </row>
    <row r="1737" spans="2:11" x14ac:dyDescent="0.25">
      <c r="B1737" s="185"/>
      <c r="C1737" s="113">
        <v>243.46600000000001</v>
      </c>
      <c r="D1737" s="113">
        <v>9007</v>
      </c>
      <c r="E1737" s="113">
        <v>1734</v>
      </c>
      <c r="F1737" s="113">
        <v>199</v>
      </c>
      <c r="G1737" s="113">
        <v>204</v>
      </c>
      <c r="H1737" s="113">
        <v>195.7</v>
      </c>
      <c r="I1737" s="113">
        <v>10.8</v>
      </c>
      <c r="J1737" s="113">
        <v>51.19</v>
      </c>
      <c r="K1737" s="113">
        <v>-19.3</v>
      </c>
    </row>
    <row r="1738" spans="2:11" x14ac:dyDescent="0.25">
      <c r="B1738" s="185"/>
      <c r="C1738" s="113">
        <v>243.483</v>
      </c>
      <c r="D1738" s="113">
        <v>9009</v>
      </c>
      <c r="E1738" s="113">
        <v>1735</v>
      </c>
      <c r="F1738" s="113">
        <v>199</v>
      </c>
      <c r="G1738" s="113">
        <v>204</v>
      </c>
      <c r="H1738" s="113">
        <v>195.3</v>
      </c>
      <c r="I1738" s="113">
        <v>11.6</v>
      </c>
      <c r="J1738" s="113">
        <v>61.02</v>
      </c>
      <c r="K1738" s="113">
        <v>-18.5</v>
      </c>
    </row>
    <row r="1739" spans="2:11" x14ac:dyDescent="0.25">
      <c r="B1739" s="185"/>
      <c r="C1739" s="113">
        <v>243.501</v>
      </c>
      <c r="D1739" s="113">
        <v>9010</v>
      </c>
      <c r="E1739" s="113">
        <v>1736</v>
      </c>
      <c r="F1739" s="113">
        <v>200</v>
      </c>
      <c r="G1739" s="113">
        <v>204</v>
      </c>
      <c r="H1739" s="113">
        <v>194.9</v>
      </c>
      <c r="I1739" s="113">
        <v>11.9</v>
      </c>
      <c r="J1739" s="113">
        <v>71.17</v>
      </c>
      <c r="K1739" s="113">
        <v>-17.8</v>
      </c>
    </row>
    <row r="1740" spans="2:11" x14ac:dyDescent="0.25">
      <c r="B1740" s="185"/>
      <c r="C1740" s="113">
        <v>243.51900000000001</v>
      </c>
      <c r="D1740" s="113">
        <v>9010</v>
      </c>
      <c r="E1740" s="113">
        <v>1737</v>
      </c>
      <c r="F1740" s="113">
        <v>200</v>
      </c>
      <c r="G1740" s="113">
        <v>203.9</v>
      </c>
      <c r="H1740" s="113">
        <v>194.7</v>
      </c>
      <c r="I1740" s="113">
        <v>13.3</v>
      </c>
      <c r="J1740" s="113">
        <v>72.98</v>
      </c>
      <c r="K1740" s="113">
        <v>-17.5</v>
      </c>
    </row>
    <row r="1741" spans="2:11" x14ac:dyDescent="0.25">
      <c r="B1741" s="185"/>
      <c r="C1741" s="113">
        <v>243.536</v>
      </c>
      <c r="D1741" s="113">
        <v>9011</v>
      </c>
      <c r="E1741" s="113">
        <v>1738</v>
      </c>
      <c r="F1741" s="113">
        <v>201</v>
      </c>
      <c r="G1741" s="113">
        <v>203.7</v>
      </c>
      <c r="H1741" s="113">
        <v>194.3</v>
      </c>
      <c r="I1741" s="113">
        <v>17.7</v>
      </c>
      <c r="J1741" s="113">
        <v>75.260000000000005</v>
      </c>
      <c r="K1741" s="113">
        <v>-20.5</v>
      </c>
    </row>
    <row r="1742" spans="2:11" x14ac:dyDescent="0.25">
      <c r="B1742" s="185"/>
      <c r="C1742" s="113">
        <v>243.554</v>
      </c>
      <c r="D1742" s="113">
        <v>9012</v>
      </c>
      <c r="E1742" s="113">
        <v>1739</v>
      </c>
      <c r="F1742" s="113">
        <v>202</v>
      </c>
      <c r="G1742" s="113">
        <v>203.4</v>
      </c>
      <c r="H1742" s="113">
        <v>194</v>
      </c>
      <c r="I1742" s="113">
        <v>20.5</v>
      </c>
      <c r="J1742" s="113">
        <v>79.95</v>
      </c>
      <c r="K1742" s="113">
        <v>-25.4</v>
      </c>
    </row>
    <row r="1743" spans="2:11" x14ac:dyDescent="0.25">
      <c r="B1743" s="185"/>
      <c r="C1743" s="113">
        <v>243.571</v>
      </c>
      <c r="D1743" s="113">
        <v>9013</v>
      </c>
      <c r="E1743" s="113">
        <v>1740</v>
      </c>
      <c r="F1743" s="113">
        <v>202</v>
      </c>
      <c r="G1743" s="113">
        <v>203</v>
      </c>
      <c r="H1743" s="113">
        <v>193.6</v>
      </c>
      <c r="I1743" s="113">
        <v>21.9</v>
      </c>
      <c r="J1743" s="113">
        <v>81.3</v>
      </c>
      <c r="K1743" s="113">
        <v>-30.3</v>
      </c>
    </row>
    <row r="1744" spans="2:11" x14ac:dyDescent="0.25">
      <c r="B1744" s="185"/>
      <c r="C1744" s="113">
        <v>243.589</v>
      </c>
      <c r="D1744" s="113">
        <v>9014</v>
      </c>
      <c r="E1744" s="113">
        <v>1741</v>
      </c>
      <c r="F1744" s="113">
        <v>202</v>
      </c>
      <c r="G1744" s="113">
        <v>202.9</v>
      </c>
      <c r="H1744" s="113">
        <v>193.5</v>
      </c>
      <c r="I1744" s="113">
        <v>22.5</v>
      </c>
      <c r="J1744" s="113">
        <v>79.77</v>
      </c>
      <c r="K1744" s="113">
        <v>-32.700000000000003</v>
      </c>
    </row>
    <row r="1745" spans="2:11" x14ac:dyDescent="0.25">
      <c r="B1745" s="185"/>
      <c r="C1745" s="113">
        <v>243.607</v>
      </c>
      <c r="D1745" s="113">
        <v>9015</v>
      </c>
      <c r="E1745" s="113">
        <v>1742</v>
      </c>
      <c r="F1745" s="113">
        <v>202</v>
      </c>
      <c r="G1745" s="113">
        <v>202.7</v>
      </c>
      <c r="H1745" s="113">
        <v>193.1</v>
      </c>
      <c r="I1745" s="113">
        <v>22.3</v>
      </c>
      <c r="J1745" s="113">
        <v>74</v>
      </c>
      <c r="K1745" s="113">
        <v>-36.9</v>
      </c>
    </row>
    <row r="1746" spans="2:11" x14ac:dyDescent="0.25">
      <c r="B1746" s="185"/>
      <c r="C1746" s="113">
        <v>243.624</v>
      </c>
      <c r="D1746" s="113">
        <v>9016</v>
      </c>
      <c r="E1746" s="113">
        <v>1743</v>
      </c>
      <c r="F1746" s="113">
        <v>201</v>
      </c>
      <c r="G1746" s="113">
        <v>203.2</v>
      </c>
      <c r="H1746" s="113">
        <v>192.8</v>
      </c>
      <c r="I1746" s="113">
        <v>18</v>
      </c>
      <c r="J1746" s="113">
        <v>67.23</v>
      </c>
      <c r="K1746" s="113">
        <v>-37.6</v>
      </c>
    </row>
    <row r="1747" spans="2:11" x14ac:dyDescent="0.25">
      <c r="B1747" s="185"/>
      <c r="C1747" s="113">
        <v>243.642</v>
      </c>
      <c r="D1747" s="113">
        <v>9018</v>
      </c>
      <c r="E1747" s="113">
        <v>1744</v>
      </c>
      <c r="F1747" s="113">
        <v>201</v>
      </c>
      <c r="G1747" s="113">
        <v>203.6</v>
      </c>
      <c r="H1747" s="113">
        <v>192.5</v>
      </c>
      <c r="I1747" s="113">
        <v>10.199999999999999</v>
      </c>
      <c r="J1747" s="113">
        <v>65.02</v>
      </c>
      <c r="K1747" s="113">
        <v>-38.299999999999997</v>
      </c>
    </row>
    <row r="1748" spans="2:11" x14ac:dyDescent="0.25">
      <c r="B1748" s="185"/>
      <c r="C1748" s="113">
        <v>243.65899999999999</v>
      </c>
      <c r="D1748" s="113">
        <v>9019</v>
      </c>
      <c r="E1748" s="113">
        <v>1745</v>
      </c>
      <c r="F1748" s="113">
        <v>201</v>
      </c>
      <c r="G1748" s="113">
        <v>203.5</v>
      </c>
      <c r="H1748" s="113">
        <v>192.3</v>
      </c>
      <c r="I1748" s="113">
        <v>7.6</v>
      </c>
      <c r="J1748" s="113">
        <v>63.41</v>
      </c>
      <c r="K1748" s="113">
        <v>-38.700000000000003</v>
      </c>
    </row>
    <row r="1749" spans="2:11" x14ac:dyDescent="0.25">
      <c r="B1749" s="185"/>
      <c r="C1749" s="113">
        <v>243.678</v>
      </c>
      <c r="D1749" s="113">
        <v>9019</v>
      </c>
      <c r="E1749" s="113">
        <v>1746</v>
      </c>
      <c r="F1749" s="113">
        <v>200</v>
      </c>
      <c r="G1749" s="113">
        <v>203.3</v>
      </c>
      <c r="H1749" s="113">
        <v>192</v>
      </c>
      <c r="I1749" s="113">
        <v>5.9</v>
      </c>
      <c r="J1749" s="113">
        <v>62.76</v>
      </c>
      <c r="K1749" s="113">
        <v>-39.5</v>
      </c>
    </row>
    <row r="1750" spans="2:11" x14ac:dyDescent="0.25">
      <c r="B1750" s="185"/>
      <c r="C1750" s="113">
        <v>243.69499999999999</v>
      </c>
      <c r="D1750" s="113">
        <v>9020</v>
      </c>
      <c r="E1750" s="113">
        <v>1747</v>
      </c>
      <c r="F1750" s="113">
        <v>200</v>
      </c>
      <c r="G1750" s="113">
        <v>202.8</v>
      </c>
      <c r="H1750" s="113">
        <v>191.7</v>
      </c>
      <c r="I1750" s="113">
        <v>7.3</v>
      </c>
      <c r="J1750" s="113">
        <v>63.39</v>
      </c>
      <c r="K1750" s="113">
        <v>-37.5</v>
      </c>
    </row>
    <row r="1751" spans="2:11" x14ac:dyDescent="0.25">
      <c r="B1751" s="185"/>
      <c r="C1751" s="113">
        <v>243.71299999999999</v>
      </c>
      <c r="D1751" s="113">
        <v>9021</v>
      </c>
      <c r="E1751" s="113">
        <v>1748</v>
      </c>
      <c r="F1751" s="113">
        <v>200</v>
      </c>
      <c r="G1751" s="113">
        <v>202.2</v>
      </c>
      <c r="H1751" s="113">
        <v>191.4</v>
      </c>
      <c r="I1751" s="113">
        <v>8.6</v>
      </c>
      <c r="J1751" s="113">
        <v>66.58</v>
      </c>
      <c r="K1751" s="113">
        <v>-34.4</v>
      </c>
    </row>
    <row r="1752" spans="2:11" x14ac:dyDescent="0.25">
      <c r="B1752" s="185"/>
      <c r="C1752" s="113">
        <v>243.73099999999999</v>
      </c>
      <c r="D1752" s="113">
        <v>9022</v>
      </c>
      <c r="E1752" s="113">
        <v>1749</v>
      </c>
      <c r="F1752" s="113">
        <v>200</v>
      </c>
      <c r="G1752" s="113">
        <v>201.7</v>
      </c>
      <c r="H1752" s="113">
        <v>191.1</v>
      </c>
      <c r="I1752" s="113">
        <v>10.1</v>
      </c>
      <c r="J1752" s="113">
        <v>65.290000000000006</v>
      </c>
      <c r="K1752" s="113">
        <v>-31.2</v>
      </c>
    </row>
    <row r="1753" spans="2:11" x14ac:dyDescent="0.25">
      <c r="B1753" s="185"/>
      <c r="C1753" s="113">
        <v>243.74799999999999</v>
      </c>
      <c r="D1753" s="113">
        <v>9023</v>
      </c>
      <c r="E1753" s="113">
        <v>1750</v>
      </c>
      <c r="F1753" s="113">
        <v>200</v>
      </c>
      <c r="G1753" s="113">
        <v>201.5</v>
      </c>
      <c r="H1753" s="113">
        <v>190.9</v>
      </c>
      <c r="I1753" s="113">
        <v>10.5</v>
      </c>
      <c r="J1753" s="113">
        <v>64.66</v>
      </c>
      <c r="K1753" s="113">
        <v>-29.7</v>
      </c>
    </row>
    <row r="1754" spans="2:11" x14ac:dyDescent="0.25">
      <c r="B1754" s="185"/>
      <c r="C1754" s="113">
        <v>243.76599999999999</v>
      </c>
      <c r="D1754" s="113">
        <v>9024</v>
      </c>
      <c r="E1754" s="113">
        <v>1751</v>
      </c>
      <c r="F1754" s="113">
        <v>200</v>
      </c>
      <c r="G1754" s="113">
        <v>201.2</v>
      </c>
      <c r="H1754" s="113">
        <v>190.6</v>
      </c>
      <c r="I1754" s="113">
        <v>11</v>
      </c>
      <c r="J1754" s="113">
        <v>61.43</v>
      </c>
      <c r="K1754" s="113">
        <v>-27.1</v>
      </c>
    </row>
    <row r="1755" spans="2:11" x14ac:dyDescent="0.25">
      <c r="B1755" s="185"/>
      <c r="C1755" s="113">
        <v>243.78399999999999</v>
      </c>
      <c r="D1755" s="113">
        <v>9025</v>
      </c>
      <c r="E1755" s="113">
        <v>1752</v>
      </c>
      <c r="F1755" s="113">
        <v>200</v>
      </c>
      <c r="G1755" s="113">
        <v>201.2</v>
      </c>
      <c r="H1755" s="113">
        <v>190.4</v>
      </c>
      <c r="I1755" s="113">
        <v>11</v>
      </c>
      <c r="J1755" s="113">
        <v>59.15</v>
      </c>
      <c r="K1755" s="113">
        <v>-27.1</v>
      </c>
    </row>
    <row r="1756" spans="2:11" x14ac:dyDescent="0.25">
      <c r="B1756" s="185"/>
      <c r="C1756" s="113">
        <v>243.80199999999999</v>
      </c>
      <c r="D1756" s="113">
        <v>9027</v>
      </c>
      <c r="E1756" s="113">
        <v>1753</v>
      </c>
      <c r="F1756" s="113">
        <v>200</v>
      </c>
      <c r="G1756" s="113">
        <v>201.1</v>
      </c>
      <c r="H1756" s="113">
        <v>190.1</v>
      </c>
      <c r="I1756" s="113">
        <v>10.9</v>
      </c>
      <c r="J1756" s="113">
        <v>58.38</v>
      </c>
      <c r="K1756" s="113">
        <v>-27.1</v>
      </c>
    </row>
    <row r="1757" spans="2:11" x14ac:dyDescent="0.25">
      <c r="B1757" s="185"/>
      <c r="C1757" s="113">
        <v>243.81899999999999</v>
      </c>
      <c r="D1757" s="113">
        <v>9028</v>
      </c>
      <c r="E1757" s="113">
        <v>1754</v>
      </c>
      <c r="F1757" s="113">
        <v>200</v>
      </c>
      <c r="G1757" s="113">
        <v>200.9</v>
      </c>
      <c r="H1757" s="113">
        <v>189.9</v>
      </c>
      <c r="I1757" s="113">
        <v>10.8</v>
      </c>
      <c r="J1757" s="113">
        <v>59.44</v>
      </c>
      <c r="K1757" s="113">
        <v>-27.1</v>
      </c>
    </row>
    <row r="1758" spans="2:11" x14ac:dyDescent="0.25">
      <c r="B1758" s="185"/>
      <c r="C1758" s="113">
        <v>243.83799999999999</v>
      </c>
      <c r="D1758" s="113">
        <v>9028</v>
      </c>
      <c r="E1758" s="113">
        <v>1755</v>
      </c>
      <c r="F1758" s="113">
        <v>200</v>
      </c>
      <c r="G1758" s="113">
        <v>200.4</v>
      </c>
      <c r="H1758" s="113">
        <v>189.6</v>
      </c>
      <c r="I1758" s="113">
        <v>11.6</v>
      </c>
      <c r="J1758" s="113">
        <v>59.92</v>
      </c>
      <c r="K1758" s="113">
        <v>-27.1</v>
      </c>
    </row>
    <row r="1759" spans="2:11" x14ac:dyDescent="0.25">
      <c r="B1759" s="185"/>
      <c r="C1759" s="113">
        <v>243.85499999999999</v>
      </c>
      <c r="D1759" s="113">
        <v>9029</v>
      </c>
      <c r="E1759" s="113">
        <v>1756</v>
      </c>
      <c r="F1759" s="113">
        <v>200</v>
      </c>
      <c r="G1759" s="113">
        <v>200.3</v>
      </c>
      <c r="H1759" s="113">
        <v>189.4</v>
      </c>
      <c r="I1759" s="113">
        <v>13</v>
      </c>
      <c r="J1759" s="113">
        <v>61.21</v>
      </c>
      <c r="K1759" s="113">
        <v>-28.6</v>
      </c>
    </row>
    <row r="1760" spans="2:11" x14ac:dyDescent="0.25">
      <c r="B1760" s="185"/>
      <c r="C1760" s="113">
        <v>243.87299999999999</v>
      </c>
      <c r="D1760" s="113">
        <v>9030</v>
      </c>
      <c r="E1760" s="113">
        <v>1757</v>
      </c>
      <c r="F1760" s="113">
        <v>200</v>
      </c>
      <c r="G1760" s="113">
        <v>200.2</v>
      </c>
      <c r="H1760" s="113">
        <v>189.2</v>
      </c>
      <c r="I1760" s="113">
        <v>13.5</v>
      </c>
      <c r="J1760" s="113">
        <v>63.19</v>
      </c>
      <c r="K1760" s="113">
        <v>-30.8</v>
      </c>
    </row>
    <row r="1761" spans="2:11" x14ac:dyDescent="0.25">
      <c r="B1761" s="185"/>
      <c r="C1761" s="113">
        <v>243.89099999999999</v>
      </c>
      <c r="D1761" s="113">
        <v>9031</v>
      </c>
      <c r="E1761" s="113">
        <v>1758</v>
      </c>
      <c r="F1761" s="113">
        <v>200</v>
      </c>
      <c r="G1761" s="113">
        <v>199.9</v>
      </c>
      <c r="H1761" s="113">
        <v>189</v>
      </c>
      <c r="I1761" s="113">
        <v>13.4</v>
      </c>
      <c r="J1761" s="113">
        <v>65.72</v>
      </c>
      <c r="K1761" s="113">
        <v>-32.9</v>
      </c>
    </row>
    <row r="1762" spans="2:11" x14ac:dyDescent="0.25">
      <c r="B1762" s="185"/>
      <c r="C1762" s="113">
        <v>243.90899999999999</v>
      </c>
      <c r="D1762" s="113">
        <v>9032</v>
      </c>
      <c r="E1762" s="113">
        <v>1759</v>
      </c>
      <c r="F1762" s="113">
        <v>200</v>
      </c>
      <c r="G1762" s="113">
        <v>199.8</v>
      </c>
      <c r="H1762" s="113">
        <v>188.9</v>
      </c>
      <c r="I1762" s="113">
        <v>13.5</v>
      </c>
      <c r="J1762" s="113">
        <v>67.069999999999993</v>
      </c>
      <c r="K1762" s="113">
        <v>-34</v>
      </c>
    </row>
    <row r="1763" spans="2:11" x14ac:dyDescent="0.25">
      <c r="B1763" s="185"/>
      <c r="C1763" s="113">
        <v>243.92699999999999</v>
      </c>
      <c r="D1763" s="113">
        <v>9033</v>
      </c>
      <c r="E1763" s="113">
        <v>1760</v>
      </c>
      <c r="F1763" s="113">
        <v>200</v>
      </c>
      <c r="G1763" s="113">
        <v>199.5</v>
      </c>
      <c r="H1763" s="113">
        <v>188.7</v>
      </c>
      <c r="I1763" s="113">
        <v>14.3</v>
      </c>
      <c r="J1763" s="113">
        <v>68.84</v>
      </c>
      <c r="K1763" s="113">
        <v>-35.700000000000003</v>
      </c>
    </row>
    <row r="1764" spans="2:11" x14ac:dyDescent="0.25">
      <c r="B1764" s="185"/>
      <c r="C1764" s="113">
        <v>243.94499999999999</v>
      </c>
      <c r="D1764" s="113">
        <v>9034</v>
      </c>
      <c r="E1764" s="113">
        <v>1761</v>
      </c>
      <c r="F1764" s="113">
        <v>200</v>
      </c>
      <c r="G1764" s="113">
        <v>199.1</v>
      </c>
      <c r="H1764" s="113">
        <v>188.4</v>
      </c>
      <c r="I1764" s="113">
        <v>15.2</v>
      </c>
      <c r="J1764" s="113">
        <v>69.959999999999994</v>
      </c>
      <c r="K1764" s="113">
        <v>-35.1</v>
      </c>
    </row>
    <row r="1765" spans="2:11" x14ac:dyDescent="0.25">
      <c r="B1765" s="185"/>
      <c r="C1765" s="113">
        <v>243.96299999999999</v>
      </c>
      <c r="D1765" s="113">
        <v>9035</v>
      </c>
      <c r="E1765" s="113">
        <v>1762</v>
      </c>
      <c r="F1765" s="113">
        <v>200</v>
      </c>
      <c r="G1765" s="113">
        <v>198.6</v>
      </c>
      <c r="H1765" s="113">
        <v>188</v>
      </c>
      <c r="I1765" s="113">
        <v>15.2</v>
      </c>
      <c r="J1765" s="113">
        <v>70.260000000000005</v>
      </c>
      <c r="K1765" s="113">
        <v>-34.6</v>
      </c>
    </row>
    <row r="1766" spans="2:11" x14ac:dyDescent="0.25">
      <c r="B1766" s="185"/>
      <c r="C1766" s="113">
        <v>243.98099999999999</v>
      </c>
      <c r="D1766" s="113">
        <v>9036</v>
      </c>
      <c r="E1766" s="113">
        <v>1763</v>
      </c>
      <c r="F1766" s="113">
        <v>199</v>
      </c>
      <c r="G1766" s="113">
        <v>198.2</v>
      </c>
      <c r="H1766" s="113">
        <v>187.7</v>
      </c>
      <c r="I1766" s="113">
        <v>15.2</v>
      </c>
      <c r="J1766" s="113">
        <v>69.67</v>
      </c>
      <c r="K1766" s="113">
        <v>-34</v>
      </c>
    </row>
    <row r="1767" spans="2:11" x14ac:dyDescent="0.25">
      <c r="B1767" s="185"/>
      <c r="C1767" s="113">
        <v>243.999</v>
      </c>
      <c r="D1767" s="113">
        <v>9037</v>
      </c>
      <c r="E1767" s="113">
        <v>1764</v>
      </c>
      <c r="F1767" s="113">
        <v>199</v>
      </c>
      <c r="G1767" s="113">
        <v>198</v>
      </c>
      <c r="H1767" s="113">
        <v>187.5</v>
      </c>
      <c r="I1767" s="113">
        <v>15.2</v>
      </c>
      <c r="J1767" s="113">
        <v>67.91</v>
      </c>
      <c r="K1767" s="113">
        <v>-33.799999999999997</v>
      </c>
    </row>
    <row r="1768" spans="2:11" x14ac:dyDescent="0.25">
      <c r="B1768" s="185"/>
      <c r="C1768" s="113">
        <v>244.017</v>
      </c>
      <c r="D1768" s="113">
        <v>9038</v>
      </c>
      <c r="E1768" s="113">
        <v>1765</v>
      </c>
      <c r="F1768" s="113">
        <v>199</v>
      </c>
      <c r="G1768" s="113">
        <v>197.9</v>
      </c>
      <c r="H1768" s="113">
        <v>187.2</v>
      </c>
      <c r="I1768" s="113">
        <v>14.5</v>
      </c>
      <c r="J1768" s="113">
        <v>65.66</v>
      </c>
      <c r="K1768" s="113">
        <v>-35.5</v>
      </c>
    </row>
    <row r="1769" spans="2:11" x14ac:dyDescent="0.25">
      <c r="B1769" s="185"/>
      <c r="C1769" s="113">
        <v>244.035</v>
      </c>
      <c r="D1769" s="113">
        <v>9039</v>
      </c>
      <c r="E1769" s="113">
        <v>1766</v>
      </c>
      <c r="F1769" s="113">
        <v>198</v>
      </c>
      <c r="G1769" s="113">
        <v>198</v>
      </c>
      <c r="H1769" s="113">
        <v>186.8</v>
      </c>
      <c r="I1769" s="113">
        <v>12.8</v>
      </c>
      <c r="J1769" s="113">
        <v>62.72</v>
      </c>
      <c r="K1769" s="113">
        <v>-38.299999999999997</v>
      </c>
    </row>
    <row r="1770" spans="2:11" x14ac:dyDescent="0.25">
      <c r="B1770" s="185"/>
      <c r="C1770" s="113">
        <v>244.053</v>
      </c>
      <c r="D1770" s="113">
        <v>9040</v>
      </c>
      <c r="E1770" s="113">
        <v>1767</v>
      </c>
      <c r="F1770" s="113">
        <v>198</v>
      </c>
      <c r="G1770" s="113">
        <v>198.1</v>
      </c>
      <c r="H1770" s="113">
        <v>186.4</v>
      </c>
      <c r="I1770" s="113">
        <v>10.5</v>
      </c>
      <c r="J1770" s="113">
        <v>61.29</v>
      </c>
      <c r="K1770" s="113">
        <v>-41.1</v>
      </c>
    </row>
    <row r="1771" spans="2:11" x14ac:dyDescent="0.25">
      <c r="B1771" s="185"/>
      <c r="C1771" s="113">
        <v>244.071</v>
      </c>
      <c r="D1771" s="113">
        <v>9041</v>
      </c>
      <c r="E1771" s="113">
        <v>1768</v>
      </c>
      <c r="F1771" s="113">
        <v>198</v>
      </c>
      <c r="G1771" s="113">
        <v>198.1</v>
      </c>
      <c r="H1771" s="113">
        <v>186</v>
      </c>
      <c r="I1771" s="113">
        <v>9.3000000000000007</v>
      </c>
      <c r="J1771" s="113">
        <v>60.78</v>
      </c>
      <c r="K1771" s="113">
        <v>-43.9</v>
      </c>
    </row>
    <row r="1772" spans="2:11" x14ac:dyDescent="0.25">
      <c r="B1772" s="185"/>
      <c r="C1772" s="113">
        <v>244.089</v>
      </c>
      <c r="D1772" s="113">
        <v>9042</v>
      </c>
      <c r="E1772" s="113">
        <v>1769</v>
      </c>
      <c r="F1772" s="113">
        <v>198</v>
      </c>
      <c r="G1772" s="113">
        <v>198.1</v>
      </c>
      <c r="H1772" s="113">
        <v>185.8</v>
      </c>
      <c r="I1772" s="113">
        <v>8.9</v>
      </c>
      <c r="J1772" s="113">
        <v>63.12</v>
      </c>
      <c r="K1772" s="113">
        <v>-43.3</v>
      </c>
    </row>
    <row r="1773" spans="2:11" x14ac:dyDescent="0.25">
      <c r="B1773" s="185"/>
      <c r="C1773" s="113">
        <v>244.107</v>
      </c>
      <c r="D1773" s="113">
        <v>9043</v>
      </c>
      <c r="E1773" s="113">
        <v>1770</v>
      </c>
      <c r="F1773" s="113">
        <v>197</v>
      </c>
      <c r="G1773" s="113">
        <v>197.5</v>
      </c>
      <c r="H1773" s="113">
        <v>185.4</v>
      </c>
      <c r="I1773" s="113">
        <v>9.4</v>
      </c>
      <c r="J1773" s="113">
        <v>65.290000000000006</v>
      </c>
      <c r="K1773" s="113">
        <v>-36</v>
      </c>
    </row>
    <row r="1774" spans="2:11" x14ac:dyDescent="0.25">
      <c r="B1774" s="185"/>
      <c r="C1774" s="113">
        <v>244.126</v>
      </c>
      <c r="D1774" s="113">
        <v>9044</v>
      </c>
      <c r="E1774" s="113">
        <v>1771</v>
      </c>
      <c r="F1774" s="113">
        <v>197</v>
      </c>
      <c r="G1774" s="113">
        <v>197</v>
      </c>
      <c r="H1774" s="113">
        <v>185</v>
      </c>
      <c r="I1774" s="113">
        <v>11.9</v>
      </c>
      <c r="J1774" s="113">
        <v>68.41</v>
      </c>
      <c r="K1774" s="113">
        <v>-28.7</v>
      </c>
    </row>
    <row r="1775" spans="2:11" x14ac:dyDescent="0.25">
      <c r="B1775" s="185"/>
      <c r="C1775" s="113">
        <v>244.14400000000001</v>
      </c>
      <c r="D1775" s="113">
        <v>9045</v>
      </c>
      <c r="E1775" s="113">
        <v>1772</v>
      </c>
      <c r="F1775" s="113">
        <v>197</v>
      </c>
      <c r="G1775" s="113">
        <v>196.7</v>
      </c>
      <c r="H1775" s="113">
        <v>184.6</v>
      </c>
      <c r="I1775" s="113">
        <v>14.2</v>
      </c>
      <c r="J1775" s="113">
        <v>72.92</v>
      </c>
      <c r="K1775" s="113">
        <v>-21.3</v>
      </c>
    </row>
    <row r="1776" spans="2:11" x14ac:dyDescent="0.25">
      <c r="B1776" s="185"/>
      <c r="C1776" s="113">
        <v>244.16200000000001</v>
      </c>
      <c r="D1776" s="113">
        <v>9046</v>
      </c>
      <c r="E1776" s="113">
        <v>1773</v>
      </c>
      <c r="F1776" s="113">
        <v>197</v>
      </c>
      <c r="G1776" s="113">
        <v>196.5</v>
      </c>
      <c r="H1776" s="113">
        <v>184.2</v>
      </c>
      <c r="I1776" s="113">
        <v>15.2</v>
      </c>
      <c r="J1776" s="113">
        <v>73.540000000000006</v>
      </c>
      <c r="K1776" s="113">
        <v>-15.4</v>
      </c>
    </row>
    <row r="1777" spans="2:11" x14ac:dyDescent="0.25">
      <c r="B1777" s="185"/>
      <c r="C1777" s="113">
        <v>244.18100000000001</v>
      </c>
      <c r="D1777" s="113">
        <v>9047</v>
      </c>
      <c r="E1777" s="113">
        <v>1774</v>
      </c>
      <c r="F1777" s="113">
        <v>197</v>
      </c>
      <c r="G1777" s="113">
        <v>196.1</v>
      </c>
      <c r="H1777" s="113">
        <v>183.8</v>
      </c>
      <c r="I1777" s="113">
        <v>16.899999999999999</v>
      </c>
      <c r="J1777" s="113">
        <v>73.92</v>
      </c>
      <c r="K1777" s="113">
        <v>-15.4</v>
      </c>
    </row>
    <row r="1778" spans="2:11" x14ac:dyDescent="0.25">
      <c r="B1778" s="185"/>
      <c r="C1778" s="113">
        <v>244.19900000000001</v>
      </c>
      <c r="D1778" s="113">
        <v>9048</v>
      </c>
      <c r="E1778" s="113">
        <v>1775</v>
      </c>
      <c r="F1778" s="113">
        <v>197</v>
      </c>
      <c r="G1778" s="113">
        <v>195.8</v>
      </c>
      <c r="H1778" s="113">
        <v>183.6</v>
      </c>
      <c r="I1778" s="113">
        <v>17.5</v>
      </c>
      <c r="J1778" s="113">
        <v>75.400000000000006</v>
      </c>
      <c r="K1778" s="113">
        <v>-15.4</v>
      </c>
    </row>
    <row r="1779" spans="2:11" x14ac:dyDescent="0.25">
      <c r="B1779" s="185"/>
      <c r="C1779" s="113">
        <v>244.21799999999999</v>
      </c>
      <c r="D1779" s="113">
        <v>9050</v>
      </c>
      <c r="E1779" s="113">
        <v>1776</v>
      </c>
      <c r="F1779" s="113">
        <v>197</v>
      </c>
      <c r="G1779" s="113">
        <v>195.6</v>
      </c>
      <c r="H1779" s="113">
        <v>183.2</v>
      </c>
      <c r="I1779" s="113">
        <v>18.399999999999999</v>
      </c>
      <c r="J1779" s="113">
        <v>75.36</v>
      </c>
      <c r="K1779" s="113">
        <v>-15.4</v>
      </c>
    </row>
    <row r="1780" spans="2:11" x14ac:dyDescent="0.25">
      <c r="B1780" s="185"/>
      <c r="C1780" s="113">
        <v>244.23599999999999</v>
      </c>
      <c r="D1780" s="113">
        <v>9050</v>
      </c>
      <c r="E1780" s="113">
        <v>1777</v>
      </c>
      <c r="F1780" s="113">
        <v>197</v>
      </c>
      <c r="G1780" s="113">
        <v>195.2</v>
      </c>
      <c r="H1780" s="113">
        <v>182.8</v>
      </c>
      <c r="I1780" s="113">
        <v>19.8</v>
      </c>
      <c r="J1780" s="113">
        <v>74.87</v>
      </c>
      <c r="K1780" s="113">
        <v>-15.4</v>
      </c>
    </row>
    <row r="1781" spans="2:11" x14ac:dyDescent="0.25">
      <c r="B1781" s="185"/>
      <c r="C1781" s="113">
        <v>244.25399999999999</v>
      </c>
      <c r="D1781" s="113">
        <v>9051</v>
      </c>
      <c r="E1781" s="113">
        <v>1778</v>
      </c>
      <c r="F1781" s="113">
        <v>197</v>
      </c>
      <c r="G1781" s="113">
        <v>194.9</v>
      </c>
      <c r="H1781" s="113">
        <v>182.3</v>
      </c>
      <c r="I1781" s="113">
        <v>20.399999999999999</v>
      </c>
      <c r="J1781" s="113">
        <v>74.150000000000006</v>
      </c>
      <c r="K1781" s="113">
        <v>-21.8</v>
      </c>
    </row>
    <row r="1782" spans="2:11" x14ac:dyDescent="0.25">
      <c r="B1782" s="185"/>
      <c r="C1782" s="113">
        <v>244.273</v>
      </c>
      <c r="D1782" s="113">
        <v>9052</v>
      </c>
      <c r="E1782" s="113">
        <v>1779</v>
      </c>
      <c r="F1782" s="113">
        <v>198</v>
      </c>
      <c r="G1782" s="113">
        <v>194.5</v>
      </c>
      <c r="H1782" s="113">
        <v>181.8</v>
      </c>
      <c r="I1782" s="113">
        <v>20.6</v>
      </c>
      <c r="J1782" s="113">
        <v>73.040000000000006</v>
      </c>
      <c r="K1782" s="113">
        <v>-31.2</v>
      </c>
    </row>
    <row r="1783" spans="2:11" x14ac:dyDescent="0.25">
      <c r="B1783" s="185"/>
      <c r="C1783" s="113">
        <v>244.291</v>
      </c>
      <c r="D1783" s="113">
        <v>9053</v>
      </c>
      <c r="E1783" s="113">
        <v>1780</v>
      </c>
      <c r="F1783" s="113">
        <v>198</v>
      </c>
      <c r="G1783" s="113">
        <v>194.2</v>
      </c>
      <c r="H1783" s="113">
        <v>181.4</v>
      </c>
      <c r="I1783" s="113">
        <v>19.8</v>
      </c>
      <c r="J1783" s="113">
        <v>72.599999999999994</v>
      </c>
      <c r="K1783" s="113">
        <v>-40.5</v>
      </c>
    </row>
    <row r="1784" spans="2:11" x14ac:dyDescent="0.25">
      <c r="B1784" s="185"/>
      <c r="C1784" s="113">
        <v>244.309</v>
      </c>
      <c r="D1784" s="113">
        <v>9054</v>
      </c>
      <c r="E1784" s="113">
        <v>1781</v>
      </c>
      <c r="F1784" s="113">
        <v>198</v>
      </c>
      <c r="G1784" s="113">
        <v>194.1</v>
      </c>
      <c r="H1784" s="113">
        <v>181.2</v>
      </c>
      <c r="I1784" s="113">
        <v>19.399999999999999</v>
      </c>
      <c r="J1784" s="113">
        <v>71.58</v>
      </c>
      <c r="K1784" s="113">
        <v>-45.2</v>
      </c>
    </row>
    <row r="1785" spans="2:11" ht="15.75" thickBot="1" x14ac:dyDescent="0.3">
      <c r="B1785" s="186"/>
      <c r="C1785" s="113">
        <v>244.327</v>
      </c>
      <c r="D1785" s="113">
        <v>9055</v>
      </c>
      <c r="E1785" s="113">
        <v>1782</v>
      </c>
      <c r="F1785" s="113">
        <v>198</v>
      </c>
      <c r="G1785" s="113">
        <v>193.9</v>
      </c>
      <c r="H1785" s="113">
        <v>180.7</v>
      </c>
      <c r="I1785" s="113">
        <v>18.600000000000001</v>
      </c>
      <c r="J1785" s="113">
        <v>70.17</v>
      </c>
      <c r="K1785" s="113">
        <v>-53.2</v>
      </c>
    </row>
    <row r="1786" spans="2:11" x14ac:dyDescent="0.25">
      <c r="B1786" s="201" t="s">
        <v>196</v>
      </c>
      <c r="C1786" s="113">
        <v>244.346</v>
      </c>
      <c r="D1786" s="113">
        <v>9056</v>
      </c>
      <c r="E1786" s="113">
        <v>1783</v>
      </c>
      <c r="F1786" s="113">
        <v>198</v>
      </c>
      <c r="G1786" s="113">
        <v>193.3</v>
      </c>
      <c r="H1786" s="113">
        <v>180.3</v>
      </c>
      <c r="I1786" s="113">
        <v>17.899999999999999</v>
      </c>
      <c r="J1786" s="113">
        <v>69.849999999999994</v>
      </c>
      <c r="K1786" s="113">
        <v>-55.3</v>
      </c>
    </row>
    <row r="1787" spans="2:11" x14ac:dyDescent="0.25">
      <c r="B1787" s="202"/>
      <c r="C1787" s="113">
        <v>244.36500000000001</v>
      </c>
      <c r="D1787" s="113">
        <v>9057</v>
      </c>
      <c r="E1787" s="113">
        <v>1784</v>
      </c>
      <c r="F1787" s="113">
        <v>198</v>
      </c>
      <c r="G1787" s="113">
        <v>192.8</v>
      </c>
      <c r="H1787" s="113">
        <v>179.9</v>
      </c>
      <c r="I1787" s="113">
        <v>17.399999999999999</v>
      </c>
      <c r="J1787" s="113">
        <v>69.099999999999994</v>
      </c>
      <c r="K1787" s="113">
        <v>-57.5</v>
      </c>
    </row>
    <row r="1788" spans="2:11" x14ac:dyDescent="0.25">
      <c r="B1788" s="202"/>
      <c r="C1788" s="113">
        <v>244.38300000000001</v>
      </c>
      <c r="D1788" s="113">
        <v>9058</v>
      </c>
      <c r="E1788" s="113">
        <v>1785</v>
      </c>
      <c r="F1788" s="113">
        <v>198</v>
      </c>
      <c r="G1788" s="113">
        <v>192.5</v>
      </c>
      <c r="H1788" s="113">
        <v>179.5</v>
      </c>
      <c r="I1788" s="113">
        <v>17.100000000000001</v>
      </c>
      <c r="J1788" s="113">
        <v>63.36</v>
      </c>
      <c r="K1788" s="113">
        <v>-59.6</v>
      </c>
    </row>
    <row r="1789" spans="2:11" x14ac:dyDescent="0.25">
      <c r="B1789" s="202"/>
      <c r="C1789" s="113">
        <v>244.40199999999999</v>
      </c>
      <c r="D1789" s="113">
        <v>9059</v>
      </c>
      <c r="E1789" s="113">
        <v>1786</v>
      </c>
      <c r="F1789" s="113">
        <v>198</v>
      </c>
      <c r="G1789" s="113">
        <v>192.2</v>
      </c>
      <c r="H1789" s="113">
        <v>179.1</v>
      </c>
      <c r="I1789" s="113">
        <v>15.6</v>
      </c>
      <c r="J1789" s="113">
        <v>61.94</v>
      </c>
      <c r="K1789" s="113">
        <v>-61.3</v>
      </c>
    </row>
    <row r="1790" spans="2:11" x14ac:dyDescent="0.25">
      <c r="B1790" s="202"/>
      <c r="C1790" s="113">
        <v>244.42099999999999</v>
      </c>
      <c r="D1790" s="113">
        <v>9060</v>
      </c>
      <c r="E1790" s="113">
        <v>1787</v>
      </c>
      <c r="F1790" s="113">
        <v>200</v>
      </c>
      <c r="G1790" s="113">
        <v>192.2</v>
      </c>
      <c r="H1790" s="113">
        <v>178.7</v>
      </c>
      <c r="I1790" s="113">
        <v>13.3</v>
      </c>
      <c r="J1790" s="113">
        <v>59.21</v>
      </c>
      <c r="K1790" s="113">
        <v>-61.3</v>
      </c>
    </row>
    <row r="1791" spans="2:11" x14ac:dyDescent="0.25">
      <c r="B1791" s="202"/>
      <c r="C1791" s="113">
        <v>244.43899999999999</v>
      </c>
      <c r="D1791" s="113">
        <v>9061</v>
      </c>
      <c r="E1791" s="113">
        <v>1788</v>
      </c>
      <c r="F1791" s="113">
        <v>200</v>
      </c>
      <c r="G1791" s="113">
        <v>192.2</v>
      </c>
      <c r="H1791" s="113">
        <v>178.6</v>
      </c>
      <c r="I1791" s="113">
        <v>12</v>
      </c>
      <c r="J1791" s="113">
        <v>57.94</v>
      </c>
      <c r="K1791" s="113">
        <v>-61.3</v>
      </c>
    </row>
    <row r="1792" spans="2:11" x14ac:dyDescent="0.25">
      <c r="B1792" s="202"/>
      <c r="C1792" s="113">
        <v>244.458</v>
      </c>
      <c r="D1792" s="113">
        <v>9062</v>
      </c>
      <c r="E1792" s="113">
        <v>1789</v>
      </c>
      <c r="F1792" s="113">
        <v>201</v>
      </c>
      <c r="G1792" s="113">
        <v>192.2</v>
      </c>
      <c r="H1792" s="113">
        <v>178.3</v>
      </c>
      <c r="I1792" s="113">
        <v>11.3</v>
      </c>
      <c r="J1792" s="113">
        <v>54.58</v>
      </c>
      <c r="K1792" s="113">
        <v>-61.3</v>
      </c>
    </row>
    <row r="1793" spans="2:11" x14ac:dyDescent="0.25">
      <c r="B1793" s="202"/>
      <c r="C1793" s="113">
        <v>244.477</v>
      </c>
      <c r="D1793" s="113">
        <v>9063</v>
      </c>
      <c r="E1793" s="113">
        <v>1790</v>
      </c>
      <c r="F1793" s="113">
        <v>201</v>
      </c>
      <c r="G1793" s="113">
        <v>192.1</v>
      </c>
      <c r="H1793" s="113">
        <v>178</v>
      </c>
      <c r="I1793" s="113">
        <v>11.3</v>
      </c>
      <c r="J1793" s="113">
        <v>53.8</v>
      </c>
      <c r="K1793" s="113">
        <v>-61.3</v>
      </c>
    </row>
    <row r="1794" spans="2:11" x14ac:dyDescent="0.25">
      <c r="B1794" s="202"/>
      <c r="C1794" s="113">
        <v>244.49600000000001</v>
      </c>
      <c r="D1794" s="113">
        <v>9064</v>
      </c>
      <c r="E1794" s="113">
        <v>1791</v>
      </c>
      <c r="F1794" s="113">
        <v>201</v>
      </c>
      <c r="G1794" s="113">
        <v>192</v>
      </c>
      <c r="H1794" s="113">
        <v>177.7</v>
      </c>
      <c r="I1794" s="113">
        <v>11.9</v>
      </c>
      <c r="J1794" s="113">
        <v>54.14</v>
      </c>
      <c r="K1794" s="113">
        <v>-60.6</v>
      </c>
    </row>
    <row r="1795" spans="2:11" x14ac:dyDescent="0.25">
      <c r="B1795" s="202"/>
      <c r="C1795" s="113">
        <v>244.51400000000001</v>
      </c>
      <c r="D1795" s="113">
        <v>9065</v>
      </c>
      <c r="E1795" s="113">
        <v>1792</v>
      </c>
      <c r="F1795" s="113">
        <v>201</v>
      </c>
      <c r="G1795" s="113">
        <v>191.8</v>
      </c>
      <c r="H1795" s="113">
        <v>177.4</v>
      </c>
      <c r="I1795" s="113">
        <v>12.3</v>
      </c>
      <c r="J1795" s="113">
        <v>53.66</v>
      </c>
      <c r="K1795" s="113">
        <v>-59.6</v>
      </c>
    </row>
    <row r="1796" spans="2:11" x14ac:dyDescent="0.25">
      <c r="B1796" s="202"/>
      <c r="C1796" s="113">
        <v>244.53200000000001</v>
      </c>
      <c r="D1796" s="113">
        <v>9066</v>
      </c>
      <c r="E1796" s="113">
        <v>1793</v>
      </c>
      <c r="F1796" s="113">
        <v>201</v>
      </c>
      <c r="G1796" s="113">
        <v>191.3</v>
      </c>
      <c r="H1796" s="113">
        <v>177.1</v>
      </c>
      <c r="I1796" s="113">
        <v>13.6</v>
      </c>
      <c r="J1796" s="113">
        <v>50.63</v>
      </c>
      <c r="K1796" s="113">
        <v>-58.5</v>
      </c>
    </row>
    <row r="1797" spans="2:11" x14ac:dyDescent="0.25">
      <c r="B1797" s="202"/>
      <c r="C1797" s="113">
        <v>244.55099999999999</v>
      </c>
      <c r="D1797" s="113">
        <v>9067</v>
      </c>
      <c r="E1797" s="113">
        <v>1794</v>
      </c>
      <c r="F1797" s="113">
        <v>200</v>
      </c>
      <c r="G1797" s="113">
        <v>190.8</v>
      </c>
      <c r="H1797" s="113">
        <v>176.9</v>
      </c>
      <c r="I1797" s="113">
        <v>14.3</v>
      </c>
      <c r="J1797" s="113">
        <v>50.59</v>
      </c>
      <c r="K1797" s="113">
        <v>-57.5</v>
      </c>
    </row>
    <row r="1798" spans="2:11" x14ac:dyDescent="0.25">
      <c r="B1798" s="202"/>
      <c r="C1798" s="113">
        <v>244.57</v>
      </c>
      <c r="D1798" s="113">
        <v>9068</v>
      </c>
      <c r="E1798" s="113">
        <v>1795</v>
      </c>
      <c r="F1798" s="113">
        <v>200</v>
      </c>
      <c r="G1798" s="113">
        <v>190.8</v>
      </c>
      <c r="H1798" s="113">
        <v>176.7</v>
      </c>
      <c r="I1798" s="113">
        <v>14.5</v>
      </c>
      <c r="J1798" s="113">
        <v>47.08</v>
      </c>
      <c r="K1798" s="113">
        <v>-57.2</v>
      </c>
    </row>
    <row r="1799" spans="2:11" x14ac:dyDescent="0.25">
      <c r="B1799" s="202"/>
      <c r="C1799" s="113">
        <v>244.589</v>
      </c>
      <c r="D1799" s="113">
        <v>9069</v>
      </c>
      <c r="E1799" s="113">
        <v>1796</v>
      </c>
      <c r="F1799" s="113">
        <v>200</v>
      </c>
      <c r="G1799" s="113">
        <v>190.8</v>
      </c>
      <c r="H1799" s="113">
        <v>176.6</v>
      </c>
      <c r="I1799" s="113">
        <v>14.2</v>
      </c>
      <c r="J1799" s="113">
        <v>45.19</v>
      </c>
      <c r="K1799" s="113">
        <v>-57.2</v>
      </c>
    </row>
    <row r="1800" spans="2:11" x14ac:dyDescent="0.25">
      <c r="B1800" s="202"/>
      <c r="C1800" s="113">
        <v>244.608</v>
      </c>
      <c r="D1800" s="113">
        <v>9070</v>
      </c>
      <c r="E1800" s="113">
        <v>1797</v>
      </c>
      <c r="F1800" s="113">
        <v>200</v>
      </c>
      <c r="G1800" s="113">
        <v>190.9</v>
      </c>
      <c r="H1800" s="113">
        <v>176.3</v>
      </c>
      <c r="I1800" s="113">
        <v>13.1</v>
      </c>
      <c r="J1800" s="113">
        <v>43.01</v>
      </c>
      <c r="K1800" s="113">
        <v>-57.2</v>
      </c>
    </row>
    <row r="1801" spans="2:11" x14ac:dyDescent="0.25">
      <c r="B1801" s="202"/>
      <c r="C1801" s="113">
        <v>244.62700000000001</v>
      </c>
      <c r="D1801" s="113">
        <v>9071</v>
      </c>
      <c r="E1801" s="113">
        <v>1798</v>
      </c>
      <c r="F1801" s="113">
        <v>201</v>
      </c>
      <c r="G1801" s="113">
        <v>191.1</v>
      </c>
      <c r="H1801" s="113">
        <v>176.1</v>
      </c>
      <c r="I1801" s="113">
        <v>11.1</v>
      </c>
      <c r="J1801" s="113">
        <v>47.97</v>
      </c>
      <c r="K1801" s="113">
        <v>-57.2</v>
      </c>
    </row>
    <row r="1802" spans="2:11" x14ac:dyDescent="0.25">
      <c r="B1802" s="202"/>
      <c r="C1802" s="113">
        <v>244.64599999999999</v>
      </c>
      <c r="D1802" s="113">
        <v>9072</v>
      </c>
      <c r="E1802" s="113">
        <v>1799</v>
      </c>
      <c r="F1802" s="113">
        <v>201</v>
      </c>
      <c r="G1802" s="113">
        <v>191.1</v>
      </c>
      <c r="H1802" s="113">
        <v>175.9</v>
      </c>
      <c r="I1802" s="113">
        <v>10.8</v>
      </c>
      <c r="J1802" s="113">
        <v>45.54</v>
      </c>
      <c r="K1802" s="113">
        <v>-57.1</v>
      </c>
    </row>
    <row r="1803" spans="2:11" x14ac:dyDescent="0.25">
      <c r="B1803" s="202"/>
      <c r="C1803" s="113">
        <v>244.66399999999999</v>
      </c>
      <c r="D1803" s="113">
        <v>9073</v>
      </c>
      <c r="E1803" s="113">
        <v>1800</v>
      </c>
      <c r="F1803" s="113">
        <v>200</v>
      </c>
      <c r="G1803" s="113">
        <v>190.9</v>
      </c>
      <c r="H1803" s="113">
        <v>175.8</v>
      </c>
      <c r="I1803" s="113">
        <v>11.3</v>
      </c>
      <c r="J1803" s="113">
        <v>45.35</v>
      </c>
      <c r="K1803" s="113">
        <v>-56.7</v>
      </c>
    </row>
    <row r="1804" spans="2:11" x14ac:dyDescent="0.25">
      <c r="B1804" s="202"/>
      <c r="C1804" s="113">
        <v>244.68299999999999</v>
      </c>
      <c r="D1804" s="113">
        <v>9074</v>
      </c>
      <c r="E1804" s="113">
        <v>1801</v>
      </c>
      <c r="F1804" s="113">
        <v>199</v>
      </c>
      <c r="G1804" s="113">
        <v>190.7</v>
      </c>
      <c r="H1804" s="113">
        <v>175.6</v>
      </c>
      <c r="I1804" s="113">
        <v>11.9</v>
      </c>
      <c r="J1804" s="113">
        <v>50.94</v>
      </c>
      <c r="K1804" s="113">
        <v>-56.4</v>
      </c>
    </row>
    <row r="1805" spans="2:11" x14ac:dyDescent="0.25">
      <c r="B1805" s="202"/>
      <c r="C1805" s="113">
        <v>244.702</v>
      </c>
      <c r="D1805" s="113">
        <v>9075</v>
      </c>
      <c r="E1805" s="113">
        <v>1802</v>
      </c>
      <c r="F1805" s="113">
        <v>200</v>
      </c>
      <c r="G1805" s="113">
        <v>190.7</v>
      </c>
      <c r="H1805" s="113">
        <v>175.4</v>
      </c>
      <c r="I1805" s="113">
        <v>11.9</v>
      </c>
      <c r="J1805" s="113">
        <v>50.3</v>
      </c>
      <c r="K1805" s="113">
        <v>-56</v>
      </c>
    </row>
    <row r="1806" spans="2:11" x14ac:dyDescent="0.25">
      <c r="B1806" s="202"/>
      <c r="C1806" s="113">
        <v>244.721</v>
      </c>
      <c r="D1806" s="113">
        <v>9076</v>
      </c>
      <c r="E1806" s="113">
        <v>1803</v>
      </c>
      <c r="F1806" s="113">
        <v>200</v>
      </c>
      <c r="G1806" s="113">
        <v>190.8</v>
      </c>
      <c r="H1806" s="113">
        <v>175.3</v>
      </c>
      <c r="I1806" s="113">
        <v>11.9</v>
      </c>
      <c r="J1806" s="113">
        <v>48.32</v>
      </c>
      <c r="K1806" s="113">
        <v>-55.6</v>
      </c>
    </row>
    <row r="1807" spans="2:11" x14ac:dyDescent="0.25">
      <c r="B1807" s="202"/>
      <c r="C1807" s="113">
        <v>244.739</v>
      </c>
      <c r="D1807" s="113">
        <v>9077</v>
      </c>
      <c r="E1807" s="113">
        <v>1804</v>
      </c>
      <c r="F1807" s="113">
        <v>200</v>
      </c>
      <c r="G1807" s="113">
        <v>190.9</v>
      </c>
      <c r="H1807" s="113">
        <v>175.2</v>
      </c>
      <c r="I1807" s="113">
        <v>11.9</v>
      </c>
      <c r="J1807" s="113">
        <v>47.66</v>
      </c>
      <c r="K1807" s="113">
        <v>-55.4</v>
      </c>
    </row>
    <row r="1808" spans="2:11" x14ac:dyDescent="0.25">
      <c r="B1808" s="202"/>
      <c r="C1808" s="113">
        <v>244.75800000000001</v>
      </c>
      <c r="D1808" s="113">
        <v>9078</v>
      </c>
      <c r="E1808" s="113">
        <v>1805</v>
      </c>
      <c r="F1808" s="113">
        <v>199</v>
      </c>
      <c r="G1808" s="113">
        <v>191.2</v>
      </c>
      <c r="H1808" s="113">
        <v>175.1</v>
      </c>
      <c r="I1808" s="113">
        <v>11.9</v>
      </c>
      <c r="J1808" s="113">
        <v>47.27</v>
      </c>
      <c r="K1808" s="113">
        <v>-54.9</v>
      </c>
    </row>
    <row r="1809" spans="2:11" x14ac:dyDescent="0.25">
      <c r="B1809" s="202"/>
      <c r="C1809" s="113">
        <v>244.77699999999999</v>
      </c>
      <c r="D1809" s="113">
        <v>9079</v>
      </c>
      <c r="E1809" s="113">
        <v>1806</v>
      </c>
      <c r="F1809" s="113">
        <v>199</v>
      </c>
      <c r="G1809" s="113">
        <v>191.1</v>
      </c>
      <c r="H1809" s="113">
        <v>175</v>
      </c>
      <c r="I1809" s="113">
        <v>11.6</v>
      </c>
      <c r="J1809" s="113">
        <v>49.85</v>
      </c>
      <c r="K1809" s="113">
        <v>-54.5</v>
      </c>
    </row>
    <row r="1810" spans="2:11" x14ac:dyDescent="0.25">
      <c r="B1810" s="202"/>
      <c r="C1810" s="113">
        <v>244.79599999999999</v>
      </c>
      <c r="D1810" s="113">
        <v>9080</v>
      </c>
      <c r="E1810" s="113">
        <v>1807</v>
      </c>
      <c r="F1810" s="113">
        <v>200</v>
      </c>
      <c r="G1810" s="113">
        <v>191</v>
      </c>
      <c r="H1810" s="113">
        <v>174.9</v>
      </c>
      <c r="I1810" s="113">
        <v>11.7</v>
      </c>
      <c r="J1810" s="113">
        <v>52.5</v>
      </c>
      <c r="K1810" s="113">
        <v>-54.1</v>
      </c>
    </row>
    <row r="1811" spans="2:11" x14ac:dyDescent="0.25">
      <c r="B1811" s="202"/>
      <c r="C1811" s="113">
        <v>244.815</v>
      </c>
      <c r="D1811" s="113">
        <v>9082</v>
      </c>
      <c r="E1811" s="113">
        <v>1808</v>
      </c>
      <c r="F1811" s="113">
        <v>199</v>
      </c>
      <c r="G1811" s="113">
        <v>190.8</v>
      </c>
      <c r="H1811" s="113">
        <v>174.8</v>
      </c>
      <c r="I1811" s="113">
        <v>14.1</v>
      </c>
      <c r="J1811" s="113">
        <v>52.74</v>
      </c>
      <c r="K1811" s="113">
        <v>-53.9</v>
      </c>
    </row>
    <row r="1812" spans="2:11" x14ac:dyDescent="0.25">
      <c r="B1812" s="202"/>
      <c r="C1812" s="113">
        <v>244.834</v>
      </c>
      <c r="D1812" s="113">
        <v>9082</v>
      </c>
      <c r="E1812" s="113">
        <v>1809</v>
      </c>
      <c r="F1812" s="113">
        <v>198</v>
      </c>
      <c r="G1812" s="113">
        <v>190.7</v>
      </c>
      <c r="H1812" s="113">
        <v>174.7</v>
      </c>
      <c r="I1812" s="113">
        <v>16</v>
      </c>
      <c r="J1812" s="113">
        <v>51.92</v>
      </c>
      <c r="K1812" s="113">
        <v>-53.9</v>
      </c>
    </row>
    <row r="1813" spans="2:11" x14ac:dyDescent="0.25">
      <c r="B1813" s="202"/>
      <c r="C1813" s="113">
        <v>244.852</v>
      </c>
      <c r="D1813" s="113">
        <v>9083</v>
      </c>
      <c r="E1813" s="113">
        <v>1810</v>
      </c>
      <c r="F1813" s="113">
        <v>199</v>
      </c>
      <c r="G1813" s="113">
        <v>190.7</v>
      </c>
      <c r="H1813" s="113">
        <v>174.6</v>
      </c>
      <c r="I1813" s="113">
        <v>16.399999999999999</v>
      </c>
      <c r="J1813" s="113">
        <v>51.26</v>
      </c>
      <c r="K1813" s="113">
        <v>-53.9</v>
      </c>
    </row>
    <row r="1814" spans="2:11" x14ac:dyDescent="0.25">
      <c r="B1814" s="202"/>
      <c r="C1814" s="113">
        <v>244.87100000000001</v>
      </c>
      <c r="D1814" s="113">
        <v>9084</v>
      </c>
      <c r="E1814" s="113">
        <v>1811</v>
      </c>
      <c r="F1814" s="113">
        <v>200</v>
      </c>
      <c r="G1814" s="113">
        <v>190.7</v>
      </c>
      <c r="H1814" s="113">
        <v>174.5</v>
      </c>
      <c r="I1814" s="113">
        <v>14.3</v>
      </c>
      <c r="J1814" s="113">
        <v>50.1</v>
      </c>
      <c r="K1814" s="113">
        <v>-53.9</v>
      </c>
    </row>
    <row r="1815" spans="2:11" x14ac:dyDescent="0.25">
      <c r="B1815" s="202"/>
      <c r="C1815" s="113">
        <v>244.89</v>
      </c>
      <c r="D1815" s="113">
        <v>9085</v>
      </c>
      <c r="E1815" s="113">
        <v>1812</v>
      </c>
      <c r="F1815" s="113">
        <v>200</v>
      </c>
      <c r="G1815" s="113">
        <v>190.8</v>
      </c>
      <c r="H1815" s="113">
        <v>174.4</v>
      </c>
      <c r="I1815" s="113">
        <v>12</v>
      </c>
      <c r="J1815" s="113">
        <v>45.61</v>
      </c>
      <c r="K1815" s="113">
        <v>-53.3</v>
      </c>
    </row>
    <row r="1816" spans="2:11" x14ac:dyDescent="0.25">
      <c r="B1816" s="202"/>
      <c r="C1816" s="113">
        <v>244.90899999999999</v>
      </c>
      <c r="D1816" s="113">
        <v>9086</v>
      </c>
      <c r="E1816" s="113">
        <v>1813</v>
      </c>
      <c r="F1816" s="113">
        <v>201</v>
      </c>
      <c r="G1816" s="113">
        <v>190.9</v>
      </c>
      <c r="H1816" s="113">
        <v>174.4</v>
      </c>
      <c r="I1816" s="113">
        <v>10.8</v>
      </c>
      <c r="J1816" s="113">
        <v>46.66</v>
      </c>
      <c r="K1816" s="113">
        <v>-52.7</v>
      </c>
    </row>
    <row r="1817" spans="2:11" x14ac:dyDescent="0.25">
      <c r="B1817" s="202"/>
      <c r="C1817" s="113">
        <v>244.928</v>
      </c>
      <c r="D1817" s="113">
        <v>9087</v>
      </c>
      <c r="E1817" s="113">
        <v>1814</v>
      </c>
      <c r="F1817" s="113">
        <v>201</v>
      </c>
      <c r="G1817" s="113">
        <v>190.9</v>
      </c>
      <c r="H1817" s="113">
        <v>174.3</v>
      </c>
      <c r="I1817" s="113">
        <v>10.1</v>
      </c>
      <c r="J1817" s="113">
        <v>50.8</v>
      </c>
      <c r="K1817" s="113">
        <v>-51.8</v>
      </c>
    </row>
    <row r="1818" spans="2:11" x14ac:dyDescent="0.25">
      <c r="B1818" s="202"/>
      <c r="C1818" s="113">
        <v>244.946</v>
      </c>
      <c r="D1818" s="113">
        <v>9088</v>
      </c>
      <c r="E1818" s="113">
        <v>1815</v>
      </c>
      <c r="F1818" s="113">
        <v>200</v>
      </c>
      <c r="G1818" s="113">
        <v>191</v>
      </c>
      <c r="H1818" s="113">
        <v>174.3</v>
      </c>
      <c r="I1818" s="113">
        <v>11.5</v>
      </c>
      <c r="J1818" s="113">
        <v>55.78</v>
      </c>
      <c r="K1818" s="113">
        <v>-50.9</v>
      </c>
    </row>
    <row r="1819" spans="2:11" x14ac:dyDescent="0.25">
      <c r="B1819" s="202"/>
      <c r="C1819" s="113">
        <v>244.965</v>
      </c>
      <c r="D1819" s="113">
        <v>9089</v>
      </c>
      <c r="E1819" s="113">
        <v>1816</v>
      </c>
      <c r="F1819" s="113">
        <v>199</v>
      </c>
      <c r="G1819" s="113">
        <v>191.1</v>
      </c>
      <c r="H1819" s="113">
        <v>174.2</v>
      </c>
      <c r="I1819" s="113">
        <v>15.5</v>
      </c>
      <c r="J1819" s="113">
        <v>57.26</v>
      </c>
      <c r="K1819" s="113">
        <v>-50.1</v>
      </c>
    </row>
    <row r="1820" spans="2:11" x14ac:dyDescent="0.25">
      <c r="B1820" s="202"/>
      <c r="C1820" s="113">
        <v>244.98400000000001</v>
      </c>
      <c r="D1820" s="113">
        <v>9090</v>
      </c>
      <c r="E1820" s="113">
        <v>1817</v>
      </c>
      <c r="F1820" s="113">
        <v>198</v>
      </c>
      <c r="G1820" s="113">
        <v>190.7</v>
      </c>
      <c r="H1820" s="113">
        <v>174.1</v>
      </c>
      <c r="I1820" s="113">
        <v>19.3</v>
      </c>
      <c r="J1820" s="113">
        <v>61.3</v>
      </c>
      <c r="K1820" s="113">
        <v>-50.1</v>
      </c>
    </row>
    <row r="1821" spans="2:11" x14ac:dyDescent="0.25">
      <c r="B1821" s="202"/>
      <c r="C1821" s="113">
        <v>245.00200000000001</v>
      </c>
      <c r="D1821" s="113">
        <v>9091</v>
      </c>
      <c r="E1821" s="113">
        <v>1818</v>
      </c>
      <c r="F1821" s="113">
        <v>197</v>
      </c>
      <c r="G1821" s="113">
        <v>190.4</v>
      </c>
      <c r="H1821" s="113">
        <v>174.1</v>
      </c>
      <c r="I1821" s="113">
        <v>21.9</v>
      </c>
      <c r="J1821" s="113">
        <v>65.349999999999994</v>
      </c>
      <c r="K1821" s="113">
        <v>-50.1</v>
      </c>
    </row>
    <row r="1822" spans="2:11" x14ac:dyDescent="0.25">
      <c r="B1822" s="202"/>
      <c r="C1822" s="113">
        <v>245.02199999999999</v>
      </c>
      <c r="D1822" s="113">
        <v>9092</v>
      </c>
      <c r="E1822" s="113">
        <v>1819</v>
      </c>
      <c r="F1822" s="113">
        <v>198</v>
      </c>
      <c r="G1822" s="113">
        <v>189.9</v>
      </c>
      <c r="H1822" s="113">
        <v>174</v>
      </c>
      <c r="I1822" s="113">
        <v>23.6</v>
      </c>
      <c r="J1822" s="113">
        <v>67.3</v>
      </c>
      <c r="K1822" s="113">
        <v>-50.1</v>
      </c>
    </row>
    <row r="1823" spans="2:11" x14ac:dyDescent="0.25">
      <c r="B1823" s="202"/>
      <c r="C1823" s="113">
        <v>245.041</v>
      </c>
      <c r="D1823" s="113">
        <v>9093</v>
      </c>
      <c r="E1823" s="113">
        <v>1820</v>
      </c>
      <c r="F1823" s="113">
        <v>198</v>
      </c>
      <c r="G1823" s="113">
        <v>189.6</v>
      </c>
      <c r="H1823" s="113">
        <v>174</v>
      </c>
      <c r="I1823" s="113">
        <v>25.6</v>
      </c>
      <c r="J1823" s="113">
        <v>62.18</v>
      </c>
      <c r="K1823" s="113">
        <v>-50.1</v>
      </c>
    </row>
    <row r="1824" spans="2:11" x14ac:dyDescent="0.25">
      <c r="B1824" s="202"/>
      <c r="C1824" s="113">
        <v>245.059</v>
      </c>
      <c r="D1824" s="113">
        <v>9094</v>
      </c>
      <c r="E1824" s="113">
        <v>1821</v>
      </c>
      <c r="F1824" s="113">
        <v>198</v>
      </c>
      <c r="G1824" s="113">
        <v>189.5</v>
      </c>
      <c r="H1824" s="113">
        <v>174</v>
      </c>
      <c r="I1824" s="113">
        <v>26.2</v>
      </c>
      <c r="J1824" s="113">
        <v>61.88</v>
      </c>
      <c r="K1824" s="113">
        <v>-50.3</v>
      </c>
    </row>
    <row r="1825" spans="2:11" x14ac:dyDescent="0.25">
      <c r="B1825" s="202"/>
      <c r="C1825" s="113">
        <v>245.078</v>
      </c>
      <c r="D1825" s="113">
        <v>9095</v>
      </c>
      <c r="E1825" s="113">
        <v>1822</v>
      </c>
      <c r="F1825" s="113">
        <v>197</v>
      </c>
      <c r="G1825" s="113">
        <v>189.4</v>
      </c>
      <c r="H1825" s="113">
        <v>174</v>
      </c>
      <c r="I1825" s="113">
        <v>26.7</v>
      </c>
      <c r="J1825" s="113">
        <v>68.81</v>
      </c>
      <c r="K1825" s="113">
        <v>-50.6</v>
      </c>
    </row>
    <row r="1826" spans="2:11" x14ac:dyDescent="0.25">
      <c r="B1826" s="202"/>
      <c r="C1826" s="113">
        <v>245.09700000000001</v>
      </c>
      <c r="D1826" s="113">
        <v>9096</v>
      </c>
      <c r="E1826" s="113">
        <v>1823</v>
      </c>
      <c r="F1826" s="113">
        <v>197</v>
      </c>
      <c r="G1826" s="113">
        <v>189.4</v>
      </c>
      <c r="H1826" s="113">
        <v>173.9</v>
      </c>
      <c r="I1826" s="113">
        <v>25.8</v>
      </c>
      <c r="J1826" s="113">
        <v>73.150000000000006</v>
      </c>
      <c r="K1826" s="113">
        <v>-50.9</v>
      </c>
    </row>
    <row r="1827" spans="2:11" x14ac:dyDescent="0.25">
      <c r="B1827" s="202"/>
      <c r="C1827" s="113">
        <v>245.11600000000001</v>
      </c>
      <c r="D1827" s="113">
        <v>9097</v>
      </c>
      <c r="E1827" s="113">
        <v>1824</v>
      </c>
      <c r="F1827" s="113">
        <v>196</v>
      </c>
      <c r="G1827" s="113">
        <v>189.5</v>
      </c>
      <c r="H1827" s="113">
        <v>173.9</v>
      </c>
      <c r="I1827" s="113">
        <v>25.8</v>
      </c>
      <c r="J1827" s="113">
        <v>68.77</v>
      </c>
      <c r="K1827" s="113">
        <v>-51.2</v>
      </c>
    </row>
    <row r="1828" spans="2:11" x14ac:dyDescent="0.25">
      <c r="B1828" s="202"/>
      <c r="C1828" s="113">
        <v>245.13499999999999</v>
      </c>
      <c r="D1828" s="113">
        <v>9098</v>
      </c>
      <c r="E1828" s="113">
        <v>1825</v>
      </c>
      <c r="F1828" s="113">
        <v>196</v>
      </c>
      <c r="G1828" s="113">
        <v>189.5</v>
      </c>
      <c r="H1828" s="113">
        <v>173.9</v>
      </c>
      <c r="I1828" s="113">
        <v>26.4</v>
      </c>
      <c r="J1828" s="113">
        <v>69.540000000000006</v>
      </c>
      <c r="K1828" s="113">
        <v>-46.7</v>
      </c>
    </row>
    <row r="1829" spans="2:11" x14ac:dyDescent="0.25">
      <c r="B1829" s="202"/>
      <c r="C1829" s="113">
        <v>245.154</v>
      </c>
      <c r="D1829" s="113">
        <v>9099</v>
      </c>
      <c r="E1829" s="113">
        <v>1826</v>
      </c>
      <c r="F1829" s="113">
        <v>196</v>
      </c>
      <c r="G1829" s="113">
        <v>189.4</v>
      </c>
      <c r="H1829" s="113">
        <v>173.9</v>
      </c>
      <c r="I1829" s="113">
        <v>26.2</v>
      </c>
      <c r="J1829" s="113">
        <v>70.67</v>
      </c>
      <c r="K1829" s="113">
        <v>-40</v>
      </c>
    </row>
    <row r="1830" spans="2:11" x14ac:dyDescent="0.25">
      <c r="B1830" s="202"/>
      <c r="C1830" s="113">
        <v>245.173</v>
      </c>
      <c r="D1830" s="113">
        <v>9100</v>
      </c>
      <c r="E1830" s="113">
        <v>1827</v>
      </c>
      <c r="F1830" s="113">
        <v>196</v>
      </c>
      <c r="G1830" s="113">
        <v>189.1</v>
      </c>
      <c r="H1830" s="113">
        <v>173.9</v>
      </c>
      <c r="I1830" s="113">
        <v>25.1</v>
      </c>
      <c r="J1830" s="113">
        <v>71.790000000000006</v>
      </c>
      <c r="K1830" s="113">
        <v>-33.299999999999997</v>
      </c>
    </row>
    <row r="1831" spans="2:11" x14ac:dyDescent="0.25">
      <c r="B1831" s="202"/>
      <c r="C1831" s="113">
        <v>245.19200000000001</v>
      </c>
      <c r="D1831" s="113">
        <v>9101</v>
      </c>
      <c r="E1831" s="113">
        <v>1828</v>
      </c>
      <c r="F1831" s="113">
        <v>197</v>
      </c>
      <c r="G1831" s="113">
        <v>188.5</v>
      </c>
      <c r="H1831" s="113">
        <v>173.9</v>
      </c>
      <c r="I1831" s="113">
        <v>24.9</v>
      </c>
      <c r="J1831" s="113">
        <v>70.84</v>
      </c>
      <c r="K1831" s="113">
        <v>-26.6</v>
      </c>
    </row>
    <row r="1832" spans="2:11" x14ac:dyDescent="0.25">
      <c r="B1832" s="202"/>
      <c r="C1832" s="113">
        <v>245.21100000000001</v>
      </c>
      <c r="D1832" s="113">
        <v>9102</v>
      </c>
      <c r="E1832" s="113">
        <v>1829</v>
      </c>
      <c r="F1832" s="113">
        <v>196</v>
      </c>
      <c r="G1832" s="113">
        <v>188.1</v>
      </c>
      <c r="H1832" s="113">
        <v>173.9</v>
      </c>
      <c r="I1832" s="113">
        <v>26.2</v>
      </c>
      <c r="J1832" s="113">
        <v>67.31</v>
      </c>
      <c r="K1832" s="113">
        <v>-31.2</v>
      </c>
    </row>
    <row r="1833" spans="2:11" x14ac:dyDescent="0.25">
      <c r="B1833" s="202"/>
      <c r="C1833" s="113">
        <v>245.23</v>
      </c>
      <c r="D1833" s="113">
        <v>9103</v>
      </c>
      <c r="E1833" s="113">
        <v>1830</v>
      </c>
      <c r="F1833" s="113">
        <v>195</v>
      </c>
      <c r="G1833" s="113">
        <v>187.7</v>
      </c>
      <c r="H1833" s="113">
        <v>173.9</v>
      </c>
      <c r="I1833" s="113">
        <v>26.7</v>
      </c>
      <c r="J1833" s="113">
        <v>61.06</v>
      </c>
      <c r="K1833" s="113">
        <v>-40.9</v>
      </c>
    </row>
    <row r="1834" spans="2:11" x14ac:dyDescent="0.25">
      <c r="B1834" s="202"/>
      <c r="C1834" s="113">
        <v>245.249</v>
      </c>
      <c r="D1834" s="113">
        <v>9104</v>
      </c>
      <c r="E1834" s="113">
        <v>1831</v>
      </c>
      <c r="F1834" s="113">
        <v>196</v>
      </c>
      <c r="G1834" s="113">
        <v>187.5</v>
      </c>
      <c r="H1834" s="113">
        <v>173.9</v>
      </c>
      <c r="I1834" s="113">
        <v>26.1</v>
      </c>
      <c r="J1834" s="113">
        <v>57.1</v>
      </c>
      <c r="K1834" s="113">
        <v>-45.8</v>
      </c>
    </row>
    <row r="1835" spans="2:11" x14ac:dyDescent="0.25">
      <c r="B1835" s="202"/>
      <c r="C1835" s="113">
        <v>245.268</v>
      </c>
      <c r="D1835" s="113">
        <v>9105</v>
      </c>
      <c r="E1835" s="113">
        <v>1832</v>
      </c>
      <c r="F1835" s="113">
        <v>198</v>
      </c>
      <c r="G1835" s="113">
        <v>187.1</v>
      </c>
      <c r="H1835" s="113">
        <v>174</v>
      </c>
      <c r="I1835" s="113">
        <v>21.4</v>
      </c>
      <c r="J1835" s="113">
        <v>55.25</v>
      </c>
      <c r="K1835" s="113">
        <v>-55.5</v>
      </c>
    </row>
    <row r="1836" spans="2:11" x14ac:dyDescent="0.25">
      <c r="B1836" s="202"/>
      <c r="C1836" s="113">
        <v>245.28700000000001</v>
      </c>
      <c r="D1836" s="113">
        <v>9106</v>
      </c>
      <c r="E1836" s="113">
        <v>1833</v>
      </c>
      <c r="F1836" s="113">
        <v>200</v>
      </c>
      <c r="G1836" s="113">
        <v>186.8</v>
      </c>
      <c r="H1836" s="113">
        <v>174</v>
      </c>
      <c r="I1836" s="113">
        <v>15.2</v>
      </c>
      <c r="J1836" s="113">
        <v>50.24</v>
      </c>
      <c r="K1836" s="113">
        <v>-63.5</v>
      </c>
    </row>
    <row r="1837" spans="2:11" x14ac:dyDescent="0.25">
      <c r="B1837" s="202"/>
      <c r="C1837" s="113">
        <v>245.30699999999999</v>
      </c>
      <c r="D1837" s="113">
        <v>9107</v>
      </c>
      <c r="E1837" s="113">
        <v>1834</v>
      </c>
      <c r="F1837" s="113">
        <v>200</v>
      </c>
      <c r="G1837" s="113">
        <v>186.8</v>
      </c>
      <c r="H1837" s="113">
        <v>174.1</v>
      </c>
      <c r="I1837" s="113">
        <v>11.6</v>
      </c>
      <c r="J1837" s="113">
        <v>39.31</v>
      </c>
      <c r="K1837" s="113">
        <v>-64</v>
      </c>
    </row>
    <row r="1838" spans="2:11" x14ac:dyDescent="0.25">
      <c r="B1838" s="202"/>
      <c r="C1838" s="113">
        <v>245.32599999999999</v>
      </c>
      <c r="D1838" s="113">
        <v>9108</v>
      </c>
      <c r="E1838" s="113">
        <v>1835</v>
      </c>
      <c r="F1838" s="113">
        <v>200</v>
      </c>
      <c r="G1838" s="113">
        <v>186.9</v>
      </c>
      <c r="H1838" s="113">
        <v>174.1</v>
      </c>
      <c r="I1838" s="113">
        <v>8.9</v>
      </c>
      <c r="J1838" s="113">
        <v>31.21</v>
      </c>
      <c r="K1838" s="113">
        <v>-64.5</v>
      </c>
    </row>
    <row r="1839" spans="2:11" x14ac:dyDescent="0.25">
      <c r="B1839" s="202"/>
      <c r="C1839" s="113">
        <v>245.345</v>
      </c>
      <c r="D1839" s="113">
        <v>9109</v>
      </c>
      <c r="E1839" s="113">
        <v>1836</v>
      </c>
      <c r="F1839" s="113">
        <v>201</v>
      </c>
      <c r="G1839" s="113">
        <v>187.2</v>
      </c>
      <c r="H1839" s="113">
        <v>174.2</v>
      </c>
      <c r="I1839" s="113">
        <v>4.7</v>
      </c>
      <c r="J1839" s="113">
        <v>41.96</v>
      </c>
      <c r="K1839" s="113">
        <v>-65.099999999999994</v>
      </c>
    </row>
    <row r="1840" spans="2:11" x14ac:dyDescent="0.25">
      <c r="B1840" s="202"/>
      <c r="C1840" s="113">
        <v>245.364</v>
      </c>
      <c r="D1840" s="113">
        <v>9110</v>
      </c>
      <c r="E1840" s="113">
        <v>1837</v>
      </c>
      <c r="F1840" s="113">
        <v>202</v>
      </c>
      <c r="G1840" s="113">
        <v>187.6</v>
      </c>
      <c r="H1840" s="113">
        <v>174.3</v>
      </c>
      <c r="I1840" s="113">
        <v>3.4</v>
      </c>
      <c r="J1840" s="113">
        <v>43.32</v>
      </c>
      <c r="K1840" s="113">
        <v>-65.5</v>
      </c>
    </row>
    <row r="1841" spans="2:11" x14ac:dyDescent="0.25">
      <c r="B1841" s="202"/>
      <c r="C1841" s="113">
        <v>245.38399999999999</v>
      </c>
      <c r="D1841" s="113">
        <v>9111</v>
      </c>
      <c r="E1841" s="113">
        <v>1838</v>
      </c>
      <c r="F1841" s="113">
        <v>200</v>
      </c>
      <c r="G1841" s="113">
        <v>187.8</v>
      </c>
      <c r="H1841" s="113">
        <v>174.3</v>
      </c>
      <c r="I1841" s="113">
        <v>5.3</v>
      </c>
      <c r="J1841" s="113">
        <v>38.5</v>
      </c>
      <c r="K1841" s="113">
        <v>-65.5</v>
      </c>
    </row>
    <row r="1842" spans="2:11" x14ac:dyDescent="0.25">
      <c r="B1842" s="202"/>
      <c r="C1842" s="113">
        <v>245.40299999999999</v>
      </c>
      <c r="D1842" s="113">
        <v>9112</v>
      </c>
      <c r="E1842" s="113">
        <v>1839</v>
      </c>
      <c r="F1842" s="113">
        <v>198</v>
      </c>
      <c r="G1842" s="113">
        <v>188.1</v>
      </c>
      <c r="H1842" s="113">
        <v>174.4</v>
      </c>
      <c r="I1842" s="113">
        <v>8.1999999999999993</v>
      </c>
      <c r="J1842" s="113">
        <v>37.75</v>
      </c>
      <c r="K1842" s="113">
        <v>-65.5</v>
      </c>
    </row>
    <row r="1843" spans="2:11" x14ac:dyDescent="0.25">
      <c r="B1843" s="202"/>
      <c r="C1843" s="113">
        <v>245.422</v>
      </c>
      <c r="D1843" s="113">
        <v>9113</v>
      </c>
      <c r="E1843" s="113">
        <v>1840</v>
      </c>
      <c r="F1843" s="113">
        <v>199</v>
      </c>
      <c r="G1843" s="113">
        <v>187.9</v>
      </c>
      <c r="H1843" s="113">
        <v>174.5</v>
      </c>
      <c r="I1843" s="113">
        <v>8.6999999999999993</v>
      </c>
      <c r="J1843" s="113">
        <v>40.909999999999997</v>
      </c>
      <c r="K1843" s="113">
        <v>-65.5</v>
      </c>
    </row>
    <row r="1844" spans="2:11" x14ac:dyDescent="0.25">
      <c r="B1844" s="202"/>
      <c r="C1844" s="113">
        <v>245.441</v>
      </c>
      <c r="D1844" s="113">
        <v>9114</v>
      </c>
      <c r="E1844" s="113">
        <v>1841</v>
      </c>
      <c r="F1844" s="113">
        <v>200</v>
      </c>
      <c r="G1844" s="113">
        <v>187.7</v>
      </c>
      <c r="H1844" s="113">
        <v>174.6</v>
      </c>
      <c r="I1844" s="113">
        <v>9.5</v>
      </c>
      <c r="J1844" s="113">
        <v>39.380000000000003</v>
      </c>
      <c r="K1844" s="113">
        <v>-65.2</v>
      </c>
    </row>
    <row r="1845" spans="2:11" x14ac:dyDescent="0.25">
      <c r="B1845" s="202"/>
      <c r="C1845" s="113">
        <v>245.46</v>
      </c>
      <c r="D1845" s="113">
        <v>9115</v>
      </c>
      <c r="E1845" s="113">
        <v>1842</v>
      </c>
      <c r="F1845" s="113">
        <v>199</v>
      </c>
      <c r="G1845" s="113">
        <v>187.8</v>
      </c>
      <c r="H1845" s="113">
        <v>174.7</v>
      </c>
      <c r="I1845" s="113">
        <v>11.1</v>
      </c>
      <c r="J1845" s="113">
        <v>33.619999999999997</v>
      </c>
      <c r="K1845" s="113">
        <v>-63.5</v>
      </c>
    </row>
    <row r="1846" spans="2:11" x14ac:dyDescent="0.25">
      <c r="B1846" s="202"/>
      <c r="C1846" s="113">
        <v>245.47900000000001</v>
      </c>
      <c r="D1846" s="113">
        <v>9116</v>
      </c>
      <c r="E1846" s="113">
        <v>1843</v>
      </c>
      <c r="F1846" s="113">
        <v>199</v>
      </c>
      <c r="G1846" s="113">
        <v>187.8</v>
      </c>
      <c r="H1846" s="113">
        <v>174.8</v>
      </c>
      <c r="I1846" s="113">
        <v>12.2</v>
      </c>
      <c r="J1846" s="113">
        <v>30.43</v>
      </c>
      <c r="K1846" s="113">
        <v>-62.7</v>
      </c>
    </row>
    <row r="1847" spans="2:11" x14ac:dyDescent="0.25">
      <c r="B1847" s="202"/>
      <c r="C1847" s="113">
        <v>245.49799999999999</v>
      </c>
      <c r="D1847" s="113">
        <v>9117</v>
      </c>
      <c r="E1847" s="113">
        <v>1844</v>
      </c>
      <c r="F1847" s="113">
        <v>199</v>
      </c>
      <c r="G1847" s="113">
        <v>187.7</v>
      </c>
      <c r="H1847" s="113">
        <v>174.9</v>
      </c>
      <c r="I1847" s="113">
        <v>12.7</v>
      </c>
      <c r="J1847" s="113">
        <v>30.32</v>
      </c>
      <c r="K1847" s="113">
        <v>-61</v>
      </c>
    </row>
    <row r="1848" spans="2:11" x14ac:dyDescent="0.25">
      <c r="B1848" s="202"/>
      <c r="C1848" s="113">
        <v>245.518</v>
      </c>
      <c r="D1848" s="113">
        <v>9118</v>
      </c>
      <c r="E1848" s="113">
        <v>1845</v>
      </c>
      <c r="F1848" s="113">
        <v>200</v>
      </c>
      <c r="G1848" s="113">
        <v>187.6</v>
      </c>
      <c r="H1848" s="113">
        <v>175</v>
      </c>
      <c r="I1848" s="113">
        <v>12.3</v>
      </c>
      <c r="J1848" s="113">
        <v>29.4</v>
      </c>
      <c r="K1848" s="113">
        <v>-59.3</v>
      </c>
    </row>
    <row r="1849" spans="2:11" x14ac:dyDescent="0.25">
      <c r="B1849" s="202"/>
      <c r="C1849" s="113">
        <v>245.536</v>
      </c>
      <c r="D1849" s="113">
        <v>9119</v>
      </c>
      <c r="E1849" s="113">
        <v>1846</v>
      </c>
      <c r="F1849" s="113">
        <v>200</v>
      </c>
      <c r="G1849" s="113">
        <v>187.6</v>
      </c>
      <c r="H1849" s="113">
        <v>175.2</v>
      </c>
      <c r="I1849" s="113">
        <v>11.7</v>
      </c>
      <c r="J1849" s="113">
        <v>30.06</v>
      </c>
      <c r="K1849" s="113">
        <v>-57</v>
      </c>
    </row>
    <row r="1850" spans="2:11" x14ac:dyDescent="0.25">
      <c r="B1850" s="202"/>
      <c r="C1850" s="113">
        <v>245.55600000000001</v>
      </c>
      <c r="D1850" s="113">
        <v>9120</v>
      </c>
      <c r="E1850" s="113">
        <v>1847</v>
      </c>
      <c r="F1850" s="113">
        <v>199</v>
      </c>
      <c r="G1850" s="113">
        <v>187.7</v>
      </c>
      <c r="H1850" s="113">
        <v>175.3</v>
      </c>
      <c r="I1850" s="113">
        <v>11.9</v>
      </c>
      <c r="J1850" s="113">
        <v>28.77</v>
      </c>
      <c r="K1850" s="113">
        <v>-54.3</v>
      </c>
    </row>
    <row r="1851" spans="2:11" x14ac:dyDescent="0.25">
      <c r="B1851" s="202"/>
      <c r="C1851" s="113">
        <v>245.57400000000001</v>
      </c>
      <c r="D1851" s="113">
        <v>9121</v>
      </c>
      <c r="E1851" s="113">
        <v>1848</v>
      </c>
      <c r="F1851" s="113">
        <v>199</v>
      </c>
      <c r="G1851" s="113">
        <v>187.6</v>
      </c>
      <c r="H1851" s="113">
        <v>175.5</v>
      </c>
      <c r="I1851" s="113">
        <v>12.4</v>
      </c>
      <c r="J1851" s="113">
        <v>30.43</v>
      </c>
      <c r="K1851" s="113">
        <v>-51.7</v>
      </c>
    </row>
    <row r="1852" spans="2:11" x14ac:dyDescent="0.25">
      <c r="B1852" s="202"/>
      <c r="C1852" s="113">
        <v>245.59399999999999</v>
      </c>
      <c r="D1852" s="113">
        <v>9122</v>
      </c>
      <c r="E1852" s="113">
        <v>1849</v>
      </c>
      <c r="F1852" s="113">
        <v>199</v>
      </c>
      <c r="G1852" s="113">
        <v>187.6</v>
      </c>
      <c r="H1852" s="113">
        <v>175.6</v>
      </c>
      <c r="I1852" s="113">
        <v>13.1</v>
      </c>
      <c r="J1852" s="113">
        <v>30.67</v>
      </c>
      <c r="K1852" s="113">
        <v>-49</v>
      </c>
    </row>
    <row r="1853" spans="2:11" x14ac:dyDescent="0.25">
      <c r="B1853" s="202"/>
      <c r="C1853" s="113">
        <v>245.613</v>
      </c>
      <c r="D1853" s="113">
        <v>9124</v>
      </c>
      <c r="E1853" s="113">
        <v>1850</v>
      </c>
      <c r="F1853" s="113">
        <v>200</v>
      </c>
      <c r="G1853" s="113">
        <v>187.6</v>
      </c>
      <c r="H1853" s="113">
        <v>175.8</v>
      </c>
      <c r="I1853" s="113">
        <v>13</v>
      </c>
      <c r="J1853" s="113">
        <v>27.1</v>
      </c>
      <c r="K1853" s="113">
        <v>-47.7</v>
      </c>
    </row>
    <row r="1854" spans="2:11" x14ac:dyDescent="0.25">
      <c r="B1854" s="202"/>
      <c r="C1854" s="113">
        <v>245.63200000000001</v>
      </c>
      <c r="D1854" s="113">
        <v>9124</v>
      </c>
      <c r="E1854" s="113">
        <v>1851</v>
      </c>
      <c r="F1854" s="113">
        <v>201</v>
      </c>
      <c r="G1854" s="113">
        <v>187.7</v>
      </c>
      <c r="H1854" s="113">
        <v>176</v>
      </c>
      <c r="I1854" s="113">
        <v>11.6</v>
      </c>
      <c r="J1854" s="113">
        <v>27.23</v>
      </c>
      <c r="K1854" s="113">
        <v>-47.1</v>
      </c>
    </row>
    <row r="1855" spans="2:11" x14ac:dyDescent="0.25">
      <c r="B1855" s="202"/>
      <c r="C1855" s="113">
        <v>245.65100000000001</v>
      </c>
      <c r="D1855" s="113">
        <v>9125</v>
      </c>
      <c r="E1855" s="113">
        <v>1852</v>
      </c>
      <c r="F1855" s="113">
        <v>201</v>
      </c>
      <c r="G1855" s="113">
        <v>187.7</v>
      </c>
      <c r="H1855" s="113">
        <v>176.2</v>
      </c>
      <c r="I1855" s="113">
        <v>10.199999999999999</v>
      </c>
      <c r="J1855" s="113">
        <v>31.37</v>
      </c>
      <c r="K1855" s="113">
        <v>-46.4</v>
      </c>
    </row>
    <row r="1856" spans="2:11" x14ac:dyDescent="0.25">
      <c r="B1856" s="202"/>
      <c r="C1856" s="113">
        <v>245.67</v>
      </c>
      <c r="D1856" s="113">
        <v>9126</v>
      </c>
      <c r="E1856" s="113">
        <v>1853</v>
      </c>
      <c r="F1856" s="113">
        <v>201</v>
      </c>
      <c r="G1856" s="113">
        <v>187.8</v>
      </c>
      <c r="H1856" s="113">
        <v>176.4</v>
      </c>
      <c r="I1856" s="113">
        <v>10</v>
      </c>
      <c r="J1856" s="113">
        <v>30.09</v>
      </c>
      <c r="K1856" s="113">
        <v>-45.7</v>
      </c>
    </row>
    <row r="1857" spans="2:11" x14ac:dyDescent="0.25">
      <c r="B1857" s="202"/>
      <c r="C1857" s="113">
        <v>245.68899999999999</v>
      </c>
      <c r="D1857" s="113">
        <v>9127</v>
      </c>
      <c r="E1857" s="113">
        <v>1854</v>
      </c>
      <c r="F1857" s="113">
        <v>201</v>
      </c>
      <c r="G1857" s="113">
        <v>187.8</v>
      </c>
      <c r="H1857" s="113">
        <v>176.5</v>
      </c>
      <c r="I1857" s="113">
        <v>10.199999999999999</v>
      </c>
      <c r="J1857" s="113">
        <v>27.67</v>
      </c>
      <c r="K1857" s="113">
        <v>-45.6</v>
      </c>
    </row>
    <row r="1858" spans="2:11" x14ac:dyDescent="0.25">
      <c r="B1858" s="202"/>
      <c r="C1858" s="113">
        <v>245.709</v>
      </c>
      <c r="D1858" s="113">
        <v>9128</v>
      </c>
      <c r="E1858" s="113">
        <v>1855</v>
      </c>
      <c r="F1858" s="113">
        <v>201</v>
      </c>
      <c r="G1858" s="113">
        <v>188.2</v>
      </c>
      <c r="H1858" s="113">
        <v>176.7</v>
      </c>
      <c r="I1858" s="113">
        <v>10.9</v>
      </c>
      <c r="J1858" s="113">
        <v>25.33</v>
      </c>
      <c r="K1858" s="113">
        <v>-46.2</v>
      </c>
    </row>
    <row r="1859" spans="2:11" x14ac:dyDescent="0.25">
      <c r="B1859" s="202"/>
      <c r="C1859" s="113">
        <v>245.727</v>
      </c>
      <c r="D1859" s="113">
        <v>9129</v>
      </c>
      <c r="E1859" s="113">
        <v>1856</v>
      </c>
      <c r="F1859" s="113">
        <v>201</v>
      </c>
      <c r="G1859" s="113">
        <v>188.6</v>
      </c>
      <c r="H1859" s="113">
        <v>176.9</v>
      </c>
      <c r="I1859" s="113">
        <v>10.1</v>
      </c>
      <c r="J1859" s="113">
        <v>26.71</v>
      </c>
      <c r="K1859" s="113">
        <v>-46.8</v>
      </c>
    </row>
    <row r="1860" spans="2:11" x14ac:dyDescent="0.25">
      <c r="B1860" s="202"/>
      <c r="C1860" s="113">
        <v>245.74700000000001</v>
      </c>
      <c r="D1860" s="113">
        <v>9130</v>
      </c>
      <c r="E1860" s="113">
        <v>1857</v>
      </c>
      <c r="F1860" s="113">
        <v>202</v>
      </c>
      <c r="G1860" s="113">
        <v>188.5</v>
      </c>
      <c r="H1860" s="113">
        <v>177.1</v>
      </c>
      <c r="I1860" s="113">
        <v>8.6</v>
      </c>
      <c r="J1860" s="113">
        <v>27.19</v>
      </c>
      <c r="K1860" s="113">
        <v>-47.4</v>
      </c>
    </row>
    <row r="1861" spans="2:11" x14ac:dyDescent="0.25">
      <c r="B1861" s="202"/>
      <c r="C1861" s="113">
        <v>245.76599999999999</v>
      </c>
      <c r="D1861" s="113">
        <v>9131</v>
      </c>
      <c r="E1861" s="113">
        <v>1858</v>
      </c>
      <c r="F1861" s="113">
        <v>203</v>
      </c>
      <c r="G1861" s="113">
        <v>188.5</v>
      </c>
      <c r="H1861" s="113">
        <v>177.3</v>
      </c>
      <c r="I1861" s="113">
        <v>8.1</v>
      </c>
      <c r="J1861" s="113">
        <v>26.75</v>
      </c>
      <c r="K1861" s="113">
        <v>-47.9</v>
      </c>
    </row>
    <row r="1862" spans="2:11" x14ac:dyDescent="0.25">
      <c r="B1862" s="202"/>
      <c r="C1862" s="113">
        <v>245.785</v>
      </c>
      <c r="D1862" s="113">
        <v>9132</v>
      </c>
      <c r="E1862" s="113">
        <v>1859</v>
      </c>
      <c r="F1862" s="113">
        <v>202</v>
      </c>
      <c r="G1862" s="113">
        <v>188.6</v>
      </c>
      <c r="H1862" s="113">
        <v>177.6</v>
      </c>
      <c r="I1862" s="113">
        <v>8.5</v>
      </c>
      <c r="J1862" s="113">
        <v>25.6</v>
      </c>
      <c r="K1862" s="113">
        <v>-47.9</v>
      </c>
    </row>
    <row r="1863" spans="2:11" x14ac:dyDescent="0.25">
      <c r="B1863" s="202"/>
      <c r="C1863" s="113">
        <v>245.804</v>
      </c>
      <c r="D1863" s="113">
        <v>9133</v>
      </c>
      <c r="E1863" s="113">
        <v>1860</v>
      </c>
      <c r="F1863" s="113">
        <v>201</v>
      </c>
      <c r="G1863" s="113">
        <v>188.6</v>
      </c>
      <c r="H1863" s="113">
        <v>177.8</v>
      </c>
      <c r="I1863" s="113">
        <v>9.6</v>
      </c>
      <c r="J1863" s="113">
        <v>20.27</v>
      </c>
      <c r="K1863" s="113">
        <v>-47.9</v>
      </c>
    </row>
    <row r="1864" spans="2:11" x14ac:dyDescent="0.25">
      <c r="B1864" s="202"/>
      <c r="C1864" s="113">
        <v>245.822</v>
      </c>
      <c r="D1864" s="113">
        <v>9134</v>
      </c>
      <c r="E1864" s="113">
        <v>1861</v>
      </c>
      <c r="F1864" s="113">
        <v>203</v>
      </c>
      <c r="G1864" s="113">
        <v>188.9</v>
      </c>
      <c r="H1864" s="113">
        <v>178</v>
      </c>
      <c r="I1864" s="113">
        <v>8.8000000000000007</v>
      </c>
      <c r="J1864" s="113">
        <v>18.559999999999999</v>
      </c>
      <c r="K1864" s="113">
        <v>-47.9</v>
      </c>
    </row>
    <row r="1865" spans="2:11" x14ac:dyDescent="0.25">
      <c r="B1865" s="202"/>
      <c r="C1865" s="113">
        <v>245.84200000000001</v>
      </c>
      <c r="D1865" s="113">
        <v>9135</v>
      </c>
      <c r="E1865" s="113">
        <v>1862</v>
      </c>
      <c r="F1865" s="113">
        <v>204</v>
      </c>
      <c r="G1865" s="113">
        <v>189.1</v>
      </c>
      <c r="H1865" s="113">
        <v>178.3</v>
      </c>
      <c r="I1865" s="113">
        <v>7.4</v>
      </c>
      <c r="J1865" s="113">
        <v>24.24</v>
      </c>
      <c r="K1865" s="113">
        <v>-47.9</v>
      </c>
    </row>
    <row r="1866" spans="2:11" x14ac:dyDescent="0.25">
      <c r="B1866" s="202"/>
      <c r="C1866" s="113">
        <v>245.86099999999999</v>
      </c>
      <c r="D1866" s="113">
        <v>9136</v>
      </c>
      <c r="E1866" s="113">
        <v>1863</v>
      </c>
      <c r="F1866" s="113">
        <v>203</v>
      </c>
      <c r="G1866" s="113">
        <v>189.2</v>
      </c>
      <c r="H1866" s="113">
        <v>178.4</v>
      </c>
      <c r="I1866" s="113">
        <v>6.8</v>
      </c>
      <c r="J1866" s="113">
        <v>33.56</v>
      </c>
      <c r="K1866" s="113">
        <v>-47.7</v>
      </c>
    </row>
    <row r="1867" spans="2:11" x14ac:dyDescent="0.25">
      <c r="B1867" s="202"/>
      <c r="C1867" s="113">
        <v>245.88</v>
      </c>
      <c r="D1867" s="113">
        <v>9137</v>
      </c>
      <c r="E1867" s="113">
        <v>1864</v>
      </c>
      <c r="F1867" s="113">
        <v>202</v>
      </c>
      <c r="G1867" s="113">
        <v>189.4</v>
      </c>
      <c r="H1867" s="113">
        <v>178.6</v>
      </c>
      <c r="I1867" s="113">
        <v>10.199999999999999</v>
      </c>
      <c r="J1867" s="113">
        <v>31.25</v>
      </c>
      <c r="K1867" s="113">
        <v>-47.5</v>
      </c>
    </row>
    <row r="1868" spans="2:11" x14ac:dyDescent="0.25">
      <c r="B1868" s="202"/>
      <c r="C1868" s="113">
        <v>245.899</v>
      </c>
      <c r="D1868" s="113">
        <v>9138</v>
      </c>
      <c r="E1868" s="113">
        <v>1865</v>
      </c>
      <c r="F1868" s="113">
        <v>201</v>
      </c>
      <c r="G1868" s="113">
        <v>189.6</v>
      </c>
      <c r="H1868" s="113">
        <v>178.7</v>
      </c>
      <c r="I1868" s="113">
        <v>12.3</v>
      </c>
      <c r="J1868" s="113">
        <v>30.26</v>
      </c>
      <c r="K1868" s="113">
        <v>-47.3</v>
      </c>
    </row>
    <row r="1869" spans="2:11" x14ac:dyDescent="0.25">
      <c r="B1869" s="202"/>
      <c r="C1869" s="113">
        <v>245.917</v>
      </c>
      <c r="D1869" s="113">
        <v>9139</v>
      </c>
      <c r="E1869" s="113">
        <v>1866</v>
      </c>
      <c r="F1869" s="113">
        <v>200</v>
      </c>
      <c r="G1869" s="113">
        <v>189.9</v>
      </c>
      <c r="H1869" s="113">
        <v>178.9</v>
      </c>
      <c r="I1869" s="113">
        <v>14.6</v>
      </c>
      <c r="J1869" s="113">
        <v>28.92</v>
      </c>
      <c r="K1869" s="113">
        <v>-47.1</v>
      </c>
    </row>
    <row r="1870" spans="2:11" x14ac:dyDescent="0.25">
      <c r="B1870" s="202"/>
      <c r="C1870" s="113">
        <v>245.93700000000001</v>
      </c>
      <c r="D1870" s="113">
        <v>9140</v>
      </c>
      <c r="E1870" s="113">
        <v>1867</v>
      </c>
      <c r="F1870" s="113">
        <v>200</v>
      </c>
      <c r="G1870" s="113">
        <v>190</v>
      </c>
      <c r="H1870" s="113">
        <v>179.1</v>
      </c>
      <c r="I1870" s="113">
        <v>14.6</v>
      </c>
      <c r="J1870" s="113">
        <v>32.78</v>
      </c>
      <c r="K1870" s="113">
        <v>-46.7</v>
      </c>
    </row>
    <row r="1871" spans="2:11" x14ac:dyDescent="0.25">
      <c r="B1871" s="202"/>
      <c r="C1871" s="113">
        <v>245.95599999999999</v>
      </c>
      <c r="D1871" s="113">
        <v>9141</v>
      </c>
      <c r="E1871" s="113">
        <v>1868</v>
      </c>
      <c r="F1871" s="113">
        <v>201</v>
      </c>
      <c r="G1871" s="113">
        <v>190.1</v>
      </c>
      <c r="H1871" s="113">
        <v>179.3</v>
      </c>
      <c r="I1871" s="113">
        <v>14.7</v>
      </c>
      <c r="J1871" s="113">
        <v>32.369999999999997</v>
      </c>
      <c r="K1871" s="113">
        <v>-45.9</v>
      </c>
    </row>
    <row r="1872" spans="2:11" x14ac:dyDescent="0.25">
      <c r="B1872" s="202"/>
      <c r="C1872" s="113">
        <v>245.97399999999999</v>
      </c>
      <c r="D1872" s="113">
        <v>9142</v>
      </c>
      <c r="E1872" s="113">
        <v>1869</v>
      </c>
      <c r="F1872" s="113">
        <v>200</v>
      </c>
      <c r="G1872" s="113">
        <v>190</v>
      </c>
      <c r="H1872" s="113">
        <v>179.5</v>
      </c>
      <c r="I1872" s="113">
        <v>15.9</v>
      </c>
      <c r="J1872" s="113">
        <v>32.21</v>
      </c>
      <c r="K1872" s="113">
        <v>-45.3</v>
      </c>
    </row>
    <row r="1873" spans="2:11" x14ac:dyDescent="0.25">
      <c r="B1873" s="202"/>
      <c r="C1873" s="113">
        <v>245.99299999999999</v>
      </c>
      <c r="D1873" s="113">
        <v>9143</v>
      </c>
      <c r="E1873" s="113">
        <v>1870</v>
      </c>
      <c r="F1873" s="113">
        <v>198</v>
      </c>
      <c r="G1873" s="113">
        <v>189.9</v>
      </c>
      <c r="H1873" s="113">
        <v>179.8</v>
      </c>
      <c r="I1873" s="113">
        <v>18.5</v>
      </c>
      <c r="J1873" s="113">
        <v>31.99</v>
      </c>
      <c r="K1873" s="113">
        <v>-44.6</v>
      </c>
    </row>
    <row r="1874" spans="2:11" x14ac:dyDescent="0.25">
      <c r="B1874" s="202"/>
      <c r="C1874" s="113">
        <v>246.012</v>
      </c>
      <c r="D1874" s="113">
        <v>9145</v>
      </c>
      <c r="E1874" s="113">
        <v>1871</v>
      </c>
      <c r="F1874" s="113">
        <v>199</v>
      </c>
      <c r="G1874" s="113">
        <v>189.6</v>
      </c>
      <c r="H1874" s="113">
        <v>180</v>
      </c>
      <c r="I1874" s="113">
        <v>19.600000000000001</v>
      </c>
      <c r="J1874" s="113">
        <v>31.68</v>
      </c>
      <c r="K1874" s="113">
        <v>-44.3</v>
      </c>
    </row>
    <row r="1875" spans="2:11" x14ac:dyDescent="0.25">
      <c r="B1875" s="202"/>
      <c r="C1875" s="113">
        <v>246.03100000000001</v>
      </c>
      <c r="D1875" s="113">
        <v>9146</v>
      </c>
      <c r="E1875" s="113">
        <v>1872</v>
      </c>
      <c r="F1875" s="113">
        <v>200</v>
      </c>
      <c r="G1875" s="113">
        <v>189.4</v>
      </c>
      <c r="H1875" s="113">
        <v>180.2</v>
      </c>
      <c r="I1875" s="113">
        <v>19.899999999999999</v>
      </c>
      <c r="J1875" s="113">
        <v>30.47</v>
      </c>
      <c r="K1875" s="113">
        <v>-44.1</v>
      </c>
    </row>
    <row r="1876" spans="2:11" x14ac:dyDescent="0.25">
      <c r="B1876" s="202"/>
      <c r="C1876" s="113">
        <v>246.05</v>
      </c>
      <c r="D1876" s="113">
        <v>9146</v>
      </c>
      <c r="E1876" s="113">
        <v>1873</v>
      </c>
      <c r="F1876" s="113">
        <v>200</v>
      </c>
      <c r="G1876" s="113">
        <v>189.5</v>
      </c>
      <c r="H1876" s="113">
        <v>180.4</v>
      </c>
      <c r="I1876" s="113">
        <v>18.5</v>
      </c>
      <c r="J1876" s="113">
        <v>27.48</v>
      </c>
      <c r="K1876" s="113">
        <v>-43.9</v>
      </c>
    </row>
    <row r="1877" spans="2:11" x14ac:dyDescent="0.25">
      <c r="B1877" s="202"/>
      <c r="C1877" s="113">
        <v>246.06899999999999</v>
      </c>
      <c r="D1877" s="113">
        <v>9147</v>
      </c>
      <c r="E1877" s="113">
        <v>1874</v>
      </c>
      <c r="F1877" s="113">
        <v>201</v>
      </c>
      <c r="G1877" s="113">
        <v>189.6</v>
      </c>
      <c r="H1877" s="113">
        <v>180.5</v>
      </c>
      <c r="I1877" s="113">
        <v>17.2</v>
      </c>
      <c r="J1877" s="113">
        <v>25.76</v>
      </c>
      <c r="K1877" s="113">
        <v>-43.7</v>
      </c>
    </row>
    <row r="1878" spans="2:11" x14ac:dyDescent="0.25">
      <c r="B1878" s="202"/>
      <c r="C1878" s="113">
        <v>246.08799999999999</v>
      </c>
      <c r="D1878" s="113">
        <v>9148</v>
      </c>
      <c r="E1878" s="113">
        <v>1875</v>
      </c>
      <c r="F1878" s="113">
        <v>201</v>
      </c>
      <c r="G1878" s="113">
        <v>189.8</v>
      </c>
      <c r="H1878" s="113">
        <v>180.8</v>
      </c>
      <c r="I1878" s="113">
        <v>14.1</v>
      </c>
      <c r="J1878" s="113">
        <v>24.99</v>
      </c>
      <c r="K1878" s="113">
        <v>-42.5</v>
      </c>
    </row>
    <row r="1879" spans="2:11" x14ac:dyDescent="0.25">
      <c r="B1879" s="202"/>
      <c r="C1879" s="113">
        <v>246.107</v>
      </c>
      <c r="D1879" s="113">
        <v>9149</v>
      </c>
      <c r="E1879" s="113">
        <v>1876</v>
      </c>
      <c r="F1879" s="113">
        <v>201</v>
      </c>
      <c r="G1879" s="113">
        <v>190</v>
      </c>
      <c r="H1879" s="113">
        <v>181</v>
      </c>
      <c r="I1879" s="113">
        <v>11.9</v>
      </c>
      <c r="J1879" s="113">
        <v>24.32</v>
      </c>
      <c r="K1879" s="113">
        <v>-36.299999999999997</v>
      </c>
    </row>
    <row r="1880" spans="2:11" x14ac:dyDescent="0.25">
      <c r="B1880" s="202"/>
      <c r="C1880" s="113">
        <v>246.126</v>
      </c>
      <c r="D1880" s="113">
        <v>9150</v>
      </c>
      <c r="E1880" s="113">
        <v>1877</v>
      </c>
      <c r="F1880" s="113">
        <v>201</v>
      </c>
      <c r="G1880" s="113">
        <v>190.3</v>
      </c>
      <c r="H1880" s="113">
        <v>181.2</v>
      </c>
      <c r="I1880" s="113">
        <v>10.5</v>
      </c>
      <c r="J1880" s="113">
        <v>25.93</v>
      </c>
      <c r="K1880" s="113">
        <v>-30.1</v>
      </c>
    </row>
    <row r="1881" spans="2:11" x14ac:dyDescent="0.25">
      <c r="B1881" s="202"/>
      <c r="C1881" s="113">
        <v>246.14400000000001</v>
      </c>
      <c r="D1881" s="113">
        <v>9151</v>
      </c>
      <c r="E1881" s="113">
        <v>1878</v>
      </c>
      <c r="F1881" s="113">
        <v>200</v>
      </c>
      <c r="G1881" s="113">
        <v>190.4</v>
      </c>
      <c r="H1881" s="113">
        <v>181.5</v>
      </c>
      <c r="I1881" s="113">
        <v>10.5</v>
      </c>
      <c r="J1881" s="113">
        <v>27.5</v>
      </c>
      <c r="K1881" s="113">
        <v>-23.9</v>
      </c>
    </row>
    <row r="1882" spans="2:11" x14ac:dyDescent="0.25">
      <c r="B1882" s="202"/>
      <c r="C1882" s="113">
        <v>246.16399999999999</v>
      </c>
      <c r="D1882" s="113">
        <v>9152</v>
      </c>
      <c r="E1882" s="113">
        <v>1879</v>
      </c>
      <c r="F1882" s="113">
        <v>199</v>
      </c>
      <c r="G1882" s="113">
        <v>190.5</v>
      </c>
      <c r="H1882" s="113">
        <v>181.7</v>
      </c>
      <c r="I1882" s="113">
        <v>10.9</v>
      </c>
      <c r="J1882" s="113">
        <v>27.85</v>
      </c>
      <c r="K1882" s="113">
        <v>-18.899999999999999</v>
      </c>
    </row>
    <row r="1883" spans="2:11" x14ac:dyDescent="0.25">
      <c r="B1883" s="202"/>
      <c r="C1883" s="113">
        <v>246.18299999999999</v>
      </c>
      <c r="D1883" s="113">
        <v>9153</v>
      </c>
      <c r="E1883" s="113">
        <v>1880</v>
      </c>
      <c r="F1883" s="113">
        <v>199</v>
      </c>
      <c r="G1883" s="113">
        <v>190.4</v>
      </c>
      <c r="H1883" s="113">
        <v>181.9</v>
      </c>
      <c r="I1883" s="113">
        <v>11.6</v>
      </c>
      <c r="J1883" s="113">
        <v>29.4</v>
      </c>
      <c r="K1883" s="113">
        <v>-18.899999999999999</v>
      </c>
    </row>
    <row r="1884" spans="2:11" x14ac:dyDescent="0.25">
      <c r="B1884" s="202"/>
      <c r="C1884" s="113">
        <v>246.20099999999999</v>
      </c>
      <c r="D1884" s="113">
        <v>9154</v>
      </c>
      <c r="E1884" s="113">
        <v>1881</v>
      </c>
      <c r="F1884" s="113">
        <v>199</v>
      </c>
      <c r="G1884" s="113">
        <v>190.3</v>
      </c>
      <c r="H1884" s="113">
        <v>182.2</v>
      </c>
      <c r="I1884" s="113">
        <v>11.5</v>
      </c>
      <c r="J1884" s="113">
        <v>28.28</v>
      </c>
      <c r="K1884" s="113">
        <v>-18.899999999999999</v>
      </c>
    </row>
    <row r="1885" spans="2:11" ht="15.75" thickBot="1" x14ac:dyDescent="0.3">
      <c r="B1885" s="202"/>
      <c r="C1885" s="113">
        <v>246.22</v>
      </c>
      <c r="D1885" s="113">
        <v>9155</v>
      </c>
      <c r="E1885" s="113">
        <v>1882</v>
      </c>
      <c r="F1885" s="113">
        <v>200</v>
      </c>
      <c r="G1885" s="113">
        <v>190.3</v>
      </c>
      <c r="H1885" s="113">
        <v>182.4</v>
      </c>
      <c r="I1885" s="113">
        <v>9.4</v>
      </c>
      <c r="J1885" s="113">
        <v>28.17</v>
      </c>
      <c r="K1885" s="113">
        <v>-18.899999999999999</v>
      </c>
    </row>
    <row r="1886" spans="2:11" x14ac:dyDescent="0.25">
      <c r="B1886" s="184" t="s">
        <v>197</v>
      </c>
      <c r="C1886" s="113">
        <v>246.239</v>
      </c>
      <c r="D1886" s="113">
        <v>9156</v>
      </c>
      <c r="E1886" s="113">
        <v>1883</v>
      </c>
      <c r="F1886" s="113">
        <v>200</v>
      </c>
      <c r="G1886" s="113">
        <v>190.3</v>
      </c>
      <c r="H1886" s="113">
        <v>182.6</v>
      </c>
      <c r="I1886" s="113">
        <v>8.5</v>
      </c>
      <c r="J1886" s="113">
        <v>27.16</v>
      </c>
      <c r="K1886" s="113">
        <v>-18.899999999999999</v>
      </c>
    </row>
    <row r="1887" spans="2:11" x14ac:dyDescent="0.25">
      <c r="B1887" s="185"/>
      <c r="C1887" s="113">
        <v>246.25700000000001</v>
      </c>
      <c r="D1887" s="113">
        <v>9157</v>
      </c>
      <c r="E1887" s="113">
        <v>1884</v>
      </c>
      <c r="F1887" s="113">
        <v>200</v>
      </c>
      <c r="G1887" s="113">
        <v>190.6</v>
      </c>
      <c r="H1887" s="113">
        <v>182.9</v>
      </c>
      <c r="I1887" s="113">
        <v>6.8</v>
      </c>
      <c r="J1887" s="113">
        <v>24.52</v>
      </c>
      <c r="K1887" s="113">
        <v>-24</v>
      </c>
    </row>
    <row r="1888" spans="2:11" x14ac:dyDescent="0.25">
      <c r="B1888" s="185"/>
      <c r="C1888" s="113">
        <v>246.27699999999999</v>
      </c>
      <c r="D1888" s="113">
        <v>9158</v>
      </c>
      <c r="E1888" s="113">
        <v>1885</v>
      </c>
      <c r="F1888" s="113">
        <v>199</v>
      </c>
      <c r="G1888" s="113">
        <v>191.1</v>
      </c>
      <c r="H1888" s="113">
        <v>183.2</v>
      </c>
      <c r="I1888" s="113">
        <v>5.7</v>
      </c>
      <c r="J1888" s="113">
        <v>20.3</v>
      </c>
      <c r="K1888" s="113">
        <v>-31.5</v>
      </c>
    </row>
    <row r="1889" spans="2:11" x14ac:dyDescent="0.25">
      <c r="B1889" s="185"/>
      <c r="C1889" s="113">
        <v>246.29599999999999</v>
      </c>
      <c r="D1889" s="113">
        <v>9159</v>
      </c>
      <c r="E1889" s="113">
        <v>1886</v>
      </c>
      <c r="F1889" s="113">
        <v>199</v>
      </c>
      <c r="G1889" s="113">
        <v>191.2</v>
      </c>
      <c r="H1889" s="113">
        <v>183.6</v>
      </c>
      <c r="I1889" s="113">
        <v>4.5999999999999996</v>
      </c>
      <c r="J1889" s="113">
        <v>20.45</v>
      </c>
      <c r="K1889" s="113">
        <v>-39</v>
      </c>
    </row>
    <row r="1890" spans="2:11" x14ac:dyDescent="0.25">
      <c r="B1890" s="185"/>
      <c r="C1890" s="113">
        <v>246.31399999999999</v>
      </c>
      <c r="D1890" s="113">
        <v>9160</v>
      </c>
      <c r="E1890" s="113">
        <v>1887</v>
      </c>
      <c r="F1890" s="113">
        <v>199</v>
      </c>
      <c r="G1890" s="113">
        <v>191.1</v>
      </c>
      <c r="H1890" s="113">
        <v>183.9</v>
      </c>
      <c r="I1890" s="113">
        <v>4.5</v>
      </c>
      <c r="J1890" s="113">
        <v>20.36</v>
      </c>
      <c r="K1890" s="113">
        <v>-46.5</v>
      </c>
    </row>
    <row r="1891" spans="2:11" x14ac:dyDescent="0.25">
      <c r="B1891" s="185"/>
      <c r="C1891" s="113">
        <v>246.333</v>
      </c>
      <c r="D1891" s="113">
        <v>9161</v>
      </c>
      <c r="E1891" s="113">
        <v>1888</v>
      </c>
      <c r="F1891" s="113">
        <v>199</v>
      </c>
      <c r="G1891" s="113">
        <v>191.2</v>
      </c>
      <c r="H1891" s="113">
        <v>184.2</v>
      </c>
      <c r="I1891" s="113">
        <v>4.7</v>
      </c>
      <c r="J1891" s="113">
        <v>20.2</v>
      </c>
      <c r="K1891" s="113">
        <v>-48.3</v>
      </c>
    </row>
    <row r="1892" spans="2:11" x14ac:dyDescent="0.25">
      <c r="B1892" s="185"/>
      <c r="C1892" s="113">
        <v>246.352</v>
      </c>
      <c r="D1892" s="113">
        <v>9162</v>
      </c>
      <c r="E1892" s="113">
        <v>1889</v>
      </c>
      <c r="F1892" s="113">
        <v>198</v>
      </c>
      <c r="G1892" s="113">
        <v>191.5</v>
      </c>
      <c r="H1892" s="113">
        <v>184.6</v>
      </c>
      <c r="I1892" s="113">
        <v>5.6</v>
      </c>
      <c r="J1892" s="113">
        <v>17.05</v>
      </c>
      <c r="K1892" s="113">
        <v>-47.5</v>
      </c>
    </row>
    <row r="1893" spans="2:11" x14ac:dyDescent="0.25">
      <c r="B1893" s="185"/>
      <c r="C1893" s="113">
        <v>246.37100000000001</v>
      </c>
      <c r="D1893" s="113">
        <v>9164</v>
      </c>
      <c r="E1893" s="113">
        <v>1890</v>
      </c>
      <c r="F1893" s="113">
        <v>198</v>
      </c>
      <c r="G1893" s="113">
        <v>191.7</v>
      </c>
      <c r="H1893" s="113">
        <v>184.9</v>
      </c>
      <c r="I1893" s="113">
        <v>5.3</v>
      </c>
      <c r="J1893" s="113">
        <v>16.54</v>
      </c>
      <c r="K1893" s="113">
        <v>-46.5</v>
      </c>
    </row>
    <row r="1894" spans="2:11" x14ac:dyDescent="0.25">
      <c r="B1894" s="185"/>
      <c r="C1894" s="113">
        <v>246.38900000000001</v>
      </c>
      <c r="D1894" s="113">
        <v>9164</v>
      </c>
      <c r="E1894" s="113">
        <v>1891</v>
      </c>
      <c r="F1894" s="113">
        <v>198</v>
      </c>
      <c r="G1894" s="113">
        <v>191.8</v>
      </c>
      <c r="H1894" s="113">
        <v>185.1</v>
      </c>
      <c r="I1894" s="113">
        <v>5.0999999999999996</v>
      </c>
      <c r="J1894" s="113">
        <v>16.52</v>
      </c>
      <c r="K1894" s="113">
        <v>-46.1</v>
      </c>
    </row>
    <row r="1895" spans="2:11" x14ac:dyDescent="0.25">
      <c r="B1895" s="185"/>
      <c r="C1895" s="113">
        <v>246.40799999999999</v>
      </c>
      <c r="D1895" s="113">
        <v>9165</v>
      </c>
      <c r="E1895" s="113">
        <v>1892</v>
      </c>
      <c r="F1895" s="113">
        <v>198</v>
      </c>
      <c r="G1895" s="113">
        <v>192</v>
      </c>
      <c r="H1895" s="113">
        <v>185.4</v>
      </c>
      <c r="I1895" s="113">
        <v>4.7</v>
      </c>
      <c r="J1895" s="113">
        <v>19.28</v>
      </c>
      <c r="K1895" s="113">
        <v>-45.2</v>
      </c>
    </row>
    <row r="1896" spans="2:11" x14ac:dyDescent="0.25">
      <c r="B1896" s="185"/>
      <c r="C1896" s="113">
        <v>246.42699999999999</v>
      </c>
      <c r="D1896" s="113">
        <v>9166</v>
      </c>
      <c r="E1896" s="113">
        <v>1893</v>
      </c>
      <c r="F1896" s="113">
        <v>197</v>
      </c>
      <c r="G1896" s="113">
        <v>191.8</v>
      </c>
      <c r="H1896" s="113">
        <v>185.7</v>
      </c>
      <c r="I1896" s="113">
        <v>5.5</v>
      </c>
      <c r="J1896" s="113">
        <v>19.25</v>
      </c>
      <c r="K1896" s="113">
        <v>-43.8</v>
      </c>
    </row>
    <row r="1897" spans="2:11" x14ac:dyDescent="0.25">
      <c r="B1897" s="185"/>
      <c r="C1897" s="113">
        <v>246.446</v>
      </c>
      <c r="D1897" s="113">
        <v>9167</v>
      </c>
      <c r="E1897" s="113">
        <v>1894</v>
      </c>
      <c r="F1897" s="113">
        <v>197</v>
      </c>
      <c r="G1897" s="113">
        <v>191.6</v>
      </c>
      <c r="H1897" s="113">
        <v>186</v>
      </c>
      <c r="I1897" s="113">
        <v>6.7</v>
      </c>
      <c r="J1897" s="113">
        <v>20.83</v>
      </c>
      <c r="K1897" s="113">
        <v>-42.3</v>
      </c>
    </row>
    <row r="1898" spans="2:11" x14ac:dyDescent="0.25">
      <c r="B1898" s="185"/>
      <c r="C1898" s="113">
        <v>246.464</v>
      </c>
      <c r="D1898" s="113">
        <v>9168</v>
      </c>
      <c r="E1898" s="113">
        <v>1895</v>
      </c>
      <c r="F1898" s="113">
        <v>196</v>
      </c>
      <c r="G1898" s="113">
        <v>191.3</v>
      </c>
      <c r="H1898" s="113">
        <v>186.3</v>
      </c>
      <c r="I1898" s="113">
        <v>8.1999999999999993</v>
      </c>
      <c r="J1898" s="113">
        <v>18.53</v>
      </c>
      <c r="K1898" s="113">
        <v>-40.9</v>
      </c>
    </row>
    <row r="1899" spans="2:11" x14ac:dyDescent="0.25">
      <c r="B1899" s="185"/>
      <c r="C1899" s="113">
        <v>246.482</v>
      </c>
      <c r="D1899" s="113">
        <v>9169</v>
      </c>
      <c r="E1899" s="113">
        <v>1896</v>
      </c>
      <c r="F1899" s="113">
        <v>196</v>
      </c>
      <c r="G1899" s="113">
        <v>191.1</v>
      </c>
      <c r="H1899" s="113">
        <v>186.7</v>
      </c>
      <c r="I1899" s="113">
        <v>8</v>
      </c>
      <c r="J1899" s="113">
        <v>16.850000000000001</v>
      </c>
      <c r="K1899" s="113">
        <v>-39.6</v>
      </c>
    </row>
    <row r="1900" spans="2:11" x14ac:dyDescent="0.25">
      <c r="B1900" s="185"/>
      <c r="C1900" s="113">
        <v>246.501</v>
      </c>
      <c r="D1900" s="113">
        <v>9170</v>
      </c>
      <c r="E1900" s="113">
        <v>1897</v>
      </c>
      <c r="F1900" s="113">
        <v>197</v>
      </c>
      <c r="G1900" s="113">
        <v>190.9</v>
      </c>
      <c r="H1900" s="113">
        <v>187</v>
      </c>
      <c r="I1900" s="113">
        <v>6.6</v>
      </c>
      <c r="J1900" s="113">
        <v>14.87</v>
      </c>
      <c r="K1900" s="113">
        <v>-38.9</v>
      </c>
    </row>
    <row r="1901" spans="2:11" x14ac:dyDescent="0.25">
      <c r="B1901" s="185"/>
      <c r="C1901" s="113">
        <v>246.52099999999999</v>
      </c>
      <c r="D1901" s="113">
        <v>9171</v>
      </c>
      <c r="E1901" s="113">
        <v>1898</v>
      </c>
      <c r="F1901" s="113">
        <v>198</v>
      </c>
      <c r="G1901" s="113">
        <v>190.7</v>
      </c>
      <c r="H1901" s="113">
        <v>187.3</v>
      </c>
      <c r="I1901" s="113">
        <v>4.0999999999999996</v>
      </c>
      <c r="J1901" s="113">
        <v>11.96</v>
      </c>
      <c r="K1901" s="113">
        <v>-38.299999999999997</v>
      </c>
    </row>
    <row r="1902" spans="2:11" x14ac:dyDescent="0.25">
      <c r="B1902" s="185"/>
      <c r="C1902" s="113">
        <v>246.53899999999999</v>
      </c>
      <c r="D1902" s="113">
        <v>9172</v>
      </c>
      <c r="E1902" s="113">
        <v>1899</v>
      </c>
      <c r="F1902" s="113">
        <v>198</v>
      </c>
      <c r="G1902" s="113">
        <v>190.9</v>
      </c>
      <c r="H1902" s="113">
        <v>187.4</v>
      </c>
      <c r="I1902" s="113">
        <v>3.5</v>
      </c>
      <c r="J1902" s="113">
        <v>9.98</v>
      </c>
      <c r="K1902" s="113">
        <v>-37.9</v>
      </c>
    </row>
    <row r="1903" spans="2:11" x14ac:dyDescent="0.25">
      <c r="B1903" s="185"/>
      <c r="C1903" s="113">
        <v>246.55799999999999</v>
      </c>
      <c r="D1903" s="113">
        <v>9173</v>
      </c>
      <c r="E1903" s="113">
        <v>1900</v>
      </c>
      <c r="F1903" s="113">
        <v>199</v>
      </c>
      <c r="G1903" s="113">
        <v>191.2</v>
      </c>
      <c r="H1903" s="113">
        <v>187.7</v>
      </c>
      <c r="I1903" s="113">
        <v>1.5</v>
      </c>
      <c r="J1903" s="113">
        <v>7.71</v>
      </c>
      <c r="K1903" s="113">
        <v>-37.299999999999997</v>
      </c>
    </row>
    <row r="1904" spans="2:11" x14ac:dyDescent="0.25">
      <c r="B1904" s="185"/>
      <c r="C1904" s="113">
        <v>246.577</v>
      </c>
      <c r="D1904" s="113">
        <v>9174</v>
      </c>
      <c r="E1904" s="113">
        <v>1901</v>
      </c>
      <c r="F1904" s="113">
        <v>199</v>
      </c>
      <c r="G1904" s="113">
        <v>191.6</v>
      </c>
      <c r="H1904" s="113">
        <v>188</v>
      </c>
      <c r="I1904" s="113">
        <v>0.3</v>
      </c>
      <c r="J1904" s="113">
        <v>6.67</v>
      </c>
      <c r="K1904" s="113">
        <v>-37.1</v>
      </c>
    </row>
    <row r="1905" spans="2:11" x14ac:dyDescent="0.25">
      <c r="B1905" s="185"/>
      <c r="C1905" s="113">
        <v>246.596</v>
      </c>
      <c r="D1905" s="113">
        <v>9175</v>
      </c>
      <c r="E1905" s="113">
        <v>1902</v>
      </c>
      <c r="F1905" s="113">
        <v>200</v>
      </c>
      <c r="G1905" s="113">
        <v>192</v>
      </c>
      <c r="H1905" s="113">
        <v>188.3</v>
      </c>
      <c r="I1905" s="113">
        <v>-0.7</v>
      </c>
      <c r="J1905" s="113">
        <v>9.18</v>
      </c>
      <c r="K1905" s="113">
        <v>-37.1</v>
      </c>
    </row>
    <row r="1906" spans="2:11" x14ac:dyDescent="0.25">
      <c r="B1906" s="185"/>
      <c r="C1906" s="113">
        <v>246.614</v>
      </c>
      <c r="D1906" s="113">
        <v>9176</v>
      </c>
      <c r="E1906" s="113">
        <v>1903</v>
      </c>
      <c r="F1906" s="113">
        <v>199</v>
      </c>
      <c r="G1906" s="113">
        <v>192.6</v>
      </c>
      <c r="H1906" s="113">
        <v>188.5</v>
      </c>
      <c r="I1906" s="113">
        <v>-0.5</v>
      </c>
      <c r="J1906" s="113">
        <v>10.01</v>
      </c>
      <c r="K1906" s="113">
        <v>-37.1</v>
      </c>
    </row>
    <row r="1907" spans="2:11" x14ac:dyDescent="0.25">
      <c r="B1907" s="185"/>
      <c r="C1907" s="113">
        <v>246.63300000000001</v>
      </c>
      <c r="D1907" s="113">
        <v>9177</v>
      </c>
      <c r="E1907" s="113">
        <v>1904</v>
      </c>
      <c r="F1907" s="113">
        <v>198</v>
      </c>
      <c r="G1907" s="113">
        <v>193.2</v>
      </c>
      <c r="H1907" s="113">
        <v>188.8</v>
      </c>
      <c r="I1907" s="113">
        <v>0.7</v>
      </c>
      <c r="J1907" s="113">
        <v>10.57</v>
      </c>
      <c r="K1907" s="113">
        <v>-37.1</v>
      </c>
    </row>
    <row r="1908" spans="2:11" x14ac:dyDescent="0.25">
      <c r="B1908" s="185"/>
      <c r="C1908" s="113">
        <v>246.65100000000001</v>
      </c>
      <c r="D1908" s="113">
        <v>9178</v>
      </c>
      <c r="E1908" s="113">
        <v>1905</v>
      </c>
      <c r="F1908" s="113">
        <v>198</v>
      </c>
      <c r="G1908" s="113">
        <v>193.5</v>
      </c>
      <c r="H1908" s="113">
        <v>189</v>
      </c>
      <c r="I1908" s="113">
        <v>2.4</v>
      </c>
      <c r="J1908" s="113">
        <v>13.75</v>
      </c>
      <c r="K1908" s="113">
        <v>-34.700000000000003</v>
      </c>
    </row>
    <row r="1909" spans="2:11" x14ac:dyDescent="0.25">
      <c r="B1909" s="185"/>
      <c r="C1909" s="113">
        <v>246.67</v>
      </c>
      <c r="D1909" s="113">
        <v>9179</v>
      </c>
      <c r="E1909" s="113">
        <v>1906</v>
      </c>
      <c r="F1909" s="113">
        <v>197</v>
      </c>
      <c r="G1909" s="113">
        <v>193.7</v>
      </c>
      <c r="H1909" s="113">
        <v>189.3</v>
      </c>
      <c r="I1909" s="113">
        <v>4.3</v>
      </c>
      <c r="J1909" s="113">
        <v>16.309999999999999</v>
      </c>
      <c r="K1909" s="113">
        <v>-31.3</v>
      </c>
    </row>
    <row r="1910" spans="2:11" x14ac:dyDescent="0.25">
      <c r="B1910" s="185"/>
      <c r="C1910" s="113">
        <v>246.68899999999999</v>
      </c>
      <c r="D1910" s="113">
        <v>9180</v>
      </c>
      <c r="E1910" s="113">
        <v>1907</v>
      </c>
      <c r="F1910" s="113">
        <v>197</v>
      </c>
      <c r="G1910" s="113">
        <v>193.8</v>
      </c>
      <c r="H1910" s="113">
        <v>189.4</v>
      </c>
      <c r="I1910" s="113">
        <v>5.4</v>
      </c>
      <c r="J1910" s="113">
        <v>16.64</v>
      </c>
      <c r="K1910" s="113">
        <v>-29.6</v>
      </c>
    </row>
    <row r="1911" spans="2:11" x14ac:dyDescent="0.25">
      <c r="B1911" s="185"/>
      <c r="C1911" s="113">
        <v>246.70699999999999</v>
      </c>
      <c r="D1911" s="113">
        <v>9181</v>
      </c>
      <c r="E1911" s="113">
        <v>1908</v>
      </c>
      <c r="F1911" s="113">
        <v>197</v>
      </c>
      <c r="G1911" s="113">
        <v>194</v>
      </c>
      <c r="H1911" s="113">
        <v>189.6</v>
      </c>
      <c r="I1911" s="113">
        <v>7.3</v>
      </c>
      <c r="J1911" s="113">
        <v>16.16</v>
      </c>
      <c r="K1911" s="113">
        <v>-26.2</v>
      </c>
    </row>
    <row r="1912" spans="2:11" x14ac:dyDescent="0.25">
      <c r="B1912" s="185"/>
      <c r="C1912" s="113">
        <v>246.726</v>
      </c>
      <c r="D1912" s="113">
        <v>9182</v>
      </c>
      <c r="E1912" s="113">
        <v>1909</v>
      </c>
      <c r="F1912" s="113">
        <v>197</v>
      </c>
      <c r="G1912" s="113">
        <v>194.2</v>
      </c>
      <c r="H1912" s="113">
        <v>189.8</v>
      </c>
      <c r="I1912" s="113">
        <v>9.5</v>
      </c>
      <c r="J1912" s="113">
        <v>16.28</v>
      </c>
      <c r="K1912" s="113">
        <v>-23.2</v>
      </c>
    </row>
    <row r="1913" spans="2:11" x14ac:dyDescent="0.25">
      <c r="B1913" s="185"/>
      <c r="C1913" s="113">
        <v>246.744</v>
      </c>
      <c r="D1913" s="113">
        <v>9183</v>
      </c>
      <c r="E1913" s="113">
        <v>1910</v>
      </c>
      <c r="F1913" s="113">
        <v>197</v>
      </c>
      <c r="G1913" s="113">
        <v>194.4</v>
      </c>
      <c r="H1913" s="113">
        <v>190.1</v>
      </c>
      <c r="I1913" s="113">
        <v>10.9</v>
      </c>
      <c r="J1913" s="113">
        <v>15.98</v>
      </c>
      <c r="K1913" s="113">
        <v>-22.1</v>
      </c>
    </row>
    <row r="1914" spans="2:11" x14ac:dyDescent="0.25">
      <c r="B1914" s="185"/>
      <c r="C1914" s="113">
        <v>246.762</v>
      </c>
      <c r="D1914" s="113">
        <v>9184</v>
      </c>
      <c r="E1914" s="113">
        <v>1911</v>
      </c>
      <c r="F1914" s="113">
        <v>197</v>
      </c>
      <c r="G1914" s="113">
        <v>194.5</v>
      </c>
      <c r="H1914" s="113">
        <v>190.3</v>
      </c>
      <c r="I1914" s="113">
        <v>11.4</v>
      </c>
      <c r="J1914" s="113">
        <v>18.850000000000001</v>
      </c>
      <c r="K1914" s="113">
        <v>-20.9</v>
      </c>
    </row>
    <row r="1915" spans="2:11" x14ac:dyDescent="0.25">
      <c r="B1915" s="185"/>
      <c r="C1915" s="113">
        <v>246.78100000000001</v>
      </c>
      <c r="D1915" s="113">
        <v>9185</v>
      </c>
      <c r="E1915" s="113">
        <v>1912</v>
      </c>
      <c r="F1915" s="113">
        <v>196</v>
      </c>
      <c r="G1915" s="113">
        <v>194.6</v>
      </c>
      <c r="H1915" s="113">
        <v>190.5</v>
      </c>
      <c r="I1915" s="113">
        <v>11.8</v>
      </c>
      <c r="J1915" s="113">
        <v>21.77</v>
      </c>
      <c r="K1915" s="113">
        <v>-19.8</v>
      </c>
    </row>
    <row r="1916" spans="2:11" x14ac:dyDescent="0.25">
      <c r="B1916" s="185"/>
      <c r="C1916" s="113">
        <v>246.79900000000001</v>
      </c>
      <c r="D1916" s="113">
        <v>9186</v>
      </c>
      <c r="E1916" s="113">
        <v>1913</v>
      </c>
      <c r="F1916" s="113">
        <v>196</v>
      </c>
      <c r="G1916" s="113">
        <v>194.6</v>
      </c>
      <c r="H1916" s="113">
        <v>190.6</v>
      </c>
      <c r="I1916" s="113">
        <v>12.1</v>
      </c>
      <c r="J1916" s="113">
        <v>23.64</v>
      </c>
      <c r="K1916" s="113">
        <v>-19.3</v>
      </c>
    </row>
    <row r="1917" spans="2:11" x14ac:dyDescent="0.25">
      <c r="B1917" s="185"/>
      <c r="C1917" s="113">
        <v>246.81800000000001</v>
      </c>
      <c r="D1917" s="113">
        <v>9187</v>
      </c>
      <c r="E1917" s="113">
        <v>1914</v>
      </c>
      <c r="F1917" s="113">
        <v>196</v>
      </c>
      <c r="G1917" s="113">
        <v>194.7</v>
      </c>
      <c r="H1917" s="113">
        <v>190.8</v>
      </c>
      <c r="I1917" s="113">
        <v>13.3</v>
      </c>
      <c r="J1917" s="113">
        <v>24.95</v>
      </c>
      <c r="K1917" s="113">
        <v>-19.2</v>
      </c>
    </row>
    <row r="1918" spans="2:11" x14ac:dyDescent="0.25">
      <c r="B1918" s="185"/>
      <c r="C1918" s="113">
        <v>246.83600000000001</v>
      </c>
      <c r="D1918" s="113">
        <v>9188</v>
      </c>
      <c r="E1918" s="113">
        <v>1915</v>
      </c>
      <c r="F1918" s="113">
        <v>196</v>
      </c>
      <c r="G1918" s="113">
        <v>194.7</v>
      </c>
      <c r="H1918" s="113">
        <v>190.9</v>
      </c>
      <c r="I1918" s="113">
        <v>14.2</v>
      </c>
      <c r="J1918" s="113">
        <v>27.02</v>
      </c>
      <c r="K1918" s="113">
        <v>-19.600000000000001</v>
      </c>
    </row>
    <row r="1919" spans="2:11" x14ac:dyDescent="0.25">
      <c r="B1919" s="185"/>
      <c r="C1919" s="113">
        <v>246.85499999999999</v>
      </c>
      <c r="D1919" s="113">
        <v>9189</v>
      </c>
      <c r="E1919" s="113">
        <v>1916</v>
      </c>
      <c r="F1919" s="113">
        <v>196</v>
      </c>
      <c r="G1919" s="113">
        <v>194.7</v>
      </c>
      <c r="H1919" s="113">
        <v>191.1</v>
      </c>
      <c r="I1919" s="113">
        <v>14.5</v>
      </c>
      <c r="J1919" s="113">
        <v>26.79</v>
      </c>
      <c r="K1919" s="113">
        <v>-20.100000000000001</v>
      </c>
    </row>
    <row r="1920" spans="2:11" x14ac:dyDescent="0.25">
      <c r="B1920" s="185"/>
      <c r="C1920" s="113">
        <v>246.87299999999999</v>
      </c>
      <c r="D1920" s="113">
        <v>9190</v>
      </c>
      <c r="E1920" s="113">
        <v>1917</v>
      </c>
      <c r="F1920" s="113">
        <v>197</v>
      </c>
      <c r="G1920" s="113">
        <v>194.7</v>
      </c>
      <c r="H1920" s="113">
        <v>191.3</v>
      </c>
      <c r="I1920" s="113">
        <v>14.4</v>
      </c>
      <c r="J1920" s="113">
        <v>27.98</v>
      </c>
      <c r="K1920" s="113">
        <v>-20.5</v>
      </c>
    </row>
    <row r="1921" spans="2:11" x14ac:dyDescent="0.25">
      <c r="B1921" s="185"/>
      <c r="C1921" s="113">
        <v>246.892</v>
      </c>
      <c r="D1921" s="113">
        <v>9191</v>
      </c>
      <c r="E1921" s="113">
        <v>1918</v>
      </c>
      <c r="F1921" s="113">
        <v>197</v>
      </c>
      <c r="G1921" s="113">
        <v>194.6</v>
      </c>
      <c r="H1921" s="113">
        <v>191.4</v>
      </c>
      <c r="I1921" s="113">
        <v>13.9</v>
      </c>
      <c r="J1921" s="113">
        <v>26.36</v>
      </c>
      <c r="K1921" s="113">
        <v>-20.5</v>
      </c>
    </row>
    <row r="1922" spans="2:11" x14ac:dyDescent="0.25">
      <c r="B1922" s="185"/>
      <c r="C1922" s="113">
        <v>246.91</v>
      </c>
      <c r="D1922" s="113">
        <v>9192</v>
      </c>
      <c r="E1922" s="113">
        <v>1919</v>
      </c>
      <c r="F1922" s="113">
        <v>196</v>
      </c>
      <c r="G1922" s="113">
        <v>194.4</v>
      </c>
      <c r="H1922" s="113">
        <v>191.6</v>
      </c>
      <c r="I1922" s="113">
        <v>13.1</v>
      </c>
      <c r="J1922" s="113">
        <v>25.75</v>
      </c>
      <c r="K1922" s="113">
        <v>-20.399999999999999</v>
      </c>
    </row>
    <row r="1923" spans="2:11" x14ac:dyDescent="0.25">
      <c r="B1923" s="185"/>
      <c r="C1923" s="113">
        <v>246.929</v>
      </c>
      <c r="D1923" s="113">
        <v>9194</v>
      </c>
      <c r="E1923" s="113">
        <v>1920</v>
      </c>
      <c r="F1923" s="113">
        <v>196</v>
      </c>
      <c r="G1923" s="113">
        <v>194.3</v>
      </c>
      <c r="H1923" s="113">
        <v>191.6</v>
      </c>
      <c r="I1923" s="113">
        <v>12.4</v>
      </c>
      <c r="J1923" s="113">
        <v>25.22</v>
      </c>
      <c r="K1923" s="113">
        <v>-20.3</v>
      </c>
    </row>
    <row r="1924" spans="2:11" x14ac:dyDescent="0.25">
      <c r="B1924" s="185"/>
      <c r="C1924" s="113">
        <v>246.947</v>
      </c>
      <c r="D1924" s="113">
        <v>9194</v>
      </c>
      <c r="E1924" s="113">
        <v>1921</v>
      </c>
      <c r="F1924" s="113">
        <v>197</v>
      </c>
      <c r="G1924" s="113">
        <v>194.4</v>
      </c>
      <c r="H1924" s="113">
        <v>191.8</v>
      </c>
      <c r="I1924" s="113">
        <v>11.3</v>
      </c>
      <c r="J1924" s="113">
        <v>24.12</v>
      </c>
      <c r="K1924" s="113">
        <v>-20.2</v>
      </c>
    </row>
    <row r="1925" spans="2:11" x14ac:dyDescent="0.25">
      <c r="B1925" s="185"/>
      <c r="C1925" s="113">
        <v>246.96600000000001</v>
      </c>
      <c r="D1925" s="113">
        <v>9195</v>
      </c>
      <c r="E1925" s="113">
        <v>1922</v>
      </c>
      <c r="F1925" s="113">
        <v>197</v>
      </c>
      <c r="G1925" s="113">
        <v>194.4</v>
      </c>
      <c r="H1925" s="113">
        <v>191.9</v>
      </c>
      <c r="I1925" s="113">
        <v>9.9</v>
      </c>
      <c r="J1925" s="113">
        <v>19.73</v>
      </c>
      <c r="K1925" s="113">
        <v>-20.100000000000001</v>
      </c>
    </row>
    <row r="1926" spans="2:11" x14ac:dyDescent="0.25">
      <c r="B1926" s="185"/>
      <c r="C1926" s="113">
        <v>246.98400000000001</v>
      </c>
      <c r="D1926" s="113">
        <v>9196</v>
      </c>
      <c r="E1926" s="113">
        <v>1923</v>
      </c>
      <c r="F1926" s="113">
        <v>198</v>
      </c>
      <c r="G1926" s="113">
        <v>194.5</v>
      </c>
      <c r="H1926" s="113">
        <v>192.1</v>
      </c>
      <c r="I1926" s="113">
        <v>7.4</v>
      </c>
      <c r="J1926" s="113">
        <v>18.079999999999998</v>
      </c>
      <c r="K1926" s="113">
        <v>-20.100000000000001</v>
      </c>
    </row>
    <row r="1927" spans="2:11" x14ac:dyDescent="0.25">
      <c r="B1927" s="185"/>
      <c r="C1927" s="113">
        <v>247.00200000000001</v>
      </c>
      <c r="D1927" s="113">
        <v>9197</v>
      </c>
      <c r="E1927" s="113">
        <v>1924</v>
      </c>
      <c r="F1927" s="113">
        <v>198</v>
      </c>
      <c r="G1927" s="113">
        <v>194.7</v>
      </c>
      <c r="H1927" s="113">
        <v>192.3</v>
      </c>
      <c r="I1927" s="113">
        <v>4.9000000000000004</v>
      </c>
      <c r="J1927" s="113">
        <v>17.559999999999999</v>
      </c>
      <c r="K1927" s="113">
        <v>-20.100000000000001</v>
      </c>
    </row>
    <row r="1928" spans="2:11" x14ac:dyDescent="0.25">
      <c r="B1928" s="185"/>
      <c r="C1928" s="113">
        <v>247.02099999999999</v>
      </c>
      <c r="D1928" s="113">
        <v>9198</v>
      </c>
      <c r="E1928" s="113">
        <v>1925</v>
      </c>
      <c r="F1928" s="113">
        <v>198</v>
      </c>
      <c r="G1928" s="113">
        <v>194.7</v>
      </c>
      <c r="H1928" s="113">
        <v>192.4</v>
      </c>
      <c r="I1928" s="113">
        <v>3.5</v>
      </c>
      <c r="J1928" s="113">
        <v>16.16</v>
      </c>
      <c r="K1928" s="113">
        <v>-20.100000000000001</v>
      </c>
    </row>
    <row r="1929" spans="2:11" x14ac:dyDescent="0.25">
      <c r="B1929" s="185"/>
      <c r="C1929" s="113">
        <v>247.03899999999999</v>
      </c>
      <c r="D1929" s="113">
        <v>9199</v>
      </c>
      <c r="E1929" s="113">
        <v>1926</v>
      </c>
      <c r="F1929" s="113">
        <v>198</v>
      </c>
      <c r="G1929" s="113">
        <v>194.7</v>
      </c>
      <c r="H1929" s="113">
        <v>192.5</v>
      </c>
      <c r="I1929" s="113">
        <v>3.2</v>
      </c>
      <c r="J1929" s="113">
        <v>15.31</v>
      </c>
      <c r="K1929" s="113">
        <v>-20.100000000000001</v>
      </c>
    </row>
    <row r="1930" spans="2:11" x14ac:dyDescent="0.25">
      <c r="B1930" s="185"/>
      <c r="C1930" s="113">
        <v>247.05799999999999</v>
      </c>
      <c r="D1930" s="113">
        <v>9200</v>
      </c>
      <c r="E1930" s="113">
        <v>1927</v>
      </c>
      <c r="F1930" s="113">
        <v>198</v>
      </c>
      <c r="G1930" s="113">
        <v>194.8</v>
      </c>
      <c r="H1930" s="113">
        <v>192.7</v>
      </c>
      <c r="I1930" s="113">
        <v>3</v>
      </c>
      <c r="J1930" s="113">
        <v>14.15</v>
      </c>
      <c r="K1930" s="113">
        <v>-20.399999999999999</v>
      </c>
    </row>
    <row r="1931" spans="2:11" x14ac:dyDescent="0.25">
      <c r="B1931" s="185"/>
      <c r="C1931" s="113">
        <v>247.07599999999999</v>
      </c>
      <c r="D1931" s="113">
        <v>9201</v>
      </c>
      <c r="E1931" s="113">
        <v>1928</v>
      </c>
      <c r="F1931" s="113">
        <v>198</v>
      </c>
      <c r="G1931" s="113">
        <v>195.1</v>
      </c>
      <c r="H1931" s="113">
        <v>192.9</v>
      </c>
      <c r="I1931" s="113">
        <v>2.9</v>
      </c>
      <c r="J1931" s="113">
        <v>12.82</v>
      </c>
      <c r="K1931" s="113">
        <v>-20.8</v>
      </c>
    </row>
    <row r="1932" spans="2:11" x14ac:dyDescent="0.25">
      <c r="B1932" s="185"/>
      <c r="C1932" s="113">
        <v>247.09399999999999</v>
      </c>
      <c r="D1932" s="113">
        <v>9202</v>
      </c>
      <c r="E1932" s="113">
        <v>1929</v>
      </c>
      <c r="F1932" s="113">
        <v>198</v>
      </c>
      <c r="G1932" s="113">
        <v>195.2</v>
      </c>
      <c r="H1932" s="113">
        <v>193</v>
      </c>
      <c r="I1932" s="113">
        <v>2.6</v>
      </c>
      <c r="J1932" s="113">
        <v>12.02</v>
      </c>
      <c r="K1932" s="113">
        <v>-21.2</v>
      </c>
    </row>
    <row r="1933" spans="2:11" x14ac:dyDescent="0.25">
      <c r="B1933" s="185"/>
      <c r="C1933" s="113">
        <v>247.113</v>
      </c>
      <c r="D1933" s="113">
        <v>9203</v>
      </c>
      <c r="E1933" s="113">
        <v>1930</v>
      </c>
      <c r="F1933" s="113">
        <v>199</v>
      </c>
      <c r="G1933" s="113">
        <v>195.3</v>
      </c>
      <c r="H1933" s="113">
        <v>193.2</v>
      </c>
      <c r="I1933" s="113">
        <v>2.4</v>
      </c>
      <c r="J1933" s="113">
        <v>11.91</v>
      </c>
      <c r="K1933" s="113">
        <v>-21.6</v>
      </c>
    </row>
    <row r="1934" spans="2:11" x14ac:dyDescent="0.25">
      <c r="B1934" s="185"/>
      <c r="C1934" s="113">
        <v>247.131</v>
      </c>
      <c r="D1934" s="113">
        <v>9204</v>
      </c>
      <c r="E1934" s="113">
        <v>1931</v>
      </c>
      <c r="F1934" s="113">
        <v>199</v>
      </c>
      <c r="G1934" s="113">
        <v>195.6</v>
      </c>
      <c r="H1934" s="113">
        <v>193.4</v>
      </c>
      <c r="I1934" s="113">
        <v>2.4</v>
      </c>
      <c r="J1934" s="113">
        <v>10.85</v>
      </c>
      <c r="K1934" s="113">
        <v>-18.8</v>
      </c>
    </row>
    <row r="1935" spans="2:11" x14ac:dyDescent="0.25">
      <c r="B1935" s="185"/>
      <c r="C1935" s="113">
        <v>247.15</v>
      </c>
      <c r="D1935" s="113">
        <v>9205</v>
      </c>
      <c r="E1935" s="113">
        <v>1932</v>
      </c>
      <c r="F1935" s="113">
        <v>198</v>
      </c>
      <c r="G1935" s="113">
        <v>195.8</v>
      </c>
      <c r="H1935" s="113">
        <v>193.6</v>
      </c>
      <c r="I1935" s="113">
        <v>2.9</v>
      </c>
      <c r="J1935" s="113">
        <v>10.94</v>
      </c>
      <c r="K1935" s="113">
        <v>-14.7</v>
      </c>
    </row>
    <row r="1936" spans="2:11" x14ac:dyDescent="0.25">
      <c r="B1936" s="185"/>
      <c r="C1936" s="113">
        <v>247.16800000000001</v>
      </c>
      <c r="D1936" s="113">
        <v>9207</v>
      </c>
      <c r="E1936" s="113">
        <v>1933</v>
      </c>
      <c r="F1936" s="113">
        <v>198</v>
      </c>
      <c r="G1936" s="113">
        <v>195.9</v>
      </c>
      <c r="H1936" s="113">
        <v>193.6</v>
      </c>
      <c r="I1936" s="113">
        <v>3.3</v>
      </c>
      <c r="J1936" s="113">
        <v>10.41</v>
      </c>
      <c r="K1936" s="113">
        <v>-12.5</v>
      </c>
    </row>
    <row r="1937" spans="2:11" x14ac:dyDescent="0.25">
      <c r="B1937" s="185"/>
      <c r="C1937" s="113">
        <v>247.18600000000001</v>
      </c>
      <c r="D1937" s="113">
        <v>9207</v>
      </c>
      <c r="E1937" s="113">
        <v>1934</v>
      </c>
      <c r="F1937" s="113">
        <v>198</v>
      </c>
      <c r="G1937" s="113">
        <v>196.1</v>
      </c>
      <c r="H1937" s="113">
        <v>193.8</v>
      </c>
      <c r="I1937" s="113">
        <v>3.6</v>
      </c>
      <c r="J1937" s="113">
        <v>11.12</v>
      </c>
      <c r="K1937" s="113">
        <v>-8.4</v>
      </c>
    </row>
    <row r="1938" spans="2:11" x14ac:dyDescent="0.25">
      <c r="B1938" s="185"/>
      <c r="C1938" s="113">
        <v>247.20500000000001</v>
      </c>
      <c r="D1938" s="113">
        <v>9208</v>
      </c>
      <c r="E1938" s="113">
        <v>1935</v>
      </c>
      <c r="F1938" s="113">
        <v>198</v>
      </c>
      <c r="G1938" s="113">
        <v>196.3</v>
      </c>
      <c r="H1938" s="113">
        <v>194</v>
      </c>
      <c r="I1938" s="113">
        <v>4</v>
      </c>
      <c r="J1938" s="113">
        <v>13.33</v>
      </c>
      <c r="K1938" s="113">
        <v>-5.7</v>
      </c>
    </row>
    <row r="1939" spans="2:11" x14ac:dyDescent="0.25">
      <c r="B1939" s="185"/>
      <c r="C1939" s="113">
        <v>247.22300000000001</v>
      </c>
      <c r="D1939" s="113">
        <v>9209</v>
      </c>
      <c r="E1939" s="113">
        <v>1936</v>
      </c>
      <c r="F1939" s="113">
        <v>199</v>
      </c>
      <c r="G1939" s="113">
        <v>196</v>
      </c>
      <c r="H1939" s="113">
        <v>194.2</v>
      </c>
      <c r="I1939" s="113">
        <v>4.4000000000000004</v>
      </c>
      <c r="J1939" s="113">
        <v>14.8</v>
      </c>
      <c r="K1939" s="113">
        <v>-9.1</v>
      </c>
    </row>
    <row r="1940" spans="2:11" x14ac:dyDescent="0.25">
      <c r="B1940" s="185"/>
      <c r="C1940" s="113">
        <v>247.24100000000001</v>
      </c>
      <c r="D1940" s="113">
        <v>9210</v>
      </c>
      <c r="E1940" s="113">
        <v>1937</v>
      </c>
      <c r="F1940" s="113">
        <v>199</v>
      </c>
      <c r="G1940" s="113">
        <v>195.8</v>
      </c>
      <c r="H1940" s="113">
        <v>194.4</v>
      </c>
      <c r="I1940" s="113">
        <v>5.0999999999999996</v>
      </c>
      <c r="J1940" s="113">
        <v>12.79</v>
      </c>
      <c r="K1940" s="113">
        <v>-12.6</v>
      </c>
    </row>
    <row r="1941" spans="2:11" x14ac:dyDescent="0.25">
      <c r="B1941" s="185"/>
      <c r="C1941" s="113">
        <v>247.26</v>
      </c>
      <c r="D1941" s="113">
        <v>9211</v>
      </c>
      <c r="E1941" s="113">
        <v>1938</v>
      </c>
      <c r="F1941" s="113">
        <v>200</v>
      </c>
      <c r="G1941" s="113">
        <v>196.2</v>
      </c>
      <c r="H1941" s="113">
        <v>194.6</v>
      </c>
      <c r="I1941" s="113">
        <v>4.9000000000000004</v>
      </c>
      <c r="J1941" s="113">
        <v>11.26</v>
      </c>
      <c r="K1941" s="113">
        <v>-16.100000000000001</v>
      </c>
    </row>
    <row r="1942" spans="2:11" x14ac:dyDescent="0.25">
      <c r="B1942" s="185"/>
      <c r="C1942" s="113">
        <v>247.27799999999999</v>
      </c>
      <c r="D1942" s="113">
        <v>9212</v>
      </c>
      <c r="E1942" s="113">
        <v>1939</v>
      </c>
      <c r="F1942" s="113">
        <v>200</v>
      </c>
      <c r="G1942" s="113">
        <v>196.5</v>
      </c>
      <c r="H1942" s="113">
        <v>194.7</v>
      </c>
      <c r="I1942" s="113">
        <v>4.4000000000000004</v>
      </c>
      <c r="J1942" s="113">
        <v>10.47</v>
      </c>
      <c r="K1942" s="113">
        <v>-17.8</v>
      </c>
    </row>
    <row r="1943" spans="2:11" x14ac:dyDescent="0.25">
      <c r="B1943" s="185"/>
      <c r="C1943" s="113">
        <v>247.29599999999999</v>
      </c>
      <c r="D1943" s="113">
        <v>9213</v>
      </c>
      <c r="E1943" s="113">
        <v>1940</v>
      </c>
      <c r="F1943" s="113">
        <v>200</v>
      </c>
      <c r="G1943" s="113">
        <v>196.5</v>
      </c>
      <c r="H1943" s="113">
        <v>195</v>
      </c>
      <c r="I1943" s="113">
        <v>2.6</v>
      </c>
      <c r="J1943" s="113">
        <v>12.86</v>
      </c>
      <c r="K1943" s="113">
        <v>-19.100000000000001</v>
      </c>
    </row>
    <row r="1944" spans="2:11" x14ac:dyDescent="0.25">
      <c r="B1944" s="185"/>
      <c r="C1944" s="113">
        <v>247.31399999999999</v>
      </c>
      <c r="D1944" s="113">
        <v>9214</v>
      </c>
      <c r="E1944" s="113">
        <v>1941</v>
      </c>
      <c r="F1944" s="113">
        <v>201</v>
      </c>
      <c r="G1944" s="113">
        <v>196.3</v>
      </c>
      <c r="H1944" s="113">
        <v>195.2</v>
      </c>
      <c r="I1944" s="113">
        <v>1.9</v>
      </c>
      <c r="J1944" s="113">
        <v>11.86</v>
      </c>
      <c r="K1944" s="113">
        <v>-19.399999999999999</v>
      </c>
    </row>
    <row r="1945" spans="2:11" x14ac:dyDescent="0.25">
      <c r="B1945" s="185"/>
      <c r="C1945" s="113">
        <v>247.333</v>
      </c>
      <c r="D1945" s="113">
        <v>9215</v>
      </c>
      <c r="E1945" s="113">
        <v>1942</v>
      </c>
      <c r="F1945" s="113">
        <v>201</v>
      </c>
      <c r="G1945" s="113">
        <v>196.8</v>
      </c>
      <c r="H1945" s="113">
        <v>195.4</v>
      </c>
      <c r="I1945" s="113">
        <v>1</v>
      </c>
      <c r="J1945" s="113">
        <v>10</v>
      </c>
      <c r="K1945" s="113">
        <v>-19.7</v>
      </c>
    </row>
    <row r="1946" spans="2:11" x14ac:dyDescent="0.25">
      <c r="B1946" s="185"/>
      <c r="C1946" s="113">
        <v>247.351</v>
      </c>
      <c r="D1946" s="113">
        <v>9216</v>
      </c>
      <c r="E1946" s="113">
        <v>1943</v>
      </c>
      <c r="F1946" s="113">
        <v>201</v>
      </c>
      <c r="G1946" s="113">
        <v>197.6</v>
      </c>
      <c r="H1946" s="113">
        <v>195.6</v>
      </c>
      <c r="I1946" s="113">
        <v>0.9</v>
      </c>
      <c r="J1946" s="113">
        <v>7.49</v>
      </c>
      <c r="K1946" s="113">
        <v>-20</v>
      </c>
    </row>
    <row r="1947" spans="2:11" x14ac:dyDescent="0.25">
      <c r="B1947" s="185"/>
      <c r="C1947" s="113">
        <v>247.369</v>
      </c>
      <c r="D1947" s="113">
        <v>9218</v>
      </c>
      <c r="E1947" s="113">
        <v>1944</v>
      </c>
      <c r="F1947" s="113">
        <v>201</v>
      </c>
      <c r="G1947" s="113">
        <v>197.9</v>
      </c>
      <c r="H1947" s="113">
        <v>195.7</v>
      </c>
      <c r="I1947" s="113">
        <v>0.4</v>
      </c>
      <c r="J1947" s="113">
        <v>7.9</v>
      </c>
      <c r="K1947" s="113">
        <v>-20.100000000000001</v>
      </c>
    </row>
    <row r="1948" spans="2:11" x14ac:dyDescent="0.25">
      <c r="B1948" s="185"/>
      <c r="C1948" s="113">
        <v>247.387</v>
      </c>
      <c r="D1948" s="113">
        <v>9219</v>
      </c>
      <c r="E1948" s="113">
        <v>1945</v>
      </c>
      <c r="F1948" s="113">
        <v>203</v>
      </c>
      <c r="G1948" s="113">
        <v>197.9</v>
      </c>
      <c r="H1948" s="113">
        <v>195.9</v>
      </c>
      <c r="I1948" s="113">
        <v>0</v>
      </c>
      <c r="J1948" s="113">
        <v>10.23</v>
      </c>
      <c r="K1948" s="113">
        <v>-20.100000000000001</v>
      </c>
    </row>
    <row r="1949" spans="2:11" x14ac:dyDescent="0.25">
      <c r="B1949" s="185"/>
      <c r="C1949" s="113">
        <v>247.40600000000001</v>
      </c>
      <c r="D1949" s="113">
        <v>9219</v>
      </c>
      <c r="E1949" s="113">
        <v>1946</v>
      </c>
      <c r="F1949" s="113">
        <v>204</v>
      </c>
      <c r="G1949" s="113">
        <v>198</v>
      </c>
      <c r="H1949" s="113">
        <v>196.1</v>
      </c>
      <c r="I1949" s="113">
        <v>-0.2</v>
      </c>
      <c r="J1949" s="113">
        <v>11.91</v>
      </c>
      <c r="K1949" s="113">
        <v>-20.100000000000001</v>
      </c>
    </row>
    <row r="1950" spans="2:11" x14ac:dyDescent="0.25">
      <c r="B1950" s="185"/>
      <c r="C1950" s="113">
        <v>247.42400000000001</v>
      </c>
      <c r="D1950" s="113">
        <v>9220</v>
      </c>
      <c r="E1950" s="113">
        <v>1947</v>
      </c>
      <c r="F1950" s="113">
        <v>203</v>
      </c>
      <c r="G1950" s="113">
        <v>198.3</v>
      </c>
      <c r="H1950" s="113">
        <v>196.2</v>
      </c>
      <c r="I1950" s="113">
        <v>0.5</v>
      </c>
      <c r="J1950" s="113">
        <v>10.199999999999999</v>
      </c>
      <c r="K1950" s="113">
        <v>-20.100000000000001</v>
      </c>
    </row>
    <row r="1951" spans="2:11" x14ac:dyDescent="0.25">
      <c r="B1951" s="185"/>
      <c r="C1951" s="113">
        <v>247.44200000000001</v>
      </c>
      <c r="D1951" s="113">
        <v>9221</v>
      </c>
      <c r="E1951" s="113">
        <v>1948</v>
      </c>
      <c r="F1951" s="113">
        <v>202</v>
      </c>
      <c r="G1951" s="113">
        <v>198.8</v>
      </c>
      <c r="H1951" s="113">
        <v>196.4</v>
      </c>
      <c r="I1951" s="113">
        <v>1.5</v>
      </c>
      <c r="J1951" s="113">
        <v>8.7100000000000009</v>
      </c>
      <c r="K1951" s="113">
        <v>-19.899999999999999</v>
      </c>
    </row>
    <row r="1952" spans="2:11" x14ac:dyDescent="0.25">
      <c r="B1952" s="185"/>
      <c r="C1952" s="113">
        <v>247.46</v>
      </c>
      <c r="D1952" s="113">
        <v>9222</v>
      </c>
      <c r="E1952" s="113">
        <v>1949</v>
      </c>
      <c r="F1952" s="113">
        <v>203</v>
      </c>
      <c r="G1952" s="113">
        <v>199.5</v>
      </c>
      <c r="H1952" s="113">
        <v>196.5</v>
      </c>
      <c r="I1952" s="113">
        <v>2.2000000000000002</v>
      </c>
      <c r="J1952" s="113">
        <v>9.1300000000000008</v>
      </c>
      <c r="K1952" s="113">
        <v>-18.899999999999999</v>
      </c>
    </row>
    <row r="1953" spans="2:11" x14ac:dyDescent="0.25">
      <c r="B1953" s="185"/>
      <c r="C1953" s="113">
        <v>247.47800000000001</v>
      </c>
      <c r="D1953" s="113">
        <v>9223</v>
      </c>
      <c r="E1953" s="113">
        <v>1950</v>
      </c>
      <c r="F1953" s="113">
        <v>203</v>
      </c>
      <c r="G1953" s="113">
        <v>199.9</v>
      </c>
      <c r="H1953" s="113">
        <v>196.6</v>
      </c>
      <c r="I1953" s="113">
        <v>2.2000000000000002</v>
      </c>
      <c r="J1953" s="113">
        <v>10.42</v>
      </c>
      <c r="K1953" s="113">
        <v>-18.399999999999999</v>
      </c>
    </row>
    <row r="1954" spans="2:11" x14ac:dyDescent="0.25">
      <c r="B1954" s="185"/>
      <c r="C1954" s="113">
        <v>247.49600000000001</v>
      </c>
      <c r="D1954" s="113">
        <v>9224</v>
      </c>
      <c r="E1954" s="113">
        <v>1951</v>
      </c>
      <c r="F1954" s="113">
        <v>202</v>
      </c>
      <c r="G1954" s="113">
        <v>200.3</v>
      </c>
      <c r="H1954" s="113">
        <v>196.7</v>
      </c>
      <c r="I1954" s="113">
        <v>2.8</v>
      </c>
      <c r="J1954" s="113">
        <v>12.14</v>
      </c>
      <c r="K1954" s="113">
        <v>-17.3</v>
      </c>
    </row>
    <row r="1955" spans="2:11" x14ac:dyDescent="0.25">
      <c r="B1955" s="185"/>
      <c r="C1955" s="113">
        <v>247.51400000000001</v>
      </c>
      <c r="D1955" s="113">
        <v>9225</v>
      </c>
      <c r="E1955" s="113">
        <v>1952</v>
      </c>
      <c r="F1955" s="113">
        <v>201</v>
      </c>
      <c r="G1955" s="113">
        <v>200.4</v>
      </c>
      <c r="H1955" s="113">
        <v>196.8</v>
      </c>
      <c r="I1955" s="113">
        <v>4.2</v>
      </c>
      <c r="J1955" s="113">
        <v>14.18</v>
      </c>
      <c r="K1955" s="113">
        <v>-16.3</v>
      </c>
    </row>
    <row r="1956" spans="2:11" x14ac:dyDescent="0.25">
      <c r="B1956" s="185"/>
      <c r="C1956" s="113">
        <v>247.53200000000001</v>
      </c>
      <c r="D1956" s="113">
        <v>9226</v>
      </c>
      <c r="E1956" s="113">
        <v>1953</v>
      </c>
      <c r="F1956" s="113">
        <v>200</v>
      </c>
      <c r="G1956" s="113">
        <v>200.4</v>
      </c>
      <c r="H1956" s="113">
        <v>196.9</v>
      </c>
      <c r="I1956" s="113">
        <v>7.6</v>
      </c>
      <c r="J1956" s="113">
        <v>18.690000000000001</v>
      </c>
      <c r="K1956" s="113">
        <v>-15.1</v>
      </c>
    </row>
    <row r="1957" spans="2:11" x14ac:dyDescent="0.25">
      <c r="B1957" s="185"/>
      <c r="C1957" s="113">
        <v>247.55</v>
      </c>
      <c r="D1957" s="113">
        <v>9227</v>
      </c>
      <c r="E1957" s="113">
        <v>1954</v>
      </c>
      <c r="F1957" s="113">
        <v>198</v>
      </c>
      <c r="G1957" s="113">
        <v>200.2</v>
      </c>
      <c r="H1957" s="113">
        <v>197</v>
      </c>
      <c r="I1957" s="113">
        <v>10.6</v>
      </c>
      <c r="J1957" s="113">
        <v>26.06</v>
      </c>
      <c r="K1957" s="113">
        <v>-13.7</v>
      </c>
    </row>
    <row r="1958" spans="2:11" x14ac:dyDescent="0.25">
      <c r="B1958" s="185"/>
      <c r="C1958" s="113">
        <v>247.56700000000001</v>
      </c>
      <c r="D1958" s="113">
        <v>9229</v>
      </c>
      <c r="E1958" s="113">
        <v>1955</v>
      </c>
      <c r="F1958" s="113">
        <v>198</v>
      </c>
      <c r="G1958" s="113">
        <v>200.2</v>
      </c>
      <c r="H1958" s="113">
        <v>197</v>
      </c>
      <c r="I1958" s="113">
        <v>11.5</v>
      </c>
      <c r="J1958" s="113">
        <v>30.29</v>
      </c>
      <c r="K1958" s="113">
        <v>-13.1</v>
      </c>
    </row>
    <row r="1959" spans="2:11" x14ac:dyDescent="0.25">
      <c r="B1959" s="185"/>
      <c r="C1959" s="113">
        <v>247.58600000000001</v>
      </c>
      <c r="D1959" s="113">
        <v>9229</v>
      </c>
      <c r="E1959" s="113">
        <v>1956</v>
      </c>
      <c r="F1959" s="113">
        <v>198</v>
      </c>
      <c r="G1959" s="113">
        <v>200.6</v>
      </c>
      <c r="H1959" s="113">
        <v>197</v>
      </c>
      <c r="I1959" s="113">
        <v>12.1</v>
      </c>
      <c r="J1959" s="113">
        <v>34.630000000000003</v>
      </c>
      <c r="K1959" s="113">
        <v>-11.7</v>
      </c>
    </row>
    <row r="1960" spans="2:11" x14ac:dyDescent="0.25">
      <c r="B1960" s="185"/>
      <c r="C1960" s="113">
        <v>247.60400000000001</v>
      </c>
      <c r="D1960" s="113">
        <v>9230</v>
      </c>
      <c r="E1960" s="113">
        <v>1957</v>
      </c>
      <c r="F1960" s="113">
        <v>198</v>
      </c>
      <c r="G1960" s="113">
        <v>200.8</v>
      </c>
      <c r="H1960" s="113">
        <v>197</v>
      </c>
      <c r="I1960" s="113">
        <v>11.7</v>
      </c>
      <c r="J1960" s="113">
        <v>39.729999999999997</v>
      </c>
      <c r="K1960" s="113">
        <v>-10.9</v>
      </c>
    </row>
    <row r="1961" spans="2:11" x14ac:dyDescent="0.25">
      <c r="B1961" s="185"/>
      <c r="C1961" s="113">
        <v>247.62100000000001</v>
      </c>
      <c r="D1961" s="113">
        <v>9231</v>
      </c>
      <c r="E1961" s="113">
        <v>1958</v>
      </c>
      <c r="F1961" s="113">
        <v>199</v>
      </c>
      <c r="G1961" s="113">
        <v>200.5</v>
      </c>
      <c r="H1961" s="113">
        <v>197.1</v>
      </c>
      <c r="I1961" s="113">
        <v>10.4</v>
      </c>
      <c r="J1961" s="113">
        <v>47.93</v>
      </c>
      <c r="K1961" s="113">
        <v>-12.4</v>
      </c>
    </row>
    <row r="1962" spans="2:11" x14ac:dyDescent="0.25">
      <c r="B1962" s="185"/>
      <c r="C1962" s="113">
        <v>247.63900000000001</v>
      </c>
      <c r="D1962" s="113">
        <v>9232</v>
      </c>
      <c r="E1962" s="113">
        <v>1959</v>
      </c>
      <c r="F1962" s="113">
        <v>199</v>
      </c>
      <c r="G1962" s="113">
        <v>200.4</v>
      </c>
      <c r="H1962" s="113">
        <v>197.1</v>
      </c>
      <c r="I1962" s="113">
        <v>10.4</v>
      </c>
      <c r="J1962" s="113">
        <v>52.71</v>
      </c>
      <c r="K1962" s="113">
        <v>-13.1</v>
      </c>
    </row>
    <row r="1963" spans="2:11" x14ac:dyDescent="0.25">
      <c r="B1963" s="185"/>
      <c r="C1963" s="113">
        <v>247.65700000000001</v>
      </c>
      <c r="D1963" s="113">
        <v>9233</v>
      </c>
      <c r="E1963" s="113">
        <v>1960</v>
      </c>
      <c r="F1963" s="113">
        <v>198</v>
      </c>
      <c r="G1963" s="113">
        <v>200.2</v>
      </c>
      <c r="H1963" s="113">
        <v>197</v>
      </c>
      <c r="I1963" s="113">
        <v>12.9</v>
      </c>
      <c r="J1963" s="113">
        <v>56.9</v>
      </c>
      <c r="K1963" s="113">
        <v>-14.6</v>
      </c>
    </row>
    <row r="1964" spans="2:11" x14ac:dyDescent="0.25">
      <c r="B1964" s="185"/>
      <c r="C1964" s="113">
        <v>247.67500000000001</v>
      </c>
      <c r="D1964" s="113">
        <v>9234</v>
      </c>
      <c r="E1964" s="113">
        <v>1961</v>
      </c>
      <c r="F1964" s="113">
        <v>196</v>
      </c>
      <c r="G1964" s="113">
        <v>200.1</v>
      </c>
      <c r="H1964" s="113">
        <v>196.8</v>
      </c>
      <c r="I1964" s="113">
        <v>14.8</v>
      </c>
      <c r="J1964" s="113">
        <v>56.81</v>
      </c>
      <c r="K1964" s="113">
        <v>-16.100000000000001</v>
      </c>
    </row>
    <row r="1965" spans="2:11" x14ac:dyDescent="0.25">
      <c r="B1965" s="185"/>
      <c r="C1965" s="113">
        <v>247.69300000000001</v>
      </c>
      <c r="D1965" s="113">
        <v>9235</v>
      </c>
      <c r="E1965" s="113">
        <v>1962</v>
      </c>
      <c r="F1965" s="113">
        <v>194</v>
      </c>
      <c r="G1965" s="113">
        <v>199.6</v>
      </c>
      <c r="H1965" s="113">
        <v>196.7</v>
      </c>
      <c r="I1965" s="113">
        <v>14.7</v>
      </c>
      <c r="J1965" s="113">
        <v>57.1</v>
      </c>
      <c r="K1965" s="113">
        <v>-17.399999999999999</v>
      </c>
    </row>
    <row r="1966" spans="2:11" x14ac:dyDescent="0.25">
      <c r="B1966" s="185"/>
      <c r="C1966" s="113">
        <v>247.71100000000001</v>
      </c>
      <c r="D1966" s="113">
        <v>9236</v>
      </c>
      <c r="E1966" s="113">
        <v>1963</v>
      </c>
      <c r="F1966" s="113">
        <v>192</v>
      </c>
      <c r="G1966" s="113">
        <v>198.9</v>
      </c>
      <c r="H1966" s="113">
        <v>196.6</v>
      </c>
      <c r="I1966" s="113">
        <v>12.6</v>
      </c>
      <c r="J1966" s="113">
        <v>62.63</v>
      </c>
      <c r="K1966" s="113">
        <v>-18.5</v>
      </c>
    </row>
    <row r="1967" spans="2:11" x14ac:dyDescent="0.25">
      <c r="B1967" s="185"/>
      <c r="C1967" s="113">
        <v>247.72900000000001</v>
      </c>
      <c r="D1967" s="113">
        <v>9237</v>
      </c>
      <c r="E1967" s="113">
        <v>1964</v>
      </c>
      <c r="F1967" s="113">
        <v>192</v>
      </c>
      <c r="G1967" s="113">
        <v>198.3</v>
      </c>
      <c r="H1967" s="113">
        <v>196.5</v>
      </c>
      <c r="I1967" s="113">
        <v>11.7</v>
      </c>
      <c r="J1967" s="113">
        <v>62.3</v>
      </c>
      <c r="K1967" s="113">
        <v>-19.100000000000001</v>
      </c>
    </row>
    <row r="1968" spans="2:11" x14ac:dyDescent="0.25">
      <c r="B1968" s="185"/>
      <c r="C1968" s="113">
        <v>247.74700000000001</v>
      </c>
      <c r="D1968" s="113">
        <v>9238</v>
      </c>
      <c r="E1968" s="113">
        <v>1965</v>
      </c>
      <c r="F1968" s="113">
        <v>193</v>
      </c>
      <c r="G1968" s="113">
        <v>196.6</v>
      </c>
      <c r="H1968" s="113">
        <v>196.3</v>
      </c>
      <c r="I1968" s="113">
        <v>11.1</v>
      </c>
      <c r="J1968" s="113">
        <v>60.5</v>
      </c>
      <c r="K1968" s="113">
        <v>-20.3</v>
      </c>
    </row>
    <row r="1969" spans="2:11" x14ac:dyDescent="0.25">
      <c r="B1969" s="185"/>
      <c r="C1969" s="113">
        <v>247.76499999999999</v>
      </c>
      <c r="D1969" s="113">
        <v>9239</v>
      </c>
      <c r="E1969" s="113">
        <v>1966</v>
      </c>
      <c r="F1969" s="113">
        <v>193</v>
      </c>
      <c r="G1969" s="113">
        <v>195</v>
      </c>
      <c r="H1969" s="113">
        <v>196.1</v>
      </c>
      <c r="I1969" s="113">
        <v>10.7</v>
      </c>
      <c r="J1969" s="113">
        <v>58.59</v>
      </c>
      <c r="K1969" s="113">
        <v>-21.2</v>
      </c>
    </row>
    <row r="1970" spans="2:11" x14ac:dyDescent="0.25">
      <c r="B1970" s="185"/>
      <c r="C1970" s="113">
        <v>247.78399999999999</v>
      </c>
      <c r="D1970" s="113">
        <v>9240</v>
      </c>
      <c r="E1970" s="113">
        <v>1967</v>
      </c>
      <c r="F1970" s="113">
        <v>193</v>
      </c>
      <c r="G1970" s="113">
        <v>194.4</v>
      </c>
      <c r="H1970" s="113">
        <v>195.8</v>
      </c>
      <c r="I1970" s="113">
        <v>8.3000000000000007</v>
      </c>
      <c r="J1970" s="113">
        <v>61.15</v>
      </c>
      <c r="K1970" s="113">
        <v>-21.2</v>
      </c>
    </row>
    <row r="1971" spans="2:11" x14ac:dyDescent="0.25">
      <c r="B1971" s="185"/>
      <c r="C1971" s="113">
        <v>247.80199999999999</v>
      </c>
      <c r="D1971" s="113">
        <v>9241</v>
      </c>
      <c r="E1971" s="113">
        <v>1968</v>
      </c>
      <c r="F1971" s="113">
        <v>193</v>
      </c>
      <c r="G1971" s="113">
        <v>193.7</v>
      </c>
      <c r="H1971" s="113">
        <v>195.5</v>
      </c>
      <c r="I1971" s="113">
        <v>4.8</v>
      </c>
      <c r="J1971" s="113">
        <v>63.14</v>
      </c>
      <c r="K1971" s="113">
        <v>-21.2</v>
      </c>
    </row>
    <row r="1972" spans="2:11" x14ac:dyDescent="0.25">
      <c r="B1972" s="185"/>
      <c r="C1972" s="113">
        <v>247.821</v>
      </c>
      <c r="D1972" s="113">
        <v>9242</v>
      </c>
      <c r="E1972" s="113">
        <v>1969</v>
      </c>
      <c r="F1972" s="113">
        <v>191</v>
      </c>
      <c r="G1972" s="113">
        <v>192.8</v>
      </c>
      <c r="H1972" s="113">
        <v>195.2</v>
      </c>
      <c r="I1972" s="113">
        <v>2.4</v>
      </c>
      <c r="J1972" s="113">
        <v>66.87</v>
      </c>
      <c r="K1972" s="113">
        <v>-21.2</v>
      </c>
    </row>
    <row r="1973" spans="2:11" x14ac:dyDescent="0.25">
      <c r="B1973" s="185"/>
      <c r="C1973" s="113">
        <v>247.839</v>
      </c>
      <c r="D1973" s="113">
        <v>9243</v>
      </c>
      <c r="E1973" s="113">
        <v>1970</v>
      </c>
      <c r="F1973" s="113">
        <v>190</v>
      </c>
      <c r="G1973" s="113">
        <v>192.4</v>
      </c>
      <c r="H1973" s="113">
        <v>195</v>
      </c>
      <c r="I1973" s="113">
        <v>2</v>
      </c>
      <c r="J1973" s="113">
        <v>67.77</v>
      </c>
      <c r="K1973" s="113">
        <v>-21.2</v>
      </c>
    </row>
    <row r="1974" spans="2:11" x14ac:dyDescent="0.25">
      <c r="B1974" s="185"/>
      <c r="C1974" s="113">
        <v>247.857</v>
      </c>
      <c r="D1974" s="113">
        <v>9244</v>
      </c>
      <c r="E1974" s="113">
        <v>1971</v>
      </c>
      <c r="F1974" s="113">
        <v>190</v>
      </c>
      <c r="G1974" s="113">
        <v>191.7</v>
      </c>
      <c r="H1974" s="113">
        <v>194.7</v>
      </c>
      <c r="I1974" s="113">
        <v>0.9</v>
      </c>
      <c r="J1974" s="113">
        <v>73.39</v>
      </c>
      <c r="K1974" s="113">
        <v>-21.9</v>
      </c>
    </row>
    <row r="1975" spans="2:11" x14ac:dyDescent="0.25">
      <c r="B1975" s="185"/>
      <c r="C1975" s="113">
        <v>247.876</v>
      </c>
      <c r="D1975" s="113">
        <v>9245</v>
      </c>
      <c r="E1975" s="113">
        <v>1972</v>
      </c>
      <c r="F1975" s="113">
        <v>189</v>
      </c>
      <c r="G1975" s="113">
        <v>191.1</v>
      </c>
      <c r="H1975" s="113">
        <v>194.4</v>
      </c>
      <c r="I1975" s="113">
        <v>0.8</v>
      </c>
      <c r="J1975" s="113">
        <v>77.94</v>
      </c>
      <c r="K1975" s="113">
        <v>-22.8</v>
      </c>
    </row>
    <row r="1976" spans="2:11" x14ac:dyDescent="0.25">
      <c r="B1976" s="185"/>
      <c r="C1976" s="113">
        <v>247.89500000000001</v>
      </c>
      <c r="D1976" s="113">
        <v>9246</v>
      </c>
      <c r="E1976" s="113">
        <v>1973</v>
      </c>
      <c r="F1976" s="113">
        <v>188</v>
      </c>
      <c r="G1976" s="113">
        <v>190.5</v>
      </c>
      <c r="H1976" s="113">
        <v>194.1</v>
      </c>
      <c r="I1976" s="113">
        <v>0.6</v>
      </c>
      <c r="J1976" s="113">
        <v>81.239999999999995</v>
      </c>
      <c r="K1976" s="113">
        <v>-23.7</v>
      </c>
    </row>
    <row r="1977" spans="2:11" x14ac:dyDescent="0.25">
      <c r="B1977" s="185"/>
      <c r="C1977" s="113">
        <v>247.91399999999999</v>
      </c>
      <c r="D1977" s="113">
        <v>9247</v>
      </c>
      <c r="E1977" s="113">
        <v>1974</v>
      </c>
      <c r="F1977" s="113">
        <v>187</v>
      </c>
      <c r="G1977" s="113">
        <v>190</v>
      </c>
      <c r="H1977" s="113">
        <v>193.7</v>
      </c>
      <c r="I1977" s="113">
        <v>0.2</v>
      </c>
      <c r="J1977" s="113">
        <v>84.92</v>
      </c>
      <c r="K1977" s="113">
        <v>-24.7</v>
      </c>
    </row>
    <row r="1978" spans="2:11" x14ac:dyDescent="0.25">
      <c r="B1978" s="185"/>
      <c r="C1978" s="113">
        <v>247.93299999999999</v>
      </c>
      <c r="D1978" s="113">
        <v>9248</v>
      </c>
      <c r="E1978" s="113">
        <v>1975</v>
      </c>
      <c r="F1978" s="113">
        <v>187</v>
      </c>
      <c r="G1978" s="113">
        <v>189.2</v>
      </c>
      <c r="H1978" s="113">
        <v>193.4</v>
      </c>
      <c r="I1978" s="113">
        <v>-0.1</v>
      </c>
      <c r="J1978" s="113">
        <v>86.87</v>
      </c>
      <c r="K1978" s="113">
        <v>-25.2</v>
      </c>
    </row>
    <row r="1979" spans="2:11" x14ac:dyDescent="0.25">
      <c r="B1979" s="185"/>
      <c r="C1979" s="113">
        <v>247.952</v>
      </c>
      <c r="D1979" s="113">
        <v>9249</v>
      </c>
      <c r="E1979" s="113">
        <v>1976</v>
      </c>
      <c r="F1979" s="113">
        <v>186</v>
      </c>
      <c r="G1979" s="113">
        <v>188.3</v>
      </c>
      <c r="H1979" s="113">
        <v>193</v>
      </c>
      <c r="I1979" s="113">
        <v>-0.9</v>
      </c>
      <c r="J1979" s="113">
        <v>87.12</v>
      </c>
      <c r="K1979" s="113">
        <v>-25.5</v>
      </c>
    </row>
    <row r="1980" spans="2:11" x14ac:dyDescent="0.25">
      <c r="B1980" s="185"/>
      <c r="C1980" s="113">
        <v>247.971</v>
      </c>
      <c r="D1980" s="113">
        <v>9250</v>
      </c>
      <c r="E1980" s="113">
        <v>1977</v>
      </c>
      <c r="F1980" s="113">
        <v>185</v>
      </c>
      <c r="G1980" s="113">
        <v>187</v>
      </c>
      <c r="H1980" s="113">
        <v>192.6</v>
      </c>
      <c r="I1980" s="113">
        <v>-1</v>
      </c>
      <c r="J1980" s="113">
        <v>87.39</v>
      </c>
      <c r="K1980" s="113">
        <v>-25.7</v>
      </c>
    </row>
    <row r="1981" spans="2:11" x14ac:dyDescent="0.25">
      <c r="B1981" s="185"/>
      <c r="C1981" s="113">
        <v>247.99</v>
      </c>
      <c r="D1981" s="113">
        <v>9251</v>
      </c>
      <c r="E1981" s="113">
        <v>1978</v>
      </c>
      <c r="F1981" s="113">
        <v>184</v>
      </c>
      <c r="G1981" s="113">
        <v>185.5</v>
      </c>
      <c r="H1981" s="113">
        <v>192.2</v>
      </c>
      <c r="I1981" s="113">
        <v>-1</v>
      </c>
      <c r="J1981" s="113">
        <v>87.6</v>
      </c>
      <c r="K1981" s="113">
        <v>-26</v>
      </c>
    </row>
    <row r="1982" spans="2:11" x14ac:dyDescent="0.25">
      <c r="B1982" s="185"/>
      <c r="C1982" s="113">
        <v>248.00899999999999</v>
      </c>
      <c r="D1982" s="113">
        <v>9252</v>
      </c>
      <c r="E1982" s="113">
        <v>1979</v>
      </c>
      <c r="F1982" s="113">
        <v>184</v>
      </c>
      <c r="G1982" s="113">
        <v>185</v>
      </c>
      <c r="H1982" s="113">
        <v>192</v>
      </c>
      <c r="I1982" s="113">
        <v>-1</v>
      </c>
      <c r="J1982" s="113">
        <v>87.31</v>
      </c>
      <c r="K1982" s="113">
        <v>-26</v>
      </c>
    </row>
    <row r="1983" spans="2:11" x14ac:dyDescent="0.25">
      <c r="B1983" s="185"/>
      <c r="C1983" s="113">
        <v>248.029</v>
      </c>
      <c r="D1983" s="113">
        <v>9253</v>
      </c>
      <c r="E1983" s="113">
        <v>1980</v>
      </c>
      <c r="F1983" s="113">
        <v>183</v>
      </c>
      <c r="G1983" s="113">
        <v>184.5</v>
      </c>
      <c r="H1983" s="113">
        <v>191.6</v>
      </c>
      <c r="I1983" s="113">
        <v>-1.2</v>
      </c>
      <c r="J1983" s="113">
        <v>87.89</v>
      </c>
      <c r="K1983" s="113">
        <v>-25.6</v>
      </c>
    </row>
    <row r="1984" spans="2:11" x14ac:dyDescent="0.25">
      <c r="B1984" s="185"/>
      <c r="C1984" s="113">
        <v>248.048</v>
      </c>
      <c r="D1984" s="113">
        <v>9254</v>
      </c>
      <c r="E1984" s="113">
        <v>1981</v>
      </c>
      <c r="F1984" s="113">
        <v>182</v>
      </c>
      <c r="G1984" s="113">
        <v>184</v>
      </c>
      <c r="H1984" s="113">
        <v>191.1</v>
      </c>
      <c r="I1984" s="113">
        <v>-2</v>
      </c>
      <c r="J1984" s="113">
        <v>88.17</v>
      </c>
      <c r="K1984" s="113">
        <v>-25.2</v>
      </c>
    </row>
    <row r="1985" spans="2:11" x14ac:dyDescent="0.25">
      <c r="B1985" s="185"/>
      <c r="C1985" s="113">
        <v>248.06700000000001</v>
      </c>
      <c r="D1985" s="113">
        <v>9255</v>
      </c>
      <c r="E1985" s="113">
        <v>1982</v>
      </c>
      <c r="F1985" s="113">
        <v>180</v>
      </c>
      <c r="G1985" s="113">
        <v>183.1</v>
      </c>
      <c r="H1985" s="113">
        <v>190.7</v>
      </c>
      <c r="I1985" s="113">
        <v>-3</v>
      </c>
      <c r="J1985" s="113">
        <v>89.6</v>
      </c>
      <c r="K1985" s="113">
        <v>-24.8</v>
      </c>
    </row>
    <row r="1986" spans="2:11" x14ac:dyDescent="0.25">
      <c r="B1986" s="185"/>
      <c r="C1986" s="113">
        <v>248.08699999999999</v>
      </c>
      <c r="D1986" s="113">
        <v>9256</v>
      </c>
      <c r="E1986" s="113">
        <v>1983</v>
      </c>
      <c r="F1986" s="113">
        <v>179</v>
      </c>
      <c r="G1986" s="113">
        <v>182.3</v>
      </c>
      <c r="H1986" s="113">
        <v>190.3</v>
      </c>
      <c r="I1986" s="113">
        <v>-3.3</v>
      </c>
      <c r="J1986" s="113">
        <v>89.77</v>
      </c>
      <c r="K1986" s="113">
        <v>-23.8</v>
      </c>
    </row>
    <row r="1987" spans="2:11" x14ac:dyDescent="0.25">
      <c r="B1987" s="185"/>
      <c r="C1987" s="113">
        <v>248.107</v>
      </c>
      <c r="D1987" s="113">
        <v>9257</v>
      </c>
      <c r="E1987" s="113">
        <v>1984</v>
      </c>
      <c r="F1987" s="113">
        <v>178</v>
      </c>
      <c r="G1987" s="113">
        <v>181.8</v>
      </c>
      <c r="H1987" s="113">
        <v>189.8</v>
      </c>
      <c r="I1987" s="113">
        <v>-3.6</v>
      </c>
      <c r="J1987" s="113">
        <v>90.42</v>
      </c>
      <c r="K1987" s="113">
        <v>-20.2</v>
      </c>
    </row>
    <row r="1988" spans="2:11" x14ac:dyDescent="0.25">
      <c r="B1988" s="185"/>
      <c r="C1988" s="113">
        <v>248.126</v>
      </c>
      <c r="D1988" s="113">
        <v>9258</v>
      </c>
      <c r="E1988" s="113">
        <v>1985</v>
      </c>
      <c r="F1988" s="113">
        <v>177</v>
      </c>
      <c r="G1988" s="113">
        <v>181.2</v>
      </c>
      <c r="H1988" s="113">
        <v>189.4</v>
      </c>
      <c r="I1988" s="113">
        <v>-3.6</v>
      </c>
      <c r="J1988" s="113">
        <v>91.34</v>
      </c>
      <c r="K1988" s="113">
        <v>-16.600000000000001</v>
      </c>
    </row>
    <row r="1989" spans="2:11" x14ac:dyDescent="0.25">
      <c r="B1989" s="185"/>
      <c r="C1989" s="113">
        <v>248.14599999999999</v>
      </c>
      <c r="D1989" s="113">
        <v>9259</v>
      </c>
      <c r="E1989" s="113">
        <v>1986</v>
      </c>
      <c r="F1989" s="113">
        <v>176</v>
      </c>
      <c r="G1989" s="113">
        <v>180.2</v>
      </c>
      <c r="H1989" s="113">
        <v>188.9</v>
      </c>
      <c r="I1989" s="113">
        <v>-3.6</v>
      </c>
      <c r="J1989" s="113">
        <v>94.4</v>
      </c>
      <c r="K1989" s="113">
        <v>-12.9</v>
      </c>
    </row>
    <row r="1990" spans="2:11" x14ac:dyDescent="0.25">
      <c r="B1990" s="185"/>
      <c r="C1990" s="113">
        <v>248.166</v>
      </c>
      <c r="D1990" s="113">
        <v>9260</v>
      </c>
      <c r="E1990" s="113">
        <v>1987</v>
      </c>
      <c r="F1990" s="113">
        <v>175</v>
      </c>
      <c r="G1990" s="113">
        <v>179.3</v>
      </c>
      <c r="H1990" s="113">
        <v>188.6</v>
      </c>
      <c r="I1990" s="113">
        <v>-3.3</v>
      </c>
      <c r="J1990" s="113">
        <v>94.85</v>
      </c>
      <c r="K1990" s="113">
        <v>-10</v>
      </c>
    </row>
    <row r="1991" spans="2:11" x14ac:dyDescent="0.25">
      <c r="B1991" s="185"/>
      <c r="C1991" s="113">
        <v>248.18600000000001</v>
      </c>
      <c r="D1991" s="113">
        <v>9261</v>
      </c>
      <c r="E1991" s="113">
        <v>1988</v>
      </c>
      <c r="F1991" s="113">
        <v>174</v>
      </c>
      <c r="G1991" s="113">
        <v>178.8</v>
      </c>
      <c r="H1991" s="113">
        <v>188.2</v>
      </c>
      <c r="I1991" s="113">
        <v>-3.2</v>
      </c>
      <c r="J1991" s="113">
        <v>94.82</v>
      </c>
      <c r="K1991" s="113">
        <v>-10</v>
      </c>
    </row>
    <row r="1992" spans="2:11" x14ac:dyDescent="0.25">
      <c r="B1992" s="185"/>
      <c r="C1992" s="113">
        <v>248.20599999999999</v>
      </c>
      <c r="D1992" s="113">
        <v>9262</v>
      </c>
      <c r="E1992" s="113">
        <v>1989</v>
      </c>
      <c r="F1992" s="113">
        <v>173</v>
      </c>
      <c r="G1992" s="113">
        <v>178.1</v>
      </c>
      <c r="H1992" s="113">
        <v>187.8</v>
      </c>
      <c r="I1992" s="113">
        <v>-3.1</v>
      </c>
      <c r="J1992" s="113">
        <v>95.07</v>
      </c>
      <c r="K1992" s="113">
        <v>-10</v>
      </c>
    </row>
    <row r="1993" spans="2:11" x14ac:dyDescent="0.25">
      <c r="B1993" s="185"/>
      <c r="C1993" s="113">
        <v>248.226</v>
      </c>
      <c r="D1993" s="113">
        <v>9263</v>
      </c>
      <c r="E1993" s="113">
        <v>1990</v>
      </c>
      <c r="F1993" s="113">
        <v>172</v>
      </c>
      <c r="G1993" s="113">
        <v>176.4</v>
      </c>
      <c r="H1993" s="113">
        <v>187.4</v>
      </c>
      <c r="I1993" s="113">
        <v>-3.4</v>
      </c>
      <c r="J1993" s="113">
        <v>95.28</v>
      </c>
      <c r="K1993" s="113">
        <v>-10</v>
      </c>
    </row>
    <row r="1994" spans="2:11" x14ac:dyDescent="0.25">
      <c r="B1994" s="185"/>
      <c r="C1994" s="113">
        <v>248.24600000000001</v>
      </c>
      <c r="D1994" s="113">
        <v>9264</v>
      </c>
      <c r="E1994" s="113">
        <v>1991</v>
      </c>
      <c r="F1994" s="113">
        <v>171</v>
      </c>
      <c r="G1994" s="113">
        <v>175.2</v>
      </c>
      <c r="H1994" s="113">
        <v>186.9</v>
      </c>
      <c r="I1994" s="113">
        <v>-3.5</v>
      </c>
      <c r="J1994" s="113">
        <v>95.34</v>
      </c>
      <c r="K1994" s="113">
        <v>-10.4</v>
      </c>
    </row>
    <row r="1995" spans="2:11" x14ac:dyDescent="0.25">
      <c r="B1995" s="185"/>
      <c r="C1995" s="113">
        <v>248.267</v>
      </c>
      <c r="D1995" s="113">
        <v>9265</v>
      </c>
      <c r="E1995" s="113">
        <v>1992</v>
      </c>
      <c r="F1995" s="113">
        <v>170</v>
      </c>
      <c r="G1995" s="113">
        <v>175.5</v>
      </c>
      <c r="H1995" s="113">
        <v>186.5</v>
      </c>
      <c r="I1995" s="113">
        <v>-3.6</v>
      </c>
      <c r="J1995" s="113">
        <v>94.42</v>
      </c>
      <c r="K1995" s="113">
        <v>-12.5</v>
      </c>
    </row>
    <row r="1996" spans="2:11" x14ac:dyDescent="0.25">
      <c r="B1996" s="185"/>
      <c r="C1996" s="113">
        <v>248.28700000000001</v>
      </c>
      <c r="D1996" s="113">
        <v>9266</v>
      </c>
      <c r="E1996" s="113">
        <v>1993</v>
      </c>
      <c r="F1996" s="113">
        <v>170</v>
      </c>
      <c r="G1996" s="113">
        <v>175.5</v>
      </c>
      <c r="H1996" s="113">
        <v>186</v>
      </c>
      <c r="I1996" s="113">
        <v>-3.6</v>
      </c>
      <c r="J1996" s="113">
        <v>93.94</v>
      </c>
      <c r="K1996" s="113">
        <v>-14.5</v>
      </c>
    </row>
    <row r="1997" spans="2:11" x14ac:dyDescent="0.25">
      <c r="B1997" s="185"/>
      <c r="C1997" s="113">
        <v>248.30799999999999</v>
      </c>
      <c r="D1997" s="113">
        <v>9267</v>
      </c>
      <c r="E1997" s="113">
        <v>1994</v>
      </c>
      <c r="F1997" s="113">
        <v>171</v>
      </c>
      <c r="G1997" s="113">
        <v>173.6</v>
      </c>
      <c r="H1997" s="113">
        <v>185.5</v>
      </c>
      <c r="I1997" s="113">
        <v>-3.6</v>
      </c>
      <c r="J1997" s="113">
        <v>93.84</v>
      </c>
      <c r="K1997" s="113">
        <v>-16.600000000000001</v>
      </c>
    </row>
    <row r="1998" spans="2:11" x14ac:dyDescent="0.25">
      <c r="B1998" s="185"/>
      <c r="C1998" s="113">
        <v>248.328</v>
      </c>
      <c r="D1998" s="113">
        <v>9268</v>
      </c>
      <c r="E1998" s="113">
        <v>1995</v>
      </c>
      <c r="F1998" s="113">
        <v>172</v>
      </c>
      <c r="G1998" s="113">
        <v>172.1</v>
      </c>
      <c r="H1998" s="113">
        <v>185</v>
      </c>
      <c r="I1998" s="113">
        <v>-3.4</v>
      </c>
      <c r="J1998" s="113">
        <v>93.99</v>
      </c>
      <c r="K1998" s="113">
        <v>-18.2</v>
      </c>
    </row>
    <row r="1999" spans="2:11" x14ac:dyDescent="0.25">
      <c r="B1999" s="185"/>
      <c r="C1999" s="113">
        <v>248.34899999999999</v>
      </c>
      <c r="D1999" s="113">
        <v>9269</v>
      </c>
      <c r="E1999" s="113">
        <v>1996</v>
      </c>
      <c r="F1999" s="113">
        <v>173</v>
      </c>
      <c r="G1999" s="113">
        <v>172.3</v>
      </c>
      <c r="H1999" s="113">
        <v>184.5</v>
      </c>
      <c r="I1999" s="113">
        <v>-2.2999999999999998</v>
      </c>
      <c r="J1999" s="113">
        <v>93.56</v>
      </c>
      <c r="K1999" s="113">
        <v>-17.8</v>
      </c>
    </row>
    <row r="2000" spans="2:11" x14ac:dyDescent="0.25">
      <c r="B2000" s="185"/>
      <c r="C2000" s="113">
        <v>248.37</v>
      </c>
      <c r="D2000" s="113">
        <v>9270</v>
      </c>
      <c r="E2000" s="113">
        <v>1997</v>
      </c>
      <c r="F2000" s="113">
        <v>173</v>
      </c>
      <c r="G2000" s="113">
        <v>172.1</v>
      </c>
      <c r="H2000" s="113">
        <v>183.4</v>
      </c>
      <c r="I2000" s="113">
        <v>-1.7</v>
      </c>
      <c r="J2000" s="113">
        <v>93.43</v>
      </c>
      <c r="K2000" s="113">
        <v>-17.100000000000001</v>
      </c>
    </row>
    <row r="2001" spans="2:11" x14ac:dyDescent="0.25">
      <c r="B2001" s="185"/>
      <c r="C2001" s="113">
        <v>248.39099999999999</v>
      </c>
      <c r="D2001" s="113">
        <v>9271</v>
      </c>
      <c r="E2001" s="113">
        <v>1998</v>
      </c>
      <c r="F2001" s="113">
        <v>172</v>
      </c>
      <c r="G2001" s="113">
        <v>171.6</v>
      </c>
      <c r="H2001" s="113">
        <v>182.7</v>
      </c>
      <c r="I2001" s="113">
        <v>-1.9</v>
      </c>
      <c r="J2001" s="113">
        <v>93.35</v>
      </c>
      <c r="K2001" s="113">
        <v>-16.7</v>
      </c>
    </row>
    <row r="2002" spans="2:11" x14ac:dyDescent="0.25">
      <c r="B2002" s="185"/>
      <c r="C2002" s="113">
        <v>248.41200000000001</v>
      </c>
      <c r="D2002" s="113">
        <v>9272</v>
      </c>
      <c r="E2002" s="113">
        <v>1999</v>
      </c>
      <c r="F2002" s="113">
        <v>172</v>
      </c>
      <c r="G2002" s="113">
        <v>171.2</v>
      </c>
      <c r="H2002" s="113">
        <v>182</v>
      </c>
      <c r="I2002" s="113">
        <v>-2.6</v>
      </c>
      <c r="J2002" s="113">
        <v>92.91</v>
      </c>
      <c r="K2002" s="113">
        <v>-11.7</v>
      </c>
    </row>
    <row r="2003" spans="2:11" x14ac:dyDescent="0.25">
      <c r="B2003" s="185"/>
      <c r="C2003" s="113">
        <v>248.43299999999999</v>
      </c>
      <c r="D2003" s="113">
        <v>9273</v>
      </c>
      <c r="E2003" s="113">
        <v>2000</v>
      </c>
      <c r="F2003" s="113">
        <v>172</v>
      </c>
      <c r="G2003" s="113">
        <v>170.9</v>
      </c>
      <c r="H2003" s="113">
        <v>181.3</v>
      </c>
      <c r="I2003" s="113">
        <v>-2.2999999999999998</v>
      </c>
      <c r="J2003" s="113">
        <v>90.14</v>
      </c>
      <c r="K2003" s="113">
        <v>-4.3</v>
      </c>
    </row>
    <row r="2004" spans="2:11" x14ac:dyDescent="0.25">
      <c r="B2004" s="185"/>
      <c r="C2004" s="113">
        <v>248.45400000000001</v>
      </c>
      <c r="D2004" s="113">
        <v>9274</v>
      </c>
      <c r="E2004" s="113">
        <v>2001</v>
      </c>
      <c r="F2004" s="113">
        <v>171</v>
      </c>
      <c r="G2004" s="113">
        <v>170.4</v>
      </c>
      <c r="H2004" s="113">
        <v>180.4</v>
      </c>
      <c r="I2004" s="113">
        <v>-1.4</v>
      </c>
      <c r="J2004" s="113">
        <v>88.46</v>
      </c>
      <c r="K2004" s="113">
        <v>2.9</v>
      </c>
    </row>
    <row r="2005" spans="2:11" x14ac:dyDescent="0.25">
      <c r="B2005" s="185"/>
      <c r="C2005" s="113">
        <v>248.47499999999999</v>
      </c>
      <c r="D2005" s="113">
        <v>9275</v>
      </c>
      <c r="E2005" s="113">
        <v>2002</v>
      </c>
      <c r="F2005" s="113">
        <v>170</v>
      </c>
      <c r="G2005" s="113">
        <v>169.6</v>
      </c>
      <c r="H2005" s="113">
        <v>179.5</v>
      </c>
      <c r="I2005" s="113">
        <v>0.1</v>
      </c>
      <c r="J2005" s="113">
        <v>85.63</v>
      </c>
      <c r="K2005" s="113">
        <v>10.1</v>
      </c>
    </row>
    <row r="2006" spans="2:11" x14ac:dyDescent="0.25">
      <c r="B2006" s="185"/>
      <c r="C2006" s="113">
        <v>248.49600000000001</v>
      </c>
      <c r="D2006" s="113">
        <v>9276</v>
      </c>
      <c r="E2006" s="113">
        <v>2003</v>
      </c>
      <c r="F2006" s="113">
        <v>168</v>
      </c>
      <c r="G2006" s="113">
        <v>168.4</v>
      </c>
      <c r="H2006" s="113">
        <v>178.6</v>
      </c>
      <c r="I2006" s="113">
        <v>0.5</v>
      </c>
      <c r="J2006" s="113">
        <v>85.73</v>
      </c>
      <c r="K2006" s="113">
        <v>10.7</v>
      </c>
    </row>
    <row r="2007" spans="2:11" x14ac:dyDescent="0.25">
      <c r="B2007" s="185"/>
      <c r="C2007" s="113">
        <v>248.517</v>
      </c>
      <c r="D2007" s="113">
        <v>9277</v>
      </c>
      <c r="E2007" s="113">
        <v>2004</v>
      </c>
      <c r="F2007" s="113">
        <v>164</v>
      </c>
      <c r="G2007" s="113">
        <v>167.1</v>
      </c>
      <c r="H2007" s="113">
        <v>177.7</v>
      </c>
      <c r="I2007" s="113">
        <v>0.5</v>
      </c>
      <c r="J2007" s="113">
        <v>86.24</v>
      </c>
      <c r="K2007" s="113">
        <v>8.3000000000000007</v>
      </c>
    </row>
    <row r="2008" spans="2:11" x14ac:dyDescent="0.25">
      <c r="B2008" s="185"/>
      <c r="C2008" s="113">
        <v>248.53899999999999</v>
      </c>
      <c r="D2008" s="113">
        <v>9278</v>
      </c>
      <c r="E2008" s="113">
        <v>2005</v>
      </c>
      <c r="F2008" s="113">
        <v>162</v>
      </c>
      <c r="G2008" s="113">
        <v>166.3</v>
      </c>
      <c r="H2008" s="113">
        <v>176.8</v>
      </c>
      <c r="I2008" s="113">
        <v>-0.1</v>
      </c>
      <c r="J2008" s="113">
        <v>87.02</v>
      </c>
      <c r="K2008" s="113">
        <v>5.7</v>
      </c>
    </row>
    <row r="2009" spans="2:11" x14ac:dyDescent="0.25">
      <c r="B2009" s="185"/>
      <c r="C2009" s="113">
        <v>248.56</v>
      </c>
      <c r="D2009" s="113">
        <v>9279</v>
      </c>
      <c r="E2009" s="113">
        <v>2006</v>
      </c>
      <c r="F2009" s="113">
        <v>160</v>
      </c>
      <c r="G2009" s="113">
        <v>165.5</v>
      </c>
      <c r="H2009" s="113">
        <v>175.1</v>
      </c>
      <c r="I2009" s="113">
        <v>-1.1000000000000001</v>
      </c>
      <c r="J2009" s="113">
        <v>85.07</v>
      </c>
      <c r="K2009" s="113">
        <v>2.5</v>
      </c>
    </row>
    <row r="2010" spans="2:11" x14ac:dyDescent="0.25">
      <c r="B2010" s="185"/>
      <c r="C2010" s="113">
        <v>248.58199999999999</v>
      </c>
      <c r="D2010" s="113">
        <v>9280</v>
      </c>
      <c r="E2010" s="113">
        <v>2007</v>
      </c>
      <c r="F2010" s="113">
        <v>159</v>
      </c>
      <c r="G2010" s="113">
        <v>165.7</v>
      </c>
      <c r="H2010" s="113">
        <v>174</v>
      </c>
      <c r="I2010" s="113">
        <v>-1.7</v>
      </c>
      <c r="J2010" s="113">
        <v>84.81</v>
      </c>
      <c r="K2010" s="113">
        <v>2.5</v>
      </c>
    </row>
    <row r="2011" spans="2:11" x14ac:dyDescent="0.25">
      <c r="B2011" s="185"/>
      <c r="C2011" s="113">
        <v>248.60400000000001</v>
      </c>
      <c r="D2011" s="113">
        <v>9281</v>
      </c>
      <c r="E2011" s="113">
        <v>2008</v>
      </c>
      <c r="F2011" s="113">
        <v>158</v>
      </c>
      <c r="G2011" s="113">
        <v>165.7</v>
      </c>
      <c r="H2011" s="113">
        <v>172.8</v>
      </c>
      <c r="I2011" s="113">
        <v>-2.4</v>
      </c>
      <c r="J2011" s="113">
        <v>83.91</v>
      </c>
      <c r="K2011" s="113">
        <v>2.5</v>
      </c>
    </row>
    <row r="2012" spans="2:11" x14ac:dyDescent="0.25">
      <c r="B2012" s="185"/>
      <c r="C2012" s="113">
        <v>248.625</v>
      </c>
      <c r="D2012" s="113">
        <v>9282</v>
      </c>
      <c r="E2012" s="113">
        <v>2009</v>
      </c>
      <c r="F2012" s="113">
        <v>157</v>
      </c>
      <c r="G2012" s="113">
        <v>164.9</v>
      </c>
      <c r="H2012" s="113">
        <v>171.7</v>
      </c>
      <c r="I2012" s="113">
        <v>-2.6</v>
      </c>
      <c r="J2012" s="113">
        <v>87.67</v>
      </c>
      <c r="K2012" s="113">
        <v>2.5</v>
      </c>
    </row>
    <row r="2013" spans="2:11" x14ac:dyDescent="0.25">
      <c r="B2013" s="185"/>
      <c r="C2013" s="113">
        <v>248.64699999999999</v>
      </c>
      <c r="D2013" s="113">
        <v>9283</v>
      </c>
      <c r="E2013" s="113">
        <v>2010</v>
      </c>
      <c r="F2013" s="113">
        <v>156</v>
      </c>
      <c r="G2013" s="113">
        <v>164.2</v>
      </c>
      <c r="H2013" s="113">
        <v>170.6</v>
      </c>
      <c r="I2013" s="113">
        <v>-2.6</v>
      </c>
      <c r="J2013" s="113">
        <v>87.67</v>
      </c>
      <c r="K2013" s="113">
        <v>0.1</v>
      </c>
    </row>
    <row r="2014" spans="2:11" x14ac:dyDescent="0.25">
      <c r="B2014" s="185"/>
      <c r="C2014" s="113">
        <v>248.66900000000001</v>
      </c>
      <c r="D2014" s="113">
        <v>9284</v>
      </c>
      <c r="E2014" s="113">
        <v>2011</v>
      </c>
      <c r="F2014" s="113">
        <v>156</v>
      </c>
      <c r="G2014" s="113">
        <v>164.2</v>
      </c>
      <c r="H2014" s="113">
        <v>169.3</v>
      </c>
      <c r="I2014" s="113">
        <v>-1.3</v>
      </c>
      <c r="J2014" s="113">
        <v>87.51</v>
      </c>
      <c r="K2014" s="113">
        <v>-12.4</v>
      </c>
    </row>
    <row r="2015" spans="2:11" x14ac:dyDescent="0.25">
      <c r="B2015" s="185"/>
      <c r="C2015" s="113">
        <v>248.691</v>
      </c>
      <c r="D2015" s="113">
        <v>9285</v>
      </c>
      <c r="E2015" s="113">
        <v>2012</v>
      </c>
      <c r="F2015" s="113">
        <v>156</v>
      </c>
      <c r="G2015" s="113">
        <v>163.4</v>
      </c>
      <c r="H2015" s="113">
        <v>167.4</v>
      </c>
      <c r="I2015" s="113">
        <v>-0.8</v>
      </c>
      <c r="J2015" s="113">
        <v>88.98</v>
      </c>
      <c r="K2015" s="113">
        <v>-31.1</v>
      </c>
    </row>
    <row r="2016" spans="2:11" x14ac:dyDescent="0.25">
      <c r="B2016" s="185"/>
      <c r="C2016" s="113">
        <v>248.71299999999999</v>
      </c>
      <c r="D2016" s="113">
        <v>9286</v>
      </c>
      <c r="E2016" s="113">
        <v>2013</v>
      </c>
      <c r="F2016" s="113">
        <v>156</v>
      </c>
      <c r="G2016" s="113">
        <v>162.4</v>
      </c>
      <c r="H2016" s="113">
        <v>166.2</v>
      </c>
      <c r="I2016" s="113">
        <v>-0.8</v>
      </c>
      <c r="J2016" s="113">
        <v>89.48</v>
      </c>
      <c r="K2016" s="113">
        <v>-43.7</v>
      </c>
    </row>
    <row r="2017" spans="2:11" x14ac:dyDescent="0.25">
      <c r="B2017" s="185"/>
      <c r="C2017" s="113">
        <v>248.73400000000001</v>
      </c>
      <c r="D2017" s="113">
        <v>9287</v>
      </c>
      <c r="E2017" s="113">
        <v>2014</v>
      </c>
      <c r="F2017" s="113">
        <v>156</v>
      </c>
      <c r="G2017" s="113">
        <v>162.1</v>
      </c>
      <c r="H2017" s="113">
        <v>164.9</v>
      </c>
      <c r="I2017" s="113">
        <v>-0.5</v>
      </c>
      <c r="J2017" s="113">
        <v>88.92</v>
      </c>
      <c r="K2017" s="113">
        <v>-45.4</v>
      </c>
    </row>
    <row r="2018" spans="2:11" x14ac:dyDescent="0.25">
      <c r="B2018" s="185"/>
      <c r="C2018" s="113">
        <v>248.75700000000001</v>
      </c>
      <c r="D2018" s="113">
        <v>9288</v>
      </c>
      <c r="E2018" s="113">
        <v>2015</v>
      </c>
      <c r="F2018" s="113">
        <v>156</v>
      </c>
      <c r="G2018" s="113">
        <v>162.1</v>
      </c>
      <c r="H2018" s="113">
        <v>163.80000000000001</v>
      </c>
      <c r="I2018" s="113">
        <v>-0.1</v>
      </c>
      <c r="J2018" s="113">
        <v>88.28</v>
      </c>
      <c r="K2018" s="113">
        <v>-42.2</v>
      </c>
    </row>
    <row r="2019" spans="2:11" x14ac:dyDescent="0.25">
      <c r="B2019" s="185"/>
      <c r="C2019" s="113">
        <v>248.779</v>
      </c>
      <c r="D2019" s="113">
        <v>9289</v>
      </c>
      <c r="E2019" s="113">
        <v>2016</v>
      </c>
      <c r="F2019" s="113">
        <v>156</v>
      </c>
      <c r="G2019" s="113">
        <v>161.80000000000001</v>
      </c>
      <c r="H2019" s="113">
        <v>162.6</v>
      </c>
      <c r="I2019" s="113">
        <v>-0.1</v>
      </c>
      <c r="J2019" s="113">
        <v>88.13</v>
      </c>
      <c r="K2019" s="113">
        <v>-39.1</v>
      </c>
    </row>
    <row r="2020" spans="2:11" x14ac:dyDescent="0.25">
      <c r="B2020" s="185"/>
      <c r="C2020" s="113">
        <v>248.80099999999999</v>
      </c>
      <c r="D2020" s="113">
        <v>9290</v>
      </c>
      <c r="E2020" s="113">
        <v>2017</v>
      </c>
      <c r="F2020" s="113">
        <v>155</v>
      </c>
      <c r="G2020" s="113">
        <v>161</v>
      </c>
      <c r="H2020" s="113">
        <v>161</v>
      </c>
      <c r="I2020" s="113">
        <v>-0.1</v>
      </c>
      <c r="J2020" s="113">
        <v>88.07</v>
      </c>
      <c r="K2020" s="113">
        <v>-34.700000000000003</v>
      </c>
    </row>
    <row r="2021" spans="2:11" x14ac:dyDescent="0.25">
      <c r="B2021" s="185"/>
      <c r="C2021" s="113">
        <v>248.82300000000001</v>
      </c>
      <c r="D2021" s="113">
        <v>9291</v>
      </c>
      <c r="E2021" s="113">
        <v>2018</v>
      </c>
      <c r="F2021" s="113">
        <v>155</v>
      </c>
      <c r="G2021" s="113">
        <v>160.4</v>
      </c>
      <c r="H2021" s="113">
        <v>159.80000000000001</v>
      </c>
      <c r="I2021" s="113">
        <v>0.5</v>
      </c>
      <c r="J2021" s="113">
        <v>88.05</v>
      </c>
      <c r="K2021" s="113">
        <v>-33.5</v>
      </c>
    </row>
    <row r="2022" spans="2:11" x14ac:dyDescent="0.25">
      <c r="B2022" s="185"/>
      <c r="C2022" s="113">
        <v>248.846</v>
      </c>
      <c r="D2022" s="113">
        <v>9292</v>
      </c>
      <c r="E2022" s="113">
        <v>2019</v>
      </c>
      <c r="F2022" s="113">
        <v>155</v>
      </c>
      <c r="G2022" s="113">
        <v>159.69999999999999</v>
      </c>
      <c r="H2022" s="113">
        <v>158.80000000000001</v>
      </c>
      <c r="I2022" s="113">
        <v>2.1</v>
      </c>
      <c r="J2022" s="113">
        <v>86.8</v>
      </c>
      <c r="K2022" s="113">
        <v>-32.299999999999997</v>
      </c>
    </row>
    <row r="2023" spans="2:11" x14ac:dyDescent="0.25">
      <c r="B2023" s="185"/>
      <c r="C2023" s="113">
        <v>248.86799999999999</v>
      </c>
      <c r="D2023" s="113">
        <v>9293</v>
      </c>
      <c r="E2023" s="113">
        <v>2020</v>
      </c>
      <c r="F2023" s="113">
        <v>155</v>
      </c>
      <c r="G2023" s="113">
        <v>158.9</v>
      </c>
      <c r="H2023" s="113">
        <v>158</v>
      </c>
      <c r="I2023" s="113">
        <v>2.7</v>
      </c>
      <c r="J2023" s="113">
        <v>85.94</v>
      </c>
      <c r="K2023" s="113">
        <v>-31.1</v>
      </c>
    </row>
    <row r="2024" spans="2:11" x14ac:dyDescent="0.25">
      <c r="B2024" s="185"/>
      <c r="C2024" s="113">
        <v>248.89099999999999</v>
      </c>
      <c r="D2024" s="113">
        <v>9294</v>
      </c>
      <c r="E2024" s="113">
        <v>2021</v>
      </c>
      <c r="F2024" s="113">
        <v>155</v>
      </c>
      <c r="G2024" s="113">
        <v>158.19999999999999</v>
      </c>
      <c r="H2024" s="113">
        <v>156.69999999999999</v>
      </c>
      <c r="I2024" s="113">
        <v>2.7</v>
      </c>
      <c r="J2024" s="113">
        <v>85.14</v>
      </c>
      <c r="K2024" s="113">
        <v>-30.5</v>
      </c>
    </row>
    <row r="2025" spans="2:11" x14ac:dyDescent="0.25">
      <c r="B2025" s="185"/>
      <c r="C2025" s="113">
        <v>248.91300000000001</v>
      </c>
      <c r="D2025" s="113">
        <v>9295</v>
      </c>
      <c r="E2025" s="113">
        <v>2022</v>
      </c>
      <c r="F2025" s="113">
        <v>155</v>
      </c>
      <c r="G2025" s="113">
        <v>158.1</v>
      </c>
      <c r="H2025" s="113">
        <v>155.9</v>
      </c>
      <c r="I2025" s="113">
        <v>2.5</v>
      </c>
      <c r="J2025" s="113">
        <v>83.26</v>
      </c>
      <c r="K2025" s="113">
        <v>-30.8</v>
      </c>
    </row>
    <row r="2026" spans="2:11" x14ac:dyDescent="0.25">
      <c r="B2026" s="185"/>
      <c r="C2026" s="113">
        <v>248.93600000000001</v>
      </c>
      <c r="D2026" s="113">
        <v>9296</v>
      </c>
      <c r="E2026" s="113">
        <v>2023</v>
      </c>
      <c r="F2026" s="113">
        <v>155</v>
      </c>
      <c r="G2026" s="113">
        <v>157.80000000000001</v>
      </c>
      <c r="H2026" s="113">
        <v>155</v>
      </c>
      <c r="I2026" s="113">
        <v>2.6</v>
      </c>
      <c r="J2026" s="113">
        <v>82.78</v>
      </c>
      <c r="K2026" s="113">
        <v>-31.1</v>
      </c>
    </row>
    <row r="2027" spans="2:11" x14ac:dyDescent="0.25">
      <c r="B2027" s="185"/>
      <c r="C2027" s="113">
        <v>248.959</v>
      </c>
      <c r="D2027" s="113">
        <v>9297</v>
      </c>
      <c r="E2027" s="113">
        <v>2024</v>
      </c>
      <c r="F2027" s="113">
        <v>154</v>
      </c>
      <c r="G2027" s="113">
        <v>157.30000000000001</v>
      </c>
      <c r="H2027" s="113">
        <v>154.30000000000001</v>
      </c>
      <c r="I2027" s="113">
        <v>2.1</v>
      </c>
      <c r="J2027" s="113">
        <v>82.61</v>
      </c>
      <c r="K2027" s="113">
        <v>-31.5</v>
      </c>
    </row>
    <row r="2028" spans="2:11" x14ac:dyDescent="0.25">
      <c r="B2028" s="185"/>
      <c r="C2028" s="113">
        <v>248.98099999999999</v>
      </c>
      <c r="D2028" s="113">
        <v>9298</v>
      </c>
      <c r="E2028" s="113">
        <v>2025</v>
      </c>
      <c r="F2028" s="113">
        <v>154</v>
      </c>
      <c r="G2028" s="113">
        <v>156.69999999999999</v>
      </c>
      <c r="H2028" s="113">
        <v>153.19999999999999</v>
      </c>
      <c r="I2028" s="113">
        <v>2.5</v>
      </c>
      <c r="J2028" s="113">
        <v>81.760000000000005</v>
      </c>
      <c r="K2028" s="113">
        <v>-31.6</v>
      </c>
    </row>
    <row r="2029" spans="2:11" x14ac:dyDescent="0.25">
      <c r="B2029" s="185"/>
      <c r="C2029" s="113">
        <v>249.00399999999999</v>
      </c>
      <c r="D2029" s="113">
        <v>9299</v>
      </c>
      <c r="E2029" s="113">
        <v>2026</v>
      </c>
      <c r="F2029" s="113">
        <v>154</v>
      </c>
      <c r="G2029" s="113">
        <v>156.30000000000001</v>
      </c>
      <c r="H2029" s="113">
        <v>152.5</v>
      </c>
      <c r="I2029" s="113">
        <v>2.8</v>
      </c>
      <c r="J2029" s="113">
        <v>81.48</v>
      </c>
      <c r="K2029" s="113">
        <v>-31.6</v>
      </c>
    </row>
    <row r="2030" spans="2:11" x14ac:dyDescent="0.25">
      <c r="B2030" s="185"/>
      <c r="C2030" s="113">
        <v>249.02799999999999</v>
      </c>
      <c r="D2030" s="113">
        <v>9300</v>
      </c>
      <c r="E2030" s="113">
        <v>2027</v>
      </c>
      <c r="F2030" s="113">
        <v>153</v>
      </c>
      <c r="G2030" s="113">
        <v>156.19999999999999</v>
      </c>
      <c r="H2030" s="113">
        <v>151.80000000000001</v>
      </c>
      <c r="I2030" s="113">
        <v>3.6</v>
      </c>
      <c r="J2030" s="113">
        <v>80.55</v>
      </c>
      <c r="K2030" s="113">
        <v>-31.6</v>
      </c>
    </row>
    <row r="2031" spans="2:11" x14ac:dyDescent="0.25">
      <c r="B2031" s="185"/>
      <c r="C2031" s="113">
        <v>249.05</v>
      </c>
      <c r="D2031" s="113">
        <v>9301</v>
      </c>
      <c r="E2031" s="113">
        <v>2028</v>
      </c>
      <c r="F2031" s="113">
        <v>153</v>
      </c>
      <c r="G2031" s="113">
        <v>155.80000000000001</v>
      </c>
      <c r="H2031" s="113">
        <v>150.9</v>
      </c>
      <c r="I2031" s="113">
        <v>3.6</v>
      </c>
      <c r="J2031" s="113">
        <v>80.12</v>
      </c>
      <c r="K2031" s="113">
        <v>-31.5</v>
      </c>
    </row>
    <row r="2032" spans="2:11" x14ac:dyDescent="0.25">
      <c r="B2032" s="185"/>
      <c r="C2032" s="113">
        <v>249.07300000000001</v>
      </c>
      <c r="D2032" s="113">
        <v>9302</v>
      </c>
      <c r="E2032" s="113">
        <v>2029</v>
      </c>
      <c r="F2032" s="113">
        <v>153</v>
      </c>
      <c r="G2032" s="113">
        <v>155.30000000000001</v>
      </c>
      <c r="H2032" s="113">
        <v>150.30000000000001</v>
      </c>
      <c r="I2032" s="113">
        <v>3.6</v>
      </c>
      <c r="J2032" s="113">
        <v>78.91</v>
      </c>
      <c r="K2032" s="113">
        <v>-31.4</v>
      </c>
    </row>
    <row r="2033" spans="2:11" x14ac:dyDescent="0.25">
      <c r="B2033" s="185"/>
      <c r="C2033" s="113">
        <v>249.096</v>
      </c>
      <c r="D2033" s="113">
        <v>9303</v>
      </c>
      <c r="E2033" s="113">
        <v>2030</v>
      </c>
      <c r="F2033" s="113">
        <v>153</v>
      </c>
      <c r="G2033" s="113">
        <v>154.9</v>
      </c>
      <c r="H2033" s="113">
        <v>149.69999999999999</v>
      </c>
      <c r="I2033" s="113">
        <v>3.6</v>
      </c>
      <c r="J2033" s="113">
        <v>77.72</v>
      </c>
      <c r="K2033" s="113">
        <v>-31.3</v>
      </c>
    </row>
    <row r="2034" spans="2:11" x14ac:dyDescent="0.25">
      <c r="B2034" s="185"/>
      <c r="C2034" s="113">
        <v>249.119</v>
      </c>
      <c r="D2034" s="113">
        <v>9304</v>
      </c>
      <c r="E2034" s="113">
        <v>2031</v>
      </c>
      <c r="F2034" s="113">
        <v>152</v>
      </c>
      <c r="G2034" s="113">
        <v>154.5</v>
      </c>
      <c r="H2034" s="113">
        <v>149.19999999999999</v>
      </c>
      <c r="I2034" s="113">
        <v>3.8</v>
      </c>
      <c r="J2034" s="113">
        <v>74.86</v>
      </c>
      <c r="K2034" s="113">
        <v>-31.2</v>
      </c>
    </row>
    <row r="2035" spans="2:11" x14ac:dyDescent="0.25">
      <c r="B2035" s="185"/>
      <c r="C2035" s="113">
        <v>249.143</v>
      </c>
      <c r="D2035" s="113">
        <v>9305</v>
      </c>
      <c r="E2035" s="113">
        <v>2032</v>
      </c>
      <c r="F2035" s="113">
        <v>151</v>
      </c>
      <c r="G2035" s="113">
        <v>154.1</v>
      </c>
      <c r="H2035" s="113">
        <v>148.30000000000001</v>
      </c>
      <c r="I2035" s="113">
        <v>3.8</v>
      </c>
      <c r="J2035" s="113">
        <v>72.8</v>
      </c>
      <c r="K2035" s="113">
        <v>-26.3</v>
      </c>
    </row>
    <row r="2036" spans="2:11" x14ac:dyDescent="0.25">
      <c r="B2036" s="185"/>
      <c r="C2036" s="113">
        <v>249.166</v>
      </c>
      <c r="D2036" s="113">
        <v>9306</v>
      </c>
      <c r="E2036" s="113">
        <v>2033</v>
      </c>
      <c r="F2036" s="113">
        <v>151</v>
      </c>
      <c r="G2036" s="113">
        <v>153.80000000000001</v>
      </c>
      <c r="H2036" s="113">
        <v>147.80000000000001</v>
      </c>
      <c r="I2036" s="113">
        <v>3.6</v>
      </c>
      <c r="J2036" s="113">
        <v>70.48</v>
      </c>
      <c r="K2036" s="113">
        <v>-22.3</v>
      </c>
    </row>
    <row r="2037" spans="2:11" x14ac:dyDescent="0.25">
      <c r="B2037" s="185"/>
      <c r="C2037" s="113">
        <v>249.18899999999999</v>
      </c>
      <c r="D2037" s="113">
        <v>9307</v>
      </c>
      <c r="E2037" s="113">
        <v>2034</v>
      </c>
      <c r="F2037" s="113">
        <v>151</v>
      </c>
      <c r="G2037" s="113">
        <v>153.5</v>
      </c>
      <c r="H2037" s="113">
        <v>147.4</v>
      </c>
      <c r="I2037" s="113">
        <v>3.5</v>
      </c>
      <c r="J2037" s="113">
        <v>69.88</v>
      </c>
      <c r="K2037" s="113">
        <v>-18.100000000000001</v>
      </c>
    </row>
    <row r="2038" spans="2:11" x14ac:dyDescent="0.25">
      <c r="B2038" s="185"/>
      <c r="C2038" s="113">
        <v>249.21299999999999</v>
      </c>
      <c r="D2038" s="113">
        <v>9308</v>
      </c>
      <c r="E2038" s="113">
        <v>2035</v>
      </c>
      <c r="F2038" s="113">
        <v>151</v>
      </c>
      <c r="G2038" s="113">
        <v>153.1</v>
      </c>
      <c r="H2038" s="113">
        <v>146.6</v>
      </c>
      <c r="I2038" s="113">
        <v>3.5</v>
      </c>
      <c r="J2038" s="113">
        <v>67.89</v>
      </c>
      <c r="K2038" s="113">
        <v>-19.5</v>
      </c>
    </row>
    <row r="2039" spans="2:11" x14ac:dyDescent="0.25">
      <c r="B2039" s="185"/>
      <c r="C2039" s="113">
        <v>249.23599999999999</v>
      </c>
      <c r="D2039" s="113">
        <v>9309</v>
      </c>
      <c r="E2039" s="113">
        <v>2036</v>
      </c>
      <c r="F2039" s="113">
        <v>150</v>
      </c>
      <c r="G2039" s="113">
        <v>152.80000000000001</v>
      </c>
      <c r="H2039" s="113">
        <v>146.1</v>
      </c>
      <c r="I2039" s="113">
        <v>3.6</v>
      </c>
      <c r="J2039" s="113">
        <v>68.05</v>
      </c>
      <c r="K2039" s="113">
        <v>-26.2</v>
      </c>
    </row>
    <row r="2040" spans="2:11" x14ac:dyDescent="0.25">
      <c r="B2040" s="185"/>
      <c r="C2040" s="113">
        <v>249.25899999999999</v>
      </c>
      <c r="D2040" s="113">
        <v>9310</v>
      </c>
      <c r="E2040" s="113">
        <v>2037</v>
      </c>
      <c r="F2040" s="113">
        <v>150</v>
      </c>
      <c r="G2040" s="113">
        <v>152.4</v>
      </c>
      <c r="H2040" s="113">
        <v>145.6</v>
      </c>
      <c r="I2040" s="113">
        <v>3.8</v>
      </c>
      <c r="J2040" s="113">
        <v>69.83</v>
      </c>
      <c r="K2040" s="113">
        <v>-32.9</v>
      </c>
    </row>
    <row r="2041" spans="2:11" x14ac:dyDescent="0.25">
      <c r="B2041" s="185"/>
      <c r="C2041" s="113">
        <v>249.28299999999999</v>
      </c>
      <c r="D2041" s="113">
        <v>9311</v>
      </c>
      <c r="E2041" s="113">
        <v>2038</v>
      </c>
      <c r="F2041" s="113">
        <v>150</v>
      </c>
      <c r="G2041" s="113">
        <v>151.6</v>
      </c>
      <c r="H2041" s="113">
        <v>144.9</v>
      </c>
      <c r="I2041" s="113">
        <v>5.4</v>
      </c>
      <c r="J2041" s="113">
        <v>70.58</v>
      </c>
      <c r="K2041" s="113">
        <v>-41.7</v>
      </c>
    </row>
    <row r="2042" spans="2:11" x14ac:dyDescent="0.25">
      <c r="B2042" s="185"/>
      <c r="C2042" s="113">
        <v>249.30699999999999</v>
      </c>
      <c r="D2042" s="113">
        <v>9312</v>
      </c>
      <c r="E2042" s="113">
        <v>2039</v>
      </c>
      <c r="F2042" s="113">
        <v>150</v>
      </c>
      <c r="G2042" s="113">
        <v>150.9</v>
      </c>
      <c r="H2042" s="113">
        <v>144.30000000000001</v>
      </c>
      <c r="I2042" s="113">
        <v>6</v>
      </c>
      <c r="J2042" s="113">
        <v>71.69</v>
      </c>
      <c r="K2042" s="113">
        <v>-41.1</v>
      </c>
    </row>
    <row r="2043" spans="2:11" x14ac:dyDescent="0.25">
      <c r="B2043" s="185"/>
      <c r="C2043" s="113">
        <v>249.33099999999999</v>
      </c>
      <c r="D2043" s="113">
        <v>9313</v>
      </c>
      <c r="E2043" s="113">
        <v>2040</v>
      </c>
      <c r="F2043" s="113">
        <v>150</v>
      </c>
      <c r="G2043" s="113">
        <v>150.19999999999999</v>
      </c>
      <c r="H2043" s="113">
        <v>143.6</v>
      </c>
      <c r="I2043" s="113">
        <v>6.4</v>
      </c>
      <c r="J2043" s="113">
        <v>71.67</v>
      </c>
      <c r="K2043" s="113">
        <v>-40.1</v>
      </c>
    </row>
    <row r="2044" spans="2:11" x14ac:dyDescent="0.25">
      <c r="B2044" s="185"/>
      <c r="C2044" s="113">
        <v>249.35400000000001</v>
      </c>
      <c r="D2044" s="113">
        <v>9314</v>
      </c>
      <c r="E2044" s="113">
        <v>2041</v>
      </c>
      <c r="F2044" s="113">
        <v>149</v>
      </c>
      <c r="G2044" s="113">
        <v>150.1</v>
      </c>
      <c r="H2044" s="113">
        <v>143.1</v>
      </c>
      <c r="I2044" s="113">
        <v>6.4</v>
      </c>
      <c r="J2044" s="113">
        <v>70.599999999999994</v>
      </c>
      <c r="K2044" s="113">
        <v>-39.5</v>
      </c>
    </row>
    <row r="2045" spans="2:11" x14ac:dyDescent="0.25">
      <c r="B2045" s="185"/>
      <c r="C2045" s="113">
        <v>249.37799999999999</v>
      </c>
      <c r="D2045" s="113">
        <v>9315</v>
      </c>
      <c r="E2045" s="113">
        <v>2042</v>
      </c>
      <c r="F2045" s="113">
        <v>149</v>
      </c>
      <c r="G2045" s="113">
        <v>150.1</v>
      </c>
      <c r="H2045" s="113">
        <v>142.69999999999999</v>
      </c>
      <c r="I2045" s="113">
        <v>5.7</v>
      </c>
      <c r="J2045" s="113">
        <v>68.42</v>
      </c>
      <c r="K2045" s="113">
        <v>-39.299999999999997</v>
      </c>
    </row>
    <row r="2046" spans="2:11" x14ac:dyDescent="0.25">
      <c r="B2046" s="185"/>
      <c r="C2046" s="113">
        <v>249.40199999999999</v>
      </c>
      <c r="D2046" s="113">
        <v>9316</v>
      </c>
      <c r="E2046" s="113">
        <v>2043</v>
      </c>
      <c r="F2046" s="113">
        <v>148</v>
      </c>
      <c r="G2046" s="113">
        <v>150.1</v>
      </c>
      <c r="H2046" s="113">
        <v>142.1</v>
      </c>
      <c r="I2046" s="113">
        <v>3.9</v>
      </c>
      <c r="J2046" s="113">
        <v>66.81</v>
      </c>
      <c r="K2046" s="113">
        <v>-39.299999999999997</v>
      </c>
    </row>
    <row r="2047" spans="2:11" x14ac:dyDescent="0.25">
      <c r="B2047" s="185"/>
      <c r="C2047" s="113">
        <v>249.42599999999999</v>
      </c>
      <c r="D2047" s="113">
        <v>9317</v>
      </c>
      <c r="E2047" s="113">
        <v>2044</v>
      </c>
      <c r="F2047" s="113">
        <v>147</v>
      </c>
      <c r="G2047" s="113">
        <v>149.9</v>
      </c>
      <c r="H2047" s="113">
        <v>141.69999999999999</v>
      </c>
      <c r="I2047" s="113">
        <v>3.5</v>
      </c>
      <c r="J2047" s="113">
        <v>65.05</v>
      </c>
      <c r="K2047" s="113">
        <v>-39.299999999999997</v>
      </c>
    </row>
    <row r="2048" spans="2:11" x14ac:dyDescent="0.25">
      <c r="B2048" s="185"/>
      <c r="C2048" s="113">
        <v>249.45</v>
      </c>
      <c r="D2048" s="113">
        <v>9318</v>
      </c>
      <c r="E2048" s="113">
        <v>2045</v>
      </c>
      <c r="F2048" s="113">
        <v>147</v>
      </c>
      <c r="G2048" s="113">
        <v>149.30000000000001</v>
      </c>
      <c r="H2048" s="113">
        <v>141.1</v>
      </c>
      <c r="I2048" s="113">
        <v>3.4</v>
      </c>
      <c r="J2048" s="113">
        <v>65.53</v>
      </c>
      <c r="K2048" s="113">
        <v>-38.700000000000003</v>
      </c>
    </row>
    <row r="2049" spans="2:11" x14ac:dyDescent="0.25">
      <c r="B2049" s="185"/>
      <c r="C2049" s="113">
        <v>249.47399999999999</v>
      </c>
      <c r="D2049" s="113">
        <v>9319</v>
      </c>
      <c r="E2049" s="113">
        <v>2046</v>
      </c>
      <c r="F2049" s="113">
        <v>147</v>
      </c>
      <c r="G2049" s="113">
        <v>148.80000000000001</v>
      </c>
      <c r="H2049" s="113">
        <v>140.69999999999999</v>
      </c>
      <c r="I2049" s="113">
        <v>3.7</v>
      </c>
      <c r="J2049" s="113">
        <v>65.3</v>
      </c>
      <c r="K2049" s="113">
        <v>-38.1</v>
      </c>
    </row>
    <row r="2050" spans="2:11" x14ac:dyDescent="0.25">
      <c r="B2050" s="185"/>
      <c r="C2050" s="113">
        <v>249.49799999999999</v>
      </c>
      <c r="D2050" s="113">
        <v>9320</v>
      </c>
      <c r="E2050" s="113">
        <v>2047</v>
      </c>
      <c r="F2050" s="113">
        <v>147</v>
      </c>
      <c r="G2050" s="113">
        <v>148.1</v>
      </c>
      <c r="H2050" s="113">
        <v>140.30000000000001</v>
      </c>
      <c r="I2050" s="113">
        <v>4.2</v>
      </c>
      <c r="J2050" s="113">
        <v>65.42</v>
      </c>
      <c r="K2050" s="113">
        <v>-37.299999999999997</v>
      </c>
    </row>
    <row r="2051" spans="2:11" x14ac:dyDescent="0.25">
      <c r="B2051" s="185"/>
      <c r="C2051" s="113">
        <v>249.523</v>
      </c>
      <c r="D2051" s="113">
        <v>9321</v>
      </c>
      <c r="E2051" s="113">
        <v>2048</v>
      </c>
      <c r="F2051" s="113">
        <v>147</v>
      </c>
      <c r="G2051" s="113">
        <v>147</v>
      </c>
      <c r="H2051" s="113">
        <v>139.80000000000001</v>
      </c>
      <c r="I2051" s="113">
        <v>4.2</v>
      </c>
      <c r="J2051" s="113">
        <v>65.75</v>
      </c>
      <c r="K2051" s="113">
        <v>-36.299999999999997</v>
      </c>
    </row>
    <row r="2052" spans="2:11" x14ac:dyDescent="0.25">
      <c r="B2052" s="185"/>
      <c r="C2052" s="113">
        <v>249.547</v>
      </c>
      <c r="D2052" s="113">
        <v>9322</v>
      </c>
      <c r="E2052" s="113">
        <v>2049</v>
      </c>
      <c r="F2052" s="113">
        <v>147</v>
      </c>
      <c r="G2052" s="113">
        <v>146.69999999999999</v>
      </c>
      <c r="H2052" s="113">
        <v>139.4</v>
      </c>
      <c r="I2052" s="113">
        <v>3.8</v>
      </c>
      <c r="J2052" s="113">
        <v>66.069999999999993</v>
      </c>
      <c r="K2052" s="113">
        <v>-36.1</v>
      </c>
    </row>
    <row r="2053" spans="2:11" x14ac:dyDescent="0.25">
      <c r="B2053" s="185"/>
      <c r="C2053" s="113">
        <v>249.571</v>
      </c>
      <c r="D2053" s="113">
        <v>9323</v>
      </c>
      <c r="E2053" s="113">
        <v>2050</v>
      </c>
      <c r="F2053" s="113">
        <v>147</v>
      </c>
      <c r="G2053" s="113">
        <v>146.6</v>
      </c>
      <c r="H2053" s="113">
        <v>138.9</v>
      </c>
      <c r="I2053" s="113">
        <v>3.1</v>
      </c>
      <c r="J2053" s="113">
        <v>65.040000000000006</v>
      </c>
      <c r="K2053" s="113">
        <v>-36</v>
      </c>
    </row>
    <row r="2054" spans="2:11" x14ac:dyDescent="0.25">
      <c r="B2054" s="185"/>
      <c r="C2054" s="113">
        <v>249.596</v>
      </c>
      <c r="D2054" s="113">
        <v>9324</v>
      </c>
      <c r="E2054" s="113">
        <v>2051</v>
      </c>
      <c r="F2054" s="113">
        <v>146</v>
      </c>
      <c r="G2054" s="113">
        <v>146.69999999999999</v>
      </c>
      <c r="H2054" s="113">
        <v>138.5</v>
      </c>
      <c r="I2054" s="113">
        <v>2.2999999999999998</v>
      </c>
      <c r="J2054" s="113">
        <v>66.25</v>
      </c>
      <c r="K2054" s="113">
        <v>-35.799999999999997</v>
      </c>
    </row>
    <row r="2055" spans="2:11" x14ac:dyDescent="0.25">
      <c r="B2055" s="185"/>
      <c r="C2055" s="113">
        <v>249.62</v>
      </c>
      <c r="D2055" s="113">
        <v>9325</v>
      </c>
      <c r="E2055" s="113">
        <v>2052</v>
      </c>
      <c r="F2055" s="113">
        <v>145</v>
      </c>
      <c r="G2055" s="113">
        <v>146.80000000000001</v>
      </c>
      <c r="H2055" s="113">
        <v>138</v>
      </c>
      <c r="I2055" s="113">
        <v>2.1</v>
      </c>
      <c r="J2055" s="113">
        <v>67.42</v>
      </c>
      <c r="K2055" s="113">
        <v>-35.700000000000003</v>
      </c>
    </row>
    <row r="2056" spans="2:11" x14ac:dyDescent="0.25">
      <c r="B2056" s="185"/>
      <c r="C2056" s="113">
        <v>249.64400000000001</v>
      </c>
      <c r="D2056" s="113">
        <v>9326</v>
      </c>
      <c r="E2056" s="113">
        <v>2053</v>
      </c>
      <c r="F2056" s="113">
        <v>145</v>
      </c>
      <c r="G2056" s="113">
        <v>147</v>
      </c>
      <c r="H2056" s="113">
        <v>137.69999999999999</v>
      </c>
      <c r="I2056" s="113">
        <v>2.5</v>
      </c>
      <c r="J2056" s="113">
        <v>72.510000000000005</v>
      </c>
      <c r="K2056" s="113">
        <v>-35.6</v>
      </c>
    </row>
    <row r="2057" spans="2:11" x14ac:dyDescent="0.25">
      <c r="B2057" s="185"/>
      <c r="C2057" s="113">
        <v>249.66900000000001</v>
      </c>
      <c r="D2057" s="113">
        <v>9327</v>
      </c>
      <c r="E2057" s="113">
        <v>2054</v>
      </c>
      <c r="F2057" s="113">
        <v>146</v>
      </c>
      <c r="G2057" s="113">
        <v>146.9</v>
      </c>
      <c r="H2057" s="113">
        <v>137.30000000000001</v>
      </c>
      <c r="I2057" s="113">
        <v>3.4</v>
      </c>
      <c r="J2057" s="113">
        <v>78.040000000000006</v>
      </c>
      <c r="K2057" s="113">
        <v>-35.5</v>
      </c>
    </row>
    <row r="2058" spans="2:11" x14ac:dyDescent="0.25">
      <c r="B2058" s="185"/>
      <c r="C2058" s="113">
        <v>249.69399999999999</v>
      </c>
      <c r="D2058" s="113">
        <v>9328</v>
      </c>
      <c r="E2058" s="113">
        <v>2055</v>
      </c>
      <c r="F2058" s="113">
        <v>146</v>
      </c>
      <c r="G2058" s="113">
        <v>146.6</v>
      </c>
      <c r="H2058" s="113">
        <v>136.80000000000001</v>
      </c>
      <c r="I2058" s="113">
        <v>6.5</v>
      </c>
      <c r="J2058" s="113">
        <v>85.09</v>
      </c>
      <c r="K2058" s="113">
        <v>-35.799999999999997</v>
      </c>
    </row>
    <row r="2059" spans="2:11" x14ac:dyDescent="0.25">
      <c r="B2059" s="185"/>
      <c r="C2059" s="113">
        <v>249.71799999999999</v>
      </c>
      <c r="D2059" s="113">
        <v>9329</v>
      </c>
      <c r="E2059" s="113">
        <v>2056</v>
      </c>
      <c r="F2059" s="113">
        <v>146</v>
      </c>
      <c r="G2059" s="113">
        <v>146.19999999999999</v>
      </c>
      <c r="H2059" s="113">
        <v>136.4</v>
      </c>
      <c r="I2059" s="113">
        <v>9.1</v>
      </c>
      <c r="J2059" s="113">
        <v>89.06</v>
      </c>
      <c r="K2059" s="113">
        <v>-36.299999999999997</v>
      </c>
    </row>
    <row r="2060" spans="2:11" x14ac:dyDescent="0.25">
      <c r="B2060" s="185"/>
      <c r="C2060" s="113">
        <v>249.74299999999999</v>
      </c>
      <c r="D2060" s="113">
        <v>9330</v>
      </c>
      <c r="E2060" s="113">
        <v>2057</v>
      </c>
      <c r="F2060" s="113">
        <v>146</v>
      </c>
      <c r="G2060" s="113">
        <v>145.1</v>
      </c>
      <c r="H2060" s="113">
        <v>135.9</v>
      </c>
      <c r="I2060" s="113">
        <v>12.6</v>
      </c>
      <c r="J2060" s="113">
        <v>91.1</v>
      </c>
      <c r="K2060" s="113">
        <v>-37.200000000000003</v>
      </c>
    </row>
    <row r="2061" spans="2:11" ht="15.75" thickBot="1" x14ac:dyDescent="0.3">
      <c r="B2061" s="186"/>
      <c r="C2061" s="113">
        <v>249.767</v>
      </c>
      <c r="D2061" s="113">
        <v>9331</v>
      </c>
      <c r="E2061" s="113">
        <v>2058</v>
      </c>
      <c r="F2061" s="113">
        <v>146</v>
      </c>
      <c r="G2061" s="113">
        <v>144.30000000000001</v>
      </c>
      <c r="H2061" s="113">
        <v>135.5</v>
      </c>
      <c r="I2061" s="113">
        <v>15.3</v>
      </c>
      <c r="J2061" s="113">
        <v>91.1</v>
      </c>
      <c r="K2061" s="113">
        <v>-37.6</v>
      </c>
    </row>
    <row r="2062" spans="2:11" x14ac:dyDescent="0.25">
      <c r="B2062" s="201" t="s">
        <v>198</v>
      </c>
      <c r="C2062" s="113">
        <v>249.792</v>
      </c>
      <c r="D2062" s="113">
        <v>9332</v>
      </c>
      <c r="E2062" s="113">
        <v>2059</v>
      </c>
      <c r="F2062" s="113">
        <v>146</v>
      </c>
      <c r="G2062" s="113">
        <v>143.6</v>
      </c>
      <c r="H2062" s="113">
        <v>134.9</v>
      </c>
      <c r="I2062" s="113">
        <v>16.7</v>
      </c>
      <c r="J2062" s="113">
        <v>89.02</v>
      </c>
      <c r="K2062" s="113">
        <v>-37.6</v>
      </c>
    </row>
    <row r="2063" spans="2:11" x14ac:dyDescent="0.25">
      <c r="B2063" s="202"/>
      <c r="C2063" s="113">
        <v>249.81700000000001</v>
      </c>
      <c r="D2063" s="113">
        <v>9333</v>
      </c>
      <c r="E2063" s="113">
        <v>2060</v>
      </c>
      <c r="F2063" s="113">
        <v>146</v>
      </c>
      <c r="G2063" s="113">
        <v>143.5</v>
      </c>
      <c r="H2063" s="113">
        <v>134.6</v>
      </c>
      <c r="I2063" s="113">
        <v>16.8</v>
      </c>
      <c r="J2063" s="113">
        <v>86.52</v>
      </c>
      <c r="K2063" s="113">
        <v>-37.6</v>
      </c>
    </row>
    <row r="2064" spans="2:11" x14ac:dyDescent="0.25">
      <c r="B2064" s="202"/>
      <c r="C2064" s="113">
        <v>249.84200000000001</v>
      </c>
      <c r="D2064" s="113">
        <v>9334</v>
      </c>
      <c r="E2064" s="113">
        <v>2061</v>
      </c>
      <c r="F2064" s="113">
        <v>146</v>
      </c>
      <c r="G2064" s="113">
        <v>143.6</v>
      </c>
      <c r="H2064" s="113">
        <v>134</v>
      </c>
      <c r="I2064" s="113">
        <v>14.5</v>
      </c>
      <c r="J2064" s="113">
        <v>84.05</v>
      </c>
      <c r="K2064" s="113">
        <v>-38.200000000000003</v>
      </c>
    </row>
    <row r="2065" spans="2:11" x14ac:dyDescent="0.25">
      <c r="B2065" s="202"/>
      <c r="C2065" s="113">
        <v>249.86699999999999</v>
      </c>
      <c r="D2065" s="113">
        <v>9335</v>
      </c>
      <c r="E2065" s="113">
        <v>2062</v>
      </c>
      <c r="F2065" s="113">
        <v>145</v>
      </c>
      <c r="G2065" s="113">
        <v>143.4</v>
      </c>
      <c r="H2065" s="113">
        <v>133.69999999999999</v>
      </c>
      <c r="I2065" s="113">
        <v>12.4</v>
      </c>
      <c r="J2065" s="113">
        <v>83.56</v>
      </c>
      <c r="K2065" s="113">
        <v>-41.4</v>
      </c>
    </row>
    <row r="2066" spans="2:11" x14ac:dyDescent="0.25">
      <c r="B2066" s="202"/>
      <c r="C2066" s="113">
        <v>249.892</v>
      </c>
      <c r="D2066" s="113">
        <v>9336</v>
      </c>
      <c r="E2066" s="113">
        <v>2063</v>
      </c>
      <c r="F2066" s="113">
        <v>145</v>
      </c>
      <c r="G2066" s="113">
        <v>143</v>
      </c>
      <c r="H2066" s="113">
        <v>133.19999999999999</v>
      </c>
      <c r="I2066" s="113">
        <v>10.8</v>
      </c>
      <c r="J2066" s="113">
        <v>78.75</v>
      </c>
      <c r="K2066" s="113">
        <v>-46.2</v>
      </c>
    </row>
    <row r="2067" spans="2:11" x14ac:dyDescent="0.25">
      <c r="B2067" s="202"/>
      <c r="C2067" s="113">
        <v>249.917</v>
      </c>
      <c r="D2067" s="113">
        <v>9337</v>
      </c>
      <c r="E2067" s="113">
        <v>2064</v>
      </c>
      <c r="F2067" s="113">
        <v>144</v>
      </c>
      <c r="G2067" s="113">
        <v>142.69999999999999</v>
      </c>
      <c r="H2067" s="113">
        <v>132.9</v>
      </c>
      <c r="I2067" s="113">
        <v>10.6</v>
      </c>
      <c r="J2067" s="113">
        <v>78.72</v>
      </c>
      <c r="K2067" s="113">
        <v>-49.4</v>
      </c>
    </row>
    <row r="2068" spans="2:11" x14ac:dyDescent="0.25">
      <c r="B2068" s="202"/>
      <c r="C2068" s="113">
        <v>249.94200000000001</v>
      </c>
      <c r="D2068" s="113">
        <v>9338</v>
      </c>
      <c r="E2068" s="113">
        <v>2065</v>
      </c>
      <c r="F2068" s="113">
        <v>144</v>
      </c>
      <c r="G2068" s="113">
        <v>142.4</v>
      </c>
      <c r="H2068" s="113">
        <v>132.4</v>
      </c>
      <c r="I2068" s="113">
        <v>8.4</v>
      </c>
      <c r="J2068" s="113">
        <v>75.36</v>
      </c>
      <c r="K2068" s="113">
        <v>-51.5</v>
      </c>
    </row>
    <row r="2069" spans="2:11" x14ac:dyDescent="0.25">
      <c r="B2069" s="202"/>
      <c r="C2069" s="113">
        <v>249.96799999999999</v>
      </c>
      <c r="D2069" s="113">
        <v>9339</v>
      </c>
      <c r="E2069" s="113">
        <v>2066</v>
      </c>
      <c r="F2069" s="113">
        <v>144</v>
      </c>
      <c r="G2069" s="113">
        <v>142.1</v>
      </c>
      <c r="H2069" s="113">
        <v>132</v>
      </c>
      <c r="I2069" s="113">
        <v>8.1</v>
      </c>
      <c r="J2069" s="113">
        <v>73.349999999999994</v>
      </c>
      <c r="K2069" s="113">
        <v>-52.5</v>
      </c>
    </row>
    <row r="2070" spans="2:11" x14ac:dyDescent="0.25">
      <c r="B2070" s="202"/>
      <c r="C2070" s="113">
        <v>249.99299999999999</v>
      </c>
      <c r="D2070" s="113">
        <v>9340</v>
      </c>
      <c r="E2070" s="113">
        <v>2067</v>
      </c>
      <c r="F2070" s="113">
        <v>143</v>
      </c>
      <c r="G2070" s="113">
        <v>141.5</v>
      </c>
      <c r="H2070" s="113">
        <v>131.5</v>
      </c>
      <c r="I2070" s="113">
        <v>6.8</v>
      </c>
      <c r="J2070" s="113">
        <v>73.06</v>
      </c>
      <c r="K2070" s="113">
        <v>-53.9</v>
      </c>
    </row>
    <row r="2071" spans="2:11" x14ac:dyDescent="0.25">
      <c r="B2071" s="202"/>
      <c r="C2071" s="113">
        <v>250.018</v>
      </c>
      <c r="D2071" s="113">
        <v>9341</v>
      </c>
      <c r="E2071" s="113">
        <v>2068</v>
      </c>
      <c r="F2071" s="113">
        <v>143</v>
      </c>
      <c r="G2071" s="113">
        <v>141</v>
      </c>
      <c r="H2071" s="113">
        <v>131.19999999999999</v>
      </c>
      <c r="I2071" s="113">
        <v>6.7</v>
      </c>
      <c r="J2071" s="113">
        <v>72.34</v>
      </c>
      <c r="K2071" s="113">
        <v>-53</v>
      </c>
    </row>
    <row r="2072" spans="2:11" x14ac:dyDescent="0.25">
      <c r="B2072" s="202"/>
      <c r="C2072" s="113">
        <v>250.04300000000001</v>
      </c>
      <c r="D2072" s="113">
        <v>9342</v>
      </c>
      <c r="E2072" s="113">
        <v>2069</v>
      </c>
      <c r="F2072" s="113">
        <v>143</v>
      </c>
      <c r="G2072" s="113">
        <v>140.30000000000001</v>
      </c>
      <c r="H2072" s="113">
        <v>130.6</v>
      </c>
      <c r="I2072" s="113">
        <v>8.3000000000000007</v>
      </c>
      <c r="J2072" s="113">
        <v>73.8</v>
      </c>
      <c r="K2072" s="113">
        <v>-50.3</v>
      </c>
    </row>
    <row r="2073" spans="2:11" x14ac:dyDescent="0.25">
      <c r="B2073" s="202"/>
      <c r="C2073" s="113">
        <v>250.06899999999999</v>
      </c>
      <c r="D2073" s="113">
        <v>9343</v>
      </c>
      <c r="E2073" s="113">
        <v>2070</v>
      </c>
      <c r="F2073" s="113">
        <v>142</v>
      </c>
      <c r="G2073" s="113">
        <v>139.9</v>
      </c>
      <c r="H2073" s="113">
        <v>130.30000000000001</v>
      </c>
      <c r="I2073" s="113">
        <v>8.6</v>
      </c>
      <c r="J2073" s="113">
        <v>75.099999999999994</v>
      </c>
      <c r="K2073" s="113">
        <v>-48.5</v>
      </c>
    </row>
    <row r="2074" spans="2:11" x14ac:dyDescent="0.25">
      <c r="B2074" s="202"/>
      <c r="C2074" s="113">
        <v>250.09399999999999</v>
      </c>
      <c r="D2074" s="113">
        <v>9344</v>
      </c>
      <c r="E2074" s="113">
        <v>2071</v>
      </c>
      <c r="F2074" s="113">
        <v>142</v>
      </c>
      <c r="G2074" s="113">
        <v>139.30000000000001</v>
      </c>
      <c r="H2074" s="113">
        <v>129.80000000000001</v>
      </c>
      <c r="I2074" s="113">
        <v>9.4</v>
      </c>
      <c r="J2074" s="113">
        <v>78.95</v>
      </c>
      <c r="K2074" s="113">
        <v>-42.4</v>
      </c>
    </row>
    <row r="2075" spans="2:11" x14ac:dyDescent="0.25">
      <c r="B2075" s="202"/>
      <c r="C2075" s="113">
        <v>250.12100000000001</v>
      </c>
      <c r="D2075" s="113">
        <v>9345</v>
      </c>
      <c r="E2075" s="113">
        <v>2072</v>
      </c>
      <c r="F2075" s="113">
        <v>142</v>
      </c>
      <c r="G2075" s="113">
        <v>138.80000000000001</v>
      </c>
      <c r="H2075" s="113">
        <v>129.30000000000001</v>
      </c>
      <c r="I2075" s="113">
        <v>10.199999999999999</v>
      </c>
      <c r="J2075" s="113">
        <v>77.69</v>
      </c>
      <c r="K2075" s="113">
        <v>-32</v>
      </c>
    </row>
    <row r="2076" spans="2:11" x14ac:dyDescent="0.25">
      <c r="B2076" s="202"/>
      <c r="C2076" s="113">
        <v>250.14599999999999</v>
      </c>
      <c r="D2076" s="113">
        <v>9346</v>
      </c>
      <c r="E2076" s="113">
        <v>2073</v>
      </c>
      <c r="F2076" s="113">
        <v>141</v>
      </c>
      <c r="G2076" s="113">
        <v>138.4</v>
      </c>
      <c r="H2076" s="113">
        <v>129</v>
      </c>
      <c r="I2076" s="113">
        <v>11.1</v>
      </c>
      <c r="J2076" s="113">
        <v>81.66</v>
      </c>
      <c r="K2076" s="113">
        <v>-25.1</v>
      </c>
    </row>
    <row r="2077" spans="2:11" x14ac:dyDescent="0.25">
      <c r="B2077" s="202"/>
      <c r="C2077" s="113">
        <v>250.172</v>
      </c>
      <c r="D2077" s="113">
        <v>9347</v>
      </c>
      <c r="E2077" s="113">
        <v>2074</v>
      </c>
      <c r="F2077" s="113">
        <v>141</v>
      </c>
      <c r="G2077" s="113">
        <v>138.19999999999999</v>
      </c>
      <c r="H2077" s="113">
        <v>128.6</v>
      </c>
      <c r="I2077" s="113">
        <v>10.6</v>
      </c>
      <c r="J2077" s="113">
        <v>79.209999999999994</v>
      </c>
      <c r="K2077" s="113">
        <v>-19.5</v>
      </c>
    </row>
    <row r="2078" spans="2:11" x14ac:dyDescent="0.25">
      <c r="B2078" s="202"/>
      <c r="C2078" s="113">
        <v>250.19800000000001</v>
      </c>
      <c r="D2078" s="113">
        <v>9348</v>
      </c>
      <c r="E2078" s="113">
        <v>2075</v>
      </c>
      <c r="F2078" s="113">
        <v>140</v>
      </c>
      <c r="G2078" s="113">
        <v>138.19999999999999</v>
      </c>
      <c r="H2078" s="113">
        <v>128.30000000000001</v>
      </c>
      <c r="I2078" s="113">
        <v>11.3</v>
      </c>
      <c r="J2078" s="113">
        <v>80.22</v>
      </c>
      <c r="K2078" s="113">
        <v>-19.5</v>
      </c>
    </row>
    <row r="2079" spans="2:11" x14ac:dyDescent="0.25">
      <c r="B2079" s="202"/>
      <c r="C2079" s="113">
        <v>250.22399999999999</v>
      </c>
      <c r="D2079" s="113">
        <v>9349</v>
      </c>
      <c r="E2079" s="113">
        <v>2076</v>
      </c>
      <c r="F2079" s="113">
        <v>140</v>
      </c>
      <c r="G2079" s="113">
        <v>138</v>
      </c>
      <c r="H2079" s="113">
        <v>127.8</v>
      </c>
      <c r="I2079" s="113">
        <v>10</v>
      </c>
      <c r="J2079" s="113">
        <v>86.64</v>
      </c>
      <c r="K2079" s="113">
        <v>-19.5</v>
      </c>
    </row>
    <row r="2080" spans="2:11" x14ac:dyDescent="0.25">
      <c r="B2080" s="202"/>
      <c r="C2080" s="113">
        <v>250.25</v>
      </c>
      <c r="D2080" s="113">
        <v>9350</v>
      </c>
      <c r="E2080" s="113">
        <v>2077</v>
      </c>
      <c r="F2080" s="113">
        <v>140</v>
      </c>
      <c r="G2080" s="113">
        <v>137.69999999999999</v>
      </c>
      <c r="H2080" s="113">
        <v>127.4</v>
      </c>
      <c r="I2080" s="113">
        <v>12</v>
      </c>
      <c r="J2080" s="113">
        <v>85.56</v>
      </c>
      <c r="K2080" s="113">
        <v>-25.9</v>
      </c>
    </row>
    <row r="2081" spans="2:11" x14ac:dyDescent="0.25">
      <c r="B2081" s="202"/>
      <c r="C2081" s="113">
        <v>250.27600000000001</v>
      </c>
      <c r="D2081" s="113">
        <v>9351</v>
      </c>
      <c r="E2081" s="113">
        <v>2078</v>
      </c>
      <c r="F2081" s="113">
        <v>140</v>
      </c>
      <c r="G2081" s="113">
        <v>137.4</v>
      </c>
      <c r="H2081" s="113">
        <v>127</v>
      </c>
      <c r="I2081" s="113">
        <v>13.6</v>
      </c>
      <c r="J2081" s="113">
        <v>90.11</v>
      </c>
      <c r="K2081" s="113">
        <v>-35.299999999999997</v>
      </c>
    </row>
    <row r="2082" spans="2:11" x14ac:dyDescent="0.25">
      <c r="B2082" s="202"/>
      <c r="C2082" s="113">
        <v>250.303</v>
      </c>
      <c r="D2082" s="113">
        <v>9352</v>
      </c>
      <c r="E2082" s="113">
        <v>2079</v>
      </c>
      <c r="F2082" s="113">
        <v>139</v>
      </c>
      <c r="G2082" s="113">
        <v>137.19999999999999</v>
      </c>
      <c r="H2082" s="113">
        <v>126.5</v>
      </c>
      <c r="I2082" s="113">
        <v>14.7</v>
      </c>
      <c r="J2082" s="113">
        <v>87.82</v>
      </c>
      <c r="K2082" s="113">
        <v>-49.3</v>
      </c>
    </row>
    <row r="2083" spans="2:11" x14ac:dyDescent="0.25">
      <c r="B2083" s="202"/>
      <c r="C2083" s="113">
        <v>250.328</v>
      </c>
      <c r="D2083" s="113">
        <v>9353</v>
      </c>
      <c r="E2083" s="113">
        <v>2080</v>
      </c>
      <c r="F2083" s="113">
        <v>139</v>
      </c>
      <c r="G2083" s="113">
        <v>137.1</v>
      </c>
      <c r="H2083" s="113">
        <v>126.2</v>
      </c>
      <c r="I2083" s="113">
        <v>15.4</v>
      </c>
      <c r="J2083" s="113">
        <v>86.41</v>
      </c>
      <c r="K2083" s="113">
        <v>-57.1</v>
      </c>
    </row>
    <row r="2084" spans="2:11" x14ac:dyDescent="0.25">
      <c r="B2084" s="202"/>
      <c r="C2084" s="113">
        <v>250.35400000000001</v>
      </c>
      <c r="D2084" s="113">
        <v>9354</v>
      </c>
      <c r="E2084" s="113">
        <v>2081</v>
      </c>
      <c r="F2084" s="113">
        <v>139</v>
      </c>
      <c r="G2084" s="113">
        <v>136.69999999999999</v>
      </c>
      <c r="H2084" s="113">
        <v>125.8</v>
      </c>
      <c r="I2084" s="113">
        <v>14.6</v>
      </c>
      <c r="J2084" s="113">
        <v>84.8</v>
      </c>
      <c r="K2084" s="113">
        <v>-58.6</v>
      </c>
    </row>
    <row r="2085" spans="2:11" x14ac:dyDescent="0.25">
      <c r="B2085" s="202"/>
      <c r="C2085" s="113">
        <v>250.381</v>
      </c>
      <c r="D2085" s="113">
        <v>9355</v>
      </c>
      <c r="E2085" s="113">
        <v>2082</v>
      </c>
      <c r="F2085" s="113">
        <v>138</v>
      </c>
      <c r="G2085" s="113">
        <v>136.30000000000001</v>
      </c>
      <c r="H2085" s="113">
        <v>125.3</v>
      </c>
      <c r="I2085" s="113">
        <v>13.9</v>
      </c>
      <c r="J2085" s="113">
        <v>79.58</v>
      </c>
      <c r="K2085" s="113">
        <v>-60.1</v>
      </c>
    </row>
    <row r="2086" spans="2:11" x14ac:dyDescent="0.25">
      <c r="B2086" s="202"/>
      <c r="C2086" s="113">
        <v>250.40700000000001</v>
      </c>
      <c r="D2086" s="113">
        <v>9356</v>
      </c>
      <c r="E2086" s="113">
        <v>2083</v>
      </c>
      <c r="F2086" s="113">
        <v>138</v>
      </c>
      <c r="G2086" s="113">
        <v>136.1</v>
      </c>
      <c r="H2086" s="113">
        <v>125.1</v>
      </c>
      <c r="I2086" s="113">
        <v>13</v>
      </c>
      <c r="J2086" s="113">
        <v>76.150000000000006</v>
      </c>
      <c r="K2086" s="113">
        <v>-60.7</v>
      </c>
    </row>
    <row r="2087" spans="2:11" x14ac:dyDescent="0.25">
      <c r="B2087" s="202"/>
      <c r="C2087" s="113">
        <v>250.434</v>
      </c>
      <c r="D2087" s="113">
        <v>9357</v>
      </c>
      <c r="E2087" s="113">
        <v>2084</v>
      </c>
      <c r="F2087" s="113">
        <v>138</v>
      </c>
      <c r="G2087" s="113">
        <v>136.19999999999999</v>
      </c>
      <c r="H2087" s="113">
        <v>124.7</v>
      </c>
      <c r="I2087" s="113">
        <v>11.5</v>
      </c>
      <c r="J2087" s="113">
        <v>72.5</v>
      </c>
      <c r="K2087" s="113">
        <v>-59.7</v>
      </c>
    </row>
    <row r="2088" spans="2:11" x14ac:dyDescent="0.25">
      <c r="B2088" s="202"/>
      <c r="C2088" s="113">
        <v>250.46</v>
      </c>
      <c r="D2088" s="113">
        <v>9358</v>
      </c>
      <c r="E2088" s="113">
        <v>2085</v>
      </c>
      <c r="F2088" s="113">
        <v>137</v>
      </c>
      <c r="G2088" s="113">
        <v>135.9</v>
      </c>
      <c r="H2088" s="113">
        <v>124.3</v>
      </c>
      <c r="I2088" s="113">
        <v>8.1999999999999993</v>
      </c>
      <c r="J2088" s="113">
        <v>68.03</v>
      </c>
      <c r="K2088" s="113">
        <v>-58.7</v>
      </c>
    </row>
    <row r="2089" spans="2:11" x14ac:dyDescent="0.25">
      <c r="B2089" s="202"/>
      <c r="C2089" s="113">
        <v>250.48599999999999</v>
      </c>
      <c r="D2089" s="113">
        <v>9359</v>
      </c>
      <c r="E2089" s="113">
        <v>2086</v>
      </c>
      <c r="F2089" s="113">
        <v>136</v>
      </c>
      <c r="G2089" s="113">
        <v>135.80000000000001</v>
      </c>
      <c r="H2089" s="113">
        <v>124</v>
      </c>
      <c r="I2089" s="113">
        <v>7.3</v>
      </c>
      <c r="J2089" s="113">
        <v>64.78</v>
      </c>
      <c r="K2089" s="113">
        <v>-57.7</v>
      </c>
    </row>
    <row r="2090" spans="2:11" x14ac:dyDescent="0.25">
      <c r="B2090" s="202"/>
      <c r="C2090" s="113">
        <v>250.512</v>
      </c>
      <c r="D2090" s="113">
        <v>9360</v>
      </c>
      <c r="E2090" s="113">
        <v>2087</v>
      </c>
      <c r="F2090" s="113">
        <v>136</v>
      </c>
      <c r="G2090" s="113">
        <v>135.9</v>
      </c>
      <c r="H2090" s="113">
        <v>123.6</v>
      </c>
      <c r="I2090" s="113">
        <v>7.1</v>
      </c>
      <c r="J2090" s="113">
        <v>73.67</v>
      </c>
      <c r="K2090" s="113">
        <v>-54.7</v>
      </c>
    </row>
    <row r="2091" spans="2:11" x14ac:dyDescent="0.25">
      <c r="B2091" s="202"/>
      <c r="C2091" s="113">
        <v>250.53899999999999</v>
      </c>
      <c r="D2091" s="113">
        <v>9361</v>
      </c>
      <c r="E2091" s="113">
        <v>2088</v>
      </c>
      <c r="F2091" s="113">
        <v>136</v>
      </c>
      <c r="G2091" s="113">
        <v>135.6</v>
      </c>
      <c r="H2091" s="113">
        <v>123.3</v>
      </c>
      <c r="I2091" s="113">
        <v>7.8</v>
      </c>
      <c r="J2091" s="113">
        <v>73.38</v>
      </c>
      <c r="K2091" s="113">
        <v>-52.7</v>
      </c>
    </row>
    <row r="2092" spans="2:11" x14ac:dyDescent="0.25">
      <c r="B2092" s="202"/>
      <c r="C2092" s="113">
        <v>250.566</v>
      </c>
      <c r="D2092" s="113">
        <v>9362</v>
      </c>
      <c r="E2092" s="113">
        <v>2089</v>
      </c>
      <c r="F2092" s="113">
        <v>135</v>
      </c>
      <c r="G2092" s="113">
        <v>134.9</v>
      </c>
      <c r="H2092" s="113">
        <v>123</v>
      </c>
      <c r="I2092" s="113">
        <v>15.4</v>
      </c>
      <c r="J2092" s="113">
        <v>78.400000000000006</v>
      </c>
      <c r="K2092" s="113">
        <v>-50.1</v>
      </c>
    </row>
    <row r="2093" spans="2:11" x14ac:dyDescent="0.25">
      <c r="B2093" s="202"/>
      <c r="C2093" s="113">
        <v>250.59200000000001</v>
      </c>
      <c r="D2093" s="113">
        <v>9363</v>
      </c>
      <c r="E2093" s="113">
        <v>2090</v>
      </c>
      <c r="F2093" s="113">
        <v>135</v>
      </c>
      <c r="G2093" s="113">
        <v>134.4</v>
      </c>
      <c r="H2093" s="113">
        <v>122.6</v>
      </c>
      <c r="I2093" s="113">
        <v>18.5</v>
      </c>
      <c r="J2093" s="113">
        <v>83.29</v>
      </c>
      <c r="K2093" s="113">
        <v>-50.1</v>
      </c>
    </row>
    <row r="2094" spans="2:11" x14ac:dyDescent="0.25">
      <c r="B2094" s="202"/>
      <c r="C2094" s="113">
        <v>250.619</v>
      </c>
      <c r="D2094" s="113">
        <v>9364</v>
      </c>
      <c r="E2094" s="113">
        <v>2091</v>
      </c>
      <c r="F2094" s="113">
        <v>135</v>
      </c>
      <c r="G2094" s="113">
        <v>133.9</v>
      </c>
      <c r="H2094" s="113">
        <v>122.4</v>
      </c>
      <c r="I2094" s="113">
        <v>21</v>
      </c>
      <c r="J2094" s="113">
        <v>82.72</v>
      </c>
      <c r="K2094" s="113">
        <v>-50.1</v>
      </c>
    </row>
    <row r="2095" spans="2:11" x14ac:dyDescent="0.25">
      <c r="B2095" s="202"/>
      <c r="C2095" s="113">
        <v>250.64599999999999</v>
      </c>
      <c r="D2095" s="113">
        <v>9365</v>
      </c>
      <c r="E2095" s="113">
        <v>2092</v>
      </c>
      <c r="F2095" s="113">
        <v>135</v>
      </c>
      <c r="G2095" s="113">
        <v>133.30000000000001</v>
      </c>
      <c r="H2095" s="113">
        <v>122</v>
      </c>
      <c r="I2095" s="113">
        <v>22.5</v>
      </c>
      <c r="J2095" s="113">
        <v>81.98</v>
      </c>
      <c r="K2095" s="113">
        <v>-50.3</v>
      </c>
    </row>
    <row r="2096" spans="2:11" x14ac:dyDescent="0.25">
      <c r="B2096" s="202"/>
      <c r="C2096" s="113">
        <v>250.673</v>
      </c>
      <c r="D2096" s="113">
        <v>9366</v>
      </c>
      <c r="E2096" s="113">
        <v>2093</v>
      </c>
      <c r="F2096" s="113">
        <v>134</v>
      </c>
      <c r="G2096" s="113">
        <v>132.9</v>
      </c>
      <c r="H2096" s="113">
        <v>121.7</v>
      </c>
      <c r="I2096" s="113">
        <v>21.7</v>
      </c>
      <c r="J2096" s="113">
        <v>79.010000000000005</v>
      </c>
      <c r="K2096" s="113">
        <v>-51.8</v>
      </c>
    </row>
    <row r="2097" spans="2:11" x14ac:dyDescent="0.25">
      <c r="B2097" s="202"/>
      <c r="C2097" s="113">
        <v>250.69900000000001</v>
      </c>
      <c r="D2097" s="113">
        <v>9367</v>
      </c>
      <c r="E2097" s="113">
        <v>2094</v>
      </c>
      <c r="F2097" s="113">
        <v>134</v>
      </c>
      <c r="G2097" s="113">
        <v>132.69999999999999</v>
      </c>
      <c r="H2097" s="113">
        <v>121.5</v>
      </c>
      <c r="I2097" s="113">
        <v>20.399999999999999</v>
      </c>
      <c r="J2097" s="113">
        <v>78.61</v>
      </c>
      <c r="K2097" s="113">
        <v>-52.9</v>
      </c>
    </row>
    <row r="2098" spans="2:11" x14ac:dyDescent="0.25">
      <c r="B2098" s="202"/>
      <c r="C2098" s="113">
        <v>250.727</v>
      </c>
      <c r="D2098" s="113">
        <v>9368</v>
      </c>
      <c r="E2098" s="113">
        <v>2095</v>
      </c>
      <c r="F2098" s="113">
        <v>134</v>
      </c>
      <c r="G2098" s="113">
        <v>132.5</v>
      </c>
      <c r="H2098" s="113">
        <v>121.2</v>
      </c>
      <c r="I2098" s="113">
        <v>17.600000000000001</v>
      </c>
      <c r="J2098" s="113">
        <v>75.150000000000006</v>
      </c>
      <c r="K2098" s="113">
        <v>-54.3</v>
      </c>
    </row>
    <row r="2099" spans="2:11" x14ac:dyDescent="0.25">
      <c r="B2099" s="202"/>
      <c r="C2099" s="113">
        <v>250.75399999999999</v>
      </c>
      <c r="D2099" s="113">
        <v>9369</v>
      </c>
      <c r="E2099" s="113">
        <v>2096</v>
      </c>
      <c r="F2099" s="113">
        <v>134</v>
      </c>
      <c r="G2099" s="113">
        <v>132.6</v>
      </c>
      <c r="H2099" s="113">
        <v>120.9</v>
      </c>
      <c r="I2099" s="113">
        <v>16.899999999999999</v>
      </c>
      <c r="J2099" s="113">
        <v>79.69</v>
      </c>
      <c r="K2099" s="113">
        <v>-55.3</v>
      </c>
    </row>
    <row r="2100" spans="2:11" x14ac:dyDescent="0.25">
      <c r="B2100" s="202"/>
      <c r="C2100" s="113">
        <v>250.78100000000001</v>
      </c>
      <c r="D2100" s="113">
        <v>9370</v>
      </c>
      <c r="E2100" s="113">
        <v>2097</v>
      </c>
      <c r="F2100" s="113">
        <v>133</v>
      </c>
      <c r="G2100" s="113">
        <v>131.9</v>
      </c>
      <c r="H2100" s="113">
        <v>120.5</v>
      </c>
      <c r="I2100" s="113">
        <v>16</v>
      </c>
      <c r="J2100" s="113">
        <v>78.39</v>
      </c>
      <c r="K2100" s="113">
        <v>-56.3</v>
      </c>
    </row>
    <row r="2101" spans="2:11" x14ac:dyDescent="0.25">
      <c r="B2101" s="202"/>
      <c r="C2101" s="113">
        <v>250.80799999999999</v>
      </c>
      <c r="D2101" s="113">
        <v>9371</v>
      </c>
      <c r="E2101" s="113">
        <v>2098</v>
      </c>
      <c r="F2101" s="113">
        <v>133</v>
      </c>
      <c r="G2101" s="113">
        <v>131.4</v>
      </c>
      <c r="H2101" s="113">
        <v>120.3</v>
      </c>
      <c r="I2101" s="113">
        <v>16.600000000000001</v>
      </c>
      <c r="J2101" s="113">
        <v>74.78</v>
      </c>
      <c r="K2101" s="113">
        <v>-56.9</v>
      </c>
    </row>
    <row r="2102" spans="2:11" x14ac:dyDescent="0.25">
      <c r="B2102" s="202"/>
      <c r="C2102" s="113">
        <v>250.83500000000001</v>
      </c>
      <c r="D2102" s="113">
        <v>9372</v>
      </c>
      <c r="E2102" s="113">
        <v>2099</v>
      </c>
      <c r="F2102" s="113">
        <v>133</v>
      </c>
      <c r="G2102" s="113">
        <v>131.69999999999999</v>
      </c>
      <c r="H2102" s="113">
        <v>120</v>
      </c>
      <c r="I2102" s="113">
        <v>17.100000000000001</v>
      </c>
      <c r="J2102" s="113">
        <v>78.83</v>
      </c>
      <c r="K2102" s="113">
        <v>-57.3</v>
      </c>
    </row>
    <row r="2103" spans="2:11" x14ac:dyDescent="0.25">
      <c r="B2103" s="202"/>
      <c r="C2103" s="113">
        <v>250.863</v>
      </c>
      <c r="D2103" s="113">
        <v>9373</v>
      </c>
      <c r="E2103" s="113">
        <v>2100</v>
      </c>
      <c r="F2103" s="113">
        <v>132</v>
      </c>
      <c r="G2103" s="113">
        <v>131.4</v>
      </c>
      <c r="H2103" s="113">
        <v>119.7</v>
      </c>
      <c r="I2103" s="113">
        <v>15.2</v>
      </c>
      <c r="J2103" s="113">
        <v>72.12</v>
      </c>
      <c r="K2103" s="113">
        <v>-57.7</v>
      </c>
    </row>
    <row r="2104" spans="2:11" x14ac:dyDescent="0.25">
      <c r="B2104" s="202"/>
      <c r="C2104" s="113">
        <v>250.89</v>
      </c>
      <c r="D2104" s="113">
        <v>9374</v>
      </c>
      <c r="E2104" s="113">
        <v>2101</v>
      </c>
      <c r="F2104" s="113">
        <v>132</v>
      </c>
      <c r="G2104" s="113">
        <v>131</v>
      </c>
      <c r="H2104" s="113">
        <v>119.5</v>
      </c>
      <c r="I2104" s="113">
        <v>14.5</v>
      </c>
      <c r="J2104" s="113">
        <v>70.11</v>
      </c>
      <c r="K2104" s="113">
        <v>-57.6</v>
      </c>
    </row>
    <row r="2105" spans="2:11" x14ac:dyDescent="0.25">
      <c r="B2105" s="202"/>
      <c r="C2105" s="113">
        <v>250.917</v>
      </c>
      <c r="D2105" s="113">
        <v>9375</v>
      </c>
      <c r="E2105" s="113">
        <v>2102</v>
      </c>
      <c r="F2105" s="113">
        <v>132</v>
      </c>
      <c r="G2105" s="113">
        <v>130.80000000000001</v>
      </c>
      <c r="H2105" s="113">
        <v>119.3</v>
      </c>
      <c r="I2105" s="113">
        <v>14.3</v>
      </c>
      <c r="J2105" s="113">
        <v>69.05</v>
      </c>
      <c r="K2105" s="113">
        <v>-57.1</v>
      </c>
    </row>
    <row r="2106" spans="2:11" x14ac:dyDescent="0.25">
      <c r="B2106" s="202"/>
      <c r="C2106" s="113">
        <v>250.94399999999999</v>
      </c>
      <c r="D2106" s="113">
        <v>9376</v>
      </c>
      <c r="E2106" s="113">
        <v>2103</v>
      </c>
      <c r="F2106" s="113">
        <v>132</v>
      </c>
      <c r="G2106" s="113">
        <v>130.4</v>
      </c>
      <c r="H2106" s="113">
        <v>119</v>
      </c>
      <c r="I2106" s="113">
        <v>14</v>
      </c>
      <c r="J2106" s="113">
        <v>70.61</v>
      </c>
      <c r="K2106" s="113">
        <v>-56.3</v>
      </c>
    </row>
    <row r="2107" spans="2:11" x14ac:dyDescent="0.25">
      <c r="B2107" s="202"/>
      <c r="C2107" s="113">
        <v>250.97200000000001</v>
      </c>
      <c r="D2107" s="113">
        <v>9377</v>
      </c>
      <c r="E2107" s="113">
        <v>2104</v>
      </c>
      <c r="F2107" s="113">
        <v>132</v>
      </c>
      <c r="G2107" s="113">
        <v>130.1</v>
      </c>
      <c r="H2107" s="113">
        <v>118.7</v>
      </c>
      <c r="I2107" s="113">
        <v>14.1</v>
      </c>
      <c r="J2107" s="113">
        <v>69.099999999999994</v>
      </c>
      <c r="K2107" s="113">
        <v>-55.9</v>
      </c>
    </row>
    <row r="2108" spans="2:11" x14ac:dyDescent="0.25">
      <c r="B2108" s="202"/>
      <c r="C2108" s="113">
        <v>250.999</v>
      </c>
      <c r="D2108" s="113">
        <v>9378</v>
      </c>
      <c r="E2108" s="113">
        <v>2105</v>
      </c>
      <c r="F2108" s="113">
        <v>132</v>
      </c>
      <c r="G2108" s="113">
        <v>129.80000000000001</v>
      </c>
      <c r="H2108" s="113">
        <v>118.5</v>
      </c>
      <c r="I2108" s="113">
        <v>15.2</v>
      </c>
      <c r="J2108" s="113">
        <v>70.39</v>
      </c>
      <c r="K2108" s="113">
        <v>-55.9</v>
      </c>
    </row>
    <row r="2109" spans="2:11" x14ac:dyDescent="0.25">
      <c r="B2109" s="202"/>
      <c r="C2109" s="113">
        <v>251.02799999999999</v>
      </c>
      <c r="D2109" s="113">
        <v>9379</v>
      </c>
      <c r="E2109" s="113">
        <v>2106</v>
      </c>
      <c r="F2109" s="113">
        <v>132</v>
      </c>
      <c r="G2109" s="113">
        <v>129.6</v>
      </c>
      <c r="H2109" s="113">
        <v>118.3</v>
      </c>
      <c r="I2109" s="113">
        <v>15.4</v>
      </c>
      <c r="J2109" s="113">
        <v>68.099999999999994</v>
      </c>
      <c r="K2109" s="113">
        <v>-55.9</v>
      </c>
    </row>
    <row r="2110" spans="2:11" x14ac:dyDescent="0.25">
      <c r="B2110" s="202"/>
      <c r="C2110" s="113">
        <v>251.05500000000001</v>
      </c>
      <c r="D2110" s="113">
        <v>9380</v>
      </c>
      <c r="E2110" s="113">
        <v>2107</v>
      </c>
      <c r="F2110" s="113">
        <v>132</v>
      </c>
      <c r="G2110" s="113">
        <v>129.5</v>
      </c>
      <c r="H2110" s="113">
        <v>118</v>
      </c>
      <c r="I2110" s="113">
        <v>15.9</v>
      </c>
      <c r="J2110" s="113">
        <v>68.239999999999995</v>
      </c>
      <c r="K2110" s="113">
        <v>-55.2</v>
      </c>
    </row>
    <row r="2111" spans="2:11" x14ac:dyDescent="0.25">
      <c r="B2111" s="202"/>
      <c r="C2111" s="113">
        <v>251.083</v>
      </c>
      <c r="D2111" s="113">
        <v>9381</v>
      </c>
      <c r="E2111" s="113">
        <v>2108</v>
      </c>
      <c r="F2111" s="113">
        <v>133</v>
      </c>
      <c r="G2111" s="113">
        <v>129.30000000000001</v>
      </c>
      <c r="H2111" s="113">
        <v>117.8</v>
      </c>
      <c r="I2111" s="113">
        <v>15.7</v>
      </c>
      <c r="J2111" s="113">
        <v>66.38</v>
      </c>
      <c r="K2111" s="113">
        <v>-53.6</v>
      </c>
    </row>
    <row r="2112" spans="2:11" x14ac:dyDescent="0.25">
      <c r="B2112" s="202"/>
      <c r="C2112" s="113">
        <v>251.11099999999999</v>
      </c>
      <c r="D2112" s="113">
        <v>9382</v>
      </c>
      <c r="E2112" s="113">
        <v>2109</v>
      </c>
      <c r="F2112" s="113">
        <v>132</v>
      </c>
      <c r="G2112" s="113">
        <v>129.19999999999999</v>
      </c>
      <c r="H2112" s="113">
        <v>117.6</v>
      </c>
      <c r="I2112" s="113">
        <v>16.5</v>
      </c>
      <c r="J2112" s="113">
        <v>66.63</v>
      </c>
      <c r="K2112" s="113">
        <v>-52</v>
      </c>
    </row>
    <row r="2113" spans="2:11" x14ac:dyDescent="0.25">
      <c r="B2113" s="202"/>
      <c r="C2113" s="113">
        <v>251.13800000000001</v>
      </c>
      <c r="D2113" s="113">
        <v>9383</v>
      </c>
      <c r="E2113" s="113">
        <v>2110</v>
      </c>
      <c r="F2113" s="113">
        <v>133</v>
      </c>
      <c r="G2113" s="113">
        <v>129.30000000000001</v>
      </c>
      <c r="H2113" s="113">
        <v>117.5</v>
      </c>
      <c r="I2113" s="113">
        <v>16.399999999999999</v>
      </c>
      <c r="J2113" s="113">
        <v>68.47</v>
      </c>
      <c r="K2113" s="113">
        <v>-47.2</v>
      </c>
    </row>
    <row r="2114" spans="2:11" x14ac:dyDescent="0.25">
      <c r="B2114" s="202"/>
      <c r="C2114" s="113">
        <v>251.166</v>
      </c>
      <c r="D2114" s="113">
        <v>9384</v>
      </c>
      <c r="E2114" s="113">
        <v>2111</v>
      </c>
      <c r="F2114" s="113">
        <v>135</v>
      </c>
      <c r="G2114" s="113">
        <v>129.5</v>
      </c>
      <c r="H2114" s="113">
        <v>117.4</v>
      </c>
      <c r="I2114" s="113">
        <v>17</v>
      </c>
      <c r="J2114" s="113">
        <v>63.14</v>
      </c>
      <c r="K2114" s="113">
        <v>-37.4</v>
      </c>
    </row>
    <row r="2115" spans="2:11" x14ac:dyDescent="0.25">
      <c r="B2115" s="202"/>
      <c r="C2115" s="113">
        <v>251.19399999999999</v>
      </c>
      <c r="D2115" s="113">
        <v>9385</v>
      </c>
      <c r="E2115" s="113">
        <v>2112</v>
      </c>
      <c r="F2115" s="113">
        <v>134</v>
      </c>
      <c r="G2115" s="113">
        <v>129.6</v>
      </c>
      <c r="H2115" s="113">
        <v>117.3</v>
      </c>
      <c r="I2115" s="113">
        <v>18</v>
      </c>
      <c r="J2115" s="113">
        <v>67.36</v>
      </c>
      <c r="K2115" s="113">
        <v>-27.6</v>
      </c>
    </row>
    <row r="2116" spans="2:11" x14ac:dyDescent="0.25">
      <c r="B2116" s="202"/>
      <c r="C2116" s="113">
        <v>251.221</v>
      </c>
      <c r="D2116" s="113">
        <v>9386</v>
      </c>
      <c r="E2116" s="113">
        <v>2113</v>
      </c>
      <c r="F2116" s="113">
        <v>135</v>
      </c>
      <c r="G2116" s="113">
        <v>129.6</v>
      </c>
      <c r="H2116" s="113">
        <v>117.2</v>
      </c>
      <c r="I2116" s="113">
        <v>18</v>
      </c>
      <c r="J2116" s="113">
        <v>63.92</v>
      </c>
      <c r="K2116" s="113">
        <v>-35.799999999999997</v>
      </c>
    </row>
    <row r="2117" spans="2:11" x14ac:dyDescent="0.25">
      <c r="B2117" s="202"/>
      <c r="C2117" s="113">
        <v>251.249</v>
      </c>
      <c r="D2117" s="113">
        <v>9387</v>
      </c>
      <c r="E2117" s="113">
        <v>2114</v>
      </c>
      <c r="F2117" s="113">
        <v>135</v>
      </c>
      <c r="G2117" s="113">
        <v>129.5</v>
      </c>
      <c r="H2117" s="113">
        <v>117.1</v>
      </c>
      <c r="I2117" s="113">
        <v>18</v>
      </c>
      <c r="J2117" s="113">
        <v>63.61</v>
      </c>
      <c r="K2117" s="113">
        <v>-44.3</v>
      </c>
    </row>
    <row r="2118" spans="2:11" x14ac:dyDescent="0.25">
      <c r="B2118" s="202"/>
      <c r="C2118" s="113">
        <v>251.27699999999999</v>
      </c>
      <c r="D2118" s="113">
        <v>9388</v>
      </c>
      <c r="E2118" s="113">
        <v>2115</v>
      </c>
      <c r="F2118" s="113">
        <v>134</v>
      </c>
      <c r="G2118" s="113">
        <v>129.5</v>
      </c>
      <c r="H2118" s="113">
        <v>117.1</v>
      </c>
      <c r="I2118" s="113">
        <v>17.899999999999999</v>
      </c>
      <c r="J2118" s="113">
        <v>61.96</v>
      </c>
      <c r="K2118" s="113">
        <v>-57.2</v>
      </c>
    </row>
    <row r="2119" spans="2:11" x14ac:dyDescent="0.25">
      <c r="B2119" s="202"/>
      <c r="C2119" s="113">
        <v>251.304</v>
      </c>
      <c r="D2119" s="113">
        <v>9389</v>
      </c>
      <c r="E2119" s="113">
        <v>2116</v>
      </c>
      <c r="F2119" s="113">
        <v>135</v>
      </c>
      <c r="G2119" s="113">
        <v>129.4</v>
      </c>
      <c r="H2119" s="113">
        <v>117</v>
      </c>
      <c r="I2119" s="113">
        <v>17.2</v>
      </c>
      <c r="J2119" s="113">
        <v>60.79</v>
      </c>
      <c r="K2119" s="113">
        <v>-60</v>
      </c>
    </row>
    <row r="2120" spans="2:11" x14ac:dyDescent="0.25">
      <c r="B2120" s="202"/>
      <c r="C2120" s="113">
        <v>251.333</v>
      </c>
      <c r="D2120" s="113">
        <v>9390</v>
      </c>
      <c r="E2120" s="113">
        <v>2117</v>
      </c>
      <c r="F2120" s="113">
        <v>135</v>
      </c>
      <c r="G2120" s="113">
        <v>129.1</v>
      </c>
      <c r="H2120" s="113">
        <v>116.9</v>
      </c>
      <c r="I2120" s="113">
        <v>16.7</v>
      </c>
      <c r="J2120" s="113">
        <v>60.76</v>
      </c>
      <c r="K2120" s="113">
        <v>-60</v>
      </c>
    </row>
    <row r="2121" spans="2:11" x14ac:dyDescent="0.25">
      <c r="B2121" s="202"/>
      <c r="C2121" s="113">
        <v>251.36</v>
      </c>
      <c r="D2121" s="113">
        <v>9391</v>
      </c>
      <c r="E2121" s="113">
        <v>2118</v>
      </c>
      <c r="F2121" s="113">
        <v>135</v>
      </c>
      <c r="G2121" s="113">
        <v>128.69999999999999</v>
      </c>
      <c r="H2121" s="113">
        <v>117</v>
      </c>
      <c r="I2121" s="113">
        <v>16.7</v>
      </c>
      <c r="J2121" s="113">
        <v>57.86</v>
      </c>
      <c r="K2121" s="113">
        <v>-60.1</v>
      </c>
    </row>
    <row r="2122" spans="2:11" x14ac:dyDescent="0.25">
      <c r="B2122" s="202"/>
      <c r="C2122" s="113">
        <v>251.38800000000001</v>
      </c>
      <c r="D2122" s="113">
        <v>9392</v>
      </c>
      <c r="E2122" s="113">
        <v>2119</v>
      </c>
      <c r="F2122" s="113">
        <v>135</v>
      </c>
      <c r="G2122" s="113">
        <v>128.6</v>
      </c>
      <c r="H2122" s="113">
        <v>117</v>
      </c>
      <c r="I2122" s="113">
        <v>17.100000000000001</v>
      </c>
      <c r="J2122" s="113">
        <v>55.05</v>
      </c>
      <c r="K2122" s="113">
        <v>-60.1</v>
      </c>
    </row>
    <row r="2123" spans="2:11" x14ac:dyDescent="0.25">
      <c r="B2123" s="202"/>
      <c r="C2123" s="113">
        <v>251.416</v>
      </c>
      <c r="D2123" s="113">
        <v>9393</v>
      </c>
      <c r="E2123" s="113">
        <v>2120</v>
      </c>
      <c r="F2123" s="113">
        <v>135</v>
      </c>
      <c r="G2123" s="113">
        <v>128.69999999999999</v>
      </c>
      <c r="H2123" s="113">
        <v>117.1</v>
      </c>
      <c r="I2123" s="113">
        <v>14.9</v>
      </c>
      <c r="J2123" s="113">
        <v>48.94</v>
      </c>
      <c r="K2123" s="113">
        <v>-60.1</v>
      </c>
    </row>
    <row r="2124" spans="2:11" x14ac:dyDescent="0.25">
      <c r="B2124" s="202"/>
      <c r="C2124" s="113">
        <v>251.44399999999999</v>
      </c>
      <c r="D2124" s="113">
        <v>9394</v>
      </c>
      <c r="E2124" s="113">
        <v>2121</v>
      </c>
      <c r="F2124" s="113">
        <v>136</v>
      </c>
      <c r="G2124" s="113">
        <v>129</v>
      </c>
      <c r="H2124" s="113">
        <v>117.2</v>
      </c>
      <c r="I2124" s="113">
        <v>10</v>
      </c>
      <c r="J2124" s="113">
        <v>45.62</v>
      </c>
      <c r="K2124" s="113">
        <v>-59.9</v>
      </c>
    </row>
    <row r="2125" spans="2:11" x14ac:dyDescent="0.25">
      <c r="B2125" s="202"/>
      <c r="C2125" s="113">
        <v>251.47200000000001</v>
      </c>
      <c r="D2125" s="113">
        <v>9395</v>
      </c>
      <c r="E2125" s="113">
        <v>2122</v>
      </c>
      <c r="F2125" s="113">
        <v>136</v>
      </c>
      <c r="G2125" s="113">
        <v>129</v>
      </c>
      <c r="H2125" s="113">
        <v>117.3</v>
      </c>
      <c r="I2125" s="113">
        <v>7.8</v>
      </c>
      <c r="J2125" s="113">
        <v>46.43</v>
      </c>
      <c r="K2125" s="113">
        <v>-58.7</v>
      </c>
    </row>
    <row r="2126" spans="2:11" x14ac:dyDescent="0.25">
      <c r="B2126" s="202"/>
      <c r="C2126" s="113">
        <v>251.499</v>
      </c>
      <c r="D2126" s="113">
        <v>9396</v>
      </c>
      <c r="E2126" s="113">
        <v>2123</v>
      </c>
      <c r="F2126" s="113">
        <v>135</v>
      </c>
      <c r="G2126" s="113">
        <v>129</v>
      </c>
      <c r="H2126" s="113">
        <v>117.3</v>
      </c>
      <c r="I2126" s="113">
        <v>8.1</v>
      </c>
      <c r="J2126" s="113">
        <v>46.56</v>
      </c>
      <c r="K2126" s="113">
        <v>-57.9</v>
      </c>
    </row>
    <row r="2127" spans="2:11" x14ac:dyDescent="0.25">
      <c r="B2127" s="202"/>
      <c r="C2127" s="113">
        <v>251.52799999999999</v>
      </c>
      <c r="D2127" s="113">
        <v>9397</v>
      </c>
      <c r="E2127" s="113">
        <v>2124</v>
      </c>
      <c r="F2127" s="113">
        <v>134</v>
      </c>
      <c r="G2127" s="113">
        <v>129</v>
      </c>
      <c r="H2127" s="113">
        <v>117.4</v>
      </c>
      <c r="I2127" s="113">
        <v>11.6</v>
      </c>
      <c r="J2127" s="113">
        <v>53.84</v>
      </c>
      <c r="K2127" s="113">
        <v>-56.7</v>
      </c>
    </row>
    <row r="2128" spans="2:11" x14ac:dyDescent="0.25">
      <c r="B2128" s="202"/>
      <c r="C2128" s="113">
        <v>251.55500000000001</v>
      </c>
      <c r="D2128" s="113">
        <v>9398</v>
      </c>
      <c r="E2128" s="113">
        <v>2125</v>
      </c>
      <c r="F2128" s="113">
        <v>134</v>
      </c>
      <c r="G2128" s="113">
        <v>129.1</v>
      </c>
      <c r="H2128" s="113">
        <v>117.5</v>
      </c>
      <c r="I2128" s="113">
        <v>14</v>
      </c>
      <c r="J2128" s="113">
        <v>54.48</v>
      </c>
      <c r="K2128" s="113">
        <v>-55.3</v>
      </c>
    </row>
    <row r="2129" spans="2:11" x14ac:dyDescent="0.25">
      <c r="B2129" s="202"/>
      <c r="C2129" s="113">
        <v>251.583</v>
      </c>
      <c r="D2129" s="113">
        <v>9399</v>
      </c>
      <c r="E2129" s="113">
        <v>2126</v>
      </c>
      <c r="F2129" s="113">
        <v>134</v>
      </c>
      <c r="G2129" s="113">
        <v>128.80000000000001</v>
      </c>
      <c r="H2129" s="113">
        <v>117.6</v>
      </c>
      <c r="I2129" s="113">
        <v>16.100000000000001</v>
      </c>
      <c r="J2129" s="113">
        <v>56.39</v>
      </c>
      <c r="K2129" s="113">
        <v>-53.9</v>
      </c>
    </row>
    <row r="2130" spans="2:11" x14ac:dyDescent="0.25">
      <c r="B2130" s="202"/>
      <c r="C2130" s="113">
        <v>251.61099999999999</v>
      </c>
      <c r="D2130" s="113">
        <v>9400</v>
      </c>
      <c r="E2130" s="113">
        <v>2127</v>
      </c>
      <c r="F2130" s="113">
        <v>134</v>
      </c>
      <c r="G2130" s="113">
        <v>128.69999999999999</v>
      </c>
      <c r="H2130" s="113">
        <v>117.7</v>
      </c>
      <c r="I2130" s="113">
        <v>16.100000000000001</v>
      </c>
      <c r="J2130" s="113">
        <v>56.68</v>
      </c>
      <c r="K2130" s="113">
        <v>-53.5</v>
      </c>
    </row>
    <row r="2131" spans="2:11" x14ac:dyDescent="0.25">
      <c r="B2131" s="202"/>
      <c r="C2131" s="113">
        <v>251.63900000000001</v>
      </c>
      <c r="D2131" s="113">
        <v>9401</v>
      </c>
      <c r="E2131" s="113">
        <v>2128</v>
      </c>
      <c r="F2131" s="113">
        <v>134</v>
      </c>
      <c r="G2131" s="113">
        <v>128.80000000000001</v>
      </c>
      <c r="H2131" s="113">
        <v>117.8</v>
      </c>
      <c r="I2131" s="113">
        <v>16.100000000000001</v>
      </c>
      <c r="J2131" s="113">
        <v>55.82</v>
      </c>
      <c r="K2131" s="113">
        <v>-54.1</v>
      </c>
    </row>
    <row r="2132" spans="2:11" x14ac:dyDescent="0.25">
      <c r="B2132" s="202"/>
      <c r="C2132" s="113">
        <v>251.666</v>
      </c>
      <c r="D2132" s="113">
        <v>9402</v>
      </c>
      <c r="E2132" s="113">
        <v>2129</v>
      </c>
      <c r="F2132" s="113">
        <v>134</v>
      </c>
      <c r="G2132" s="113">
        <v>129.19999999999999</v>
      </c>
      <c r="H2132" s="113">
        <v>118</v>
      </c>
      <c r="I2132" s="113">
        <v>16.3</v>
      </c>
      <c r="J2132" s="113">
        <v>60.13</v>
      </c>
      <c r="K2132" s="113">
        <v>-55</v>
      </c>
    </row>
    <row r="2133" spans="2:11" x14ac:dyDescent="0.25">
      <c r="B2133" s="202"/>
      <c r="C2133" s="113">
        <v>251.69399999999999</v>
      </c>
      <c r="D2133" s="113">
        <v>9403</v>
      </c>
      <c r="E2133" s="113">
        <v>2130</v>
      </c>
      <c r="F2133" s="113">
        <v>134</v>
      </c>
      <c r="G2133" s="113">
        <v>129.5</v>
      </c>
      <c r="H2133" s="113">
        <v>118.1</v>
      </c>
      <c r="I2133" s="113">
        <v>16.3</v>
      </c>
      <c r="J2133" s="113">
        <v>62.71</v>
      </c>
      <c r="K2133" s="113">
        <v>-55.1</v>
      </c>
    </row>
    <row r="2134" spans="2:11" x14ac:dyDescent="0.25">
      <c r="B2134" s="202"/>
      <c r="C2134" s="113">
        <v>251.72200000000001</v>
      </c>
      <c r="D2134" s="113">
        <v>9404</v>
      </c>
      <c r="E2134" s="113">
        <v>2131</v>
      </c>
      <c r="F2134" s="113">
        <v>135</v>
      </c>
      <c r="G2134" s="113">
        <v>129.30000000000001</v>
      </c>
      <c r="H2134" s="113">
        <v>118.3</v>
      </c>
      <c r="I2134" s="113">
        <v>17.100000000000001</v>
      </c>
      <c r="J2134" s="113">
        <v>66.150000000000006</v>
      </c>
      <c r="K2134" s="113">
        <v>-54</v>
      </c>
    </row>
    <row r="2135" spans="2:11" x14ac:dyDescent="0.25">
      <c r="B2135" s="202"/>
      <c r="C2135" s="113">
        <v>251.75</v>
      </c>
      <c r="D2135" s="113">
        <v>9405</v>
      </c>
      <c r="E2135" s="113">
        <v>2132</v>
      </c>
      <c r="F2135" s="113">
        <v>135</v>
      </c>
      <c r="G2135" s="113">
        <v>129.30000000000001</v>
      </c>
      <c r="H2135" s="113">
        <v>118.5</v>
      </c>
      <c r="I2135" s="113">
        <v>18.3</v>
      </c>
      <c r="J2135" s="113">
        <v>62.83</v>
      </c>
      <c r="K2135" s="113">
        <v>-53</v>
      </c>
    </row>
    <row r="2136" spans="2:11" x14ac:dyDescent="0.25">
      <c r="B2136" s="202"/>
      <c r="C2136" s="113">
        <v>251.77799999999999</v>
      </c>
      <c r="D2136" s="113">
        <v>9406</v>
      </c>
      <c r="E2136" s="113">
        <v>2133</v>
      </c>
      <c r="F2136" s="113">
        <v>135</v>
      </c>
      <c r="G2136" s="113">
        <v>129.30000000000001</v>
      </c>
      <c r="H2136" s="113">
        <v>118.6</v>
      </c>
      <c r="I2136" s="113">
        <v>18.5</v>
      </c>
      <c r="J2136" s="113">
        <v>58.72</v>
      </c>
      <c r="K2136" s="113">
        <v>-52.8</v>
      </c>
    </row>
    <row r="2137" spans="2:11" x14ac:dyDescent="0.25">
      <c r="B2137" s="202"/>
      <c r="C2137" s="113">
        <v>251.80600000000001</v>
      </c>
      <c r="D2137" s="113">
        <v>9407</v>
      </c>
      <c r="E2137" s="113">
        <v>2134</v>
      </c>
      <c r="F2137" s="113">
        <v>136</v>
      </c>
      <c r="G2137" s="113">
        <v>129.5</v>
      </c>
      <c r="H2137" s="113">
        <v>118.8</v>
      </c>
      <c r="I2137" s="113">
        <v>17.600000000000001</v>
      </c>
      <c r="J2137" s="113">
        <v>55</v>
      </c>
      <c r="K2137" s="113">
        <v>-52.8</v>
      </c>
    </row>
    <row r="2138" spans="2:11" x14ac:dyDescent="0.25">
      <c r="B2138" s="202"/>
      <c r="C2138" s="113">
        <v>251.833</v>
      </c>
      <c r="D2138" s="113">
        <v>9408</v>
      </c>
      <c r="E2138" s="113">
        <v>2135</v>
      </c>
      <c r="F2138" s="113">
        <v>138</v>
      </c>
      <c r="G2138" s="113">
        <v>129.80000000000001</v>
      </c>
      <c r="H2138" s="113">
        <v>119</v>
      </c>
      <c r="I2138" s="113">
        <v>13.2</v>
      </c>
      <c r="J2138" s="113">
        <v>50.04</v>
      </c>
      <c r="K2138" s="113">
        <v>-52.8</v>
      </c>
    </row>
    <row r="2139" spans="2:11" x14ac:dyDescent="0.25">
      <c r="B2139" s="202"/>
      <c r="C2139" s="113">
        <v>251.86099999999999</v>
      </c>
      <c r="D2139" s="113">
        <v>9409</v>
      </c>
      <c r="E2139" s="113">
        <v>2136</v>
      </c>
      <c r="F2139" s="113">
        <v>138</v>
      </c>
      <c r="G2139" s="113">
        <v>130.1</v>
      </c>
      <c r="H2139" s="113">
        <v>119.2</v>
      </c>
      <c r="I2139" s="113">
        <v>12.1</v>
      </c>
      <c r="J2139" s="113">
        <v>48.39</v>
      </c>
      <c r="K2139" s="113">
        <v>-53.7</v>
      </c>
    </row>
    <row r="2140" spans="2:11" x14ac:dyDescent="0.25">
      <c r="B2140" s="202"/>
      <c r="C2140" s="113">
        <v>251.88800000000001</v>
      </c>
      <c r="D2140" s="113">
        <v>9410</v>
      </c>
      <c r="E2140" s="113">
        <v>2137</v>
      </c>
      <c r="F2140" s="113">
        <v>138</v>
      </c>
      <c r="G2140" s="113">
        <v>130.19999999999999</v>
      </c>
      <c r="H2140" s="113">
        <v>119.4</v>
      </c>
      <c r="I2140" s="113">
        <v>12</v>
      </c>
      <c r="J2140" s="113">
        <v>48.74</v>
      </c>
      <c r="K2140" s="113">
        <v>-54.4</v>
      </c>
    </row>
    <row r="2141" spans="2:11" x14ac:dyDescent="0.25">
      <c r="B2141" s="202"/>
      <c r="C2141" s="113">
        <v>251.916</v>
      </c>
      <c r="D2141" s="113">
        <v>9411</v>
      </c>
      <c r="E2141" s="113">
        <v>2138</v>
      </c>
      <c r="F2141" s="113">
        <v>137</v>
      </c>
      <c r="G2141" s="113">
        <v>130.1</v>
      </c>
      <c r="H2141" s="113">
        <v>119.6</v>
      </c>
      <c r="I2141" s="113">
        <v>14.3</v>
      </c>
      <c r="J2141" s="113">
        <v>49.95</v>
      </c>
      <c r="K2141" s="113">
        <v>-55.5</v>
      </c>
    </row>
    <row r="2142" spans="2:11" x14ac:dyDescent="0.25">
      <c r="B2142" s="202"/>
      <c r="C2142" s="113">
        <v>251.94399999999999</v>
      </c>
      <c r="D2142" s="113">
        <v>9412</v>
      </c>
      <c r="E2142" s="113">
        <v>2139</v>
      </c>
      <c r="F2142" s="113">
        <v>136</v>
      </c>
      <c r="G2142" s="113">
        <v>130</v>
      </c>
      <c r="H2142" s="113">
        <v>119.8</v>
      </c>
      <c r="I2142" s="113">
        <v>17</v>
      </c>
      <c r="J2142" s="113">
        <v>49.75</v>
      </c>
      <c r="K2142" s="113">
        <v>-54.2</v>
      </c>
    </row>
    <row r="2143" spans="2:11" x14ac:dyDescent="0.25">
      <c r="B2143" s="202"/>
      <c r="C2143" s="113">
        <v>251.971</v>
      </c>
      <c r="D2143" s="113">
        <v>9413</v>
      </c>
      <c r="E2143" s="113">
        <v>2140</v>
      </c>
      <c r="F2143" s="113">
        <v>136</v>
      </c>
      <c r="G2143" s="113">
        <v>129.69999999999999</v>
      </c>
      <c r="H2143" s="113">
        <v>120</v>
      </c>
      <c r="I2143" s="113">
        <v>18.399999999999999</v>
      </c>
      <c r="J2143" s="113">
        <v>46.62</v>
      </c>
      <c r="K2143" s="113">
        <v>-52.3</v>
      </c>
    </row>
    <row r="2144" spans="2:11" x14ac:dyDescent="0.25">
      <c r="B2144" s="202"/>
      <c r="C2144" s="113">
        <v>251.999</v>
      </c>
      <c r="D2144" s="113">
        <v>9414</v>
      </c>
      <c r="E2144" s="113">
        <v>2141</v>
      </c>
      <c r="F2144" s="113">
        <v>137</v>
      </c>
      <c r="G2144" s="113">
        <v>129.5</v>
      </c>
      <c r="H2144" s="113">
        <v>120.2</v>
      </c>
      <c r="I2144" s="113">
        <v>18.5</v>
      </c>
      <c r="J2144" s="113">
        <v>45.85</v>
      </c>
      <c r="K2144" s="113">
        <v>-51.1</v>
      </c>
    </row>
    <row r="2145" spans="2:11" x14ac:dyDescent="0.25">
      <c r="B2145" s="202"/>
      <c r="C2145" s="113">
        <v>252.02600000000001</v>
      </c>
      <c r="D2145" s="113">
        <v>9415</v>
      </c>
      <c r="E2145" s="113">
        <v>2142</v>
      </c>
      <c r="F2145" s="113">
        <v>137</v>
      </c>
      <c r="G2145" s="113">
        <v>129.5</v>
      </c>
      <c r="H2145" s="113">
        <v>120.4</v>
      </c>
      <c r="I2145" s="113">
        <v>18.399999999999999</v>
      </c>
      <c r="J2145" s="113">
        <v>45.08</v>
      </c>
      <c r="K2145" s="113">
        <v>-51.8</v>
      </c>
    </row>
    <row r="2146" spans="2:11" x14ac:dyDescent="0.25">
      <c r="B2146" s="202"/>
      <c r="C2146" s="113">
        <v>252.054</v>
      </c>
      <c r="D2146" s="113">
        <v>9416</v>
      </c>
      <c r="E2146" s="113">
        <v>2143</v>
      </c>
      <c r="F2146" s="113">
        <v>137</v>
      </c>
      <c r="G2146" s="113">
        <v>129.6</v>
      </c>
      <c r="H2146" s="113">
        <v>120.7</v>
      </c>
      <c r="I2146" s="113">
        <v>16.899999999999999</v>
      </c>
      <c r="J2146" s="113">
        <v>40.86</v>
      </c>
      <c r="K2146" s="113">
        <v>-53.2</v>
      </c>
    </row>
    <row r="2147" spans="2:11" x14ac:dyDescent="0.25">
      <c r="B2147" s="202"/>
      <c r="C2147" s="113">
        <v>252.08199999999999</v>
      </c>
      <c r="D2147" s="113">
        <v>9417</v>
      </c>
      <c r="E2147" s="113">
        <v>2144</v>
      </c>
      <c r="F2147" s="113">
        <v>138</v>
      </c>
      <c r="G2147" s="113">
        <v>129.9</v>
      </c>
      <c r="H2147" s="113">
        <v>121</v>
      </c>
      <c r="I2147" s="113">
        <v>14.5</v>
      </c>
      <c r="J2147" s="113">
        <v>42.29</v>
      </c>
      <c r="K2147" s="113">
        <v>-53.1</v>
      </c>
    </row>
    <row r="2148" spans="2:11" x14ac:dyDescent="0.25">
      <c r="B2148" s="202"/>
      <c r="C2148" s="113">
        <v>252.10900000000001</v>
      </c>
      <c r="D2148" s="113">
        <v>9418</v>
      </c>
      <c r="E2148" s="113">
        <v>2145</v>
      </c>
      <c r="F2148" s="113">
        <v>139</v>
      </c>
      <c r="G2148" s="113">
        <v>130.1</v>
      </c>
      <c r="H2148" s="113">
        <v>121.2</v>
      </c>
      <c r="I2148" s="113">
        <v>12.8</v>
      </c>
      <c r="J2148" s="113">
        <v>42.07</v>
      </c>
      <c r="K2148" s="113">
        <v>-46.5</v>
      </c>
    </row>
    <row r="2149" spans="2:11" x14ac:dyDescent="0.25">
      <c r="B2149" s="202"/>
      <c r="C2149" s="113">
        <v>252.137</v>
      </c>
      <c r="D2149" s="113">
        <v>9419</v>
      </c>
      <c r="E2149" s="113">
        <v>2146</v>
      </c>
      <c r="F2149" s="113">
        <v>139</v>
      </c>
      <c r="G2149" s="113">
        <v>130.6</v>
      </c>
      <c r="H2149" s="113">
        <v>121.5</v>
      </c>
      <c r="I2149" s="113">
        <v>12.1</v>
      </c>
      <c r="J2149" s="113">
        <v>38.56</v>
      </c>
      <c r="K2149" s="113">
        <v>-36.5</v>
      </c>
    </row>
    <row r="2150" spans="2:11" x14ac:dyDescent="0.25">
      <c r="B2150" s="202"/>
      <c r="C2150" s="113">
        <v>252.16399999999999</v>
      </c>
      <c r="D2150" s="113">
        <v>9420</v>
      </c>
      <c r="E2150" s="113">
        <v>2147</v>
      </c>
      <c r="F2150" s="113">
        <v>139</v>
      </c>
      <c r="G2150" s="113">
        <v>131.1</v>
      </c>
      <c r="H2150" s="113">
        <v>121.8</v>
      </c>
      <c r="I2150" s="113">
        <v>11.5</v>
      </c>
      <c r="J2150" s="113">
        <v>42.48</v>
      </c>
      <c r="K2150" s="113">
        <v>-27.7</v>
      </c>
    </row>
    <row r="2151" spans="2:11" x14ac:dyDescent="0.25">
      <c r="B2151" s="202"/>
      <c r="C2151" s="113">
        <v>252.19200000000001</v>
      </c>
      <c r="D2151" s="113">
        <v>9421</v>
      </c>
      <c r="E2151" s="113">
        <v>2148</v>
      </c>
      <c r="F2151" s="113">
        <v>139</v>
      </c>
      <c r="G2151" s="113">
        <v>131.30000000000001</v>
      </c>
      <c r="H2151" s="113">
        <v>122.1</v>
      </c>
      <c r="I2151" s="113">
        <v>11.1</v>
      </c>
      <c r="J2151" s="113">
        <v>44.24</v>
      </c>
      <c r="K2151" s="113">
        <v>-27.7</v>
      </c>
    </row>
    <row r="2152" spans="2:11" x14ac:dyDescent="0.25">
      <c r="B2152" s="202"/>
      <c r="C2152" s="113">
        <v>252.21899999999999</v>
      </c>
      <c r="D2152" s="113">
        <v>9422</v>
      </c>
      <c r="E2152" s="113">
        <v>2149</v>
      </c>
      <c r="F2152" s="113">
        <v>139</v>
      </c>
      <c r="G2152" s="113">
        <v>131.30000000000001</v>
      </c>
      <c r="H2152" s="113">
        <v>122.3</v>
      </c>
      <c r="I2152" s="113">
        <v>12</v>
      </c>
      <c r="J2152" s="113">
        <v>42.49</v>
      </c>
      <c r="K2152" s="113">
        <v>-27.7</v>
      </c>
    </row>
    <row r="2153" spans="2:11" x14ac:dyDescent="0.25">
      <c r="B2153" s="202"/>
      <c r="C2153" s="113">
        <v>252.24700000000001</v>
      </c>
      <c r="D2153" s="113">
        <v>9423</v>
      </c>
      <c r="E2153" s="113">
        <v>2150</v>
      </c>
      <c r="F2153" s="113">
        <v>139</v>
      </c>
      <c r="G2153" s="113">
        <v>131.4</v>
      </c>
      <c r="H2153" s="113">
        <v>122.6</v>
      </c>
      <c r="I2153" s="113">
        <v>13.9</v>
      </c>
      <c r="J2153" s="113">
        <v>40.07</v>
      </c>
      <c r="K2153" s="113">
        <v>-29.2</v>
      </c>
    </row>
    <row r="2154" spans="2:11" x14ac:dyDescent="0.25">
      <c r="B2154" s="202"/>
      <c r="C2154" s="113">
        <v>252.274</v>
      </c>
      <c r="D2154" s="113">
        <v>9424</v>
      </c>
      <c r="E2154" s="113">
        <v>2151</v>
      </c>
      <c r="F2154" s="113">
        <v>139</v>
      </c>
      <c r="G2154" s="113">
        <v>131.80000000000001</v>
      </c>
      <c r="H2154" s="113">
        <v>123</v>
      </c>
      <c r="I2154" s="113">
        <v>14</v>
      </c>
      <c r="J2154" s="113">
        <v>45.74</v>
      </c>
      <c r="K2154" s="113">
        <v>-40.9</v>
      </c>
    </row>
    <row r="2155" spans="2:11" x14ac:dyDescent="0.25">
      <c r="B2155" s="202"/>
      <c r="C2155" s="113">
        <v>252.30099999999999</v>
      </c>
      <c r="D2155" s="113">
        <v>9425</v>
      </c>
      <c r="E2155" s="113">
        <v>2152</v>
      </c>
      <c r="F2155" s="113">
        <v>139</v>
      </c>
      <c r="G2155" s="113">
        <v>132.1</v>
      </c>
      <c r="H2155" s="113">
        <v>123.4</v>
      </c>
      <c r="I2155" s="113">
        <v>13.7</v>
      </c>
      <c r="J2155" s="113">
        <v>43.95</v>
      </c>
      <c r="K2155" s="113">
        <v>-52.7</v>
      </c>
    </row>
    <row r="2156" spans="2:11" x14ac:dyDescent="0.25">
      <c r="B2156" s="202"/>
      <c r="C2156" s="113">
        <v>252.32900000000001</v>
      </c>
      <c r="D2156" s="113">
        <v>9426</v>
      </c>
      <c r="E2156" s="113">
        <v>2153</v>
      </c>
      <c r="F2156" s="113">
        <v>139</v>
      </c>
      <c r="G2156" s="113">
        <v>132.30000000000001</v>
      </c>
      <c r="H2156" s="113">
        <v>123.7</v>
      </c>
      <c r="I2156" s="113">
        <v>14.9</v>
      </c>
      <c r="J2156" s="113">
        <v>43.28</v>
      </c>
      <c r="K2156" s="113">
        <v>-58.9</v>
      </c>
    </row>
    <row r="2157" spans="2:11" x14ac:dyDescent="0.25">
      <c r="B2157" s="202"/>
      <c r="C2157" s="113">
        <v>252.35599999999999</v>
      </c>
      <c r="D2157" s="113">
        <v>9427</v>
      </c>
      <c r="E2157" s="113">
        <v>2154</v>
      </c>
      <c r="F2157" s="113">
        <v>140</v>
      </c>
      <c r="G2157" s="113">
        <v>132.19999999999999</v>
      </c>
      <c r="H2157" s="113">
        <v>124.1</v>
      </c>
      <c r="I2157" s="113">
        <v>15.8</v>
      </c>
      <c r="J2157" s="113">
        <v>44.45</v>
      </c>
      <c r="K2157" s="113">
        <v>-57.9</v>
      </c>
    </row>
    <row r="2158" spans="2:11" x14ac:dyDescent="0.25">
      <c r="B2158" s="202"/>
      <c r="C2158" s="113">
        <v>252.38200000000001</v>
      </c>
      <c r="D2158" s="113">
        <v>9428</v>
      </c>
      <c r="E2158" s="113">
        <v>2155</v>
      </c>
      <c r="F2158" s="113">
        <v>140</v>
      </c>
      <c r="G2158" s="113">
        <v>132.4</v>
      </c>
      <c r="H2158" s="113">
        <v>124.4</v>
      </c>
      <c r="I2158" s="113">
        <v>16</v>
      </c>
      <c r="J2158" s="113">
        <v>43.71</v>
      </c>
      <c r="K2158" s="113">
        <v>-57</v>
      </c>
    </row>
    <row r="2159" spans="2:11" x14ac:dyDescent="0.25">
      <c r="B2159" s="202"/>
      <c r="C2159" s="113">
        <v>252.41</v>
      </c>
      <c r="D2159" s="113">
        <v>9429</v>
      </c>
      <c r="E2159" s="113">
        <v>2156</v>
      </c>
      <c r="F2159" s="113">
        <v>140</v>
      </c>
      <c r="G2159" s="113">
        <v>132.69999999999999</v>
      </c>
      <c r="H2159" s="113">
        <v>124.8</v>
      </c>
      <c r="I2159" s="113">
        <v>15.8</v>
      </c>
      <c r="J2159" s="113">
        <v>42.3</v>
      </c>
      <c r="K2159" s="113">
        <v>-55.9</v>
      </c>
    </row>
    <row r="2160" spans="2:11" x14ac:dyDescent="0.25">
      <c r="B2160" s="202"/>
      <c r="C2160" s="113">
        <v>252.43700000000001</v>
      </c>
      <c r="D2160" s="113">
        <v>9430</v>
      </c>
      <c r="E2160" s="113">
        <v>2157</v>
      </c>
      <c r="F2160" s="113">
        <v>141</v>
      </c>
      <c r="G2160" s="113">
        <v>132.9</v>
      </c>
      <c r="H2160" s="113">
        <v>125</v>
      </c>
      <c r="I2160" s="113">
        <v>15.6</v>
      </c>
      <c r="J2160" s="113">
        <v>41.12</v>
      </c>
      <c r="K2160" s="113">
        <v>-54.9</v>
      </c>
    </row>
    <row r="2161" spans="2:11" x14ac:dyDescent="0.25">
      <c r="B2161" s="202"/>
      <c r="C2161" s="113">
        <v>252.464</v>
      </c>
      <c r="D2161" s="113">
        <v>9431</v>
      </c>
      <c r="E2161" s="113">
        <v>2158</v>
      </c>
      <c r="F2161" s="113">
        <v>142</v>
      </c>
      <c r="G2161" s="113">
        <v>133.4</v>
      </c>
      <c r="H2161" s="113">
        <v>125.3</v>
      </c>
      <c r="I2161" s="113">
        <v>14.9</v>
      </c>
      <c r="J2161" s="113">
        <v>39.270000000000003</v>
      </c>
      <c r="K2161" s="113">
        <v>-53.5</v>
      </c>
    </row>
    <row r="2162" spans="2:11" x14ac:dyDescent="0.25">
      <c r="B2162" s="202"/>
      <c r="C2162" s="113">
        <v>252.49100000000001</v>
      </c>
      <c r="D2162" s="113">
        <v>9432</v>
      </c>
      <c r="E2162" s="113">
        <v>2159</v>
      </c>
      <c r="F2162" s="113">
        <v>143</v>
      </c>
      <c r="G2162" s="113">
        <v>133.9</v>
      </c>
      <c r="H2162" s="113">
        <v>125.7</v>
      </c>
      <c r="I2162" s="113">
        <v>13.7</v>
      </c>
      <c r="J2162" s="113">
        <v>34.380000000000003</v>
      </c>
      <c r="K2162" s="113">
        <v>-52.6</v>
      </c>
    </row>
    <row r="2163" spans="2:11" x14ac:dyDescent="0.25">
      <c r="B2163" s="202"/>
      <c r="C2163" s="113">
        <v>252.518</v>
      </c>
      <c r="D2163" s="113">
        <v>9433</v>
      </c>
      <c r="E2163" s="113">
        <v>2160</v>
      </c>
      <c r="F2163" s="113">
        <v>144</v>
      </c>
      <c r="G2163" s="113">
        <v>134.1</v>
      </c>
      <c r="H2163" s="113">
        <v>125.9</v>
      </c>
      <c r="I2163" s="113">
        <v>12.7</v>
      </c>
      <c r="J2163" s="113">
        <v>35.450000000000003</v>
      </c>
      <c r="K2163" s="113">
        <v>-52.3</v>
      </c>
    </row>
    <row r="2164" spans="2:11" x14ac:dyDescent="0.25">
      <c r="B2164" s="202"/>
      <c r="C2164" s="113">
        <v>252.54400000000001</v>
      </c>
      <c r="D2164" s="113">
        <v>9434</v>
      </c>
      <c r="E2164" s="113">
        <v>2161</v>
      </c>
      <c r="F2164" s="113">
        <v>144</v>
      </c>
      <c r="G2164" s="113">
        <v>134.69999999999999</v>
      </c>
      <c r="H2164" s="113">
        <v>126.3</v>
      </c>
      <c r="I2164" s="113">
        <v>11.6</v>
      </c>
      <c r="J2164" s="113">
        <v>37.9</v>
      </c>
      <c r="K2164" s="113">
        <v>-51.9</v>
      </c>
    </row>
    <row r="2165" spans="2:11" x14ac:dyDescent="0.25">
      <c r="B2165" s="202"/>
      <c r="C2165" s="113">
        <v>252.571</v>
      </c>
      <c r="D2165" s="113">
        <v>9435</v>
      </c>
      <c r="E2165" s="113">
        <v>2162</v>
      </c>
      <c r="F2165" s="113">
        <v>144</v>
      </c>
      <c r="G2165" s="113">
        <v>135.19999999999999</v>
      </c>
      <c r="H2165" s="113">
        <v>126.7</v>
      </c>
      <c r="I2165" s="113">
        <v>12.2</v>
      </c>
      <c r="J2165" s="113">
        <v>33.119999999999997</v>
      </c>
      <c r="K2165" s="113">
        <v>-51.7</v>
      </c>
    </row>
    <row r="2166" spans="2:11" x14ac:dyDescent="0.25">
      <c r="B2166" s="202"/>
      <c r="C2166" s="113">
        <v>252.59700000000001</v>
      </c>
      <c r="D2166" s="113">
        <v>9436</v>
      </c>
      <c r="E2166" s="113">
        <v>2163</v>
      </c>
      <c r="F2166" s="113">
        <v>144</v>
      </c>
      <c r="G2166" s="113">
        <v>135.30000000000001</v>
      </c>
      <c r="H2166" s="113">
        <v>126.9</v>
      </c>
      <c r="I2166" s="113">
        <v>13.6</v>
      </c>
      <c r="J2166" s="113">
        <v>38.51</v>
      </c>
      <c r="K2166" s="113">
        <v>-51.7</v>
      </c>
    </row>
    <row r="2167" spans="2:11" x14ac:dyDescent="0.25">
      <c r="B2167" s="202"/>
      <c r="C2167" s="113">
        <v>252.624</v>
      </c>
      <c r="D2167" s="113">
        <v>9437</v>
      </c>
      <c r="E2167" s="113">
        <v>2164</v>
      </c>
      <c r="F2167" s="113">
        <v>144</v>
      </c>
      <c r="G2167" s="113">
        <v>135.69999999999999</v>
      </c>
      <c r="H2167" s="113">
        <v>127.3</v>
      </c>
      <c r="I2167" s="113">
        <v>13.6</v>
      </c>
      <c r="J2167" s="113">
        <v>41.17</v>
      </c>
      <c r="K2167" s="113">
        <v>-51.7</v>
      </c>
    </row>
    <row r="2168" spans="2:11" x14ac:dyDescent="0.25">
      <c r="B2168" s="202"/>
      <c r="C2168" s="113">
        <v>252.65100000000001</v>
      </c>
      <c r="D2168" s="113">
        <v>9438</v>
      </c>
      <c r="E2168" s="113">
        <v>2165</v>
      </c>
      <c r="F2168" s="113">
        <v>144</v>
      </c>
      <c r="G2168" s="113">
        <v>136.1</v>
      </c>
      <c r="H2168" s="113">
        <v>127.7</v>
      </c>
      <c r="I2168" s="113">
        <v>15.4</v>
      </c>
      <c r="J2168" s="113">
        <v>38.11</v>
      </c>
      <c r="K2168" s="113">
        <v>-51.2</v>
      </c>
    </row>
    <row r="2169" spans="2:11" x14ac:dyDescent="0.25">
      <c r="B2169" s="202"/>
      <c r="C2169" s="113">
        <v>252.67699999999999</v>
      </c>
      <c r="D2169" s="113">
        <v>9439</v>
      </c>
      <c r="E2169" s="113">
        <v>2166</v>
      </c>
      <c r="F2169" s="113">
        <v>144</v>
      </c>
      <c r="G2169" s="113">
        <v>136.4</v>
      </c>
      <c r="H2169" s="113">
        <v>128</v>
      </c>
      <c r="I2169" s="113">
        <v>16.100000000000001</v>
      </c>
      <c r="J2169" s="113">
        <v>37.82</v>
      </c>
      <c r="K2169" s="113">
        <v>-50.5</v>
      </c>
    </row>
    <row r="2170" spans="2:11" x14ac:dyDescent="0.25">
      <c r="B2170" s="202"/>
      <c r="C2170" s="113">
        <v>252.70400000000001</v>
      </c>
      <c r="D2170" s="113">
        <v>9440</v>
      </c>
      <c r="E2170" s="113">
        <v>2167</v>
      </c>
      <c r="F2170" s="113">
        <v>145</v>
      </c>
      <c r="G2170" s="113">
        <v>136.6</v>
      </c>
      <c r="H2170" s="113">
        <v>128.4</v>
      </c>
      <c r="I2170" s="113">
        <v>16</v>
      </c>
      <c r="J2170" s="113">
        <v>37.950000000000003</v>
      </c>
      <c r="K2170" s="113">
        <v>-49.4</v>
      </c>
    </row>
    <row r="2171" spans="2:11" x14ac:dyDescent="0.25">
      <c r="B2171" s="202"/>
      <c r="C2171" s="113">
        <v>252.73</v>
      </c>
      <c r="D2171" s="113">
        <v>9441</v>
      </c>
      <c r="E2171" s="113">
        <v>2168</v>
      </c>
      <c r="F2171" s="113">
        <v>146</v>
      </c>
      <c r="G2171" s="113">
        <v>136.9</v>
      </c>
      <c r="H2171" s="113">
        <v>128.9</v>
      </c>
      <c r="I2171" s="113">
        <v>15.3</v>
      </c>
      <c r="J2171" s="113">
        <v>34.479999999999997</v>
      </c>
      <c r="K2171" s="113">
        <v>-49.3</v>
      </c>
    </row>
    <row r="2172" spans="2:11" x14ac:dyDescent="0.25">
      <c r="B2172" s="202"/>
      <c r="C2172" s="113">
        <v>252.756</v>
      </c>
      <c r="D2172" s="113">
        <v>9442</v>
      </c>
      <c r="E2172" s="113">
        <v>2169</v>
      </c>
      <c r="F2172" s="113">
        <v>147</v>
      </c>
      <c r="G2172" s="113">
        <v>137.30000000000001</v>
      </c>
      <c r="H2172" s="113">
        <v>129.19999999999999</v>
      </c>
      <c r="I2172" s="113">
        <v>14.6</v>
      </c>
      <c r="J2172" s="113">
        <v>31.85</v>
      </c>
      <c r="K2172" s="113">
        <v>-50.1</v>
      </c>
    </row>
    <row r="2173" spans="2:11" x14ac:dyDescent="0.25">
      <c r="B2173" s="202"/>
      <c r="C2173" s="113">
        <v>252.78200000000001</v>
      </c>
      <c r="D2173" s="113">
        <v>9443</v>
      </c>
      <c r="E2173" s="113">
        <v>2170</v>
      </c>
      <c r="F2173" s="113">
        <v>148</v>
      </c>
      <c r="G2173" s="113">
        <v>137.69999999999999</v>
      </c>
      <c r="H2173" s="113">
        <v>129.69999999999999</v>
      </c>
      <c r="I2173" s="113">
        <v>12.9</v>
      </c>
      <c r="J2173" s="113">
        <v>33.44</v>
      </c>
      <c r="K2173" s="113">
        <v>-51.1</v>
      </c>
    </row>
    <row r="2174" spans="2:11" x14ac:dyDescent="0.25">
      <c r="B2174" s="202"/>
      <c r="C2174" s="113">
        <v>252.80799999999999</v>
      </c>
      <c r="D2174" s="113">
        <v>9444</v>
      </c>
      <c r="E2174" s="113">
        <v>2171</v>
      </c>
      <c r="F2174" s="113">
        <v>149</v>
      </c>
      <c r="G2174" s="113">
        <v>138</v>
      </c>
      <c r="H2174" s="113">
        <v>130</v>
      </c>
      <c r="I2174" s="113">
        <v>12.3</v>
      </c>
      <c r="J2174" s="113">
        <v>31.73</v>
      </c>
      <c r="K2174" s="113">
        <v>-51.7</v>
      </c>
    </row>
    <row r="2175" spans="2:11" x14ac:dyDescent="0.25">
      <c r="B2175" s="202"/>
      <c r="C2175" s="113">
        <v>252.834</v>
      </c>
      <c r="D2175" s="113">
        <v>9445</v>
      </c>
      <c r="E2175" s="113">
        <v>2172</v>
      </c>
      <c r="F2175" s="113">
        <v>148</v>
      </c>
      <c r="G2175" s="113">
        <v>138.6</v>
      </c>
      <c r="H2175" s="113">
        <v>130.5</v>
      </c>
      <c r="I2175" s="113">
        <v>12.2</v>
      </c>
      <c r="J2175" s="113">
        <v>29.02</v>
      </c>
      <c r="K2175" s="113">
        <v>-51.3</v>
      </c>
    </row>
    <row r="2176" spans="2:11" x14ac:dyDescent="0.25">
      <c r="B2176" s="202"/>
      <c r="C2176" s="113">
        <v>252.86</v>
      </c>
      <c r="D2176" s="113">
        <v>9446</v>
      </c>
      <c r="E2176" s="113">
        <v>2173</v>
      </c>
      <c r="F2176" s="113">
        <v>149</v>
      </c>
      <c r="G2176" s="113">
        <v>138.80000000000001</v>
      </c>
      <c r="H2176" s="113">
        <v>130.9</v>
      </c>
      <c r="I2176" s="113">
        <v>12.2</v>
      </c>
      <c r="J2176" s="113">
        <v>29.34</v>
      </c>
      <c r="K2176" s="113">
        <v>-50.9</v>
      </c>
    </row>
    <row r="2177" spans="2:11" x14ac:dyDescent="0.25">
      <c r="B2177" s="202"/>
      <c r="C2177" s="113">
        <v>252.886</v>
      </c>
      <c r="D2177" s="113">
        <v>9447</v>
      </c>
      <c r="E2177" s="113">
        <v>2174</v>
      </c>
      <c r="F2177" s="113">
        <v>149</v>
      </c>
      <c r="G2177" s="113">
        <v>139</v>
      </c>
      <c r="H2177" s="113">
        <v>131.19999999999999</v>
      </c>
      <c r="I2177" s="113">
        <v>12.2</v>
      </c>
      <c r="J2177" s="113">
        <v>29.6</v>
      </c>
      <c r="K2177" s="113">
        <v>-50.6</v>
      </c>
    </row>
    <row r="2178" spans="2:11" x14ac:dyDescent="0.25">
      <c r="B2178" s="202"/>
      <c r="C2178" s="113">
        <v>252.91200000000001</v>
      </c>
      <c r="D2178" s="113">
        <v>9448</v>
      </c>
      <c r="E2178" s="113">
        <v>2175</v>
      </c>
      <c r="F2178" s="113">
        <v>149</v>
      </c>
      <c r="G2178" s="113">
        <v>139.19999999999999</v>
      </c>
      <c r="H2178" s="113">
        <v>131.6</v>
      </c>
      <c r="I2178" s="113">
        <v>12.5</v>
      </c>
      <c r="J2178" s="113">
        <v>25.53</v>
      </c>
      <c r="K2178" s="113">
        <v>-49.8</v>
      </c>
    </row>
    <row r="2179" spans="2:11" x14ac:dyDescent="0.25">
      <c r="B2179" s="202"/>
      <c r="C2179" s="113">
        <v>252.93799999999999</v>
      </c>
      <c r="D2179" s="113">
        <v>9449</v>
      </c>
      <c r="E2179" s="113">
        <v>2176</v>
      </c>
      <c r="F2179" s="113">
        <v>149</v>
      </c>
      <c r="G2179" s="113">
        <v>139.5</v>
      </c>
      <c r="H2179" s="113">
        <v>131.9</v>
      </c>
      <c r="I2179" s="113">
        <v>12.6</v>
      </c>
      <c r="J2179" s="113">
        <v>24.06</v>
      </c>
      <c r="K2179" s="113">
        <v>-49.2</v>
      </c>
    </row>
    <row r="2180" spans="2:11" x14ac:dyDescent="0.25">
      <c r="B2180" s="202"/>
      <c r="C2180" s="113">
        <v>252.964</v>
      </c>
      <c r="D2180" s="113">
        <v>9450</v>
      </c>
      <c r="E2180" s="113">
        <v>2177</v>
      </c>
      <c r="F2180" s="113">
        <v>150</v>
      </c>
      <c r="G2180" s="113">
        <v>140.1</v>
      </c>
      <c r="H2180" s="113">
        <v>132.4</v>
      </c>
      <c r="I2180" s="113">
        <v>11.6</v>
      </c>
      <c r="J2180" s="113">
        <v>23.75</v>
      </c>
      <c r="K2180" s="113">
        <v>-48.5</v>
      </c>
    </row>
    <row r="2181" spans="2:11" x14ac:dyDescent="0.25">
      <c r="B2181" s="202"/>
      <c r="C2181" s="113">
        <v>252.989</v>
      </c>
      <c r="D2181" s="113">
        <v>9451</v>
      </c>
      <c r="E2181" s="113">
        <v>2178</v>
      </c>
      <c r="F2181" s="113">
        <v>151</v>
      </c>
      <c r="G2181" s="113">
        <v>140.5</v>
      </c>
      <c r="H2181" s="113">
        <v>132.80000000000001</v>
      </c>
      <c r="I2181" s="113">
        <v>10.6</v>
      </c>
      <c r="J2181" s="113">
        <v>26.33</v>
      </c>
      <c r="K2181" s="113">
        <v>-48.5</v>
      </c>
    </row>
    <row r="2182" spans="2:11" x14ac:dyDescent="0.25">
      <c r="B2182" s="202"/>
      <c r="C2182" s="113">
        <v>253.01400000000001</v>
      </c>
      <c r="D2182" s="113">
        <v>9452</v>
      </c>
      <c r="E2182" s="113">
        <v>2179</v>
      </c>
      <c r="F2182" s="113">
        <v>152</v>
      </c>
      <c r="G2182" s="113">
        <v>141</v>
      </c>
      <c r="H2182" s="113">
        <v>133.19999999999999</v>
      </c>
      <c r="I2182" s="113">
        <v>9.6999999999999993</v>
      </c>
      <c r="J2182" s="113">
        <v>23.14</v>
      </c>
      <c r="K2182" s="113">
        <v>-48.5</v>
      </c>
    </row>
    <row r="2183" spans="2:11" x14ac:dyDescent="0.25">
      <c r="B2183" s="202"/>
      <c r="C2183" s="113">
        <v>253.04</v>
      </c>
      <c r="D2183" s="113">
        <v>9453</v>
      </c>
      <c r="E2183" s="113">
        <v>2180</v>
      </c>
      <c r="F2183" s="113">
        <v>152</v>
      </c>
      <c r="G2183" s="113">
        <v>141.5</v>
      </c>
      <c r="H2183" s="113">
        <v>133.69999999999999</v>
      </c>
      <c r="I2183" s="113">
        <v>9.6999999999999993</v>
      </c>
      <c r="J2183" s="113">
        <v>25.13</v>
      </c>
      <c r="K2183" s="113">
        <v>-48.5</v>
      </c>
    </row>
    <row r="2184" spans="2:11" x14ac:dyDescent="0.25">
      <c r="B2184" s="202"/>
      <c r="C2184" s="113">
        <v>253.066</v>
      </c>
      <c r="D2184" s="113">
        <v>9454</v>
      </c>
      <c r="E2184" s="113">
        <v>2181</v>
      </c>
      <c r="F2184" s="113">
        <v>152</v>
      </c>
      <c r="G2184" s="113">
        <v>141.80000000000001</v>
      </c>
      <c r="H2184" s="113">
        <v>134.1</v>
      </c>
      <c r="I2184" s="113">
        <v>10</v>
      </c>
      <c r="J2184" s="113">
        <v>29.11</v>
      </c>
      <c r="K2184" s="113">
        <v>-48.8</v>
      </c>
    </row>
    <row r="2185" spans="2:11" x14ac:dyDescent="0.25">
      <c r="B2185" s="202"/>
      <c r="C2185" s="113">
        <v>253.09100000000001</v>
      </c>
      <c r="D2185" s="113">
        <v>9455</v>
      </c>
      <c r="E2185" s="113">
        <v>2182</v>
      </c>
      <c r="F2185" s="113">
        <v>152</v>
      </c>
      <c r="G2185" s="113">
        <v>142.30000000000001</v>
      </c>
      <c r="H2185" s="113">
        <v>134.6</v>
      </c>
      <c r="I2185" s="113">
        <v>11.6</v>
      </c>
      <c r="J2185" s="113">
        <v>27.23</v>
      </c>
      <c r="K2185" s="113">
        <v>-49.2</v>
      </c>
    </row>
    <row r="2186" spans="2:11" x14ac:dyDescent="0.25">
      <c r="B2186" s="202"/>
      <c r="C2186" s="113">
        <v>253.11600000000001</v>
      </c>
      <c r="D2186" s="113">
        <v>9456</v>
      </c>
      <c r="E2186" s="113">
        <v>2183</v>
      </c>
      <c r="F2186" s="113">
        <v>152</v>
      </c>
      <c r="G2186" s="113">
        <v>142.69999999999999</v>
      </c>
      <c r="H2186" s="113">
        <v>134.9</v>
      </c>
      <c r="I2186" s="113">
        <v>13</v>
      </c>
      <c r="J2186" s="113">
        <v>26.14</v>
      </c>
      <c r="K2186" s="113">
        <v>-49.4</v>
      </c>
    </row>
    <row r="2187" spans="2:11" x14ac:dyDescent="0.25">
      <c r="B2187" s="202"/>
      <c r="C2187" s="113">
        <v>253.14099999999999</v>
      </c>
      <c r="D2187" s="113">
        <v>9457</v>
      </c>
      <c r="E2187" s="113">
        <v>2184</v>
      </c>
      <c r="F2187" s="113">
        <v>153</v>
      </c>
      <c r="G2187" s="113">
        <v>142.9</v>
      </c>
      <c r="H2187" s="113">
        <v>135.5</v>
      </c>
      <c r="I2187" s="113">
        <v>13.1</v>
      </c>
      <c r="J2187" s="113">
        <v>26</v>
      </c>
      <c r="K2187" s="113">
        <v>-41.1</v>
      </c>
    </row>
    <row r="2188" spans="2:11" x14ac:dyDescent="0.25">
      <c r="B2188" s="202"/>
      <c r="C2188" s="113">
        <v>253.166</v>
      </c>
      <c r="D2188" s="113">
        <v>9458</v>
      </c>
      <c r="E2188" s="113">
        <v>2185</v>
      </c>
      <c r="F2188" s="113">
        <v>154</v>
      </c>
      <c r="G2188" s="113">
        <v>143.1</v>
      </c>
      <c r="H2188" s="113">
        <v>135.9</v>
      </c>
      <c r="I2188" s="113">
        <v>12.7</v>
      </c>
      <c r="J2188" s="113">
        <v>24.98</v>
      </c>
      <c r="K2188" s="113">
        <v>-34</v>
      </c>
    </row>
    <row r="2189" spans="2:11" x14ac:dyDescent="0.25">
      <c r="B2189" s="202"/>
      <c r="C2189" s="113">
        <v>253.191</v>
      </c>
      <c r="D2189" s="113">
        <v>9459</v>
      </c>
      <c r="E2189" s="113">
        <v>2186</v>
      </c>
      <c r="F2189" s="113">
        <v>154</v>
      </c>
      <c r="G2189" s="113">
        <v>143.5</v>
      </c>
      <c r="H2189" s="113">
        <v>136.5</v>
      </c>
      <c r="I2189" s="113">
        <v>12.3</v>
      </c>
      <c r="J2189" s="113">
        <v>22.01</v>
      </c>
      <c r="K2189" s="113">
        <v>-23.4</v>
      </c>
    </row>
    <row r="2190" spans="2:11" x14ac:dyDescent="0.25">
      <c r="B2190" s="202"/>
      <c r="C2190" s="113">
        <v>253.21700000000001</v>
      </c>
      <c r="D2190" s="113">
        <v>9460</v>
      </c>
      <c r="E2190" s="113">
        <v>2187</v>
      </c>
      <c r="F2190" s="113">
        <v>155</v>
      </c>
      <c r="G2190" s="113">
        <v>143.9</v>
      </c>
      <c r="H2190" s="113">
        <v>136.80000000000001</v>
      </c>
      <c r="I2190" s="113">
        <v>11.4</v>
      </c>
      <c r="J2190" s="113">
        <v>21.23</v>
      </c>
      <c r="K2190" s="113">
        <v>-26.6</v>
      </c>
    </row>
    <row r="2191" spans="2:11" x14ac:dyDescent="0.25">
      <c r="B2191" s="202"/>
      <c r="C2191" s="113">
        <v>253.24100000000001</v>
      </c>
      <c r="D2191" s="113">
        <v>9461</v>
      </c>
      <c r="E2191" s="113">
        <v>2188</v>
      </c>
      <c r="F2191" s="113">
        <v>156</v>
      </c>
      <c r="G2191" s="113">
        <v>144.6</v>
      </c>
      <c r="H2191" s="113">
        <v>137.5</v>
      </c>
      <c r="I2191" s="113">
        <v>9.6</v>
      </c>
      <c r="J2191" s="113">
        <v>20.399999999999999</v>
      </c>
      <c r="K2191" s="113">
        <v>-38.299999999999997</v>
      </c>
    </row>
    <row r="2192" spans="2:11" x14ac:dyDescent="0.25">
      <c r="B2192" s="202"/>
      <c r="C2192" s="113">
        <v>253.26599999999999</v>
      </c>
      <c r="D2192" s="113">
        <v>9462</v>
      </c>
      <c r="E2192" s="113">
        <v>2189</v>
      </c>
      <c r="F2192" s="113">
        <v>157</v>
      </c>
      <c r="G2192" s="113">
        <v>145</v>
      </c>
      <c r="H2192" s="113">
        <v>137.9</v>
      </c>
      <c r="I2192" s="113">
        <v>9</v>
      </c>
      <c r="J2192" s="113">
        <v>21.14</v>
      </c>
      <c r="K2192" s="113">
        <v>-46.1</v>
      </c>
    </row>
    <row r="2193" spans="2:11" x14ac:dyDescent="0.25">
      <c r="B2193" s="202"/>
      <c r="C2193" s="113">
        <v>253.291</v>
      </c>
      <c r="D2193" s="113">
        <v>9463</v>
      </c>
      <c r="E2193" s="113">
        <v>2190</v>
      </c>
      <c r="F2193" s="113">
        <v>157</v>
      </c>
      <c r="G2193" s="113">
        <v>145.69999999999999</v>
      </c>
      <c r="H2193" s="113">
        <v>138.6</v>
      </c>
      <c r="I2193" s="113">
        <v>8.6</v>
      </c>
      <c r="J2193" s="113">
        <v>21.13</v>
      </c>
      <c r="K2193" s="113">
        <v>-52.5</v>
      </c>
    </row>
    <row r="2194" spans="2:11" x14ac:dyDescent="0.25">
      <c r="B2194" s="202"/>
      <c r="C2194" s="113">
        <v>253.316</v>
      </c>
      <c r="D2194" s="113">
        <v>9464</v>
      </c>
      <c r="E2194" s="113">
        <v>2191</v>
      </c>
      <c r="F2194" s="113">
        <v>156</v>
      </c>
      <c r="G2194" s="113">
        <v>146.1</v>
      </c>
      <c r="H2194" s="113">
        <v>139.1</v>
      </c>
      <c r="I2194" s="113">
        <v>8.6</v>
      </c>
      <c r="J2194" s="113">
        <v>21.78</v>
      </c>
      <c r="K2194" s="113">
        <v>-52.4</v>
      </c>
    </row>
    <row r="2195" spans="2:11" x14ac:dyDescent="0.25">
      <c r="B2195" s="202"/>
      <c r="C2195" s="113">
        <v>253.34100000000001</v>
      </c>
      <c r="D2195" s="113">
        <v>9465</v>
      </c>
      <c r="E2195" s="113">
        <v>2192</v>
      </c>
      <c r="F2195" s="113">
        <v>156</v>
      </c>
      <c r="G2195" s="113">
        <v>146.69999999999999</v>
      </c>
      <c r="H2195" s="113">
        <v>139.80000000000001</v>
      </c>
      <c r="I2195" s="113">
        <v>9.5</v>
      </c>
      <c r="J2195" s="113">
        <v>23.61</v>
      </c>
      <c r="K2195" s="113">
        <v>-52.3</v>
      </c>
    </row>
    <row r="2196" spans="2:11" x14ac:dyDescent="0.25">
      <c r="B2196" s="202"/>
      <c r="C2196" s="113">
        <v>253.36500000000001</v>
      </c>
      <c r="D2196" s="113">
        <v>9466</v>
      </c>
      <c r="E2196" s="113">
        <v>2193</v>
      </c>
      <c r="F2196" s="113">
        <v>156</v>
      </c>
      <c r="G2196" s="113">
        <v>147</v>
      </c>
      <c r="H2196" s="113">
        <v>140.19999999999999</v>
      </c>
      <c r="I2196" s="113">
        <v>10.199999999999999</v>
      </c>
      <c r="J2196" s="113">
        <v>23.56</v>
      </c>
      <c r="K2196" s="113">
        <v>-52.2</v>
      </c>
    </row>
    <row r="2197" spans="2:11" x14ac:dyDescent="0.25">
      <c r="B2197" s="202"/>
      <c r="C2197" s="113">
        <v>253.38900000000001</v>
      </c>
      <c r="D2197" s="113">
        <v>9467</v>
      </c>
      <c r="E2197" s="113">
        <v>2194</v>
      </c>
      <c r="F2197" s="113">
        <v>157</v>
      </c>
      <c r="G2197" s="113">
        <v>147.4</v>
      </c>
      <c r="H2197" s="113">
        <v>140.6</v>
      </c>
      <c r="I2197" s="113">
        <v>11.2</v>
      </c>
      <c r="J2197" s="113">
        <v>22.91</v>
      </c>
      <c r="K2197" s="113">
        <v>-52.2</v>
      </c>
    </row>
    <row r="2198" spans="2:11" x14ac:dyDescent="0.25">
      <c r="B2198" s="202"/>
      <c r="C2198" s="113">
        <v>253.41399999999999</v>
      </c>
      <c r="D2198" s="113">
        <v>9468</v>
      </c>
      <c r="E2198" s="113">
        <v>2195</v>
      </c>
      <c r="F2198" s="113">
        <v>157</v>
      </c>
      <c r="G2198" s="113">
        <v>148</v>
      </c>
      <c r="H2198" s="113">
        <v>141.30000000000001</v>
      </c>
      <c r="I2198" s="113">
        <v>11.4</v>
      </c>
      <c r="J2198" s="113">
        <v>23.11</v>
      </c>
      <c r="K2198" s="113">
        <v>-52.2</v>
      </c>
    </row>
    <row r="2199" spans="2:11" x14ac:dyDescent="0.25">
      <c r="B2199" s="202"/>
      <c r="C2199" s="113">
        <v>253.43799999999999</v>
      </c>
      <c r="D2199" s="113">
        <v>9469</v>
      </c>
      <c r="E2199" s="113">
        <v>2196</v>
      </c>
      <c r="F2199" s="113">
        <v>158</v>
      </c>
      <c r="G2199" s="113">
        <v>148.5</v>
      </c>
      <c r="H2199" s="113">
        <v>141.69999999999999</v>
      </c>
      <c r="I2199" s="113">
        <v>11.7</v>
      </c>
      <c r="J2199" s="113">
        <v>24.3</v>
      </c>
      <c r="K2199" s="113">
        <v>-52.2</v>
      </c>
    </row>
    <row r="2200" spans="2:11" x14ac:dyDescent="0.25">
      <c r="B2200" s="202"/>
      <c r="C2200" s="113">
        <v>253.46299999999999</v>
      </c>
      <c r="D2200" s="113">
        <v>9470</v>
      </c>
      <c r="E2200" s="113">
        <v>2197</v>
      </c>
      <c r="F2200" s="113">
        <v>157</v>
      </c>
      <c r="G2200" s="113">
        <v>148.80000000000001</v>
      </c>
      <c r="H2200" s="113">
        <v>142.30000000000001</v>
      </c>
      <c r="I2200" s="113">
        <v>12.7</v>
      </c>
      <c r="J2200" s="113">
        <v>25.69</v>
      </c>
      <c r="K2200" s="113">
        <v>-50.7</v>
      </c>
    </row>
    <row r="2201" spans="2:11" x14ac:dyDescent="0.25">
      <c r="B2201" s="202"/>
      <c r="C2201" s="113">
        <v>253.48599999999999</v>
      </c>
      <c r="D2201" s="113">
        <v>9471</v>
      </c>
      <c r="E2201" s="113">
        <v>2198</v>
      </c>
      <c r="F2201" s="113">
        <v>157</v>
      </c>
      <c r="G2201" s="113">
        <v>148.9</v>
      </c>
      <c r="H2201" s="113">
        <v>142.69999999999999</v>
      </c>
      <c r="I2201" s="113">
        <v>14.1</v>
      </c>
      <c r="J2201" s="113">
        <v>27.41</v>
      </c>
      <c r="K2201" s="113">
        <v>-49.4</v>
      </c>
    </row>
    <row r="2202" spans="2:11" x14ac:dyDescent="0.25">
      <c r="B2202" s="202"/>
      <c r="C2202" s="113">
        <v>253.511</v>
      </c>
      <c r="D2202" s="113">
        <v>9472</v>
      </c>
      <c r="E2202" s="113">
        <v>2199</v>
      </c>
      <c r="F2202" s="113">
        <v>157</v>
      </c>
      <c r="G2202" s="113">
        <v>149.1</v>
      </c>
      <c r="H2202" s="113">
        <v>143.30000000000001</v>
      </c>
      <c r="I2202" s="113">
        <v>15.4</v>
      </c>
      <c r="J2202" s="113">
        <v>27.35</v>
      </c>
      <c r="K2202" s="113">
        <v>-47.5</v>
      </c>
    </row>
    <row r="2203" spans="2:11" x14ac:dyDescent="0.25">
      <c r="B2203" s="202"/>
      <c r="C2203" s="113">
        <v>253.53399999999999</v>
      </c>
      <c r="D2203" s="113">
        <v>9473</v>
      </c>
      <c r="E2203" s="113">
        <v>2200</v>
      </c>
      <c r="F2203" s="113">
        <v>158</v>
      </c>
      <c r="G2203" s="113">
        <v>149.1</v>
      </c>
      <c r="H2203" s="113">
        <v>143.69999999999999</v>
      </c>
      <c r="I2203" s="113">
        <v>15.8</v>
      </c>
      <c r="J2203" s="113">
        <v>25.07</v>
      </c>
      <c r="K2203" s="113">
        <v>-46.8</v>
      </c>
    </row>
    <row r="2204" spans="2:11" x14ac:dyDescent="0.25">
      <c r="B2204" s="202"/>
      <c r="C2204" s="113">
        <v>253.559</v>
      </c>
      <c r="D2204" s="113">
        <v>9474</v>
      </c>
      <c r="E2204" s="113">
        <v>2201</v>
      </c>
      <c r="F2204" s="113">
        <v>159</v>
      </c>
      <c r="G2204" s="113">
        <v>149</v>
      </c>
      <c r="H2204" s="113">
        <v>144.1</v>
      </c>
      <c r="I2204" s="113">
        <v>15.1</v>
      </c>
      <c r="J2204" s="113">
        <v>25.02</v>
      </c>
      <c r="K2204" s="113">
        <v>-46.4</v>
      </c>
    </row>
    <row r="2205" spans="2:11" x14ac:dyDescent="0.25">
      <c r="B2205" s="202"/>
      <c r="C2205" s="113">
        <v>253.583</v>
      </c>
      <c r="D2205" s="113">
        <v>9475</v>
      </c>
      <c r="E2205" s="113">
        <v>2202</v>
      </c>
      <c r="F2205" s="113">
        <v>160</v>
      </c>
      <c r="G2205" s="113">
        <v>148.5</v>
      </c>
      <c r="H2205" s="113">
        <v>144.6</v>
      </c>
      <c r="I2205" s="113">
        <v>12.3</v>
      </c>
      <c r="J2205" s="113">
        <v>21.42</v>
      </c>
      <c r="K2205" s="113">
        <v>-45.8</v>
      </c>
    </row>
    <row r="2206" spans="2:11" x14ac:dyDescent="0.25">
      <c r="B2206" s="202"/>
      <c r="C2206" s="113">
        <v>253.607</v>
      </c>
      <c r="D2206" s="113">
        <v>9476</v>
      </c>
      <c r="E2206" s="113">
        <v>2203</v>
      </c>
      <c r="F2206" s="113">
        <v>162</v>
      </c>
      <c r="G2206" s="113">
        <v>148.4</v>
      </c>
      <c r="H2206" s="113">
        <v>145</v>
      </c>
      <c r="I2206" s="113">
        <v>9.8000000000000007</v>
      </c>
      <c r="J2206" s="113">
        <v>16.149999999999999</v>
      </c>
      <c r="K2206" s="113">
        <v>-45.5</v>
      </c>
    </row>
    <row r="2207" spans="2:11" x14ac:dyDescent="0.25">
      <c r="B2207" s="202"/>
      <c r="C2207" s="113">
        <v>253.631</v>
      </c>
      <c r="D2207" s="113">
        <v>9477</v>
      </c>
      <c r="E2207" s="113">
        <v>2204</v>
      </c>
      <c r="F2207" s="113">
        <v>164</v>
      </c>
      <c r="G2207" s="113">
        <v>149.9</v>
      </c>
      <c r="H2207" s="113">
        <v>145.5</v>
      </c>
      <c r="I2207" s="113">
        <v>3.4</v>
      </c>
      <c r="J2207" s="113">
        <v>8.74</v>
      </c>
      <c r="K2207" s="113">
        <v>-46.1</v>
      </c>
    </row>
    <row r="2208" spans="2:11" x14ac:dyDescent="0.25">
      <c r="B2208" s="202"/>
      <c r="C2208" s="113">
        <v>253.655</v>
      </c>
      <c r="D2208" s="113">
        <v>9478</v>
      </c>
      <c r="E2208" s="113">
        <v>2205</v>
      </c>
      <c r="F2208" s="113">
        <v>167</v>
      </c>
      <c r="G2208" s="113">
        <v>150.9</v>
      </c>
      <c r="H2208" s="113">
        <v>145.80000000000001</v>
      </c>
      <c r="I2208" s="113">
        <v>-1.7</v>
      </c>
      <c r="J2208" s="113">
        <v>7.45</v>
      </c>
      <c r="K2208" s="113">
        <v>-46.4</v>
      </c>
    </row>
    <row r="2209" spans="2:11" x14ac:dyDescent="0.25">
      <c r="B2209" s="202"/>
      <c r="C2209" s="113">
        <v>253.679</v>
      </c>
      <c r="D2209" s="113">
        <v>9479</v>
      </c>
      <c r="E2209" s="113">
        <v>2206</v>
      </c>
      <c r="F2209" s="113">
        <v>169</v>
      </c>
      <c r="G2209" s="113">
        <v>151.80000000000001</v>
      </c>
      <c r="H2209" s="113">
        <v>146.19999999999999</v>
      </c>
      <c r="I2209" s="113">
        <v>-2.6</v>
      </c>
      <c r="J2209" s="113">
        <v>16.84</v>
      </c>
      <c r="K2209" s="113">
        <v>-46.7</v>
      </c>
    </row>
    <row r="2210" spans="2:11" x14ac:dyDescent="0.25">
      <c r="B2210" s="202"/>
      <c r="C2210" s="113">
        <v>253.702</v>
      </c>
      <c r="D2210" s="113">
        <v>9480</v>
      </c>
      <c r="E2210" s="113">
        <v>2207</v>
      </c>
      <c r="F2210" s="113">
        <v>166</v>
      </c>
      <c r="G2210" s="113">
        <v>152.5</v>
      </c>
      <c r="H2210" s="113">
        <v>146.69999999999999</v>
      </c>
      <c r="I2210" s="113">
        <v>2.7</v>
      </c>
      <c r="J2210" s="113">
        <v>25.82</v>
      </c>
      <c r="K2210" s="113">
        <v>-43</v>
      </c>
    </row>
    <row r="2211" spans="2:11" x14ac:dyDescent="0.25">
      <c r="B2211" s="202"/>
      <c r="C2211" s="113">
        <v>253.726</v>
      </c>
      <c r="D2211" s="113">
        <v>9481</v>
      </c>
      <c r="E2211" s="113">
        <v>2208</v>
      </c>
      <c r="F2211" s="113">
        <v>164</v>
      </c>
      <c r="G2211" s="113">
        <v>152.9</v>
      </c>
      <c r="H2211" s="113">
        <v>147</v>
      </c>
      <c r="I2211" s="113">
        <v>6.8</v>
      </c>
      <c r="J2211" s="113">
        <v>25.79</v>
      </c>
      <c r="K2211" s="113">
        <v>-39.9</v>
      </c>
    </row>
    <row r="2212" spans="2:11" x14ac:dyDescent="0.25">
      <c r="B2212" s="202"/>
      <c r="C2212" s="113">
        <v>253.749</v>
      </c>
      <c r="D2212" s="113">
        <v>9482</v>
      </c>
      <c r="E2212" s="113">
        <v>2209</v>
      </c>
      <c r="F2212" s="113">
        <v>163</v>
      </c>
      <c r="G2212" s="113">
        <v>153.30000000000001</v>
      </c>
      <c r="H2212" s="113">
        <v>147.4</v>
      </c>
      <c r="I2212" s="113">
        <v>9.6999999999999993</v>
      </c>
      <c r="J2212" s="113">
        <v>25.78</v>
      </c>
      <c r="K2212" s="113">
        <v>-36.700000000000003</v>
      </c>
    </row>
    <row r="2213" spans="2:11" x14ac:dyDescent="0.25">
      <c r="B2213" s="202"/>
      <c r="C2213" s="113">
        <v>253.773</v>
      </c>
      <c r="D2213" s="113">
        <v>9483</v>
      </c>
      <c r="E2213" s="113">
        <v>2210</v>
      </c>
      <c r="F2213" s="113">
        <v>162</v>
      </c>
      <c r="G2213" s="113">
        <v>153.5</v>
      </c>
      <c r="H2213" s="113">
        <v>147.9</v>
      </c>
      <c r="I2213" s="113">
        <v>13.5</v>
      </c>
      <c r="J2213" s="113">
        <v>24.13</v>
      </c>
      <c r="K2213" s="113">
        <v>-34.1</v>
      </c>
    </row>
    <row r="2214" spans="2:11" x14ac:dyDescent="0.25">
      <c r="B2214" s="202"/>
      <c r="C2214" s="113">
        <v>253.79599999999999</v>
      </c>
      <c r="D2214" s="113">
        <v>9484</v>
      </c>
      <c r="E2214" s="113">
        <v>2211</v>
      </c>
      <c r="F2214" s="113">
        <v>162</v>
      </c>
      <c r="G2214" s="113">
        <v>153.30000000000001</v>
      </c>
      <c r="H2214" s="113">
        <v>148.19999999999999</v>
      </c>
      <c r="I2214" s="113">
        <v>15.1</v>
      </c>
      <c r="J2214" s="113">
        <v>21.02</v>
      </c>
      <c r="K2214" s="113">
        <v>-34.1</v>
      </c>
    </row>
    <row r="2215" spans="2:11" x14ac:dyDescent="0.25">
      <c r="B2215" s="202"/>
      <c r="C2215" s="113">
        <v>253.82</v>
      </c>
      <c r="D2215" s="113">
        <v>9485</v>
      </c>
      <c r="E2215" s="113">
        <v>2212</v>
      </c>
      <c r="F2215" s="113">
        <v>162</v>
      </c>
      <c r="G2215" s="113">
        <v>153.4</v>
      </c>
      <c r="H2215" s="113">
        <v>148.69999999999999</v>
      </c>
      <c r="I2215" s="113">
        <v>15.5</v>
      </c>
      <c r="J2215" s="113">
        <v>17.63</v>
      </c>
      <c r="K2215" s="113">
        <v>-34.1</v>
      </c>
    </row>
    <row r="2216" spans="2:11" x14ac:dyDescent="0.25">
      <c r="B2216" s="202"/>
      <c r="C2216" s="113">
        <v>253.84299999999999</v>
      </c>
      <c r="D2216" s="113">
        <v>9486</v>
      </c>
      <c r="E2216" s="113">
        <v>2213</v>
      </c>
      <c r="F2216" s="113">
        <v>162</v>
      </c>
      <c r="G2216" s="113">
        <v>153.5</v>
      </c>
      <c r="H2216" s="113">
        <v>149</v>
      </c>
      <c r="I2216" s="113">
        <v>15</v>
      </c>
      <c r="J2216" s="113">
        <v>17.18</v>
      </c>
      <c r="K2216" s="113">
        <v>-34.799999999999997</v>
      </c>
    </row>
    <row r="2217" spans="2:11" x14ac:dyDescent="0.25">
      <c r="B2217" s="202"/>
      <c r="C2217" s="113">
        <v>253.86699999999999</v>
      </c>
      <c r="D2217" s="113">
        <v>9487</v>
      </c>
      <c r="E2217" s="113">
        <v>2214</v>
      </c>
      <c r="F2217" s="113">
        <v>163</v>
      </c>
      <c r="G2217" s="113">
        <v>154.19999999999999</v>
      </c>
      <c r="H2217" s="113">
        <v>149.30000000000001</v>
      </c>
      <c r="I2217" s="113">
        <v>13.4</v>
      </c>
      <c r="J2217" s="113">
        <v>17.34</v>
      </c>
      <c r="K2217" s="113">
        <v>-38.4</v>
      </c>
    </row>
    <row r="2218" spans="2:11" x14ac:dyDescent="0.25">
      <c r="B2218" s="202"/>
      <c r="C2218" s="113">
        <v>253.89</v>
      </c>
      <c r="D2218" s="113">
        <v>9488</v>
      </c>
      <c r="E2218" s="113">
        <v>2215</v>
      </c>
      <c r="F2218" s="113">
        <v>163</v>
      </c>
      <c r="G2218" s="113">
        <v>154.9</v>
      </c>
      <c r="H2218" s="113">
        <v>149.80000000000001</v>
      </c>
      <c r="I2218" s="113">
        <v>11.1</v>
      </c>
      <c r="J2218" s="113">
        <v>19.41</v>
      </c>
      <c r="K2218" s="113">
        <v>-43.8</v>
      </c>
    </row>
    <row r="2219" spans="2:11" x14ac:dyDescent="0.25">
      <c r="B2219" s="202"/>
      <c r="C2219" s="113">
        <v>253.91300000000001</v>
      </c>
      <c r="D2219" s="113">
        <v>9489</v>
      </c>
      <c r="E2219" s="113">
        <v>2216</v>
      </c>
      <c r="F2219" s="113">
        <v>164</v>
      </c>
      <c r="G2219" s="113">
        <v>155.30000000000001</v>
      </c>
      <c r="H2219" s="113">
        <v>150.1</v>
      </c>
      <c r="I2219" s="113">
        <v>9.6999999999999993</v>
      </c>
      <c r="J2219" s="113">
        <v>22.46</v>
      </c>
      <c r="K2219" s="113">
        <v>-47.4</v>
      </c>
    </row>
    <row r="2220" spans="2:11" x14ac:dyDescent="0.25">
      <c r="B2220" s="202"/>
      <c r="C2220" s="113">
        <v>253.93600000000001</v>
      </c>
      <c r="D2220" s="113">
        <v>9490</v>
      </c>
      <c r="E2220" s="113">
        <v>2217</v>
      </c>
      <c r="F2220" s="113">
        <v>165</v>
      </c>
      <c r="G2220" s="113">
        <v>155.69999999999999</v>
      </c>
      <c r="H2220" s="113">
        <v>150.4</v>
      </c>
      <c r="I2220" s="113">
        <v>9.5</v>
      </c>
      <c r="J2220" s="113">
        <v>22.19</v>
      </c>
      <c r="K2220" s="113">
        <v>-47.4</v>
      </c>
    </row>
    <row r="2221" spans="2:11" x14ac:dyDescent="0.25">
      <c r="B2221" s="202"/>
      <c r="C2221" s="113">
        <v>253.959</v>
      </c>
      <c r="D2221" s="113">
        <v>9491</v>
      </c>
      <c r="E2221" s="113">
        <v>2218</v>
      </c>
      <c r="F2221" s="113">
        <v>166</v>
      </c>
      <c r="G2221" s="113">
        <v>156.19999999999999</v>
      </c>
      <c r="H2221" s="113">
        <v>150.69999999999999</v>
      </c>
      <c r="I2221" s="113">
        <v>8.6999999999999993</v>
      </c>
      <c r="J2221" s="113">
        <v>21.22</v>
      </c>
      <c r="K2221" s="113">
        <v>-45.8</v>
      </c>
    </row>
    <row r="2222" spans="2:11" x14ac:dyDescent="0.25">
      <c r="B2222" s="202"/>
      <c r="C2222" s="113">
        <v>253.982</v>
      </c>
      <c r="D2222" s="113">
        <v>9492</v>
      </c>
      <c r="E2222" s="113">
        <v>2219</v>
      </c>
      <c r="F2222" s="113">
        <v>167</v>
      </c>
      <c r="G2222" s="113">
        <v>156.69999999999999</v>
      </c>
      <c r="H2222" s="113">
        <v>151.19999999999999</v>
      </c>
      <c r="I2222" s="113">
        <v>6.9</v>
      </c>
      <c r="J2222" s="113">
        <v>20.27</v>
      </c>
      <c r="K2222" s="113">
        <v>-43.4</v>
      </c>
    </row>
    <row r="2223" spans="2:11" x14ac:dyDescent="0.25">
      <c r="B2223" s="202"/>
      <c r="C2223" s="113">
        <v>254.006</v>
      </c>
      <c r="D2223" s="113">
        <v>9493</v>
      </c>
      <c r="E2223" s="113">
        <v>2220</v>
      </c>
      <c r="F2223" s="113">
        <v>168</v>
      </c>
      <c r="G2223" s="113">
        <v>157</v>
      </c>
      <c r="H2223" s="113">
        <v>151.5</v>
      </c>
      <c r="I2223" s="113">
        <v>5.4</v>
      </c>
      <c r="J2223" s="113">
        <v>20.48</v>
      </c>
      <c r="K2223" s="113">
        <v>-41.8</v>
      </c>
    </row>
    <row r="2224" spans="2:11" x14ac:dyDescent="0.25">
      <c r="B2224" s="202"/>
      <c r="C2224" s="113">
        <v>254.02799999999999</v>
      </c>
      <c r="D2224" s="113">
        <v>9494</v>
      </c>
      <c r="E2224" s="113">
        <v>2221</v>
      </c>
      <c r="F2224" s="113">
        <v>167</v>
      </c>
      <c r="G2224" s="113">
        <v>157.4</v>
      </c>
      <c r="H2224" s="113">
        <v>151.9</v>
      </c>
      <c r="I2224" s="113">
        <v>5.3</v>
      </c>
      <c r="J2224" s="113">
        <v>17.940000000000001</v>
      </c>
      <c r="K2224" s="113">
        <v>-40.1</v>
      </c>
    </row>
    <row r="2225" spans="2:11" x14ac:dyDescent="0.25">
      <c r="B2225" s="202"/>
      <c r="C2225" s="113">
        <v>254.05099999999999</v>
      </c>
      <c r="D2225" s="113">
        <v>9495</v>
      </c>
      <c r="E2225" s="113">
        <v>2222</v>
      </c>
      <c r="F2225" s="113">
        <v>167</v>
      </c>
      <c r="G2225" s="113">
        <v>157.69999999999999</v>
      </c>
      <c r="H2225" s="113">
        <v>152.4</v>
      </c>
      <c r="I2225" s="113">
        <v>5.9</v>
      </c>
      <c r="J2225" s="113">
        <v>17.3</v>
      </c>
      <c r="K2225" s="113">
        <v>-37.6</v>
      </c>
    </row>
    <row r="2226" spans="2:11" x14ac:dyDescent="0.25">
      <c r="B2226" s="202"/>
      <c r="C2226" s="113">
        <v>254.07400000000001</v>
      </c>
      <c r="D2226" s="113">
        <v>9496</v>
      </c>
      <c r="E2226" s="113">
        <v>2223</v>
      </c>
      <c r="F2226" s="113">
        <v>167</v>
      </c>
      <c r="G2226" s="113">
        <v>157.6</v>
      </c>
      <c r="H2226" s="113">
        <v>152.69999999999999</v>
      </c>
      <c r="I2226" s="113">
        <v>6.8</v>
      </c>
      <c r="J2226" s="113">
        <v>19.62</v>
      </c>
      <c r="K2226" s="113">
        <v>-35.9</v>
      </c>
    </row>
    <row r="2227" spans="2:11" x14ac:dyDescent="0.25">
      <c r="B2227" s="202"/>
      <c r="C2227" s="113">
        <v>254.09700000000001</v>
      </c>
      <c r="D2227" s="113">
        <v>9497</v>
      </c>
      <c r="E2227" s="113">
        <v>2224</v>
      </c>
      <c r="F2227" s="113">
        <v>167</v>
      </c>
      <c r="G2227" s="113">
        <v>157.6</v>
      </c>
      <c r="H2227" s="113">
        <v>153</v>
      </c>
      <c r="I2227" s="113">
        <v>7.3</v>
      </c>
      <c r="J2227" s="113">
        <v>19.23</v>
      </c>
      <c r="K2227" s="113">
        <v>-31.5</v>
      </c>
    </row>
    <row r="2228" spans="2:11" x14ac:dyDescent="0.25">
      <c r="B2228" s="202"/>
      <c r="C2228" s="113">
        <v>254.119</v>
      </c>
      <c r="D2228" s="113">
        <v>9498</v>
      </c>
      <c r="E2228" s="113">
        <v>2225</v>
      </c>
      <c r="F2228" s="113">
        <v>167</v>
      </c>
      <c r="G2228" s="113">
        <v>157.6</v>
      </c>
      <c r="H2228" s="113">
        <v>153.4</v>
      </c>
      <c r="I2228" s="113">
        <v>8.3000000000000007</v>
      </c>
      <c r="J2228" s="113">
        <v>14.86</v>
      </c>
      <c r="K2228" s="113">
        <v>-25.9</v>
      </c>
    </row>
    <row r="2229" spans="2:11" x14ac:dyDescent="0.25">
      <c r="B2229" s="202"/>
      <c r="C2229" s="113">
        <v>254.142</v>
      </c>
      <c r="D2229" s="113">
        <v>9499</v>
      </c>
      <c r="E2229" s="113">
        <v>2226</v>
      </c>
      <c r="F2229" s="113">
        <v>168</v>
      </c>
      <c r="G2229" s="113">
        <v>158.30000000000001</v>
      </c>
      <c r="H2229" s="113">
        <v>153.9</v>
      </c>
      <c r="I2229" s="113">
        <v>7.2</v>
      </c>
      <c r="J2229" s="113">
        <v>11.36</v>
      </c>
      <c r="K2229" s="113">
        <v>-17.5</v>
      </c>
    </row>
    <row r="2230" spans="2:11" x14ac:dyDescent="0.25">
      <c r="B2230" s="202"/>
      <c r="C2230" s="113">
        <v>254.16499999999999</v>
      </c>
      <c r="D2230" s="113">
        <v>9500</v>
      </c>
      <c r="E2230" s="113">
        <v>2227</v>
      </c>
      <c r="F2230" s="113">
        <v>169</v>
      </c>
      <c r="G2230" s="113">
        <v>158.80000000000001</v>
      </c>
      <c r="H2230" s="113">
        <v>154.19999999999999</v>
      </c>
      <c r="I2230" s="113">
        <v>5.9</v>
      </c>
      <c r="J2230" s="113">
        <v>13.64</v>
      </c>
      <c r="K2230" s="113">
        <v>-13</v>
      </c>
    </row>
    <row r="2231" spans="2:11" ht="15.75" thickBot="1" x14ac:dyDescent="0.3">
      <c r="B2231" s="202"/>
      <c r="C2231" s="113">
        <v>254.18799999999999</v>
      </c>
      <c r="D2231" s="113">
        <v>9501</v>
      </c>
      <c r="E2231" s="113">
        <v>2228</v>
      </c>
      <c r="F2231" s="113">
        <v>168</v>
      </c>
      <c r="G2231" s="113">
        <v>159.1</v>
      </c>
      <c r="H2231" s="113">
        <v>154.5</v>
      </c>
      <c r="I2231" s="113">
        <v>5.3</v>
      </c>
      <c r="J2231" s="113">
        <v>18.61</v>
      </c>
      <c r="K2231" s="113">
        <v>-13</v>
      </c>
    </row>
    <row r="2232" spans="2:11" x14ac:dyDescent="0.25">
      <c r="B2232" s="184" t="s">
        <v>199</v>
      </c>
      <c r="C2232" s="113">
        <v>254.21</v>
      </c>
      <c r="D2232" s="113">
        <v>9502</v>
      </c>
      <c r="E2232" s="113">
        <v>2229</v>
      </c>
      <c r="F2232" s="113">
        <v>167</v>
      </c>
      <c r="G2232" s="113">
        <v>159.5</v>
      </c>
      <c r="H2232" s="113">
        <v>155</v>
      </c>
      <c r="I2232" s="113">
        <v>7.5</v>
      </c>
      <c r="J2232" s="113">
        <v>17.420000000000002</v>
      </c>
      <c r="K2232" s="113">
        <v>-13</v>
      </c>
    </row>
    <row r="2233" spans="2:11" x14ac:dyDescent="0.25">
      <c r="B2233" s="185"/>
      <c r="C2233" s="113">
        <v>254.232</v>
      </c>
      <c r="D2233" s="113">
        <v>9503</v>
      </c>
      <c r="E2233" s="113">
        <v>2230</v>
      </c>
      <c r="F2233" s="113">
        <v>166</v>
      </c>
      <c r="G2233" s="113">
        <v>159.69999999999999</v>
      </c>
      <c r="H2233" s="113">
        <v>155.4</v>
      </c>
      <c r="I2233" s="113">
        <v>8.3000000000000007</v>
      </c>
      <c r="J2233" s="113">
        <v>19.63</v>
      </c>
      <c r="K2233" s="113">
        <v>-13</v>
      </c>
    </row>
    <row r="2234" spans="2:11" x14ac:dyDescent="0.25">
      <c r="B2234" s="185"/>
      <c r="C2234" s="113">
        <v>254.255</v>
      </c>
      <c r="D2234" s="113">
        <v>9504</v>
      </c>
      <c r="E2234" s="113">
        <v>2231</v>
      </c>
      <c r="F2234" s="113">
        <v>166</v>
      </c>
      <c r="G2234" s="113">
        <v>160.1</v>
      </c>
      <c r="H2234" s="113">
        <v>155.69999999999999</v>
      </c>
      <c r="I2234" s="113">
        <v>8.4</v>
      </c>
      <c r="J2234" s="113">
        <v>19.940000000000001</v>
      </c>
      <c r="K2234" s="113">
        <v>-17.100000000000001</v>
      </c>
    </row>
    <row r="2235" spans="2:11" x14ac:dyDescent="0.25">
      <c r="B2235" s="185"/>
      <c r="C2235" s="113">
        <v>254.27799999999999</v>
      </c>
      <c r="D2235" s="113">
        <v>9505</v>
      </c>
      <c r="E2235" s="113">
        <v>2232</v>
      </c>
      <c r="F2235" s="113">
        <v>167</v>
      </c>
      <c r="G2235" s="113">
        <v>160.6</v>
      </c>
      <c r="H2235" s="113">
        <v>156.1</v>
      </c>
      <c r="I2235" s="113">
        <v>8.3000000000000007</v>
      </c>
      <c r="J2235" s="113">
        <v>18.920000000000002</v>
      </c>
      <c r="K2235" s="113">
        <v>-23.1</v>
      </c>
    </row>
    <row r="2236" spans="2:11" x14ac:dyDescent="0.25">
      <c r="B2236" s="185"/>
      <c r="C2236" s="113">
        <v>254.3</v>
      </c>
      <c r="D2236" s="113">
        <v>9506</v>
      </c>
      <c r="E2236" s="113">
        <v>2233</v>
      </c>
      <c r="F2236" s="113">
        <v>167</v>
      </c>
      <c r="G2236" s="113">
        <v>160.9</v>
      </c>
      <c r="H2236" s="113">
        <v>156.6</v>
      </c>
      <c r="I2236" s="113">
        <v>8</v>
      </c>
      <c r="J2236" s="113">
        <v>19.5</v>
      </c>
      <c r="K2236" s="113">
        <v>-32.200000000000003</v>
      </c>
    </row>
    <row r="2237" spans="2:11" x14ac:dyDescent="0.25">
      <c r="B2237" s="185"/>
      <c r="C2237" s="113">
        <v>254.322</v>
      </c>
      <c r="D2237" s="113">
        <v>9507</v>
      </c>
      <c r="E2237" s="113">
        <v>2234</v>
      </c>
      <c r="F2237" s="113">
        <v>167</v>
      </c>
      <c r="G2237" s="113">
        <v>161.1</v>
      </c>
      <c r="H2237" s="113">
        <v>157</v>
      </c>
      <c r="I2237" s="113">
        <v>7.9</v>
      </c>
      <c r="J2237" s="113">
        <v>19.57</v>
      </c>
      <c r="K2237" s="113">
        <v>-37.299999999999997</v>
      </c>
    </row>
    <row r="2238" spans="2:11" x14ac:dyDescent="0.25">
      <c r="B2238" s="185"/>
      <c r="C2238" s="113">
        <v>254.34399999999999</v>
      </c>
      <c r="D2238" s="113">
        <v>9508</v>
      </c>
      <c r="E2238" s="113">
        <v>2235</v>
      </c>
      <c r="F2238" s="113">
        <v>167</v>
      </c>
      <c r="G2238" s="113">
        <v>161.6</v>
      </c>
      <c r="H2238" s="113">
        <v>157.30000000000001</v>
      </c>
      <c r="I2238" s="113">
        <v>8.3000000000000007</v>
      </c>
      <c r="J2238" s="113">
        <v>18.510000000000002</v>
      </c>
      <c r="K2238" s="113">
        <v>-38.299999999999997</v>
      </c>
    </row>
    <row r="2239" spans="2:11" x14ac:dyDescent="0.25">
      <c r="B2239" s="185"/>
      <c r="C2239" s="113">
        <v>254.36699999999999</v>
      </c>
      <c r="D2239" s="113">
        <v>9509</v>
      </c>
      <c r="E2239" s="113">
        <v>2236</v>
      </c>
      <c r="F2239" s="113">
        <v>167</v>
      </c>
      <c r="G2239" s="113">
        <v>162</v>
      </c>
      <c r="H2239" s="113">
        <v>157.69999999999999</v>
      </c>
      <c r="I2239" s="113">
        <v>8.4</v>
      </c>
      <c r="J2239" s="113">
        <v>17.920000000000002</v>
      </c>
      <c r="K2239" s="113">
        <v>-39.4</v>
      </c>
    </row>
    <row r="2240" spans="2:11" x14ac:dyDescent="0.25">
      <c r="B2240" s="185"/>
      <c r="C2240" s="113">
        <v>254.38900000000001</v>
      </c>
      <c r="D2240" s="113">
        <v>9510</v>
      </c>
      <c r="E2240" s="113">
        <v>2237</v>
      </c>
      <c r="F2240" s="113">
        <v>168</v>
      </c>
      <c r="G2240" s="113">
        <v>162.19999999999999</v>
      </c>
      <c r="H2240" s="113">
        <v>158</v>
      </c>
      <c r="I2240" s="113">
        <v>7.9</v>
      </c>
      <c r="J2240" s="113">
        <v>19.82</v>
      </c>
      <c r="K2240" s="113">
        <v>-40.5</v>
      </c>
    </row>
    <row r="2241" spans="2:11" x14ac:dyDescent="0.25">
      <c r="B2241" s="185"/>
      <c r="C2241" s="113">
        <v>254.411</v>
      </c>
      <c r="D2241" s="113">
        <v>9511</v>
      </c>
      <c r="E2241" s="113">
        <v>2238</v>
      </c>
      <c r="F2241" s="113">
        <v>168</v>
      </c>
      <c r="G2241" s="113">
        <v>162.6</v>
      </c>
      <c r="H2241" s="113">
        <v>158.5</v>
      </c>
      <c r="I2241" s="113">
        <v>7.2</v>
      </c>
      <c r="J2241" s="113">
        <v>19.16</v>
      </c>
      <c r="K2241" s="113">
        <v>-40.200000000000003</v>
      </c>
    </row>
    <row r="2242" spans="2:11" x14ac:dyDescent="0.25">
      <c r="B2242" s="185"/>
      <c r="C2242" s="113">
        <v>254.43299999999999</v>
      </c>
      <c r="D2242" s="113">
        <v>9512</v>
      </c>
      <c r="E2242" s="113">
        <v>2239</v>
      </c>
      <c r="F2242" s="113">
        <v>168</v>
      </c>
      <c r="G2242" s="113">
        <v>163.1</v>
      </c>
      <c r="H2242" s="113">
        <v>158.80000000000001</v>
      </c>
      <c r="I2242" s="113">
        <v>7.1</v>
      </c>
      <c r="J2242" s="113">
        <v>17.52</v>
      </c>
      <c r="K2242" s="113">
        <v>-38.6</v>
      </c>
    </row>
    <row r="2243" spans="2:11" x14ac:dyDescent="0.25">
      <c r="B2243" s="185"/>
      <c r="C2243" s="113">
        <v>254.45500000000001</v>
      </c>
      <c r="D2243" s="113">
        <v>9513</v>
      </c>
      <c r="E2243" s="113">
        <v>2240</v>
      </c>
      <c r="F2243" s="113">
        <v>168</v>
      </c>
      <c r="G2243" s="113">
        <v>163.1</v>
      </c>
      <c r="H2243" s="113">
        <v>159.1</v>
      </c>
      <c r="I2243" s="113">
        <v>7.1</v>
      </c>
      <c r="J2243" s="113">
        <v>20.04</v>
      </c>
      <c r="K2243" s="113">
        <v>-37</v>
      </c>
    </row>
    <row r="2244" spans="2:11" x14ac:dyDescent="0.25">
      <c r="B2244" s="185"/>
      <c r="C2244" s="113">
        <v>254.477</v>
      </c>
      <c r="D2244" s="113">
        <v>9514</v>
      </c>
      <c r="E2244" s="113">
        <v>2241</v>
      </c>
      <c r="F2244" s="113">
        <v>168</v>
      </c>
      <c r="G2244" s="113">
        <v>162.69999999999999</v>
      </c>
      <c r="H2244" s="113">
        <v>159.4</v>
      </c>
      <c r="I2244" s="113">
        <v>7.3</v>
      </c>
      <c r="J2244" s="113">
        <v>22.92</v>
      </c>
      <c r="K2244" s="113">
        <v>-35.4</v>
      </c>
    </row>
    <row r="2245" spans="2:11" x14ac:dyDescent="0.25">
      <c r="B2245" s="185"/>
      <c r="C2245" s="113">
        <v>254.499</v>
      </c>
      <c r="D2245" s="113">
        <v>9515</v>
      </c>
      <c r="E2245" s="113">
        <v>2242</v>
      </c>
      <c r="F2245" s="113">
        <v>168</v>
      </c>
      <c r="G2245" s="113">
        <v>162.9</v>
      </c>
      <c r="H2245" s="113">
        <v>159.69999999999999</v>
      </c>
      <c r="I2245" s="113">
        <v>8.6</v>
      </c>
      <c r="J2245" s="113">
        <v>19.73</v>
      </c>
      <c r="K2245" s="113">
        <v>-34.799999999999997</v>
      </c>
    </row>
    <row r="2246" spans="2:11" x14ac:dyDescent="0.25">
      <c r="B2246" s="185"/>
      <c r="C2246" s="113">
        <v>254.52099999999999</v>
      </c>
      <c r="D2246" s="113">
        <v>9516</v>
      </c>
      <c r="E2246" s="113">
        <v>2243</v>
      </c>
      <c r="F2246" s="113">
        <v>168</v>
      </c>
      <c r="G2246" s="113">
        <v>163.4</v>
      </c>
      <c r="H2246" s="113">
        <v>160.19999999999999</v>
      </c>
      <c r="I2246" s="113">
        <v>7.4</v>
      </c>
      <c r="J2246" s="113">
        <v>18.18</v>
      </c>
      <c r="K2246" s="113">
        <v>-34.700000000000003</v>
      </c>
    </row>
    <row r="2247" spans="2:11" x14ac:dyDescent="0.25">
      <c r="B2247" s="185"/>
      <c r="C2247" s="113">
        <v>254.54300000000001</v>
      </c>
      <c r="D2247" s="113">
        <v>9517</v>
      </c>
      <c r="E2247" s="113">
        <v>2244</v>
      </c>
      <c r="F2247" s="113">
        <v>169</v>
      </c>
      <c r="G2247" s="113">
        <v>163.30000000000001</v>
      </c>
      <c r="H2247" s="113">
        <v>160.5</v>
      </c>
      <c r="I2247" s="113">
        <v>5.2</v>
      </c>
      <c r="J2247" s="113">
        <v>17.91</v>
      </c>
      <c r="K2247" s="113">
        <v>-34.6</v>
      </c>
    </row>
    <row r="2248" spans="2:11" x14ac:dyDescent="0.25">
      <c r="B2248" s="185"/>
      <c r="C2248" s="113">
        <v>254.565</v>
      </c>
      <c r="D2248" s="113">
        <v>9518</v>
      </c>
      <c r="E2248" s="113">
        <v>2245</v>
      </c>
      <c r="F2248" s="113">
        <v>170</v>
      </c>
      <c r="G2248" s="113">
        <v>163.19999999999999</v>
      </c>
      <c r="H2248" s="113">
        <v>160.80000000000001</v>
      </c>
      <c r="I2248" s="113">
        <v>3.4</v>
      </c>
      <c r="J2248" s="113">
        <v>15.85</v>
      </c>
      <c r="K2248" s="113">
        <v>-34.5</v>
      </c>
    </row>
    <row r="2249" spans="2:11" x14ac:dyDescent="0.25">
      <c r="B2249" s="185"/>
      <c r="C2249" s="113">
        <v>254.58799999999999</v>
      </c>
      <c r="D2249" s="113">
        <v>9519</v>
      </c>
      <c r="E2249" s="113">
        <v>2246</v>
      </c>
      <c r="F2249" s="113">
        <v>170</v>
      </c>
      <c r="G2249" s="113">
        <v>163.1</v>
      </c>
      <c r="H2249" s="113">
        <v>161.1</v>
      </c>
      <c r="I2249" s="113">
        <v>2.9</v>
      </c>
      <c r="J2249" s="113">
        <v>11.46</v>
      </c>
      <c r="K2249" s="113">
        <v>-34.5</v>
      </c>
    </row>
    <row r="2250" spans="2:11" x14ac:dyDescent="0.25">
      <c r="B2250" s="185"/>
      <c r="C2250" s="113">
        <v>254.60900000000001</v>
      </c>
      <c r="D2250" s="113">
        <v>9520</v>
      </c>
      <c r="E2250" s="113">
        <v>2247</v>
      </c>
      <c r="F2250" s="113">
        <v>170</v>
      </c>
      <c r="G2250" s="113">
        <v>163</v>
      </c>
      <c r="H2250" s="113">
        <v>161.5</v>
      </c>
      <c r="I2250" s="113">
        <v>2.2000000000000002</v>
      </c>
      <c r="J2250" s="113">
        <v>10.119999999999999</v>
      </c>
      <c r="K2250" s="113">
        <v>-34.5</v>
      </c>
    </row>
    <row r="2251" spans="2:11" x14ac:dyDescent="0.25">
      <c r="B2251" s="185"/>
      <c r="C2251" s="113">
        <v>254.631</v>
      </c>
      <c r="D2251" s="113">
        <v>9521</v>
      </c>
      <c r="E2251" s="113">
        <v>2248</v>
      </c>
      <c r="F2251" s="113">
        <v>170</v>
      </c>
      <c r="G2251" s="113">
        <v>163.4</v>
      </c>
      <c r="H2251" s="113">
        <v>162</v>
      </c>
      <c r="I2251" s="113">
        <v>1.8</v>
      </c>
      <c r="J2251" s="113">
        <v>6.9</v>
      </c>
      <c r="K2251" s="113">
        <v>-34.5</v>
      </c>
    </row>
    <row r="2252" spans="2:11" x14ac:dyDescent="0.25">
      <c r="B2252" s="185"/>
      <c r="C2252" s="113">
        <v>254.65299999999999</v>
      </c>
      <c r="D2252" s="113">
        <v>9522</v>
      </c>
      <c r="E2252" s="113">
        <v>2249</v>
      </c>
      <c r="F2252" s="113">
        <v>170</v>
      </c>
      <c r="G2252" s="113">
        <v>164.1</v>
      </c>
      <c r="H2252" s="113">
        <v>162.30000000000001</v>
      </c>
      <c r="I2252" s="113">
        <v>1.2</v>
      </c>
      <c r="J2252" s="113">
        <v>6.49</v>
      </c>
      <c r="K2252" s="113">
        <v>-32.799999999999997</v>
      </c>
    </row>
    <row r="2253" spans="2:11" x14ac:dyDescent="0.25">
      <c r="B2253" s="185"/>
      <c r="C2253" s="113">
        <v>254.67500000000001</v>
      </c>
      <c r="D2253" s="113">
        <v>9523</v>
      </c>
      <c r="E2253" s="113">
        <v>2250</v>
      </c>
      <c r="F2253" s="113">
        <v>170</v>
      </c>
      <c r="G2253" s="113">
        <v>165</v>
      </c>
      <c r="H2253" s="113">
        <v>162.6</v>
      </c>
      <c r="I2253" s="113">
        <v>1.2</v>
      </c>
      <c r="J2253" s="113">
        <v>5.91</v>
      </c>
      <c r="K2253" s="113">
        <v>-30.3</v>
      </c>
    </row>
    <row r="2254" spans="2:11" x14ac:dyDescent="0.25">
      <c r="B2254" s="185"/>
      <c r="C2254" s="113">
        <v>254.697</v>
      </c>
      <c r="D2254" s="113">
        <v>9524</v>
      </c>
      <c r="E2254" s="113">
        <v>2251</v>
      </c>
      <c r="F2254" s="113">
        <v>170</v>
      </c>
      <c r="G2254" s="113">
        <v>165.7</v>
      </c>
      <c r="H2254" s="113">
        <v>163</v>
      </c>
      <c r="I2254" s="113">
        <v>1.1000000000000001</v>
      </c>
      <c r="J2254" s="113">
        <v>8.5299999999999994</v>
      </c>
      <c r="K2254" s="113">
        <v>-27.8</v>
      </c>
    </row>
    <row r="2255" spans="2:11" x14ac:dyDescent="0.25">
      <c r="B2255" s="185"/>
      <c r="C2255" s="113">
        <v>254.71899999999999</v>
      </c>
      <c r="D2255" s="113">
        <v>9525</v>
      </c>
      <c r="E2255" s="113">
        <v>2252</v>
      </c>
      <c r="F2255" s="113">
        <v>169</v>
      </c>
      <c r="G2255" s="113">
        <v>166.3</v>
      </c>
      <c r="H2255" s="113">
        <v>163.30000000000001</v>
      </c>
      <c r="I2255" s="113">
        <v>1.7</v>
      </c>
      <c r="J2255" s="113">
        <v>9.9499999999999993</v>
      </c>
      <c r="K2255" s="113">
        <v>-25.3</v>
      </c>
    </row>
    <row r="2256" spans="2:11" x14ac:dyDescent="0.25">
      <c r="B2256" s="185"/>
      <c r="C2256" s="113">
        <v>254.74</v>
      </c>
      <c r="D2256" s="113">
        <v>9526</v>
      </c>
      <c r="E2256" s="113">
        <v>2253</v>
      </c>
      <c r="F2256" s="113">
        <v>168</v>
      </c>
      <c r="G2256" s="113">
        <v>166.9</v>
      </c>
      <c r="H2256" s="113">
        <v>163.80000000000001</v>
      </c>
      <c r="I2256" s="113">
        <v>4.3</v>
      </c>
      <c r="J2256" s="113">
        <v>11.51</v>
      </c>
      <c r="K2256" s="113">
        <v>-23</v>
      </c>
    </row>
    <row r="2257" spans="2:11" x14ac:dyDescent="0.25">
      <c r="B2257" s="185"/>
      <c r="C2257" s="113">
        <v>254.762</v>
      </c>
      <c r="D2257" s="113">
        <v>9527</v>
      </c>
      <c r="E2257" s="113">
        <v>2254</v>
      </c>
      <c r="F2257" s="113">
        <v>168</v>
      </c>
      <c r="G2257" s="113">
        <v>167.1</v>
      </c>
      <c r="H2257" s="113">
        <v>164.1</v>
      </c>
      <c r="I2257" s="113">
        <v>6.4</v>
      </c>
      <c r="J2257" s="113">
        <v>13.66</v>
      </c>
      <c r="K2257" s="113">
        <v>-21.7</v>
      </c>
    </row>
    <row r="2258" spans="2:11" x14ac:dyDescent="0.25">
      <c r="B2258" s="185"/>
      <c r="C2258" s="113">
        <v>254.78299999999999</v>
      </c>
      <c r="D2258" s="113">
        <v>9528</v>
      </c>
      <c r="E2258" s="113">
        <v>2255</v>
      </c>
      <c r="F2258" s="113">
        <v>169</v>
      </c>
      <c r="G2258" s="113">
        <v>167.4</v>
      </c>
      <c r="H2258" s="113">
        <v>164.5</v>
      </c>
      <c r="I2258" s="113">
        <v>8.4</v>
      </c>
      <c r="J2258" s="113">
        <v>15.34</v>
      </c>
      <c r="K2258" s="113">
        <v>-20.5</v>
      </c>
    </row>
    <row r="2259" spans="2:11" x14ac:dyDescent="0.25">
      <c r="B2259" s="185"/>
      <c r="C2259" s="113">
        <v>254.80500000000001</v>
      </c>
      <c r="D2259" s="113">
        <v>9529</v>
      </c>
      <c r="E2259" s="113">
        <v>2256</v>
      </c>
      <c r="F2259" s="113">
        <v>169</v>
      </c>
      <c r="G2259" s="113">
        <v>167.5</v>
      </c>
      <c r="H2259" s="113">
        <v>164.8</v>
      </c>
      <c r="I2259" s="113">
        <v>10.1</v>
      </c>
      <c r="J2259" s="113">
        <v>15.5</v>
      </c>
      <c r="K2259" s="113">
        <v>-19</v>
      </c>
    </row>
    <row r="2260" spans="2:11" x14ac:dyDescent="0.25">
      <c r="B2260" s="185"/>
      <c r="C2260" s="113">
        <v>254.82599999999999</v>
      </c>
      <c r="D2260" s="113">
        <v>9530</v>
      </c>
      <c r="E2260" s="113">
        <v>2257</v>
      </c>
      <c r="F2260" s="113">
        <v>169</v>
      </c>
      <c r="G2260" s="113">
        <v>167.7</v>
      </c>
      <c r="H2260" s="113">
        <v>165.2</v>
      </c>
      <c r="I2260" s="113">
        <v>10.7</v>
      </c>
      <c r="J2260" s="113">
        <v>17.350000000000001</v>
      </c>
      <c r="K2260" s="113">
        <v>-16.3</v>
      </c>
    </row>
    <row r="2261" spans="2:11" x14ac:dyDescent="0.25">
      <c r="B2261" s="185"/>
      <c r="C2261" s="113">
        <v>254.84700000000001</v>
      </c>
      <c r="D2261" s="113">
        <v>9531</v>
      </c>
      <c r="E2261" s="113">
        <v>2258</v>
      </c>
      <c r="F2261" s="113">
        <v>169</v>
      </c>
      <c r="G2261" s="113">
        <v>167.8</v>
      </c>
      <c r="H2261" s="113">
        <v>165.5</v>
      </c>
      <c r="I2261" s="113">
        <v>11.2</v>
      </c>
      <c r="J2261" s="113">
        <v>17.579999999999998</v>
      </c>
      <c r="K2261" s="113">
        <v>-13.6</v>
      </c>
    </row>
    <row r="2262" spans="2:11" x14ac:dyDescent="0.25">
      <c r="B2262" s="185"/>
      <c r="C2262" s="113">
        <v>254.869</v>
      </c>
      <c r="D2262" s="113">
        <v>9532</v>
      </c>
      <c r="E2262" s="113">
        <v>2259</v>
      </c>
      <c r="F2262" s="113">
        <v>170</v>
      </c>
      <c r="G2262" s="113">
        <v>167.8</v>
      </c>
      <c r="H2262" s="113">
        <v>165.8</v>
      </c>
      <c r="I2262" s="113">
        <v>11.1</v>
      </c>
      <c r="J2262" s="113">
        <v>18.04</v>
      </c>
      <c r="K2262" s="113">
        <v>-11</v>
      </c>
    </row>
    <row r="2263" spans="2:11" x14ac:dyDescent="0.25">
      <c r="B2263" s="185"/>
      <c r="C2263" s="113">
        <v>254.89099999999999</v>
      </c>
      <c r="D2263" s="113">
        <v>9533</v>
      </c>
      <c r="E2263" s="113">
        <v>2260</v>
      </c>
      <c r="F2263" s="113">
        <v>170</v>
      </c>
      <c r="G2263" s="113">
        <v>168.3</v>
      </c>
      <c r="H2263" s="113">
        <v>166.3</v>
      </c>
      <c r="I2263" s="113">
        <v>9.8000000000000007</v>
      </c>
      <c r="J2263" s="113">
        <v>17.989999999999998</v>
      </c>
      <c r="K2263" s="113">
        <v>-9.3000000000000007</v>
      </c>
    </row>
    <row r="2264" spans="2:11" x14ac:dyDescent="0.25">
      <c r="B2264" s="185"/>
      <c r="C2264" s="113">
        <v>254.91200000000001</v>
      </c>
      <c r="D2264" s="113">
        <v>9534</v>
      </c>
      <c r="E2264" s="113">
        <v>2261</v>
      </c>
      <c r="F2264" s="113">
        <v>170</v>
      </c>
      <c r="G2264" s="113">
        <v>168.9</v>
      </c>
      <c r="H2264" s="113">
        <v>166.6</v>
      </c>
      <c r="I2264" s="113">
        <v>8.6999999999999993</v>
      </c>
      <c r="J2264" s="113">
        <v>16.34</v>
      </c>
      <c r="K2264" s="113">
        <v>-10.1</v>
      </c>
    </row>
    <row r="2265" spans="2:11" x14ac:dyDescent="0.25">
      <c r="B2265" s="185"/>
      <c r="C2265" s="113">
        <v>254.93299999999999</v>
      </c>
      <c r="D2265" s="113">
        <v>9535</v>
      </c>
      <c r="E2265" s="113">
        <v>2262</v>
      </c>
      <c r="F2265" s="113">
        <v>170</v>
      </c>
      <c r="G2265" s="113">
        <v>169.3</v>
      </c>
      <c r="H2265" s="113">
        <v>166.9</v>
      </c>
      <c r="I2265" s="113">
        <v>7.3</v>
      </c>
      <c r="J2265" s="113">
        <v>16.93</v>
      </c>
      <c r="K2265" s="113">
        <v>-10.9</v>
      </c>
    </row>
    <row r="2266" spans="2:11" x14ac:dyDescent="0.25">
      <c r="B2266" s="185"/>
      <c r="C2266" s="113">
        <v>254.95400000000001</v>
      </c>
      <c r="D2266" s="113">
        <v>9536</v>
      </c>
      <c r="E2266" s="113">
        <v>2263</v>
      </c>
      <c r="F2266" s="113">
        <v>171</v>
      </c>
      <c r="G2266" s="113">
        <v>169.6</v>
      </c>
      <c r="H2266" s="113">
        <v>167.2</v>
      </c>
      <c r="I2266" s="113">
        <v>6.3</v>
      </c>
      <c r="J2266" s="113">
        <v>19.11</v>
      </c>
      <c r="K2266" s="113">
        <v>-11.5</v>
      </c>
    </row>
    <row r="2267" spans="2:11" x14ac:dyDescent="0.25">
      <c r="B2267" s="185"/>
      <c r="C2267" s="113">
        <v>254.976</v>
      </c>
      <c r="D2267" s="113">
        <v>9537</v>
      </c>
      <c r="E2267" s="113">
        <v>2264</v>
      </c>
      <c r="F2267" s="113">
        <v>171</v>
      </c>
      <c r="G2267" s="113">
        <v>169.6</v>
      </c>
      <c r="H2267" s="113">
        <v>167.5</v>
      </c>
      <c r="I2267" s="113">
        <v>6.1</v>
      </c>
      <c r="J2267" s="113">
        <v>20.52</v>
      </c>
      <c r="K2267" s="113">
        <v>-11.8</v>
      </c>
    </row>
    <row r="2268" spans="2:11" x14ac:dyDescent="0.25">
      <c r="B2268" s="185"/>
      <c r="C2268" s="113">
        <v>254.99700000000001</v>
      </c>
      <c r="D2268" s="113">
        <v>9538</v>
      </c>
      <c r="E2268" s="113">
        <v>2265</v>
      </c>
      <c r="F2268" s="113">
        <v>171</v>
      </c>
      <c r="G2268" s="113">
        <v>169.4</v>
      </c>
      <c r="H2268" s="113">
        <v>167.8</v>
      </c>
      <c r="I2268" s="113">
        <v>6.5</v>
      </c>
      <c r="J2268" s="113">
        <v>19.28</v>
      </c>
      <c r="K2268" s="113">
        <v>-11.8</v>
      </c>
    </row>
    <row r="2269" spans="2:11" x14ac:dyDescent="0.25">
      <c r="B2269" s="185"/>
      <c r="C2269" s="113">
        <v>255.018</v>
      </c>
      <c r="D2269" s="113">
        <v>9539</v>
      </c>
      <c r="E2269" s="113">
        <v>2266</v>
      </c>
      <c r="F2269" s="113">
        <v>171</v>
      </c>
      <c r="G2269" s="113">
        <v>169.8</v>
      </c>
      <c r="H2269" s="113">
        <v>168</v>
      </c>
      <c r="I2269" s="113">
        <v>6.7</v>
      </c>
      <c r="J2269" s="113">
        <v>15.42</v>
      </c>
      <c r="K2269" s="113">
        <v>-11.8</v>
      </c>
    </row>
    <row r="2270" spans="2:11" x14ac:dyDescent="0.25">
      <c r="B2270" s="185"/>
      <c r="C2270" s="113">
        <v>255.03899999999999</v>
      </c>
      <c r="D2270" s="113">
        <v>9540</v>
      </c>
      <c r="E2270" s="113">
        <v>2267</v>
      </c>
      <c r="F2270" s="113">
        <v>172</v>
      </c>
      <c r="G2270" s="113">
        <v>170.4</v>
      </c>
      <c r="H2270" s="113">
        <v>168.3</v>
      </c>
      <c r="I2270" s="113">
        <v>6.1</v>
      </c>
      <c r="J2270" s="113">
        <v>13.22</v>
      </c>
      <c r="K2270" s="113">
        <v>-11.8</v>
      </c>
    </row>
    <row r="2271" spans="2:11" x14ac:dyDescent="0.25">
      <c r="B2271" s="185"/>
      <c r="C2271" s="113">
        <v>255.06</v>
      </c>
      <c r="D2271" s="113">
        <v>9541</v>
      </c>
      <c r="E2271" s="113">
        <v>2268</v>
      </c>
      <c r="F2271" s="113">
        <v>173</v>
      </c>
      <c r="G2271" s="113">
        <v>170.4</v>
      </c>
      <c r="H2271" s="113">
        <v>168.8</v>
      </c>
      <c r="I2271" s="113">
        <v>3</v>
      </c>
      <c r="J2271" s="113">
        <v>15.26</v>
      </c>
      <c r="K2271" s="113">
        <v>-11.8</v>
      </c>
    </row>
    <row r="2272" spans="2:11" x14ac:dyDescent="0.25">
      <c r="B2272" s="185"/>
      <c r="C2272" s="113">
        <v>255.08099999999999</v>
      </c>
      <c r="D2272" s="113">
        <v>9542</v>
      </c>
      <c r="E2272" s="113">
        <v>2269</v>
      </c>
      <c r="F2272" s="113">
        <v>174</v>
      </c>
      <c r="G2272" s="113">
        <v>170.2</v>
      </c>
      <c r="H2272" s="113">
        <v>169.1</v>
      </c>
      <c r="I2272" s="113">
        <v>2.5</v>
      </c>
      <c r="J2272" s="113">
        <v>14.8</v>
      </c>
      <c r="K2272" s="113">
        <v>-11.8</v>
      </c>
    </row>
    <row r="2273" spans="2:11" x14ac:dyDescent="0.25">
      <c r="B2273" s="185"/>
      <c r="C2273" s="113">
        <v>255.102</v>
      </c>
      <c r="D2273" s="113">
        <v>9543</v>
      </c>
      <c r="E2273" s="113">
        <v>2270</v>
      </c>
      <c r="F2273" s="113">
        <v>173</v>
      </c>
      <c r="G2273" s="113">
        <v>170.2</v>
      </c>
      <c r="H2273" s="113">
        <v>169.4</v>
      </c>
      <c r="I2273" s="113">
        <v>2.6</v>
      </c>
      <c r="J2273" s="113">
        <v>13.22</v>
      </c>
      <c r="K2273" s="113">
        <v>-11.8</v>
      </c>
    </row>
    <row r="2274" spans="2:11" x14ac:dyDescent="0.25">
      <c r="B2274" s="185"/>
      <c r="C2274" s="113">
        <v>255.12299999999999</v>
      </c>
      <c r="D2274" s="113">
        <v>9544</v>
      </c>
      <c r="E2274" s="113">
        <v>2271</v>
      </c>
      <c r="F2274" s="113">
        <v>173</v>
      </c>
      <c r="G2274" s="113">
        <v>170.3</v>
      </c>
      <c r="H2274" s="113">
        <v>169.7</v>
      </c>
      <c r="I2274" s="113">
        <v>3.2</v>
      </c>
      <c r="J2274" s="113">
        <v>9.86</v>
      </c>
      <c r="K2274" s="113">
        <v>-11.3</v>
      </c>
    </row>
    <row r="2275" spans="2:11" x14ac:dyDescent="0.25">
      <c r="B2275" s="185"/>
      <c r="C2275" s="113">
        <v>255.14400000000001</v>
      </c>
      <c r="D2275" s="113">
        <v>9545</v>
      </c>
      <c r="E2275" s="113">
        <v>2272</v>
      </c>
      <c r="F2275" s="113">
        <v>174</v>
      </c>
      <c r="G2275" s="113">
        <v>170.5</v>
      </c>
      <c r="H2275" s="113">
        <v>170</v>
      </c>
      <c r="I2275" s="113">
        <v>2.9</v>
      </c>
      <c r="J2275" s="113">
        <v>8.7200000000000006</v>
      </c>
      <c r="K2275" s="113">
        <v>-9.1</v>
      </c>
    </row>
    <row r="2276" spans="2:11" x14ac:dyDescent="0.25">
      <c r="B2276" s="185"/>
      <c r="C2276" s="113">
        <v>255.166</v>
      </c>
      <c r="D2276" s="113">
        <v>9546</v>
      </c>
      <c r="E2276" s="113">
        <v>2273</v>
      </c>
      <c r="F2276" s="113">
        <v>175</v>
      </c>
      <c r="G2276" s="113">
        <v>170.7</v>
      </c>
      <c r="H2276" s="113">
        <v>170.3</v>
      </c>
      <c r="I2276" s="113">
        <v>2</v>
      </c>
      <c r="J2276" s="113">
        <v>7.9</v>
      </c>
      <c r="K2276" s="113">
        <v>-6.7</v>
      </c>
    </row>
    <row r="2277" spans="2:11" x14ac:dyDescent="0.25">
      <c r="B2277" s="185"/>
      <c r="C2277" s="113">
        <v>255.18600000000001</v>
      </c>
      <c r="D2277" s="113">
        <v>9547</v>
      </c>
      <c r="E2277" s="113">
        <v>2274</v>
      </c>
      <c r="F2277" s="113">
        <v>175</v>
      </c>
      <c r="G2277" s="113">
        <v>170.7</v>
      </c>
      <c r="H2277" s="113">
        <v>170.6</v>
      </c>
      <c r="I2277" s="113">
        <v>1.2</v>
      </c>
      <c r="J2277" s="113">
        <v>7.33</v>
      </c>
      <c r="K2277" s="113">
        <v>-4.4000000000000004</v>
      </c>
    </row>
    <row r="2278" spans="2:11" x14ac:dyDescent="0.25">
      <c r="B2278" s="185"/>
      <c r="C2278" s="113">
        <v>255.208</v>
      </c>
      <c r="D2278" s="113">
        <v>9548</v>
      </c>
      <c r="E2278" s="113">
        <v>2275</v>
      </c>
      <c r="F2278" s="113">
        <v>175</v>
      </c>
      <c r="G2278" s="113">
        <v>170.9</v>
      </c>
      <c r="H2278" s="113">
        <v>170.9</v>
      </c>
      <c r="I2278" s="113">
        <v>1.2</v>
      </c>
      <c r="J2278" s="113">
        <v>4.9400000000000004</v>
      </c>
      <c r="K2278" s="113">
        <v>-2.8</v>
      </c>
    </row>
    <row r="2279" spans="2:11" x14ac:dyDescent="0.25">
      <c r="B2279" s="185"/>
      <c r="C2279" s="113">
        <v>255.22900000000001</v>
      </c>
      <c r="D2279" s="113">
        <v>9549</v>
      </c>
      <c r="E2279" s="113">
        <v>2276</v>
      </c>
      <c r="F2279" s="113">
        <v>175</v>
      </c>
      <c r="G2279" s="113">
        <v>171.9</v>
      </c>
      <c r="H2279" s="113">
        <v>171.2</v>
      </c>
      <c r="I2279" s="113">
        <v>1.1000000000000001</v>
      </c>
      <c r="J2279" s="113">
        <v>4.7300000000000004</v>
      </c>
      <c r="K2279" s="113">
        <v>-4.4000000000000004</v>
      </c>
    </row>
    <row r="2280" spans="2:11" x14ac:dyDescent="0.25">
      <c r="B2280" s="185"/>
      <c r="C2280" s="113">
        <v>255.249</v>
      </c>
      <c r="D2280" s="113">
        <v>9550</v>
      </c>
      <c r="E2280" s="113">
        <v>2277</v>
      </c>
      <c r="F2280" s="113">
        <v>175</v>
      </c>
      <c r="G2280" s="113">
        <v>172.9</v>
      </c>
      <c r="H2280" s="113">
        <v>171.5</v>
      </c>
      <c r="I2280" s="113">
        <v>1.2</v>
      </c>
      <c r="J2280" s="113">
        <v>5.09</v>
      </c>
      <c r="K2280" s="113">
        <v>-5.9</v>
      </c>
    </row>
    <row r="2281" spans="2:11" x14ac:dyDescent="0.25">
      <c r="B2281" s="185"/>
      <c r="C2281" s="113">
        <v>255.27</v>
      </c>
      <c r="D2281" s="113">
        <v>9551</v>
      </c>
      <c r="E2281" s="113">
        <v>2278</v>
      </c>
      <c r="F2281" s="113">
        <v>176</v>
      </c>
      <c r="G2281" s="113">
        <v>174.3</v>
      </c>
      <c r="H2281" s="113">
        <v>172.1</v>
      </c>
      <c r="I2281" s="113">
        <v>1.9</v>
      </c>
      <c r="J2281" s="113">
        <v>10.98</v>
      </c>
      <c r="K2281" s="113">
        <v>-8.3000000000000007</v>
      </c>
    </row>
    <row r="2282" spans="2:11" x14ac:dyDescent="0.25">
      <c r="B2282" s="185"/>
      <c r="C2282" s="113">
        <v>255.291</v>
      </c>
      <c r="D2282" s="113">
        <v>9552</v>
      </c>
      <c r="E2282" s="113">
        <v>2279</v>
      </c>
      <c r="F2282" s="113">
        <v>176</v>
      </c>
      <c r="G2282" s="113">
        <v>174.7</v>
      </c>
      <c r="H2282" s="113">
        <v>172.4</v>
      </c>
      <c r="I2282" s="113">
        <v>3.1</v>
      </c>
      <c r="J2282" s="113">
        <v>12.28</v>
      </c>
      <c r="K2282" s="113">
        <v>-7.9</v>
      </c>
    </row>
    <row r="2283" spans="2:11" x14ac:dyDescent="0.25">
      <c r="B2283" s="185"/>
      <c r="C2283" s="113">
        <v>255.31100000000001</v>
      </c>
      <c r="D2283" s="113">
        <v>9553</v>
      </c>
      <c r="E2283" s="113">
        <v>2280</v>
      </c>
      <c r="F2283" s="113">
        <v>175</v>
      </c>
      <c r="G2283" s="113">
        <v>175</v>
      </c>
      <c r="H2283" s="113">
        <v>172.8</v>
      </c>
      <c r="I2283" s="113">
        <v>6</v>
      </c>
      <c r="J2283" s="113">
        <v>17.059999999999999</v>
      </c>
      <c r="K2283" s="113">
        <v>-6.7</v>
      </c>
    </row>
    <row r="2284" spans="2:11" x14ac:dyDescent="0.25">
      <c r="B2284" s="185"/>
      <c r="C2284" s="113">
        <v>255.33199999999999</v>
      </c>
      <c r="D2284" s="113">
        <v>9554</v>
      </c>
      <c r="E2284" s="113">
        <v>2281</v>
      </c>
      <c r="F2284" s="113">
        <v>175</v>
      </c>
      <c r="G2284" s="113">
        <v>175</v>
      </c>
      <c r="H2284" s="113">
        <v>173.1</v>
      </c>
      <c r="I2284" s="113">
        <v>8.5</v>
      </c>
      <c r="J2284" s="113">
        <v>19.5</v>
      </c>
      <c r="K2284" s="113">
        <v>-5.4</v>
      </c>
    </row>
    <row r="2285" spans="2:11" x14ac:dyDescent="0.25">
      <c r="B2285" s="185"/>
      <c r="C2285" s="113">
        <v>255.352</v>
      </c>
      <c r="D2285" s="113">
        <v>9555</v>
      </c>
      <c r="E2285" s="113">
        <v>2282</v>
      </c>
      <c r="F2285" s="113">
        <v>175</v>
      </c>
      <c r="G2285" s="113">
        <v>174.8</v>
      </c>
      <c r="H2285" s="113">
        <v>173.5</v>
      </c>
      <c r="I2285" s="113">
        <v>10.9</v>
      </c>
      <c r="J2285" s="113">
        <v>19.059999999999999</v>
      </c>
      <c r="K2285" s="113">
        <v>-4.0999999999999996</v>
      </c>
    </row>
    <row r="2286" spans="2:11" x14ac:dyDescent="0.25">
      <c r="B2286" s="185"/>
      <c r="C2286" s="113">
        <v>255.37299999999999</v>
      </c>
      <c r="D2286" s="113">
        <v>9556</v>
      </c>
      <c r="E2286" s="113">
        <v>2283</v>
      </c>
      <c r="F2286" s="113">
        <v>176</v>
      </c>
      <c r="G2286" s="113">
        <v>175</v>
      </c>
      <c r="H2286" s="113">
        <v>173.8</v>
      </c>
      <c r="I2286" s="113">
        <v>11.6</v>
      </c>
      <c r="J2286" s="113">
        <v>17.59</v>
      </c>
      <c r="K2286" s="113">
        <v>-3.7</v>
      </c>
    </row>
    <row r="2287" spans="2:11" x14ac:dyDescent="0.25">
      <c r="B2287" s="185"/>
      <c r="C2287" s="113">
        <v>255.39400000000001</v>
      </c>
      <c r="D2287" s="113">
        <v>9557</v>
      </c>
      <c r="E2287" s="113">
        <v>2284</v>
      </c>
      <c r="F2287" s="113">
        <v>177</v>
      </c>
      <c r="G2287" s="113">
        <v>175.5</v>
      </c>
      <c r="H2287" s="113">
        <v>174.2</v>
      </c>
      <c r="I2287" s="113">
        <v>10.9</v>
      </c>
      <c r="J2287" s="113">
        <v>15.28</v>
      </c>
      <c r="K2287" s="113">
        <v>-3.7</v>
      </c>
    </row>
    <row r="2288" spans="2:11" x14ac:dyDescent="0.25">
      <c r="B2288" s="185"/>
      <c r="C2288" s="113">
        <v>255.41399999999999</v>
      </c>
      <c r="D2288" s="113">
        <v>9558</v>
      </c>
      <c r="E2288" s="113">
        <v>2285</v>
      </c>
      <c r="F2288" s="113">
        <v>177</v>
      </c>
      <c r="G2288" s="113">
        <v>175.8</v>
      </c>
      <c r="H2288" s="113">
        <v>174.5</v>
      </c>
      <c r="I2288" s="113">
        <v>8.1999999999999993</v>
      </c>
      <c r="J2288" s="113">
        <v>14.89</v>
      </c>
      <c r="K2288" s="113">
        <v>-3.7</v>
      </c>
    </row>
    <row r="2289" spans="2:11" x14ac:dyDescent="0.25">
      <c r="B2289" s="185"/>
      <c r="C2289" s="113">
        <v>255.434</v>
      </c>
      <c r="D2289" s="113">
        <v>9559</v>
      </c>
      <c r="E2289" s="113">
        <v>2286</v>
      </c>
      <c r="F2289" s="113">
        <v>178</v>
      </c>
      <c r="G2289" s="113">
        <v>176.1</v>
      </c>
      <c r="H2289" s="113">
        <v>174.9</v>
      </c>
      <c r="I2289" s="113">
        <v>5.9</v>
      </c>
      <c r="J2289" s="113">
        <v>15.25</v>
      </c>
      <c r="K2289" s="113">
        <v>-3.7</v>
      </c>
    </row>
    <row r="2290" spans="2:11" x14ac:dyDescent="0.25">
      <c r="B2290" s="185"/>
      <c r="C2290" s="113">
        <v>255.45500000000001</v>
      </c>
      <c r="D2290" s="113">
        <v>9560</v>
      </c>
      <c r="E2290" s="113">
        <v>2287</v>
      </c>
      <c r="F2290" s="113">
        <v>178</v>
      </c>
      <c r="G2290" s="113">
        <v>176.2</v>
      </c>
      <c r="H2290" s="113">
        <v>175.2</v>
      </c>
      <c r="I2290" s="113">
        <v>4.4000000000000004</v>
      </c>
      <c r="J2290" s="113">
        <v>14.9</v>
      </c>
      <c r="K2290" s="113">
        <v>-3.3</v>
      </c>
    </row>
    <row r="2291" spans="2:11" x14ac:dyDescent="0.25">
      <c r="B2291" s="185"/>
      <c r="C2291" s="113">
        <v>255.47499999999999</v>
      </c>
      <c r="D2291" s="113">
        <v>9561</v>
      </c>
      <c r="E2291" s="113">
        <v>2288</v>
      </c>
      <c r="F2291" s="113">
        <v>178</v>
      </c>
      <c r="G2291" s="113">
        <v>176.3</v>
      </c>
      <c r="H2291" s="113">
        <v>175.5</v>
      </c>
      <c r="I2291" s="113">
        <v>3.8</v>
      </c>
      <c r="J2291" s="113">
        <v>13.88</v>
      </c>
      <c r="K2291" s="113">
        <v>-2.7</v>
      </c>
    </row>
    <row r="2292" spans="2:11" x14ac:dyDescent="0.25">
      <c r="B2292" s="185"/>
      <c r="C2292" s="113">
        <v>255.49600000000001</v>
      </c>
      <c r="D2292" s="113">
        <v>9562</v>
      </c>
      <c r="E2292" s="113">
        <v>2289</v>
      </c>
      <c r="F2292" s="113">
        <v>178</v>
      </c>
      <c r="G2292" s="113">
        <v>176.5</v>
      </c>
      <c r="H2292" s="113">
        <v>175.9</v>
      </c>
      <c r="I2292" s="113">
        <v>3.2</v>
      </c>
      <c r="J2292" s="113">
        <v>12.6</v>
      </c>
      <c r="K2292" s="113">
        <v>-2</v>
      </c>
    </row>
    <row r="2293" spans="2:11" x14ac:dyDescent="0.25">
      <c r="B2293" s="185"/>
      <c r="C2293" s="113">
        <v>255.51599999999999</v>
      </c>
      <c r="D2293" s="113">
        <v>9563</v>
      </c>
      <c r="E2293" s="113">
        <v>2290</v>
      </c>
      <c r="F2293" s="113">
        <v>179</v>
      </c>
      <c r="G2293" s="113">
        <v>176.9</v>
      </c>
      <c r="H2293" s="113">
        <v>176.2</v>
      </c>
      <c r="I2293" s="113">
        <v>2.8</v>
      </c>
      <c r="J2293" s="113">
        <v>10.96</v>
      </c>
      <c r="K2293" s="113">
        <v>-1.4</v>
      </c>
    </row>
    <row r="2294" spans="2:11" x14ac:dyDescent="0.25">
      <c r="B2294" s="185"/>
      <c r="C2294" s="113">
        <v>255.536</v>
      </c>
      <c r="D2294" s="113">
        <v>9564</v>
      </c>
      <c r="E2294" s="113">
        <v>2291</v>
      </c>
      <c r="F2294" s="113">
        <v>179</v>
      </c>
      <c r="G2294" s="113">
        <v>177.7</v>
      </c>
      <c r="H2294" s="113">
        <v>176.5</v>
      </c>
      <c r="I2294" s="113">
        <v>2</v>
      </c>
      <c r="J2294" s="113">
        <v>11.94</v>
      </c>
      <c r="K2294" s="113">
        <v>-1.1000000000000001</v>
      </c>
    </row>
    <row r="2295" spans="2:11" x14ac:dyDescent="0.25">
      <c r="B2295" s="185"/>
      <c r="C2295" s="113">
        <v>255.55600000000001</v>
      </c>
      <c r="D2295" s="113">
        <v>9565</v>
      </c>
      <c r="E2295" s="113">
        <v>2292</v>
      </c>
      <c r="F2295" s="113">
        <v>180</v>
      </c>
      <c r="G2295" s="113">
        <v>178.6</v>
      </c>
      <c r="H2295" s="113">
        <v>176.8</v>
      </c>
      <c r="I2295" s="113">
        <v>1.8</v>
      </c>
      <c r="J2295" s="113">
        <v>9.89</v>
      </c>
      <c r="K2295" s="113">
        <v>-0.9</v>
      </c>
    </row>
    <row r="2296" spans="2:11" x14ac:dyDescent="0.25">
      <c r="B2296" s="185"/>
      <c r="C2296" s="113">
        <v>255.577</v>
      </c>
      <c r="D2296" s="113">
        <v>9566</v>
      </c>
      <c r="E2296" s="113">
        <v>2293</v>
      </c>
      <c r="F2296" s="113">
        <v>180</v>
      </c>
      <c r="G2296" s="113">
        <v>179</v>
      </c>
      <c r="H2296" s="113">
        <v>177.1</v>
      </c>
      <c r="I2296" s="113">
        <v>1.8</v>
      </c>
      <c r="J2296" s="113">
        <v>9.65</v>
      </c>
      <c r="K2296" s="113">
        <v>-0.8</v>
      </c>
    </row>
    <row r="2297" spans="2:11" x14ac:dyDescent="0.25">
      <c r="B2297" s="185"/>
      <c r="C2297" s="113">
        <v>255.59700000000001</v>
      </c>
      <c r="D2297" s="113">
        <v>9567</v>
      </c>
      <c r="E2297" s="113">
        <v>2294</v>
      </c>
      <c r="F2297" s="113">
        <v>180</v>
      </c>
      <c r="G2297" s="113">
        <v>179.2</v>
      </c>
      <c r="H2297" s="113">
        <v>177.5</v>
      </c>
      <c r="I2297" s="113">
        <v>2.2000000000000002</v>
      </c>
      <c r="J2297" s="113">
        <v>13.41</v>
      </c>
      <c r="K2297" s="113">
        <v>-0.7</v>
      </c>
    </row>
    <row r="2298" spans="2:11" x14ac:dyDescent="0.25">
      <c r="B2298" s="185"/>
      <c r="C2298" s="113">
        <v>255.61699999999999</v>
      </c>
      <c r="D2298" s="113">
        <v>9568</v>
      </c>
      <c r="E2298" s="113">
        <v>2295</v>
      </c>
      <c r="F2298" s="113">
        <v>180</v>
      </c>
      <c r="G2298" s="113">
        <v>179.1</v>
      </c>
      <c r="H2298" s="113">
        <v>177.8</v>
      </c>
      <c r="I2298" s="113">
        <v>3.7</v>
      </c>
      <c r="J2298" s="113">
        <v>18.5</v>
      </c>
      <c r="K2298" s="113">
        <v>-0.4</v>
      </c>
    </row>
    <row r="2299" spans="2:11" x14ac:dyDescent="0.25">
      <c r="B2299" s="185"/>
      <c r="C2299" s="113">
        <v>255.637</v>
      </c>
      <c r="D2299" s="113">
        <v>9569</v>
      </c>
      <c r="E2299" s="113">
        <v>2296</v>
      </c>
      <c r="F2299" s="113">
        <v>180</v>
      </c>
      <c r="G2299" s="113">
        <v>178.8</v>
      </c>
      <c r="H2299" s="113">
        <v>178.1</v>
      </c>
      <c r="I2299" s="113">
        <v>6.6</v>
      </c>
      <c r="J2299" s="113">
        <v>15.71</v>
      </c>
      <c r="K2299" s="113">
        <v>-0.1</v>
      </c>
    </row>
    <row r="2300" spans="2:11" x14ac:dyDescent="0.25">
      <c r="B2300" s="185"/>
      <c r="C2300" s="113">
        <v>255.65700000000001</v>
      </c>
      <c r="D2300" s="113">
        <v>9570</v>
      </c>
      <c r="E2300" s="113">
        <v>2297</v>
      </c>
      <c r="F2300" s="113">
        <v>180</v>
      </c>
      <c r="G2300" s="113">
        <v>179.2</v>
      </c>
      <c r="H2300" s="113">
        <v>178.4</v>
      </c>
      <c r="I2300" s="113">
        <v>8.1</v>
      </c>
      <c r="J2300" s="113">
        <v>12.14</v>
      </c>
      <c r="K2300" s="113">
        <v>0.2</v>
      </c>
    </row>
    <row r="2301" spans="2:11" x14ac:dyDescent="0.25">
      <c r="B2301" s="185"/>
      <c r="C2301" s="113">
        <v>255.67699999999999</v>
      </c>
      <c r="D2301" s="113">
        <v>9571</v>
      </c>
      <c r="E2301" s="113">
        <v>2298</v>
      </c>
      <c r="F2301" s="113">
        <v>181</v>
      </c>
      <c r="G2301" s="113">
        <v>179.9</v>
      </c>
      <c r="H2301" s="113">
        <v>178.7</v>
      </c>
      <c r="I2301" s="113">
        <v>7.7</v>
      </c>
      <c r="J2301" s="113">
        <v>8.91</v>
      </c>
      <c r="K2301" s="113">
        <v>0.5</v>
      </c>
    </row>
    <row r="2302" spans="2:11" x14ac:dyDescent="0.25">
      <c r="B2302" s="185"/>
      <c r="C2302" s="113">
        <v>255.697</v>
      </c>
      <c r="D2302" s="113">
        <v>9572</v>
      </c>
      <c r="E2302" s="113">
        <v>2299</v>
      </c>
      <c r="F2302" s="113">
        <v>181</v>
      </c>
      <c r="G2302" s="113">
        <v>180.4</v>
      </c>
      <c r="H2302" s="113">
        <v>179</v>
      </c>
      <c r="I2302" s="113">
        <v>5.9</v>
      </c>
      <c r="J2302" s="113">
        <v>11.12</v>
      </c>
      <c r="K2302" s="113">
        <v>-0.3</v>
      </c>
    </row>
    <row r="2303" spans="2:11" x14ac:dyDescent="0.25">
      <c r="B2303" s="185"/>
      <c r="C2303" s="113">
        <v>255.71700000000001</v>
      </c>
      <c r="D2303" s="113">
        <v>9573</v>
      </c>
      <c r="E2303" s="113">
        <v>2300</v>
      </c>
      <c r="F2303" s="113">
        <v>182</v>
      </c>
      <c r="G2303" s="113">
        <v>180.8</v>
      </c>
      <c r="H2303" s="113">
        <v>179.3</v>
      </c>
      <c r="I2303" s="113">
        <v>4.9000000000000004</v>
      </c>
      <c r="J2303" s="113">
        <v>12.59</v>
      </c>
      <c r="K2303" s="113">
        <v>-1.5</v>
      </c>
    </row>
    <row r="2304" spans="2:11" x14ac:dyDescent="0.25">
      <c r="B2304" s="185"/>
      <c r="C2304" s="113">
        <v>255.73699999999999</v>
      </c>
      <c r="D2304" s="113">
        <v>9574</v>
      </c>
      <c r="E2304" s="113">
        <v>2301</v>
      </c>
      <c r="F2304" s="113">
        <v>182</v>
      </c>
      <c r="G2304" s="113">
        <v>181.5</v>
      </c>
      <c r="H2304" s="113">
        <v>179.7</v>
      </c>
      <c r="I2304" s="113">
        <v>4.5999999999999996</v>
      </c>
      <c r="J2304" s="113">
        <v>13.18</v>
      </c>
      <c r="K2304" s="113">
        <v>-2.7</v>
      </c>
    </row>
    <row r="2305" spans="2:11" x14ac:dyDescent="0.25">
      <c r="B2305" s="185"/>
      <c r="C2305" s="113">
        <v>255.756</v>
      </c>
      <c r="D2305" s="113">
        <v>9575</v>
      </c>
      <c r="E2305" s="113">
        <v>2302</v>
      </c>
      <c r="F2305" s="113">
        <v>182</v>
      </c>
      <c r="G2305" s="113">
        <v>182.3</v>
      </c>
      <c r="H2305" s="113">
        <v>180</v>
      </c>
      <c r="I2305" s="113">
        <v>4.5999999999999996</v>
      </c>
      <c r="J2305" s="113">
        <v>12.52</v>
      </c>
      <c r="K2305" s="113">
        <v>-4</v>
      </c>
    </row>
    <row r="2306" spans="2:11" x14ac:dyDescent="0.25">
      <c r="B2306" s="185"/>
      <c r="C2306" s="113">
        <v>255.77600000000001</v>
      </c>
      <c r="D2306" s="113">
        <v>9576</v>
      </c>
      <c r="E2306" s="113">
        <v>2303</v>
      </c>
      <c r="F2306" s="113">
        <v>183</v>
      </c>
      <c r="G2306" s="113">
        <v>182.3</v>
      </c>
      <c r="H2306" s="113">
        <v>180.3</v>
      </c>
      <c r="I2306" s="113">
        <v>4.2</v>
      </c>
      <c r="J2306" s="113">
        <v>20</v>
      </c>
      <c r="K2306" s="113">
        <v>-4.4000000000000004</v>
      </c>
    </row>
    <row r="2307" spans="2:11" x14ac:dyDescent="0.25">
      <c r="B2307" s="185"/>
      <c r="C2307" s="113">
        <v>255.79599999999999</v>
      </c>
      <c r="D2307" s="113">
        <v>9577</v>
      </c>
      <c r="E2307" s="113">
        <v>2304</v>
      </c>
      <c r="F2307" s="113">
        <v>184</v>
      </c>
      <c r="G2307" s="113">
        <v>181.9</v>
      </c>
      <c r="H2307" s="113">
        <v>180.7</v>
      </c>
      <c r="I2307" s="113">
        <v>4.8</v>
      </c>
      <c r="J2307" s="113">
        <v>21.47</v>
      </c>
      <c r="K2307" s="113">
        <v>-4.4000000000000004</v>
      </c>
    </row>
    <row r="2308" spans="2:11" x14ac:dyDescent="0.25">
      <c r="B2308" s="185"/>
      <c r="C2308" s="113">
        <v>255.816</v>
      </c>
      <c r="D2308" s="113">
        <v>9578</v>
      </c>
      <c r="E2308" s="113">
        <v>2305</v>
      </c>
      <c r="F2308" s="113">
        <v>184</v>
      </c>
      <c r="G2308" s="113">
        <v>182.3</v>
      </c>
      <c r="H2308" s="113">
        <v>181</v>
      </c>
      <c r="I2308" s="113">
        <v>6.1</v>
      </c>
      <c r="J2308" s="113">
        <v>17.96</v>
      </c>
      <c r="K2308" s="113">
        <v>-4.4000000000000004</v>
      </c>
    </row>
    <row r="2309" spans="2:11" x14ac:dyDescent="0.25">
      <c r="B2309" s="185"/>
      <c r="C2309" s="113">
        <v>255.83500000000001</v>
      </c>
      <c r="D2309" s="113">
        <v>9579</v>
      </c>
      <c r="E2309" s="113">
        <v>2306</v>
      </c>
      <c r="F2309" s="113">
        <v>184</v>
      </c>
      <c r="G2309" s="113">
        <v>183</v>
      </c>
      <c r="H2309" s="113">
        <v>181.3</v>
      </c>
      <c r="I2309" s="113">
        <v>6.8</v>
      </c>
      <c r="J2309" s="113">
        <v>13.56</v>
      </c>
      <c r="K2309" s="113">
        <v>-4.4000000000000004</v>
      </c>
    </row>
    <row r="2310" spans="2:11" x14ac:dyDescent="0.25">
      <c r="B2310" s="185"/>
      <c r="C2310" s="113">
        <v>255.85499999999999</v>
      </c>
      <c r="D2310" s="113">
        <v>9580</v>
      </c>
      <c r="E2310" s="113">
        <v>2307</v>
      </c>
      <c r="F2310" s="113">
        <v>184</v>
      </c>
      <c r="G2310" s="113">
        <v>183.7</v>
      </c>
      <c r="H2310" s="113">
        <v>181.6</v>
      </c>
      <c r="I2310" s="113">
        <v>5.9</v>
      </c>
      <c r="J2310" s="113">
        <v>13.96</v>
      </c>
      <c r="K2310" s="113">
        <v>-3.7</v>
      </c>
    </row>
    <row r="2311" spans="2:11" x14ac:dyDescent="0.25">
      <c r="B2311" s="185"/>
      <c r="C2311" s="113">
        <v>255.874</v>
      </c>
      <c r="D2311" s="113">
        <v>9581</v>
      </c>
      <c r="E2311" s="113">
        <v>2308</v>
      </c>
      <c r="F2311" s="113">
        <v>185</v>
      </c>
      <c r="G2311" s="113">
        <v>184.5</v>
      </c>
      <c r="H2311" s="113">
        <v>181.9</v>
      </c>
      <c r="I2311" s="113">
        <v>4.8</v>
      </c>
      <c r="J2311" s="113">
        <v>13.13</v>
      </c>
      <c r="K2311" s="113">
        <v>-2.8</v>
      </c>
    </row>
    <row r="2312" spans="2:11" x14ac:dyDescent="0.25">
      <c r="B2312" s="185"/>
      <c r="C2312" s="113">
        <v>255.89400000000001</v>
      </c>
      <c r="D2312" s="113">
        <v>9582</v>
      </c>
      <c r="E2312" s="113">
        <v>2309</v>
      </c>
      <c r="F2312" s="113">
        <v>185</v>
      </c>
      <c r="G2312" s="113">
        <v>185</v>
      </c>
      <c r="H2312" s="113">
        <v>182.2</v>
      </c>
      <c r="I2312" s="113">
        <v>4.0999999999999996</v>
      </c>
      <c r="J2312" s="113">
        <v>16.100000000000001</v>
      </c>
      <c r="K2312" s="113">
        <v>-1.9</v>
      </c>
    </row>
    <row r="2313" spans="2:11" x14ac:dyDescent="0.25">
      <c r="B2313" s="185"/>
      <c r="C2313" s="113">
        <v>255.91300000000001</v>
      </c>
      <c r="D2313" s="113">
        <v>9583</v>
      </c>
      <c r="E2313" s="113">
        <v>2310</v>
      </c>
      <c r="F2313" s="113">
        <v>185</v>
      </c>
      <c r="G2313" s="113">
        <v>185.3</v>
      </c>
      <c r="H2313" s="113">
        <v>182.5</v>
      </c>
      <c r="I2313" s="113">
        <v>4.0999999999999996</v>
      </c>
      <c r="J2313" s="113">
        <v>15.03</v>
      </c>
      <c r="K2313" s="113">
        <v>-0.9</v>
      </c>
    </row>
    <row r="2314" spans="2:11" x14ac:dyDescent="0.25">
      <c r="B2314" s="185"/>
      <c r="C2314" s="113">
        <v>255.93299999999999</v>
      </c>
      <c r="D2314" s="113">
        <v>9584</v>
      </c>
      <c r="E2314" s="113">
        <v>2311</v>
      </c>
      <c r="F2314" s="113">
        <v>186</v>
      </c>
      <c r="G2314" s="113">
        <v>185.4</v>
      </c>
      <c r="H2314" s="113">
        <v>182.8</v>
      </c>
      <c r="I2314" s="113">
        <v>4.9000000000000004</v>
      </c>
      <c r="J2314" s="113">
        <v>14.52</v>
      </c>
      <c r="K2314" s="113">
        <v>-0.5</v>
      </c>
    </row>
    <row r="2315" spans="2:11" x14ac:dyDescent="0.25">
      <c r="B2315" s="185"/>
      <c r="C2315" s="113">
        <v>255.952</v>
      </c>
      <c r="D2315" s="113">
        <v>9585</v>
      </c>
      <c r="E2315" s="113">
        <v>2312</v>
      </c>
      <c r="F2315" s="113">
        <v>187</v>
      </c>
      <c r="G2315" s="113">
        <v>185.4</v>
      </c>
      <c r="H2315" s="113">
        <v>183.1</v>
      </c>
      <c r="I2315" s="113">
        <v>4.8</v>
      </c>
      <c r="J2315" s="113">
        <v>18.43</v>
      </c>
      <c r="K2315" s="113">
        <v>-0.3</v>
      </c>
    </row>
    <row r="2316" spans="2:11" x14ac:dyDescent="0.25">
      <c r="B2316" s="185"/>
      <c r="C2316" s="113">
        <v>255.971</v>
      </c>
      <c r="D2316" s="113">
        <v>9586</v>
      </c>
      <c r="E2316" s="113">
        <v>2313</v>
      </c>
      <c r="F2316" s="113">
        <v>187</v>
      </c>
      <c r="G2316" s="113">
        <v>185.6</v>
      </c>
      <c r="H2316" s="113">
        <v>183.3</v>
      </c>
      <c r="I2316" s="113">
        <v>6.1</v>
      </c>
      <c r="J2316" s="113">
        <v>20.27</v>
      </c>
      <c r="K2316" s="113">
        <v>-0.2</v>
      </c>
    </row>
    <row r="2317" spans="2:11" x14ac:dyDescent="0.25">
      <c r="B2317" s="185"/>
      <c r="C2317" s="113">
        <v>255.99100000000001</v>
      </c>
      <c r="D2317" s="113">
        <v>9587</v>
      </c>
      <c r="E2317" s="113">
        <v>2314</v>
      </c>
      <c r="F2317" s="113">
        <v>186</v>
      </c>
      <c r="G2317" s="113">
        <v>186</v>
      </c>
      <c r="H2317" s="113">
        <v>183.6</v>
      </c>
      <c r="I2317" s="113">
        <v>7.3</v>
      </c>
      <c r="J2317" s="113">
        <v>17.600000000000001</v>
      </c>
      <c r="K2317" s="113">
        <v>-0.1</v>
      </c>
    </row>
    <row r="2318" spans="2:11" x14ac:dyDescent="0.25">
      <c r="B2318" s="185"/>
      <c r="C2318" s="113">
        <v>256.01</v>
      </c>
      <c r="D2318" s="113">
        <v>9588</v>
      </c>
      <c r="E2318" s="113">
        <v>2315</v>
      </c>
      <c r="F2318" s="113">
        <v>186</v>
      </c>
      <c r="G2318" s="113">
        <v>185.9</v>
      </c>
      <c r="H2318" s="113">
        <v>183.9</v>
      </c>
      <c r="I2318" s="113">
        <v>8.3000000000000007</v>
      </c>
      <c r="J2318" s="113">
        <v>16.57</v>
      </c>
      <c r="K2318" s="113">
        <v>0.7</v>
      </c>
    </row>
    <row r="2319" spans="2:11" x14ac:dyDescent="0.25">
      <c r="B2319" s="185"/>
      <c r="C2319" s="113">
        <v>256.029</v>
      </c>
      <c r="D2319" s="113">
        <v>9589</v>
      </c>
      <c r="E2319" s="113">
        <v>2316</v>
      </c>
      <c r="F2319" s="113">
        <v>187</v>
      </c>
      <c r="G2319" s="113">
        <v>185.8</v>
      </c>
      <c r="H2319" s="113">
        <v>184.1</v>
      </c>
      <c r="I2319" s="113">
        <v>8.3000000000000007</v>
      </c>
      <c r="J2319" s="113">
        <v>17.89</v>
      </c>
      <c r="K2319" s="113">
        <v>1.1000000000000001</v>
      </c>
    </row>
    <row r="2320" spans="2:11" x14ac:dyDescent="0.25">
      <c r="B2320" s="185"/>
      <c r="C2320" s="113">
        <v>256.04899999999998</v>
      </c>
      <c r="D2320" s="113">
        <v>9590</v>
      </c>
      <c r="E2320" s="113">
        <v>2317</v>
      </c>
      <c r="F2320" s="113">
        <v>187</v>
      </c>
      <c r="G2320" s="113">
        <v>185.5</v>
      </c>
      <c r="H2320" s="113">
        <v>184.4</v>
      </c>
      <c r="I2320" s="113">
        <v>8</v>
      </c>
      <c r="J2320" s="113">
        <v>18.579999999999998</v>
      </c>
      <c r="K2320" s="113">
        <v>2.1</v>
      </c>
    </row>
    <row r="2321" spans="2:11" x14ac:dyDescent="0.25">
      <c r="B2321" s="185"/>
      <c r="C2321" s="113">
        <v>256.06799999999998</v>
      </c>
      <c r="D2321" s="113">
        <v>9591</v>
      </c>
      <c r="E2321" s="113">
        <v>2318</v>
      </c>
      <c r="F2321" s="113">
        <v>188</v>
      </c>
      <c r="G2321" s="113">
        <v>185.3</v>
      </c>
      <c r="H2321" s="113">
        <v>184.6</v>
      </c>
      <c r="I2321" s="113">
        <v>7.3</v>
      </c>
      <c r="J2321" s="113">
        <v>14.96</v>
      </c>
      <c r="K2321" s="113">
        <v>2.9</v>
      </c>
    </row>
    <row r="2322" spans="2:11" x14ac:dyDescent="0.25">
      <c r="B2322" s="185"/>
      <c r="C2322" s="113">
        <v>256.08699999999999</v>
      </c>
      <c r="D2322" s="113">
        <v>9592</v>
      </c>
      <c r="E2322" s="113">
        <v>2319</v>
      </c>
      <c r="F2322" s="113">
        <v>188</v>
      </c>
      <c r="G2322" s="113">
        <v>185.3</v>
      </c>
      <c r="H2322" s="113">
        <v>184.9</v>
      </c>
      <c r="I2322" s="113">
        <v>5.8</v>
      </c>
      <c r="J2322" s="113">
        <v>10.82</v>
      </c>
      <c r="K2322" s="113">
        <v>3.5</v>
      </c>
    </row>
    <row r="2323" spans="2:11" x14ac:dyDescent="0.25">
      <c r="B2323" s="185"/>
      <c r="C2323" s="113">
        <v>256.10700000000003</v>
      </c>
      <c r="D2323" s="113">
        <v>9593</v>
      </c>
      <c r="E2323" s="113">
        <v>2320</v>
      </c>
      <c r="F2323" s="113">
        <v>189</v>
      </c>
      <c r="G2323" s="113">
        <v>185.9</v>
      </c>
      <c r="H2323" s="113">
        <v>185.2</v>
      </c>
      <c r="I2323" s="113">
        <v>3.2</v>
      </c>
      <c r="J2323" s="113">
        <v>9.1</v>
      </c>
      <c r="K2323" s="113">
        <v>2.4</v>
      </c>
    </row>
    <row r="2324" spans="2:11" x14ac:dyDescent="0.25">
      <c r="B2324" s="185"/>
      <c r="C2324" s="113">
        <v>256.12599999999998</v>
      </c>
      <c r="D2324" s="113">
        <v>9594</v>
      </c>
      <c r="E2324" s="113">
        <v>2321</v>
      </c>
      <c r="F2324" s="113">
        <v>190</v>
      </c>
      <c r="G2324" s="113">
        <v>186.5</v>
      </c>
      <c r="H2324" s="113">
        <v>185.5</v>
      </c>
      <c r="I2324" s="113">
        <v>0.9</v>
      </c>
      <c r="J2324" s="113">
        <v>6.95</v>
      </c>
      <c r="K2324" s="113">
        <v>1.3</v>
      </c>
    </row>
    <row r="2325" spans="2:11" x14ac:dyDescent="0.25">
      <c r="B2325" s="185"/>
      <c r="C2325" s="113">
        <v>256.14600000000002</v>
      </c>
      <c r="D2325" s="113">
        <v>9595</v>
      </c>
      <c r="E2325" s="113">
        <v>2322</v>
      </c>
      <c r="F2325" s="113">
        <v>191</v>
      </c>
      <c r="G2325" s="113">
        <v>186.7</v>
      </c>
      <c r="H2325" s="113">
        <v>185.7</v>
      </c>
      <c r="I2325" s="113">
        <v>-0.8</v>
      </c>
      <c r="J2325" s="113">
        <v>9.11</v>
      </c>
      <c r="K2325" s="113">
        <v>0.3</v>
      </c>
    </row>
    <row r="2326" spans="2:11" x14ac:dyDescent="0.25">
      <c r="B2326" s="185"/>
      <c r="C2326" s="113">
        <v>256.16500000000002</v>
      </c>
      <c r="D2326" s="113">
        <v>9597</v>
      </c>
      <c r="E2326" s="113">
        <v>2323</v>
      </c>
      <c r="F2326" s="113">
        <v>191</v>
      </c>
      <c r="G2326" s="113">
        <v>186.9</v>
      </c>
      <c r="H2326" s="113">
        <v>186</v>
      </c>
      <c r="I2326" s="113">
        <v>-1</v>
      </c>
      <c r="J2326" s="113">
        <v>10.26</v>
      </c>
      <c r="K2326" s="113">
        <v>-0.6</v>
      </c>
    </row>
    <row r="2327" spans="2:11" x14ac:dyDescent="0.25">
      <c r="B2327" s="185"/>
      <c r="C2327" s="113">
        <v>256.18400000000003</v>
      </c>
      <c r="D2327" s="113">
        <v>9597</v>
      </c>
      <c r="E2327" s="113">
        <v>2324</v>
      </c>
      <c r="F2327" s="113">
        <v>190</v>
      </c>
      <c r="G2327" s="113">
        <v>187.2</v>
      </c>
      <c r="H2327" s="113">
        <v>186.2</v>
      </c>
      <c r="I2327" s="113">
        <v>-0.1</v>
      </c>
      <c r="J2327" s="113">
        <v>9.86</v>
      </c>
      <c r="K2327" s="113">
        <v>-0.6</v>
      </c>
    </row>
    <row r="2328" spans="2:11" x14ac:dyDescent="0.25">
      <c r="B2328" s="185"/>
      <c r="C2328" s="113">
        <v>256.20299999999997</v>
      </c>
      <c r="D2328" s="113">
        <v>9598</v>
      </c>
      <c r="E2328" s="113">
        <v>2325</v>
      </c>
      <c r="F2328" s="113">
        <v>190</v>
      </c>
      <c r="G2328" s="113">
        <v>187.6</v>
      </c>
      <c r="H2328" s="113">
        <v>186.4</v>
      </c>
      <c r="I2328" s="113">
        <v>1.6</v>
      </c>
      <c r="J2328" s="113">
        <v>7.28</v>
      </c>
      <c r="K2328" s="113">
        <v>-0.6</v>
      </c>
    </row>
    <row r="2329" spans="2:11" x14ac:dyDescent="0.25">
      <c r="B2329" s="185"/>
      <c r="C2329" s="113">
        <v>256.22300000000001</v>
      </c>
      <c r="D2329" s="113">
        <v>9599</v>
      </c>
      <c r="E2329" s="113">
        <v>2326</v>
      </c>
      <c r="F2329" s="113">
        <v>188</v>
      </c>
      <c r="G2329" s="113">
        <v>188.3</v>
      </c>
      <c r="H2329" s="113">
        <v>186.7</v>
      </c>
      <c r="I2329" s="113">
        <v>2.2999999999999998</v>
      </c>
      <c r="J2329" s="113">
        <v>8.44</v>
      </c>
      <c r="K2329" s="113">
        <v>-0.6</v>
      </c>
    </row>
    <row r="2330" spans="2:11" x14ac:dyDescent="0.25">
      <c r="B2330" s="185"/>
      <c r="C2330" s="113">
        <v>256.24099999999999</v>
      </c>
      <c r="D2330" s="113">
        <v>9600</v>
      </c>
      <c r="E2330" s="113">
        <v>2327</v>
      </c>
      <c r="F2330" s="113">
        <v>187</v>
      </c>
      <c r="G2330" s="113">
        <v>189.1</v>
      </c>
      <c r="H2330" s="113">
        <v>186.9</v>
      </c>
      <c r="I2330" s="113">
        <v>3.4</v>
      </c>
      <c r="J2330" s="113">
        <v>12.65</v>
      </c>
      <c r="K2330" s="113">
        <v>-0.5</v>
      </c>
    </row>
    <row r="2331" spans="2:11" x14ac:dyDescent="0.25">
      <c r="B2331" s="185"/>
      <c r="C2331" s="113">
        <v>256.26100000000002</v>
      </c>
      <c r="D2331" s="113">
        <v>9601</v>
      </c>
      <c r="E2331" s="113">
        <v>2328</v>
      </c>
      <c r="F2331" s="113">
        <v>189</v>
      </c>
      <c r="G2331" s="113">
        <v>190</v>
      </c>
      <c r="H2331" s="113">
        <v>187.2</v>
      </c>
      <c r="I2331" s="113">
        <v>3.9</v>
      </c>
      <c r="J2331" s="113">
        <v>20.28</v>
      </c>
      <c r="K2331" s="113">
        <v>0.1</v>
      </c>
    </row>
    <row r="2332" spans="2:11" x14ac:dyDescent="0.25">
      <c r="B2332" s="185"/>
      <c r="C2332" s="113">
        <v>256.279</v>
      </c>
      <c r="D2332" s="113">
        <v>9602</v>
      </c>
      <c r="E2332" s="113">
        <v>2329</v>
      </c>
      <c r="F2332" s="113">
        <v>190</v>
      </c>
      <c r="G2332" s="113">
        <v>190.5</v>
      </c>
      <c r="H2332" s="113">
        <v>187.3</v>
      </c>
      <c r="I2332" s="113">
        <v>4.0999999999999996</v>
      </c>
      <c r="J2332" s="113">
        <v>22.85</v>
      </c>
      <c r="K2332" s="113">
        <v>0.4</v>
      </c>
    </row>
    <row r="2333" spans="2:11" x14ac:dyDescent="0.25">
      <c r="B2333" s="185"/>
      <c r="C2333" s="113">
        <v>256.298</v>
      </c>
      <c r="D2333" s="113">
        <v>9603</v>
      </c>
      <c r="E2333" s="113">
        <v>2330</v>
      </c>
      <c r="F2333" s="113">
        <v>189</v>
      </c>
      <c r="G2333" s="113">
        <v>190.4</v>
      </c>
      <c r="H2333" s="113">
        <v>187.6</v>
      </c>
      <c r="I2333" s="113">
        <v>3.8</v>
      </c>
      <c r="J2333" s="113">
        <v>31.65</v>
      </c>
      <c r="K2333" s="113">
        <v>1</v>
      </c>
    </row>
    <row r="2334" spans="2:11" x14ac:dyDescent="0.25">
      <c r="B2334" s="185"/>
      <c r="C2334" s="113">
        <v>256.31700000000001</v>
      </c>
      <c r="D2334" s="113">
        <v>9604</v>
      </c>
      <c r="E2334" s="113">
        <v>2331</v>
      </c>
      <c r="F2334" s="113">
        <v>188</v>
      </c>
      <c r="G2334" s="113">
        <v>190</v>
      </c>
      <c r="H2334" s="113">
        <v>187.9</v>
      </c>
      <c r="I2334" s="113">
        <v>8</v>
      </c>
      <c r="J2334" s="113">
        <v>33.18</v>
      </c>
      <c r="K2334" s="113">
        <v>1.6</v>
      </c>
    </row>
    <row r="2335" spans="2:11" x14ac:dyDescent="0.25">
      <c r="B2335" s="185"/>
      <c r="C2335" s="113">
        <v>256.33600000000001</v>
      </c>
      <c r="D2335" s="113">
        <v>9605</v>
      </c>
      <c r="E2335" s="113">
        <v>2332</v>
      </c>
      <c r="F2335" s="113">
        <v>189</v>
      </c>
      <c r="G2335" s="113">
        <v>190.4</v>
      </c>
      <c r="H2335" s="113">
        <v>188.1</v>
      </c>
      <c r="I2335" s="113">
        <v>13.1</v>
      </c>
      <c r="J2335" s="113">
        <v>31.31</v>
      </c>
      <c r="K2335" s="113">
        <v>2.5</v>
      </c>
    </row>
    <row r="2336" spans="2:11" x14ac:dyDescent="0.25">
      <c r="B2336" s="185"/>
      <c r="C2336" s="113">
        <v>256.35500000000002</v>
      </c>
      <c r="D2336" s="113">
        <v>9606</v>
      </c>
      <c r="E2336" s="113">
        <v>2333</v>
      </c>
      <c r="F2336" s="113">
        <v>190</v>
      </c>
      <c r="G2336" s="113">
        <v>191.2</v>
      </c>
      <c r="H2336" s="113">
        <v>188.4</v>
      </c>
      <c r="I2336" s="113">
        <v>13.5</v>
      </c>
      <c r="J2336" s="113">
        <v>29.73</v>
      </c>
      <c r="K2336" s="113">
        <v>3.4</v>
      </c>
    </row>
    <row r="2337" spans="2:11" x14ac:dyDescent="0.25">
      <c r="B2337" s="185"/>
      <c r="C2337" s="113">
        <v>256.37400000000002</v>
      </c>
      <c r="D2337" s="113">
        <v>9607</v>
      </c>
      <c r="E2337" s="113">
        <v>2334</v>
      </c>
      <c r="F2337" s="113">
        <v>191</v>
      </c>
      <c r="G2337" s="113">
        <v>191.3</v>
      </c>
      <c r="H2337" s="113">
        <v>188.6</v>
      </c>
      <c r="I2337" s="113">
        <v>9.6999999999999993</v>
      </c>
      <c r="J2337" s="113">
        <v>32.909999999999997</v>
      </c>
      <c r="K2337" s="113">
        <v>4.3</v>
      </c>
    </row>
    <row r="2338" spans="2:11" x14ac:dyDescent="0.25">
      <c r="B2338" s="185"/>
      <c r="C2338" s="113">
        <v>256.392</v>
      </c>
      <c r="D2338" s="113">
        <v>9608</v>
      </c>
      <c r="E2338" s="113">
        <v>2335</v>
      </c>
      <c r="F2338" s="113">
        <v>192</v>
      </c>
      <c r="G2338" s="113">
        <v>190.9</v>
      </c>
      <c r="H2338" s="113">
        <v>188.8</v>
      </c>
      <c r="I2338" s="113">
        <v>8.1999999999999993</v>
      </c>
      <c r="J2338" s="113">
        <v>32.770000000000003</v>
      </c>
      <c r="K2338" s="113">
        <v>5.3</v>
      </c>
    </row>
    <row r="2339" spans="2:11" x14ac:dyDescent="0.25">
      <c r="B2339" s="185"/>
      <c r="C2339" s="113">
        <v>256.411</v>
      </c>
      <c r="D2339" s="113">
        <v>9609</v>
      </c>
      <c r="E2339" s="113">
        <v>2336</v>
      </c>
      <c r="F2339" s="113">
        <v>191</v>
      </c>
      <c r="G2339" s="113">
        <v>191.3</v>
      </c>
      <c r="H2339" s="113">
        <v>189.1</v>
      </c>
      <c r="I2339" s="113">
        <v>9.6999999999999993</v>
      </c>
      <c r="J2339" s="113">
        <v>27.62</v>
      </c>
      <c r="K2339" s="113">
        <v>4.5999999999999996</v>
      </c>
    </row>
    <row r="2340" spans="2:11" x14ac:dyDescent="0.25">
      <c r="B2340" s="185"/>
      <c r="C2340" s="113">
        <v>256.43</v>
      </c>
      <c r="D2340" s="113">
        <v>9610</v>
      </c>
      <c r="E2340" s="113">
        <v>2337</v>
      </c>
      <c r="F2340" s="113">
        <v>190</v>
      </c>
      <c r="G2340" s="113">
        <v>191.9</v>
      </c>
      <c r="H2340" s="113">
        <v>189.3</v>
      </c>
      <c r="I2340" s="113">
        <v>11.1</v>
      </c>
      <c r="J2340" s="113">
        <v>25.16</v>
      </c>
      <c r="K2340" s="113">
        <v>3.2</v>
      </c>
    </row>
    <row r="2341" spans="2:11" x14ac:dyDescent="0.25">
      <c r="B2341" s="185"/>
      <c r="C2341" s="113">
        <v>256.44900000000001</v>
      </c>
      <c r="D2341" s="113">
        <v>9611</v>
      </c>
      <c r="E2341" s="113">
        <v>2338</v>
      </c>
      <c r="F2341" s="113">
        <v>190</v>
      </c>
      <c r="G2341" s="113">
        <v>192</v>
      </c>
      <c r="H2341" s="113">
        <v>189.4</v>
      </c>
      <c r="I2341" s="113">
        <v>11</v>
      </c>
      <c r="J2341" s="113">
        <v>24.64</v>
      </c>
      <c r="K2341" s="113">
        <v>2.5</v>
      </c>
    </row>
    <row r="2342" spans="2:11" x14ac:dyDescent="0.25">
      <c r="B2342" s="185"/>
      <c r="C2342" s="113">
        <v>256.46699999999998</v>
      </c>
      <c r="D2342" s="113">
        <v>9612</v>
      </c>
      <c r="E2342" s="113">
        <v>2339</v>
      </c>
      <c r="F2342" s="113">
        <v>192</v>
      </c>
      <c r="G2342" s="113">
        <v>191.7</v>
      </c>
      <c r="H2342" s="113">
        <v>189.7</v>
      </c>
      <c r="I2342" s="113">
        <v>9.8000000000000007</v>
      </c>
      <c r="J2342" s="113">
        <v>25.91</v>
      </c>
      <c r="K2342" s="113">
        <v>1.1000000000000001</v>
      </c>
    </row>
    <row r="2343" spans="2:11" x14ac:dyDescent="0.25">
      <c r="B2343" s="185"/>
      <c r="C2343" s="113">
        <v>256.48599999999999</v>
      </c>
      <c r="D2343" s="113">
        <v>9613</v>
      </c>
      <c r="E2343" s="113">
        <v>2340</v>
      </c>
      <c r="F2343" s="113">
        <v>193</v>
      </c>
      <c r="G2343" s="113">
        <v>191.5</v>
      </c>
      <c r="H2343" s="113">
        <v>189.9</v>
      </c>
      <c r="I2343" s="113">
        <v>8.3000000000000007</v>
      </c>
      <c r="J2343" s="113">
        <v>28.57</v>
      </c>
      <c r="K2343" s="113">
        <v>0.1</v>
      </c>
    </row>
    <row r="2344" spans="2:11" x14ac:dyDescent="0.25">
      <c r="B2344" s="185"/>
      <c r="C2344" s="113">
        <v>256.505</v>
      </c>
      <c r="D2344" s="113">
        <v>9614</v>
      </c>
      <c r="E2344" s="113">
        <v>2341</v>
      </c>
      <c r="F2344" s="113">
        <v>192</v>
      </c>
      <c r="G2344" s="113">
        <v>191.6</v>
      </c>
      <c r="H2344" s="113">
        <v>190.1</v>
      </c>
      <c r="I2344" s="113">
        <v>8.6</v>
      </c>
      <c r="J2344" s="113">
        <v>25.05</v>
      </c>
      <c r="K2344" s="113">
        <v>0.7</v>
      </c>
    </row>
    <row r="2345" spans="2:11" x14ac:dyDescent="0.25">
      <c r="B2345" s="185"/>
      <c r="C2345" s="113">
        <v>256.524</v>
      </c>
      <c r="D2345" s="113">
        <v>9616</v>
      </c>
      <c r="E2345" s="113">
        <v>2342</v>
      </c>
      <c r="F2345" s="113">
        <v>192</v>
      </c>
      <c r="G2345" s="113">
        <v>191.6</v>
      </c>
      <c r="H2345" s="113">
        <v>190.3</v>
      </c>
      <c r="I2345" s="113">
        <v>9.1999999999999993</v>
      </c>
      <c r="J2345" s="113">
        <v>20.25</v>
      </c>
      <c r="K2345" s="113">
        <v>1.4</v>
      </c>
    </row>
    <row r="2346" spans="2:11" x14ac:dyDescent="0.25">
      <c r="B2346" s="185"/>
      <c r="C2346" s="113">
        <v>256.54300000000001</v>
      </c>
      <c r="D2346" s="113">
        <v>9616</v>
      </c>
      <c r="E2346" s="113">
        <v>2343</v>
      </c>
      <c r="F2346" s="113">
        <v>193</v>
      </c>
      <c r="G2346" s="113">
        <v>191.7</v>
      </c>
      <c r="H2346" s="113">
        <v>190.6</v>
      </c>
      <c r="I2346" s="113">
        <v>8.1999999999999993</v>
      </c>
      <c r="J2346" s="113">
        <v>21.32</v>
      </c>
      <c r="K2346" s="113">
        <v>2</v>
      </c>
    </row>
    <row r="2347" spans="2:11" x14ac:dyDescent="0.25">
      <c r="B2347" s="185"/>
      <c r="C2347" s="113">
        <v>256.56099999999998</v>
      </c>
      <c r="D2347" s="113">
        <v>9617</v>
      </c>
      <c r="E2347" s="113">
        <v>2344</v>
      </c>
      <c r="F2347" s="113">
        <v>194</v>
      </c>
      <c r="G2347" s="113">
        <v>191.9</v>
      </c>
      <c r="H2347" s="113">
        <v>190.8</v>
      </c>
      <c r="I2347" s="113">
        <v>6</v>
      </c>
      <c r="J2347" s="113">
        <v>18.77</v>
      </c>
      <c r="K2347" s="113">
        <v>2.5</v>
      </c>
    </row>
    <row r="2348" spans="2:11" x14ac:dyDescent="0.25">
      <c r="B2348" s="185"/>
      <c r="C2348" s="113">
        <v>256.58</v>
      </c>
      <c r="D2348" s="113">
        <v>9618</v>
      </c>
      <c r="E2348" s="113">
        <v>2345</v>
      </c>
      <c r="F2348" s="113">
        <v>195</v>
      </c>
      <c r="G2348" s="113">
        <v>192.7</v>
      </c>
      <c r="H2348" s="113">
        <v>191.1</v>
      </c>
      <c r="I2348" s="113">
        <v>3.1</v>
      </c>
      <c r="J2348" s="113">
        <v>15.51</v>
      </c>
      <c r="K2348" s="113">
        <v>2.5</v>
      </c>
    </row>
    <row r="2349" spans="2:11" x14ac:dyDescent="0.25">
      <c r="B2349" s="185"/>
      <c r="C2349" s="113">
        <v>256.59899999999999</v>
      </c>
      <c r="D2349" s="113">
        <v>9619</v>
      </c>
      <c r="E2349" s="113">
        <v>2346</v>
      </c>
      <c r="F2349" s="113">
        <v>195</v>
      </c>
      <c r="G2349" s="113">
        <v>193.1</v>
      </c>
      <c r="H2349" s="113">
        <v>191.2</v>
      </c>
      <c r="I2349" s="113">
        <v>2.2000000000000002</v>
      </c>
      <c r="J2349" s="113">
        <v>13.25</v>
      </c>
      <c r="K2349" s="113">
        <v>2.5</v>
      </c>
    </row>
    <row r="2350" spans="2:11" x14ac:dyDescent="0.25">
      <c r="B2350" s="185"/>
      <c r="C2350" s="113">
        <v>256.61700000000002</v>
      </c>
      <c r="D2350" s="113">
        <v>9620</v>
      </c>
      <c r="E2350" s="113">
        <v>2347</v>
      </c>
      <c r="F2350" s="113">
        <v>195</v>
      </c>
      <c r="G2350" s="113">
        <v>193.2</v>
      </c>
      <c r="H2350" s="113">
        <v>191.4</v>
      </c>
      <c r="I2350" s="113">
        <v>1.5</v>
      </c>
      <c r="J2350" s="113">
        <v>15.91</v>
      </c>
      <c r="K2350" s="113">
        <v>2.5</v>
      </c>
    </row>
    <row r="2351" spans="2:11" x14ac:dyDescent="0.25">
      <c r="B2351" s="185"/>
      <c r="C2351" s="113">
        <v>256.63600000000002</v>
      </c>
      <c r="D2351" s="113">
        <v>9621</v>
      </c>
      <c r="E2351" s="113">
        <v>2348</v>
      </c>
      <c r="F2351" s="113">
        <v>195</v>
      </c>
      <c r="G2351" s="113">
        <v>192.8</v>
      </c>
      <c r="H2351" s="113">
        <v>191.7</v>
      </c>
      <c r="I2351" s="113">
        <v>1.6</v>
      </c>
      <c r="J2351" s="113">
        <v>18.09</v>
      </c>
      <c r="K2351" s="113">
        <v>2.5</v>
      </c>
    </row>
    <row r="2352" spans="2:11" x14ac:dyDescent="0.25">
      <c r="B2352" s="185"/>
      <c r="C2352" s="113">
        <v>256.654</v>
      </c>
      <c r="D2352" s="113">
        <v>9622</v>
      </c>
      <c r="E2352" s="113">
        <v>2349</v>
      </c>
      <c r="F2352" s="113">
        <v>195</v>
      </c>
      <c r="G2352" s="113">
        <v>193.2</v>
      </c>
      <c r="H2352" s="113">
        <v>191.9</v>
      </c>
      <c r="I2352" s="113">
        <v>2.7</v>
      </c>
      <c r="J2352" s="113">
        <v>17.03</v>
      </c>
      <c r="K2352" s="113">
        <v>1.9</v>
      </c>
    </row>
    <row r="2353" spans="2:11" x14ac:dyDescent="0.25">
      <c r="B2353" s="185"/>
      <c r="C2353" s="113">
        <v>256.673</v>
      </c>
      <c r="D2353" s="113">
        <v>9623</v>
      </c>
      <c r="E2353" s="113">
        <v>2350</v>
      </c>
      <c r="F2353" s="113">
        <v>194</v>
      </c>
      <c r="G2353" s="113">
        <v>194</v>
      </c>
      <c r="H2353" s="113">
        <v>192.1</v>
      </c>
      <c r="I2353" s="113">
        <v>3.5</v>
      </c>
      <c r="J2353" s="113">
        <v>13.89</v>
      </c>
      <c r="K2353" s="113">
        <v>1.1000000000000001</v>
      </c>
    </row>
    <row r="2354" spans="2:11" x14ac:dyDescent="0.25">
      <c r="B2354" s="185"/>
      <c r="C2354" s="113">
        <v>256.69099999999997</v>
      </c>
      <c r="D2354" s="113">
        <v>9624</v>
      </c>
      <c r="E2354" s="113">
        <v>2351</v>
      </c>
      <c r="F2354" s="113">
        <v>195</v>
      </c>
      <c r="G2354" s="113">
        <v>194</v>
      </c>
      <c r="H2354" s="113">
        <v>192.4</v>
      </c>
      <c r="I2354" s="113">
        <v>3.6</v>
      </c>
      <c r="J2354" s="113">
        <v>16.16</v>
      </c>
      <c r="K2354" s="113">
        <v>0.5</v>
      </c>
    </row>
    <row r="2355" spans="2:11" x14ac:dyDescent="0.25">
      <c r="B2355" s="185"/>
      <c r="C2355" s="113">
        <v>256.70999999999998</v>
      </c>
      <c r="D2355" s="113">
        <v>9625</v>
      </c>
      <c r="E2355" s="113">
        <v>2352</v>
      </c>
      <c r="F2355" s="113">
        <v>196</v>
      </c>
      <c r="G2355" s="113">
        <v>193.5</v>
      </c>
      <c r="H2355" s="113">
        <v>192.6</v>
      </c>
      <c r="I2355" s="113">
        <v>3.7</v>
      </c>
      <c r="J2355" s="113">
        <v>17.559999999999999</v>
      </c>
      <c r="K2355" s="113">
        <v>-0.3</v>
      </c>
    </row>
    <row r="2356" spans="2:11" x14ac:dyDescent="0.25">
      <c r="B2356" s="185"/>
      <c r="C2356" s="113">
        <v>256.72800000000001</v>
      </c>
      <c r="D2356" s="113">
        <v>9626</v>
      </c>
      <c r="E2356" s="113">
        <v>2353</v>
      </c>
      <c r="F2356" s="113">
        <v>196</v>
      </c>
      <c r="G2356" s="113">
        <v>193.5</v>
      </c>
      <c r="H2356" s="113">
        <v>192.7</v>
      </c>
      <c r="I2356" s="113">
        <v>4</v>
      </c>
      <c r="J2356" s="113">
        <v>16.98</v>
      </c>
      <c r="K2356" s="113">
        <v>-0.5</v>
      </c>
    </row>
    <row r="2357" spans="2:11" x14ac:dyDescent="0.25">
      <c r="B2357" s="185"/>
      <c r="C2357" s="113">
        <v>256.74700000000001</v>
      </c>
      <c r="D2357" s="113">
        <v>9627</v>
      </c>
      <c r="E2357" s="113">
        <v>2354</v>
      </c>
      <c r="F2357" s="113">
        <v>195</v>
      </c>
      <c r="G2357" s="113">
        <v>193.7</v>
      </c>
      <c r="H2357" s="113">
        <v>192.9</v>
      </c>
      <c r="I2357" s="113">
        <v>4.3</v>
      </c>
      <c r="J2357" s="113">
        <v>12.92</v>
      </c>
      <c r="K2357" s="113">
        <v>0.3</v>
      </c>
    </row>
    <row r="2358" spans="2:11" x14ac:dyDescent="0.25">
      <c r="B2358" s="185"/>
      <c r="C2358" s="113">
        <v>256.76600000000002</v>
      </c>
      <c r="D2358" s="113">
        <v>9628</v>
      </c>
      <c r="E2358" s="113">
        <v>2355</v>
      </c>
      <c r="F2358" s="113">
        <v>195</v>
      </c>
      <c r="G2358" s="113">
        <v>194.1</v>
      </c>
      <c r="H2358" s="113">
        <v>193.1</v>
      </c>
      <c r="I2358" s="113">
        <v>4.2</v>
      </c>
      <c r="J2358" s="113">
        <v>11.13</v>
      </c>
      <c r="K2358" s="113">
        <v>1.1000000000000001</v>
      </c>
    </row>
    <row r="2359" spans="2:11" x14ac:dyDescent="0.25">
      <c r="B2359" s="185"/>
      <c r="C2359" s="113">
        <v>256.78399999999999</v>
      </c>
      <c r="D2359" s="113">
        <v>9629</v>
      </c>
      <c r="E2359" s="113">
        <v>2356</v>
      </c>
      <c r="F2359" s="113">
        <v>196</v>
      </c>
      <c r="G2359" s="113">
        <v>195</v>
      </c>
      <c r="H2359" s="113">
        <v>193.4</v>
      </c>
      <c r="I2359" s="113">
        <v>3.1</v>
      </c>
      <c r="J2359" s="113">
        <v>11.04</v>
      </c>
      <c r="K2359" s="113">
        <v>1.9</v>
      </c>
    </row>
    <row r="2360" spans="2:11" x14ac:dyDescent="0.25">
      <c r="B2360" s="185"/>
      <c r="C2360" s="113">
        <v>256.803</v>
      </c>
      <c r="D2360" s="113">
        <v>9630</v>
      </c>
      <c r="E2360" s="113">
        <v>2357</v>
      </c>
      <c r="F2360" s="113">
        <v>197</v>
      </c>
      <c r="G2360" s="113">
        <v>195.8</v>
      </c>
      <c r="H2360" s="113">
        <v>193.6</v>
      </c>
      <c r="I2360" s="113">
        <v>2</v>
      </c>
      <c r="J2360" s="113">
        <v>14.24</v>
      </c>
      <c r="K2360" s="113">
        <v>2.5</v>
      </c>
    </row>
    <row r="2361" spans="2:11" x14ac:dyDescent="0.25">
      <c r="B2361" s="185"/>
      <c r="C2361" s="113">
        <v>256.82100000000003</v>
      </c>
      <c r="D2361" s="113">
        <v>9631</v>
      </c>
      <c r="E2361" s="113">
        <v>2358</v>
      </c>
      <c r="F2361" s="113">
        <v>197</v>
      </c>
      <c r="G2361" s="113">
        <v>195.9</v>
      </c>
      <c r="H2361" s="113">
        <v>193.8</v>
      </c>
      <c r="I2361" s="113">
        <v>1.7</v>
      </c>
      <c r="J2361" s="113">
        <v>16.25</v>
      </c>
      <c r="K2361" s="113">
        <v>2.1</v>
      </c>
    </row>
    <row r="2362" spans="2:11" x14ac:dyDescent="0.25">
      <c r="B2362" s="185"/>
      <c r="C2362" s="113">
        <v>256.839</v>
      </c>
      <c r="D2362" s="113">
        <v>9632</v>
      </c>
      <c r="E2362" s="113">
        <v>2359</v>
      </c>
      <c r="F2362" s="113">
        <v>197</v>
      </c>
      <c r="G2362" s="113">
        <v>195.9</v>
      </c>
      <c r="H2362" s="113">
        <v>193.9</v>
      </c>
      <c r="I2362" s="113">
        <v>2.1</v>
      </c>
      <c r="J2362" s="113">
        <v>18.66</v>
      </c>
      <c r="K2362" s="113">
        <v>1.9</v>
      </c>
    </row>
    <row r="2363" spans="2:11" x14ac:dyDescent="0.25">
      <c r="B2363" s="185"/>
      <c r="C2363" s="113">
        <v>256.858</v>
      </c>
      <c r="D2363" s="113">
        <v>9633</v>
      </c>
      <c r="E2363" s="113">
        <v>2360</v>
      </c>
      <c r="F2363" s="113">
        <v>197</v>
      </c>
      <c r="G2363" s="113">
        <v>195.8</v>
      </c>
      <c r="H2363" s="113">
        <v>194.1</v>
      </c>
      <c r="I2363" s="113">
        <v>4.9000000000000004</v>
      </c>
      <c r="J2363" s="113">
        <v>20.88</v>
      </c>
      <c r="K2363" s="113">
        <v>1.6</v>
      </c>
    </row>
    <row r="2364" spans="2:11" x14ac:dyDescent="0.25">
      <c r="B2364" s="185"/>
      <c r="C2364" s="113">
        <v>256.87599999999998</v>
      </c>
      <c r="D2364" s="113">
        <v>9634</v>
      </c>
      <c r="E2364" s="113">
        <v>2361</v>
      </c>
      <c r="F2364" s="113">
        <v>196</v>
      </c>
      <c r="G2364" s="113">
        <v>195.6</v>
      </c>
      <c r="H2364" s="113">
        <v>194.3</v>
      </c>
      <c r="I2364" s="113">
        <v>7.8</v>
      </c>
      <c r="J2364" s="113">
        <v>20.36</v>
      </c>
      <c r="K2364" s="113">
        <v>1.3</v>
      </c>
    </row>
    <row r="2365" spans="2:11" x14ac:dyDescent="0.25">
      <c r="B2365" s="185"/>
      <c r="C2365" s="113">
        <v>256.89400000000001</v>
      </c>
      <c r="D2365" s="113">
        <v>9635</v>
      </c>
      <c r="E2365" s="113">
        <v>2362</v>
      </c>
      <c r="F2365" s="113">
        <v>197</v>
      </c>
      <c r="G2365" s="113">
        <v>195.8</v>
      </c>
      <c r="H2365" s="113">
        <v>194.4</v>
      </c>
      <c r="I2365" s="113">
        <v>8.6999999999999993</v>
      </c>
      <c r="J2365" s="113">
        <v>18.14</v>
      </c>
      <c r="K2365" s="113">
        <v>1.7</v>
      </c>
    </row>
    <row r="2366" spans="2:11" x14ac:dyDescent="0.25">
      <c r="B2366" s="185"/>
      <c r="C2366" s="113">
        <v>256.91300000000001</v>
      </c>
      <c r="D2366" s="113">
        <v>9636</v>
      </c>
      <c r="E2366" s="113">
        <v>2363</v>
      </c>
      <c r="F2366" s="113">
        <v>198</v>
      </c>
      <c r="G2366" s="113">
        <v>196.3</v>
      </c>
      <c r="H2366" s="113">
        <v>194.6</v>
      </c>
      <c r="I2366" s="113">
        <v>8</v>
      </c>
      <c r="J2366" s="113">
        <v>15.93</v>
      </c>
      <c r="K2366" s="113">
        <v>2.5</v>
      </c>
    </row>
    <row r="2367" spans="2:11" x14ac:dyDescent="0.25">
      <c r="B2367" s="185"/>
      <c r="C2367" s="113">
        <v>256.93099999999998</v>
      </c>
      <c r="D2367" s="113">
        <v>9637</v>
      </c>
      <c r="E2367" s="113">
        <v>2364</v>
      </c>
      <c r="F2367" s="113">
        <v>198</v>
      </c>
      <c r="G2367" s="113">
        <v>196.8</v>
      </c>
      <c r="H2367" s="113">
        <v>194.8</v>
      </c>
      <c r="I2367" s="113">
        <v>5.7</v>
      </c>
      <c r="J2367" s="113">
        <v>15.1</v>
      </c>
      <c r="K2367" s="113">
        <v>3.3</v>
      </c>
    </row>
    <row r="2368" spans="2:11" x14ac:dyDescent="0.25">
      <c r="B2368" s="185"/>
      <c r="C2368" s="113">
        <v>256.94900000000001</v>
      </c>
      <c r="D2368" s="113">
        <v>9638</v>
      </c>
      <c r="E2368" s="113">
        <v>2365</v>
      </c>
      <c r="F2368" s="113">
        <v>198</v>
      </c>
      <c r="G2368" s="113">
        <v>197.1</v>
      </c>
      <c r="H2368" s="113">
        <v>194.9</v>
      </c>
      <c r="I2368" s="113">
        <v>5.0999999999999996</v>
      </c>
      <c r="J2368" s="113">
        <v>14.46</v>
      </c>
      <c r="K2368" s="113">
        <v>3.7</v>
      </c>
    </row>
    <row r="2369" spans="2:11" x14ac:dyDescent="0.25">
      <c r="B2369" s="185"/>
      <c r="C2369" s="113">
        <v>256.96699999999998</v>
      </c>
      <c r="D2369" s="113">
        <v>9639</v>
      </c>
      <c r="E2369" s="113">
        <v>2366</v>
      </c>
      <c r="F2369" s="113">
        <v>198</v>
      </c>
      <c r="G2369" s="113">
        <v>197.7</v>
      </c>
      <c r="H2369" s="113">
        <v>195</v>
      </c>
      <c r="I2369" s="113">
        <v>4.4000000000000004</v>
      </c>
      <c r="J2369" s="113">
        <v>16.739999999999998</v>
      </c>
      <c r="K2369" s="113">
        <v>4.4000000000000004</v>
      </c>
    </row>
    <row r="2370" spans="2:11" x14ac:dyDescent="0.25">
      <c r="B2370" s="185"/>
      <c r="C2370" s="113">
        <v>256.98599999999999</v>
      </c>
      <c r="D2370" s="113">
        <v>9640</v>
      </c>
      <c r="E2370" s="113">
        <v>2367</v>
      </c>
      <c r="F2370" s="113">
        <v>198</v>
      </c>
      <c r="G2370" s="113">
        <v>198.3</v>
      </c>
      <c r="H2370" s="113">
        <v>195.2</v>
      </c>
      <c r="I2370" s="113">
        <v>5.2</v>
      </c>
      <c r="J2370" s="113">
        <v>19.25</v>
      </c>
      <c r="K2370" s="113">
        <v>4.4000000000000004</v>
      </c>
    </row>
    <row r="2371" spans="2:11" x14ac:dyDescent="0.25">
      <c r="B2371" s="185"/>
      <c r="C2371" s="113">
        <v>257.00400000000002</v>
      </c>
      <c r="D2371" s="113">
        <v>9642</v>
      </c>
      <c r="E2371" s="113">
        <v>2368</v>
      </c>
      <c r="F2371" s="113">
        <v>198</v>
      </c>
      <c r="G2371" s="113">
        <v>198.7</v>
      </c>
      <c r="H2371" s="113">
        <v>195.4</v>
      </c>
      <c r="I2371" s="113">
        <v>6.1</v>
      </c>
      <c r="J2371" s="113">
        <v>18.88</v>
      </c>
      <c r="K2371" s="113">
        <v>4.4000000000000004</v>
      </c>
    </row>
    <row r="2372" spans="2:11" x14ac:dyDescent="0.25">
      <c r="B2372" s="185"/>
      <c r="C2372" s="113">
        <v>257.02199999999999</v>
      </c>
      <c r="D2372" s="113">
        <v>9642</v>
      </c>
      <c r="E2372" s="113">
        <v>2369</v>
      </c>
      <c r="F2372" s="113">
        <v>199</v>
      </c>
      <c r="G2372" s="113">
        <v>198.6</v>
      </c>
      <c r="H2372" s="113">
        <v>195.5</v>
      </c>
      <c r="I2372" s="113">
        <v>6.6</v>
      </c>
      <c r="J2372" s="113">
        <v>20.99</v>
      </c>
      <c r="K2372" s="113">
        <v>4.4000000000000004</v>
      </c>
    </row>
    <row r="2373" spans="2:11" x14ac:dyDescent="0.25">
      <c r="B2373" s="185"/>
      <c r="C2373" s="113">
        <v>257.04000000000002</v>
      </c>
      <c r="D2373" s="113">
        <v>9643</v>
      </c>
      <c r="E2373" s="113">
        <v>2370</v>
      </c>
      <c r="F2373" s="113">
        <v>199</v>
      </c>
      <c r="G2373" s="113">
        <v>198.6</v>
      </c>
      <c r="H2373" s="113">
        <v>195.7</v>
      </c>
      <c r="I2373" s="113">
        <v>6.9</v>
      </c>
      <c r="J2373" s="113">
        <v>25.23</v>
      </c>
      <c r="K2373" s="113">
        <v>4.5</v>
      </c>
    </row>
    <row r="2374" spans="2:11" x14ac:dyDescent="0.25">
      <c r="B2374" s="185"/>
      <c r="C2374" s="113">
        <v>257.05799999999999</v>
      </c>
      <c r="D2374" s="113">
        <v>9644</v>
      </c>
      <c r="E2374" s="113">
        <v>2371</v>
      </c>
      <c r="F2374" s="113">
        <v>199</v>
      </c>
      <c r="G2374" s="113">
        <v>198.7</v>
      </c>
      <c r="H2374" s="113">
        <v>195.8</v>
      </c>
      <c r="I2374" s="113">
        <v>7.3</v>
      </c>
      <c r="J2374" s="113">
        <v>24.35</v>
      </c>
      <c r="K2374" s="113">
        <v>4.9000000000000004</v>
      </c>
    </row>
    <row r="2375" spans="2:11" x14ac:dyDescent="0.25">
      <c r="B2375" s="185"/>
      <c r="C2375" s="113">
        <v>257.07600000000002</v>
      </c>
      <c r="D2375" s="113">
        <v>9645</v>
      </c>
      <c r="E2375" s="113">
        <v>2372</v>
      </c>
      <c r="F2375" s="113">
        <v>199</v>
      </c>
      <c r="G2375" s="113">
        <v>198.9</v>
      </c>
      <c r="H2375" s="113">
        <v>196.1</v>
      </c>
      <c r="I2375" s="113">
        <v>7.4</v>
      </c>
      <c r="J2375" s="113">
        <v>23.41</v>
      </c>
      <c r="K2375" s="113">
        <v>5.7</v>
      </c>
    </row>
    <row r="2376" spans="2:11" x14ac:dyDescent="0.25">
      <c r="B2376" s="185"/>
      <c r="C2376" s="113">
        <v>257.09399999999999</v>
      </c>
      <c r="D2376" s="113">
        <v>9646</v>
      </c>
      <c r="E2376" s="113">
        <v>2373</v>
      </c>
      <c r="F2376" s="113">
        <v>199</v>
      </c>
      <c r="G2376" s="113">
        <v>198.6</v>
      </c>
      <c r="H2376" s="113">
        <v>196.4</v>
      </c>
      <c r="I2376" s="113">
        <v>7</v>
      </c>
      <c r="J2376" s="113">
        <v>23.26</v>
      </c>
      <c r="K2376" s="113">
        <v>6.5</v>
      </c>
    </row>
    <row r="2377" spans="2:11" x14ac:dyDescent="0.25">
      <c r="B2377" s="185"/>
      <c r="C2377" s="113">
        <v>257.11200000000002</v>
      </c>
      <c r="D2377" s="113">
        <v>9647</v>
      </c>
      <c r="E2377" s="113">
        <v>2374</v>
      </c>
      <c r="F2377" s="113">
        <v>200</v>
      </c>
      <c r="G2377" s="113">
        <v>198.1</v>
      </c>
      <c r="H2377" s="113">
        <v>196.6</v>
      </c>
      <c r="I2377" s="113">
        <v>6.4</v>
      </c>
      <c r="J2377" s="113">
        <v>21.65</v>
      </c>
      <c r="K2377" s="113">
        <v>7.1</v>
      </c>
    </row>
    <row r="2378" spans="2:11" x14ac:dyDescent="0.25">
      <c r="B2378" s="185"/>
      <c r="C2378" s="113">
        <v>257.13</v>
      </c>
      <c r="D2378" s="113">
        <v>9648</v>
      </c>
      <c r="E2378" s="113">
        <v>2375</v>
      </c>
      <c r="F2378" s="113">
        <v>201</v>
      </c>
      <c r="G2378" s="113">
        <v>198.1</v>
      </c>
      <c r="H2378" s="113">
        <v>196.9</v>
      </c>
      <c r="I2378" s="113">
        <v>5.3</v>
      </c>
      <c r="J2378" s="113">
        <v>16.13</v>
      </c>
      <c r="K2378" s="113">
        <v>6.1</v>
      </c>
    </row>
    <row r="2379" spans="2:11" x14ac:dyDescent="0.25">
      <c r="B2379" s="185"/>
      <c r="C2379" s="113">
        <v>257.14800000000002</v>
      </c>
      <c r="D2379" s="113">
        <v>9649</v>
      </c>
      <c r="E2379" s="113">
        <v>2376</v>
      </c>
      <c r="F2379" s="113">
        <v>201</v>
      </c>
      <c r="G2379" s="113">
        <v>198.4</v>
      </c>
      <c r="H2379" s="113">
        <v>197</v>
      </c>
      <c r="I2379" s="113">
        <v>3.8</v>
      </c>
      <c r="J2379" s="113">
        <v>13.93</v>
      </c>
      <c r="K2379" s="113">
        <v>5.2</v>
      </c>
    </row>
    <row r="2380" spans="2:11" x14ac:dyDescent="0.25">
      <c r="B2380" s="185"/>
      <c r="C2380" s="113">
        <v>257.166</v>
      </c>
      <c r="D2380" s="113">
        <v>9650</v>
      </c>
      <c r="E2380" s="113">
        <v>2377</v>
      </c>
      <c r="F2380" s="113">
        <v>202</v>
      </c>
      <c r="G2380" s="113">
        <v>198.6</v>
      </c>
      <c r="H2380" s="113">
        <v>197.2</v>
      </c>
      <c r="I2380" s="113">
        <v>1.3</v>
      </c>
      <c r="J2380" s="113">
        <v>9.18</v>
      </c>
      <c r="K2380" s="113">
        <v>3.3</v>
      </c>
    </row>
    <row r="2381" spans="2:11" x14ac:dyDescent="0.25">
      <c r="B2381" s="185"/>
      <c r="C2381" s="113">
        <v>257.18400000000003</v>
      </c>
      <c r="D2381" s="113">
        <v>9651</v>
      </c>
      <c r="E2381" s="113">
        <v>2378</v>
      </c>
      <c r="F2381" s="113">
        <v>203</v>
      </c>
      <c r="G2381" s="113">
        <v>198.5</v>
      </c>
      <c r="H2381" s="113">
        <v>197.4</v>
      </c>
      <c r="I2381" s="113">
        <v>-0.8</v>
      </c>
      <c r="J2381" s="113">
        <v>9.0399999999999991</v>
      </c>
      <c r="K2381" s="113">
        <v>1.5</v>
      </c>
    </row>
    <row r="2382" spans="2:11" x14ac:dyDescent="0.25">
      <c r="B2382" s="185"/>
      <c r="C2382" s="113">
        <v>257.202</v>
      </c>
      <c r="D2382" s="113">
        <v>9653</v>
      </c>
      <c r="E2382" s="113">
        <v>2379</v>
      </c>
      <c r="F2382" s="113">
        <v>204</v>
      </c>
      <c r="G2382" s="113">
        <v>198.6</v>
      </c>
      <c r="H2382" s="113">
        <v>197.6</v>
      </c>
      <c r="I2382" s="113">
        <v>-0.9</v>
      </c>
      <c r="J2382" s="113">
        <v>8.08</v>
      </c>
      <c r="K2382" s="113">
        <v>0.3</v>
      </c>
    </row>
    <row r="2383" spans="2:11" x14ac:dyDescent="0.25">
      <c r="B2383" s="185"/>
      <c r="C2383" s="113">
        <v>257.221</v>
      </c>
      <c r="D2383" s="113">
        <v>9653</v>
      </c>
      <c r="E2383" s="113">
        <v>2380</v>
      </c>
      <c r="F2383" s="113">
        <v>202</v>
      </c>
      <c r="G2383" s="113">
        <v>199.3</v>
      </c>
      <c r="H2383" s="113">
        <v>197.9</v>
      </c>
      <c r="I2383" s="113">
        <v>0.7</v>
      </c>
      <c r="J2383" s="113">
        <v>6.48</v>
      </c>
      <c r="K2383" s="113">
        <v>1.5</v>
      </c>
    </row>
    <row r="2384" spans="2:11" x14ac:dyDescent="0.25">
      <c r="B2384" s="185"/>
      <c r="C2384" s="113">
        <v>257.23899999999998</v>
      </c>
      <c r="D2384" s="113">
        <v>9654</v>
      </c>
      <c r="E2384" s="113">
        <v>2381</v>
      </c>
      <c r="F2384" s="113">
        <v>202</v>
      </c>
      <c r="G2384" s="113">
        <v>199.7</v>
      </c>
      <c r="H2384" s="113">
        <v>198</v>
      </c>
      <c r="I2384" s="113">
        <v>2.2000000000000002</v>
      </c>
      <c r="J2384" s="113">
        <v>5.61</v>
      </c>
      <c r="K2384" s="113">
        <v>2.1</v>
      </c>
    </row>
    <row r="2385" spans="2:11" x14ac:dyDescent="0.25">
      <c r="B2385" s="185"/>
      <c r="C2385" s="113">
        <v>257.25700000000001</v>
      </c>
      <c r="D2385" s="113">
        <v>9655</v>
      </c>
      <c r="E2385" s="113">
        <v>2382</v>
      </c>
      <c r="F2385" s="113">
        <v>201</v>
      </c>
      <c r="G2385" s="113">
        <v>200.3</v>
      </c>
      <c r="H2385" s="113">
        <v>198.2</v>
      </c>
      <c r="I2385" s="113">
        <v>3.5</v>
      </c>
      <c r="J2385" s="113">
        <v>6.96</v>
      </c>
      <c r="K2385" s="113">
        <v>3.3</v>
      </c>
    </row>
    <row r="2386" spans="2:11" x14ac:dyDescent="0.25">
      <c r="B2386" s="185"/>
      <c r="C2386" s="113">
        <v>257.274</v>
      </c>
      <c r="D2386" s="113">
        <v>9656</v>
      </c>
      <c r="E2386" s="113">
        <v>2383</v>
      </c>
      <c r="F2386" s="113">
        <v>202</v>
      </c>
      <c r="G2386" s="113">
        <v>200.9</v>
      </c>
      <c r="H2386" s="113">
        <v>198.5</v>
      </c>
      <c r="I2386" s="113">
        <v>3.9</v>
      </c>
      <c r="J2386" s="113">
        <v>14.74</v>
      </c>
      <c r="K2386" s="113">
        <v>4.5999999999999996</v>
      </c>
    </row>
    <row r="2387" spans="2:11" x14ac:dyDescent="0.25">
      <c r="B2387" s="185"/>
      <c r="C2387" s="113">
        <v>257.29300000000001</v>
      </c>
      <c r="D2387" s="113">
        <v>9657</v>
      </c>
      <c r="E2387" s="113">
        <v>2384</v>
      </c>
      <c r="F2387" s="113">
        <v>202</v>
      </c>
      <c r="G2387" s="113">
        <v>201.1</v>
      </c>
      <c r="H2387" s="113">
        <v>198.8</v>
      </c>
      <c r="I2387" s="113">
        <v>4.0999999999999996</v>
      </c>
      <c r="J2387" s="113">
        <v>22.32</v>
      </c>
      <c r="K2387" s="113">
        <v>0.6</v>
      </c>
    </row>
    <row r="2388" spans="2:11" x14ac:dyDescent="0.25">
      <c r="B2388" s="185"/>
      <c r="C2388" s="113">
        <v>257.31099999999998</v>
      </c>
      <c r="D2388" s="113">
        <v>9658</v>
      </c>
      <c r="E2388" s="113">
        <v>2385</v>
      </c>
      <c r="F2388" s="113">
        <v>202</v>
      </c>
      <c r="G2388" s="113">
        <v>201.2</v>
      </c>
      <c r="H2388" s="113">
        <v>199</v>
      </c>
      <c r="I2388" s="113">
        <v>4.8</v>
      </c>
      <c r="J2388" s="113">
        <v>21.9</v>
      </c>
      <c r="K2388" s="113">
        <v>-5.8</v>
      </c>
    </row>
    <row r="2389" spans="2:11" x14ac:dyDescent="0.25">
      <c r="B2389" s="185"/>
      <c r="C2389" s="113">
        <v>257.32799999999997</v>
      </c>
      <c r="D2389" s="113">
        <v>9659</v>
      </c>
      <c r="E2389" s="113">
        <v>2386</v>
      </c>
      <c r="F2389" s="113">
        <v>202</v>
      </c>
      <c r="G2389" s="113">
        <v>201.3</v>
      </c>
      <c r="H2389" s="113">
        <v>199.1</v>
      </c>
      <c r="I2389" s="113">
        <v>4.8</v>
      </c>
      <c r="J2389" s="113">
        <v>20.87</v>
      </c>
      <c r="K2389" s="113">
        <v>-9</v>
      </c>
    </row>
    <row r="2390" spans="2:11" x14ac:dyDescent="0.25">
      <c r="B2390" s="185"/>
      <c r="C2390" s="113">
        <v>257.346</v>
      </c>
      <c r="D2390" s="113">
        <v>9660</v>
      </c>
      <c r="E2390" s="113">
        <v>2387</v>
      </c>
      <c r="F2390" s="113">
        <v>203</v>
      </c>
      <c r="G2390" s="113">
        <v>201.7</v>
      </c>
      <c r="H2390" s="113">
        <v>199.4</v>
      </c>
      <c r="I2390" s="113">
        <v>4.5</v>
      </c>
      <c r="J2390" s="113">
        <v>19.22</v>
      </c>
      <c r="K2390" s="113">
        <v>-15.4</v>
      </c>
    </row>
    <row r="2391" spans="2:11" x14ac:dyDescent="0.25">
      <c r="B2391" s="185"/>
      <c r="C2391" s="113">
        <v>257.36399999999998</v>
      </c>
      <c r="D2391" s="113">
        <v>9662</v>
      </c>
      <c r="E2391" s="113">
        <v>2388</v>
      </c>
      <c r="F2391" s="113">
        <v>204</v>
      </c>
      <c r="G2391" s="113">
        <v>202.1</v>
      </c>
      <c r="H2391" s="113">
        <v>199.7</v>
      </c>
      <c r="I2391" s="113">
        <v>3.1</v>
      </c>
      <c r="J2391" s="113">
        <v>17.13</v>
      </c>
      <c r="K2391" s="113">
        <v>-20.6</v>
      </c>
    </row>
    <row r="2392" spans="2:11" x14ac:dyDescent="0.25">
      <c r="B2392" s="185"/>
      <c r="C2392" s="113">
        <v>257.38200000000001</v>
      </c>
      <c r="D2392" s="113">
        <v>9663</v>
      </c>
      <c r="E2392" s="113">
        <v>2389</v>
      </c>
      <c r="F2392" s="113">
        <v>205</v>
      </c>
      <c r="G2392" s="113">
        <v>202.4</v>
      </c>
      <c r="H2392" s="113">
        <v>200.1</v>
      </c>
      <c r="I2392" s="113">
        <v>2.2999999999999998</v>
      </c>
      <c r="J2392" s="113">
        <v>16.489999999999998</v>
      </c>
      <c r="K2392" s="113">
        <v>-20.6</v>
      </c>
    </row>
    <row r="2393" spans="2:11" x14ac:dyDescent="0.25">
      <c r="B2393" s="185"/>
      <c r="C2393" s="113">
        <v>257.399</v>
      </c>
      <c r="D2393" s="113">
        <v>9663</v>
      </c>
      <c r="E2393" s="113">
        <v>2390</v>
      </c>
      <c r="F2393" s="113">
        <v>205</v>
      </c>
      <c r="G2393" s="113">
        <v>202.4</v>
      </c>
      <c r="H2393" s="113">
        <v>200.2</v>
      </c>
      <c r="I2393" s="113">
        <v>2</v>
      </c>
      <c r="J2393" s="113">
        <v>15.82</v>
      </c>
      <c r="K2393" s="113">
        <v>-20.6</v>
      </c>
    </row>
    <row r="2394" spans="2:11" x14ac:dyDescent="0.25">
      <c r="B2394" s="185"/>
      <c r="C2394" s="113">
        <v>257.41699999999997</v>
      </c>
      <c r="D2394" s="113">
        <v>9664</v>
      </c>
      <c r="E2394" s="113">
        <v>2391</v>
      </c>
      <c r="F2394" s="113">
        <v>205</v>
      </c>
      <c r="G2394" s="113">
        <v>202.9</v>
      </c>
      <c r="H2394" s="113">
        <v>200.5</v>
      </c>
      <c r="I2394" s="113">
        <v>2.8</v>
      </c>
      <c r="J2394" s="113">
        <v>15.04</v>
      </c>
      <c r="K2394" s="113">
        <v>-20.6</v>
      </c>
    </row>
    <row r="2395" spans="2:11" x14ac:dyDescent="0.25">
      <c r="B2395" s="185"/>
      <c r="C2395" s="113">
        <v>257.435</v>
      </c>
      <c r="D2395" s="113">
        <v>9665</v>
      </c>
      <c r="E2395" s="113">
        <v>2392</v>
      </c>
      <c r="F2395" s="113">
        <v>204</v>
      </c>
      <c r="G2395" s="113">
        <v>203.5</v>
      </c>
      <c r="H2395" s="113">
        <v>200.8</v>
      </c>
      <c r="I2395" s="113">
        <v>4.5999999999999996</v>
      </c>
      <c r="J2395" s="113">
        <v>13.81</v>
      </c>
      <c r="K2395" s="113">
        <v>-20.6</v>
      </c>
    </row>
    <row r="2396" spans="2:11" x14ac:dyDescent="0.25">
      <c r="B2396" s="185"/>
      <c r="C2396" s="113">
        <v>257.452</v>
      </c>
      <c r="D2396" s="113">
        <v>9666</v>
      </c>
      <c r="E2396" s="113">
        <v>2393</v>
      </c>
      <c r="F2396" s="113">
        <v>204</v>
      </c>
      <c r="G2396" s="113">
        <v>203.7</v>
      </c>
      <c r="H2396" s="113">
        <v>201</v>
      </c>
      <c r="I2396" s="113">
        <v>6.4</v>
      </c>
      <c r="J2396" s="113">
        <v>18.920000000000002</v>
      </c>
      <c r="K2396" s="113">
        <v>-14.4</v>
      </c>
    </row>
    <row r="2397" spans="2:11" x14ac:dyDescent="0.25">
      <c r="B2397" s="185"/>
      <c r="C2397" s="113">
        <v>257.47000000000003</v>
      </c>
      <c r="D2397" s="113">
        <v>9667</v>
      </c>
      <c r="E2397" s="113">
        <v>2394</v>
      </c>
      <c r="F2397" s="113">
        <v>204</v>
      </c>
      <c r="G2397" s="113">
        <v>203.5</v>
      </c>
      <c r="H2397" s="113">
        <v>201.2</v>
      </c>
      <c r="I2397" s="113">
        <v>8.1999999999999993</v>
      </c>
      <c r="J2397" s="113">
        <v>22.73</v>
      </c>
      <c r="K2397" s="113">
        <v>-5.4</v>
      </c>
    </row>
    <row r="2398" spans="2:11" x14ac:dyDescent="0.25">
      <c r="B2398" s="185"/>
      <c r="C2398" s="113">
        <v>257.488</v>
      </c>
      <c r="D2398" s="113">
        <v>9668</v>
      </c>
      <c r="E2398" s="113">
        <v>2395</v>
      </c>
      <c r="F2398" s="113">
        <v>204</v>
      </c>
      <c r="G2398" s="113">
        <v>203.5</v>
      </c>
      <c r="H2398" s="113">
        <v>201.3</v>
      </c>
      <c r="I2398" s="113">
        <v>9.1999999999999993</v>
      </c>
      <c r="J2398" s="113">
        <v>22.57</v>
      </c>
      <c r="K2398" s="113">
        <v>-0.9</v>
      </c>
    </row>
    <row r="2399" spans="2:11" x14ac:dyDescent="0.25">
      <c r="B2399" s="185"/>
      <c r="C2399" s="113">
        <v>257.50599999999997</v>
      </c>
      <c r="D2399" s="113">
        <v>9669</v>
      </c>
      <c r="E2399" s="113">
        <v>2396</v>
      </c>
      <c r="F2399" s="113">
        <v>205</v>
      </c>
      <c r="G2399" s="113">
        <v>203.9</v>
      </c>
      <c r="H2399" s="113">
        <v>201.5</v>
      </c>
      <c r="I2399" s="113">
        <v>9.8000000000000007</v>
      </c>
      <c r="J2399" s="113">
        <v>19.82</v>
      </c>
      <c r="K2399" s="113">
        <v>8.1</v>
      </c>
    </row>
    <row r="2400" spans="2:11" x14ac:dyDescent="0.25">
      <c r="B2400" s="185"/>
      <c r="C2400" s="113">
        <v>257.52300000000002</v>
      </c>
      <c r="D2400" s="113">
        <v>9671</v>
      </c>
      <c r="E2400" s="113">
        <v>2397</v>
      </c>
      <c r="F2400" s="113">
        <v>205</v>
      </c>
      <c r="G2400" s="113">
        <v>204.1</v>
      </c>
      <c r="H2400" s="113">
        <v>201.6</v>
      </c>
      <c r="I2400" s="113">
        <v>9.5</v>
      </c>
      <c r="J2400" s="113">
        <v>19.170000000000002</v>
      </c>
      <c r="K2400" s="113">
        <v>13.6</v>
      </c>
    </row>
    <row r="2401" spans="2:11" x14ac:dyDescent="0.25">
      <c r="B2401" s="185"/>
      <c r="C2401" s="113">
        <v>257.541</v>
      </c>
      <c r="D2401" s="113">
        <v>9672</v>
      </c>
      <c r="E2401" s="113">
        <v>2398</v>
      </c>
      <c r="F2401" s="113">
        <v>206</v>
      </c>
      <c r="G2401" s="113">
        <v>204.2</v>
      </c>
      <c r="H2401" s="113">
        <v>201.8</v>
      </c>
      <c r="I2401" s="113">
        <v>8.1</v>
      </c>
      <c r="J2401" s="113">
        <v>17.8</v>
      </c>
      <c r="K2401" s="113">
        <v>4.2</v>
      </c>
    </row>
    <row r="2402" spans="2:11" x14ac:dyDescent="0.25">
      <c r="B2402" s="185"/>
      <c r="C2402" s="113">
        <v>257.55799999999999</v>
      </c>
      <c r="D2402" s="113">
        <v>9672</v>
      </c>
      <c r="E2402" s="113">
        <v>2399</v>
      </c>
      <c r="F2402" s="113">
        <v>206</v>
      </c>
      <c r="G2402" s="113">
        <v>204.2</v>
      </c>
      <c r="H2402" s="113">
        <v>202</v>
      </c>
      <c r="I2402" s="113">
        <v>7.5</v>
      </c>
      <c r="J2402" s="113">
        <v>18.13</v>
      </c>
      <c r="K2402" s="113">
        <v>-0.5</v>
      </c>
    </row>
    <row r="2403" spans="2:11" ht="15.75" thickBot="1" x14ac:dyDescent="0.3">
      <c r="B2403" s="186"/>
      <c r="C2403" s="115">
        <v>257.57600000000002</v>
      </c>
      <c r="D2403" s="115">
        <v>9673</v>
      </c>
      <c r="E2403" s="115">
        <v>2400</v>
      </c>
      <c r="F2403" s="115">
        <v>206</v>
      </c>
      <c r="G2403" s="115">
        <v>204.4</v>
      </c>
      <c r="H2403" s="115">
        <v>202.2</v>
      </c>
      <c r="I2403" s="115">
        <v>6.5</v>
      </c>
      <c r="J2403" s="115">
        <v>16.8</v>
      </c>
      <c r="K2403" s="115">
        <v>-9.9</v>
      </c>
    </row>
    <row r="2404" spans="2:11" ht="15.75" thickBot="1" x14ac:dyDescent="0.3">
      <c r="B2404" s="101"/>
      <c r="C2404" s="1"/>
      <c r="D2404" s="1"/>
      <c r="E2404" s="1"/>
      <c r="F2404" s="1"/>
      <c r="G2404" s="1"/>
      <c r="H2404" s="1"/>
      <c r="I2404" s="1"/>
      <c r="J2404" s="1"/>
      <c r="K2404" s="102"/>
    </row>
    <row r="2405" spans="2:11" x14ac:dyDescent="0.25">
      <c r="B2405" s="98"/>
      <c r="C2405" s="99"/>
      <c r="D2405" s="99"/>
      <c r="E2405" s="99"/>
      <c r="F2405" s="99">
        <f>MIN(F4:F2403)</f>
        <v>38</v>
      </c>
      <c r="G2405" s="99">
        <f t="shared" ref="G2405:J2405" si="0">MIN(G4:G2403)</f>
        <v>38.4</v>
      </c>
      <c r="H2405" s="99">
        <f t="shared" si="0"/>
        <v>31.7</v>
      </c>
      <c r="I2405" s="99">
        <f t="shared" si="0"/>
        <v>-3.8</v>
      </c>
      <c r="J2405" s="99">
        <f t="shared" si="0"/>
        <v>-0.1</v>
      </c>
      <c r="K2405" s="100">
        <f t="shared" ref="K2405" si="1">MIN(K4:K2403)</f>
        <v>-78.400000000000006</v>
      </c>
    </row>
    <row r="2406" spans="2:11" ht="15.75" thickBot="1" x14ac:dyDescent="0.3">
      <c r="B2406" s="103"/>
      <c r="C2406" s="104"/>
      <c r="D2406" s="104"/>
      <c r="E2406" s="104"/>
      <c r="F2406" s="104">
        <f>MAX(F4:F2403)</f>
        <v>219</v>
      </c>
      <c r="G2406" s="104">
        <f t="shared" ref="G2406:J2406" si="2">MAX(G4:G2403)</f>
        <v>219</v>
      </c>
      <c r="H2406" s="104">
        <f t="shared" si="2"/>
        <v>215.4</v>
      </c>
      <c r="I2406" s="104">
        <f t="shared" si="2"/>
        <v>26.7</v>
      </c>
      <c r="J2406" s="104">
        <f t="shared" si="2"/>
        <v>103.3</v>
      </c>
      <c r="K2406" s="105">
        <f t="shared" ref="K2406" si="3">MAX(K4:K2403)</f>
        <v>70.7</v>
      </c>
    </row>
  </sheetData>
  <mergeCells count="17">
    <mergeCell ref="B1886:B2061"/>
    <mergeCell ref="B2232:B2403"/>
    <mergeCell ref="B974:B1079"/>
    <mergeCell ref="B696:B829"/>
    <mergeCell ref="B525:B567"/>
    <mergeCell ref="B2062:B2231"/>
    <mergeCell ref="B1786:B1885"/>
    <mergeCell ref="B1349:B1485"/>
    <mergeCell ref="B1080:B1231"/>
    <mergeCell ref="B830:B973"/>
    <mergeCell ref="B568:B695"/>
    <mergeCell ref="B4:B309"/>
    <mergeCell ref="B425:B524"/>
    <mergeCell ref="B310:B367"/>
    <mergeCell ref="B1232:B1348"/>
    <mergeCell ref="B1486:B1785"/>
    <mergeCell ref="B368:B424"/>
  </mergeCells>
  <conditionalFormatting sqref="K4:K2403">
    <cfRule type="colorScale" priority="5">
      <colorScale>
        <cfvo type="min"/>
        <cfvo type="num" val="0"/>
        <cfvo type="max"/>
        <color rgb="FFFF0000"/>
        <color rgb="FF00B050"/>
        <color rgb="FFFF0000"/>
      </colorScale>
    </cfRule>
  </conditionalFormatting>
  <conditionalFormatting sqref="F4:F2403">
    <cfRule type="colorScale" priority="3">
      <colorScale>
        <cfvo type="min"/>
        <cfvo type="percentile" val="50"/>
        <cfvo type="max"/>
        <color rgb="FF00B050"/>
        <color rgb="FFFFFF00"/>
        <color rgb="FFFF0000"/>
      </colorScale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:G2403">
    <cfRule type="colorScale" priority="2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H4:H2403">
    <cfRule type="colorScale" priority="1">
      <colorScale>
        <cfvo type="min"/>
        <cfvo type="percentile" val="50"/>
        <cfvo type="max"/>
        <color rgb="FF00B050"/>
        <color rgb="FFFFFF00"/>
        <color rgb="FFFF0000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05E75-EF53-4BCC-B353-2D78F7E1954D}">
  <sheetPr>
    <tabColor rgb="FF0070C0"/>
  </sheetPr>
  <dimension ref="A17"/>
  <sheetViews>
    <sheetView topLeftCell="H1" zoomScale="160" zoomScaleNormal="160" workbookViewId="0">
      <selection activeCell="W12" sqref="W12"/>
    </sheetView>
  </sheetViews>
  <sheetFormatPr defaultRowHeight="15" x14ac:dyDescent="0.25"/>
  <cols>
    <col min="12" max="12" width="1.42578125" customWidth="1"/>
  </cols>
  <sheetData>
    <row r="17" ht="7.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Gearing Calculator</vt:lpstr>
      <vt:lpstr>Forces</vt:lpstr>
      <vt:lpstr>Reduced Mass</vt:lpstr>
      <vt:lpstr>Acceleration</vt:lpstr>
      <vt:lpstr>Braking</vt:lpstr>
      <vt:lpstr>Dyno Data</vt:lpstr>
      <vt:lpstr>Track Data</vt:lpstr>
      <vt:lpstr>2D data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Wesley Patrick (1701708)</dc:creator>
  <cp:lastModifiedBy>Wesley Patrick (1701708)</cp:lastModifiedBy>
  <dcterms:created xsi:type="dcterms:W3CDTF">2020-01-24T15:23:56Z</dcterms:created>
  <dcterms:modified xsi:type="dcterms:W3CDTF">2020-03-10T11:59:30Z</dcterms:modified>
</cp:coreProperties>
</file>